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Overview" sheetId="1" r:id="rId4"/>
    <sheet state="visible" name="Headers" sheetId="2" r:id="rId5"/>
    <sheet state="visible" name="CRR 2025" sheetId="3" r:id="rId6"/>
    <sheet state="visible" name="Glossary" sheetId="4" r:id="rId7"/>
    <sheet state="visible" name="Municipality" sheetId="5" r:id="rId8"/>
    <sheet state="visible" name="Interventions" sheetId="6" r:id="rId9"/>
    <sheet state="hidden" name="InterventionsDD1" sheetId="7" r:id="rId10"/>
    <sheet state="hidden" name="InterventionsDD2" sheetId="8" r:id="rId11"/>
    <sheet state="hidden" name="Mun DD1" sheetId="9" r:id="rId12"/>
    <sheet state="hidden" name="Mun DD2" sheetId="10" r:id="rId13"/>
    <sheet state="hidden" name="Mun DD3" sheetId="11" r:id="rId14"/>
    <sheet state="visible" name="Panel Format" sheetId="12" r:id="rId15"/>
    <sheet state="visible" name="2025" sheetId="13" r:id="rId16"/>
    <sheet state="visible" name="2024" sheetId="14" r:id="rId17"/>
    <sheet state="visible" name="2023" sheetId="15" r:id="rId18"/>
    <sheet state="visible" name="2023 PubDel Entries" sheetId="16" r:id="rId19"/>
    <sheet state="hidden" name="Old MergePanel Format" sheetId="17" r:id="rId20"/>
  </sheets>
  <definedNames>
    <definedName hidden="1" localSheetId="2" name="_xlnm._FilterDatabase">'CRR 2025'!$A$1:$AT$471</definedName>
    <definedName hidden="1" localSheetId="13" name="_xlnm._FilterDatabase">'2024'!$B$1:$AG$415</definedName>
    <definedName hidden="1" localSheetId="14" name="_xlnm._FilterDatabase">'2023'!$A$1:$AF$423</definedName>
    <definedName hidden="1" localSheetId="15" name="_xlnm._FilterDatabase">'2023 PubDel Entries'!$A$1:$AN$36</definedName>
    <definedName hidden="1" localSheetId="16" name="_xlnm._FilterDatabase">'Old MergePanel Format'!$A$1:$AL$1346</definedName>
  </definedNames>
  <calcPr/>
</workbook>
</file>

<file path=xl/sharedStrings.xml><?xml version="1.0" encoding="utf-8"?>
<sst xmlns="http://schemas.openxmlformats.org/spreadsheetml/2006/main" count="119697" uniqueCount="8938">
  <si>
    <t>TAB</t>
  </si>
  <si>
    <t>DEFINITION</t>
  </si>
  <si>
    <t>Sheet Overview</t>
  </si>
  <si>
    <t>Provides an overview of all the tabs within the database</t>
  </si>
  <si>
    <t>Headers</t>
  </si>
  <si>
    <t>Defines all the headers of the columns found in CRR 2025</t>
  </si>
  <si>
    <t>CRR 2025</t>
  </si>
  <si>
    <r>
      <rPr>
        <rFont val="Calibri"/>
        <b/>
        <color theme="1"/>
      </rPr>
      <t>Final Coral Reef Restoration (CRR) Database</t>
    </r>
    <r>
      <rPr>
        <rFont val="Calibri"/>
        <color theme="1"/>
      </rPr>
      <t>, with all coral reef restoration activities listed as individual rows, including their corresponding information or details</t>
    </r>
  </si>
  <si>
    <t>Glossary</t>
  </si>
  <si>
    <t>Contains definitions for all possible options appearing in the dropdown lists of CRR 2025; this also serves as the source for data validation ranges</t>
  </si>
  <si>
    <t>Municipality</t>
  </si>
  <si>
    <t>Lists all regions, provinces, municipalities, and municipality codes found in CRR 2025; this also serves as a source for data validation</t>
  </si>
  <si>
    <t>Panel Format</t>
  </si>
  <si>
    <t>Shows a panel format comparing the 2023 (final) and 2025 (draft) iterations of the CRR database; served as a draft for the final CRR 2025 database</t>
  </si>
  <si>
    <t>2025</t>
  </si>
  <si>
    <t>Draft 2025 iteration of the CRR database</t>
  </si>
  <si>
    <t>2024</t>
  </si>
  <si>
    <t>Draft 2024 iteration of the CRR database</t>
  </si>
  <si>
    <t>2023</t>
  </si>
  <si>
    <t>2023 iteration of the CRR database, with most entries considered in the Matorres et al. (2024) publication</t>
  </si>
  <si>
    <t>2023 PubDel Entries</t>
  </si>
  <si>
    <t>Contains all the entries in the CRR 2023 iteration that were deleted in the 2025 iteration</t>
  </si>
  <si>
    <t>HIDDEN SHEETS FOR DATA VALIDATION/DROPDOWN</t>
  </si>
  <si>
    <t>Interventions</t>
  </si>
  <si>
    <t>Contains the master list of all general and specific coral reef restoration intervention types; used as the source for dropdowns and cross-referencing</t>
  </si>
  <si>
    <t>[Interventions]DD1</t>
  </si>
  <si>
    <t>Lists unique general intervention categories; used in dropdowns for filtering or input validation in the CRR 2025 tab</t>
  </si>
  <si>
    <t>[Interventions]DD2</t>
  </si>
  <si>
    <t>Lists all specific restoration methods, aligned with the general intervention categories for validation purposes</t>
  </si>
  <si>
    <t>[Mun]DD1</t>
  </si>
  <si>
    <t>Lists all Philippine regions; used as a data validation source for the Region field in CRR 2025</t>
  </si>
  <si>
    <t>[Mun]DD2</t>
  </si>
  <si>
    <t>Lists all provinces under their corresponding regions; used to validate Province entries</t>
  </si>
  <si>
    <t>[Mun]DD3</t>
  </si>
  <si>
    <t>Lists all municipalities under their corresponding provinces, along with the official PSGC municipal codes; used to validate Municipality entries</t>
  </si>
  <si>
    <t>SECTIONS</t>
  </si>
  <si>
    <t>HEADERS</t>
  </si>
  <si>
    <t>Entry Information</t>
  </si>
  <si>
    <t>ID</t>
  </si>
  <si>
    <t>Number indicating the order in which the restoration project was encoded into the database</t>
  </si>
  <si>
    <t>Unique_key</t>
  </si>
  <si>
    <t>Code that uniquely identifies a restoration project in the database</t>
  </si>
  <si>
    <t>Year_add</t>
  </si>
  <si>
    <t>Year in which the project was added to the database</t>
  </si>
  <si>
    <t>Status</t>
  </si>
  <si>
    <t>Indicates if the project was part of the Matorres et al. (2024)</t>
  </si>
  <si>
    <t xml:space="preserve">Change_type </t>
  </si>
  <si>
    <t>Describes what type of change was made to the entry compared to its version in Matorres et al. (2024)</t>
  </si>
  <si>
    <t>Recheck</t>
  </si>
  <si>
    <t>Indicates whether the project entry has been rechecked after standardization of database rules</t>
  </si>
  <si>
    <t>Project Location and Timeline</t>
  </si>
  <si>
    <t>Region</t>
  </si>
  <si>
    <t>Region where the restoration project is located</t>
  </si>
  <si>
    <t>Province</t>
  </si>
  <si>
    <t xml:space="preserve">Province where the restoration project is located </t>
  </si>
  <si>
    <t>Municipality where the restoration project is located</t>
  </si>
  <si>
    <t>Municipality_code</t>
  </si>
  <si>
    <t>Standardised municipality code based on the official coding system from NAMRIA</t>
  </si>
  <si>
    <t>Restoration_project_title</t>
  </si>
  <si>
    <t>The given title of the restoration project</t>
  </si>
  <si>
    <t>Project_locality</t>
  </si>
  <si>
    <t>Specific site where the project is located, which may include the barangay, named location, or geographic coordinates</t>
  </si>
  <si>
    <t>Year_estab</t>
  </si>
  <si>
    <t>Year the restoration project was established on site</t>
  </si>
  <si>
    <t>Project_start</t>
  </si>
  <si>
    <t xml:space="preserve">Start date of the project </t>
  </si>
  <si>
    <t>Project_end</t>
  </si>
  <si>
    <t>End date of the project</t>
  </si>
  <si>
    <t>Restoration Approach</t>
  </si>
  <si>
    <t>Gen_method</t>
  </si>
  <si>
    <t>General restoration method used by the project</t>
  </si>
  <si>
    <t>Specific_method</t>
  </si>
  <si>
    <t>Specific restoration technique applied by the project</t>
  </si>
  <si>
    <t>AR_material_type</t>
  </si>
  <si>
    <r>
      <rPr>
        <rFont val="Calibri"/>
        <color theme="1"/>
      </rPr>
      <t xml:space="preserve">Type of material used in the </t>
    </r>
    <r>
      <rPr>
        <rFont val="Calibri"/>
        <b/>
        <color theme="1"/>
      </rPr>
      <t xml:space="preserve">artificial reef </t>
    </r>
    <r>
      <rPr>
        <rFont val="Calibri"/>
        <color theme="1"/>
      </rPr>
      <t>restoration project</t>
    </r>
  </si>
  <si>
    <t>AR_specific_structure</t>
  </si>
  <si>
    <r>
      <rPr>
        <rFont val="Calibri"/>
        <color theme="1"/>
      </rPr>
      <t xml:space="preserve">Specific material used in the </t>
    </r>
    <r>
      <rPr>
        <rFont val="Calibri"/>
        <b/>
        <color theme="1"/>
      </rPr>
      <t xml:space="preserve">artificial reef </t>
    </r>
    <r>
      <rPr>
        <rFont val="Calibri"/>
        <color theme="1"/>
      </rPr>
      <t>restoration project</t>
    </r>
  </si>
  <si>
    <t>Nursery_type_loc</t>
  </si>
  <si>
    <t>Location of the coral nursery, whether in-situ or ex-situ</t>
  </si>
  <si>
    <t>Nursery_type_design</t>
  </si>
  <si>
    <r>
      <rPr>
        <rFont val="Calibri"/>
        <color theme="1"/>
      </rPr>
      <t xml:space="preserve">Type of nursery used in the </t>
    </r>
    <r>
      <rPr>
        <rFont val="Calibri"/>
        <b/>
        <color theme="1"/>
      </rPr>
      <t xml:space="preserve">coral gardening </t>
    </r>
    <r>
      <rPr>
        <rFont val="Calibri"/>
        <color theme="1"/>
      </rPr>
      <t>restoration project</t>
    </r>
  </si>
  <si>
    <t>Method_specifics</t>
  </si>
  <si>
    <r>
      <rPr>
        <rFont val="Calibri"/>
        <color theme="1"/>
      </rPr>
      <t xml:space="preserve">Other specific information on the material used in </t>
    </r>
    <r>
      <rPr>
        <rFont val="Calibri"/>
        <b/>
        <color theme="1"/>
      </rPr>
      <t>ALL</t>
    </r>
    <r>
      <rPr>
        <rFont val="Calibri"/>
        <color theme="1"/>
      </rPr>
      <t xml:space="preserve"> of the restoration projects, as indicated in the reference material</t>
    </r>
  </si>
  <si>
    <t>Project Objectives</t>
  </si>
  <si>
    <t>Motivation</t>
  </si>
  <si>
    <t>Primary motivation or objective behind the project, based on the classification from Boström-Einarsson et al. (2020)</t>
  </si>
  <si>
    <t>Motivation_code</t>
  </si>
  <si>
    <t>Codes assigned to the primary motivation</t>
  </si>
  <si>
    <t>Stated_objective</t>
  </si>
  <si>
    <t>Project objective/motivation as indicated in the reference material; not discriminating between main and other objectives</t>
  </si>
  <si>
    <t>Funding and Scale</t>
  </si>
  <si>
    <t>Funding_agency</t>
  </si>
  <si>
    <t>Name of the funding agency</t>
  </si>
  <si>
    <t>Fund_type</t>
  </si>
  <si>
    <t>General purpose or intended use of the funding provided</t>
  </si>
  <si>
    <t>Funder_loc</t>
  </si>
  <si>
    <t>Indicates whether the funder is based locally or internationally</t>
  </si>
  <si>
    <t>Funder_sector</t>
  </si>
  <si>
    <t>Broad category of the organisation providing the funding, based on its institutional nature</t>
  </si>
  <si>
    <t>Funder_specific_entity</t>
  </si>
  <si>
    <t>Specific funder categorization</t>
  </si>
  <si>
    <t>Total_funding</t>
  </si>
  <si>
    <t>Amount of funding in PHP provided or total cost of restoration activity</t>
  </si>
  <si>
    <t>Total_area</t>
  </si>
  <si>
    <t>Total area covered by the restoration project</t>
  </si>
  <si>
    <t>Total_units</t>
  </si>
  <si>
    <t>Total number of individual restoration units used in the project</t>
  </si>
  <si>
    <t>Implementers and Partners</t>
  </si>
  <si>
    <t>Implement_insti</t>
  </si>
  <si>
    <t>Name of institution that established the restoration project</t>
  </si>
  <si>
    <t>Proponent_sector</t>
  </si>
  <si>
    <t>General type of institution that established the project</t>
  </si>
  <si>
    <t>Proponent_specific_entity</t>
  </si>
  <si>
    <t>Specific proponent categorization</t>
  </si>
  <si>
    <t>Partners_public</t>
  </si>
  <si>
    <t>Government partners -- national to local</t>
  </si>
  <si>
    <t>Partners_private</t>
  </si>
  <si>
    <t>Private, dive centers, NGO, CSOs, or academic partners that collaborated in the project</t>
  </si>
  <si>
    <t>Partners_communities</t>
  </si>
  <si>
    <t>Community partners in the project</t>
  </si>
  <si>
    <t>Sources and Notes</t>
  </si>
  <si>
    <t>Literature_type</t>
  </si>
  <si>
    <t>Type of literature the restoration project details were obtained from</t>
  </si>
  <si>
    <t>Source_type</t>
  </si>
  <si>
    <t>Type of reference material for the restoration project</t>
  </si>
  <si>
    <t>Reference</t>
  </si>
  <si>
    <t>Citation for the restoration project reference material</t>
  </si>
  <si>
    <t>Link</t>
  </si>
  <si>
    <t xml:space="preserve">Link to the reference material of the project, if available </t>
  </si>
  <si>
    <t>Contact_name</t>
  </si>
  <si>
    <t>Name of contact person for the restoration project/ Name of the person who heads the project and was mentioned in the article</t>
  </si>
  <si>
    <t>Contact_details</t>
  </si>
  <si>
    <t>Contact details (email and phone) of the contact person for the restoration project</t>
  </si>
  <si>
    <t xml:space="preserve">Remarks </t>
  </si>
  <si>
    <t>Pecularities that were identified for that particular project, or any points of confusion</t>
  </si>
  <si>
    <t>Change_type</t>
  </si>
  <si>
    <t>Rechecked?</t>
  </si>
  <si>
    <t xml:space="preserve">Total_area </t>
  </si>
  <si>
    <t>Remarks</t>
  </si>
  <si>
    <t>0034</t>
  </si>
  <si>
    <t>Published</t>
  </si>
  <si>
    <t>Modified</t>
  </si>
  <si>
    <t>Yes</t>
  </si>
  <si>
    <t>I</t>
  </si>
  <si>
    <t>Pangasinan</t>
  </si>
  <si>
    <t>Agno</t>
  </si>
  <si>
    <t>PH015501000</t>
  </si>
  <si>
    <t>Abig Pangasinan</t>
  </si>
  <si>
    <t>Site in Brgy Boboy</t>
  </si>
  <si>
    <t>Unknown</t>
  </si>
  <si>
    <t>Substrate Enhancement</t>
  </si>
  <si>
    <t>Artificial Reef</t>
  </si>
  <si>
    <t>Concrete</t>
  </si>
  <si>
    <t>Concrete tripod</t>
  </si>
  <si>
    <t>Not applicable</t>
  </si>
  <si>
    <t>"Provide alternative, sustainable livelihood opportunities", "Reestablish a self-sustaining, functioning reef ecosystem", Reduce population declines and ecosystem degradation</t>
  </si>
  <si>
    <t>M2, M5, M4</t>
  </si>
  <si>
    <t xml:space="preserve">Provide livelihood opportunities to fisherfolk; breeding grounds for fishes and other marine resources that will boost fish production and food security in the locality; boost aqua-tourism </t>
  </si>
  <si>
    <t>PLGU</t>
  </si>
  <si>
    <t>Development</t>
  </si>
  <si>
    <t>Local</t>
  </si>
  <si>
    <t>Government - LGU</t>
  </si>
  <si>
    <t>45 units</t>
  </si>
  <si>
    <t>BFAR; MLGU</t>
  </si>
  <si>
    <t>Local fisherfolks tapped to be "Bantay Dagat"</t>
  </si>
  <si>
    <t>Grey literature</t>
  </si>
  <si>
    <t>News/Press Release</t>
  </si>
  <si>
    <t>Austria, H. (2021, April 9). Artificial reef project gives livelihood to Pangasinan fisherfolk. Philippine News Agency. https://www.pna.gov.ph/articles/1136282</t>
  </si>
  <si>
    <t>https://www.pna.gov.ph/articles/1136282</t>
  </si>
  <si>
    <t xml:space="preserve">Rosario Segundina Gaerlan, BFAR Ilocos Region officer-in-charge regional director </t>
  </si>
  <si>
    <t>0362</t>
  </si>
  <si>
    <t>X</t>
  </si>
  <si>
    <t>Misamis Oriental</t>
  </si>
  <si>
    <t>Medina</t>
  </si>
  <si>
    <t>PH104319000</t>
  </si>
  <si>
    <t>Acantasia Project</t>
  </si>
  <si>
    <t>Site in Gingoong Bay</t>
  </si>
  <si>
    <t>Asexual Propagation</t>
  </si>
  <si>
    <t>Direct Transplantation</t>
  </si>
  <si>
    <t>Coral transplantation</t>
  </si>
  <si>
    <t>"Reestablish a self-sustaining, functioning reef ecosystem"</t>
  </si>
  <si>
    <t>M2</t>
  </si>
  <si>
    <t>Restoring coral reef cover</t>
  </si>
  <si>
    <t>Duka Bay Resort Inc.</t>
  </si>
  <si>
    <t>Private</t>
  </si>
  <si>
    <t>Ernesto Pelaez; Eduardo Yap</t>
  </si>
  <si>
    <t>dela Cruz, R. (2006, April 24). Duka Bay: An ecological business paradigm. PhilStar Global. https://www.philstar.com/business/business-as-usual/2006/04/24/333050/duka-bay-ecological-business-paradigm</t>
  </si>
  <si>
    <t>https://www.philstar.com/business/business-as-usual/2006/04/24/333050/duka-bay-ecological-business-paradigm</t>
  </si>
  <si>
    <t>Ernesto Pelaez</t>
  </si>
  <si>
    <t>0917 794 2759; 088-3312499</t>
  </si>
  <si>
    <t>0279</t>
  </si>
  <si>
    <t>New</t>
  </si>
  <si>
    <t>No</t>
  </si>
  <si>
    <t>VII</t>
  </si>
  <si>
    <t>Cebu</t>
  </si>
  <si>
    <t>Cordova</t>
  </si>
  <si>
    <t>PH072220000</t>
  </si>
  <si>
    <t>ACIAR Coral Reef Restoration Project</t>
  </si>
  <si>
    <t>Site inside Alegria MPA</t>
  </si>
  <si>
    <t>Sexual Propagation</t>
  </si>
  <si>
    <t>Larval Enhancement</t>
  </si>
  <si>
    <t>Larval reseeding; "Mactan tiles"</t>
  </si>
  <si>
    <t>Reef restoration</t>
  </si>
  <si>
    <t>ACIAR</t>
  </si>
  <si>
    <t>Research</t>
  </si>
  <si>
    <t>International</t>
  </si>
  <si>
    <t>Donor Agency</t>
  </si>
  <si>
    <t xml:space="preserve">Donor Agency </t>
  </si>
  <si>
    <t>Southern Cross University</t>
  </si>
  <si>
    <t>Academe</t>
  </si>
  <si>
    <t>Foreign Academic Entity</t>
  </si>
  <si>
    <t>UP MSI; MLGU</t>
  </si>
  <si>
    <t>Shangri-La Dive Resort</t>
  </si>
  <si>
    <t>Survey</t>
  </si>
  <si>
    <t>Personal communication</t>
  </si>
  <si>
    <t>0290</t>
  </si>
  <si>
    <t>City of Lapu-Lapu</t>
  </si>
  <si>
    <t>PH072226000</t>
  </si>
  <si>
    <t>Site inside MPA in Mactan Shangri-La Resort</t>
  </si>
  <si>
    <t>UP MSI; CLGU</t>
  </si>
  <si>
    <t>0041</t>
  </si>
  <si>
    <t>City of Alaminos</t>
  </si>
  <si>
    <t>PH015503000</t>
  </si>
  <si>
    <t>Site in HINP</t>
  </si>
  <si>
    <t>Larval reseeding</t>
  </si>
  <si>
    <t>Enhanced larval supply and recruitment to replenish reef corals on degraded reefs</t>
  </si>
  <si>
    <t>UP-MSI</t>
  </si>
  <si>
    <t>Public Academic Institutions</t>
  </si>
  <si>
    <t>CLGU</t>
  </si>
  <si>
    <t>0048</t>
  </si>
  <si>
    <t>Anda</t>
  </si>
  <si>
    <t>PH015505000</t>
  </si>
  <si>
    <t>Site in Tanduyong Island</t>
  </si>
  <si>
    <t>UP MSI</t>
  </si>
  <si>
    <t>0051</t>
  </si>
  <si>
    <t>Site in Magsaysay Reef (N 16.3213889, E 120.03388888888888)</t>
  </si>
  <si>
    <t>Larval reseeding (settement tiles from larvae in fine-mesh enclosures)</t>
  </si>
  <si>
    <t>Scientific Research</t>
  </si>
  <si>
    <t>M7</t>
  </si>
  <si>
    <r>
      <rPr>
        <rFont val="Calibri"/>
        <color rgb="FF000000"/>
        <sz val="12.0"/>
      </rPr>
      <t>Test</t>
    </r>
    <r>
      <rPr>
        <rFont val="Calibri"/>
        <color rgb="FF000000"/>
        <sz val="12.0"/>
      </rPr>
      <t xml:space="preserve"> the effect of supplying large numbers of coral larvae on replicate degraded reef areas </t>
    </r>
  </si>
  <si>
    <r>
      <rPr>
        <rFont val="Calibri"/>
        <color rgb="FF000000"/>
        <sz val="12.0"/>
      </rPr>
      <t xml:space="preserve">University of the Philippines Diliman; </t>
    </r>
    <r>
      <rPr>
        <rFont val="Calibri"/>
        <color rgb="FF000000"/>
        <sz val="12.0"/>
      </rPr>
      <t>UP MSI</t>
    </r>
  </si>
  <si>
    <t>Peer-reviewed</t>
  </si>
  <si>
    <t>Journal Article</t>
  </si>
  <si>
    <t>Dela Cruz, D. W., &amp; Harrison, P. L. (2017). Enhanced larval supply and recruitment can replenish reef corals on degraded reefs. Scientific Reports 7(1). DOI:10.1038/s41598-017-14546-y</t>
  </si>
  <si>
    <t>https://www.researchgate.net/publication/320629634_Enhanced_larval_supply_and_recruitment_can_replenish_reef_corals_on_degraded_reefs; https://www.ncbi.nlm.nih.gov/pmc/articles/PMC7685485/</t>
  </si>
  <si>
    <t>Dr. Dexter dela Cruz</t>
  </si>
  <si>
    <t>0052</t>
  </si>
  <si>
    <t>Site in Magsaysay Reef</t>
  </si>
  <si>
    <t>Build on pilot study to quantify effects of increased larval supply, assess long term restoration outcomes and develop techniques for capturing large volume of coral spawns</t>
  </si>
  <si>
    <r>
      <rPr>
        <rFont val="Calibri"/>
        <color rgb="FF000000"/>
        <sz val="12.0"/>
      </rPr>
      <t xml:space="preserve">University of the Philippines Diliman; </t>
    </r>
    <r>
      <rPr>
        <rFont val="Calibri"/>
        <color rgb="FF000000"/>
        <sz val="12.0"/>
      </rPr>
      <t>UP MSI</t>
    </r>
  </si>
  <si>
    <t>Harrison, P. L., Dela Cruz, D. W., Cameron, K., &amp; Cabaitan, P. (2021). Increased Coral Larval Supply Enhances Recruitment for Coral and Fish Habitat Restoration. Frontiers in Marine Science, 8. DOI:10.3389/fmars.2021.750210</t>
  </si>
  <si>
    <t>https://www.researchgate.net/publication/356725969_Increased_Coral_Larval_Supply_Enhances_Recruitment_for_Coral_and_Fish_Habitat_Restoration</t>
  </si>
  <si>
    <t>Dr. Peter Harrison / Dr. Dexter dela Cruz</t>
  </si>
  <si>
    <t>0053</t>
  </si>
  <si>
    <t>UNK</t>
  </si>
  <si>
    <t>University of the Philippines Diliman; UP MSI</t>
  </si>
  <si>
    <t>0128</t>
  </si>
  <si>
    <t>IV-A</t>
  </si>
  <si>
    <t>Batangas</t>
  </si>
  <si>
    <t>Nasugbu</t>
  </si>
  <si>
    <t>PH041019000</t>
  </si>
  <si>
    <t>Adopt a Coral</t>
  </si>
  <si>
    <t>Site in Brgy Natiyuan</t>
  </si>
  <si>
    <t>Asexual Propagation, Substrate Enhancement</t>
  </si>
  <si>
    <t>Artificial Reef, Direct Transplantation</t>
  </si>
  <si>
    <t>Concrete block</t>
  </si>
  <si>
    <t>Concrete block; coral transplantation</t>
  </si>
  <si>
    <t>"Reestablish a self-sustaining, functioning reef ecosystem", "Provide alternative, sustainable livelihood opportunities", Promote coral reef conservation stewardship</t>
  </si>
  <si>
    <t>M2, M6, M5</t>
  </si>
  <si>
    <t>Restore coral and marine environment; tourist attraction; promote image of the Rotary</t>
  </si>
  <si>
    <t>Rotary Club of Makati Urdaneta</t>
  </si>
  <si>
    <t>CSO</t>
  </si>
  <si>
    <t>200 blocks</t>
  </si>
  <si>
    <t>MLGU; PNP; MENRO</t>
  </si>
  <si>
    <t>Pecayo, J. (2012, May 17). Rotary Club launches "Adopt a Coral" in Nasugbu. Manila-US Times. https://manilaustimes.wordpress.com/2012/05/17/rotary-club-launches-adopt-a-coral-in-nasugbu/</t>
  </si>
  <si>
    <r>
      <rPr>
        <rFont val="Calibri"/>
        <color rgb="FF000000"/>
        <sz val="12.0"/>
      </rPr>
      <t xml:space="preserve">https://manilaustimes.wordpress.com/2012/05/17/rotary-club-launches-adopt-a-coral-in-nasugbu/; </t>
    </r>
    <r>
      <rPr>
        <rFont val="Calibri (Body)"/>
        <color rgb="FF000000"/>
        <sz val="12.0"/>
        <u/>
      </rPr>
      <t>https://feed.org.ph/media-centre/press-releases-2015/adopt-a-coral-project-extends-its-outreach-through-feed/</t>
    </r>
  </si>
  <si>
    <t>0356</t>
  </si>
  <si>
    <t>Jasaan</t>
  </si>
  <si>
    <t>PH104311000</t>
  </si>
  <si>
    <t>Agutayan Artificial Reef Project and Giant Clam Seeding</t>
  </si>
  <si>
    <t>Site in Agutayan Island</t>
  </si>
  <si>
    <t>Hybrid</t>
  </si>
  <si>
    <t>Tires, Steel frame, Unspecified concrete structure</t>
  </si>
  <si>
    <t>tires, concrete, steel</t>
  </si>
  <si>
    <t>Promote coral reef conservation stewardship</t>
  </si>
  <si>
    <t>M6</t>
  </si>
  <si>
    <t>Corporate social responsibility</t>
  </si>
  <si>
    <t>Nestle</t>
  </si>
  <si>
    <t>Rudy Trillanes</t>
  </si>
  <si>
    <t>Blog/Website</t>
  </si>
  <si>
    <r>
      <rPr>
        <rFont val="Calibri"/>
        <color rgb="FF000000"/>
        <sz val="12.0"/>
      </rPr>
      <t xml:space="preserve">cbartazo (2008, April 16). Diving at Agutayan Island…October 13, 2007). Life in the Great Beyond [blog]. </t>
    </r>
    <r>
      <rPr>
        <rFont val="Calibri"/>
        <color rgb="FF1155CC"/>
        <sz val="12.0"/>
        <u/>
      </rPr>
      <t>https://cbartazo.com/tag/agutayan-island/</t>
    </r>
  </si>
  <si>
    <r>
      <rPr>
        <rFont val="Calibri"/>
        <color rgb="FF1155CC"/>
        <sz val="12.0"/>
        <u/>
      </rPr>
      <t>https://cbartazo.com/tag/agutayan-island/</t>
    </r>
    <r>
      <rPr>
        <rFont val="Calibri"/>
        <color rgb="FF000000"/>
        <sz val="12.0"/>
      </rPr>
      <t>; https://www.philstar.com/business/business-as-usual/2008/08/25/81412/rudy-trillanes-coffee-man; https://www.lakwatsero.com/dive-report/my-yearend-dive-at-agutayan-island-marine-sanctuary/</t>
    </r>
  </si>
  <si>
    <t>0102</t>
  </si>
  <si>
    <t>III</t>
  </si>
  <si>
    <t>Zambales</t>
  </si>
  <si>
    <t>Iba</t>
  </si>
  <si>
    <t>PH037105000</t>
  </si>
  <si>
    <t>An Integrated Approach to Marine Resource Conservation and Sustainable Fisheries Management to Strengthen Coastal Communities in Zambales</t>
  </si>
  <si>
    <t>Asexual Propagation, Sexual Propagation</t>
  </si>
  <si>
    <t>Larval Enhancement, Coral Gardening</t>
  </si>
  <si>
    <t>In-situ</t>
  </si>
  <si>
    <t>Coral trees; tree nursery</t>
  </si>
  <si>
    <t>Reduce population declines and ecosystem degradation, Promote coral reef conservation stewardship</t>
  </si>
  <si>
    <t>M4, M6</t>
  </si>
  <si>
    <t>Enhance fish stock; community education/engagement</t>
  </si>
  <si>
    <t>Mead Foundation</t>
  </si>
  <si>
    <t>NGO</t>
  </si>
  <si>
    <t>Mead Foundation; UP MSI</t>
  </si>
  <si>
    <t>MLGU; DFAT</t>
  </si>
  <si>
    <t>MERF; University of Southern Cross; ACIAR</t>
  </si>
  <si>
    <t>Questionnaire</t>
  </si>
  <si>
    <t>Karen Chan; Mead Foundation</t>
  </si>
  <si>
    <t>karen@mead-foundation.org; 09175111210</t>
  </si>
  <si>
    <t>0230</t>
  </si>
  <si>
    <t>VI</t>
  </si>
  <si>
    <t>Aklan</t>
  </si>
  <si>
    <t>Malay</t>
  </si>
  <si>
    <t>PH060412000</t>
  </si>
  <si>
    <t>APEC PPSTI-5</t>
  </si>
  <si>
    <t>Coral Gardening</t>
  </si>
  <si>
    <t>CNU</t>
  </si>
  <si>
    <t>DOST-PCAARRD</t>
  </si>
  <si>
    <t>Government - NGA</t>
  </si>
  <si>
    <t>DOST</t>
  </si>
  <si>
    <t>Sangkalikasan Producers Cooperative, DOST</t>
  </si>
  <si>
    <t>Philippine Coast Guard; DOST</t>
  </si>
  <si>
    <t>Sangkalikasan Producers Cooperative</t>
  </si>
  <si>
    <t>Carlos, M. B., Surara, C. A., &amp; Mananghaya, R. A. (2016, February 12). Restoring the country's coral reefs through Filippinovation. DOST-PCAARRD. https://www.pcaarrd.dost.gov.ph/index.php/quick-information-dispatch-qid-articles/restoring-the-country-s-coral-reefs-through-filipinnovation</t>
  </si>
  <si>
    <t>https://www.pcaarrd.dost.gov.ph/index.php/quick-information-dispatch-qid-articles/restoring-the-country-s-coral-reefs-through-filipinnovation</t>
  </si>
  <si>
    <t>0374</t>
  </si>
  <si>
    <t>XI</t>
  </si>
  <si>
    <t>Davao del Norte</t>
  </si>
  <si>
    <t>City of Tagum</t>
  </si>
  <si>
    <t>PH112319000</t>
  </si>
  <si>
    <t>Artificial Coral Reef Project</t>
  </si>
  <si>
    <t>Site inside 22-ha MPA in Brgy Liboganon</t>
  </si>
  <si>
    <t>Engineered/Advanced</t>
  </si>
  <si>
    <t>Reef ball</t>
  </si>
  <si>
    <t>Improve marine life</t>
  </si>
  <si>
    <t>3.00 ha</t>
  </si>
  <si>
    <t>200 reef balls</t>
  </si>
  <si>
    <t>DENR</t>
  </si>
  <si>
    <t>Mayuga, J. (2017, March 26). Tagum City cites artificial reef project, supports "MPA networking" initiative. Business Mirror. https://businessmirror.com.ph/2017/03/26/tagum-city-cites-artificial-reef-project-supports-mpa-networking-initiative/</t>
  </si>
  <si>
    <r>
      <rPr>
        <rFont val="Calibri"/>
        <color rgb="FF1155CC"/>
        <sz val="12.0"/>
        <u/>
      </rPr>
      <t>https://businessmirror.com.ph/2017/03/26/tagum-city-cites-artificial-reef-project-supports-mpa-networking-initiative/</t>
    </r>
    <r>
      <rPr>
        <rFont val="Calibri"/>
        <color rgb="FF000000"/>
        <sz val="12.0"/>
      </rPr>
      <t>; https://mobile.facebook.com/DistinctivelyDavao/posts/tagum-city-cites-artificial-reef-project-supports-mpa-networking-initiativetagum/283751215413471/?_rdc=1&amp;_rdr</t>
    </r>
  </si>
  <si>
    <t>0404</t>
  </si>
  <si>
    <t>XIII</t>
  </si>
  <si>
    <t>Surigao del Norte</t>
  </si>
  <si>
    <t>City of Surigao</t>
  </si>
  <si>
    <t>PH166724000</t>
  </si>
  <si>
    <t>Artificial Coral Reefs</t>
  </si>
  <si>
    <t>Site in Brgy Sugbay and Brgy Manjagao</t>
  </si>
  <si>
    <t>Unspecified concrete structure</t>
  </si>
  <si>
    <r>
      <rPr>
        <rFont val="Calibri"/>
        <color rgb="FF000000"/>
        <sz val="12.0"/>
      </rPr>
      <t xml:space="preserve">Shelter and </t>
    </r>
    <r>
      <rPr>
        <rFont val="Calibri"/>
        <color rgb="FF000000"/>
        <sz val="12.0"/>
      </rPr>
      <t>breeding ground</t>
    </r>
    <r>
      <rPr>
        <rFont val="Calibri"/>
        <color rgb="FF000000"/>
        <sz val="12.0"/>
      </rPr>
      <t xml:space="preserve"> for fish</t>
    </r>
  </si>
  <si>
    <t>Bombo Butuan  Newsdesk (2018, March 19). Artificial coral reefs, gimontar sa Surigao City. Bombo Radyo. https://butuan.bomboradyo.com/artificial-coral-reefs-gimontar-sa-surigao-city/</t>
  </si>
  <si>
    <t>https://butuan.bomboradyo.com/artificial-coral-reefs-gimontar-sa-surigao-city/</t>
  </si>
  <si>
    <t>0391</t>
  </si>
  <si>
    <t>XII</t>
  </si>
  <si>
    <t>Sarangani</t>
  </si>
  <si>
    <t>Maasim</t>
  </si>
  <si>
    <t>PH128004000</t>
  </si>
  <si>
    <t>Artificial Reef Deployment Project</t>
  </si>
  <si>
    <t>Concrete domes</t>
  </si>
  <si>
    <t>Domes</t>
  </si>
  <si>
    <t>"Reestablish a self-sustaining, functioning reef ecosystem", Reduce population declines and ecosystem degradation, Promote coral reef conservation stewardship</t>
  </si>
  <si>
    <t>M2, M4, M6</t>
  </si>
  <si>
    <t>Restore marine and coastal life; restore fishery resources; breeding ground; corporate social responsibility</t>
  </si>
  <si>
    <t>Conrado and Ladislawa Alcantara Foundation; Holcim Cement</t>
  </si>
  <si>
    <t>4,300 units</t>
  </si>
  <si>
    <t>Conrado and Ladislawa Alcantara Foundation</t>
  </si>
  <si>
    <t>MLGU</t>
  </si>
  <si>
    <t>Sarangani Energy Corporation</t>
  </si>
  <si>
    <t>The Philippine Star (2015, November 23). Sarangani's Kamanga Marine Eco-tourism Park and Sanctuary cited as one of Philippine's best. PhilStar Global. https://www.philstar.com/other-sections/the-good-news/2015/11/23/1524749/saranganis-kamanga-marine-eco-tourism-park-and-sanctuary-cited-one-philippines-best</t>
  </si>
  <si>
    <t>https://www.philstar.com/other-sections/the-good-news/2015/11/23/1524749/saranganis-kamanga-marine-eco-tourism-park-and-sanctuary-cited-one-philippines-best; https://www.sunstar.com.ph/more-articles/artificial-reef-to-be-deployed-in-sarangani-bay</t>
  </si>
  <si>
    <t>Project_end is based on the year the article was published (as it was mentioned that restoration started in 2009).</t>
  </si>
  <si>
    <t>0393</t>
  </si>
  <si>
    <t>Malapatan</t>
  </si>
  <si>
    <t>PH128006000</t>
  </si>
  <si>
    <t>300 units</t>
  </si>
  <si>
    <t>Artificial Reef Dome. (n.d.). Our work: Environment protection and conservation projects. Conrado &amp; Ladislawa Alcantara Foundation. https://clafi.org/our_work_categories/environment-protection-and-conservation-projects/</t>
  </si>
  <si>
    <t>https://clafi.org/our_work_categories/environment-protection-and-conservation-projects/</t>
  </si>
  <si>
    <t>0003</t>
  </si>
  <si>
    <t>Ilocos Norte</t>
  </si>
  <si>
    <t>City of Laoag</t>
  </si>
  <si>
    <t>PH012812000</t>
  </si>
  <si>
    <t>Artificial Reef Development Program</t>
  </si>
  <si>
    <t>Site in Calayab</t>
  </si>
  <si>
    <t>Tires</t>
  </si>
  <si>
    <t>"Reestablish a self-sustaining, functioning reef ecosystem", Reduce population declines and ecosystem degradation, "Provide alternative, sustainable livelihood opportunities"</t>
  </si>
  <si>
    <t>M2, M4, M5</t>
  </si>
  <si>
    <t xml:space="preserve">Support the government's food productivity, environmental protection and enhancement efforts; Support sustenance fishery; enhance and restore habitats; costal fishery management </t>
  </si>
  <si>
    <t>BFAR</t>
  </si>
  <si>
    <t>10 TM</t>
  </si>
  <si>
    <t>Ministry of Human Settlements; Government organizations</t>
  </si>
  <si>
    <t>NGOs</t>
  </si>
  <si>
    <t xml:space="preserve">People's organizations; Fisher's associations </t>
  </si>
  <si>
    <t>Conference Proceeding</t>
  </si>
  <si>
    <t>Balgos, M. C. (1995). Evaluation of artificial reef development in the Philippines. In J. L. Munro &amp; M. C. Balgos (Eds.), Artificial reefs in the Philippines (ICLARM Conference Proceedings No. 49, pp. 6–22). International Center for Living Aquatic Resources Management (ICLARM).</t>
  </si>
  <si>
    <t>https://core.ac.uk/download/pdf/6515223.pdf; https://www.ircwash.org/sites/default/files/802-PH90-8920.pdf</t>
  </si>
  <si>
    <t>Miriam Balgos</t>
  </si>
  <si>
    <t>0005</t>
  </si>
  <si>
    <t>Pasuquin</t>
  </si>
  <si>
    <t>PH012817000</t>
  </si>
  <si>
    <t>Site in Puyupuyan</t>
  </si>
  <si>
    <t>0008</t>
  </si>
  <si>
    <t>Ilocos Sur</t>
  </si>
  <si>
    <t>Cabugao</t>
  </si>
  <si>
    <t>PH012905000</t>
  </si>
  <si>
    <t>Site in Pung-os</t>
  </si>
  <si>
    <t>0009</t>
  </si>
  <si>
    <t>Site in Namruangan</t>
  </si>
  <si>
    <t>0011</t>
  </si>
  <si>
    <r>
      <rPr>
        <rFont val="Calibri"/>
        <color rgb="FF000000"/>
        <sz val="12.0"/>
      </rPr>
      <t xml:space="preserve">City of </t>
    </r>
    <r>
      <rPr>
        <rFont val="Calibri"/>
        <color rgb="FF000000"/>
        <sz val="12.0"/>
      </rPr>
      <t>Candon</t>
    </r>
  </si>
  <si>
    <t>PH012906000</t>
  </si>
  <si>
    <t>Site in Calongbuyan</t>
  </si>
  <si>
    <t>8 TM</t>
  </si>
  <si>
    <t>0013</t>
  </si>
  <si>
    <t>Narvacan</t>
  </si>
  <si>
    <t>PH012914000</t>
  </si>
  <si>
    <t>Site in Pantoc</t>
  </si>
  <si>
    <t>0014</t>
  </si>
  <si>
    <t>Santa Cruz</t>
  </si>
  <si>
    <t>PH012924000</t>
  </si>
  <si>
    <t>Site in Pilar</t>
  </si>
  <si>
    <t>0016</t>
  </si>
  <si>
    <t>Sinait</t>
  </si>
  <si>
    <t>PH012930000</t>
  </si>
  <si>
    <t>Site in Katipunan</t>
  </si>
  <si>
    <t>0017</t>
  </si>
  <si>
    <t>Tagudin</t>
  </si>
  <si>
    <t>PH012933000</t>
  </si>
  <si>
    <t>Site in Becques</t>
  </si>
  <si>
    <t>7 TM</t>
  </si>
  <si>
    <t>0018</t>
  </si>
  <si>
    <t>City of Vigan</t>
  </si>
  <si>
    <t>PH012934000</t>
  </si>
  <si>
    <t>Site in San Pedro</t>
  </si>
  <si>
    <t>9 TM</t>
  </si>
  <si>
    <t>0020</t>
  </si>
  <si>
    <t>La Union</t>
  </si>
  <si>
    <t>Aringay</t>
  </si>
  <si>
    <t>PH013302000</t>
  </si>
  <si>
    <t>Site in Dulao</t>
  </si>
  <si>
    <t>0024</t>
  </si>
  <si>
    <t>Bangar</t>
  </si>
  <si>
    <t>PH013306000</t>
  </si>
  <si>
    <t>Site in Mindoro</t>
  </si>
  <si>
    <t>0031</t>
  </si>
  <si>
    <t>Rosario</t>
  </si>
  <si>
    <t>PH013313000</t>
  </si>
  <si>
    <t>Site in Bani</t>
  </si>
  <si>
    <t>6 TM</t>
  </si>
  <si>
    <t>0032</t>
  </si>
  <si>
    <t>Site in Boboy</t>
  </si>
  <si>
    <t>13 TM</t>
  </si>
  <si>
    <t>0036</t>
  </si>
  <si>
    <t>Site in Pandan</t>
  </si>
  <si>
    <t>0037</t>
  </si>
  <si>
    <t>Site in Victoria</t>
  </si>
  <si>
    <t>0044</t>
  </si>
  <si>
    <t>Site in Carot</t>
  </si>
  <si>
    <t>0045</t>
  </si>
  <si>
    <t>Site in Cabungan</t>
  </si>
  <si>
    <t>0057</t>
  </si>
  <si>
    <t>Bani</t>
  </si>
  <si>
    <t>PH015508000</t>
  </si>
  <si>
    <t>Site in Centro Toma</t>
  </si>
  <si>
    <t>0058</t>
  </si>
  <si>
    <r>
      <rPr>
        <rFont val="Calibri"/>
        <color rgb="FF000000"/>
        <sz val="12.0"/>
      </rPr>
      <t xml:space="preserve">Site in </t>
    </r>
    <r>
      <rPr>
        <rFont val="Calibri"/>
        <color rgb="FF000000"/>
        <sz val="12.0"/>
      </rPr>
      <t>Surip</t>
    </r>
  </si>
  <si>
    <t>Tires, Bamboo</t>
  </si>
  <si>
    <t>tires; bamboo</t>
  </si>
  <si>
    <t>14 TM; 1 BM</t>
  </si>
  <si>
    <t>0083</t>
  </si>
  <si>
    <t>Infanta</t>
  </si>
  <si>
    <t>PH015520000</t>
  </si>
  <si>
    <t>Site in Cato</t>
  </si>
  <si>
    <t>14 TM</t>
  </si>
  <si>
    <t>0087</t>
  </si>
  <si>
    <t>Sual</t>
  </si>
  <si>
    <t>PH015542000</t>
  </si>
  <si>
    <t>Site in Baquioen</t>
  </si>
  <si>
    <t>0088</t>
  </si>
  <si>
    <t>II</t>
  </si>
  <si>
    <t>Cagayan</t>
  </si>
  <si>
    <t>Santa Ana</t>
  </si>
  <si>
    <t>PH021523000</t>
  </si>
  <si>
    <t>0101</t>
  </si>
  <si>
    <t>Candelaria</t>
  </si>
  <si>
    <t>PH037103000</t>
  </si>
  <si>
    <t>Site in Uacon</t>
  </si>
  <si>
    <t>5 TM</t>
  </si>
  <si>
    <t>0134</t>
  </si>
  <si>
    <t>San Juan</t>
  </si>
  <si>
    <t>PH041023000</t>
  </si>
  <si>
    <t>Site in Calubcub II</t>
  </si>
  <si>
    <t>bamboo modules, tire modules with payao</t>
  </si>
  <si>
    <t>36 TM; 5 payao</t>
  </si>
  <si>
    <t>0142</t>
  </si>
  <si>
    <t>Quezon</t>
  </si>
  <si>
    <t>Atimonan</t>
  </si>
  <si>
    <t>PH045603000</t>
  </si>
  <si>
    <t>Site in Caridad</t>
  </si>
  <si>
    <t>0143</t>
  </si>
  <si>
    <t>Site in Lumutan</t>
  </si>
  <si>
    <t>3 TM</t>
  </si>
  <si>
    <t>0145</t>
  </si>
  <si>
    <t>Calauag</t>
  </si>
  <si>
    <t>PH045607000</t>
  </si>
  <si>
    <t>Site in Sabang</t>
  </si>
  <si>
    <t>4 TM</t>
  </si>
  <si>
    <t>0153</t>
  </si>
  <si>
    <t>Gumaca</t>
  </si>
  <si>
    <t>PH045619000</t>
  </si>
  <si>
    <t>Site in Camuhaguin</t>
  </si>
  <si>
    <t>0155</t>
  </si>
  <si>
    <t>Lopez</t>
  </si>
  <si>
    <t>PH045622000</t>
  </si>
  <si>
    <t>Site in Hondagua</t>
  </si>
  <si>
    <t>0164</t>
  </si>
  <si>
    <t>Plaridel</t>
  </si>
  <si>
    <t>PH045635000</t>
  </si>
  <si>
    <t>Site in Concepcion</t>
  </si>
  <si>
    <t>0177</t>
  </si>
  <si>
    <t>IV-B</t>
  </si>
  <si>
    <t>Palawan</t>
  </si>
  <si>
    <t>City of Puerto Princesa</t>
  </si>
  <si>
    <t>PH175316000</t>
  </si>
  <si>
    <t>Site in Tagburos</t>
  </si>
  <si>
    <t>tire units</t>
  </si>
  <si>
    <t>0182</t>
  </si>
  <si>
    <t>Romblon</t>
  </si>
  <si>
    <t>Odiongan</t>
  </si>
  <si>
    <t>PH175909000</t>
  </si>
  <si>
    <t>Site in Canduyong</t>
  </si>
  <si>
    <t>13 TM; 1 BM</t>
  </si>
  <si>
    <t>0213</t>
  </si>
  <si>
    <t>V</t>
  </si>
  <si>
    <t>Sorsogon</t>
  </si>
  <si>
    <t>City of Sorsogon</t>
  </si>
  <si>
    <t>PH056216000</t>
  </si>
  <si>
    <t>Site in Caricara</t>
  </si>
  <si>
    <t>Tire bamboo</t>
  </si>
  <si>
    <t>https://core.ac.uk/download/pdf/6515223.pdf</t>
  </si>
  <si>
    <t>0214</t>
  </si>
  <si>
    <t>Site in Bato</t>
  </si>
  <si>
    <t>0215</t>
  </si>
  <si>
    <t>Site in Gatbo</t>
  </si>
  <si>
    <t>0216</t>
  </si>
  <si>
    <t>Site in Bon-ot</t>
  </si>
  <si>
    <t>11 TM</t>
  </si>
  <si>
    <t>0217</t>
  </si>
  <si>
    <t>Site in Santa Lucia</t>
  </si>
  <si>
    <t>0218</t>
  </si>
  <si>
    <t>Site in Sawanga</t>
  </si>
  <si>
    <t>0219</t>
  </si>
  <si>
    <t>Casiguran</t>
  </si>
  <si>
    <t>PH056205000</t>
  </si>
  <si>
    <t>Site in Cawit</t>
  </si>
  <si>
    <t>0256</t>
  </si>
  <si>
    <t>Iloilo</t>
  </si>
  <si>
    <t>Guimbal</t>
  </si>
  <si>
    <t>PH063020000</t>
  </si>
  <si>
    <t>Site in Bungol</t>
  </si>
  <si>
    <t>0263</t>
  </si>
  <si>
    <t>Bohol</t>
  </si>
  <si>
    <t>Candijay</t>
  </si>
  <si>
    <t>PH071211000</t>
  </si>
  <si>
    <t>Site in Cogtong</t>
  </si>
  <si>
    <t>0291</t>
  </si>
  <si>
    <t>Minglanilla</t>
  </si>
  <si>
    <t>PH072232000</t>
  </si>
  <si>
    <t>Site in Caloja-an</t>
  </si>
  <si>
    <t>50 units</t>
  </si>
  <si>
    <t>0296</t>
  </si>
  <si>
    <t>Tabuelan</t>
  </si>
  <si>
    <t>PH072249000</t>
  </si>
  <si>
    <t>Site in Tabunok</t>
  </si>
  <si>
    <t>0297</t>
  </si>
  <si>
    <t>Site in Cantuba-on</t>
  </si>
  <si>
    <t>0299</t>
  </si>
  <si>
    <t>VIII</t>
  </si>
  <si>
    <t>Eastern Samar</t>
  </si>
  <si>
    <t>City of Borongan</t>
  </si>
  <si>
    <t>PH082604000</t>
  </si>
  <si>
    <t>Site in Lalawigan</t>
  </si>
  <si>
    <t>0312</t>
  </si>
  <si>
    <t>Leyte</t>
  </si>
  <si>
    <t>Carigara</t>
  </si>
  <si>
    <t>PH083715000</t>
  </si>
  <si>
    <t>Site in East and West Visoria</t>
  </si>
  <si>
    <t>0331</t>
  </si>
  <si>
    <t>IX</t>
  </si>
  <si>
    <t>Zamboanga del Norte</t>
  </si>
  <si>
    <t>City of Dapitan</t>
  </si>
  <si>
    <t>PH097201000</t>
  </si>
  <si>
    <t>Tire modules and bamboo modules</t>
  </si>
  <si>
    <t>0332</t>
  </si>
  <si>
    <t>Site in Polo</t>
  </si>
  <si>
    <t>0333</t>
  </si>
  <si>
    <t>Site in Talisay</t>
  </si>
  <si>
    <t>0343</t>
  </si>
  <si>
    <t>Lanao del Norte</t>
  </si>
  <si>
    <t>Kauswagan</t>
  </si>
  <si>
    <t>PH103507000</t>
  </si>
  <si>
    <t>Site in Kawit Or.</t>
  </si>
  <si>
    <t>Natural</t>
  </si>
  <si>
    <t>Bamboo</t>
  </si>
  <si>
    <t>5 BM</t>
  </si>
  <si>
    <t>0344</t>
  </si>
  <si>
    <t>Site in Dalicanan</t>
  </si>
  <si>
    <t>6 TM; 4 BM</t>
  </si>
  <si>
    <t>0355</t>
  </si>
  <si>
    <t>Initao</t>
  </si>
  <si>
    <t>PH104310000</t>
  </si>
  <si>
    <t>Tire modules</t>
  </si>
  <si>
    <t>0376</t>
  </si>
  <si>
    <t>Davao del Sur</t>
  </si>
  <si>
    <t>City of Davao</t>
  </si>
  <si>
    <t>PH112402000</t>
  </si>
  <si>
    <t>0409</t>
  </si>
  <si>
    <t>NCR</t>
  </si>
  <si>
    <t>Metro Manila</t>
  </si>
  <si>
    <t>City of Manila</t>
  </si>
  <si>
    <t>PH133900000</t>
  </si>
  <si>
    <t>Site in Manila Bay Fish Sanctuary (Port Area) fronting Navotas and Tondo area in Manila and Orion in Bataan</t>
  </si>
  <si>
    <t>0410</t>
  </si>
  <si>
    <t>NIR</t>
  </si>
  <si>
    <t>Negros Occidental</t>
  </si>
  <si>
    <t>City of Bacolod</t>
  </si>
  <si>
    <t>PH064501000</t>
  </si>
  <si>
    <t>Site in Banago</t>
  </si>
  <si>
    <t>10 modules were also deployed in Sangwa, Bangsua in Negros Occidental but this place does not match any current records</t>
  </si>
  <si>
    <t>0428</t>
  </si>
  <si>
    <t>Negros Oriental</t>
  </si>
  <si>
    <t>Siaton</t>
  </si>
  <si>
    <t>PH074619000</t>
  </si>
  <si>
    <t>Site in San Jose</t>
  </si>
  <si>
    <t>0431</t>
  </si>
  <si>
    <t>Zamboanguita</t>
  </si>
  <si>
    <t>PH074625000</t>
  </si>
  <si>
    <t>Site in Poblacion</t>
  </si>
  <si>
    <t>42 units</t>
  </si>
  <si>
    <t>0448</t>
  </si>
  <si>
    <t>BARMM</t>
  </si>
  <si>
    <t>Maguindanao del Norte</t>
  </si>
  <si>
    <t>Matanog</t>
  </si>
  <si>
    <t>PH153809000</t>
  </si>
  <si>
    <t>Site in Sugod Bay</t>
  </si>
  <si>
    <t>0398</t>
  </si>
  <si>
    <t>Unpublished</t>
  </si>
  <si>
    <t>Agusan del Norte</t>
  </si>
  <si>
    <t>City of Cabadbaran</t>
  </si>
  <si>
    <t>PH160203000</t>
  </si>
  <si>
    <t>Artificial Reef Project</t>
  </si>
  <si>
    <t>Site in Calibunan MPA</t>
  </si>
  <si>
    <t>Concrete triangle</t>
  </si>
  <si>
    <t>bamboo, tires, triangle shaped concrete modules</t>
  </si>
  <si>
    <t>"Reestablish a self-sustaining, functioning reef ecosystem", Reduce population declines and ecosystem degradation</t>
  </si>
  <si>
    <t>M2, M4</t>
  </si>
  <si>
    <t>Spawning ground for fish; to revive fish ppopulations</t>
  </si>
  <si>
    <t>DA - Provincial Agriculture Office</t>
  </si>
  <si>
    <t>DA</t>
  </si>
  <si>
    <t>Calibunan Fisherfolks</t>
  </si>
  <si>
    <t>PO</t>
  </si>
  <si>
    <t>PAO; DA-BFAR; MLGU</t>
  </si>
  <si>
    <t>de Sequera, V. (2001, June 17). Butuan: The Waters Live Again. PhilStar Global. https://www.philstar.com/other-sections/starweek-magazine/2001/06/17/127209/butuan-waters-live-again</t>
  </si>
  <si>
    <t>https://www.philstar.com/other-sections/starweek-magazine/2001/06/17/127209/butuan-waters-live-again</t>
  </si>
  <si>
    <t xml:space="preserve">The AR started with Bamboos, then transitioned to tires then to concrete </t>
  </si>
  <si>
    <t>0378</t>
  </si>
  <si>
    <t>Artificial Reefs Project</t>
  </si>
  <si>
    <t>Site inside MPA in Brgy Bago Aplaya</t>
  </si>
  <si>
    <t>Concrete; Domes</t>
  </si>
  <si>
    <t>Promote coral reef conservation stewardship, "Reestablish a self-sustaining, functioning reef ecosystem"</t>
  </si>
  <si>
    <t>M2, M6</t>
  </si>
  <si>
    <t>Development of fisherfolk community; preservation of coastal resources</t>
  </si>
  <si>
    <t>Davao City Water District</t>
  </si>
  <si>
    <t>5 units</t>
  </si>
  <si>
    <t>Philippine Navy; BFAR; CLGU</t>
  </si>
  <si>
    <t>Brgy Aplaya residents</t>
  </si>
  <si>
    <t>Ajero, W. (n.d.). DCWD installs artificial reefs in Bago Aplaya. Davao City Water District. https://www.davao-water.gov.ph/home/pages/post.php?link=_GPrHoZaGZDEFMzRxVnu</t>
  </si>
  <si>
    <t>https://www.davao-water.gov.ph/home/pages/post.php?link=_GPrHoZaGZDEFMzRxVnu; https://www.pressreader.com/philippines/sunstar-davao/20170803/281608125516436</t>
  </si>
  <si>
    <t>0379</t>
  </si>
  <si>
    <t>Site in an MPA in the Davao Gulf</t>
  </si>
  <si>
    <t>"Provide alternative, sustainable livelihood opportunities"</t>
  </si>
  <si>
    <t>M5</t>
  </si>
  <si>
    <t>Fisheries livelihoods</t>
  </si>
  <si>
    <t>Philippine Navy - Naval Forces Eastern Mindanao</t>
  </si>
  <si>
    <t>AFP</t>
  </si>
  <si>
    <t>14 units</t>
  </si>
  <si>
    <t>BFAR; CLGU</t>
  </si>
  <si>
    <t xml:space="preserve">Social Media </t>
  </si>
  <si>
    <t>UNTV News and Rescue. (2017, August 24). Naval Forces in Eastern Mindanao conducts coral reef restoration in Davao City [Video]. YouTube. https://www.youtube.com/watch?v=J2E9tUJsTVo</t>
  </si>
  <si>
    <t>https://www.youtube.com/watch?v=J2E9tUJsTVo; https://www.ircwash.org/sites/default/files/802-PH90-8920.pdf</t>
  </si>
  <si>
    <t>0061</t>
  </si>
  <si>
    <t>Bolinao</t>
  </si>
  <si>
    <t>PH015514000</t>
  </si>
  <si>
    <t>ASEAN Australia Economic Cooperation Program Living Coastal Resources Project</t>
  </si>
  <si>
    <t>Site at Silaqui Island (9°52'30" to 20°00' "E-Iongitude and 16°22'30" to 6°27'30" N-Iatitude)</t>
  </si>
  <si>
    <t>Concrete tent-like</t>
  </si>
  <si>
    <t>Concrete tent-like block structure of AR modules</t>
  </si>
  <si>
    <t>Experimental</t>
  </si>
  <si>
    <t>4 blocks</t>
  </si>
  <si>
    <t>Pamintuan, I., Alino, P., Gomez, E., &amp; Rollon, R. (1994). Early Successional Patterns of Invertebrates in Artificial Reefs Established at Clear and Silty Areas in Bolinao, Pangasinan, Northern Philippines. Bulletin of Marine Science, 55(2-3), 867-877. Retrieved from https://www.researchgate.net/publication/233624454_Early_Successional_Patterns_of_Invertebrates_in_Artificial_Reefs_Established_at_Clear_and_Silty_Areas_in_Bolinao_Pangasinan_Northern_Philippines</t>
  </si>
  <si>
    <t>https://www.ingentaconnect.com/content/umrsmas/bullmar/1994/00000055/f0020002/art00047#</t>
  </si>
  <si>
    <t>I. Pamintuan; R. Rollon; P. Alino</t>
  </si>
  <si>
    <t>0469</t>
  </si>
  <si>
    <t>Site in Guiguiwanen Bay (9°52'30" to 20°00' "E-Iongitude and 16°22'30" to 6°27'30" N-Iatitude)</t>
  </si>
  <si>
    <t>0105</t>
  </si>
  <si>
    <t>Unchanged</t>
  </si>
  <si>
    <t>PH037113000</t>
  </si>
  <si>
    <t>Bioconservation Project under DENR ICRM</t>
  </si>
  <si>
    <t>Restore degraded reef</t>
  </si>
  <si>
    <t>DENR 3</t>
  </si>
  <si>
    <t>Linos Mejos</t>
  </si>
  <si>
    <t>0319</t>
  </si>
  <si>
    <t>Northern Samar</t>
  </si>
  <si>
    <t>Biri</t>
  </si>
  <si>
    <t>PH084802000</t>
  </si>
  <si>
    <t>Biri Buds</t>
  </si>
  <si>
    <t>Concrete, Engineered/Advanced</t>
  </si>
  <si>
    <t>Concrete domes, Reefbuds</t>
  </si>
  <si>
    <t>Domes; Reefbuds</t>
  </si>
  <si>
    <t>Promote coral reef conservation stewardship, Scientific Research</t>
  </si>
  <si>
    <t>M6, M7</t>
  </si>
  <si>
    <t>Ocean awareness, education and research</t>
  </si>
  <si>
    <t>Biri Initiative</t>
  </si>
  <si>
    <t>Holcim Cement; Aquamundo Sports</t>
  </si>
  <si>
    <t>Ewen, R., &amp; Parker, D. (2017, October). Biri Initiative, a story on coral restoration. Seven Seas Media. https://sevenseasmedia.org/biri-initiative-story-on-coral-restoration/</t>
  </si>
  <si>
    <t>https://sevenseasmedia.org/biri-initiative-story-on-coral-restoration/; https://www.thescubanews.com/2014/08/06/reefbud-technology-downsized-to-broaden-appeal/</t>
  </si>
  <si>
    <t>0060</t>
  </si>
  <si>
    <t>Bolinao Coral Reef Targeted Research</t>
  </si>
  <si>
    <t>CNU; coral planting</t>
  </si>
  <si>
    <t>Other Reports</t>
  </si>
  <si>
    <t>Mickelfield, A. (n.d.) An Evaluation of Coral Reef Restoration Methods &amp; Artificial Reefs. Retrieved from https://www.marineconservationphilippines.org/wp-content/uploads/2018/02/an-evaluation-of-coral-reef-restoration-methods.pdf</t>
  </si>
  <si>
    <t>https://www.marineconservationphilippines.org/wp-content/uploads/2018/02/an-evaluation-of-coral-reef-restoration-methods.pdf</t>
  </si>
  <si>
    <t>Marine Conservation Philippines</t>
  </si>
  <si>
    <t>0227</t>
  </si>
  <si>
    <t>Boracay Beach Management Program</t>
  </si>
  <si>
    <t>Site in Crocodile Island</t>
  </si>
  <si>
    <t>Petron Foundation; San Miguel Corp.</t>
  </si>
  <si>
    <t>Boracay Foundation</t>
  </si>
  <si>
    <t>Artificial reef dome deployment in Boracay. (2012, January 26). Gadgets Magazine. https://gadgetsmagazine.com.ph/technology/artificial-reef-dome-deployment-in-boracay</t>
  </si>
  <si>
    <t>https://gadgetsmagazine.com.ph/technology/artificial-reef-dome-deployment-in-boracay</t>
  </si>
  <si>
    <t>Link does not open</t>
  </si>
  <si>
    <t>0228</t>
  </si>
  <si>
    <t>Sites in Balinghai snorkeling area and Boracay shoreline</t>
  </si>
  <si>
    <t>Petron Foundation</t>
  </si>
  <si>
    <t>0223</t>
  </si>
  <si>
    <t>Ibajay</t>
  </si>
  <si>
    <t>PH060406000</t>
  </si>
  <si>
    <t>Bugtong Bato MPA Artificial Coral Reef Project</t>
  </si>
  <si>
    <t>"Reestablish a self-sustaining, functioning reef ecosystem", "Provide alternative, sustainable livelihood opportunities"</t>
  </si>
  <si>
    <t>M2, M5</t>
  </si>
  <si>
    <t>Rehabilitate MPA; tourism</t>
  </si>
  <si>
    <t>SB Chair on Environment</t>
  </si>
  <si>
    <t>Nefnef22@gmail.com; 2892024</t>
  </si>
  <si>
    <t>0435</t>
  </si>
  <si>
    <t>Build-A-Reef</t>
  </si>
  <si>
    <t>Site in Brgy Poblacion</t>
  </si>
  <si>
    <t>Hollow blocks</t>
  </si>
  <si>
    <t>Natural refuge and habitat</t>
  </si>
  <si>
    <t>Philippine Coast Guard</t>
  </si>
  <si>
    <t>PCG</t>
  </si>
  <si>
    <t>587 blocks</t>
  </si>
  <si>
    <t>Philippine Coast Guard South District Command; PCG Auxiliary 1306th Squadron</t>
  </si>
  <si>
    <t>Municipal DRR Office</t>
  </si>
  <si>
    <t>Philippine Coast Guard Auxiliary</t>
  </si>
  <si>
    <t>Partlow, M. J. (2018, September 26). "Build-a-Reef" brings back sea life in NegOr coastal town. Philippine News Agency. https://www.pna.gov.ph/articles/1049175</t>
  </si>
  <si>
    <t>https://www.pna.gov.ph/articles/1049175</t>
  </si>
  <si>
    <t>0335</t>
  </si>
  <si>
    <t>Zamboanga del Sur</t>
  </si>
  <si>
    <t>City of Pagadian</t>
  </si>
  <si>
    <t>PH097322000</t>
  </si>
  <si>
    <t>Build-A-Reef Program</t>
  </si>
  <si>
    <t>Abdkt Freedive Team Strong Scuba; JCI Greater Pagadian</t>
  </si>
  <si>
    <t>PCGA 312th Auxiliary Squadron (2021, February 15). Build a Reef program of 312th Squadron, in partnership with CGS Zamboanga del Sur, JCI Greater Pagadian, BFAR Zamboanga del [Status Update]. Facebook. https://web.facebook.com/people/PCGA-312th-Auxiliary-Squadron/100064379604303/?_rdc=1&amp;_rdr [Video removed]</t>
  </si>
  <si>
    <t>https://web.facebook.com/people/PCGA-312th-Auxiliary-Squadron/100064379604303/?_rdc=1&amp;_rdr</t>
  </si>
  <si>
    <t>0377</t>
  </si>
  <si>
    <t>Build-a-Reef Project</t>
  </si>
  <si>
    <t>Site inside MPAs in Brgy Vicente Hizon, Lanang and Brgy Centro</t>
  </si>
  <si>
    <t>Habitat for fish species; fish production</t>
  </si>
  <si>
    <t>Phoenix Philippines Foundation</t>
  </si>
  <si>
    <t>0.000077 ha</t>
  </si>
  <si>
    <t>30 units</t>
  </si>
  <si>
    <t>Phoenix helps save marine life through artificial reefs (2017, October 13). Phoenix Petroleum. https://www.phoenixfuels.ph/phoenix-helps-save-marine-life-through-artificial-reefs/</t>
  </si>
  <si>
    <t>https://www.phoenixfuels.ph/phoenix-helps-save-marine-life-through-artificial-reefs/</t>
  </si>
  <si>
    <t>0251</t>
  </si>
  <si>
    <t>Carles</t>
  </si>
  <si>
    <t>PH063014000</t>
  </si>
  <si>
    <t>Building Back Better</t>
  </si>
  <si>
    <t>Concrete jackstone</t>
  </si>
  <si>
    <t>Jackstone</t>
  </si>
  <si>
    <t>Reduce population declines and ecosystem degradation</t>
  </si>
  <si>
    <t>M4</t>
  </si>
  <si>
    <t>fish stock enhancement; fishing ground</t>
  </si>
  <si>
    <t>Christian Aid</t>
  </si>
  <si>
    <t>100 units</t>
  </si>
  <si>
    <t>Iloilo CODE of NGOs</t>
  </si>
  <si>
    <t>Bayas Maliog-liog Small Fisherfolks Association</t>
  </si>
  <si>
    <t>Lozada, D. (2016, September 4). "For the next generation": Iloilo's fishermen take lead in coastal management. Rappler. https://www.rappler.com/environment/disasters/145137-iloilo-fishermen-lead-coastal-management/</t>
  </si>
  <si>
    <t>https://www.rappler.com/moveph/145137-iloilo-fishermen-lead-coastal-management/</t>
  </si>
  <si>
    <t>lgucarlesiloilo@gmail.com</t>
  </si>
  <si>
    <t>0171</t>
  </si>
  <si>
    <t>Marinduque</t>
  </si>
  <si>
    <t>PH174005000</t>
  </si>
  <si>
    <t>Calancan Bay Rehabilitation Program</t>
  </si>
  <si>
    <t>Site in Calancay Bay</t>
  </si>
  <si>
    <t>Tires, Bamboo, Unspecified concrete structure</t>
  </si>
  <si>
    <t>tire modules, concrete modules bamboo modules</t>
  </si>
  <si>
    <t>Mitigate anticipated coral loss prior to a known disturbance, Promote coral reef conservation stewardship</t>
  </si>
  <si>
    <t>M3, M6</t>
  </si>
  <si>
    <t>Reduce the impact of mine tailings dumped in Calancalan Bay by a copper mining company; Sustained conservation and development of Calancan Bay and surrounding communities and processes and the improvement of overall environmental quality</t>
  </si>
  <si>
    <t>Mining company responsible for the mine tailing dumping</t>
  </si>
  <si>
    <t>848 TM; 1.134 concrete modules; 18 BM</t>
  </si>
  <si>
    <t>0275</t>
  </si>
  <si>
    <t>Badian</t>
  </si>
  <si>
    <t>PH072207000</t>
  </si>
  <si>
    <t>Central Visayas Regional Projects - 1</t>
  </si>
  <si>
    <t>Site in Brgy Bugas</t>
  </si>
  <si>
    <t>Pyramidal bamboo modules</t>
  </si>
  <si>
    <t>Coastal resource management</t>
  </si>
  <si>
    <t>World Bank</t>
  </si>
  <si>
    <t>Central Visayas Regional Projects I - Regional Project Office (RPO)</t>
  </si>
  <si>
    <t>NEDA</t>
  </si>
  <si>
    <t>LMP, FISH Project, WWF-Philippines and CI-Philippines (2009). Directory of CRM Learning Destinations in the Philippines, 2nd Edition. Cebu City Philippines. http://oneocean.org/download/db_files/directory_of_crm_destinations2Ed.pdf</t>
  </si>
  <si>
    <t>http://oneocean.org/download/db_files/directory_of_crm_destinations2Ed.pdf</t>
  </si>
  <si>
    <t>0438</t>
  </si>
  <si>
    <t>Siquijor</t>
  </si>
  <si>
    <t>Maria</t>
  </si>
  <si>
    <t>PH076104000</t>
  </si>
  <si>
    <t>Site in Candaping B MPA</t>
  </si>
  <si>
    <t>Central Visayas Regional Projects - I Regional Project Office (RPO)</t>
  </si>
  <si>
    <t>0461</t>
  </si>
  <si>
    <t>Site in Brgy Manduyong</t>
  </si>
  <si>
    <r>
      <rPr>
        <rFont val="Calibri"/>
        <sz val="12.0"/>
      </rPr>
      <t xml:space="preserve">LMP, FISH Project, WWF-Philippines and CI-Philippines (2009). Directory of CRM Learning Destinations in the Philippines, 2nd Edition. Cebu City Philippines. </t>
    </r>
    <r>
      <rPr>
        <rFont val="Calibri"/>
        <color rgb="FF1155CC"/>
        <sz val="12.0"/>
        <u/>
      </rPr>
      <t>http://oneocean.org/download/db_files/directory_of_crm_destinations2Ed.pdf</t>
    </r>
  </si>
  <si>
    <t>0462</t>
  </si>
  <si>
    <t>Site in Brgy Malhiao</t>
  </si>
  <si>
    <t>0463</t>
  </si>
  <si>
    <t>Site in Brgy Zaragosa</t>
  </si>
  <si>
    <t>0464</t>
  </si>
  <si>
    <t>Site in Brgy Lambug</t>
  </si>
  <si>
    <t>0465</t>
  </si>
  <si>
    <t>Site in Brgy Malabago</t>
  </si>
  <si>
    <t>0466</t>
  </si>
  <si>
    <t>Site in Brgy Bato</t>
  </si>
  <si>
    <t>0467</t>
  </si>
  <si>
    <t>Site in Brgy Hinablan</t>
  </si>
  <si>
    <t>0468</t>
  </si>
  <si>
    <t>Dauin</t>
  </si>
  <si>
    <t>PH074609000</t>
  </si>
  <si>
    <t>0231</t>
  </si>
  <si>
    <t>Code Blue</t>
  </si>
  <si>
    <t>Reefbuds</t>
  </si>
  <si>
    <t>Loren Legarda Foundation</t>
  </si>
  <si>
    <t>5000 units</t>
  </si>
  <si>
    <t>Dr. Harald Kremnitz; Boracay Assoc. of SCUBA diving schools</t>
  </si>
  <si>
    <t>Burgos, N. (2012, February 5). 5,000 "reefbuds" to repair Boracay's coral reef system. Philippine Daily Inquirer. https://newsinfo.inquirer.net/140121/5000-%E2%80%98reefbuds%E2%80%99-to-repair-boracay%E2%80%99s-coral-reef-system</t>
  </si>
  <si>
    <t xml:space="preserve">https://newsinfo.inquirer.net/140121/5000-%E2%80%98reefbuds%E2%80%99-to-repair-boracay%E2%80%99s-coral-reef-system; https://sites.google.com/a/islandecosystems.org/gics; </t>
  </si>
  <si>
    <t>0243</t>
  </si>
  <si>
    <t>Antique</t>
  </si>
  <si>
    <t>Culasi</t>
  </si>
  <si>
    <t>PH060606000</t>
  </si>
  <si>
    <t xml:space="preserve">Community Fishery Resources Management </t>
  </si>
  <si>
    <t xml:space="preserve">Site in Malalison Island </t>
  </si>
  <si>
    <t>Concretre modules (Beams and cylinders piled into reefs)</t>
  </si>
  <si>
    <t>Scientific Research, "Reestablish a self-sustaining, functioning reef ecosystem"</t>
  </si>
  <si>
    <t>M2, M7</t>
  </si>
  <si>
    <t>Experimental; Rehabilitation of fish and benthic communities</t>
  </si>
  <si>
    <t>31 modules</t>
  </si>
  <si>
    <t>Southeast Asian Fisheries Development Center (SEAFDEC) AQD</t>
  </si>
  <si>
    <t>R&amp;D Consortium</t>
  </si>
  <si>
    <t>Fisher's associations</t>
  </si>
  <si>
    <t>0287</t>
  </si>
  <si>
    <t>Conservation of Ocean Resources and Aquatic Life (C.O.R.A.L.)</t>
  </si>
  <si>
    <t>Site in Suba Basbas</t>
  </si>
  <si>
    <t>CORAL (n.d.). Conservation of Ocean's Resources &amp; Aquatic Life. Who We Are. http://www.coralmovement.org/</t>
  </si>
  <si>
    <t>http://www.coralmovement.org/</t>
  </si>
  <si>
    <t>0283</t>
  </si>
  <si>
    <t>Coral Farm Project</t>
  </si>
  <si>
    <t>Site in Caw-oy</t>
  </si>
  <si>
    <t>Bed-type CNU</t>
  </si>
  <si>
    <t>coral nursery units</t>
  </si>
  <si>
    <t>Nursery for coral fragments, maintain biodiversity and generate income for fisherfolk by marketing the farm-grown coral fragments for rehabilitation and ecotourism</t>
  </si>
  <si>
    <t>German Ministry of Environment facilitated by the Tropical Ecology Program of the
German Technical Cooperation</t>
  </si>
  <si>
    <t>2.00 ha</t>
  </si>
  <si>
    <t>275 CNUs/22,000 COPs</t>
  </si>
  <si>
    <t>University of San Carlos</t>
  </si>
  <si>
    <t>Private Academic Institutions</t>
  </si>
  <si>
    <t>CHED - Center for Development Fund</t>
  </si>
  <si>
    <t>Caw-oy Fisherfolks</t>
  </si>
  <si>
    <t>Book</t>
  </si>
  <si>
    <t>Heeger, T., &amp; Sotto, F. (2000). Coral farming: A tool for reef rehabilitation and community ecotourism. ResearchGate; Tropical Ecology Program of the German Technical Cooperation (GTZ- TOB).</t>
  </si>
  <si>
    <t>https://www.researchgate.net/publication/350049376_Coral_farming_A_tool_for_reef_rehabilitation_and_community_ecotourism</t>
  </si>
  <si>
    <t>0190</t>
  </si>
  <si>
    <t>Albay</t>
  </si>
  <si>
    <t>Santo Domingo</t>
  </si>
  <si>
    <t>PH050516000</t>
  </si>
  <si>
    <t>Coral Genesis Project</t>
  </si>
  <si>
    <t>Sites in Brgy San Vicente and Brgy Pandayan</t>
  </si>
  <si>
    <t>Artificial Reef, Mineral Accretion</t>
  </si>
  <si>
    <t>Concrete; micro solar panel implants</t>
  </si>
  <si>
    <r>
      <rPr>
        <rFont val="Calibri"/>
        <color rgb="FF000000"/>
        <sz val="12.0"/>
      </rPr>
      <t>Coral reef propagation and restoration;</t>
    </r>
    <r>
      <rPr>
        <rFont val="Calibri"/>
        <color rgb="FF000000"/>
        <sz val="12.0"/>
      </rPr>
      <t xml:space="preserve"> tourist attraction</t>
    </r>
  </si>
  <si>
    <t>JCI Legazpi</t>
  </si>
  <si>
    <t>65m long</t>
  </si>
  <si>
    <t>Philippine Navy; PCG</t>
  </si>
  <si>
    <t>Bicol SCUBA Divers Foundation</t>
  </si>
  <si>
    <t>Arguelles, M. (2013, August 7). Helping coral reefs with beads of faith. Philippine Daily Inquirer. https://newsinfo.inquirer.net/460845/helping-coral-reefs-with-beads-of-faith#ixzz5IKRlKWsE</t>
  </si>
  <si>
    <t>https://newsinfo.inquirer.net/460845/helping-coral-reefs-with-beads-of-faith#ixzz5IKRlKWsE</t>
  </si>
  <si>
    <t>0403</t>
  </si>
  <si>
    <t>Coral Reef Farm Project</t>
  </si>
  <si>
    <r>
      <rPr>
        <rFont val="Calibri"/>
        <color rgb="FF000000"/>
        <sz val="12.0"/>
      </rPr>
      <t xml:space="preserve">Site in Brgy Ipil MPA and </t>
    </r>
    <r>
      <rPr>
        <rFont val="Calibri"/>
        <color rgb="FF000000"/>
        <sz val="12.0"/>
      </rPr>
      <t>Brgy Mabua</t>
    </r>
  </si>
  <si>
    <t>Artificial Reef, Rubble Stabilisation</t>
  </si>
  <si>
    <t>Concrete cubic</t>
  </si>
  <si>
    <t>Concrete cubic; mesh</t>
  </si>
  <si>
    <t>Accelerate reef recovery post-disturbance</t>
  </si>
  <si>
    <t>M1</t>
  </si>
  <si>
    <t>Hasten reef development</t>
  </si>
  <si>
    <t>JCI Surigao Nickel</t>
  </si>
  <si>
    <t>1,700 units</t>
  </si>
  <si>
    <t>PCG District North Eastern Mindanao; CLGU; DENR; BFAR</t>
  </si>
  <si>
    <t>NewsLine Philippines (2021, July 2). Artificial reefs installed in protected waters of Surigao City. NewsLine Philippines: Building Information Highway for the Community.  https://newsline.ph/top-stories/2021/07/02/artificial-reefs-installed-in-protected-waters-in-surigao-city/</t>
  </si>
  <si>
    <r>
      <rPr>
        <rFont val="Calibri"/>
        <color rgb="FF000000"/>
        <sz val="12.0"/>
      </rPr>
      <t xml:space="preserve">https://web.facebook.com/jcisurigaonickel/posts/a-reef-for-life-a-dive-of-hopejci-surigao-nickel-in-partnership-with-other-jci-p/3308942349207324/?_rdc=1&amp;_rdr; </t>
    </r>
    <r>
      <rPr>
        <rFont val="Calibri"/>
        <color rgb="FF1155CC"/>
        <sz val="12.0"/>
        <u/>
      </rPr>
      <t>https://newsline.ph/artificial-reefs-installed-in-protected-waters-in-surigao-city/</t>
    </r>
  </si>
  <si>
    <t>0175</t>
  </si>
  <si>
    <t>Aborlan</t>
  </si>
  <si>
    <t>PH175301000</t>
  </si>
  <si>
    <t>Coral Reef Gardening Project 2023</t>
  </si>
  <si>
    <t>Site in Brgy Tigman</t>
  </si>
  <si>
    <t>Artificial Reef, Coral Gardening</t>
  </si>
  <si>
    <t>CNU; Coral domes and quadrats; transplantation</t>
  </si>
  <si>
    <t>Dr. Benjamin Gonzales</t>
  </si>
  <si>
    <t>Individual/Student Project</t>
  </si>
  <si>
    <t xml:space="preserve">B Gonzales Environmental Research and Management Consultancy </t>
  </si>
  <si>
    <t>Aborlan Tourism Office. (2024, August 10). On August 6, 2024, a team led by Dr. Benjamin Gonzales together with BGERMC in collaboration with MENRO and MAO [Status update]. Facebook. https://www.facebook.com/profile.php?id=61560256107542</t>
  </si>
  <si>
    <t>https://www.facebook.com/profile.php?id=61560256107542</t>
  </si>
  <si>
    <t>0043</t>
  </si>
  <si>
    <t>Coral Reef Habitat and Productivity Enhancement through Coral Transplantation and Giant Clam Restocking</t>
  </si>
  <si>
    <t>Direct Transplantation, Artificial Reef</t>
  </si>
  <si>
    <t>Giant Clam Restock</t>
  </si>
  <si>
    <t>Transplantation of corals (tying to marble chips) and reseeding of giant clams</t>
  </si>
  <si>
    <t>"Reestablish a self-sustaining, functioning reef ecosystem", Scientific Research</t>
  </si>
  <si>
    <t>Improve biodiversity and productivity of stressed coral reef habitats in 10 selected demonstration sites</t>
  </si>
  <si>
    <t>Pew Marine Conservation Fellowship</t>
  </si>
  <si>
    <t>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t>
  </si>
  <si>
    <t>https://aquadocs.org/bitstream/handle/1834/40478/GomezED2006.pdf?sequence=1&amp;isAllowed=y</t>
  </si>
  <si>
    <t>Dr. Patrick Cabaitan</t>
  </si>
  <si>
    <t>0049</t>
  </si>
  <si>
    <t>Site in Caniogan MPA</t>
  </si>
  <si>
    <t>Direct transplantation, Artificial Reef</t>
  </si>
  <si>
    <t xml:space="preserve">Transplantation of corals and reseeding of giant clams </t>
  </si>
  <si>
    <t>https://aquadocs.org/bitstream/handle/1834/40478/GomezED2006.pdf?sequence=1&amp;isAllowed=y; https://gefcoral.org/Portals/25/%20Appendix%20C%20-%20Cabaitan,Gomez,Ali%C3%B1o%202008%20JEMBE.pdf</t>
  </si>
  <si>
    <t>0103</t>
  </si>
  <si>
    <t>Masinloc</t>
  </si>
  <si>
    <t>PH037106000</t>
  </si>
  <si>
    <t>0141</t>
  </si>
  <si>
    <t>Alabat</t>
  </si>
  <si>
    <t>PH045602000</t>
  </si>
  <si>
    <t>0154</t>
  </si>
  <si>
    <t>PH045620000</t>
  </si>
  <si>
    <t xml:space="preserve">Transplantation of corals (attachment to introduced boulders) and reseeding of giant clams </t>
  </si>
  <si>
    <t>0259</t>
  </si>
  <si>
    <t>Tigbauan</t>
  </si>
  <si>
    <t>PH063045000</t>
  </si>
  <si>
    <t>0262</t>
  </si>
  <si>
    <t>Calape</t>
  </si>
  <si>
    <t>PH071210000</t>
  </si>
  <si>
    <t>0271</t>
  </si>
  <si>
    <t>Alcoy</t>
  </si>
  <si>
    <t>PH072202000</t>
  </si>
  <si>
    <t>0289</t>
  </si>
  <si>
    <t>0295</t>
  </si>
  <si>
    <t>San Francisco</t>
  </si>
  <si>
    <t>PH072242000</t>
  </si>
  <si>
    <t>Site in Camotes Island</t>
  </si>
  <si>
    <t>0301</t>
  </si>
  <si>
    <t>Lawaan</t>
  </si>
  <si>
    <t>PH082612000</t>
  </si>
  <si>
    <t>0351</t>
  </si>
  <si>
    <t>Misamis Occidental</t>
  </si>
  <si>
    <t>Sinacaban</t>
  </si>
  <si>
    <t>PH104214000</t>
  </si>
  <si>
    <t>0373</t>
  </si>
  <si>
    <t>Island Garden City of Samal</t>
  </si>
  <si>
    <t>PH112317000</t>
  </si>
  <si>
    <t>0412</t>
  </si>
  <si>
    <t>Cauayan</t>
  </si>
  <si>
    <t>PH064507000</t>
  </si>
  <si>
    <t>0424</t>
  </si>
  <si>
    <t>City of Dumaguete</t>
  </si>
  <si>
    <t>PH074610000</t>
  </si>
  <si>
    <t>0368</t>
  </si>
  <si>
    <t>Coral Reef Preservation and Restoration</t>
  </si>
  <si>
    <t>Site in Brgy Balet</t>
  </si>
  <si>
    <t>Pyramidal domes</t>
  </si>
  <si>
    <t>Restore and improve marine life</t>
  </si>
  <si>
    <t>Philippine Navy</t>
  </si>
  <si>
    <t>Philippine Navy Naval Forces Eastern Mindanao</t>
  </si>
  <si>
    <r>
      <rPr>
        <rFont val="Calibri"/>
        <color rgb="FF000000"/>
        <sz val="12.0"/>
      </rPr>
      <t xml:space="preserve">CLGU; </t>
    </r>
    <r>
      <rPr>
        <rFont val="Calibri"/>
        <color rgb="FF000000"/>
        <sz val="12.0"/>
      </rPr>
      <t>Civil Military Operations Unit - Eastern Mindanao; Naval Special Operations Unit 7</t>
    </r>
  </si>
  <si>
    <r>
      <rPr>
        <rFont val="Calibri"/>
        <color rgb="FF000000"/>
        <sz val="12.0"/>
      </rPr>
      <t xml:space="preserve">CMOU-Eastern Mindanao. (2019, August 25). 24 August 19 – The Naval Forces Eastern Mindanao (NFEM), Civil Military Operations Unit-Eastern Mindanao (CMOU-EM), Naval Operations Unit-7 [Status update] [Images attached]. Facebook. </t>
    </r>
    <r>
      <rPr>
        <rFont val="Calibri"/>
        <color rgb="FF1155CC"/>
        <sz val="12.0"/>
        <u/>
      </rPr>
      <t>https://web.facebook.com/CMOUEM2018/posts/1349837585154833</t>
    </r>
  </si>
  <si>
    <t>https://web.facebook.com/CMOUEM2018/posts/24-august-19-the-naval-forces-eastern-mindanao-nfem-civil-military-operations-un/1349837585154833/?_rdc=1&amp;_rdr</t>
  </si>
  <si>
    <t>0381</t>
  </si>
  <si>
    <t>Davao Oriental</t>
  </si>
  <si>
    <t>City of Mati</t>
  </si>
  <si>
    <t>PH112509000</t>
  </si>
  <si>
    <t>Coral Reef Regeneration Project</t>
  </si>
  <si>
    <t>Site in Brgy Bobon, Pujada Bay</t>
  </si>
  <si>
    <t>3D-printed clay brick, Unspecified concrete structure</t>
  </si>
  <si>
    <t>Concrete; 3D printed clay bricks</t>
  </si>
  <si>
    <t>Habitat for marine life</t>
  </si>
  <si>
    <t>Rethinking, Rebuilding, and Regenerating Coral Reefs (rrreefs)</t>
  </si>
  <si>
    <t>0.01 ha</t>
  </si>
  <si>
    <t>500 concrete base units; 820 3D-printed clay brick modules</t>
  </si>
  <si>
    <t>Davao Oriental State University - Regional Integrated Coastal Resource Management Center</t>
  </si>
  <si>
    <t>RRREEFS; Holcim Cement</t>
  </si>
  <si>
    <r>
      <rPr>
        <rFont val="Calibri"/>
        <color rgb="FF000000"/>
        <sz val="12.0"/>
      </rPr>
      <t xml:space="preserve">Relator, R. (2024, Mar. 12). Reef made of clay bricks put up in Mati City, Davao Oriental. </t>
    </r>
    <r>
      <rPr>
        <rFont val="Calibri"/>
        <i/>
        <color rgb="FF000000"/>
        <sz val="12.0"/>
      </rPr>
      <t>GMA Regional TV. https://www.gmanetwork.com/regionaltv/features/100891/reef-made-of-clay-bricks-put-up-in-mati-city-davao-oriental/story/</t>
    </r>
  </si>
  <si>
    <t>https://www.gmanetwork.com/regionaltv/features/100891/reef-made-of-clay-bricks-put-up-in-mati-city-davao-oriental/story/; https://www.sunstar.com.ph/davao/feature/holcim-supports-startup-rrreefs-in-restoring-coastal-areas-in-mati; https://www.facebook.com/maticitylgu/posts/look-marine-life-is-slowly-settling-in-the-artificial-reef-laid-down-by-several-/824622969706980/</t>
  </si>
  <si>
    <t>0072</t>
  </si>
  <si>
    <t>Coral Reef Targeted Research and Capacity Building for Management Program</t>
  </si>
  <si>
    <t>Site in Silaqui Island (N 16.4454167, E 119.92408333333334)</t>
  </si>
  <si>
    <t>CNU, Suspended nursery, Leg-fixed nursery</t>
  </si>
  <si>
    <r>
      <rPr>
        <rFont val="Calibri"/>
        <color rgb="FF000000"/>
        <sz val="12.0"/>
      </rPr>
      <t xml:space="preserve">CNU; </t>
    </r>
    <r>
      <rPr>
        <rFont val="Calibri"/>
        <color rgb="FF000000"/>
        <sz val="12.0"/>
      </rPr>
      <t>suspended nursery and leg-fixed nursery</t>
    </r>
    <r>
      <rPr>
        <rFont val="Calibri"/>
        <color rgb="FF000000"/>
        <sz val="12.0"/>
      </rPr>
      <t xml:space="preserve"> (plastic mesh and PVC pipe frames)</t>
    </r>
  </si>
  <si>
    <t>Research; Analyzed and compared survivorship, bleaching and growth rates of fragments between the different nurseries, species and genotypes</t>
  </si>
  <si>
    <t>Global Environment Facility / World Bank</t>
  </si>
  <si>
    <t>6,824 ramets</t>
  </si>
  <si>
    <t>European Union INCO-DEV Project</t>
  </si>
  <si>
    <t>Shaish, L., Levy, G., Gomez, E., &amp; Rinkevich, B. (2008). Fixed and suspended coral nurseries in the Philippines: Establishing the first step in the "gardening concept" of reef restoration. Journal of Experimental Marine Biology and Ecology, 358(1), 86-97. https://doi.org/10.1016/j.jembe.2008.01.024</t>
  </si>
  <si>
    <t>https://www.sciencedirect.com/science/article/abs/pii/S002209810800066X?via%3Dihub</t>
  </si>
  <si>
    <t>Lee Shaish</t>
  </si>
  <si>
    <t>lishaish@yahoo.com</t>
  </si>
  <si>
    <t>0073</t>
  </si>
  <si>
    <t>Site in Santiago Island (N 16.4454167, E 119.92408333333334)</t>
  </si>
  <si>
    <t>CNU; transplantation</t>
  </si>
  <si>
    <t>Research; Study the use of Montipora digitata coral species in restoration</t>
  </si>
  <si>
    <t>1,960 ramets</t>
  </si>
  <si>
    <t>University of Haifa</t>
  </si>
  <si>
    <t>Shaish, L., Levy, G., Katzir, G., &amp; Rinkevich, B. (2010). Employing a highly fragmented, weedy coral species in reef restoration. Ecological Engineering, 36(10), 1424-1432. https://doi.org/10.1016/j.ecoleng.2010.06.022</t>
  </si>
  <si>
    <t>https://www.sciencedirect.com/science/article/abs/pii/S092585741000176X</t>
  </si>
  <si>
    <t>0075</t>
  </si>
  <si>
    <t>Site in Silaqui Island and in Binabalian Labas</t>
  </si>
  <si>
    <t>Rope nursery</t>
  </si>
  <si>
    <t>Mid-water rope nursery; "fixed to bottom" rope nursery</t>
  </si>
  <si>
    <t>Research; Tested the design and performance of novel prototypes of floating nursery instruments</t>
  </si>
  <si>
    <t>1,200 coral fragments</t>
  </si>
  <si>
    <t>Levy, G., Shaish, L., Haim, A., &amp; Rinkevich, B. (2010). Mid-water rope nursery - testing design and performance of a novel reef restoration instrument. Ecological Engineering, 36(4), 560-569. https://doi.org/10.1016/j.ecoleng.2009.12.003</t>
  </si>
  <si>
    <t>https://www.sciencedirect.com/science/article/abs/pii/S0925857409003498</t>
  </si>
  <si>
    <t>Gideon Levy</t>
  </si>
  <si>
    <t>gidi.levi@gmail.com</t>
  </si>
  <si>
    <t>0081</t>
  </si>
  <si>
    <t>Site in Silaqui Island and Lucero</t>
  </si>
  <si>
    <t>Direct Transplantation, Coral Gardening</t>
  </si>
  <si>
    <t>Nubbin collection; coral nurseries; direct transplantation</t>
  </si>
  <si>
    <t>Research; Test gardening method vis a vis direct transplantation method</t>
  </si>
  <si>
    <t>360 COPs</t>
  </si>
  <si>
    <t>Dela Cruz, D. W., Rinkevich, B., Gomez, E. &amp; Yap, H. (2015). Assessing an abridged nursery phase for slow growing corals used in coral restoration. Ecological Engineering, 84, 408-415. https://doi.org/10.1016/j.ecoleng.2015.09.042</t>
  </si>
  <si>
    <t>https://www.researchgate.net/publication/282149376_Assessing_an_abridged_nursery_phase_for_slow_growing_corals_used_in_coral_restoration</t>
  </si>
  <si>
    <t>0074</t>
  </si>
  <si>
    <t>Site at a fringing reef site in the Malilnep channel (N 16°25′, E 119°56′)</t>
  </si>
  <si>
    <t>Larval settlement in fiber cement tiles; in-situ tile installation inside PVC mesh cages</t>
  </si>
  <si>
    <t>Research; Examine the effect of herbivore exclusion on the survival of 6-week old spat of Acropora tenuis</t>
  </si>
  <si>
    <t>120 tiles each with 20 coral spats</t>
  </si>
  <si>
    <r>
      <rPr>
        <rFont val="Calibri"/>
        <color rgb="FF000000"/>
        <sz val="12.0"/>
      </rPr>
      <t xml:space="preserve">European Union INCO-DEV Project; </t>
    </r>
    <r>
      <rPr>
        <rFont val="Calibri"/>
        <color rgb="FF000000"/>
        <sz val="12.0"/>
      </rPr>
      <t>Singapore Ministry of Education Academic Research Fund Tier 1 FRC</t>
    </r>
  </si>
  <si>
    <t>Baria, M. V., Guest, J. R., Edwards, A., Alino, P., Heyward, A. &amp; Gomez, E. (2010). Caging enhances post-settlement survival of juveniles of the scleractinian coral Acropora tenuis. Journal of Experimental Marine Biology and Ecology, 394, 149-153. DOI:10.1016/j.jembe.2010.08.003</t>
  </si>
  <si>
    <t>https://www.researchgate.net/publication/223475676_Caging_enhances_post-settlement_survival_of_juveniles_of_the_scleractinian_coral_Acropora_tenuis</t>
  </si>
  <si>
    <t>Dr. Maria Vanessa Baria Rodriguez</t>
  </si>
  <si>
    <t>0076</t>
  </si>
  <si>
    <t>Site at Binlab and Malilnep Ac</t>
  </si>
  <si>
    <t>Fragment collection; transplantation using epoxy clay</t>
  </si>
  <si>
    <r>
      <rPr>
        <rFont val="Calibri"/>
        <color rgb="FF000000"/>
        <sz val="12.0"/>
      </rPr>
      <t xml:space="preserve">Research; </t>
    </r>
    <r>
      <rPr>
        <rFont val="Calibri"/>
        <color rgb="FF000000"/>
        <sz val="12.0"/>
      </rPr>
      <t>Growth and survival of Montipora digitata during transplantation</t>
    </r>
    <r>
      <rPr>
        <rFont val="Calibri"/>
        <color rgb="FF000000"/>
        <sz val="12.0"/>
      </rPr>
      <t xml:space="preserve">; Restore a degraded lagoon environment; </t>
    </r>
  </si>
  <si>
    <t>Gomez, E., Yap, H. T., Cabaitan, P., &amp; Dizon, R. (2011). Successful Transplantation of a Fragmenting Coral, Montipora digitata, for Reef Rehabilitation. Coastal Management, 39(5), 556-574. https://doi.org/10.1080/08920753.2011.600240</t>
  </si>
  <si>
    <t>https://www.tandfonline.com/doi/abs/10.1080/08920753.2011.600240?journalCode=ucmg20</t>
  </si>
  <si>
    <t>Dr. H.T. Yap</t>
  </si>
  <si>
    <t>0080</t>
  </si>
  <si>
    <t xml:space="preserve">Site in Lucero MPA </t>
  </si>
  <si>
    <t>Coral plug-in</t>
  </si>
  <si>
    <r>
      <rPr>
        <rFont val="Calibri"/>
        <color rgb="FF000000"/>
        <sz val="12.0"/>
      </rPr>
      <t>Plastic wall plug</t>
    </r>
    <r>
      <rPr>
        <rFont val="Calibri"/>
        <color rgb="FF000000"/>
        <sz val="12.0"/>
      </rPr>
      <t xml:space="preserve"> "coral plug-in";</t>
    </r>
    <r>
      <rPr>
        <rFont val="Calibri"/>
        <color rgb="FF000000"/>
        <sz val="12.0"/>
      </rPr>
      <t xml:space="preserve"> in-situ installation cement and PVC mesh</t>
    </r>
  </si>
  <si>
    <t>Research; Develop a coral settlement substrate called "coral plug-in" to be used for rearing corals in nurseries and transplant directly to the reef</t>
  </si>
  <si>
    <t>150 plug-ins</t>
  </si>
  <si>
    <t>Guest, J., R., Baria, M. V., Gomez, E., Heyward, A. J., Edwards, A. J. (2014). Closing the circle: is it feasible to rehabilitate reefs with sexually propagated corals?. Coral Reefs, 33, 45-55. https://doi.org/10.1007/s00338-013-1114-1</t>
  </si>
  <si>
    <t>https://link.springer.com/article/10.1007/s00338-013-1114-1</t>
  </si>
  <si>
    <t>Dr. James Guest</t>
  </si>
  <si>
    <t>jrguest@gmail.com</t>
  </si>
  <si>
    <t>0226</t>
  </si>
  <si>
    <t>Coral REEFhabilitation Program</t>
  </si>
  <si>
    <t>Table/Frame Nursery</t>
  </si>
  <si>
    <t>Based on the image, COPs are placed on a coral nursery made up of PVC pipes as frames and green plastic mesh where COPs are placed</t>
  </si>
  <si>
    <t>Preservation of the island's watershed and waters</t>
  </si>
  <si>
    <t>Boracay Island Water Company</t>
  </si>
  <si>
    <t>Boracay Island Water Company; Boracay Business Scuba Diving Schools</t>
  </si>
  <si>
    <t>Boracay Island Water Company invests in marine life (2022, June 16). Manila Water. https://www.manilawater.com/corporate/boracay-water/agos/2022-06-16/boracay-island-water-company-invests-in-marine-life</t>
  </si>
  <si>
    <r>
      <rPr>
        <rFont val="Calibri"/>
        <color rgb="FF000000"/>
        <sz val="12.0"/>
        <u/>
      </rPr>
      <t>https://www.manilawater.com/corporate/boracay-water/agos/2022-06-16/boracay-island-water-company-invests-in-marine-life</t>
    </r>
    <r>
      <rPr>
        <rFont val="Calibri"/>
        <color rgb="FF000000"/>
        <sz val="12.0"/>
      </rPr>
      <t xml:space="preserve">; </t>
    </r>
    <r>
      <rPr>
        <rFont val="Calibri"/>
        <color rgb="FF1155CC"/>
        <sz val="12.0"/>
        <u/>
      </rPr>
      <t>https://journalnews.com.ph/boracay-island-water-company-invests-in-marine-life/</t>
    </r>
  </si>
  <si>
    <t>0198</t>
  </si>
  <si>
    <t>Camarines Sur</t>
  </si>
  <si>
    <t>Del Gallego</t>
  </si>
  <si>
    <t>PH051712000</t>
  </si>
  <si>
    <t>Coral Rehabilitation Project</t>
  </si>
  <si>
    <t>BFAR 5</t>
  </si>
  <si>
    <t>BFAR 5 Dive Team (2021, June 2). Experience Del Gallego. We are so grateful and thankful for the effort of people of Del Gallego who envolved and participated in the [Status Update]</t>
  </si>
  <si>
    <t>https://web.facebook.com/109393900941452/videos/836922833909809</t>
  </si>
  <si>
    <t>0420</t>
  </si>
  <si>
    <t>Coral Rescue Project</t>
  </si>
  <si>
    <t>Site in Atlantis Dive Resort</t>
  </si>
  <si>
    <t>Coral Tree Nursery</t>
  </si>
  <si>
    <t>coral nursery trees</t>
  </si>
  <si>
    <t>"Reestablish a self-sustaining, functioning reef ecosystem", Promote coral reef conservation stewardship, "Provide alternative, sustainable livelihood opportunities"</t>
  </si>
  <si>
    <t>Conservation; raising awareness; sustainability; tourism where divers can attach coral fragments</t>
  </si>
  <si>
    <t>Atlantis Dive Resorts</t>
  </si>
  <si>
    <r>
      <rPr>
        <rFont val="Calibri"/>
        <color rgb="FF000000"/>
        <sz val="12.0"/>
      </rPr>
      <t xml:space="preserve">Coral Restoration Foundation; </t>
    </r>
    <r>
      <rPr>
        <rFont val="Calibri"/>
        <color rgb="FF000000"/>
        <sz val="12.0"/>
      </rPr>
      <t>MEAD Foundation</t>
    </r>
  </si>
  <si>
    <t>ZuBlu (2022, February 22). Roni Ben-Aharon from Atlantis Dive Resorts and Liveaboards - An Ecoventure Liveaboard. https://www.zubludiving.com/articles/zublu-insights/roni-ben-aharon-from-atlantis-dive-resorts-and-liveaboards</t>
  </si>
  <si>
    <t>https://www.zubludiving.com/articles/zublu-insights/roni-ben-aharon-from-atlantis-dive-resorts-and-liveaboards</t>
  </si>
  <si>
    <t>0267</t>
  </si>
  <si>
    <t>Panglao</t>
  </si>
  <si>
    <t>PH071233000</t>
  </si>
  <si>
    <t>Coral Restoration Program in the Philippines</t>
  </si>
  <si>
    <t>Site in Brgy Danao</t>
  </si>
  <si>
    <t>Coral trees</t>
  </si>
  <si>
    <t>Restore natural reef system</t>
  </si>
  <si>
    <t xml:space="preserve">LoveLand Living Planet Aquarium </t>
  </si>
  <si>
    <t>Bureau of Fire Protection</t>
  </si>
  <si>
    <t>Haka Dive Center; Mead Foundation</t>
  </si>
  <si>
    <t>Haka Dive Center (2020, August 8). Coral Reef Restoration Program in the Philippines [Youtube]. https://www.youtube.com/watch?v=jkzZm4QyHDI</t>
  </si>
  <si>
    <t>https://www.youtube.com/watch?v=jkzZm4QyHDI</t>
  </si>
  <si>
    <t>0183</t>
  </si>
  <si>
    <t>San Fernando</t>
  </si>
  <si>
    <t>PH175913000</t>
  </si>
  <si>
    <t>Doydoy Artificial Reefs</t>
  </si>
  <si>
    <t>Sites found across all Brgys in the municipality</t>
  </si>
  <si>
    <t>Bamboo (shaped as triangle)</t>
  </si>
  <si>
    <r>
      <rPr>
        <rFont val="Calibri"/>
        <color rgb="FF000000"/>
        <sz val="12.0"/>
      </rPr>
      <t xml:space="preserve">Shelter and </t>
    </r>
    <r>
      <rPr>
        <rFont val="Calibri"/>
        <color rgb="FF000000"/>
        <sz val="12.0"/>
      </rPr>
      <t xml:space="preserve">breeding ground </t>
    </r>
    <r>
      <rPr>
        <rFont val="Calibri"/>
        <color rgb="FF000000"/>
        <sz val="12.0"/>
      </rPr>
      <t>for fish</t>
    </r>
  </si>
  <si>
    <t>PHP 10,000.00</t>
  </si>
  <si>
    <t>ABS-CBN Foundation</t>
  </si>
  <si>
    <t>Manzo, D. (2013, January 22). ABS-CBN Foundation pinangasiwaan ang paglagay ng artificial reefs sa LGU San Fernando. Philippine Information Agency MIMAROPA. https://pia4b.wordpress.com/2013/01/22/abs-cbn-foundation-pinangasiwaan-ang-paglagay-ng-artificial-reefs-sa-lgu-san-fernando/</t>
  </si>
  <si>
    <t>https://pia4b.wordpress.com/2013/01/22/abs-cbn-foundation-pinangasiwaan-ang-paglagay-ng-artificial-reefs-sa-lgu-san-fernando/</t>
  </si>
  <si>
    <t>Mayor Dindo Rios</t>
  </si>
  <si>
    <t>0363</t>
  </si>
  <si>
    <t>Duka Bay Carbon Cycle Laboratory</t>
  </si>
  <si>
    <t>Site inside Duka Bay MPA</t>
  </si>
  <si>
    <t>"Large coral clones"</t>
  </si>
  <si>
    <t>Scientific Research, Ecological engineering</t>
  </si>
  <si>
    <t>M7, M8</t>
  </si>
  <si>
    <t>Develop a transplantable coral technology</t>
  </si>
  <si>
    <t>Sustainable coral nurseries ensure future of Philippine coral reefs (2011, May 28). Eco-Business. https://www.eco-business.com/news/sustainable-coral-nurseries-ensure-future-of-philippine-coral-reefs/</t>
  </si>
  <si>
    <t>https://www.eco-business.com/news/sustainable-coral-nurseries-ensure-future-of-philippine-coral-reefs/</t>
  </si>
  <si>
    <t>0917 794 2759</t>
  </si>
  <si>
    <t>0026</t>
  </si>
  <si>
    <t>Caba</t>
  </si>
  <si>
    <t>PH013309000</t>
  </si>
  <si>
    <t>Ecosystems Improved for Sustainable Fisheries (ECOFISH) Project</t>
  </si>
  <si>
    <r>
      <rPr>
        <rFont val="Calibri"/>
        <color rgb="FF000000"/>
        <sz val="12.0"/>
      </rPr>
      <t xml:space="preserve">Facilitate </t>
    </r>
    <r>
      <rPr>
        <rFont val="Calibri"/>
        <color rgb="FF000000"/>
        <sz val="12.0"/>
      </rPr>
      <t>regeneration</t>
    </r>
    <r>
      <rPr>
        <rFont val="Calibri"/>
        <color rgb="FF000000"/>
        <sz val="12.0"/>
      </rPr>
      <t xml:space="preserve"> </t>
    </r>
    <r>
      <rPr>
        <rFont val="Calibri"/>
        <color rgb="FF000000"/>
        <sz val="12.0"/>
      </rPr>
      <t>of fish</t>
    </r>
    <r>
      <rPr>
        <rFont val="Calibri"/>
        <color rgb="FF000000"/>
        <sz val="12.0"/>
      </rPr>
      <t xml:space="preserve"> populations</t>
    </r>
  </si>
  <si>
    <t>USAID</t>
  </si>
  <si>
    <t>Government Report</t>
  </si>
  <si>
    <t>ECOFISH Project. (2015). Quarterly Progress Update, ECOFISH Document No. 01/2015. https://faspselib.denr.gov.ph/sites/default/files//Publication%20Files/ECOFISH%20Project%20Update.PDF.pdf</t>
  </si>
  <si>
    <t xml:space="preserve"> https://faspselib.denr.gov.ph/sites/default/files//Publication%20Files/ECOFISH%20Project%20Update.PDF.pdf</t>
  </si>
  <si>
    <t>0191</t>
  </si>
  <si>
    <t>City of Tabaco</t>
  </si>
  <si>
    <t>PH050517000</t>
  </si>
  <si>
    <t>Establishment of Coral Demonstration Site in San Miguel Island</t>
  </si>
  <si>
    <t>Site in San Miguel Island</t>
  </si>
  <si>
    <t>Bamboo raft</t>
  </si>
  <si>
    <t>Bamboo raft; hanging monoline</t>
  </si>
  <si>
    <t>Experimental; Viability of low technology and low cost methodologies in coral reef restoration</t>
  </si>
  <si>
    <t>Bicol University - Tabaco Campus</t>
  </si>
  <si>
    <t>Unpublished article</t>
  </si>
  <si>
    <t>Mendoza, A. B., Nieves, P., &amp; Kubota, S. (n.d.). Reef Coral Restoration Program in the Bicol Region, Philippines. https://kochi.repo.nii.ac.jp/?action=repository_action_common_download&amp;item_id=8640&amp;item_no=1&amp;attribute_id=17&amp;file_no=1</t>
  </si>
  <si>
    <t>https://kochi.repo.nii.ac.jp/?action=repository_action_common_download&amp;item_id=8640&amp;item_no=1&amp;attribute_id=17&amp;file_no=1</t>
  </si>
  <si>
    <t>0077</t>
  </si>
  <si>
    <t>Site in Silaqui Island (N 16.4459167, E 119.92394444444444)</t>
  </si>
  <si>
    <r>
      <rPr>
        <rFont val="Calibri"/>
        <color rgb="FF000000"/>
        <sz val="12.0"/>
      </rPr>
      <t xml:space="preserve">Coral transplantation; </t>
    </r>
    <r>
      <rPr>
        <rFont val="Calibri"/>
        <color rgb="FF000000"/>
        <sz val="12.0"/>
      </rPr>
      <t>Attachment to dead giant clam shells; frames made of PVC pipes and mesh, angle iron for anchor</t>
    </r>
  </si>
  <si>
    <r>
      <rPr>
        <rFont val="Calibri"/>
        <color rgb="FF000000"/>
        <sz val="12.0"/>
      </rPr>
      <t xml:space="preserve">Research; </t>
    </r>
    <r>
      <rPr>
        <rFont val="Calibri"/>
        <color rgb="FF000000"/>
        <sz val="12.0"/>
      </rPr>
      <t>Compare the self-attachment times of different coral species to natural calcium carbonate substrate</t>
    </r>
  </si>
  <si>
    <t>National University of Singapore</t>
  </si>
  <si>
    <t>GEF/WB Coral Reef Targeted Research</t>
  </si>
  <si>
    <t>Guest, J. R., Dizon, R., Edwards, A. J., Franco, C., &amp; Gomez, E. (2011). How Quickly do Fragments of Coral "Self-Attach" after Transplantation?. Restoration Ecology, 19(2), 234-242. https://doi.org/10.1111/j.1526-100X.2009.00562.x</t>
  </si>
  <si>
    <t>https://www.academia.edu/25026620/How_Quickly_do_Fragments_of_Coral_Self_Attach_after_Transplantation</t>
  </si>
  <si>
    <t>james.guest@nus.edu.sg</t>
  </si>
  <si>
    <t>0169</t>
  </si>
  <si>
    <t>Buenavista</t>
  </si>
  <si>
    <t>PH174002000</t>
  </si>
  <si>
    <t>Filipinnovation on Coral Reef Restoration</t>
  </si>
  <si>
    <t>Site in Poctoy</t>
  </si>
  <si>
    <t>CNU (steel bar table) that are designed to hold 500 COPs per batch several times a year</t>
  </si>
  <si>
    <t>"Reestablish a self-sustaining, functioning reef ecosystem", Mitigate anticipated coral loss prior to a known disturbance</t>
  </si>
  <si>
    <t>M2, M3</t>
  </si>
  <si>
    <t>Reverse reef degradation (from silitation and sedimentation along the coast) and improve productivity of marine resources</t>
  </si>
  <si>
    <t>DOST-MIMAROPA</t>
  </si>
  <si>
    <t>10 CNUs</t>
  </si>
  <si>
    <t>PLGU; BFAR; DENR; Marinduque State College</t>
  </si>
  <si>
    <t>local fishermen groups</t>
  </si>
  <si>
    <t>Luci-Atienza, C. (2021, June 25). "Filipinnovation": MIMAROPA's first large-scale coral restoration project already started. Manila Bulletin. https://mb.com.ph/2021/06/24/filipinnovation-mimaropas-first-large-scale-coral-restoration-project-already-started/</t>
  </si>
  <si>
    <t>https://mb.com.ph/2021/06/24/filipinnovation-mimaropas-first-large-scale-coral-restoration-project-already-started/</t>
  </si>
  <si>
    <t>0172</t>
  </si>
  <si>
    <t>Torrijos</t>
  </si>
  <si>
    <t>PH174006000</t>
  </si>
  <si>
    <t>Site in Tungib-Lipata MPA</t>
  </si>
  <si>
    <t>0212</t>
  </si>
  <si>
    <t>Masbate</t>
  </si>
  <si>
    <t>PH054118000</t>
  </si>
  <si>
    <t>Experimental; rehabilitate degraded coral reefs</t>
  </si>
  <si>
    <t>40 CNUs/18,000 COPs</t>
  </si>
  <si>
    <t>MFARMC</t>
  </si>
  <si>
    <t>DOST-PCAARRD (2013d). Project 4: Pilot Technology Demonstration on Coral Reef Restoration in Ticao, Island, Masbate.</t>
  </si>
  <si>
    <r>
      <rPr>
        <rFont val="Calibri"/>
        <color rgb="FF000000"/>
        <sz val="12.0"/>
      </rPr>
      <t xml:space="preserve">Report uploaded in the Google Drive: </t>
    </r>
    <r>
      <rPr>
        <rFont val="Calibri"/>
        <color rgb="FF1155CC"/>
        <sz val="12.0"/>
        <u/>
      </rPr>
      <t>https://drive.google.com/drive/folders/1mG8We-vs6MZP2ijJO3W1fRPBfuCIhp3z</t>
    </r>
  </si>
  <si>
    <t>0238</t>
  </si>
  <si>
    <t>Tangalan</t>
  </si>
  <si>
    <t>PH060417000</t>
  </si>
  <si>
    <t>CNU; coral transplantation</t>
  </si>
  <si>
    <t>Experimental; rehabilitate degraded reefs</t>
  </si>
  <si>
    <t>40 CNUs/11,944 COPs</t>
  </si>
  <si>
    <t>Aklan State University</t>
  </si>
  <si>
    <t>DOST-PCAARRD (2013e). Project 5-1: Pilot Technology Demonstration on Coral Reef Restoration in Tangalan, Aklan.</t>
  </si>
  <si>
    <r>
      <rPr>
        <rFont val="Calibri"/>
        <color rgb="FF000000"/>
        <sz val="12.0"/>
      </rPr>
      <t xml:space="preserve">Report uploaded in the Google Drive: </t>
    </r>
    <r>
      <rPr>
        <rFont val="Calibri"/>
        <color rgb="FF1155CC"/>
        <sz val="12.0"/>
        <u/>
      </rPr>
      <t>https://drive.google.com/drive/folders/1mG8We-vs6MZP2ijJO3W1fRPBfuCIhp3z</t>
    </r>
  </si>
  <si>
    <t>0089</t>
  </si>
  <si>
    <t>Aurora</t>
  </si>
  <si>
    <t>Baler</t>
  </si>
  <si>
    <t>PH037701000</t>
  </si>
  <si>
    <t>Coral reef management; technology demonstration; experimental</t>
  </si>
  <si>
    <t>12 CNUs/17,588 COPs</t>
  </si>
  <si>
    <t>Aurora State College of Technology</t>
  </si>
  <si>
    <t>DOST-PCAARRD (2013a). Project 1: Pilot Technology Demonstration on Coral Reef Restoration in Baler, Aurora.</t>
  </si>
  <si>
    <r>
      <rPr>
        <rFont val="Calibri"/>
        <color rgb="FF000000"/>
        <sz val="12.0"/>
      </rPr>
      <t xml:space="preserve">Report uploaded in the Google Drive: </t>
    </r>
    <r>
      <rPr>
        <rFont val="Calibri"/>
        <color rgb="FF1155CC"/>
        <sz val="12.0"/>
        <u/>
      </rPr>
      <t>https://drive.google.com/drive/folders/1mG8We-vs6MZP2ijJO3W1fRPBfuCIhp3z</t>
    </r>
  </si>
  <si>
    <t>0455</t>
  </si>
  <si>
    <t>Tawi-Tawi</t>
  </si>
  <si>
    <t>Bongao</t>
  </si>
  <si>
    <t>PH157002000</t>
  </si>
  <si>
    <t>Site in Bongao Channel</t>
  </si>
  <si>
    <t>Coral transplantation; CNU</t>
  </si>
  <si>
    <t>Establish technology pilot demonstration sites for coral nurseries</t>
  </si>
  <si>
    <t>35 CNUs/24,373 COPs</t>
  </si>
  <si>
    <t>Mindanao State University - Tawi-Tawi College of Technology and Oceanography</t>
  </si>
  <si>
    <t xml:space="preserve">MLGU; PGO Tawi Tawi; Philippine Coast Guard; </t>
  </si>
  <si>
    <t>University of San Carlos; Tawi-Tawi Divers Club; Tawi-Tawi Marine Research and Development Foundation</t>
  </si>
  <si>
    <t xml:space="preserve">DOST-PCAARRD (2013i). Project 8: Pilot Technology Demonstration on Coral Reef Restoration in Tawi-Tawi. </t>
  </si>
  <si>
    <r>
      <rPr>
        <rFont val="Calibri"/>
        <color rgb="FF000000"/>
        <sz val="12.0"/>
      </rPr>
      <t xml:space="preserve">Report uploaded in the Google Drive: </t>
    </r>
    <r>
      <rPr>
        <rFont val="Calibri"/>
        <color rgb="FF1155CC"/>
        <sz val="12.0"/>
        <u/>
      </rPr>
      <t>https://drive.google.com/drive/folders/1mG8We-vs6MZP2ijJO3W1fRPBfuCIhp3z</t>
    </r>
  </si>
  <si>
    <t>0456</t>
  </si>
  <si>
    <t>Panglima Sugala</t>
  </si>
  <si>
    <t>PH157001000</t>
  </si>
  <si>
    <t>Site in Kulape MPA and Brgy Boan MPA</t>
  </si>
  <si>
    <t>4 CNUs/2,625 COPs</t>
  </si>
  <si>
    <r>
      <rPr>
        <rFont val="Calibri"/>
        <color rgb="FF000000"/>
        <sz val="12.0"/>
      </rPr>
      <t xml:space="preserve">Report uploaded in the Google Drive: </t>
    </r>
    <r>
      <rPr>
        <rFont val="Calibri"/>
        <color rgb="FF1155CC"/>
        <sz val="12.0"/>
        <u/>
      </rPr>
      <t>https://drive.google.com/drive/folders/1mG8We-vs6MZP2ijJO3W1fRPBfuCIhp3z</t>
    </r>
  </si>
  <si>
    <t>0457</t>
  </si>
  <si>
    <t>Sibutu</t>
  </si>
  <si>
    <t>PH157011000</t>
  </si>
  <si>
    <t>Site near pier and Tando Owak</t>
  </si>
  <si>
    <t>4 CNUs/3,264 COPs</t>
  </si>
  <si>
    <r>
      <rPr>
        <rFont val="Calibri"/>
        <color rgb="FF000000"/>
        <sz val="12.0"/>
      </rPr>
      <t xml:space="preserve">Report uploaded in the Google Drive: </t>
    </r>
    <r>
      <rPr>
        <rFont val="Calibri"/>
        <color rgb="FF1155CC"/>
        <sz val="12.0"/>
        <u/>
      </rPr>
      <t>https://drive.google.com/drive/folders/1mG8We-vs6MZP2ijJO3W1fRPBfuCIhp3z</t>
    </r>
  </si>
  <si>
    <t>0458</t>
  </si>
  <si>
    <t>Simunul</t>
  </si>
  <si>
    <t>PH157004000</t>
  </si>
  <si>
    <t>Site in Tunggosong MPA</t>
  </si>
  <si>
    <t>4 CNUs/2,432 COPs</t>
  </si>
  <si>
    <r>
      <rPr>
        <rFont val="Calibri"/>
        <color rgb="FF000000"/>
        <sz val="12.0"/>
      </rPr>
      <t xml:space="preserve">Report uploaded in the Google Drive: </t>
    </r>
    <r>
      <rPr>
        <rFont val="Calibri"/>
        <color rgb="FF1155CC"/>
        <sz val="12.0"/>
        <u/>
      </rPr>
      <t>https://drive.google.com/drive/folders/1mG8We-vs6MZP2ijJO3W1fRPBfuCIhp3z</t>
    </r>
  </si>
  <si>
    <t>0459</t>
  </si>
  <si>
    <t>Sitangkai</t>
  </si>
  <si>
    <t>PH157005000</t>
  </si>
  <si>
    <t>Site in the buffer zone of North Lagoon MPA</t>
  </si>
  <si>
    <t>Ecological engineering, Scientific Research</t>
  </si>
  <si>
    <t>1 CNU/1,480 COPs</t>
  </si>
  <si>
    <r>
      <rPr>
        <rFont val="Calibri"/>
        <color rgb="FF000000"/>
        <sz val="12.0"/>
      </rPr>
      <t xml:space="preserve">Report uploaded in the Google Drive: </t>
    </r>
    <r>
      <rPr>
        <rFont val="Calibri"/>
        <color rgb="FF1155CC"/>
        <sz val="12.0"/>
        <u/>
      </rPr>
      <t>https://drive.google.com/drive/folders/1mG8We-vs6MZP2ijJO3W1fRPBfuCIhp3z</t>
    </r>
  </si>
  <si>
    <t>0126</t>
  </si>
  <si>
    <t>Mabini</t>
  </si>
  <si>
    <t>PH041016000</t>
  </si>
  <si>
    <t>Site in front of Pier Uno Dive Resort, Halo Dive Resort and PNP Maritime Institute</t>
  </si>
  <si>
    <t>22 CNUs/11,088 coral fragments</t>
  </si>
  <si>
    <t>Batangas State University</t>
  </si>
  <si>
    <t>DOST-PCAARRD (2013c). Project 3: Pilot Technology Demonstration on Coral Reef Restoration in Laiya, San Juan and Anilao, Mabini, Batangas.</t>
  </si>
  <si>
    <r>
      <rPr>
        <rFont val="Calibri"/>
        <color rgb="FF000000"/>
        <sz val="12.0"/>
      </rPr>
      <t xml:space="preserve">Report uploaded in the Google Drive: </t>
    </r>
    <r>
      <rPr>
        <rFont val="Calibri"/>
        <color rgb="FF1155CC"/>
        <sz val="12.0"/>
        <u/>
      </rPr>
      <t>https://drive.google.com/drive/folders/1mG8We-vs6MZP2ijJO3W1fRPBfuCIhp3z</t>
    </r>
  </si>
  <si>
    <t>0136</t>
  </si>
  <si>
    <t>Site in front of Palm Beach Resort and La Luz Beach Resort</t>
  </si>
  <si>
    <t>40 CNUs/22,160 coral fragments</t>
  </si>
  <si>
    <r>
      <rPr>
        <rFont val="Calibri"/>
        <color rgb="FF000000"/>
        <sz val="12.0"/>
      </rPr>
      <t xml:space="preserve">Report uploaded in the Google Drive: </t>
    </r>
    <r>
      <rPr>
        <rFont val="Calibri"/>
        <color rgb="FF1155CC"/>
        <sz val="12.0"/>
        <u/>
      </rPr>
      <t>https://drive.google.com/drive/folders/1mG8We-vs6MZP2ijJO3W1fRPBfuCIhp3z</t>
    </r>
  </si>
  <si>
    <t>0232</t>
  </si>
  <si>
    <t>36 CNUs/12,998 COPs</t>
  </si>
  <si>
    <t>DOST-PCAARRD (2013f). Project 5-2: Pilot Technology Demonstration on Coral Reef Restoration in Boracay Island, Aklan.</t>
  </si>
  <si>
    <r>
      <rPr>
        <rFont val="Calibri"/>
        <color rgb="FF000000"/>
        <sz val="12.0"/>
      </rPr>
      <t xml:space="preserve">Report uploaded in the Google Drive: </t>
    </r>
    <r>
      <rPr>
        <rFont val="Calibri"/>
        <color rgb="FF1155CC"/>
        <sz val="12.0"/>
        <u/>
      </rPr>
      <t>https://drive.google.com/drive/folders/1mG8We-vs6MZP2ijJO3W1fRPBfuCIhp3z</t>
    </r>
  </si>
  <si>
    <t>0323</t>
  </si>
  <si>
    <t>Southern Leyte</t>
  </si>
  <si>
    <t>Padre Burgos</t>
  </si>
  <si>
    <t>PH086410000</t>
  </si>
  <si>
    <t>CNU; Coral transplantation</t>
  </si>
  <si>
    <t>40 CNUs/20,000 COPs</t>
  </si>
  <si>
    <t>MLGU; Southern Leyte State University</t>
  </si>
  <si>
    <t>Sogod Bay SCUBA Resort</t>
  </si>
  <si>
    <t>DOST-PCAARRD (2013h). Project 7: Pilot Technology Demonstration on Coral Reef Restoration in Padre Burgos, Southern Leyte.</t>
  </si>
  <si>
    <r>
      <rPr>
        <rFont val="Calibri"/>
        <color rgb="FF000000"/>
        <sz val="12.0"/>
      </rPr>
      <t xml:space="preserve">Report uploaded in the Google Drive: </t>
    </r>
    <r>
      <rPr>
        <rFont val="Calibri"/>
        <color rgb="FF1155CC"/>
        <sz val="12.0"/>
        <u/>
      </rPr>
      <t>https://drive.google.com/drive/folders/1mG8We-vs6MZP2ijJO3W1fRPBfuCIhp3z</t>
    </r>
  </si>
  <si>
    <t>Dr. Filipina Sotto</t>
  </si>
  <si>
    <t>arpee55@yahoo.com</t>
  </si>
  <si>
    <t>0090</t>
  </si>
  <si>
    <t>Bataan</t>
  </si>
  <si>
    <t>Bagac</t>
  </si>
  <si>
    <t>PH030802000</t>
  </si>
  <si>
    <t>10 CNUs/22,000 COPs</t>
  </si>
  <si>
    <t>Bataan Peninsula State University</t>
  </si>
  <si>
    <t>DOST-PCAARRD (2013b). Project 2: Pilot Technology Demonstration on Coral Nursery Units Management in Bagac, Bataan and Subic, Zambales, Philippines.</t>
  </si>
  <si>
    <r>
      <rPr>
        <rFont val="Calibri"/>
        <color rgb="FF000000"/>
        <sz val="12.0"/>
      </rPr>
      <t xml:space="preserve">Report uploaded in the Google Drive: </t>
    </r>
    <r>
      <rPr>
        <rFont val="Calibri"/>
        <color rgb="FF1155CC"/>
        <sz val="12.0"/>
        <u/>
      </rPr>
      <t>https://drive.google.com/drive/folders/1mG8We-vs6MZP2ijJO3W1fRPBfuCIhp3z</t>
    </r>
  </si>
  <si>
    <t>0106</t>
  </si>
  <si>
    <t>Subic</t>
  </si>
  <si>
    <t>PH037114000</t>
  </si>
  <si>
    <r>
      <rPr>
        <rFont val="Calibri"/>
        <color rgb="FF000000"/>
        <sz val="12.0"/>
      </rPr>
      <t xml:space="preserve">DOST-PCAARRD (2013b). </t>
    </r>
    <r>
      <rPr>
        <rFont val="Calibri"/>
        <i/>
        <color rgb="FF000000"/>
        <sz val="12.0"/>
      </rPr>
      <t>Project 2: Pilot Technology Demonstration on Coral Nursery Units Management in Bagac, Bataan and Subic, Zambales, Philippines.</t>
    </r>
  </si>
  <si>
    <r>
      <rPr>
        <rFont val="Calibri"/>
        <color rgb="FF000000"/>
        <sz val="12.0"/>
      </rPr>
      <t xml:space="preserve">Report uploaded in the Google Drive: </t>
    </r>
    <r>
      <rPr>
        <rFont val="Calibri"/>
        <color rgb="FF1155CC"/>
        <sz val="12.0"/>
        <u/>
      </rPr>
      <t>https://drive.google.com/drive/folders/1mG8We-vs6MZP2ijJO3W1fRPBfuCIhp3z</t>
    </r>
  </si>
  <si>
    <t>0239</t>
  </si>
  <si>
    <t>Anini-y</t>
  </si>
  <si>
    <t>PH060601000</t>
  </si>
  <si>
    <t>12 CNUs/30,710 COPs</t>
  </si>
  <si>
    <t>Philippine Army</t>
  </si>
  <si>
    <t xml:space="preserve">DOST-PCAARRD. (n.d.). DOST-PCAARRD National Corals Rehabilitation Program Briefer Report.  </t>
  </si>
  <si>
    <r>
      <rPr>
        <rFont val="Calibri"/>
        <color rgb="FF000000"/>
        <sz val="12.0"/>
      </rPr>
      <t xml:space="preserve">Report uploaded in the Google Drive: </t>
    </r>
    <r>
      <rPr>
        <rFont val="Calibri"/>
        <color rgb="FF1155CC"/>
        <sz val="12.0"/>
        <u/>
      </rPr>
      <t>https://drive.google.com/drive/folders/1mG8We-vs6MZP2ijJO3W1fRPBfuCIhp3z</t>
    </r>
  </si>
  <si>
    <t>0265</t>
  </si>
  <si>
    <t>40 CNUs/40,000 COPs</t>
  </si>
  <si>
    <t>DOST-PCAARRD (2013g). Project 6: Pilot Technology Demonstration on Coral Reef Restoration in Panglao, Bohol.</t>
  </si>
  <si>
    <r>
      <rPr>
        <rFont val="Calibri"/>
        <color rgb="FF000000"/>
        <sz val="12.0"/>
      </rPr>
      <t xml:space="preserve">Report uploaded in the Google Drive: </t>
    </r>
    <r>
      <rPr>
        <rFont val="Calibri"/>
        <color rgb="FF1155CC"/>
        <sz val="12.0"/>
        <u/>
      </rPr>
      <t>https://drive.google.com/drive/folders/1mG8We-vs6MZP2ijJO3W1fRPBfuCIhp3z</t>
    </r>
  </si>
  <si>
    <t>0444</t>
  </si>
  <si>
    <t>Datu Blah T. Sinsuat</t>
  </si>
  <si>
    <t>PH153830000</t>
  </si>
  <si>
    <t>FishCORAL</t>
  </si>
  <si>
    <t>Sites in Brgy Matuber</t>
  </si>
  <si>
    <t>Restore degraded coral reefs; Enhance density and abundance of fish</t>
  </si>
  <si>
    <t>MAFAR</t>
  </si>
  <si>
    <t>Government - RGA</t>
  </si>
  <si>
    <t>Ministry of Agriculture, Fisheries and Agrarian Reform</t>
  </si>
  <si>
    <t>MAFAR Provincial Office; MLGU</t>
  </si>
  <si>
    <t>Ministry of Agriculture, Fisheries and Agrarian Reform - BARMM (2021, Jul. 11). Monitoring of deployed coral nursery units (CNU) of FishCORAL MAFAR in Maguindanao. https://www.facebook.com/mafar.bangsamoro/posts/monitoring-of-deployed-coral-nursery-units-cnu-of-fishcoral-mafar-in-maguindanao/1003835920443233/</t>
  </si>
  <si>
    <t>https://www.facebook.com/mafar.bangsamoro/posts/monitoring-of-deployed-coral-nursery-units-cnu-of-fishcoral-mafar-in-maguindanao/1003835920443233/</t>
  </si>
  <si>
    <t>0445</t>
  </si>
  <si>
    <t>Site in Brgy Pura</t>
  </si>
  <si>
    <t>0446</t>
  </si>
  <si>
    <t>Site in Brgy Lapaken</t>
  </si>
  <si>
    <t>Reduce population declines and ecosystem degradation, "Reestablish a self-sustaining, functioning reef ecosystem"</t>
  </si>
  <si>
    <t>0201</t>
  </si>
  <si>
    <t>Pasacao</t>
  </si>
  <si>
    <t>PH051727000</t>
  </si>
  <si>
    <t>Reduce poverty in coastal communities; increase household incomes through sustainable resource management; implement community-based enterprises.</t>
  </si>
  <si>
    <t>International Fund for Agricultural Development</t>
  </si>
  <si>
    <t>37 units</t>
  </si>
  <si>
    <t>MLGU; PNP</t>
  </si>
  <si>
    <t>BFAR (2020). Fisheries, Coastal Resources and Livelihood Project (FishCORAL) Annual Progress Report Year 2020. https://www.bfar.da.gov.ph/wp-content/uploads/2022/05/FishCORAL-Project-Annual-Report-2020.pdf</t>
  </si>
  <si>
    <t>https://www.bfar.da.gov.ph/wp-content/uploads/2022/05/FishCORAL-Project-Annual-Report-2020.pdf</t>
  </si>
  <si>
    <t>0439</t>
  </si>
  <si>
    <t>Basilan</t>
  </si>
  <si>
    <t>Hadji Muhtamad</t>
  </si>
  <si>
    <t>PH150712000</t>
  </si>
  <si>
    <t>40 units</t>
  </si>
  <si>
    <t>0440</t>
  </si>
  <si>
    <t>Lantawan</t>
  </si>
  <si>
    <t>PH150703000</t>
  </si>
  <si>
    <t>Site in Brgy Paniongan</t>
  </si>
  <si>
    <t>160 units</t>
  </si>
  <si>
    <t>Possibly there is another coral reef restoration work in the same brgy but deployed 60 units</t>
  </si>
  <si>
    <t>0441</t>
  </si>
  <si>
    <t>Site in Brgy Calayan</t>
  </si>
  <si>
    <t>68 units</t>
  </si>
  <si>
    <t>0442</t>
  </si>
  <si>
    <t>Tabuan-Lasa</t>
  </si>
  <si>
    <t>PH150713000</t>
  </si>
  <si>
    <t>Site in Brgy Lanawan Proper</t>
  </si>
  <si>
    <t>80 units</t>
  </si>
  <si>
    <t>0449</t>
  </si>
  <si>
    <t>Site in Brgy Kidama</t>
  </si>
  <si>
    <t>187 units</t>
  </si>
  <si>
    <t>0450</t>
  </si>
  <si>
    <t>Parang</t>
  </si>
  <si>
    <t>PH153811000</t>
  </si>
  <si>
    <t>Site in Brgy Magsaysay</t>
  </si>
  <si>
    <t>Unspecified</t>
  </si>
  <si>
    <t>Coral gardening</t>
  </si>
  <si>
    <t>11 CNUs</t>
  </si>
  <si>
    <t>0470</t>
  </si>
  <si>
    <t>60 units</t>
  </si>
  <si>
    <t>0245</t>
  </si>
  <si>
    <t>Capiz</t>
  </si>
  <si>
    <t>Sapi-An</t>
  </si>
  <si>
    <t>PH061915000</t>
  </si>
  <si>
    <t>Fisheries Resource Management Project</t>
  </si>
  <si>
    <t>Site in Sapian Bay located in the buffer zone of Sapian Bay MPA</t>
  </si>
  <si>
    <t>Recover fish resources; deterrence against trawlers</t>
  </si>
  <si>
    <t>ADB, Japan Bank for International Cooperation</t>
  </si>
  <si>
    <t>64 units</t>
  </si>
  <si>
    <t>Watanuki, N., &amp; Gonzales, B. (2006). The Potential of Artificial Reefs as Fisheries Management Tools in Developing Countries. Bulletin of Marine Science, 78(1), 9-19. https://pkp-new.pcsd.gov.ph/the-potential-of-artificial-reefs-as-fisheries-management-tools-in-developing-countries/</t>
  </si>
  <si>
    <t>https://www.researchgate.net/publication/233680292_The_potential_of_artificial_reefs_as_fisheries_management_tools_in_developing_countries</t>
  </si>
  <si>
    <t>0093</t>
  </si>
  <si>
    <t>Mariveles</t>
  </si>
  <si>
    <t>PH030807000</t>
  </si>
  <si>
    <t>Fisheries Sector Program</t>
  </si>
  <si>
    <t>Bamboo, Tires, Unspecified concrete structure</t>
  </si>
  <si>
    <t>Bamboo modules, tire modules, concrete modules</t>
  </si>
  <si>
    <t>Fishing and rehabilitation</t>
  </si>
  <si>
    <t xml:space="preserve">ADB, Overseas Economic Cooperation Fund of Japan </t>
  </si>
  <si>
    <t>45 BM; 7,472 TM; 455 concrete modules (shared across project: Fisheries Sector Program)</t>
  </si>
  <si>
    <t>BFAR; DENR; DILG; MLGU</t>
  </si>
  <si>
    <t xml:space="preserve">For the material used, it was not specified which municipality employed which type of material; rather the source material just indictated that these were the type of material used for municipalities under the projet </t>
  </si>
  <si>
    <t>0135</t>
  </si>
  <si>
    <t>0138</t>
  </si>
  <si>
    <t>Cavite</t>
  </si>
  <si>
    <t>Maragondon</t>
  </si>
  <si>
    <t>PH042113000</t>
  </si>
  <si>
    <t>0140</t>
  </si>
  <si>
    <t>Agdangan</t>
  </si>
  <si>
    <t>PH045601000</t>
  </si>
  <si>
    <t>0146</t>
  </si>
  <si>
    <t>Site in Manhulugin</t>
  </si>
  <si>
    <t>0147</t>
  </si>
  <si>
    <t>Site in Dominlog</t>
  </si>
  <si>
    <t>0148</t>
  </si>
  <si>
    <t>Site in Balibago</t>
  </si>
  <si>
    <t>0149</t>
  </si>
  <si>
    <t>Site in Pinagbayanan</t>
  </si>
  <si>
    <t>0150</t>
  </si>
  <si>
    <t>Site in Pinagsakayan</t>
  </si>
  <si>
    <t>0151</t>
  </si>
  <si>
    <t>Site in Atulayan</t>
  </si>
  <si>
    <t>0152</t>
  </si>
  <si>
    <t>General Luna</t>
  </si>
  <si>
    <t>PH045616000</t>
  </si>
  <si>
    <t>0156</t>
  </si>
  <si>
    <t>City of Lucena</t>
  </si>
  <si>
    <t>PH045624000</t>
  </si>
  <si>
    <t>Site stated as Mayao Castillo</t>
  </si>
  <si>
    <t>0157</t>
  </si>
  <si>
    <t>Site in Barra</t>
  </si>
  <si>
    <t>0158</t>
  </si>
  <si>
    <t>Macalelon</t>
  </si>
  <si>
    <t>PH045625000</t>
  </si>
  <si>
    <t>0159</t>
  </si>
  <si>
    <t>Perez</t>
  </si>
  <si>
    <t>PH045633000</t>
  </si>
  <si>
    <t>Site in Pinagtubigan East</t>
  </si>
  <si>
    <t>0160</t>
  </si>
  <si>
    <t>Site in Pinagtubigan West</t>
  </si>
  <si>
    <t>0161</t>
  </si>
  <si>
    <t>Site in Mainit Sur</t>
  </si>
  <si>
    <t>0162</t>
  </si>
  <si>
    <t>Site in Gordon</t>
  </si>
  <si>
    <t>0163</t>
  </si>
  <si>
    <t>Pitogo</t>
  </si>
  <si>
    <t>PH045634000</t>
  </si>
  <si>
    <t>0165</t>
  </si>
  <si>
    <t>PH045637000</t>
  </si>
  <si>
    <t>Site in Quezon</t>
  </si>
  <si>
    <t>0166</t>
  </si>
  <si>
    <t>Site in Villa Mercedes</t>
  </si>
  <si>
    <t>0167</t>
  </si>
  <si>
    <t>Tagkawayan</t>
  </si>
  <si>
    <t>PH045646000</t>
  </si>
  <si>
    <t>0168</t>
  </si>
  <si>
    <t>Unisan</t>
  </si>
  <si>
    <t>PH045649000</t>
  </si>
  <si>
    <t>0192</t>
  </si>
  <si>
    <t>Tiwi</t>
  </si>
  <si>
    <t>PH050518000</t>
  </si>
  <si>
    <t>0195</t>
  </si>
  <si>
    <t>Camarines Norte</t>
  </si>
  <si>
    <t>Mercedes</t>
  </si>
  <si>
    <t>PH051607000</t>
  </si>
  <si>
    <t>Site in Quinapaguian Island</t>
  </si>
  <si>
    <t>0199</t>
  </si>
  <si>
    <t>0203</t>
  </si>
  <si>
    <t>Sagñay</t>
  </si>
  <si>
    <t>PH051731000</t>
  </si>
  <si>
    <t>Site in Sibaguan</t>
  </si>
  <si>
    <t>0205</t>
  </si>
  <si>
    <t>Siruma</t>
  </si>
  <si>
    <t>PH051735000</t>
  </si>
  <si>
    <t>Site in Sapinitan Bay</t>
  </si>
  <si>
    <t>0207</t>
  </si>
  <si>
    <t>Catanduanes</t>
  </si>
  <si>
    <t>San Andres</t>
  </si>
  <si>
    <t>PH052008000</t>
  </si>
  <si>
    <t>Site in Cabcab</t>
  </si>
  <si>
    <t>0307</t>
  </si>
  <si>
    <t>Albuera</t>
  </si>
  <si>
    <t>PH083703000</t>
  </si>
  <si>
    <t>0308</t>
  </si>
  <si>
    <t>Babatngon</t>
  </si>
  <si>
    <t>PH083705000</t>
  </si>
  <si>
    <t>0309</t>
  </si>
  <si>
    <t>Site in Bacong</t>
  </si>
  <si>
    <t>0311</t>
  </si>
  <si>
    <t>Capoocan</t>
  </si>
  <si>
    <t>PH083714000</t>
  </si>
  <si>
    <t>Site in Balud</t>
  </si>
  <si>
    <t>0313</t>
  </si>
  <si>
    <t>Site in Naugisan</t>
  </si>
  <si>
    <t>0314</t>
  </si>
  <si>
    <t>Site in Guindapunan East</t>
  </si>
  <si>
    <t>0315</t>
  </si>
  <si>
    <t>PH083729000</t>
  </si>
  <si>
    <t>Site in Maanda</t>
  </si>
  <si>
    <t>0316</t>
  </si>
  <si>
    <t>Ormoc City</t>
  </si>
  <si>
    <t>PH083738000</t>
  </si>
  <si>
    <t>Site in Ipil</t>
  </si>
  <si>
    <t>0317</t>
  </si>
  <si>
    <t>Palo</t>
  </si>
  <si>
    <t>PH083739000</t>
  </si>
  <si>
    <t>Site in Baras</t>
  </si>
  <si>
    <t>0318</t>
  </si>
  <si>
    <t>City of Tacloban</t>
  </si>
  <si>
    <t>PH083747000</t>
  </si>
  <si>
    <t>0329</t>
  </si>
  <si>
    <t>Sogod</t>
  </si>
  <si>
    <t>PH086417000</t>
  </si>
  <si>
    <t>0346</t>
  </si>
  <si>
    <t>Maigo</t>
  </si>
  <si>
    <t>PH103512000</t>
  </si>
  <si>
    <t>0347</t>
  </si>
  <si>
    <t>Site in Sogapod</t>
  </si>
  <si>
    <t>0348</t>
  </si>
  <si>
    <t>Clarin</t>
  </si>
  <si>
    <t>PH104205000</t>
  </si>
  <si>
    <t>0349</t>
  </si>
  <si>
    <t>City of Ozamiz</t>
  </si>
  <si>
    <t>PH104210000</t>
  </si>
  <si>
    <t>Site in San Antonio</t>
  </si>
  <si>
    <t>0062</t>
  </si>
  <si>
    <r>
      <rPr>
        <rFont val="Calibri"/>
        <color rgb="FF000000"/>
        <sz val="12.0"/>
      </rPr>
      <t xml:space="preserve">Site at </t>
    </r>
    <r>
      <rPr>
        <rFont val="Calibri"/>
        <color rgb="FF000000"/>
        <sz val="12.0"/>
      </rPr>
      <t xml:space="preserve">Lucero Reef Flat, </t>
    </r>
    <r>
      <rPr>
        <rFont val="Calibri"/>
        <color rgb="FF000000"/>
        <sz val="12.0"/>
      </rPr>
      <t>Santiago Island</t>
    </r>
  </si>
  <si>
    <t>Coral transplantation to metal grids installed to flat, bare patches in the seabed</t>
  </si>
  <si>
    <r>
      <rPr>
        <rFont val="Calibri"/>
        <color rgb="FF000000"/>
        <sz val="12.0"/>
      </rPr>
      <t xml:space="preserve">Research; </t>
    </r>
    <r>
      <rPr>
        <rFont val="Calibri"/>
        <color rgb="FF000000"/>
        <sz val="12.0"/>
      </rPr>
      <t>Determine growth and mortality of transplants of two species of scleractinian corals</t>
    </r>
  </si>
  <si>
    <t>Fisheries Sector Program of DA</t>
  </si>
  <si>
    <t>Yap, H. T., Alvarez, R. M., Custodio III, H. M., &amp; Dizon, R. (1998). Physiological and ecological aspects of coral transplantation. Journal of Experimental Marine Biology and Ecology, 229(1), 69-84. https://doi.org/10.1016/S0022-0981(98)00041-0</t>
  </si>
  <si>
    <t>https://www.sciencedirect.com/science/article/abs/pii/S0022098198000410?via%3Dihub</t>
  </si>
  <si>
    <t>Is it also an artificial reef and coral gardening?</t>
  </si>
  <si>
    <t>0337</t>
  </si>
  <si>
    <t>City of Zamboanga</t>
  </si>
  <si>
    <t>PH097332000</t>
  </si>
  <si>
    <t>Great Santa Cruz Island Coral Reef Restoration Project</t>
  </si>
  <si>
    <t>Site in Great Sta. Cruz Island</t>
  </si>
  <si>
    <t>Concrete slabs formed into a pyramid</t>
  </si>
  <si>
    <t>Protect natural resources</t>
  </si>
  <si>
    <t>Philippine Navy Naval Forces Western Mindanao (NAVFORWEM)</t>
  </si>
  <si>
    <t>10 units</t>
  </si>
  <si>
    <t xml:space="preserve">CLGU; PAMU (Philippine Army Major Unit); ZCSMST (Zamboanga State College of Marine Science and Technology); DENR </t>
  </si>
  <si>
    <r>
      <rPr>
        <rFont val="Calibri"/>
        <color rgb="FF000000"/>
        <sz val="12.0"/>
      </rPr>
      <t xml:space="preserve">RPN. (2020, November 16). Navy Frogmen laid artificial coral reefs to protect Pink Sand Sta. Cruz Island in Zamboanga. RPN Radio. </t>
    </r>
    <r>
      <rPr>
        <rFont val="Calibri"/>
        <color rgb="FF1155CC"/>
        <sz val="12.0"/>
        <u/>
      </rPr>
      <t>https://rpnradio.com/navy-frogmen-laid-artificial-coral-reefs-to-protect-pink-sand-sta-cruz-island-in-zamboanga/</t>
    </r>
  </si>
  <si>
    <t>https://rpnradio.com/navy-frogmen-laid-artificial-coral-reefs-to-protect-pink-sand-sta-cruz-island-in-zamboanga/</t>
  </si>
  <si>
    <t>Mayor Beng Climaco</t>
  </si>
  <si>
    <t>0272</t>
  </si>
  <si>
    <t>Alegria</t>
  </si>
  <si>
    <t>PH072203000</t>
  </si>
  <si>
    <t>Guardians of Alegria</t>
  </si>
  <si>
    <t>Site in Alegria Dive Resort</t>
  </si>
  <si>
    <t>Concrete statue, Concrete sculpture</t>
  </si>
  <si>
    <t>sculpture; statues</t>
  </si>
  <si>
    <t>7 units</t>
  </si>
  <si>
    <t>Vivaldo, E. (2020, November 10). Unravelling the mystery of the underwater statues of Alegria. Medium. https://elenavivaldo.medium.com/unravelling-the-mystery-of-the-underwater-statues-of-alegria-1e4b79be8bb2</t>
  </si>
  <si>
    <t>https://elenavivaldo.medium.com/unravelling-the-mystery-of-the-underwater-statues-of-alegria-1e4b79be8bb2; https://www.youtube.com/watch?v=TSbFpQUdSAE</t>
  </si>
  <si>
    <t>0300</t>
  </si>
  <si>
    <t>Guiuan</t>
  </si>
  <si>
    <t>PH082609000</t>
  </si>
  <si>
    <t>Habitat Enhancement Project: Bagonbanua Marine Reserve and Fish Sanctuary</t>
  </si>
  <si>
    <t>Scientific Research, "Provide alternative, sustainable livelihood opportunities"</t>
  </si>
  <si>
    <t>M5, M7</t>
  </si>
  <si>
    <t>Experimental; Support coastal/municipal fisheries</t>
  </si>
  <si>
    <t>Foundation for the Philippine Environment</t>
  </si>
  <si>
    <t>Guiuan Development Foundation Inc. (GDFI)</t>
  </si>
  <si>
    <t>Margarita de la Cruz</t>
  </si>
  <si>
    <t>cruzmarge2003@yahoo.com ; 09189295852</t>
  </si>
  <si>
    <t>0353</t>
  </si>
  <si>
    <t>City of Cagayan De Oro</t>
  </si>
  <si>
    <t>PH104305000</t>
  </si>
  <si>
    <t>House for Nemo: An Artificial Coral Reef Deployment Project</t>
  </si>
  <si>
    <t>Site near Bayabas Marine Sanctuary</t>
  </si>
  <si>
    <t>Metal/Wreck</t>
  </si>
  <si>
    <t>Rebars</t>
  </si>
  <si>
    <t>Rotaract Club of West CDO</t>
  </si>
  <si>
    <t>20 units</t>
  </si>
  <si>
    <t>Agricultural Productivity Operations Office; PNP Maritime</t>
  </si>
  <si>
    <t>AB Engineering and Allied Services; Inner Wheel</t>
  </si>
  <si>
    <t>Agricultural Productivity Operations Office - Cagayan de Oro. (2021, January 24). ICYMI. The video highlights of the House of Nemo: The Artificial Coral Reef Deployment Project by the Rotaract Club of West [Video attached] [Status update]. Facebook. https://web.facebook.com/CityAgricultureCDO/posts/1818126778356518/</t>
  </si>
  <si>
    <t>https://web.facebook.com/CityAgricultureCDO/posts/1818126778356518/?paipv=0&amp;eav=AfZRQmJgGSI0L2g9U65jABSY00S9bkGu4Mij9M1M--6CIMfEuumw-Pv07pQ30DTpugs&amp;_rdc=1&amp;_rdr</t>
  </si>
  <si>
    <t>0022</t>
  </si>
  <si>
    <t>Balaoan</t>
  </si>
  <si>
    <t>PH013305000</t>
  </si>
  <si>
    <t>Installation of Artificial Reef (AR) to Harness Potential of Balaoan, La Union Underwater Tourism and Improved Coral Reef Productivity</t>
  </si>
  <si>
    <t>Site in coastal area in front of the Fisheries Research and Training Institute (FRTI)</t>
  </si>
  <si>
    <t>"Reestablish a self-sustaining, functioning reef ecosystem", Promote coral reef conservation stewardship, "Provide alternative, sustainable livelihood opportunities", Scientific Research, Mitigate anticipated coral loss prior to a known disturbance</t>
  </si>
  <si>
    <t>M2, M6, M5, M7, M3</t>
  </si>
  <si>
    <t>Enhance coral reef for improved growth of the coastal flora and fauna; to create habitat for variety of marine life, to increase awareness of the local community on the importance and protection of natural resources, to promote tourist spot for divers and snorkelers, and to serve as research area for fisheries and marine biologist;  sustaining the good condition of the coral reefs and in rehabilitating and protecting the degraded coral reefs in the area from further abuse</t>
  </si>
  <si>
    <t>Rotary Club of San Fernando</t>
  </si>
  <si>
    <t>Don Mariano Marcos Memorial State University - Institute of Environmental Studies and Fisheries Research and Training Institute</t>
  </si>
  <si>
    <t>Ocean Deep Diving Training Center; Inner Wheel Club of San Fernando; La Union</t>
  </si>
  <si>
    <t>Viduya, M. (2021). 7 artificial reefs installed in coastal areas along FRTI</t>
  </si>
  <si>
    <t>https://www.dmmmsu.edu.ph/2021/12/08/7-artificial-reefs-installed-in-coastal-area-along-frti/</t>
  </si>
  <si>
    <t>Dr. Andie John Tadeo</t>
  </si>
  <si>
    <t>agriculture@balaoanlaunion.gov.ph; (072) 607 0011; balaoan_2517@gmail.com; omm@balaoanlaunion.gov.ph; (072) 607 0069; balaoan_2517@yahoo.com.ph</t>
  </si>
  <si>
    <t>The logo on their poster explicitly highlights the Rotary Club as the main organizer, while the other organizations are just partners; confused about the fund_type.</t>
  </si>
  <si>
    <t>0375</t>
  </si>
  <si>
    <t>Integrated Management for Sustainable Environmental Approach to Coastal and Underwater Resources Program (IMSEACURE)</t>
  </si>
  <si>
    <t>Site inside 22-ha MPA in Tagum</t>
  </si>
  <si>
    <t>Food security; fish productivity</t>
  </si>
  <si>
    <t>3,000 units</t>
  </si>
  <si>
    <t>City of Government of Tagum (2019, November 1). Let Mayor Allan Rellon take you to the 22-hectare Marine Protected Area of Tagum which is brimming with underwater life [Status Update] [Video attached]. Facebook. https://mobile.facebook.com/watch/?v=381675062720602&amp;paipv=0&amp;eav=AfYwcIL9NxwTN4aCbErewJy7tTD3nrufxoQ6KHefWVVRdYsV3q7dl44iSGOHSXvUCgs&amp;_rdr</t>
  </si>
  <si>
    <t>https://mobile.facebook.com/watch/?v=381675062720602&amp;paipv=0&amp;eav=AfYwcIL9NxwTN4aCbErewJy7tTD3nrufxoQ6KHefWVVRdYsV3q7dl44iSGOHSXvUCgs&amp;_rdr</t>
  </si>
  <si>
    <t>0293</t>
  </si>
  <si>
    <t>Oslob</t>
  </si>
  <si>
    <t>PH072235000</t>
  </si>
  <si>
    <t>KALAHI-CIDSS</t>
  </si>
  <si>
    <t>Site inside Gawi Marine Sanctuary</t>
  </si>
  <si>
    <t>Concrete pyramid, Concrete roundtable</t>
  </si>
  <si>
    <t>pyramid, round table</t>
  </si>
  <si>
    <t>Post-disaster rehabilitation</t>
  </si>
  <si>
    <t>DSWD</t>
  </si>
  <si>
    <t>PHP 881,800.00</t>
  </si>
  <si>
    <t>8.25 ha</t>
  </si>
  <si>
    <t>72 pyramid units; 220 round tables</t>
  </si>
  <si>
    <t>Kalahi-CIDSS DSWD</t>
  </si>
  <si>
    <t>Blue Thumb</t>
  </si>
  <si>
    <t>Gawi Fisherfolk Assoc.</t>
  </si>
  <si>
    <t>Community project under DSWD revives marine ecosystem battered by typhoons (2023, March 27). Journal Online. https://journal.com.ph/community-project-under-dswd-revives-marine-ecosystem-battered-by-typhoons/</t>
  </si>
  <si>
    <t>https://journal.com.ph/community-project-under-dswd-revives-marine-ecosystem-battered-by-typhoons/</t>
  </si>
  <si>
    <t>0246</t>
  </si>
  <si>
    <t>Ajuy</t>
  </si>
  <si>
    <t>PH063001000</t>
  </si>
  <si>
    <t>150 units</t>
  </si>
  <si>
    <t>Nasidman Island Fisherfolks</t>
  </si>
  <si>
    <t>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t>
  </si>
  <si>
    <t>https://kalahi.dswd.gov.ph/press/downloads/category/58-old-iec-materials?download=322:tayo-na-tayo-na-disaster-resiliency-compendium</t>
  </si>
  <si>
    <t>0221</t>
  </si>
  <si>
    <r>
      <rPr>
        <rFont val="Calibri"/>
        <color rgb="FF000000"/>
        <sz val="12.0"/>
      </rPr>
      <t xml:space="preserve">Address </t>
    </r>
    <r>
      <rPr>
        <rFont val="Calibri"/>
        <color rgb="FF000000"/>
        <sz val="12.0"/>
      </rPr>
      <t>destructive fishing</t>
    </r>
    <r>
      <rPr>
        <rFont val="Calibri"/>
        <color rgb="FF000000"/>
        <sz val="12.0"/>
      </rPr>
      <t xml:space="preserve"> and </t>
    </r>
    <r>
      <rPr>
        <rFont val="Calibri"/>
        <color rgb="FF000000"/>
        <sz val="12.0"/>
      </rPr>
      <t>declining fish catch</t>
    </r>
    <r>
      <rPr>
        <rFont val="Calibri"/>
        <color rgb="FF000000"/>
        <sz val="12.0"/>
      </rPr>
      <t xml:space="preserve">; </t>
    </r>
    <r>
      <rPr>
        <rFont val="Calibri"/>
        <color rgb="FF000000"/>
        <sz val="12.0"/>
      </rPr>
      <t>Fish stock enhancement;</t>
    </r>
    <r>
      <rPr>
        <rFont val="Calibri"/>
        <color rgb="FF000000"/>
        <sz val="12.0"/>
      </rPr>
      <t xml:space="preserve"> fishing ground; </t>
    </r>
  </si>
  <si>
    <t>DSWD Kalahi-CIDSS - Millenium Challenge Corporation</t>
  </si>
  <si>
    <t>San Isidro Fisherfolks</t>
  </si>
  <si>
    <t>https://kalahi.dswd.gov.ph/press/downloads/category/58-old-iec-materials?download=322:tayo-na-tayo-na-disaster-resiliency-compendium; https://fo6.dswd.gov.ph/2014/05/kalahi-cidss-reaps-biodiversity-award/</t>
  </si>
  <si>
    <t>0249</t>
  </si>
  <si>
    <t>Barotac Viejo</t>
  </si>
  <si>
    <t>PH063008000</t>
  </si>
  <si>
    <t>Site in Nueva Sevilla</t>
  </si>
  <si>
    <t>Asian Development Bank. (2012). The Kalahi-CIDSS project in the Philippines: Sharing knowledge on community-driven development. https://www.adb.org/sites/default/files/publication/29878/kalahi-cidss-project-philippines.pdf</t>
  </si>
  <si>
    <t>https://www.adb.org/sites/default/files/publication/29878/kalahi-cidss-project-philippines.pdf</t>
  </si>
  <si>
    <t>0184</t>
  </si>
  <si>
    <t>Bacacay</t>
  </si>
  <si>
    <t>PH050501000</t>
  </si>
  <si>
    <t>Kaligkasan sa Karagatan</t>
  </si>
  <si>
    <t>Site in Brgy Uson</t>
  </si>
  <si>
    <r>
      <rPr>
        <rFont val="Calibri"/>
        <color rgb="FF000000"/>
        <sz val="12.0"/>
      </rPr>
      <t>Community awareness and protection</t>
    </r>
    <r>
      <rPr>
        <rFont val="Calibri"/>
        <color rgb="FF000000"/>
        <sz val="12.0"/>
      </rPr>
      <t xml:space="preserve"> of coral reefs</t>
    </r>
  </si>
  <si>
    <t>Municipal PNP</t>
  </si>
  <si>
    <t>PNP</t>
  </si>
  <si>
    <t>3 CNUs</t>
  </si>
  <si>
    <t xml:space="preserve">Calipay, C. (2022, April 5). Cops lead mangrove reforestation, coral restoration in Albay. Philippine News Agency. https://www.pna.gov.ph/articles/1171451 </t>
  </si>
  <si>
    <t>https://www.pna.gov.ph/articles/1171451</t>
  </si>
  <si>
    <t>0021</t>
  </si>
  <si>
    <t>Bacnotan</t>
  </si>
  <si>
    <t>PH013303000</t>
  </si>
  <si>
    <t>La Union #KalikasanNaman Campaign</t>
  </si>
  <si>
    <r>
      <rPr>
        <rFont val="Calibri"/>
        <color rgb="FF000000"/>
        <sz val="12.0"/>
      </rPr>
      <t xml:space="preserve">Promote </t>
    </r>
    <r>
      <rPr>
        <rFont val="Calibri"/>
        <color rgb="FF000000"/>
        <sz val="12.0"/>
      </rPr>
      <t>ecological integrity</t>
    </r>
    <r>
      <rPr>
        <rFont val="Calibri"/>
        <color rgb="FF000000"/>
        <sz val="12.0"/>
      </rPr>
      <t xml:space="preserve"> and clean and healthy environment</t>
    </r>
  </si>
  <si>
    <t>70 units (shared across project: La Union #KalikasanNaman Campaign)</t>
  </si>
  <si>
    <t>DENR; PG-ENRO; OPA; PDRRMO; Office of the Provincial Agriculturist - Fishery Division</t>
  </si>
  <si>
    <t>Bantay Dagat</t>
  </si>
  <si>
    <t>Libong, G. (2021, May 5). La Union sustains living shorelines; Deploys artificial reefs</t>
  </si>
  <si>
    <t>https://amiananbalitangayon.com/la-union-sustains-living-shorelines-deploys-artificial-reefs/</t>
  </si>
  <si>
    <t>The article mentions that over 445 AR units have already been installed across LU since 2020.</t>
  </si>
  <si>
    <t>0023</t>
  </si>
  <si>
    <r>
      <rPr>
        <rFont val="Calibri"/>
        <color rgb="FF000000"/>
        <sz val="12.0"/>
      </rPr>
      <t xml:space="preserve">Promote </t>
    </r>
    <r>
      <rPr>
        <rFont val="Calibri"/>
        <color rgb="FF000000"/>
        <sz val="12.0"/>
      </rPr>
      <t>ecological integrity</t>
    </r>
    <r>
      <rPr>
        <rFont val="Calibri"/>
        <color rgb="FF000000"/>
        <sz val="12.0"/>
      </rPr>
      <t xml:space="preserve"> and clean and healthy environment</t>
    </r>
  </si>
  <si>
    <t>0030</t>
  </si>
  <si>
    <t>PH013316000</t>
  </si>
  <si>
    <t>Promote ecological integrity and clean and healthy environment</t>
  </si>
  <si>
    <t>0085</t>
  </si>
  <si>
    <t>Lingayen</t>
  </si>
  <si>
    <t>PH015522000</t>
  </si>
  <si>
    <t>Lingayen Fish Sanctuary</t>
  </si>
  <si>
    <t>Site in Lingayen Fish Sanctuary</t>
  </si>
  <si>
    <t>Concrete articifial reef</t>
  </si>
  <si>
    <r>
      <rPr>
        <rFont val="Calibri"/>
        <color rgb="FF000000"/>
        <sz val="12.0"/>
      </rPr>
      <t xml:space="preserve">Creation of MPA; </t>
    </r>
    <r>
      <rPr>
        <rFont val="Calibri"/>
        <color rgb="FF000000"/>
        <sz val="12.0"/>
      </rPr>
      <t>Boost the marine ecosystem and increase local fish catch</t>
    </r>
  </si>
  <si>
    <t>BFAR; PLGU</t>
  </si>
  <si>
    <r>
      <rPr>
        <rFont val="Calibri"/>
        <color rgb="FF000000"/>
        <sz val="12.0"/>
      </rPr>
      <t xml:space="preserve">Pasiliao, J. J. (2022, Mar 7). Artificial reefs, watch tower in coastal Pangasinan town launched. </t>
    </r>
    <r>
      <rPr>
        <rFont val="Calibri"/>
        <i/>
        <color rgb="FF000000"/>
        <sz val="12.0"/>
      </rPr>
      <t>Manila Bulletin. https://mb.com.ph/2022/3/7/artificial-reefs-watch-tower-in-coastal-pangasinan-town-launched</t>
    </r>
  </si>
  <si>
    <t>https://mb.com.ph/2022/3/7/artificial-reefs-watch-tower-in-coastal-pangasinan-town-launched</t>
  </si>
  <si>
    <t>0366</t>
  </si>
  <si>
    <t>National Coral Reef Management Conservation Program</t>
  </si>
  <si>
    <t>Tires, Concrete cube, Concrete pyramid</t>
  </si>
  <si>
    <t>Concrete cube and pyramidal modules Scrap tire modules</t>
  </si>
  <si>
    <t>PCAMRRD (which is now under DOST-PCAAARD)</t>
  </si>
  <si>
    <t>PCAMRD</t>
  </si>
  <si>
    <t>Samal Island Development Foundation</t>
  </si>
  <si>
    <t>PCAMRD is initially an indepent agency but was then consolidated with PCAARD to form as PCAARRD under DOST in 2012</t>
  </si>
  <si>
    <t>0204</t>
  </si>
  <si>
    <t>San Jose</t>
  </si>
  <si>
    <t>PH051733000</t>
  </si>
  <si>
    <t>PCAMRD is initially an indepent agency but was then consolidated with PCAARD to form as PCAARRD under DOST in 2011</t>
  </si>
  <si>
    <t>0413</t>
  </si>
  <si>
    <t>City of Sagay</t>
  </si>
  <si>
    <t>PH064523000</t>
  </si>
  <si>
    <t>PCAMRRD</t>
  </si>
  <si>
    <t>PCAMRD is initially an indepent agency but was then consolidated with PCAARD to form as PCAARRD under DOST in 2013</t>
  </si>
  <si>
    <t>0460</t>
  </si>
  <si>
    <t>Site in Ulugan Bay</t>
  </si>
  <si>
    <t>Concrete, Hybrid</t>
  </si>
  <si>
    <t>Palawan National Agricultural College-Regional Institute of Fisheries Technology</t>
  </si>
  <si>
    <t>PCAMRD is initially an indepent agency but was then consolidated with PCAARD to form as PCAARRD under DOST in 2014</t>
  </si>
  <si>
    <t>0004</t>
  </si>
  <si>
    <t>Pagudpud</t>
  </si>
  <si>
    <t>PH012815000</t>
  </si>
  <si>
    <t>National Coral Reef Rehabilitation Roll-Out Program</t>
  </si>
  <si>
    <r>
      <rPr>
        <rFont val="Calibri"/>
        <color rgb="FF000000"/>
        <sz val="12.0"/>
      </rPr>
      <t xml:space="preserve">Reef restoration; field </t>
    </r>
    <r>
      <rPr>
        <rFont val="Calibri"/>
        <color rgb="FF000000"/>
        <sz val="12.0"/>
      </rPr>
      <t>testing</t>
    </r>
    <r>
      <rPr>
        <rFont val="Calibri"/>
        <color rgb="FF000000"/>
        <sz val="12.0"/>
      </rPr>
      <t xml:space="preserve"> and innovating coral restoration techniques</t>
    </r>
  </si>
  <si>
    <t>10 CNUs/8,000 COPs</t>
  </si>
  <si>
    <t>Mariano Marcos State University</t>
  </si>
  <si>
    <r>
      <rPr>
        <rFont val="Calibri"/>
        <color rgb="FF000000"/>
        <sz val="12.0"/>
      </rPr>
      <t xml:space="preserve">Report uploaded in the Google Drive: </t>
    </r>
    <r>
      <rPr>
        <rFont val="Calibri"/>
        <color rgb="FF1155CC"/>
        <sz val="12.0"/>
        <u/>
      </rPr>
      <t>https://drive.google.com/drive/folders/1mG8We-vs6MZP2ijJO3W1fRPBfuCIhp3z</t>
    </r>
  </si>
  <si>
    <t>0388</t>
  </si>
  <si>
    <t>Kiamba</t>
  </si>
  <si>
    <t>PH128003000</t>
  </si>
  <si>
    <t>Site in Tuka Marine Park</t>
  </si>
  <si>
    <t>10 CNUs/30,000 COPs</t>
  </si>
  <si>
    <t>Mindanao State University - General Santos City</t>
  </si>
  <si>
    <t>PLGU; DOT; PNP</t>
  </si>
  <si>
    <t>Rotary Zamboanga North</t>
  </si>
  <si>
    <r>
      <rPr>
        <rFont val="Calibri"/>
        <color rgb="FF000000"/>
        <sz val="12.0"/>
      </rPr>
      <t xml:space="preserve">Report uploaded in the Google Drive: </t>
    </r>
    <r>
      <rPr>
        <rFont val="Calibri"/>
        <color rgb="FF1155CC"/>
        <sz val="12.0"/>
        <u/>
      </rPr>
      <t>https://drive.google.com/drive/folders/1mG8We-vs6MZP2ijJO3W1fRPBfuCIhp3z</t>
    </r>
  </si>
  <si>
    <t>0040</t>
  </si>
  <si>
    <t>10 CNUs/10,000 COPs</t>
  </si>
  <si>
    <t>Pangasinan State University</t>
  </si>
  <si>
    <t>Protected Area Management Board - Hundred Islands National Park</t>
  </si>
  <si>
    <r>
      <rPr>
        <rFont val="Calibri"/>
        <color rgb="FF000000"/>
        <sz val="12.0"/>
      </rPr>
      <t xml:space="preserve">Report uploaded in the Google Drive: </t>
    </r>
    <r>
      <rPr>
        <rFont val="Calibri"/>
        <color rgb="FF1155CC"/>
        <sz val="12.0"/>
        <u/>
      </rPr>
      <t>https://drive.google.com/drive/folders/1mG8We-vs6MZP2ijJO3W1fRPBfuCIhp3z</t>
    </r>
  </si>
  <si>
    <t>0091</t>
  </si>
  <si>
    <t>Sangkalikasan Producer Cooperative</t>
  </si>
  <si>
    <r>
      <rPr>
        <rFont val="Calibri"/>
        <color rgb="FF000000"/>
        <sz val="12.0"/>
      </rPr>
      <t xml:space="preserve">Report uploaded in the Google Drive: </t>
    </r>
    <r>
      <rPr>
        <rFont val="Calibri"/>
        <color rgb="FF1155CC"/>
        <sz val="12.0"/>
        <u/>
      </rPr>
      <t>https://drive.google.com/drive/folders/1mG8We-vs6MZP2ijJO3W1fRPBfuCIhp3z</t>
    </r>
  </si>
  <si>
    <t>0107</t>
  </si>
  <si>
    <t>7 CNUs/7,800 COPs</t>
  </si>
  <si>
    <r>
      <rPr>
        <rFont val="Calibri"/>
        <color rgb="FF000000"/>
        <sz val="12.0"/>
      </rPr>
      <t xml:space="preserve">Report uploaded in the Google Drive: </t>
    </r>
    <r>
      <rPr>
        <rFont val="Calibri"/>
        <color rgb="FF1155CC"/>
        <sz val="12.0"/>
        <u/>
      </rPr>
      <t>https://drive.google.com/drive/folders/1mG8We-vs6MZP2ijJO3W1fRPBfuCIhp3z</t>
    </r>
  </si>
  <si>
    <t>0178</t>
  </si>
  <si>
    <t>40 CNUs/17,000 COPs</t>
  </si>
  <si>
    <t>Palawan State University</t>
  </si>
  <si>
    <r>
      <rPr>
        <rFont val="Calibri"/>
        <color rgb="FF000000"/>
        <sz val="12.0"/>
      </rPr>
      <t xml:space="preserve">Report uploaded in the Google Drive: </t>
    </r>
    <r>
      <rPr>
        <rFont val="Calibri"/>
        <color rgb="FF1155CC"/>
        <sz val="12.0"/>
        <u/>
      </rPr>
      <t>https://drive.google.com/drive/folders/1mG8We-vs6MZP2ijJO3W1fRPBfuCIhp3z</t>
    </r>
  </si>
  <si>
    <t>0261</t>
  </si>
  <si>
    <t>PH071203000</t>
  </si>
  <si>
    <t>Bohol Island State University</t>
  </si>
  <si>
    <r>
      <rPr>
        <rFont val="Calibri"/>
        <color rgb="FF000000"/>
        <sz val="12.0"/>
      </rPr>
      <t xml:space="preserve">Report uploaded in the Google Drive: </t>
    </r>
    <r>
      <rPr>
        <rFont val="Calibri"/>
        <color rgb="FF1155CC"/>
        <sz val="12.0"/>
        <u/>
      </rPr>
      <t>https://drive.google.com/drive/folders/1mG8We-vs6MZP2ijJO3W1fRPBfuCIhp3z</t>
    </r>
  </si>
  <si>
    <t>Dr. Samuel Gulayan</t>
  </si>
  <si>
    <t>samgulayan@yahoo.com</t>
  </si>
  <si>
    <t>0336</t>
  </si>
  <si>
    <t>15 CNUs/15,280 COPs</t>
  </si>
  <si>
    <t>Zamboanga State College for Marine Science and Technology (ZSCMST)</t>
  </si>
  <si>
    <r>
      <rPr>
        <rFont val="Calibri"/>
        <color rgb="FF000000"/>
        <sz val="12.0"/>
      </rPr>
      <t xml:space="preserve">Report uploaded in the Google Drive: </t>
    </r>
    <r>
      <rPr>
        <rFont val="Calibri"/>
        <color rgb="FF1155CC"/>
        <sz val="12.0"/>
        <u/>
      </rPr>
      <t>https://drive.google.com/drive/folders/1mG8We-vs6MZP2ijJO3W1fRPBfuCIhp3z</t>
    </r>
  </si>
  <si>
    <t>Mr. Jose Rodriguez</t>
  </si>
  <si>
    <t>sangkalikasan2016@gmail.com</t>
  </si>
  <si>
    <t>0338</t>
  </si>
  <si>
    <t>Camiguin</t>
  </si>
  <si>
    <t>Guinsiliban</t>
  </si>
  <si>
    <t>PH101802000</t>
  </si>
  <si>
    <t>10 CNUs/17,200 COPs</t>
  </si>
  <si>
    <t>Camiguin Polytechnic State College; PLGU</t>
  </si>
  <si>
    <r>
      <rPr>
        <rFont val="Calibri"/>
        <color rgb="FF000000"/>
        <sz val="12.0"/>
      </rPr>
      <t xml:space="preserve">Report uploaded in the Google Drive: </t>
    </r>
    <r>
      <rPr>
        <rFont val="Calibri"/>
        <color rgb="FF1155CC"/>
        <sz val="12.0"/>
        <u/>
      </rPr>
      <t>https://drive.google.com/drive/folders/1mG8We-vs6MZP2ijJO3W1fRPBfuCIhp3z</t>
    </r>
  </si>
  <si>
    <t>0326</t>
  </si>
  <si>
    <t>Operation Blue Pipe</t>
  </si>
  <si>
    <t>Recycled/Waste</t>
  </si>
  <si>
    <t>PVC pipe</t>
  </si>
  <si>
    <t>Blue pipe; Macropodia modules</t>
  </si>
  <si>
    <t>Scaphpro Artificial Reef Recherche Oceanographique</t>
  </si>
  <si>
    <t>Scaphpro Artificial Reef Recherche oceanographique (2019, March 23). The Stenorhynchus 019 / Artificial Reef Program [Photo Album]. Facebook. https://web.facebook.com/media/set/?vanity=154004468006961&amp;set=a.2571576262916424&amp;_rdc=1&amp;_rdr</t>
  </si>
  <si>
    <t>https://www.facebook.com/media/set/?vanity=154004468006961&amp;set=a.2571576262916424; https://www.facebook.com/media/set?vanity=154004468006961&amp;set=a.2718097258264323</t>
  </si>
  <si>
    <t>Scaph Pro</t>
  </si>
  <si>
    <t>jeff@scaphpro.com</t>
  </si>
  <si>
    <t>0327</t>
  </si>
  <si>
    <t>Blue pipe; Sea urchin module</t>
  </si>
  <si>
    <t>Scaphpro Artificial Reef Recherche oceanographique (2018, February 21). Operation Blue Pipe [Photo Album]. Facebook. https://web.facebook.com/media/set/?set=a.1831074026966655&amp;type=3</t>
  </si>
  <si>
    <t>https://web.facebook.com/media/set/?set=a.1831074026966655&amp;type=3</t>
  </si>
  <si>
    <t>0324</t>
  </si>
  <si>
    <t>Operation Green Reef</t>
  </si>
  <si>
    <t>Restore marine ecosystems</t>
  </si>
  <si>
    <t>100 modules</t>
  </si>
  <si>
    <t>Amazona, R. (n.d.). Artificial reefs revive marine life in Southern Leyte. Cebu-Philippines.net. http://www.cebu-philippines.net/marine-life-in-southern-leyte.html</t>
  </si>
  <si>
    <t>http://www.cebu-philippines.net/marine-life-in-southern-leyte.html</t>
  </si>
  <si>
    <t>0115</t>
  </si>
  <si>
    <t>Calatagan</t>
  </si>
  <si>
    <t>PH041008000</t>
  </si>
  <si>
    <t>Operation Pamamalakaya</t>
  </si>
  <si>
    <t>Site in Brgy Hukay</t>
  </si>
  <si>
    <r>
      <rPr>
        <rFont val="Calibri"/>
        <color rgb="FF000000"/>
        <sz val="12.0"/>
      </rPr>
      <t xml:space="preserve">Shelter, food source, and </t>
    </r>
    <r>
      <rPr>
        <rFont val="Calibri"/>
        <color rgb="FF000000"/>
        <sz val="12.0"/>
      </rPr>
      <t xml:space="preserve">breeding area </t>
    </r>
    <r>
      <rPr>
        <rFont val="Calibri"/>
        <color rgb="FF000000"/>
        <sz val="12.0"/>
      </rPr>
      <t>for underwater wildlife</t>
    </r>
  </si>
  <si>
    <t>Philippine Air Force</t>
  </si>
  <si>
    <t>BFAR; MGLU; CENRO; United States Navy</t>
  </si>
  <si>
    <t>DV Boer Farm</t>
  </si>
  <si>
    <t>Mabasa, R. (2020, July 1). PH, US military forces join hands in undertaking "Operation Pamalakaya" in Cavite. Manila Bulletin. https://mb.com.ph/2020/06/30/ph-us-military-forces-join-hands-in-undertaking-operation-pamalakaya-in-cavite/</t>
  </si>
  <si>
    <r>
      <rPr>
        <rFont val="Calibri"/>
        <color rgb="FF1155CC"/>
        <sz val="12.0"/>
        <u/>
      </rPr>
      <t>https://mb.com.ph/2019/08/16/ph-us-join-forces-in-installing-artificial-reefs-in-calatagan-batangas/</t>
    </r>
    <r>
      <rPr>
        <rFont val="Calibri"/>
        <color rgb="FF000000"/>
        <sz val="12.0"/>
      </rPr>
      <t>; https://www.philstar.com/headlines/2019/08/18/1944305/philippines-us-troops-install-artificial-habitat-reefs</t>
    </r>
  </si>
  <si>
    <t>0328</t>
  </si>
  <si>
    <t>Silago</t>
  </si>
  <si>
    <t>PH086416000</t>
  </si>
  <si>
    <t>Operation Peace for Fish</t>
  </si>
  <si>
    <t>Reproduction and protection of lobsters</t>
  </si>
  <si>
    <t>Scaphpro Artificial Reef Recherche oceanographique (2022, May 31). Operation Peace for Fish 2022 Philippines [Photo Album]. Facebook. https://web.facebook.com/media/set/?vanity=154004468006961&amp;set=a.7450109991729669&amp;_rdc=1&amp;_rdr</t>
  </si>
  <si>
    <t>https://www.facebook.com/media/set/?vanity=154004468006961&amp;set=a.7450109991729669</t>
  </si>
  <si>
    <t>0116</t>
  </si>
  <si>
    <t>Oplan CORAL Park Project</t>
  </si>
  <si>
    <t>Site in Lago de Oro Resort, Brgy Balibago</t>
  </si>
  <si>
    <t>Miss Earth Philippines</t>
  </si>
  <si>
    <t>CORAL (n.d.). Conservation of Ocean's Resources &amp; Aquatic Life How We Do It. http://www.coralmovement.org/</t>
  </si>
  <si>
    <t>http://www.coralmovement.org/; https://youtu.be/SCwy6txSeGc</t>
  </si>
  <si>
    <t>0042</t>
  </si>
  <si>
    <t>Our Earth, Our Responsibility Campaign</t>
  </si>
  <si>
    <t>The Pioneer Adhesives Foundation, Inc. (PAFI)</t>
  </si>
  <si>
    <t>12 CNUs/3,270 COPs</t>
  </si>
  <si>
    <r>
      <rPr>
        <rFont val="Calibri"/>
        <color rgb="FF000000"/>
        <sz val="12.0"/>
      </rPr>
      <t xml:space="preserve">Pangasinan State University; </t>
    </r>
    <r>
      <rPr>
        <rFont val="Calibri"/>
        <color rgb="FF000000"/>
        <sz val="12.0"/>
      </rPr>
      <t>DOST-PCAARRD</t>
    </r>
  </si>
  <si>
    <r>
      <rPr>
        <rFont val="Calibri"/>
        <color rgb="FF000000"/>
        <sz val="12.0"/>
      </rPr>
      <t xml:space="preserve">PAFI; </t>
    </r>
    <r>
      <rPr>
        <rFont val="Calibri"/>
        <color rgb="FF000000"/>
        <sz val="12.0"/>
      </rPr>
      <t>RVS-4 STAR</t>
    </r>
  </si>
  <si>
    <r>
      <rPr>
        <rFont val="Calibri"/>
        <color rgb="FF000000"/>
        <sz val="12.0"/>
      </rPr>
      <t xml:space="preserve">Report uploaded in the Google Drive: </t>
    </r>
    <r>
      <rPr>
        <rFont val="Calibri"/>
        <color rgb="FF1155CC"/>
        <sz val="12.0"/>
        <u/>
      </rPr>
      <t>https://drive.google.com/drive/folders/1mG8We-vs6MZP2ijJO3W1fRPBfuCIhp3z</t>
    </r>
  </si>
  <si>
    <t>0342</t>
  </si>
  <si>
    <t>Mambajao</t>
  </si>
  <si>
    <t>PH101804000</t>
  </si>
  <si>
    <t>Philippine Coral Reef Resources Assessment and Conservation Program (PhilCORE)</t>
  </si>
  <si>
    <t>Site between Mambajao and Guinsiliban</t>
  </si>
  <si>
    <t>MLGU; Sangkalikasan Producers Cooperative</t>
  </si>
  <si>
    <t>DENR PAWB</t>
  </si>
  <si>
    <t>Valcorza, J. (2013, August 27). Camiguin plants P8M worth artificial reef buds. One Mindanao. https://issuu.com/piamindanao1/docs/august_27</t>
  </si>
  <si>
    <t>https://issuu.com/piamindanao1/docs/august_27; https://www.thescubanews.com/2014/08/06/reefbud-technology-downsized-to-broaden-appeal/</t>
  </si>
  <si>
    <t>0339</t>
  </si>
  <si>
    <t>Site in Cantaan Giant Clam Sanctuary</t>
  </si>
  <si>
    <t>Sangkalikasan Group; Biri Initiative</t>
  </si>
  <si>
    <t>0098</t>
  </si>
  <si>
    <t>Morong</t>
  </si>
  <si>
    <t>PH030808000</t>
  </si>
  <si>
    <t>PLC Artificial Reef Program</t>
  </si>
  <si>
    <t>Steel sculpture</t>
  </si>
  <si>
    <t>Ball-like sculpture made out of steel frames</t>
  </si>
  <si>
    <t>M2, M5, M6</t>
  </si>
  <si>
    <t xml:space="preserve">Habitat for coral and marine species; educational tallks and research activities; alternative livelihood through diving tourism </t>
  </si>
  <si>
    <t>Playa la Caleta Bataan</t>
  </si>
  <si>
    <t>Playa la Caleta Bataan (2022, March 6). Garapata x PLC [Picture Album]. https://web.facebook.com/media/set/?set=a.3079007832314520&amp;type=3</t>
  </si>
  <si>
    <t>https://mobile.facebook.com/playalacaletabataan/posts/3079682972247006/?_rdc=1&amp;_rdr</t>
  </si>
  <si>
    <t>0340</t>
  </si>
  <si>
    <t>Mahinog</t>
  </si>
  <si>
    <t>PH101803000</t>
  </si>
  <si>
    <t>PNP KaligKasan Program</t>
  </si>
  <si>
    <t>Site in Mantigue Island</t>
  </si>
  <si>
    <t>PNP Regional Office 10; PLGU</t>
  </si>
  <si>
    <t>MLGU; DENR; PLGU</t>
  </si>
  <si>
    <t>Ajis Aqua Sports &amp; Beach Resort; Buddy Dive Center; JEJORS Construction Corporation</t>
  </si>
  <si>
    <t>Balita Pulis Serbis (2021, September 29). KaligKasan: PRO 10 at LGU Camiguin nanguna sa paglagay ng Artificial Reefs sa Mantigue Island. Pulis Serbis Balita. https://psbalita.com/kaligkasan-pro-10-at-lgu-camiguin-nanguna-sa-paglagay-ng-artificial-reefs-sa-mantigue-island/</t>
  </si>
  <si>
    <t>https://psbalita.com/kaligkasan-pro-10-at-lgu-camiguin-nanguna-sa-paglagay-ng-artificial-reefs-sa-mantigue-island/</t>
  </si>
  <si>
    <t>0208</t>
  </si>
  <si>
    <t>Aroroy</t>
  </si>
  <si>
    <t>PH054101000</t>
  </si>
  <si>
    <t>Port Barrera Rehabilitation Project</t>
  </si>
  <si>
    <t>Corporate social responsibility; Coral regeneration in the MPA</t>
  </si>
  <si>
    <t>Philippine Gold Processing and Refining Corp.; Filminera Resources Corp.</t>
  </si>
  <si>
    <t>129.00 ha</t>
  </si>
  <si>
    <t>2,742 units</t>
  </si>
  <si>
    <t>Philippine Gold Processing and Refining Corp</t>
  </si>
  <si>
    <t xml:space="preserve"> Reef Ball Foundation</t>
  </si>
  <si>
    <t>Cimatu, F. (2018, Aug. 31). Masbate town hopes reef balls will revive endangered corals. Rappler. https://www.rappler.com/nation/210840-tigbao-masbate-reef-balls-revive-endangered-corals/</t>
  </si>
  <si>
    <t>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t>
  </si>
  <si>
    <t>0046</t>
  </si>
  <si>
    <t>Project 1. Culture Technologies for Coral Propagules from Eggs and Larvae</t>
  </si>
  <si>
    <t>Site in Caniogan and Magsaysay Reef</t>
  </si>
  <si>
    <t>Gravid colony and broadcasting species collection</t>
  </si>
  <si>
    <t>Research; Develop culture technologies for sexually-derived coral propagules for reef restoration; Increase the production rate of cultured juvenile corals</t>
  </si>
  <si>
    <t>PHP 2,803,661.28 (shared across: "Project 1. Culture Technologies for Coral Propagules from Eggs and Larvae")</t>
  </si>
  <si>
    <t>University of the Philippines Diliman</t>
  </si>
  <si>
    <t>Marine Science Institute (n.d.). Project 1. Culture technologies for coral propagules from eggs and larvae. College of Science, University of the Philippines Diliman.</t>
  </si>
  <si>
    <r>
      <rPr>
        <rFont val="Calibri"/>
        <color rgb="FF000000"/>
        <sz val="12.0"/>
      </rPr>
      <t xml:space="preserve">Report uploaded in the Google Drive: </t>
    </r>
    <r>
      <rPr>
        <rFont val="Calibri"/>
        <color rgb="FF1155CC"/>
        <sz val="12.0"/>
        <u/>
      </rPr>
      <t>https://drive.google.com/drive/folders/1mG8We-vs6MZP2ijJO3W1fRPBfuCIhp3z</t>
    </r>
  </si>
  <si>
    <t>0068</t>
  </si>
  <si>
    <t xml:space="preserve">University of the Philippines Diliman; </t>
  </si>
  <si>
    <r>
      <rPr>
        <rFont val="Calibri"/>
        <color rgb="FF000000"/>
        <sz val="12.0"/>
      </rPr>
      <t xml:space="preserve">Report uploaded in the Google Drive: </t>
    </r>
    <r>
      <rPr>
        <rFont val="Calibri"/>
        <color rgb="FF1155CC"/>
        <sz val="12.0"/>
        <u/>
      </rPr>
      <t>https://drive.google.com/drive/folders/1mG8We-vs6MZP2ijJO3W1fRPBfuCIhp3z</t>
    </r>
  </si>
  <si>
    <t>0320</t>
  </si>
  <si>
    <t>Project 250</t>
  </si>
  <si>
    <t>Coral nursery; coral transplantation</t>
  </si>
  <si>
    <t>Rehabilitate reef</t>
  </si>
  <si>
    <t>Homer Hernandez</t>
  </si>
  <si>
    <t>https://sevenseasmedia.org/biri-initiative-story-on-coral-restoration/; https://reefbuilders.com/2017/12/05/biri-initiative-project-250/</t>
  </si>
  <si>
    <t>0047</t>
  </si>
  <si>
    <t>Project 2A. Sexual Reproduction in Selected  Reef Coral Species Across the Archipelago</t>
  </si>
  <si>
    <t>Direct observation and histological examination</t>
  </si>
  <si>
    <t>Research; Determine the timing of spawning / planulation of representative coral species</t>
  </si>
  <si>
    <t>PHP 2,682,661.50 (shared across: "Project 2A. Sexual Reproduction in Selected  Reef Coral Species Across the Archipelago")</t>
  </si>
  <si>
    <t>University of the Philippines Diliman; Mindanao State University Tawi-Tawi</t>
  </si>
  <si>
    <t>Marine Science Institute (n.d.). Project 2A. Sexual Reproduction in Selected Reef Coral Species across the Archipelago. College of Science, University of Philippines.</t>
  </si>
  <si>
    <r>
      <rPr>
        <rFont val="Calibri"/>
        <color rgb="FF000000"/>
        <sz val="12.0"/>
      </rPr>
      <t xml:space="preserve">Report uploaded in the Google Drive: </t>
    </r>
    <r>
      <rPr>
        <rFont val="Calibri"/>
        <color rgb="FF1155CC"/>
        <sz val="12.0"/>
        <u/>
      </rPr>
      <t>https://drive.google.com/drive/folders/1mG8We-vs6MZP2ijJO3W1fRPBfuCIhp3z</t>
    </r>
  </si>
  <si>
    <t>0067</t>
  </si>
  <si>
    <t>University of the Philippines Diliman; Mindanao State University - Tawi-Tawi</t>
  </si>
  <si>
    <r>
      <rPr>
        <rFont val="Calibri"/>
        <color rgb="FF000000"/>
        <sz val="12.0"/>
      </rPr>
      <t xml:space="preserve">Report uploaded in the Google Drive: </t>
    </r>
    <r>
      <rPr>
        <rFont val="Calibri"/>
        <color rgb="FF1155CC"/>
        <sz val="12.0"/>
        <u/>
      </rPr>
      <t>https://drive.google.com/drive/folders/1mG8We-vs6MZP2ijJO3W1fRPBfuCIhp3z</t>
    </r>
  </si>
  <si>
    <t>0278</t>
  </si>
  <si>
    <t>Project 2B. Sexual Reproduction of Selected Reef Coral Species Across the Philippine Archipelago</t>
  </si>
  <si>
    <t>University of the Philippines Marine Science Institute; Mindanao State University - Tawi-Tawi</t>
  </si>
  <si>
    <t xml:space="preserve">University of San Carlos - Marine Biology Section (n.d.). Project 2B. Sexual Reproduction of Selected Reef Coral Species across the Philippine Archipelago (Cebu). </t>
  </si>
  <si>
    <r>
      <rPr>
        <rFont val="Calibri"/>
        <color rgb="FF000000"/>
        <sz val="12.0"/>
      </rPr>
      <t xml:space="preserve">Report uploaded in the Google Drive: </t>
    </r>
    <r>
      <rPr>
        <rFont val="Calibri"/>
        <color rgb="FF1155CC"/>
        <sz val="12.0"/>
        <u/>
      </rPr>
      <t>https://drive.google.com/drive/folders/1mG8We-vs6MZP2ijJO3W1fRPBfuCIhp3z</t>
    </r>
  </si>
  <si>
    <t>Dr. Anthony Ilano</t>
  </si>
  <si>
    <t>gastropoda04@yahoo.com</t>
  </si>
  <si>
    <t>0288</t>
  </si>
  <si>
    <r>
      <rPr>
        <rFont val="Calibri"/>
        <color rgb="FF000000"/>
        <sz val="12.0"/>
      </rPr>
      <t xml:space="preserve">Report uploaded in the Google Drive: </t>
    </r>
    <r>
      <rPr>
        <rFont val="Calibri"/>
        <color rgb="FF1155CC"/>
        <sz val="12.0"/>
        <u/>
      </rPr>
      <t>https://drive.google.com/drive/folders/1mG8We-vs6MZP2ijJO3W1fRPBfuCIhp3z</t>
    </r>
  </si>
  <si>
    <t>0454</t>
  </si>
  <si>
    <t>Site in Mussah Reef, MSU College of Fisheries and Brgy Pasiagan</t>
  </si>
  <si>
    <t>Hatchery CNU</t>
  </si>
  <si>
    <t>Monitoring the reproductive schedule of selected coral species</t>
  </si>
  <si>
    <t>USC</t>
  </si>
  <si>
    <t>Halun, S.Z. &amp; Romero, F. (n.d.). Project 2B. Sexual Reproduction of Selected Reef Coral Species Across the Philippine Archipelago (Tawi-Tawi)</t>
  </si>
  <si>
    <r>
      <rPr>
        <rFont val="Calibri"/>
        <color rgb="FF000000"/>
        <sz val="12.0"/>
      </rPr>
      <t xml:space="preserve">Report uploaded in the Google Drive: </t>
    </r>
    <r>
      <rPr>
        <rFont val="Calibri"/>
        <color rgb="FF1155CC"/>
        <sz val="12.0"/>
        <u/>
      </rPr>
      <t>https://drive.google.com/drive/folders/1mG8We-vs6MZP2ijJO3W1fRPBfuCIhp3z</t>
    </r>
  </si>
  <si>
    <t>Dr. Sitti Zayda Halun / Dr. Filemon Romero</t>
  </si>
  <si>
    <t>shalu002@fiu.edu</t>
  </si>
  <si>
    <t>0186</t>
  </si>
  <si>
    <t>City of Legazpi</t>
  </si>
  <si>
    <t>PH050506000</t>
  </si>
  <si>
    <t>Project Anchor - Artificial Reef Laying and Coral Restoration Project</t>
  </si>
  <si>
    <t>Site in Brgy Rawis</t>
  </si>
  <si>
    <t>Concrete pyramid, Concrete jackstone, Concrete cubic</t>
  </si>
  <si>
    <t>Concrete pyramid, cubic &amp; jackstone</t>
  </si>
  <si>
    <t>Rehabilitate damaged marine ecosystems; habitat for marine life</t>
  </si>
  <si>
    <t>Philippine Naval Forces</t>
  </si>
  <si>
    <t>210 units</t>
  </si>
  <si>
    <t>Philippine Navy - Naval Forces Southern Luzon</t>
  </si>
  <si>
    <t>PAFCPIC Legazpi; PCG Special Operations Group; ICRM Legazpi; CLGU</t>
  </si>
  <si>
    <t>Sea Hunters Group; Rotary Club of Legazpi; JCI Legazpi City; SM City Legazpi; AFPSLAI</t>
  </si>
  <si>
    <t>DZGBNewsOnline. (2024, October 14). The Naval Forces Southern Luzon (NFSL) has officially launched the 3rd Phase of its Artificial Reef Laying and Coral Restoration [Status update]. Facebook. https://www.facebook.com/photo.php?fbid=1006552911501040&amp;id=100064390224437&amp;set=a.600940552062280&amp;_rdc=2&amp;_rdr</t>
  </si>
  <si>
    <t>https://www.facebook.com/photo.php?fbid=1006552911501040&amp;id=100064390224437&amp;set=a.600940552062280&amp;_rdc=2&amp;_rdr</t>
  </si>
  <si>
    <t>0119</t>
  </si>
  <si>
    <t>Lian</t>
  </si>
  <si>
    <t>PH041013000</t>
  </si>
  <si>
    <t>Protection and Rehabilitation of Coastal and Marine Ecosystem of Lian</t>
  </si>
  <si>
    <t>Site in Brgy Lumaniag</t>
  </si>
  <si>
    <t>Concrete pyramid, Concrete cubic</t>
  </si>
  <si>
    <t>Concrete pyramid, cubic</t>
  </si>
  <si>
    <t>Pusod Inc.</t>
  </si>
  <si>
    <t>Lian Fisherfolk Association of Brgy Lumaniag</t>
  </si>
  <si>
    <t>Pusod Admin (2017, September 18). Artificial habitat units fabrication. Pusod Inc. http://pusod.org/pusod/artificial-habitat-units-fabrication/</t>
  </si>
  <si>
    <t>http://pusod.org/pusod/artificial-habitat-units-fabrication/</t>
  </si>
  <si>
    <t>0125</t>
  </si>
  <si>
    <t>Redeem the Reefs</t>
  </si>
  <si>
    <t>Site in front of Paradiso Rito Resort, Brgy Mainit</t>
  </si>
  <si>
    <t>Coral Transplantation; AR art installations</t>
  </si>
  <si>
    <t>Enhance coral cover; restore marine ecosystem</t>
  </si>
  <si>
    <t>Sea Paradiso Foundation</t>
  </si>
  <si>
    <t>Paradiso Rito Resort</t>
  </si>
  <si>
    <t>Hernandez, H. (2018, November 26). Paradiso Rito and Redeem the Reef Project - A Glimmer of Hope for Verde Island Passage. Shearwater. https://www.shearwater.com/monthly-blog-posts/paradiso-rito-and-redeem-the-reef-project-a-glimmer-of-hope-for-verde-island-passage/</t>
  </si>
  <si>
    <t>https://www.shearwater.com/monthly-blog-posts/paradiso-rito-and-redeem-the-reef-project-a-glimmer-of-hope-for-verde-island-passage/</t>
  </si>
  <si>
    <t>0407</t>
  </si>
  <si>
    <t>Dinagat Islands</t>
  </si>
  <si>
    <t>Cagdianao</t>
  </si>
  <si>
    <t>PH168502000</t>
  </si>
  <si>
    <t>Reef Restoration Project</t>
  </si>
  <si>
    <t>Environmental protection and enhancement</t>
  </si>
  <si>
    <t>Cagdianao Mining Corporation; Nickel Asia Corp</t>
  </si>
  <si>
    <t xml:space="preserve">Cagdianao Mining Corporation </t>
  </si>
  <si>
    <t>Nickel Asia Corporation</t>
  </si>
  <si>
    <t>Pascua, L. (n.d.). Pangangalaga sa karagatan, pinaigting pa ng CMC, HMC. Nickel Asia Corp. https://nickelasia.com/bulletin/pangangalaga-sa-karagatan-pinaigting-pa-ng-cmc-hmc</t>
  </si>
  <si>
    <t>https://nickelasia.com/bulletin/pangangalaga-sa-karagatan-pinaigting-pa-ng-cmc-hmc</t>
  </si>
  <si>
    <t>0124</t>
  </si>
  <si>
    <t>ReefBuds</t>
  </si>
  <si>
    <t>Site in Anilao</t>
  </si>
  <si>
    <t>Coral reef rehabilitation</t>
  </si>
  <si>
    <t>Philippines Australia Community Assistance Programs</t>
  </si>
  <si>
    <t>28 units</t>
  </si>
  <si>
    <t>Yes2Life</t>
  </si>
  <si>
    <t>Lee (2014, August 6). "Reefbud" Technology Downsized to Broaden Appeal. The Scuba News. https://www.thescubanews.com/2014/08/06/reefbud-technology-downsized-to-broaden-appeal/</t>
  </si>
  <si>
    <t>https://www.thescubanews.com/2014/08/06/reefbud-technology-downsized-to-broaden-appeal/</t>
  </si>
  <si>
    <t>0139</t>
  </si>
  <si>
    <t>PH042117000</t>
  </si>
  <si>
    <r>
      <rPr>
        <rFont val="Calibri"/>
        <color rgb="FF000000"/>
        <sz val="12.0"/>
      </rPr>
      <t xml:space="preserve">Revitalize local fishing </t>
    </r>
    <r>
      <rPr>
        <rFont val="Calibri"/>
        <color rgb="FF000000"/>
        <sz val="12.0"/>
      </rPr>
      <t xml:space="preserve">industry; home and </t>
    </r>
    <r>
      <rPr>
        <rFont val="Calibri"/>
        <color rgb="FF000000"/>
        <sz val="12.0"/>
      </rPr>
      <t>spawning ground</t>
    </r>
    <r>
      <rPr>
        <rFont val="Calibri"/>
        <color rgb="FF000000"/>
        <sz val="12.0"/>
      </rPr>
      <t xml:space="preserve"> for marine life; </t>
    </r>
  </si>
  <si>
    <t>Petron</t>
  </si>
  <si>
    <t>1,200 units</t>
  </si>
  <si>
    <t>Dr. Harald Kremnitz</t>
  </si>
  <si>
    <r>
      <rPr>
        <rFont val="Calibri"/>
        <color rgb="FF000000"/>
        <sz val="12.0"/>
      </rPr>
      <t xml:space="preserve">Lee (2014, August 6). "Reefbud" Technology Downsized to Broaden Appeal. The Scuba News. </t>
    </r>
    <r>
      <rPr>
        <rFont val="Calibri"/>
        <color rgb="FF1155CC"/>
        <sz val="12.0"/>
        <u/>
      </rPr>
      <t>https://www.thescubanews.com/2014/08/06/reefbud-technology-downsized-to-broaden-appeal/</t>
    </r>
  </si>
  <si>
    <r>
      <rPr>
        <rFont val="Calibri"/>
        <color rgb="FF000000"/>
        <sz val="12.0"/>
      </rPr>
      <t xml:space="preserve">https://www.thescubanews.com/2014/08/06/reefbud-technology-downsized-to-broaden-appeal/; </t>
    </r>
    <r>
      <rPr>
        <rFont val="Calibri (Body)"/>
        <color rgb="FF000000"/>
        <sz val="12.0"/>
        <u/>
      </rPr>
      <t>https://sites.google.com/a/islandecosystems.org/gics</t>
    </r>
  </si>
  <si>
    <t>0109</t>
  </si>
  <si>
    <t>reefbuds: A coral Augmentation Project</t>
  </si>
  <si>
    <t>Site in Subic Bay Freeport</t>
  </si>
  <si>
    <t>Fish sanctuary to foster growth of other marine species</t>
  </si>
  <si>
    <t>All Hands Beach Resort</t>
  </si>
  <si>
    <t>58 units</t>
  </si>
  <si>
    <t>DENR; BFAR; Subic Bay Metropolitan Authority</t>
  </si>
  <si>
    <t>Aglibot, J. R. (2021, April 8). Beach resort in Subic Bay turns to artificial coral reefs to preserve marine ecosystem. Inquirer.net. https://newsinfo.inquirer.net/1416313/beach-resort-in-subic-bay-turns-to-artificial-coral-reefs-to-preserve-marine-ecosystem</t>
  </si>
  <si>
    <t>https://newsinfo.inquirer.net/1416313/beach-resort-in-subic-bay-turns-to-artificial-coral-reefs-to-preserve-marine-ecosystem</t>
  </si>
  <si>
    <t>0174</t>
  </si>
  <si>
    <t>Oriental Mindoro</t>
  </si>
  <si>
    <t>Puerto Galera</t>
  </si>
  <si>
    <t>PH175211000</t>
  </si>
  <si>
    <t>REEForestation using Recycled Waste Materials</t>
  </si>
  <si>
    <t>Site in Sabang Beach</t>
  </si>
  <si>
    <t>Ecological engineering</t>
  </si>
  <si>
    <t>M8</t>
  </si>
  <si>
    <r>
      <rPr>
        <rFont val="Calibri"/>
        <color rgb="FF000000"/>
        <sz val="12.0"/>
      </rPr>
      <t xml:space="preserve">Coral reef regeneration using </t>
    </r>
    <r>
      <rPr>
        <rFont val="Calibri"/>
        <color rgb="FF000000"/>
        <sz val="12.0"/>
      </rPr>
      <t>innovative</t>
    </r>
    <r>
      <rPr>
        <rFont val="Calibri"/>
        <color rgb="FF000000"/>
        <sz val="12.0"/>
      </rPr>
      <t xml:space="preserve"> </t>
    </r>
    <r>
      <rPr>
        <rFont val="Calibri"/>
        <color rgb="FF000000"/>
        <sz val="12.0"/>
      </rPr>
      <t>technology</t>
    </r>
  </si>
  <si>
    <t>Apple Dive Resort; Big Apple Initiative</t>
  </si>
  <si>
    <r>
      <rPr>
        <rFont val="Calibri"/>
        <color rgb="FF000000"/>
        <sz val="12.0"/>
      </rPr>
      <t xml:space="preserve">https://sevenseasmedia.org/biri-initiative-story-on-coral-restoration/; </t>
    </r>
    <r>
      <rPr>
        <rFont val="Calibri"/>
        <color rgb="FF000000"/>
        <sz val="12.0"/>
        <u/>
      </rPr>
      <t>https://www.thescubanews.com/2014/08/06/reefbud-technology-downsized-to-broaden-appeal/</t>
    </r>
  </si>
  <si>
    <t>0123</t>
  </si>
  <si>
    <t>Lobo</t>
  </si>
  <si>
    <t>PH041015000</t>
  </si>
  <si>
    <t>Regional Coral Restoration and Appropriate Technologies for Larger-Scale Coral &amp; Fish Habitat Restoration in the Philippines and Australia</t>
  </si>
  <si>
    <t>Site in Brgy Malabrigo</t>
  </si>
  <si>
    <t>Larval enhancement and reseeding</t>
  </si>
  <si>
    <t>0180</t>
  </si>
  <si>
    <t>San Vicente</t>
  </si>
  <si>
    <t>PH175319000</t>
  </si>
  <si>
    <t>Site in Port Barton</t>
  </si>
  <si>
    <t>Larval enhancement; Larval reseeding</t>
  </si>
  <si>
    <t>0396</t>
  </si>
  <si>
    <t>PH160201000</t>
  </si>
  <si>
    <t>S.O.S. Save our Seas: Supporting Ocean Biodiversity</t>
  </si>
  <si>
    <t>Site inside Sacol Fish Sanctuary</t>
  </si>
  <si>
    <r>
      <rPr>
        <rFont val="Calibri"/>
        <color rgb="FF000000"/>
        <sz val="12.0"/>
      </rPr>
      <t xml:space="preserve">Sustainable </t>
    </r>
    <r>
      <rPr>
        <rFont val="Calibri"/>
        <color rgb="FF000000"/>
        <sz val="12.0"/>
      </rPr>
      <t xml:space="preserve">fisheries management </t>
    </r>
    <r>
      <rPr>
        <rFont val="Calibri"/>
        <color rgb="FF000000"/>
        <sz val="12.0"/>
      </rPr>
      <t xml:space="preserve">and </t>
    </r>
    <r>
      <rPr>
        <rFont val="Calibri"/>
        <color rgb="FF000000"/>
        <sz val="12.0"/>
      </rPr>
      <t>marine conservation</t>
    </r>
  </si>
  <si>
    <t>Rotary Club of Butuan City</t>
  </si>
  <si>
    <t>MLGU; BFAR</t>
  </si>
  <si>
    <t>PETDA</t>
  </si>
  <si>
    <t>MAO FITS Center-Buenavista, ADN (2024, November 14). The installation of artificial reefs at the Sacol Sanctuary in Buenavista, Agusan del Norte marked a significant step in promoting [Status Update] [Images Attached]. https://web.facebook.com/LGUbuenavistaagriculture</t>
  </si>
  <si>
    <t>https://web.facebook.com/LGUbuenavistaagriculture</t>
  </si>
  <si>
    <t>0099</t>
  </si>
  <si>
    <t>Orion</t>
  </si>
  <si>
    <t>PH030810000</t>
  </si>
  <si>
    <t>Sagip Bakawan Project</t>
  </si>
  <si>
    <t>Site in Orion Kent Fish Sanctuary</t>
  </si>
  <si>
    <t>Concrete Reef Modules</t>
  </si>
  <si>
    <t>10 modules</t>
  </si>
  <si>
    <t>The project started roughly after 1998 when the Fisheries Code was passed</t>
  </si>
  <si>
    <t>0211</t>
  </si>
  <si>
    <t>San Jacinto</t>
  </si>
  <si>
    <t>PH054119000</t>
  </si>
  <si>
    <t>Samar-Sea Ticao Pass Fisheries Development Corporation</t>
  </si>
  <si>
    <t>Bamboo and ipil-ipil modules</t>
  </si>
  <si>
    <t>Fishing and rehabilitation of stocks</t>
  </si>
  <si>
    <t>4,000 units</t>
  </si>
  <si>
    <t>Philippine Fisheries Devt. Authority</t>
  </si>
  <si>
    <t>National Research Council (1988). Fisheries Technologies for Developing Countries. National Academy Press Washington D.C. Retrieved from https://www.nzdl.org/cgi-bin/library?e=d-00000-00---off-0hdl--00-0----0-10-0---0---0direct-10---4-------0-1l--11-en-50---20-about---00-0-1-00-0-0-11----0-0-&amp;cl=CL2.17.2&amp;d=HASHfc8d613128f6e253a7fd93&amp;gt=1</t>
  </si>
  <si>
    <t>https://www.nzdl.org/cgi-bin/library?e=d-00000-00---off-0hdl--00-0----0-10-0---0---0direct-10---4-------0-1l--11-en-50---20-about---00-0-1-00-0--4----0-0-11-10-0utfZz-8-10&amp;cl=CL2.17.2&amp;d=HASHfc8d613128f6e253a7fd93.6&amp;gc=1</t>
  </si>
  <si>
    <t>0385</t>
  </si>
  <si>
    <t>South Cotabato</t>
  </si>
  <si>
    <t>City of General Santos</t>
  </si>
  <si>
    <t>PH126303000</t>
  </si>
  <si>
    <t>Sarangani Bay Artificial Reef Dome Project</t>
  </si>
  <si>
    <r>
      <rPr>
        <rFont val="Calibri"/>
        <color rgb="FF000000"/>
        <sz val="12.0"/>
      </rPr>
      <t xml:space="preserve">Sites in Maharlika Beach Resort in </t>
    </r>
    <r>
      <rPr>
        <rFont val="Calibri"/>
        <color rgb="FF000000"/>
        <sz val="12.0"/>
      </rPr>
      <t>Dupalco Beach</t>
    </r>
  </si>
  <si>
    <t>Improve marine life diversity and population; alternative fishing ground</t>
  </si>
  <si>
    <t>Project Aware Foundation</t>
  </si>
  <si>
    <t>Sarangani Bay Divers</t>
  </si>
  <si>
    <t>Cambridge Dive Center</t>
  </si>
  <si>
    <t>GMANews.TV (2007, June 18). Sun.Star: 3,500 artificial reef domes set up in Sarangani Bay. GMA News Online. https://www.gmanetwork.com/news/topstories/regions/47043/sun-star-3-500-artificial-reef-domes-set-up-in-sarangani-bay/story/</t>
  </si>
  <si>
    <t>https://www.gmanetwork.com/news/topstories/regions/47043/sun-star-3-500-artificial-reef-domes-set-up-in-sarangani-bay/story/</t>
  </si>
  <si>
    <t>Chris Dearne</t>
  </si>
  <si>
    <t>dvgensan@yahoo.com.ph</t>
  </si>
  <si>
    <t>0386</t>
  </si>
  <si>
    <t>Alabel</t>
  </si>
  <si>
    <t>PH128001000</t>
  </si>
  <si>
    <t>Sarangani Coastal Resources Development and Management Project</t>
  </si>
  <si>
    <t>Site in Brgy Kawas</t>
  </si>
  <si>
    <t>Conserve, rehabilitate, protect and manage marine resources</t>
  </si>
  <si>
    <t>GEF Small Grants Programme</t>
  </si>
  <si>
    <t>South Cotabato Foundation, Inc.</t>
  </si>
  <si>
    <t>Sarangani Coastal Resource Development and Management Project (MINDANAO) (n.d.). The GEF Small Grants Programme. https://sgp.undp.org/spacial-itemid-projects-landing-page/spacial-itemid-project-search-results/spacial-itemid-project-detailpage?view=projectdetail&amp;id=3748</t>
  </si>
  <si>
    <t>https://sgp.undp.org/spacial-itemid-projects-landing-page/spacial-itemid-project-search-results/spacial-itemid-project-detailpage?view=projectdetail&amp;id=3748</t>
  </si>
  <si>
    <t>0365</t>
  </si>
  <si>
    <t>Villanueva</t>
  </si>
  <si>
    <t>PH104326000</t>
  </si>
  <si>
    <t>Sea of Life</t>
  </si>
  <si>
    <t>Sand, Dead coral, Unspecified concrete structure</t>
  </si>
  <si>
    <t>Mixture of cement, sand and dead corals</t>
  </si>
  <si>
    <t>Promote marine growth and rehabilitation of damaged corals</t>
  </si>
  <si>
    <t>JCI Manila; JCI Macajalar 24K</t>
  </si>
  <si>
    <t>MLGU; Macajalar Bay Development Alliance</t>
  </si>
  <si>
    <t>Xavier University; Scuba de Oro</t>
  </si>
  <si>
    <t>Roble, R. D., &amp; Pedroza, S. (2015). Artificial reef domes deployed in Villanueva. Pagtaob The Official Newsletter of the McKeough Marine Center of Xavier University, 3(1). https://www.xu.edu.ph/images/publication/newsletters/pagtaob/documents/PAGTAOB_V3_I1.pdf</t>
  </si>
  <si>
    <t>https://www.xu.edu.ph/images/publication/newsletters/pagtaob/documents/PAGTAOB_V3_I1.pdf</t>
  </si>
  <si>
    <t>0027</t>
  </si>
  <si>
    <t>City of San Fernando</t>
  </si>
  <si>
    <t>PH013314000</t>
  </si>
  <si>
    <t>Reef ball, Concrete sculpture</t>
  </si>
  <si>
    <t>Reef balls with 1.5 m in diameter; 6-7 feet statues (materials used were a mixture of cement and silica for both types)</t>
  </si>
  <si>
    <t>Rehabilitate coral reefs; propagate marine life; boost fish production; promote responsible fishing, stimulate tourism, and the diving community for the city</t>
  </si>
  <si>
    <t>JCI Manila</t>
  </si>
  <si>
    <t>20 units; 8 statues</t>
  </si>
  <si>
    <r>
      <rPr>
        <rFont val="Calibri"/>
        <color rgb="FF000000"/>
        <sz val="12.0"/>
      </rPr>
      <t xml:space="preserve">JCI </t>
    </r>
    <r>
      <rPr>
        <rFont val="Calibri"/>
        <color rgb="FF000000"/>
        <sz val="12.0"/>
      </rPr>
      <t>Manila</t>
    </r>
  </si>
  <si>
    <t>Philippine Coast Guard; CLGU</t>
  </si>
  <si>
    <t>Crest International; OceanDeep Diver Center; Octohedz NFT</t>
  </si>
  <si>
    <t>Ramones, K. J. (2022, July 18). JCI Manila installs artificial reefs in La Union. Philippine Information Agency. https://pia.gov.ph/news/2022/07/18/jci-manila-installs-artificial-reefs-in-la-union</t>
  </si>
  <si>
    <t>https://mirror.pia.gov.ph/news/2022/07/18/jci-manila-installs-artificial-reefs-in-la-union</t>
  </si>
  <si>
    <t>Jesus Antonio Sanchez</t>
  </si>
  <si>
    <t>0137</t>
  </si>
  <si>
    <t>Tingloy</t>
  </si>
  <si>
    <t>PH041033000</t>
  </si>
  <si>
    <t>Concrete sculpture</t>
  </si>
  <si>
    <t>Concrete sculptures</t>
  </si>
  <si>
    <t>"Provide alternative, sustainable livelihood opportunities", "Reestablish a self-sustaining, functioning reef ecosystem"</t>
  </si>
  <si>
    <t>Revive marine life, protect beach, boost ecoutourism, and provide jobs in a green economy</t>
  </si>
  <si>
    <t>DENR; MLGU; Philippine Navy</t>
  </si>
  <si>
    <t>Gold Seas Tuna Chunks</t>
  </si>
  <si>
    <t>JCI Manila and Gold Seas Tuna Chunks launches Sea of Life Museum (2018, November 25). Lemon GreenTea: Life and Style + Travel + Food Discovering life stories--with a large cup of Lemon Green Tea. https://www.lemongreenteaph.com/2018/11/jci-manila-and-gold-seas-tuna-chunks.html</t>
  </si>
  <si>
    <t>https://www.lemongreenteaph.com/2018/11/jci-manila-and-gold-seas-tuna-chunks.html</t>
  </si>
  <si>
    <t>0367</t>
  </si>
  <si>
    <t>Site in Kamudmud MPA</t>
  </si>
  <si>
    <t>Phoenix Petroleum et al</t>
  </si>
  <si>
    <t>50 domes</t>
  </si>
  <si>
    <t>Pilipinas Ecowarriors; JCI Davao</t>
  </si>
  <si>
    <t>Launching of JCI Manila "Sea of Life" program (2012, August 24). All Honest Reviews of Sarah G. http://allhonestreviews.blogspot.com/2012/08/launching-of-jci-manila-sea-of-life.html</t>
  </si>
  <si>
    <t>http://allhonestreviews.blogspot.com/2012/08/launching-of-jci-manila-sea-of-life.html</t>
  </si>
  <si>
    <t>Rodney Dizon</t>
  </si>
  <si>
    <t>0254</t>
  </si>
  <si>
    <t>Concepcion</t>
  </si>
  <si>
    <t>PH063015000</t>
  </si>
  <si>
    <t>Site near Pan de Azucar Island</t>
  </si>
  <si>
    <t>dome</t>
  </si>
  <si>
    <t>JCI Manila "Sea of Life" (2018, October 8). In 2015, JCI Manila constructed and deployed 50 artificial dome reefs in Batangas and Iloilo. After a year underwater [Status Update] [Images Attached]. Facebook. https://web.facebook.com/jcimanilaseaoflife/posts/pfbid02pDbrLSGU8G89Y6fFseL879wWeu6hoSHsuHNsYRL4JyTrGsnutkfhxQJMKf7vf5dml</t>
  </si>
  <si>
    <t>https://web.facebook.com/jcimanilaseaoflife/posts/pfbid02pDbrLSGU8G89Y6fFseL879wWeu6hoSHsuHNsYRL4JyTrGsnutkfhxQJMKf7vf5dml</t>
  </si>
  <si>
    <t>0286</t>
  </si>
  <si>
    <t>Shangri-La Care for Nature Project</t>
  </si>
  <si>
    <t>"Provide alternative, sustainable livelihood opportunities", Promote coral reef conservation stewardship</t>
  </si>
  <si>
    <t>M5, M6</t>
  </si>
  <si>
    <r>
      <rPr>
        <rFont val="Calibri"/>
        <color rgb="FF000000"/>
        <sz val="12.0"/>
      </rPr>
      <t>Tourism</t>
    </r>
    <r>
      <rPr>
        <rFont val="Calibri"/>
        <color rgb="FF000000"/>
        <sz val="12.0"/>
      </rPr>
      <t xml:space="preserve">; </t>
    </r>
    <r>
      <rPr>
        <rFont val="Calibri"/>
        <color rgb="FF000000"/>
        <sz val="12.0"/>
      </rPr>
      <t>CSR</t>
    </r>
  </si>
  <si>
    <t>Mactan Shangri-La Resort</t>
  </si>
  <si>
    <t>Coral Reef Restoration Project [2018, April 19]. Scotty's Action Sports Network. https://www.divescotty.com/underwater-blog/blog-february-14-2018.php</t>
  </si>
  <si>
    <t>https://www.divescotty.com/underwater-blog/blog-february-14-2018.php</t>
  </si>
  <si>
    <t>0127</t>
  </si>
  <si>
    <t>Shore It Up</t>
  </si>
  <si>
    <t>Eco-MER</t>
  </si>
  <si>
    <r>
      <rPr>
        <rFont val="Calibri"/>
        <color rgb="FF000000"/>
        <sz val="12.0"/>
      </rPr>
      <t xml:space="preserve">Restore ecosystems; </t>
    </r>
    <r>
      <rPr>
        <rFont val="Calibri"/>
        <color rgb="FF000000"/>
        <sz val="12.0"/>
      </rPr>
      <t>Coral restoration; mitigate effects of climate change</t>
    </r>
  </si>
  <si>
    <t xml:space="preserve">Metro Pacific Investments Corp. </t>
  </si>
  <si>
    <t>25 units</t>
  </si>
  <si>
    <t>Metro Pacific Investments Corp.</t>
  </si>
  <si>
    <t>PCCSD</t>
  </si>
  <si>
    <t>Divers Institute of Technology</t>
  </si>
  <si>
    <r>
      <rPr>
        <rFont val="Calibri"/>
        <i/>
        <color rgb="FF000000"/>
        <sz val="12.0"/>
      </rPr>
      <t>Coral laboratory grows in Batangas</t>
    </r>
    <r>
      <rPr>
        <rFont val="Calibri"/>
        <color rgb="FF000000"/>
        <sz val="12.0"/>
      </rPr>
      <t xml:space="preserve"> (2016, July 1). BusinessWorld Online. https://www.bworldonline.com/weekender/environment/2016/07/01/5884/coral-laboratory-grows-in-batangas</t>
    </r>
  </si>
  <si>
    <t>https://www.bworldonline.com/weekender/environment/2016/07/01/5884/coral-laboratory-grows-in-batangas/</t>
  </si>
  <si>
    <t>0361</t>
  </si>
  <si>
    <t>Coral transplantation; Concrete</t>
  </si>
  <si>
    <t>Metro Pacific Investment Corporation</t>
  </si>
  <si>
    <t>Metro Pacific Investments Foundation</t>
  </si>
  <si>
    <t>Sta Maria, D. (2019, May 5). Shoring up Medina. PhilStar Global. https://www.philstar.com/other-sections/starweek-magazine/2019/05/05/1915171/shoring-medina</t>
  </si>
  <si>
    <r>
      <rPr>
        <rFont val="Calibri"/>
        <color rgb="FF000000"/>
        <sz val="12.0"/>
        <u/>
      </rPr>
      <t>https://www.philstar.com/other-sections/starweek-magazine/2019/05/05/1915171/shoring-medina</t>
    </r>
    <r>
      <rPr>
        <rFont val="Calibri"/>
        <color rgb="FF000000"/>
        <sz val="12.0"/>
      </rPr>
      <t xml:space="preserve">; https://businessmirror.com.ph/2017/04/23/shoring-up-marine-restoration/ </t>
    </r>
  </si>
  <si>
    <t>0118</t>
  </si>
  <si>
    <t>Sixto Memorial Artificial Reef and Fish Sanctuary</t>
  </si>
  <si>
    <t>Site in Brgy Bagong Silang</t>
  </si>
  <si>
    <t>0268</t>
  </si>
  <si>
    <t>President Carlos P. Garcia</t>
  </si>
  <si>
    <t>PH071235000</t>
  </si>
  <si>
    <t>Small Islands Agricultural Support Services Program (SMISLE)</t>
  </si>
  <si>
    <t>The Search for Best Coastal Management Programs 1998 (n.d.). OneOcean. http://oneocean.org/about_crmp/98search.html</t>
  </si>
  <si>
    <t>http://oneocean.org/about_crmp/98search.html</t>
  </si>
  <si>
    <t>0170</t>
  </si>
  <si>
    <t>Small Islands Integrated Development Project</t>
  </si>
  <si>
    <t>Site in Brgy Alobo</t>
  </si>
  <si>
    <t>Concrete modules</t>
  </si>
  <si>
    <t>Increase fish catch</t>
  </si>
  <si>
    <t>US Peace Corps</t>
  </si>
  <si>
    <t>Plan International</t>
  </si>
  <si>
    <t>0181</t>
  </si>
  <si>
    <t>Taytay</t>
  </si>
  <si>
    <t>PH175320000</t>
  </si>
  <si>
    <t>Sulu Reef Prosthesis</t>
  </si>
  <si>
    <t>Site in Pangatalan Island MPA</t>
  </si>
  <si>
    <r>
      <rPr>
        <rFont val="Calibri"/>
        <color rgb="FF000000"/>
        <sz val="12.0"/>
      </rPr>
      <t xml:space="preserve">Sulu Reef Prosthesis; </t>
    </r>
    <r>
      <rPr>
        <rFont val="Calibri"/>
        <color rgb="FF000000"/>
        <sz val="12.0"/>
      </rPr>
      <t>coral transplantation</t>
    </r>
  </si>
  <si>
    <r>
      <rPr>
        <rFont val="Calibri"/>
        <color rgb="FF000000"/>
        <sz val="12.0"/>
      </rPr>
      <t xml:space="preserve">Restoration </t>
    </r>
    <r>
      <rPr>
        <rFont val="Calibri"/>
        <color rgb="FF000000"/>
        <sz val="12.0"/>
      </rPr>
      <t>of the degraded reef</t>
    </r>
  </si>
  <si>
    <t>Sulubaaai Foundation</t>
  </si>
  <si>
    <t>0.0178 ha</t>
  </si>
  <si>
    <t>1,600 coral fragments</t>
  </si>
  <si>
    <t>Alessi, C., Pavi, T., Santo, M., Tardieu, F., &amp; Tardieu, C. (n.d.). Sulu-Reef Prosthesis: A new method to restore a degraded reef. Sulubaai Foundation. https://sulubaai-foundation.com/wp-content/uploads/2019/07/Sulu-Reef-Prosthesis-a-new-method-in-restoration.pdf</t>
  </si>
  <si>
    <t>https://sulubaai-foundation.com/wp-content/uploads/2019/07/Sulu-Reef-Prosthesis-a-new-method-in-restoration.pdf</t>
  </si>
  <si>
    <t>Cinzia Alessi</t>
  </si>
  <si>
    <t>cinzia.alessi01@community.unipa.it</t>
  </si>
  <si>
    <t>0352</t>
  </si>
  <si>
    <t>Balingoan</t>
  </si>
  <si>
    <t>PH104303000</t>
  </si>
  <si>
    <t>Sustainable Coastal Resource Management Project (SCRMP)</t>
  </si>
  <si>
    <t>Canadian International Development Assistance (CIDA)</t>
  </si>
  <si>
    <t>Touch Foundation</t>
  </si>
  <si>
    <t>Local Government Support Project (LGSP) - Region 10</t>
  </si>
  <si>
    <t>Lapinig About the Initiative (n.d.). SDVillage.ph A Project of Philippine Sustainable Development Network Foundation, Inc. (PSDN). https://www.psdn.org.ph/sdvillage-ph/index.html</t>
  </si>
  <si>
    <t>https://www.psdn.org.ph/sdvillage-ph/coastal/lpnig2.html</t>
  </si>
  <si>
    <t>0117</t>
  </si>
  <si>
    <t>Sustainable Coral Reef Ecosystem Management Program (SCREMP)</t>
  </si>
  <si>
    <t>Sites in Brgy Sta Ana, Tanagan and Brgy Hukay</t>
  </si>
  <si>
    <t>Protection and rehabilitation of marine and coastal ecosystem</t>
  </si>
  <si>
    <t>PHP 25,000,000.00</t>
  </si>
  <si>
    <t>1,020 modules</t>
  </si>
  <si>
    <t>De la Salle University; Pusod Inc.</t>
  </si>
  <si>
    <t>Samahan ng Mangingisda ng Brgy Hukay; Bataha for Nature Conservation Association (BANCA)</t>
  </si>
  <si>
    <t>Pusod Inc. (2019, Feb. 22). Coral nursery establishment in Calatagan [video]. https://web.facebook.com/watch/?v=2145212505517713</t>
  </si>
  <si>
    <t>https://web.facebook.com/watch/?v=2145212505517713</t>
  </si>
  <si>
    <t>0240</t>
  </si>
  <si>
    <t>Coral rehabilitation</t>
  </si>
  <si>
    <t>Loren Legarda. (2021, Nov. 2). Antique Coral Restoration Program [video]. https://web.facebook.com/watch/?v=220661800165072</t>
  </si>
  <si>
    <t>https://web.facebook.com/watch/?v=220661800165072</t>
  </si>
  <si>
    <t>0260</t>
  </si>
  <si>
    <t>Alburquerque</t>
  </si>
  <si>
    <t>PH071201000</t>
  </si>
  <si>
    <t>Reef House</t>
  </si>
  <si>
    <t xml:space="preserve">Coral reef houses </t>
  </si>
  <si>
    <t>"Reestablish a self-sustaining, functioning reef ecosystem", Accelerate reef recovery post-disturbance</t>
  </si>
  <si>
    <t>M2, M1</t>
  </si>
  <si>
    <t>Rehabilitate natural reefs; reef recovery</t>
  </si>
  <si>
    <t>PHP 2,800,000.00 (shared across: "Sustainable Coral Reef Ecosystem Management Program (SCREMP)")</t>
  </si>
  <si>
    <t>300 units (shared across project: Sustainable Coral Reef Ecosystem Management Program (SCREMP) in Bohol and Siquijor)</t>
  </si>
  <si>
    <t>DENR 7 PAWCZMS</t>
  </si>
  <si>
    <t>JKV (2014, December 30). DENR 7 plants 1T artificial reefs. SunStar. https://www.sunstar.com.ph/article/385473/denr-7-plants-1t-artificial-reefs-</t>
  </si>
  <si>
    <t>https://www.sunstar.com.ph/article/385473/denr-7-plants-1t-artificial-reefs-</t>
  </si>
  <si>
    <t>0264</t>
  </si>
  <si>
    <t>Loay</t>
  </si>
  <si>
    <t>PH071228000</t>
  </si>
  <si>
    <t>artificial coral reef houses included cement, sand, crushed limestone, corrugated steel bar, PVC pipe, fish nets, cable tie, tie wire, nylon and bamboo baskets, which serve as the base shape of each reef house</t>
  </si>
  <si>
    <t>Dr. Isabelo Montejo, DENR 7 director,</t>
  </si>
  <si>
    <t>It was stated that the project was started in 2012 and expected to see results in 2020</t>
  </si>
  <si>
    <t>0266</t>
  </si>
  <si>
    <t>It was stated that the project was started in 2012 and expected to see results in 2021</t>
  </si>
  <si>
    <t>0270</t>
  </si>
  <si>
    <t>Talibon</t>
  </si>
  <si>
    <t>PH071243000</t>
  </si>
  <si>
    <t>It was stated that the project was started in 2012 and expected to see results in 2022</t>
  </si>
  <si>
    <t>0273</t>
  </si>
  <si>
    <t>Asturias</t>
  </si>
  <si>
    <t>PH072206000</t>
  </si>
  <si>
    <t>345 units (shared across project: Sustainable Coral Reef Ecosystem Management Program (SCREMP) in Cebu Province)</t>
  </si>
  <si>
    <t>It was stated that the project was started in 2012 and expected to see results in 2023</t>
  </si>
  <si>
    <t>0274</t>
  </si>
  <si>
    <t>Aloguinsan</t>
  </si>
  <si>
    <t>PH072204000</t>
  </si>
  <si>
    <t>It was stated that the project was started in 2012 and expected to see results in 2024</t>
  </si>
  <si>
    <t>0276</t>
  </si>
  <si>
    <t>Barili</t>
  </si>
  <si>
    <t>PH072210000</t>
  </si>
  <si>
    <t>It was stated that the project was started in 2012 and expected to see results in 2025</t>
  </si>
  <si>
    <t>0298</t>
  </si>
  <si>
    <t>Tuburan</t>
  </si>
  <si>
    <t>PH072252000</t>
  </si>
  <si>
    <t>It was stated that the project was started in 2012 and expected to see results in 2026</t>
  </si>
  <si>
    <t>0415</t>
  </si>
  <si>
    <t>Ayungon</t>
  </si>
  <si>
    <t>PH074602000</t>
  </si>
  <si>
    <t>420 units (shared across project: Sustainable Coral Reef Ecosystem Management Program (SCREMP) in Negros Oriental)</t>
  </si>
  <si>
    <t>It was stated that the project was started in 2012 and expected to see results in 2027</t>
  </si>
  <si>
    <t>0418</t>
  </si>
  <si>
    <t>Bindoy</t>
  </si>
  <si>
    <t>PH074607000</t>
  </si>
  <si>
    <t>It was stated that the project was started in 2012 and expected to see results in 2028</t>
  </si>
  <si>
    <t>0426</t>
  </si>
  <si>
    <t>Manjuyod</t>
  </si>
  <si>
    <t>PH074615000</t>
  </si>
  <si>
    <t>It was stated that the project was started in 2012 and expected to see results in 2029</t>
  </si>
  <si>
    <t>0430</t>
  </si>
  <si>
    <t>Tayasan</t>
  </si>
  <si>
    <t>PH074622000</t>
  </si>
  <si>
    <t>It was stated that the project was started in 2012 and expected to see results in 2030</t>
  </si>
  <si>
    <t>0436</t>
  </si>
  <si>
    <t>Lazi</t>
  </si>
  <si>
    <t>PH076103000</t>
  </si>
  <si>
    <t>It was stated that the project was started in 2012 and expected to see results in 2031</t>
  </si>
  <si>
    <t>0437</t>
  </si>
  <si>
    <t>It was stated that the project was started in 2012 and expected to see results in 2032</t>
  </si>
  <si>
    <t>0370</t>
  </si>
  <si>
    <t xml:space="preserve">Sites in Pujada Bay Landscape and Seascape (Davao Oriental), Mabini Landscape and Seascape (Davao de Oro) and Island Garden City of Samal </t>
  </si>
  <si>
    <t>Steel frame</t>
  </si>
  <si>
    <t>Modular frame; Coral transplantation</t>
  </si>
  <si>
    <r>
      <rPr>
        <rFont val="Calibri"/>
        <color rgb="FF000000"/>
        <sz val="12.0"/>
      </rPr>
      <t xml:space="preserve">Llemit, R. L. (2019, Dec. 28). DENR rehabilitates 3 hectares of coral reef. </t>
    </r>
    <r>
      <rPr>
        <rFont val="Calibri"/>
        <i/>
        <color rgb="FF000000"/>
        <sz val="12.0"/>
      </rPr>
      <t>SunStar Davao. https://www.sunstar.com.ph/article/1837913/davao/local-news/denr-rehabilitates-3-hectares-of-coral-reef</t>
    </r>
  </si>
  <si>
    <t>https://www.sunstar.com.ph/article/1837913/davao/local-news/denr-rehabilitates-3-hectares-of-coral-reef</t>
  </si>
  <si>
    <t>0280</t>
  </si>
  <si>
    <t>Daanbantayan</t>
  </si>
  <si>
    <t>PH072221000</t>
  </si>
  <si>
    <t>TepCorSea Coral Restoration</t>
  </si>
  <si>
    <t>Site inside MPA in front of Tepanee Resort</t>
  </si>
  <si>
    <t>Artificial Reef, Mineral Accretion, Coral Gardening</t>
  </si>
  <si>
    <t>Improve habitat and LCC; Provide socio-economic benefits; Establish successful model of restoration</t>
  </si>
  <si>
    <t>Tepanee Resort</t>
  </si>
  <si>
    <t>People and the Sea</t>
  </si>
  <si>
    <t>MLGU; BLGU</t>
  </si>
  <si>
    <t>Tepanee Resort; Coralive</t>
  </si>
  <si>
    <t xml:space="preserve">Logon Fisherfolks Assoc. </t>
  </si>
  <si>
    <t>https://peopleandthesea.org</t>
  </si>
  <si>
    <t>Axelle Jorcin</t>
  </si>
  <si>
    <t>info@peopleandthesea.org</t>
  </si>
  <si>
    <t>0237</t>
  </si>
  <si>
    <t>The Coral Gardening and Reef Rehabilitation Project</t>
  </si>
  <si>
    <t>Restore damaged reefs</t>
  </si>
  <si>
    <t>15.36 ha</t>
  </si>
  <si>
    <t>832 units (52 modules)</t>
  </si>
  <si>
    <t>Dickson, A. &amp; Velasco, P. E. (2011). The Coral Garden &amp; Reef Rehabilitation Project of the Bureau of Fisheries and Aquatic Resources (BFAR) in Tangalan Aklan, Philippines [Abstract]. The FRA-SEAFDEC Joint International Workshop on Artificial Reefs for Fisheries Resource Recovery Program and Proceedings. http://nrife.fra.affrc.go.jp/reprint/gyosyou%20ws.pdf</t>
  </si>
  <si>
    <r>
      <rPr>
        <rFont val="Calibri"/>
        <color rgb="FF000000"/>
        <sz val="12.0"/>
      </rPr>
      <t xml:space="preserve">http://repository.seafdec.or.th/bitstream/handle/20.500.12067/882/DicksonAC2004.pdf;jsessionid=EEA396868A0490A721A5E9B77D356436?sequence=1; </t>
    </r>
    <r>
      <rPr>
        <rFont val="Calibri"/>
        <color rgb="FF1155CC"/>
        <sz val="12.0"/>
        <u/>
      </rPr>
      <t>http://nrife.fra.affrc.go.jp/reprint/gyosyou%20ws.pdf</t>
    </r>
  </si>
  <si>
    <t>0369</t>
  </si>
  <si>
    <t>The Coral Project; Coral Restoration Awareness and Livelihood (CORAL)</t>
  </si>
  <si>
    <t>Site in Brgy Tagbaobo</t>
  </si>
  <si>
    <t>Live COPs attached to nylons and fastened to coral rocks and cement bases</t>
  </si>
  <si>
    <t>Philippine Business for the Environment (PBE); Generose Tecson</t>
  </si>
  <si>
    <t>Nagkahiusang Mangingisda sa Tagbaobo</t>
  </si>
  <si>
    <t>Estremera, S. (2012, October 7). Coral Restoration Awareness and Livelihood - in the Island Garden City of Samal. Save the Philippine Coral Reefs. https://savethephilippinecoralreefs.wordpress.com/page/10/?controllername=search&amp;action=search&amp;channel=world&amp;search=1&amp;inlinelink=1&amp;query=-paul%20fong-</t>
  </si>
  <si>
    <t>https://savethephilippinecoralreefs.wordpress.com/page/10/?controllername=search&amp;action=search&amp;channel=world&amp;search=1&amp;inlinelink=1&amp;query=-paul%20fong-</t>
  </si>
  <si>
    <t>0345</t>
  </si>
  <si>
    <t>Linamon</t>
  </si>
  <si>
    <t>PH103510000</t>
  </si>
  <si>
    <t>The Linamon Coral Reef Restoration and Enhancement Through Community-Based Coral Transplantation in a Marine Protected Area</t>
  </si>
  <si>
    <t>Concrete pyramid, Concrete domes, Concrete cylinder</t>
  </si>
  <si>
    <t>Coral transplantation; ARs in pyramidal, dome type and cylindrical types</t>
  </si>
  <si>
    <t>World Bank; GOP</t>
  </si>
  <si>
    <t>PHP 3,230,000.00</t>
  </si>
  <si>
    <t>38 modules</t>
  </si>
  <si>
    <t>MLGU; Department of Agriculture</t>
  </si>
  <si>
    <t>Magoong and Samburon Fisherfolk Assoc.</t>
  </si>
  <si>
    <t>Lakwatsero (2012, June 11). Diving with a purpose: coral transplantation project in Linamon, Lanao del Norte. Lakwatsero: Let me take you to the best places. https://www.lakwatsero.com/dive-report/linamon-coral-transplanation-project-in-iligan-bay/</t>
  </si>
  <si>
    <t>https://www.lakwatsero.com/dive-report/linamon-coral-transplanation-project-in-iligan-bay/</t>
  </si>
  <si>
    <t>0383</t>
  </si>
  <si>
    <t>Davao de Oro</t>
  </si>
  <si>
    <t>PH118203000</t>
  </si>
  <si>
    <t>The Reef 35</t>
  </si>
  <si>
    <t>Site in Kopiat Island inside NIPAS Mabini Protected Landscape and Seascape</t>
  </si>
  <si>
    <t>Rectangular rebar frames</t>
  </si>
  <si>
    <t>Coral reef enrichment; Marine conservation for future generation</t>
  </si>
  <si>
    <t>Davao Gulf Divers</t>
  </si>
  <si>
    <t>0.0002 ha</t>
  </si>
  <si>
    <t>35 units</t>
  </si>
  <si>
    <t>Provincial Environment and Natural Resources Office (PENRO) Davao de Oro; DENR Region 11; MPLS - Protected Area Management Office</t>
  </si>
  <si>
    <r>
      <rPr>
        <rFont val="Calibri"/>
        <color rgb="FF000000"/>
        <sz val="12.0"/>
      </rPr>
      <t xml:space="preserve">DENR Davao (2023, January 21). Coral reef enrichment undertaken at Mabini Protected Landscape and Seascape, Davao de Oro [Status Update]. </t>
    </r>
    <r>
      <rPr>
        <rFont val="Calibri"/>
        <i/>
        <color rgb="FF000000"/>
        <sz val="12.0"/>
      </rPr>
      <t>https://web.facebook.com/story.php?story_fbid=551153050380292&amp;id=100064568057133&amp;_rdc=1&amp;_rdr</t>
    </r>
  </si>
  <si>
    <t>https://web.facebook.com/story.php?story_fbid=551153050380292&amp;id=100064568057133&amp;_rdc=1&amp;_rdr</t>
  </si>
  <si>
    <t>0176</t>
  </si>
  <si>
    <t>El Nido</t>
  </si>
  <si>
    <t>PH175312000</t>
  </si>
  <si>
    <t>Tres Marias Nido Coral Reef Restoration and Education Program</t>
  </si>
  <si>
    <t>Site in Tres Marias</t>
  </si>
  <si>
    <t>EcoReefs (ceramic-based)</t>
  </si>
  <si>
    <t>Eco-Reefs</t>
  </si>
  <si>
    <t xml:space="preserve">Rehabilitate coral reefs; marine life recruitment; Fish population declines; stakeholder involvement </t>
  </si>
  <si>
    <t>Seacology</t>
  </si>
  <si>
    <t>El Nido Foundation</t>
  </si>
  <si>
    <t>WWF</t>
  </si>
  <si>
    <t>Beltran, L. (n.d.). The Ceramic Corals of El Nido. https://www.ilink.ph/view.php?id=585</t>
  </si>
  <si>
    <t>https://www.ilink.ph/view.php?id=585; https://www.seacology.org/project/223-philippines/; https://oneocean.org/download/db_files/directory_of_crm_destinations2Ed.pdf</t>
  </si>
  <si>
    <t>0400</t>
  </si>
  <si>
    <t>Claver</t>
  </si>
  <si>
    <t>PH166706000</t>
  </si>
  <si>
    <t>Site inside Lambason Marine Sanctuary (Millari Island)</t>
  </si>
  <si>
    <t>Recovery of stressed corals</t>
  </si>
  <si>
    <t>Platinum Group Metals Corporation</t>
  </si>
  <si>
    <t>Philippine Nickel Industry Association</t>
  </si>
  <si>
    <t>PGMC's Coral Transplantation in Lambason (Millari Island) Marine Sanctuary (2019, June 10). Philippine Nickel Industry Association. https://www.philippinenickel.org/news-and-updates/press-release/pgmcs-coral-transplantation-in-lambason-millari-island-marine-sanctuary/</t>
  </si>
  <si>
    <t>https://www.philippinenickel.org/news-and-updates/press-release/pgmcs-coral-transplantation-in-lambason-millari-island-marine-sanctuary/</t>
  </si>
  <si>
    <t>0092</t>
  </si>
  <si>
    <t>Limay</t>
  </si>
  <si>
    <t>PH030806000</t>
  </si>
  <si>
    <t>tire modules arranged in a pyramid</t>
  </si>
  <si>
    <t>In response to allegations that power plants were causing diminishing fish catch</t>
  </si>
  <si>
    <t>National Power Corporation</t>
  </si>
  <si>
    <t>DOE (National Power Corporation)</t>
  </si>
  <si>
    <t>DOE</t>
  </si>
  <si>
    <t>BFAR; DA; MLGU; BLGU</t>
  </si>
  <si>
    <t>0114</t>
  </si>
  <si>
    <t>City of Calaca</t>
  </si>
  <si>
    <t>PH041007000</t>
  </si>
  <si>
    <t>0193</t>
  </si>
  <si>
    <t>0292</t>
  </si>
  <si>
    <t>City of Naga</t>
  </si>
  <si>
    <t>PH072234000</t>
  </si>
  <si>
    <t>0389</t>
  </si>
  <si>
    <r>
      <rPr>
        <rFont val="Calibri"/>
        <color rgb="FF000000"/>
        <sz val="12.0"/>
      </rPr>
      <t xml:space="preserve">Transplant coral fragments </t>
    </r>
    <r>
      <rPr>
        <rFont val="Calibri"/>
        <color rgb="FF000000"/>
        <sz val="12.0"/>
      </rPr>
      <t>affected by human activities and typhoons</t>
    </r>
  </si>
  <si>
    <t>Sarangani PENRO</t>
  </si>
  <si>
    <t>1,400 coral fragments</t>
  </si>
  <si>
    <t>LGU MENRO</t>
  </si>
  <si>
    <t>Gubalani, R. (2020, Sept. 29). Sarangani Bay's coral ecosystem "healthy, improving". https://www.pna.gov.ph/articles/1116952</t>
  </si>
  <si>
    <t>https://www.pna.gov.ph/articles/1116952</t>
  </si>
  <si>
    <t>0447</t>
  </si>
  <si>
    <t>Site in Brgy Linao</t>
  </si>
  <si>
    <t>CNU; wind-vane type nursery</t>
  </si>
  <si>
    <t>Address coral reef degradation; targeted areas were rich in natural resources but suffered from both natural and human activities</t>
  </si>
  <si>
    <t>MAFAR Provincial Office; BLGU</t>
  </si>
  <si>
    <t>Admin. (2024, December 9). Coastal rehabilitation takes center stage in Datu Blah Sinsuat. Ministry of Agriculture, Fisheries, and Agrarian Reform - Bangsamoro Government. https://mafar.bangsamoro.gov.ph/coastal-rehabilitation-takes-center-stage-in-datu-blah-sinsuat/</t>
  </si>
  <si>
    <t>https://mafar.bangsamoro.gov.ph/coastal-rehabilitation-takes-center-stage-in-datu-blah-sinsuat/</t>
  </si>
  <si>
    <t>0247</t>
  </si>
  <si>
    <t>M1, M2</t>
  </si>
  <si>
    <t>Supporting recovery of fishing livelihoods, mangroves and coral reefs in the Philippines after Typhoon Haiyan</t>
  </si>
  <si>
    <t>CONCERN Worldwide</t>
  </si>
  <si>
    <t>3,400 coral fragments; 600 jackstones</t>
  </si>
  <si>
    <t xml:space="preserve">MLGU; </t>
  </si>
  <si>
    <t>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t>
  </si>
  <si>
    <t>https://admin.concern.net/sites/default/files/media/migrated/_supporting_recovery_of_fishing_livelihoods_mangroves_and_coral_reefs_in_the_philippines_0.pdf</t>
  </si>
  <si>
    <t>0252</t>
  </si>
  <si>
    <t>0253</t>
  </si>
  <si>
    <t>UP Visayas</t>
  </si>
  <si>
    <t>0422</t>
  </si>
  <si>
    <t>Restore reef systems</t>
  </si>
  <si>
    <t>BPI Bayan Dumaguete</t>
  </si>
  <si>
    <t>Rotary Club Dumaguete South</t>
  </si>
  <si>
    <t>Rotary Dumaguete South (2021, September 29). Artificial Reef Dome: A Partnership with BPI Bayan and RCDS. The Spinning Wheel, Vol. 29, No. 4. https://www.rotarydistrict3860.org/wp-content/d3860/Dumaguete%20South/21_22/04_ebulletin_2021_09_29_2021-09-29.pdf</t>
  </si>
  <si>
    <t>https://www.rotarydistrict3860.org/wp-content/d3860/Dumaguete%20South/21_22/04_ebulletin_2021_09_29_2021-09-29.pdf</t>
  </si>
  <si>
    <t>0392</t>
  </si>
  <si>
    <t>Site in Tinoto Reef</t>
  </si>
  <si>
    <t>Conservation and protection of Sarangani Bay</t>
  </si>
  <si>
    <t>World Vision</t>
  </si>
  <si>
    <t>29 units</t>
  </si>
  <si>
    <t>OPA; OMA; PENRO; Environmental Conservation and Protection Center; 73rd Infrantry Batallion Philippine Army</t>
  </si>
  <si>
    <t>Lemlunay Resort</t>
  </si>
  <si>
    <t>Tinoto Fisherfolks Assoc.</t>
  </si>
  <si>
    <r>
      <rPr>
        <rFont val="Calibri"/>
        <color rgb="FF000000"/>
        <sz val="12.0"/>
      </rPr>
      <t xml:space="preserve">de Guzman, J. R. (2012, October 3). Donors lay artificial reef domes in Sarangani Bay. </t>
    </r>
    <r>
      <rPr>
        <rFont val="Calibri"/>
        <color rgb="FF000000"/>
        <sz val="12.0"/>
      </rPr>
      <t>One Mindanao. https://issuu.com/piamindanao1/docs/one_mindanao_-_october_3</t>
    </r>
  </si>
  <si>
    <r>
      <rPr>
        <rFont val="Calibri"/>
        <color rgb="FF000000"/>
        <sz val="12.0"/>
      </rPr>
      <t xml:space="preserve">https://issuu.com/piamindanao1/docs/one_mindanao_-_october_3; </t>
    </r>
    <r>
      <rPr>
        <rFont val="Calibri"/>
        <color rgb="FF1155CC"/>
        <sz val="12.0"/>
        <u/>
      </rPr>
      <t>https://clafi.org/our_work_categories/environment-protection-and-conservation-projects/</t>
    </r>
    <r>
      <rPr>
        <rFont val="Calibri"/>
        <color rgb="FF000000"/>
        <sz val="12.0"/>
      </rPr>
      <t>;</t>
    </r>
  </si>
  <si>
    <t>0185</t>
  </si>
  <si>
    <t>Protecting and preserving marine resources</t>
  </si>
  <si>
    <t>BFAR; BU; MCCF</t>
  </si>
  <si>
    <t>Pacific Blue Dive Shop</t>
  </si>
  <si>
    <t>cbartazo (2015, June 28). Deeper in Albay (Part II). Life in the Great Beyond. https://cbartazo.com/tag/diving-in-bicol/</t>
  </si>
  <si>
    <t>https://cbartazo.com/tag/diving-in-bicol/</t>
  </si>
  <si>
    <t>0002</t>
  </si>
  <si>
    <t>Currimao</t>
  </si>
  <si>
    <t>PH012808000</t>
  </si>
  <si>
    <t>Site in Poblacion Bay</t>
  </si>
  <si>
    <r>
      <rPr>
        <rFont val="Calibri"/>
        <color rgb="FF000000"/>
        <sz val="12.0"/>
      </rPr>
      <t xml:space="preserve">Marine biosystem </t>
    </r>
    <r>
      <rPr>
        <rFont val="Calibri"/>
        <color rgb="FF000000"/>
        <sz val="12.0"/>
      </rPr>
      <t>regeneration</t>
    </r>
  </si>
  <si>
    <t>Dr. Joven Cuanang; Cong. Angelo Barba</t>
  </si>
  <si>
    <t>Individual, Government - LGU</t>
  </si>
  <si>
    <t>Individual/Student Project, Government - LGU</t>
  </si>
  <si>
    <t>Philippine Coast Guard; Philippine Air Force;  Mariano Marcos State University; BFAR; DENR</t>
  </si>
  <si>
    <t>Pinto Art Museum</t>
  </si>
  <si>
    <t>RPN News (2023, May 14). The Corals of Currimao. RPN Radio. https://rpnradio.com/the-corals-of-currimao/</t>
  </si>
  <si>
    <t>https://rpnradio.com/the-corals-of-currimao/</t>
  </si>
  <si>
    <t>0405</t>
  </si>
  <si>
    <t>Tagana-an</t>
  </si>
  <si>
    <t>PH166725000</t>
  </si>
  <si>
    <t>Site near Hinatuan Beach, Brgy Talavera</t>
  </si>
  <si>
    <t>Concrete cubic w/ depression holes</t>
  </si>
  <si>
    <t>Improve biodiversity</t>
  </si>
  <si>
    <t>Hinatuan Mining Corp.; Nickel Asia Corp (NAC);</t>
  </si>
  <si>
    <t>150 coral fragments</t>
  </si>
  <si>
    <t>Punta Bilar Surigao Divers  Club</t>
  </si>
  <si>
    <t>Ocampo, K. A. (2017, October 15). Tourist site near an open mining pit. Philippine Daily Inquirer. https://newsinfo.inquirer.net/937981/philippine-tourism-hinatuan-beach-surigao-del-sur-tourist-spot-nickel-asia-corp-michael-arlan-hinatuan-mining-corp-denr-scremp</t>
  </si>
  <si>
    <t>https://newsinfo.inquirer.net/937981/philippine-tourism-hinatuan-beach-surigao-del-sur-tourist-spot-nickel-asia-corp-michael-arlan-hinatuan-mining-corp-denr-scremp; https://nickelasia.com/subsidiaries/hinatuan-mining-corporation</t>
  </si>
  <si>
    <t>0144</t>
  </si>
  <si>
    <t>Concrete; shaped into a giant Rotary wheel</t>
  </si>
  <si>
    <r>
      <rPr>
        <rFont val="Calibri"/>
        <color rgb="FF000000"/>
        <sz val="12.0"/>
      </rPr>
      <t xml:space="preserve">Restore </t>
    </r>
    <r>
      <rPr>
        <rFont val="Calibri"/>
        <color rgb="FF000000"/>
        <sz val="12.0"/>
      </rPr>
      <t xml:space="preserve">local </t>
    </r>
    <r>
      <rPr>
        <rFont val="Calibri"/>
        <color rgb="FF000000"/>
        <sz val="12.0"/>
      </rPr>
      <t>fisheries</t>
    </r>
  </si>
  <si>
    <t>Rotary Foundation</t>
  </si>
  <si>
    <t>0.0084 ha</t>
  </si>
  <si>
    <t>1 unit</t>
  </si>
  <si>
    <t>Rotary Club of Atimonan</t>
  </si>
  <si>
    <t>Rotary Club of Madera; California</t>
  </si>
  <si>
    <t>Cahilig, Q. (n.d.). A giant artificial reef in the shape of a Rotary wheel restores marine life and protects the livelihood of several fishing villages in the Philippines. Rotary. https://www.rotary.org/en/giant-rotary-wheel-haven-fish-philippines</t>
  </si>
  <si>
    <t>https://www.rotary.org/en/giant-rotary-wheel-haven-fish-philippines</t>
  </si>
  <si>
    <t>0294</t>
  </si>
  <si>
    <t>Site in Brgy Consuelo</t>
  </si>
  <si>
    <t>Reef rehabilitation</t>
  </si>
  <si>
    <t>0.10 ha</t>
  </si>
  <si>
    <t>2,000 fragments</t>
  </si>
  <si>
    <t>International Marinelife Alliance</t>
  </si>
  <si>
    <t>Consuelo United Farmers and Fishers Assoc.</t>
  </si>
  <si>
    <t>Dalby, J., &amp; Sorensen, T. K. (2002). Coastal Reef Resource Management in the Philippines - with focus on marine protected areas as a management tool. University of Copenhagen [Thesis]. DOI:10.13140/RG.2.1.2923.2883</t>
  </si>
  <si>
    <t>https://www.researchgate.net/publication/305770156_Coral_reef_resource_management_in_the_Philippines_-_with_focus_on_marine_protected_areas_as_a_management_tool</t>
  </si>
  <si>
    <t>Joey Gatus</t>
  </si>
  <si>
    <t>0194</t>
  </si>
  <si>
    <t>Jose Panganiban</t>
  </si>
  <si>
    <t>PH051605000</t>
  </si>
  <si>
    <t>Site in Calalanay Island</t>
  </si>
  <si>
    <t>Breeding and spawning ground for fish</t>
  </si>
  <si>
    <t xml:space="preserve">MLGU </t>
  </si>
  <si>
    <t>BFAR; DENR</t>
  </si>
  <si>
    <t>BNFM Daet (2021, Sept. 23). Artificial coral reefs inilagay sa karagatang sakop ng Jose Panganiban, bahagi ng Marine Protected Areas idedeklarang fish sanctuary ng LGU. Brigada News. https://brigadanews.ph/artificial-coral-reefs-inilagay-sa-karagatang-sakop-ng-jose-panganiban-bahagi-ng-marine-protected-areas-idedeklarang-fish-santuary-ng-lgu/</t>
  </si>
  <si>
    <t>https://brigadanews.ph/artificial-coral-reefs-inilagay-sa-karagatang-sakop-ng-jose-panganiban-bahagi-ng-marine-protected-areas-idedeklarang-fish-santuary-ng-lgu/</t>
  </si>
  <si>
    <t>0028</t>
  </si>
  <si>
    <r>
      <rPr>
        <rFont val="Calibri"/>
        <color rgb="FF000000"/>
        <sz val="12.0"/>
      </rPr>
      <t xml:space="preserve">City of </t>
    </r>
    <r>
      <rPr>
        <rFont val="Calibri"/>
        <color rgb="FF000000"/>
        <sz val="12.0"/>
      </rPr>
      <t>San Fernando</t>
    </r>
  </si>
  <si>
    <t>Site in Pagdaraonan Bay</t>
  </si>
  <si>
    <t>Concrete and plastic pipes as mentioned but based on the photos they look like concrete domes</t>
  </si>
  <si>
    <r>
      <rPr>
        <rFont val="Calibri"/>
        <color rgb="FF000000"/>
        <sz val="12.0"/>
      </rPr>
      <t>Protect and preserve</t>
    </r>
    <r>
      <rPr>
        <rFont val="Calibri"/>
        <color rgb="FF000000"/>
        <sz val="12.0"/>
      </rPr>
      <t xml:space="preserve"> various species of fish in the area</t>
    </r>
  </si>
  <si>
    <t>33 units</t>
  </si>
  <si>
    <t>Coast Guard; PENRO; PLGU; BLGU</t>
  </si>
  <si>
    <t>Naval Forces Northern Luzon. (n.d.). NFNL deploys artificial coral reefs in San Fernando Bay [Status update]. Facebook. https://free.facebook.com/media/set/?set=a.1575816015988174</t>
  </si>
  <si>
    <t>https://free.facebook.com/media/set/?set=a.1575816015988174.1073741860.1418721221697655&amp;type=3&amp;_rdc=1&amp;_rdr</t>
  </si>
  <si>
    <t>0111</t>
  </si>
  <si>
    <t>Batangas City</t>
  </si>
  <si>
    <t>PH041005000</t>
  </si>
  <si>
    <t>Site in Brgy Simlong</t>
  </si>
  <si>
    <t>Concrete pyramid</t>
  </si>
  <si>
    <t>Enhance the immediate shallow water coastal habitat of Simlong by providing a stable substrate for coral settlement and growth, as well as acting as shelter for reef fish</t>
  </si>
  <si>
    <t>JG Summit Petrochemicals</t>
  </si>
  <si>
    <t>0.00125 ha</t>
  </si>
  <si>
    <t>23 blocks</t>
  </si>
  <si>
    <t>JG Summit Team (2019, June 29). JGSPG's Artificial Reef Project Continues to Attract Marine Life. https://www.jgsummit.com.ph/impact/jgspg-s-artificial-reef-project-continues-to-attract-marine-life-20190629</t>
  </si>
  <si>
    <t>https://www.jgsummit.com.ph/impact/jgspg-s-artificial-reef-project-continues-to-attract-marine-life-20190629</t>
  </si>
  <si>
    <t>0112</t>
  </si>
  <si>
    <t>220 blocks</t>
  </si>
  <si>
    <t>0120</t>
  </si>
  <si>
    <t>Site in the Brgys of Olo-olo, Soloc and Malabrigo</t>
  </si>
  <si>
    <t>Concrete blocks</t>
  </si>
  <si>
    <t>Enhance marine life through establishment of habitats and roosting places for sea turtles</t>
  </si>
  <si>
    <t>8000 units (shared across project: Barangay Olo-olo, Soloc, Malabrigo, Balibago, Biga, and Lagadlarin)</t>
  </si>
  <si>
    <r>
      <rPr>
        <rFont val="Calibri"/>
        <color rgb="FF000000"/>
        <sz val="12.0"/>
      </rPr>
      <t xml:space="preserve">Santos, T. (2022, September 7). Artificial coral reefs in the town of Lobo, home to fish and marine life. Sentinel Times. </t>
    </r>
    <r>
      <rPr>
        <rFont val="Calibri"/>
        <color rgb="FF1155CC"/>
        <sz val="12.0"/>
        <u/>
      </rPr>
      <t>https://www.sentineltimes.net/2022/09/artificial-coral-reefs-in-town-of-lobo.html</t>
    </r>
  </si>
  <si>
    <t>https://www.sentineltimes.net/2022/09/artificial-coral-reefs-in-town-of-lobo.html; https://www.youtube.com/watch?v=Exp81oq_MO4</t>
  </si>
  <si>
    <t>0121</t>
  </si>
  <si>
    <t>Site in the Brgys of Balibago and Biga</t>
  </si>
  <si>
    <t>Santos, T. (2022, September 7). Artificial coral reefs in the town of Lobo, home to fish and marine life. Sentinel Times. https://www.sentineltimes.net/2022/09/artificial-coral-reefs-in-town-of-lobo.html</t>
  </si>
  <si>
    <t>https://www.sentineltimes.net/2022/09/artificial-coral-reefs-in-town-of-lobo.html</t>
  </si>
  <si>
    <t>0122</t>
  </si>
  <si>
    <t>Site in Brgy Lagadlarin</t>
  </si>
  <si>
    <t>0187</t>
  </si>
  <si>
    <t>Malinao</t>
  </si>
  <si>
    <t>PH050510000</t>
  </si>
  <si>
    <t>Fish refuge and breeding</t>
  </si>
  <si>
    <r>
      <rPr>
        <rFont val="Calibri"/>
        <color rgb="FF000000"/>
        <sz val="12.0"/>
      </rPr>
      <t xml:space="preserve">BFAR </t>
    </r>
    <r>
      <rPr>
        <rFont val="Calibri"/>
        <color rgb="FF000000"/>
        <sz val="12.0"/>
      </rPr>
      <t>Region 5</t>
    </r>
  </si>
  <si>
    <t>Buitizon, N. (2024, March 19). Artificial Reefs. One of the successful Artificial Reef (AR) was deployed in the coastal water of Malinao, Albay [Status Update].</t>
  </si>
  <si>
    <t>https://web.facebook.com/photo/?fbid=25137872482494016&amp;set=pcb.25137873715827226</t>
  </si>
  <si>
    <t>0202</t>
  </si>
  <si>
    <t>Presentacion</t>
  </si>
  <si>
    <t>PH051729000</t>
  </si>
  <si>
    <t>Enhance marine biodiversity</t>
  </si>
  <si>
    <t>US Peace Corps; DENR CENRO; BFAR</t>
  </si>
  <si>
    <t>DENR Region 5 (2019, October 9). Coral Reef Restoration at Gamban Reef [Press Release]. https://r5.denr.gov.ph/index.php/news-events/photo-releases/1292-coral-reef-restoration-at-gamban-reef</t>
  </si>
  <si>
    <t>https://r5.denr.gov.ph/index.php/news-events/photo-releases/1292-coral-reef-restoration-at-gamban-reef</t>
  </si>
  <si>
    <t>0206</t>
  </si>
  <si>
    <t>Virac</t>
  </si>
  <si>
    <t>PH052011000</t>
  </si>
  <si>
    <t>Site in Brgy. Balete</t>
  </si>
  <si>
    <t>Concrete cube</t>
  </si>
  <si>
    <t>Concrete cubes</t>
  </si>
  <si>
    <t>Habitat restoration</t>
  </si>
  <si>
    <t>Philippine Society of Otolaryngology Head and Neck Surgery</t>
  </si>
  <si>
    <t>6 units</t>
  </si>
  <si>
    <t>Buitizon, N. (2024, July 9). This is how we work underwater in the deployment of concrete modules for artificial reefs (ARs) in Virac, Catanduanes [Status Update].</t>
  </si>
  <si>
    <t>https://web.facebook.com/nia.buitizon/videos/404223295357898</t>
  </si>
  <si>
    <t>0325</t>
  </si>
  <si>
    <t>Restoration of reef</t>
  </si>
  <si>
    <t>Coral restoration Sogod Bay Southern Leyte (2021, May 5). Coral restoration and planting [Status Update]. Facebook. https://web.facebook.com/sogodbaycoralrestoration/?_rdc=1&amp;_rdr</t>
  </si>
  <si>
    <t>https://www.facebook.com/sogodbaycoralrestoration/?_rdc=2&amp;_rdr#</t>
  </si>
  <si>
    <t>info@sogodbayscubaresort.com</t>
  </si>
  <si>
    <t>0341</t>
  </si>
  <si>
    <t>Site in Cabuan MPA</t>
  </si>
  <si>
    <t>Microfragmentation</t>
  </si>
  <si>
    <t>Microfragmentation; colony fusion</t>
  </si>
  <si>
    <t>Improve coral restoration efforts; reef resilience</t>
  </si>
  <si>
    <t xml:space="preserve">Camiguin Polytechnic State College; </t>
  </si>
  <si>
    <t>Luczon, N. (2020). Environmental group restores coral reefs in Camiguin. Philippine News Agency. https://www.pna.gov.ph/articles/1124515</t>
  </si>
  <si>
    <t>https://www.pna.gov.ph/articles/1124515</t>
  </si>
  <si>
    <t>0350</t>
  </si>
  <si>
    <t>Panaon</t>
  </si>
  <si>
    <t>PH104211000</t>
  </si>
  <si>
    <t>PVC pipe, Glass bottles, Unspecified concrete structure</t>
  </si>
  <si>
    <t>Concrete; PVC pipes; recycled bottles</t>
  </si>
  <si>
    <t>University of Science and Technology of Southern Philippines</t>
  </si>
  <si>
    <t>University of Science and Technology of Southern Philippines - BS Marine Biology</t>
  </si>
  <si>
    <t>Gomonit, J. (n.d.). BSMB students install artificial coral reefs in Panaon coastal waters. https://www.ustp.edu.ph/bsmb-students-install-artificial-coral-reefs-in-panaon-coastal-waters/</t>
  </si>
  <si>
    <t>https://www.ustp.edu.ph/bsmb-students-install-artificial-coral-reefs-in-panaon-coastal-waters/</t>
  </si>
  <si>
    <t>0395</t>
  </si>
  <si>
    <t>Provide shelter, food for biodiversity</t>
  </si>
  <si>
    <t>27 units</t>
  </si>
  <si>
    <t>MLGU; Butuan Bay Divers</t>
  </si>
  <si>
    <t>MAO FITS Center-Buenavista, ADN (2022, August 23). Arrangement of artificial coral reefs by the #butuanbaydivers and the Philippine Coast Guard-AND at the municipal sanctuary of Brgy Sacol [Status Update] [Images Attached]. https://web.facebook.com/LGUbuenavistaagriculture</t>
  </si>
  <si>
    <t>https://web.facebook.com/photo/?fbid=434871958676768&amp;set=pcb.434872188676745</t>
  </si>
  <si>
    <t>0399</t>
  </si>
  <si>
    <t>Carmen</t>
  </si>
  <si>
    <t>PH160204000</t>
  </si>
  <si>
    <t>Site in Poblacion Fish Sanctuary</t>
  </si>
  <si>
    <t>Habitat for aquatic flora and fauna</t>
  </si>
  <si>
    <t>120 units</t>
  </si>
  <si>
    <t>BFAR CARAGA (2019). 2019 Annual Report. https://caraga.bfar.da.gov.ph/wp-content/uploads/2022/12/Annual-Report-2019.pdf</t>
  </si>
  <si>
    <t>https://caraga.bfar.da.gov.ph/wp-content/uploads/2022/12/Annual-Report-2019.pdf</t>
  </si>
  <si>
    <t>0196</t>
  </si>
  <si>
    <t>Balatan</t>
  </si>
  <si>
    <t>PH051702000</t>
  </si>
  <si>
    <t>Shelter and breeding ground</t>
  </si>
  <si>
    <t>USANT College of Maritime Education and College of Engineering and Architecture</t>
  </si>
  <si>
    <t xml:space="preserve">Ballesteros, J. B. (2020). Build an Artificial Coral Reef Community Extension Project: An Impact Study. JPAIR Multidisciplinary Research Journal, 42(1). https://ejournals.ph/article.php?id=15657 </t>
  </si>
  <si>
    <t>https://ejournals.ph/article.php?id=15657</t>
  </si>
  <si>
    <t>Jose B. Ballesteros</t>
  </si>
  <si>
    <t>0372</t>
  </si>
  <si>
    <t>Site in Brgy Adecor</t>
  </si>
  <si>
    <t>LYR Group of Companies</t>
  </si>
  <si>
    <t>266 units</t>
  </si>
  <si>
    <t>LYR Resort</t>
  </si>
  <si>
    <t>CLGU - City Agricultures Office-Fisheries Division; Philippine Coast Guard</t>
  </si>
  <si>
    <t>Rotary Club of Tagum; Lorenzo Rubinos Jr.</t>
  </si>
  <si>
    <t>Coast Guard Station IGACOS (2022, November 7). Enhancing marine environment in Samal Island. Goodnews: A total of 266 Artificial coral reefs were successfully installed at the coastal [Status Update] [Image attached]. Facebook. https://web.facebook.com/cgs.igacos/posts/pfbid0o1Pr1n877hcQS3bWp9eiPnMsVcMwKEjXnSYkgKQVbuJVEF6KGgha7NPtkJeWfThZl</t>
  </si>
  <si>
    <t>https://web.facebook.com/cgs.igacos/posts/pfbid0o1Pr1n877hcQS3bWp9eiPnMsVcMwKEjXnSYkgKQVbuJVEF6KGgha7NPtkJeWfThZl; https://mindanao.politiko.com.ph/artificial-reefs-to-be-installed-in-samal-island-waters/</t>
  </si>
  <si>
    <t>0443</t>
  </si>
  <si>
    <t>Lanao del Sur</t>
  </si>
  <si>
    <t>Balabagan</t>
  </si>
  <si>
    <t>PH153602000</t>
  </si>
  <si>
    <t>Site in Brgy Banago</t>
  </si>
  <si>
    <t>CNU (made out of steel bar table) with coral fragments or COPs</t>
  </si>
  <si>
    <t>Banago village officials</t>
  </si>
  <si>
    <t>Bagumbaran, A. (n.d.). MAFAR deploys coral nursery units in Lanao del Sur. PhilMuslim Today. https://philmuslimtoday.com/2022/06/08/mafar-deploys-coral-nursery-units-in-lanao-del-sur/</t>
  </si>
  <si>
    <t>https://philmuslimtoday.com/2022/06/08/mafar-deploys-coral-nursery-units-in-lanao-del-sur/</t>
  </si>
  <si>
    <t>MAFAR is set to conduct another CNU deployment in Bongo Island, Parang, and Maguindanao within the quarter of this year.</t>
  </si>
  <si>
    <t>0033</t>
  </si>
  <si>
    <t>Luna</t>
  </si>
  <si>
    <t>PH013310000</t>
  </si>
  <si>
    <t>Site in Brgy Nalvo</t>
  </si>
  <si>
    <r>
      <rPr>
        <rFont val="Calibri"/>
        <color rgb="FF000000"/>
        <sz val="12.0"/>
      </rPr>
      <t xml:space="preserve">Provide </t>
    </r>
    <r>
      <rPr>
        <rFont val="Calibri"/>
        <color rgb="FF000000"/>
        <sz val="12.0"/>
      </rPr>
      <t>natural habitat</t>
    </r>
    <r>
      <rPr>
        <rFont val="Calibri"/>
        <color rgb="FF000000"/>
        <sz val="12.0"/>
      </rPr>
      <t xml:space="preserve"> for marine life and boost </t>
    </r>
    <r>
      <rPr>
        <rFont val="Calibri"/>
        <color rgb="FF000000"/>
        <sz val="12.0"/>
      </rPr>
      <t>fish production</t>
    </r>
  </si>
  <si>
    <t>Austria, H. (2023, February 16). La Union deploys artificial reefs to boost fish production. Philippine News Agency. https://www.pna.gov.ph/articles/1195285</t>
  </si>
  <si>
    <t>https://www.pna.gov.ph/articles/1195285; https://launion.gov.ph/%F0%9D%97%A3%F0%9D%97%9A%F0%9D%97%9F%F0%9D%97%A8%F0%9D%98%80-%F0%9D%97%94%F0%9D%97%A5%F0%9D%97%A7%F0%9D%97%9C%F0%9D%97%99%F0%9D%97%9C%F0%9D%97%96%F0%9D%97%9C%F0%9D%97%94%F0%9D%97%9F/</t>
  </si>
  <si>
    <t>0086</t>
  </si>
  <si>
    <t>San Fabian</t>
  </si>
  <si>
    <t>PH015533000</t>
  </si>
  <si>
    <t>Fish shelter and breeding ground; iincrease fish catch</t>
  </si>
  <si>
    <t>70 units</t>
  </si>
  <si>
    <r>
      <rPr>
        <rFont val="Calibri"/>
        <color rgb="FF000000"/>
        <sz val="12.0"/>
      </rPr>
      <t xml:space="preserve">Fulgencio-Espanol, E. (2018, Jan. 31). Paglalagay ng artificial reef sa dagat sa Pangasinan, sinimulan na. ABS-CBN News. </t>
    </r>
    <r>
      <rPr>
        <rFont val="Calibri"/>
        <color rgb="FF1155CC"/>
        <sz val="12.0"/>
        <u/>
      </rPr>
      <t>https://news.abs-cbn.com/news/01/31/18/paglalagay-ng-artificial-reef-sa-dagat-sa-pangasinan-sinimulan-na</t>
    </r>
  </si>
  <si>
    <t>https://www.abs-cbn.com/news/01/31/18/paglalagay-ng-artificial-reef-sa-dagat-sa-pangasinan-sinimulan-na</t>
  </si>
  <si>
    <t>Benjie Remolacio, BFAR San Fabian</t>
  </si>
  <si>
    <t>0257</t>
  </si>
  <si>
    <t>Oton</t>
  </si>
  <si>
    <t>PH063034000</t>
  </si>
  <si>
    <r>
      <rPr>
        <rFont val="Calibri"/>
        <color rgb="FF000000"/>
        <sz val="12.0"/>
      </rPr>
      <t>revive</t>
    </r>
    <r>
      <rPr>
        <rFont val="Calibri"/>
        <color rgb="FF000000"/>
        <sz val="12.0"/>
      </rPr>
      <t xml:space="preserve"> fishing; </t>
    </r>
    <r>
      <rPr>
        <rFont val="Calibri"/>
        <color rgb="FF000000"/>
        <sz val="12.0"/>
      </rPr>
      <t>habitat</t>
    </r>
    <r>
      <rPr>
        <rFont val="Calibri"/>
        <color rgb="FF000000"/>
        <sz val="12.0"/>
      </rPr>
      <t xml:space="preserve"> of fish and marine resources</t>
    </r>
  </si>
  <si>
    <t>160 jackstone units; 30 pyramid type units; 25 condo type units</t>
  </si>
  <si>
    <t>MLGU; PLGU; BFAR</t>
  </si>
  <si>
    <t>Artificial reefs dropped into Oton sea. (2013, February 4). Sun Star. https://www.sunstar.com.ph/article/267935/artificial-reefs-dropped-into-oton-sea</t>
  </si>
  <si>
    <t>https://www.sunstar.com.ph/article/267935/artificial-reefs-dropped-into-oton-sea</t>
  </si>
  <si>
    <t>0394</t>
  </si>
  <si>
    <t>Enhance productivity; benefit local fisherfolk</t>
  </si>
  <si>
    <t>BFAR CARAGA (2018). Annual Report 2018. https://caraga.bfar.da.gov.ph/wp-content/uploads/2022/12/Annual-Report-2018.pdf</t>
  </si>
  <si>
    <t>https://caraga.bfar.da.gov.ph/wp-content/uploads/2022/12/Annual-Report-2018.pdf</t>
  </si>
  <si>
    <t>0179</t>
  </si>
  <si>
    <t>Site in Daplac Cove</t>
  </si>
  <si>
    <t>Artificial Reef, Rubble stabilisation, Coral Gardening</t>
  </si>
  <si>
    <t>Concrete, Recycled/Waste</t>
  </si>
  <si>
    <t>Dome table, Junk material</t>
  </si>
  <si>
    <r>
      <rPr>
        <rFont val="Calibri"/>
        <color rgb="FF000000"/>
        <sz val="12.0"/>
      </rPr>
      <t xml:space="preserve">Transplantation; </t>
    </r>
    <r>
      <rPr>
        <rFont val="Calibri"/>
        <color rgb="FF000000"/>
        <sz val="12.0"/>
      </rPr>
      <t>Rubble stabilizing structures, dome tables, wrecks</t>
    </r>
  </si>
  <si>
    <r>
      <rPr>
        <rFont val="Calibri"/>
        <color rgb="FF000000"/>
        <sz val="12.0"/>
      </rPr>
      <t>Sustainable development</t>
    </r>
    <r>
      <rPr>
        <rFont val="Calibri"/>
        <color rgb="FF000000"/>
        <sz val="12.0"/>
      </rPr>
      <t xml:space="preserve"> of property; </t>
    </r>
    <r>
      <rPr>
        <rFont val="Calibri"/>
        <color rgb="FF000000"/>
        <sz val="12.0"/>
      </rPr>
      <t xml:space="preserve">reef </t>
    </r>
    <r>
      <rPr>
        <rFont val="Calibri"/>
        <color rgb="FF000000"/>
        <sz val="12.0"/>
      </rPr>
      <t>rehabilitation</t>
    </r>
  </si>
  <si>
    <t>Palawan Cove Corporation; Discovery World Corporation</t>
  </si>
  <si>
    <t>Development, Commercial</t>
  </si>
  <si>
    <t>72 rubble stabilizing structures; 45 dome tables; 33 wreck structures</t>
  </si>
  <si>
    <t>Palawan Cove Corporation</t>
  </si>
  <si>
    <t>Discovery World Corporation</t>
  </si>
  <si>
    <t>Discoveryworldcorp (2021, June 9). In Good Hands: Palawan Cove Corporation forges a sustainable future for San Vicente's marine biodiversity. Discovery World 2020 Annual Report. https://issuu.com/discoveryworldcorp/docs/2020_dwc_annual_report/1</t>
  </si>
  <si>
    <t>https://issuu.com/discoveryworldcorp/docs/2020_dwc_annual_report/1</t>
  </si>
  <si>
    <t>0380</t>
  </si>
  <si>
    <t>Improve environmental conditions; Fisheries livelihood</t>
  </si>
  <si>
    <t>Paolo Colminares of San Pedro College</t>
  </si>
  <si>
    <t>GMA Davao</t>
  </si>
  <si>
    <t>GMA Integrated News (2012, September 13). BP: Artificial reef: handog ng ilang biology students (Davao) [Video]. Youtube. https://www.youtube.com/watch?v=6AfF_6TG2jE</t>
  </si>
  <si>
    <t>https://www.youtube.com/watch?v=6AfF_6TG2jE</t>
  </si>
  <si>
    <t>0001</t>
  </si>
  <si>
    <t>Bacarra</t>
  </si>
  <si>
    <t>PH012802000</t>
  </si>
  <si>
    <t>Site in Brgy Calioet</t>
  </si>
  <si>
    <t>Serve as habitats for fish and as fishing grounds and breeding areas for our local fishermen</t>
  </si>
  <si>
    <t>MLGU; PLGU</t>
  </si>
  <si>
    <t>Brgy Calioet fisherfolks</t>
  </si>
  <si>
    <t>Bacarra Agriculture Office. (2021). Deployment of artificial reef about 2 km offshore: This is a joint project of BFAR, LGU Bacarra, PGIN, and the fisherfolk of Brgy. Calioet [Status update]. Facebook. https://web.facebook.com/watch/?v=372900961253018</t>
  </si>
  <si>
    <t>https://web.facebook.com/watch/?v=372900961253018</t>
  </si>
  <si>
    <t>Barangay Captain Richard Pascua</t>
  </si>
  <si>
    <t>0010</t>
  </si>
  <si>
    <t>Site in Brgy Daplacan &amp; Brgy Namruangan</t>
  </si>
  <si>
    <t xml:space="preserve">Address lack of fish habitats; establish breeding grounds </t>
  </si>
  <si>
    <t>Fisherfolk leaders</t>
  </si>
  <si>
    <t>LGU Cabugao. (2013, June). Artificial reef, naitapog para iti 2 a coastal barangay. http://lgucabugao.blogspot.com/2013/06/artificial-reef-naitapog-para-iti-2.html</t>
  </si>
  <si>
    <t>http://lgucabugao.blogspot.com/2013/06/artificial-reef-naitapog-para-iti-2.html</t>
  </si>
  <si>
    <t>Regional Director Nestor Domenden</t>
  </si>
  <si>
    <t>0100</t>
  </si>
  <si>
    <t>Botolan</t>
  </si>
  <si>
    <t>PH037101000</t>
  </si>
  <si>
    <t>Site in Brgy Panan</t>
  </si>
  <si>
    <t>Enrich marine life; livelihood</t>
  </si>
  <si>
    <t>Mawis-Aliston, V. (2022, August 6). Sustainability as the key to resiliency. Philippine Daily Inquirer. https://business.inquirer.net/356210/sustainability-as-the-key-to-resiliency</t>
  </si>
  <si>
    <t>https://business.inquirer.net/356210/sustainability-as-the-key-to-resiliency</t>
  </si>
  <si>
    <t>0113</t>
  </si>
  <si>
    <t>Bauan</t>
  </si>
  <si>
    <t>PH041006000</t>
  </si>
  <si>
    <t>Glass bottles, Steel pipe, Unspecified concrete structure, Junk material</t>
  </si>
  <si>
    <t>Concrete &amp; wine bottles; boat &amp; old steel pipes</t>
  </si>
  <si>
    <r>
      <rPr>
        <rFont val="Calibri"/>
        <color rgb="FF000000"/>
        <sz val="12.0"/>
      </rPr>
      <t>Breeding ground</t>
    </r>
    <r>
      <rPr>
        <rFont val="Calibri"/>
        <color rgb="FF000000"/>
        <sz val="12.0"/>
      </rPr>
      <t xml:space="preserve"> for small fish and coral growth</t>
    </r>
    <r>
      <rPr>
        <rFont val="Calibri"/>
        <color rgb="FF000000"/>
        <sz val="12.0"/>
      </rPr>
      <t>; tourism</t>
    </r>
  </si>
  <si>
    <t>Portulano Dive Resort</t>
  </si>
  <si>
    <t>Portulano Dive Resort (n.d.). Activities. https://www.portulano.com/activities</t>
  </si>
  <si>
    <t>https://www.portulano.com/activities</t>
  </si>
  <si>
    <t>0173</t>
  </si>
  <si>
    <t>Occidental Mindoro</t>
  </si>
  <si>
    <t>Lubang</t>
  </si>
  <si>
    <t>PH175104000</t>
  </si>
  <si>
    <t>Site in Lubang Island Marine Park</t>
  </si>
  <si>
    <t>Coral farming; transplantation</t>
  </si>
  <si>
    <t>Coral reef restoration; commercial aquarium trade</t>
  </si>
  <si>
    <t>RVS 4 Star Mariculture Coral Farm; RVS Fishworld</t>
  </si>
  <si>
    <t>Commercial</t>
  </si>
  <si>
    <t>Adams, J. (2013, March 24). RVS 4 Star Mariculture Coral Farm brakes ground in the Philippines. Save the Philippine Coral Reefs. https://savethephilippinecoralreefs.wordpress.com/2013/03/24/rvs-4-star-mariculture-coral-farm-brakes-ground-in-the-philippines/</t>
  </si>
  <si>
    <t>https://savethephilippinecoralreefs.wordpress.com/2013/03/24/rvs-4-star-mariculture-coral-farm-brakes-ground-in-the-philippines/</t>
  </si>
  <si>
    <t>0354</t>
  </si>
  <si>
    <t>Site in Brgy Macabalan</t>
  </si>
  <si>
    <t>Glass bottles</t>
  </si>
  <si>
    <t>recycled glass bottles</t>
  </si>
  <si>
    <t>"Reestablish a self-sustaining, functioning reef ecosystem", Promote coral reef conservation stewardship</t>
  </si>
  <si>
    <r>
      <rPr>
        <rFont val="Calibri"/>
        <color rgb="FF000000"/>
        <sz val="12.0"/>
      </rPr>
      <t xml:space="preserve">Ocean rehabilitation; </t>
    </r>
    <r>
      <rPr>
        <rFont val="Calibri"/>
        <color rgb="FF000000"/>
        <sz val="12.0"/>
      </rPr>
      <t>sustainable school-community based projects</t>
    </r>
  </si>
  <si>
    <t>Maria Theresa Mabalos</t>
  </si>
  <si>
    <t>Individual</t>
  </si>
  <si>
    <t>Maria Theresa Mabalo;  Bugo National High School</t>
  </si>
  <si>
    <r>
      <rPr>
        <rFont val="Calibri"/>
        <color rgb="FF000000"/>
        <sz val="12.0"/>
      </rPr>
      <t xml:space="preserve">BFAR; </t>
    </r>
    <r>
      <rPr>
        <rFont val="Calibri"/>
        <color rgb="FF000000"/>
        <sz val="12.0"/>
      </rPr>
      <t>Philippine Coast Guard</t>
    </r>
  </si>
  <si>
    <t>Naturesphere</t>
  </si>
  <si>
    <t>Luczon, N. (2020, March 6). CDO teacher leads ocean rehab with glass bottles. Philippine News Agency. https://www.pna.gov.ph/articles/1095764</t>
  </si>
  <si>
    <t>https://www.pna.gov.ph/articles/1095764</t>
  </si>
  <si>
    <t>0357</t>
  </si>
  <si>
    <t>Laguindingan</t>
  </si>
  <si>
    <t>PH104314000</t>
  </si>
  <si>
    <t>Ocean rehabilitation; research</t>
  </si>
  <si>
    <t>Maria Theresa Mabalos; Bugo National High School</t>
  </si>
  <si>
    <r>
      <rPr>
        <rFont val="Calibri"/>
        <color rgb="FF000000"/>
        <sz val="12.0"/>
      </rPr>
      <t xml:space="preserve">BFAR; </t>
    </r>
    <r>
      <rPr>
        <rFont val="Calibri"/>
        <color rgb="FF000000"/>
        <sz val="12.0"/>
      </rPr>
      <t>Philippine Coast Guard</t>
    </r>
  </si>
  <si>
    <t>0330</t>
  </si>
  <si>
    <t>Tomas Oppus</t>
  </si>
  <si>
    <t>PH086418000</t>
  </si>
  <si>
    <t>Site inside fish sanctuary Brgy San Antonio</t>
  </si>
  <si>
    <t>Mitigate anticipated coral loss prior to a known disturbance</t>
  </si>
  <si>
    <t>M3</t>
  </si>
  <si>
    <t>Climate change mitigation</t>
  </si>
  <si>
    <t>0.50 ha</t>
  </si>
  <si>
    <t>1,250 COPs</t>
  </si>
  <si>
    <r>
      <rPr>
        <rFont val="Calibri"/>
        <color rgb="FF000000"/>
        <sz val="12.0"/>
      </rPr>
      <t>Scaph Pro Philippines;</t>
    </r>
    <r>
      <rPr>
        <rFont val="Calibri"/>
        <color rgb="FF000000"/>
        <sz val="12.0"/>
      </rPr>
      <t xml:space="preserve"> Life Time Dive Center</t>
    </r>
  </si>
  <si>
    <t>Reyes, R. O. (2016, February 1). Southern Leyte's coral transplants help fight vs climate change. Manila Standard. https://manilastandard.net/?p=198184</t>
  </si>
  <si>
    <t>https://manilastandard.net/?p=198184</t>
  </si>
  <si>
    <t>0242</t>
  </si>
  <si>
    <t>Caluya</t>
  </si>
  <si>
    <t>PH060605000</t>
  </si>
  <si>
    <t>Site in Semirara waters</t>
  </si>
  <si>
    <t>Mitigate the impacts of overfishing, destructive fishing and coastal development</t>
  </si>
  <si>
    <t>Semirara Mining and Power Corporation</t>
  </si>
  <si>
    <t>Panay News (2022, October 7). SMPC turns over 40 fiberglass bancas for fishing livelihood. Panay News. https://www.panaynews.net/smpc-turns-over-40-fiberglass-bancas-for-fishing-livelihood/</t>
  </si>
  <si>
    <t>https://www.panaynews.net/smpc-turns-over-40-fiberglass-bancas-for-fishing-livelihood/</t>
  </si>
  <si>
    <t>0258</t>
  </si>
  <si>
    <t>Minimize active fishing operations</t>
  </si>
  <si>
    <t>Toring-Farquerabao, M. L. B., Domingo, E. R., &amp; Tahiluddin, A. B. (2021). Effectiveness and Impact of Artificial Reef Project in Tigbauan, Iloilo Philippines: A Case Study. Menba Journal of Fisheries Faculty, 7(2), 77-89. https://dergipark.org.tr/en/download/article-file/2047698</t>
  </si>
  <si>
    <t>https://dergipark.org.tr/en/download/article-file/2047698</t>
  </si>
  <si>
    <t>Maria Liza Toring-Farquerabao</t>
  </si>
  <si>
    <t>albarist20@gmail.com</t>
  </si>
  <si>
    <t>0248</t>
  </si>
  <si>
    <t>72 units</t>
  </si>
  <si>
    <t>Jr Fernandez, P. R. (2004). Community-Based Coastal Resource Management in Nasidman Island Iloilo, Philippines. IIFET 2004 Japan Proceedings. https://nanopdf.com/download/community-based-coastal-resource-management-in-nasidman-island-iloilo-philippine_pdf</t>
  </si>
  <si>
    <t>https://nanopdf.com/download/community-based-coastal-resource-management-in-nasidman-island-iloilo-philippine_pdf</t>
  </si>
  <si>
    <t>0414</t>
  </si>
  <si>
    <t>Amlan</t>
  </si>
  <si>
    <t>PH074601000</t>
  </si>
  <si>
    <t>Site in Jugno</t>
  </si>
  <si>
    <t>Tires, Unspecified concrete structure</t>
  </si>
  <si>
    <t>tires; concrete base (tire modules)</t>
  </si>
  <si>
    <t>Declining fish catch and catch rates</t>
  </si>
  <si>
    <t>0.028 ha</t>
  </si>
  <si>
    <t>Year established is proxy given that the article mentioned that the ARs were established since 1991</t>
  </si>
  <si>
    <t>0416</t>
  </si>
  <si>
    <t>Bacong</t>
  </si>
  <si>
    <t>PH074603000</t>
  </si>
  <si>
    <t>Site in San Miguel</t>
  </si>
  <si>
    <t>0.021 ha</t>
  </si>
  <si>
    <t>Year established is proxy given that the article mentioned that the ARs were established since 1992</t>
  </si>
  <si>
    <t>0419</t>
  </si>
  <si>
    <t>Site in Masaplod Norte</t>
  </si>
  <si>
    <t>0.0455 ha</t>
  </si>
  <si>
    <t>Year established is proxy given that the article mentioned that the ARs were established since 1993</t>
  </si>
  <si>
    <t>0425</t>
  </si>
  <si>
    <t>Jimalalud</t>
  </si>
  <si>
    <t>PH074612000</t>
  </si>
  <si>
    <t>Site in Dayoyo</t>
  </si>
  <si>
    <t>0.014 ha (shared across project: "0425")</t>
  </si>
  <si>
    <t>Year established is proxy given that the article mentioned that the ARs were established since 1994</t>
  </si>
  <si>
    <t>0427</t>
  </si>
  <si>
    <t>PH074617000</t>
  </si>
  <si>
    <t>Site in Jilocon</t>
  </si>
  <si>
    <t>0.042 ha</t>
  </si>
  <si>
    <t>Year established is proxy given that the article mentioned that the ARs were established since 1995</t>
  </si>
  <si>
    <t>0429</t>
  </si>
  <si>
    <t>Site in Inalad</t>
  </si>
  <si>
    <t>0.063 ha</t>
  </si>
  <si>
    <t>Year established is proxy given that the article mentioned that the ARs were established since 1996</t>
  </si>
  <si>
    <t>0432</t>
  </si>
  <si>
    <t>Site in Bangcolotan</t>
  </si>
  <si>
    <t>0.06 ha</t>
  </si>
  <si>
    <t>Year established is proxy given that the article mentioned that the ARs were established since 1997</t>
  </si>
  <si>
    <t>0433</t>
  </si>
  <si>
    <t>Site in Lutoban</t>
  </si>
  <si>
    <t>Year established is proxy given that the article mentioned that the ARs were established since 1998</t>
  </si>
  <si>
    <t>0434</t>
  </si>
  <si>
    <t>Site in Dalakit</t>
  </si>
  <si>
    <t>0.0105 ha</t>
  </si>
  <si>
    <t>Year established is proxy given that the article mentioned that the ARs were established since 1999</t>
  </si>
  <si>
    <t>0025</t>
  </si>
  <si>
    <t>Bauang</t>
  </si>
  <si>
    <t>PH013307000</t>
  </si>
  <si>
    <t>Sites found across the Brgys of Pagdalagan Sur, Paringao, Taberna, Pugo, Pilar, Bagbag, and Urayong</t>
  </si>
  <si>
    <t>M4, M2</t>
  </si>
  <si>
    <t>Marine habitat; fish stock productivity</t>
  </si>
  <si>
    <t>510 units</t>
  </si>
  <si>
    <t>Municipality of Bauang, La Union (2021, May 10). BFAR presents the underwater assessment of artificial reef in the Municipality. [Status Update]. Facebook. https://www.facebook.com/permalink.php?id=336893718203&amp;story_fbid=10157795137738204&amp;_rdr</t>
  </si>
  <si>
    <t>https://m.facebook.com/permalink.php?id=336893718203&amp;story_fbid=10157795137738204; http://bauangtgis.gov.ph/2021/05/10/bfar-presents-the-underwater-assessment-of-artificial-reef-in-the-municipality/; http://bauangtgis.gov.ph/2021/05/10/bfar-presents-the-underwater-assessment-of-artificial-reef-in-the-municipality/</t>
  </si>
  <si>
    <t>bauanglaunion@gmail.com; (072) 607 2911</t>
  </si>
  <si>
    <t>0095</t>
  </si>
  <si>
    <t>Reduce population declines and ecosystem degradation, "Provide alternative, sustainable livelihood opportunities"</t>
  </si>
  <si>
    <t>M4, M5</t>
  </si>
  <si>
    <t>Fish productivity; tourism</t>
  </si>
  <si>
    <t>Reblando, J. (2012, January 17). Artificial reef, itinanim sa Subic Bay. Punto Pananaw ng Malayang Pilipino Central Luzon. https://punto.com.ph/artificial-reef-itinanim-sa-subic-bay/</t>
  </si>
  <si>
    <t>https://punto.com.ph/artificial-reef-itinanim-sa-subic-bay/</t>
  </si>
  <si>
    <t>0397</t>
  </si>
  <si>
    <t>City of Butuan</t>
  </si>
  <si>
    <t>PH160202000</t>
  </si>
  <si>
    <t>Site in Brgy Masao</t>
  </si>
  <si>
    <t>Butuan City LGU</t>
  </si>
  <si>
    <t>Triskelion de Butuan</t>
  </si>
  <si>
    <t>Butuan City PIO (2020, October 3). 35 Artificial Reefs, gi-instalar sa fish sanctuary sa Brgy Masao sa Butuan. Nagtambayayong ang mga mananagat ug BFAR divers sa [Status Update] [Image attached]. Facebook. https://web.facebook.com/butuancitypioofficial/posts/3347562868625222/?comment_id=3354237894624386&amp;paipv=0&amp;eav=AfayzrMZvsrCqBmAnyyJvbVm4UnCoZMKB9c_V4QFjA6yCUpPYldsd_nRFXKh2mNK9bs&amp;_rdc=1&amp;_rdr</t>
  </si>
  <si>
    <t>https://web.facebook.com/butuancitypioofficial/posts/35-artificial-reefs-gi-instalar-sa-fish-sanctuary-sa-brgy-masao-sa-butuannagtamb/3347562868625222/?_rdc=1&amp;_rdr</t>
  </si>
  <si>
    <t>0039</t>
  </si>
  <si>
    <t>Increase income and improve nutrition in fishing communities</t>
  </si>
  <si>
    <t>There were also 12 other sites but details are not indicated</t>
  </si>
  <si>
    <t>0359</t>
  </si>
  <si>
    <t>Site in Japanese Garden dive site</t>
  </si>
  <si>
    <t>Tourism</t>
  </si>
  <si>
    <t>Duka Bay Resort</t>
  </si>
  <si>
    <r>
      <rPr>
        <rFont val="Calibri"/>
        <color rgb="FF000000"/>
        <sz val="12.0"/>
      </rPr>
      <t xml:space="preserve">Bob of the Storm (2023, February 11). </t>
    </r>
    <r>
      <rPr>
        <rFont val="Calibri"/>
        <i/>
        <color rgb="FF000000"/>
        <sz val="12.0"/>
      </rPr>
      <t xml:space="preserve">Freediving Tour - Duka Bay's "Octopus" Artificial Reef </t>
    </r>
    <r>
      <rPr>
        <rFont val="Calibri"/>
        <color rgb="FF000000"/>
        <sz val="12.0"/>
      </rPr>
      <t>[Video]. Youtube. https://www.youtube.com/watch?v=7NBc_NGXqEA</t>
    </r>
  </si>
  <si>
    <t>https://www.youtube.com/watch?v=7NBc_NGXqEA</t>
  </si>
  <si>
    <t>0360</t>
  </si>
  <si>
    <t>Site in Almost Paradise dive site</t>
  </si>
  <si>
    <t>Concrete statue</t>
  </si>
  <si>
    <t>Statue</t>
  </si>
  <si>
    <t>cbartazo (2018, January 23). Deluge at Duka Bay!. Life in the Great Beyond. https://cbartazo.com/tag/duka-bay/</t>
  </si>
  <si>
    <t>https://cbartazo.com/tag/duka-bay/; https://www.scubaandtravel.com/2016/12/scuba-diving-and-travel-destination.html</t>
  </si>
  <si>
    <t>0371</t>
  </si>
  <si>
    <t>Site in Pearl Farm Resort</t>
  </si>
  <si>
    <t>Small airplane</t>
  </si>
  <si>
    <r>
      <rPr>
        <rFont val="Calibri"/>
        <color rgb="FF000000"/>
        <sz val="12.0"/>
      </rPr>
      <t>Tourist</t>
    </r>
    <r>
      <rPr>
        <rFont val="Calibri"/>
        <color rgb="FF000000"/>
        <sz val="12.0"/>
      </rPr>
      <t xml:space="preserve"> attraction</t>
    </r>
  </si>
  <si>
    <t>Pearl Farm Resort</t>
  </si>
  <si>
    <t>Tacio, H. (2021, February 15). Underwater Experience in Samal Island. Philippine Morning Post. https://philippinemorningpost.com/underwater-experience-in-samal-island/</t>
  </si>
  <si>
    <t>https://philippinemorningpost.com/underwater-experience-in-samal-island/</t>
  </si>
  <si>
    <t>0451</t>
  </si>
  <si>
    <t>Sulu</t>
  </si>
  <si>
    <t>Old Panamao</t>
  </si>
  <si>
    <t>PH156607000</t>
  </si>
  <si>
    <t>Site in Brgy Kansipat</t>
  </si>
  <si>
    <t>Hollow blocks based on the picture</t>
  </si>
  <si>
    <t>M5, M2</t>
  </si>
  <si>
    <t>Livelihood for fishermen; preserve and protect marine life</t>
  </si>
  <si>
    <t>Philippine Marines</t>
  </si>
  <si>
    <r>
      <rPr>
        <rFont val="Calibri"/>
        <color rgb="FF000000"/>
        <sz val="12.0"/>
      </rPr>
      <t xml:space="preserve">Philippine Marines Western Mindanao Command </t>
    </r>
    <r>
      <rPr>
        <rFont val="Calibri"/>
        <color rgb="FF000000"/>
        <sz val="12.0"/>
      </rPr>
      <t>Marine Battallion Landing Team-3</t>
    </r>
  </si>
  <si>
    <t>Garcia, T. J. (2019, April 17). Marines, BFAR install artificial reefs in Sulu. Philippine News Agency. https://www.pna.gov.ph/articles/1067574</t>
  </si>
  <si>
    <t>https://www.pna.gov.ph/articles/1067574</t>
  </si>
  <si>
    <t>Col. Gerry Besana, Western Mindanao Command</t>
  </si>
  <si>
    <t>0452</t>
  </si>
  <si>
    <t>Site in Brgy Seit Higad</t>
  </si>
  <si>
    <t>Philippine Marines Western Mindanao Command Marine Battallion Landing Team-3</t>
  </si>
  <si>
    <t>0108</t>
  </si>
  <si>
    <t>Site in the Brgys of Kalaklan and Baretto</t>
  </si>
  <si>
    <t>Cement, steel bars, sand, gravel, and tie wire molded to resemble a 5-layer pyramid</t>
  </si>
  <si>
    <t>M5, M2, M4</t>
  </si>
  <si>
    <t>Enhance tourism; home for fishes; enhance fish numbers; reiterate responsible fishing</t>
  </si>
  <si>
    <t>CLGU; SBIFARMC</t>
  </si>
  <si>
    <t>NGO, Government - LGU</t>
  </si>
  <si>
    <t>PHP 125,000.00; PHP 106, 980.00</t>
  </si>
  <si>
    <t>PNP Maritime Group; MLGU; BFAR</t>
  </si>
  <si>
    <t>Local fisherfolks</t>
  </si>
  <si>
    <r>
      <rPr>
        <rFont val="Calibri"/>
        <color rgb="FF000000"/>
        <sz val="12.0"/>
      </rPr>
      <t xml:space="preserve">https://punto.com.ph/artificial-reef-itinanim-sa-subic-bay/; </t>
    </r>
    <r>
      <rPr>
        <rFont val="Calibri"/>
        <color rgb="FF1155CC"/>
        <sz val="12.0"/>
        <u/>
      </rPr>
      <t>https://www.subicbaynews.com/reef-monitoring-sa-subic-bay/</t>
    </r>
  </si>
  <si>
    <t>Mayor James “Bong” Gordon Jr., Olangapo City Mayor</t>
  </si>
  <si>
    <t>0188</t>
  </si>
  <si>
    <t>Pio Duran</t>
  </si>
  <si>
    <t>PH050513000</t>
  </si>
  <si>
    <t>Iron bar dome CNU</t>
  </si>
  <si>
    <r>
      <rPr>
        <rFont val="Calibri"/>
        <color rgb="FF000000"/>
        <sz val="12.0"/>
      </rPr>
      <t>Iron bar dome CNU</t>
    </r>
    <r>
      <rPr>
        <rFont val="Calibri"/>
        <color rgb="FF000000"/>
        <sz val="12.0"/>
      </rPr>
      <t>; coral transplantation</t>
    </r>
  </si>
  <si>
    <t>Promote coral reef conservation stewardship, "Provide alternative, sustainable livelihood opportunities"</t>
  </si>
  <si>
    <r>
      <rPr>
        <rFont val="Calibri"/>
        <color rgb="FF000000"/>
        <sz val="12.0"/>
      </rPr>
      <t>Tourism</t>
    </r>
    <r>
      <rPr>
        <rFont val="Calibri"/>
        <color rgb="FF000000"/>
        <sz val="12.0"/>
      </rPr>
      <t xml:space="preserve"> and </t>
    </r>
    <r>
      <rPr>
        <rFont val="Calibri"/>
        <color rgb="FF000000"/>
        <sz val="12.0"/>
      </rPr>
      <t>educational</t>
    </r>
    <r>
      <rPr>
        <rFont val="Calibri"/>
        <color rgb="FF000000"/>
        <sz val="12.0"/>
      </rPr>
      <t xml:space="preserve"> purposes</t>
    </r>
  </si>
  <si>
    <t>Antonino B. Mendoza</t>
  </si>
  <si>
    <t>0310</t>
  </si>
  <si>
    <t>Bato</t>
  </si>
  <si>
    <t>PH083707000</t>
  </si>
  <si>
    <t>Site in Brgy Tinago</t>
  </si>
  <si>
    <t xml:space="preserve">AR module </t>
  </si>
  <si>
    <t>Federation of Omega Beneficiaries Inc.</t>
  </si>
  <si>
    <t>58 modules</t>
  </si>
  <si>
    <t>0321</t>
  </si>
  <si>
    <t>Bontoc</t>
  </si>
  <si>
    <t>PH086402000</t>
  </si>
  <si>
    <t>0358</t>
  </si>
  <si>
    <t>Promote awareness and raise action in addressing climate change</t>
  </si>
  <si>
    <t>Ports Management Office of Misamis Oriental/Cagayan de Oro</t>
  </si>
  <si>
    <t>Philippine Coast Guard District of Northern Mindanao; 101st Auxilliary Squadron Marine Environmental Protection</t>
  </si>
  <si>
    <t>PMO MO/C expands initiatives for environment conservation (2022, April 12). Philippine Ports Authority Port Management Office of Misamis Oriental/Cagayan de Oro [Press Release]. http://www.pmocdo.ppa.com.ph/pmo-mo-c-expands-initiatives-for-environment-conservation/</t>
  </si>
  <si>
    <t>http://www.pmocdo.ppa.com.ph/pmo-mo-c-expands-initiatives-for-environment-conservation/</t>
  </si>
  <si>
    <t>0305</t>
  </si>
  <si>
    <t>San Julian</t>
  </si>
  <si>
    <t>PH082620000</t>
  </si>
  <si>
    <t>Site in Brgy 3</t>
  </si>
  <si>
    <t>Promote coral reef conservation stewardship, Accelerate reef recovery post-disturbance</t>
  </si>
  <si>
    <t>M6, M1</t>
  </si>
  <si>
    <t>Coastal resource management: in response to blast fishing and and fishpond construction</t>
  </si>
  <si>
    <t>0209</t>
  </si>
  <si>
    <t>City of Masbate</t>
  </si>
  <si>
    <t>PH054111000</t>
  </si>
  <si>
    <t>Integrated coral silviculture; bed-type CNU</t>
  </si>
  <si>
    <t>Scientific Research, Promote coral reef conservation stewardship</t>
  </si>
  <si>
    <t>Demonstrate the viability of reef restoraion technique to encourage LGUs to adopt the method</t>
  </si>
  <si>
    <t>CHED</t>
  </si>
  <si>
    <t>Antonino B. Mendoza; Plutomeo Nieves</t>
  </si>
  <si>
    <t>0006</t>
  </si>
  <si>
    <t>Site in Salomague</t>
  </si>
  <si>
    <t>Bamboo modules</t>
  </si>
  <si>
    <t>15 BM</t>
  </si>
  <si>
    <t xml:space="preserve">Ministry of Human Settlements; National Resources Management Council; </t>
  </si>
  <si>
    <t>Japan Overseas Cooperation Volunteers; Civic organizations; diver groups</t>
  </si>
  <si>
    <t>0007</t>
  </si>
  <si>
    <t>Midwater bamboo</t>
  </si>
  <si>
    <t>2 units</t>
  </si>
  <si>
    <t>0019</t>
  </si>
  <si>
    <t>Agoo</t>
  </si>
  <si>
    <t>PH013301000</t>
  </si>
  <si>
    <t>Site in Baluarte</t>
  </si>
  <si>
    <t>800 tire units</t>
  </si>
  <si>
    <t>0029</t>
  </si>
  <si>
    <t>Santo Tomas</t>
  </si>
  <si>
    <t>PH013317000</t>
  </si>
  <si>
    <t>Site in Casantaan, Damortis</t>
  </si>
  <si>
    <t>15 units</t>
  </si>
  <si>
    <t>0035</t>
  </si>
  <si>
    <t>Site in Canal Bay</t>
  </si>
  <si>
    <t>0084</t>
  </si>
  <si>
    <t>Labrador</t>
  </si>
  <si>
    <t>PH015521000</t>
  </si>
  <si>
    <t>Site in Tabuan</t>
  </si>
  <si>
    <t>800 units</t>
  </si>
  <si>
    <t>0131</t>
  </si>
  <si>
    <t>8 BM</t>
  </si>
  <si>
    <t>0132</t>
  </si>
  <si>
    <t>0133</t>
  </si>
  <si>
    <t>Tire units</t>
  </si>
  <si>
    <t>2 TM</t>
  </si>
  <si>
    <t>0189</t>
  </si>
  <si>
    <t>Site in Alimsog</t>
  </si>
  <si>
    <t>tire modules, bamboo modules</t>
  </si>
  <si>
    <t>4 TM; 4 BM</t>
  </si>
  <si>
    <t>0210</t>
  </si>
  <si>
    <t>Site in Washington</t>
  </si>
  <si>
    <t>http://pubs.iclarm.net/libinfo/Pdf/Pub%20CP6%2049.pdf</t>
  </si>
  <si>
    <t>0269</t>
  </si>
  <si>
    <t>City of Tagbilaran</t>
  </si>
  <si>
    <t>PH071242000</t>
  </si>
  <si>
    <t>Site in Manga</t>
  </si>
  <si>
    <t>15 TM; 10 BM</t>
  </si>
  <si>
    <t>0281</t>
  </si>
  <si>
    <t>Site in Caubian Is</t>
  </si>
  <si>
    <t>0282</t>
  </si>
  <si>
    <t>Site in Mactan Is</t>
  </si>
  <si>
    <t>0408</t>
  </si>
  <si>
    <t>Site in San Nicolas Shoal (Port Area)</t>
  </si>
  <si>
    <t>15 TM</t>
  </si>
  <si>
    <t>0411</t>
  </si>
  <si>
    <t>Site in Danjugan Island</t>
  </si>
  <si>
    <t>Tires, Unspecified concrete structure, Dead coral</t>
  </si>
  <si>
    <t>Rubber, concrete and crushed coral rubble plates</t>
  </si>
  <si>
    <t>Research; coral settlement</t>
  </si>
  <si>
    <t>Michelle Reyes &amp; Helen T. Yap (UP MSI)</t>
  </si>
  <si>
    <t>Philippine Reef and Rainforest Conservation Foundation; Inc. (PRRCFI)</t>
  </si>
  <si>
    <t>Reyes, M., &amp; Yap, H. T. (2001). Effect of Artificial Substratum Material and Resident Adults on Coral Settlement Patterns at Danjugan Island, Philippines. Bulletin of Marine Science, 69(2), 559-566. https://www.ingentaconnect.com/content/umrsmas/bullmar/2001/00000069/00000002/art00028?crawler=true</t>
  </si>
  <si>
    <t>https://www.ingentaconnect.com/content/umrsmas/bullmar/2001/00000069/00000002/art00028?crawler=true</t>
  </si>
  <si>
    <t>Multiple instead of combination</t>
  </si>
  <si>
    <t>0038</t>
  </si>
  <si>
    <t>Site in Quezon Island, HINP</t>
  </si>
  <si>
    <t>Mineral Accretion</t>
  </si>
  <si>
    <t>Electrochemical</t>
  </si>
  <si>
    <r>
      <rPr>
        <rFont val="Calibri"/>
        <color rgb="FF000000"/>
        <sz val="12.0"/>
      </rPr>
      <t xml:space="preserve">Research; </t>
    </r>
    <r>
      <rPr>
        <rFont val="Calibri"/>
        <color rgb="FF000000"/>
        <sz val="12.0"/>
      </rPr>
      <t>experimental</t>
    </r>
  </si>
  <si>
    <t>UP College of Engineering</t>
  </si>
  <si>
    <t>Sabater, M., &amp; Yap, H. (2002). Growth and survival of coral transplants with and without electrochemical deposition of CaCO3. Journal of Experimental Marine Biology and Ecology, 272(2), 131-146. https://doi.org/10.1016/S0022-0981(02)00051-5</t>
  </si>
  <si>
    <t>https://www.sciencedirect.com/science/article/abs/pii/S0022098102000515</t>
  </si>
  <si>
    <t>M. Sabater; H.T. Yap</t>
  </si>
  <si>
    <t>0050</t>
  </si>
  <si>
    <t>Site in Marcos sandbar (N 16.3213889, E 120.03388888888888)</t>
  </si>
  <si>
    <t>Outplantation using plastic masonry wall plugs ("tox"); adhesive putty using marine epoxy, cement and sand</t>
  </si>
  <si>
    <r>
      <rPr>
        <rFont val="Calibri"/>
        <color rgb="FF000000"/>
        <sz val="12.0"/>
      </rPr>
      <t xml:space="preserve">Research; </t>
    </r>
    <r>
      <rPr>
        <rFont val="Calibri"/>
        <color rgb="FF000000"/>
        <sz val="12.0"/>
      </rPr>
      <t>Determine growth and survivorship of juvenile corals outplanted to degraded reef areas in Bolinao-Anda Reef Complex, Philippines</t>
    </r>
  </si>
  <si>
    <t>University of the Philippines Diliman Office of the Vice Chancellor for Research and Development</t>
  </si>
  <si>
    <t>Villanueva, R. D., Baria, M. V. B., &amp; Dela Cruz, D. W. (2012). Growth and survivorship of juvenile corals outplanted to degraded reef areas in Bolinao-Anda Reef Complex, Philippines. Marine Biology Research, 8(9), 877-884. https://doi.org/10.1080/17451000.2012.682582</t>
  </si>
  <si>
    <t>https://www.tandfonline.com/doi/abs/10.1080/17451000.2012.682582</t>
  </si>
  <si>
    <t>0054</t>
  </si>
  <si>
    <t>Larval collection; in situ nursery; "coral plug-ins"; transplantation</t>
  </si>
  <si>
    <r>
      <rPr>
        <rFont val="Calibri"/>
        <color rgb="FF000000"/>
        <sz val="12.0"/>
      </rPr>
      <t xml:space="preserve">Research; Understand early developmental stages of corals and establish parent colonies that can provide sustainable source of gametes; </t>
    </r>
    <r>
      <rPr>
        <rFont val="Calibri"/>
        <color rgb="FF000000"/>
        <sz val="12.0"/>
      </rPr>
      <t>Successfully cultured and reared coral embryos from wild caugh spawn slick in the Philippines</t>
    </r>
  </si>
  <si>
    <t>270 plug-ins</t>
  </si>
  <si>
    <t>Tabalanza, T. D., Jamodiong, E. A., Diaz, L., Tanedo, M. C., Leriorato, J., Villanueva, R., &amp; Cabaitan, P. (2020). Successfully cultured and reared coral embryos from wild caught spawn slick in the Philippines. Aquaculture, 525. https://doi.org/10.1016/j.aquaculture.2020.735354</t>
  </si>
  <si>
    <t>https://www.sciencedirect.com/science/article/abs/pii/S0044848619332533</t>
  </si>
  <si>
    <t>Tracy D. Tablanza</t>
  </si>
  <si>
    <t>0055</t>
  </si>
  <si>
    <t>Site near Marcos sandbar</t>
  </si>
  <si>
    <t>Nursery trays</t>
  </si>
  <si>
    <t>Larval collection; hatchery rearing; in situ nursery; out-planting using plastic masonry wall plugs ("tox"); adhesive putty using marine epoxy, cement and sand</t>
  </si>
  <si>
    <r>
      <rPr>
        <rFont val="Calibri"/>
        <color rgb="FF000000"/>
        <sz val="12.0"/>
      </rPr>
      <t xml:space="preserve">Research; </t>
    </r>
    <r>
      <rPr>
        <rFont val="Calibri"/>
        <color rgb="FF000000"/>
        <sz val="12.0"/>
      </rPr>
      <t>Performance and cost-effectiveness of sexually produced Acropora granulosa juveniles compared with asexually generated coral fragments in restoring degraded reefs</t>
    </r>
  </si>
  <si>
    <t>150 juveniles; 150 nubbins</t>
  </si>
  <si>
    <t>Baria, M. V., Dela Cruz, D. W., Dizon, R., Yap, H., &amp; Villanueva, R. D. (2019). Performanceand cost-effectivenessof sexually produced Acropora granulosa juveniles compared with asexually generated coral fragments in restoring degraded reef areas. Aquatic Conservation: Marine and Freshwater Ecosystems, 29, 891-900. https://doi.org/10.1002/aqc.3132</t>
  </si>
  <si>
    <t>https://www.researchgate.net/publication/333481989_Performance_and_cost-effectiveness_of_sexually_produced_Acropora_granulosa_juveniles_compared_with_asexually_generated_coral_fragments_in_restoring_degraded_reef_areas</t>
  </si>
  <si>
    <t>Dr. Maria Vanessa Baria-Rodriguez</t>
  </si>
  <si>
    <t>0056</t>
  </si>
  <si>
    <t>Site in Caniogan and Cabungan</t>
  </si>
  <si>
    <r>
      <rPr>
        <rFont val="Calibri"/>
        <color rgb="FF000000"/>
        <sz val="12.0"/>
      </rPr>
      <t xml:space="preserve">Outplanting; </t>
    </r>
    <r>
      <rPr>
        <rFont val="Calibri"/>
        <color rgb="FF000000"/>
        <sz val="12.0"/>
      </rPr>
      <t>ex-situ nursery</t>
    </r>
  </si>
  <si>
    <r>
      <rPr>
        <rFont val="Calibri"/>
        <color rgb="FF000000"/>
        <sz val="12.0"/>
      </rPr>
      <t xml:space="preserve">Research;  </t>
    </r>
    <r>
      <rPr>
        <rFont val="Calibri"/>
        <color rgb="FF000000"/>
        <sz val="12.0"/>
      </rPr>
      <t>Feasibility of early outplanting of sexually propagated Acropora verweyi for coral reef restoration</t>
    </r>
  </si>
  <si>
    <r>
      <rPr>
        <rFont val="Calibri"/>
        <color rgb="FF000000"/>
        <sz val="12.0"/>
      </rPr>
      <t xml:space="preserve">240 </t>
    </r>
    <r>
      <rPr>
        <rFont val="Calibri"/>
        <color rgb="FF000000"/>
        <sz val="12.0"/>
      </rPr>
      <t>colonies</t>
    </r>
  </si>
  <si>
    <r>
      <rPr>
        <rFont val="Calibri"/>
        <color rgb="FF000000"/>
        <sz val="12.0"/>
      </rPr>
      <t xml:space="preserve">Ligson, C., </t>
    </r>
    <r>
      <rPr>
        <rFont val="Calibri"/>
        <color rgb="FF000000"/>
        <sz val="12.0"/>
      </rPr>
      <t>Tabalanza, T., Villanueva, R. &amp; Cabaitan, P</t>
    </r>
    <r>
      <rPr>
        <rFont val="Calibri"/>
        <color rgb="FF000000"/>
        <sz val="12.0"/>
      </rPr>
      <t>. (</t>
    </r>
    <r>
      <rPr>
        <rFont val="Calibri"/>
        <color rgb="FF000000"/>
        <sz val="12.0"/>
      </rPr>
      <t>2020</t>
    </r>
    <r>
      <rPr>
        <rFont val="Calibri"/>
        <color rgb="FF000000"/>
        <sz val="12.0"/>
      </rPr>
      <t xml:space="preserve">). </t>
    </r>
    <r>
      <rPr>
        <rFont val="Calibri"/>
        <color rgb="FF000000"/>
        <sz val="12.0"/>
      </rPr>
      <t>Feasibility of early outplanting of sexually propagated Acropora verweyi for coral reef restoration demonstrated in the Philippines</t>
    </r>
    <r>
      <rPr>
        <rFont val="Calibri"/>
        <color rgb="FF000000"/>
        <sz val="12.0"/>
      </rPr>
      <t xml:space="preserve">. Restoration Ecology, </t>
    </r>
    <r>
      <rPr>
        <rFont val="Calibri"/>
        <color rgb="FF000000"/>
        <sz val="12.0"/>
      </rPr>
      <t>28(1)</t>
    </r>
    <r>
      <rPr>
        <rFont val="Calibri"/>
        <color rgb="FF000000"/>
        <sz val="12.0"/>
      </rPr>
      <t>. h</t>
    </r>
    <r>
      <rPr>
        <rFont val="Calibri"/>
        <color rgb="FF000000"/>
        <sz val="12.0"/>
      </rPr>
      <t>ttps://doi.org/10.1111/rec.13054</t>
    </r>
  </si>
  <si>
    <t>https://onlinelibrary.wiley.com/doi/epdf/10.1111/rec.13054</t>
  </si>
  <si>
    <t>Charlon Ligson</t>
  </si>
  <si>
    <t>0059</t>
  </si>
  <si>
    <t>All of these reefs were constructed of scrap tires and bamboo, and were low profile reefs in varied arrays, some in combination with payaos</t>
  </si>
  <si>
    <t>80 modules</t>
  </si>
  <si>
    <t xml:space="preserve">https://core.ac.uk/download/pdf/6515223.pdf; https://www.ircwash.org/sites/default/files/802-PH90-8920.pdf </t>
  </si>
  <si>
    <t>0063</t>
  </si>
  <si>
    <t>Site in a lagoon in Santiago Island</t>
  </si>
  <si>
    <t xml:space="preserve">Primary objectives were to determine the effects on the coral of the stresses associated with transplantation, relocation, and the use of different artificial substrates such as flagstones and tires, and to determine possible effects of sedimentation on survival and growth of the transslants. </t>
  </si>
  <si>
    <t>Yap, H. T., &amp; Gomez, E. D. (1984). Growth of Acropora pulchra. Marine Biology, 81, 209-215. https://doi.org/10.1007/BF00393119</t>
  </si>
  <si>
    <t>https://link.springer.com/article/10.1007/BF00539430</t>
  </si>
  <si>
    <t>0064</t>
  </si>
  <si>
    <t>Site at Cangaluyan Island (N 16.3666667, E 120)</t>
  </si>
  <si>
    <t>Research; Examine the feasibility of using the species concerned in establishing new coral populations through deliberate fragmentation</t>
  </si>
  <si>
    <t>Yap, H. T., Alino, P., &amp; Gomez, E. D. (1992). Trends in growth and mortality of three coral species (Anthozoa: Scleractinia), including effects of transplantation. Marine Ecology Progress Series, 83, 91-101. Retrieved from https://www.int-res.com/articles/meps/83/m083p091.pdf</t>
  </si>
  <si>
    <t>https://www.int-res.com/articles/meps/83/m083p091.pdf</t>
  </si>
  <si>
    <t>0065</t>
  </si>
  <si>
    <r>
      <rPr>
        <rFont val="Calibri"/>
        <color rgb="FF000000"/>
        <sz val="12.0"/>
      </rPr>
      <t xml:space="preserve">Site at Santiago Island </t>
    </r>
    <r>
      <rPr>
        <rFont val="Calibri"/>
        <color rgb="FF000000"/>
        <sz val="12.0"/>
      </rPr>
      <t>(N 16.342, E 119.90)</t>
    </r>
  </si>
  <si>
    <r>
      <rPr>
        <rFont val="Calibri"/>
        <color rgb="FF000000"/>
        <sz val="12.0"/>
      </rPr>
      <t xml:space="preserve">Research; </t>
    </r>
    <r>
      <rPr>
        <rFont val="Calibri"/>
        <color rgb="FF000000"/>
        <sz val="12.0"/>
      </rPr>
      <t>Survival and growth of Porites scleratinian coral transplants</t>
    </r>
  </si>
  <si>
    <t>International Foundation for Science (Sweden)</t>
  </si>
  <si>
    <t>Yap, H. T., &amp; Molina, R. A. (2003). Comparison of coral growth and survival under enclosed, semi-natural conditions and in the field. Marine Pollution Bulletin, 46(7), 858-864. https://doi.org/10.1016/S0025-326X(03)00064-X</t>
  </si>
  <si>
    <t>https://www.sciencedirect.com/science/article/abs/pii/S0025326X0300064X</t>
  </si>
  <si>
    <t>0066</t>
  </si>
  <si>
    <r>
      <rPr>
        <rFont val="Calibri"/>
        <color rgb="FF000000"/>
        <sz val="12.0"/>
      </rPr>
      <t xml:space="preserve">Site at Santiago Island </t>
    </r>
    <r>
      <rPr>
        <rFont val="Calibri"/>
        <color rgb="FF000000"/>
        <sz val="12.0"/>
      </rPr>
      <t>(N 16.4113889, E 119.90694444444445)</t>
    </r>
  </si>
  <si>
    <t>Coral transplantation in natural and artificial substrate (metal grids)</t>
  </si>
  <si>
    <r>
      <rPr>
        <rFont val="Calibri"/>
        <color rgb="FF000000"/>
        <sz val="12.0"/>
      </rPr>
      <t xml:space="preserve">Research; </t>
    </r>
    <r>
      <rPr>
        <rFont val="Calibri"/>
        <color rgb="FF000000"/>
        <sz val="12.0"/>
      </rPr>
      <t>Compare survival of coral transplants  attached to natural and artificial substrates</t>
    </r>
  </si>
  <si>
    <t>Yap, H. T. (2004). Differential survival of coral transplants on various substrates under elevated water temperatures. Marine Pollution Bulletin, 49(4), 306-312. https://doi.org/10.1016/j.marpolbul.2004.02.017</t>
  </si>
  <si>
    <t>https://www.sciencedirect.com/science/article/abs/pii/S0025326X04000712?via%3Dihub</t>
  </si>
  <si>
    <t>0069</t>
  </si>
  <si>
    <t>Site at Riripayan Point (N 16.3833333, E 119.91805555555555)</t>
  </si>
  <si>
    <t>Larval settlement in terracota tiles; metal grid platforms in replicate sites</t>
  </si>
  <si>
    <t>Research; Investigate the effect of fish farm effluent on the juvenile survivorship of the reef-building coral Seriatopora caliendrum</t>
  </si>
  <si>
    <t>Shell Philippines Exploration B.V.</t>
  </si>
  <si>
    <t>212 juveniles</t>
  </si>
  <si>
    <t>Villanueva, R. D., Yap, H. T., &amp; Montano, M. N. (2005). Survivorship of coral juveniles in a fish farm environment. Marine Pollution Bulletin, 51(5-7), 580-589. https://doi.org/10.1016/j.marpolbul.2005.04.033</t>
  </si>
  <si>
    <t>https://www.sciencedirect.com/science/article/abs/pii/S0025326X05001669?via%3Dihub</t>
  </si>
  <si>
    <t>Dr. Ronald Villanueva; Dr. H.T. Yap</t>
  </si>
  <si>
    <t>0070</t>
  </si>
  <si>
    <t>Site in Guiguiwanen Channel (N 16.3866667; E 119.91694444444445)</t>
  </si>
  <si>
    <t>Research; Test the settlement rate of Pocillopora acuta larvae on artificial substrate near fish farms</t>
  </si>
  <si>
    <t>UP OVPAA</t>
  </si>
  <si>
    <t>Quimpo, T. R., Ligson, C., Manogan, D., Requilme, J. N., Albelda, R., Conaco, C., &amp; Cabaitan, P. (2020). Fish farm effluents alter reef benthic assemblages and reduce coral settlement. Marine Pollution Bulletin, 153. doi: 10.1016/j.marpolbul.2020.111025</t>
  </si>
  <si>
    <t>https://pubmed.ncbi.nlm.nih.gov/32275570/</t>
  </si>
  <si>
    <t>Dr. Timothy James Quimpo</t>
  </si>
  <si>
    <t>0071</t>
  </si>
  <si>
    <t>Sites in Silaqui (N 1820191, E 811925), Binabalian (N 1818242, E 811084), and Malilnep N 1819479, E 813857)</t>
  </si>
  <si>
    <t>Nubbin collection through fragmentation; attachment using cyanoacrylate glue, epoxy putty, and marine epoxy</t>
  </si>
  <si>
    <r>
      <rPr>
        <rFont val="Calibri"/>
        <color rgb="FF000000"/>
        <sz val="12.0"/>
      </rPr>
      <t xml:space="preserve">Research; </t>
    </r>
    <r>
      <rPr>
        <rFont val="Calibri"/>
        <color rgb="FF000000"/>
        <sz val="12.0"/>
      </rPr>
      <t>Comparison of three types of adhesives in attaching coral transplants</t>
    </r>
  </si>
  <si>
    <t>European Commission INCO-DEV REEFRES</t>
  </si>
  <si>
    <t>540 nubbins</t>
  </si>
  <si>
    <t>Dizon, R. M., Edwards, A., &amp; Gomez, E. (2008). Comparison of three types of adhesive in attaching coral transplants to clam shell substrates. Aquatic Conservation: Marine and Freshwater Ecosystems. DOI: 10.1002/aqc.944</t>
  </si>
  <si>
    <t>https://www.researchgate.net/publication/227686360_Comparison_of_three_types_of_adhesive_in_attaching_coral_transplants_to_clam_shell_substrates</t>
  </si>
  <si>
    <t>Dr. Romeo Dizon</t>
  </si>
  <si>
    <t>0078</t>
  </si>
  <si>
    <t>Site of nursery in Binabalian Labas (N 16.4269444, E 119.91444444444446)</t>
  </si>
  <si>
    <t>Sexual Propagation, Substrate Enhancement</t>
  </si>
  <si>
    <t>Larval Enhancement, Algal Removal</t>
  </si>
  <si>
    <t>Coral spat attached to rubble; trochus snails added to cage for algae control</t>
  </si>
  <si>
    <t>Research; Determine the effects of trochus on the survivorship and growth of coral spat</t>
  </si>
  <si>
    <t>Villanueva, R. D., Baria, M. V. B., &amp; Dela Cruz, D. W. (2013). Effects of grazing by herbivorous gastropod (Trochus niloticus) on the survivorship of cultured coral spat. Zoological Studies, 52. https://doi.org/10.1186/1810-522X-52-44</t>
  </si>
  <si>
    <t>https://zoologicalstudies.springeropen.com/articles/10.1186/1810-522X-52-44</t>
  </si>
  <si>
    <t>0079</t>
  </si>
  <si>
    <r>
      <rPr>
        <rFont val="Calibri"/>
        <color rgb="FF000000"/>
        <sz val="12.0"/>
      </rPr>
      <t xml:space="preserve">Site in Lucero </t>
    </r>
    <r>
      <rPr>
        <rFont val="Calibri"/>
        <color rgb="FF000000"/>
        <sz val="12.0"/>
      </rPr>
      <t>(N 16.4161111, E 119.90722222222223)</t>
    </r>
  </si>
  <si>
    <r>
      <rPr>
        <rFont val="Calibri"/>
        <color rgb="FF000000"/>
        <sz val="12.0"/>
      </rPr>
      <t xml:space="preserve">Research; Develop cost-effective, low-tech restoration method transferable to the community </t>
    </r>
    <r>
      <rPr>
        <rFont val="Calibri"/>
        <color rgb="FF000000"/>
        <sz val="12.0"/>
      </rPr>
      <t>using A. pulchra and A. intermedia species</t>
    </r>
  </si>
  <si>
    <t>450 COPs</t>
  </si>
  <si>
    <t>Australian Centre for International Agricultural Research</t>
  </si>
  <si>
    <t>Dela Cruz, D. W., Villanueva, R., Baria, M. V. B. (2014). Community-based, low-tech method of restoring a lost thicket of Acropora corals. ICES Journal of Marine Science, 71(7), 1866-1875. https://doi.org/10.1093/icesjms/fst228</t>
  </si>
  <si>
    <t>https://academic.oup.com/icesjms/article/71/7/1866/664250</t>
  </si>
  <si>
    <t>0082</t>
  </si>
  <si>
    <t>Site in Bolinao Marine Laboratory</t>
  </si>
  <si>
    <t>Coral collection, spawning and larval culture</t>
  </si>
  <si>
    <t>Research; Explore the effects of crude ethanolic extracts derived from P. damicornis and P. cylindrica, as well as from the soft coral, S. glaucum, on (1) larval survivorship, (2) larval swimming behavior, and (3) settlement of P. damicornis larvae</t>
  </si>
  <si>
    <t>Da-Anoy, J. P., Villanueva, R. D., Cabaitan, P., &amp; Conaco, C. (2017). Effects of coral extracts on survivorship, swimming behavior, and settlement of Pocillopora damicornis larvae. Journal of Experimental Marine Biology and Ecology, 486, 93-97. https://doi.org/10.1016/j.jembe.2016.10.006</t>
  </si>
  <si>
    <t>https://www.sciencedirect.com/science/article/abs/pii/S0022098116301873</t>
  </si>
  <si>
    <t>Jeric Da-Anoy/Dr. Patrick Cabaitan</t>
  </si>
  <si>
    <t>0130</t>
  </si>
  <si>
    <t>PH041022000</t>
  </si>
  <si>
    <t>Bamboo pyramidal</t>
  </si>
  <si>
    <t>Experimental (Fish Recruitment Study)</t>
  </si>
  <si>
    <t>0200</t>
  </si>
  <si>
    <t>Fish Recruitment Study</t>
  </si>
  <si>
    <t>It may be possible that this entry is the same as the Pasacao AR of the Fisheries Sector Program</t>
  </si>
  <si>
    <t>0302</t>
  </si>
  <si>
    <t>Site in Can-usod MPA</t>
  </si>
  <si>
    <t>Direct transplantation; re-attachment</t>
  </si>
  <si>
    <t xml:space="preserve">Research; Recovery of typhoon affected reefs; </t>
  </si>
  <si>
    <t>UP Natural Science Research Institute</t>
  </si>
  <si>
    <t>Anticamara, J. A., &amp; Tan, B. C. (2018). Survival and growth of re-attached storm-generated coral fragments post super typhoon Haiyan (a.k.a. Yolanda). Science Diliman, 30(2), 5–31. https://journals.upd.edu.ph/index.php/sciencediliman/article/download/6423/5632</t>
  </si>
  <si>
    <t>https://journals.upd.edu.ph/index.php/sciencediliman/article/download/6423/5632</t>
  </si>
  <si>
    <t>0303</t>
  </si>
  <si>
    <t>Site in Monbon MPA</t>
  </si>
  <si>
    <t>0306</t>
  </si>
  <si>
    <t>Quinapondan</t>
  </si>
  <si>
    <t>PH082618000</t>
  </si>
  <si>
    <t>Site in Panaloytoyon MPA</t>
  </si>
  <si>
    <t>0387</t>
  </si>
  <si>
    <t>Experimental; Research</t>
  </si>
  <si>
    <t>Varela, E. (2017). Growth and survival of corals of opportunity (Acropora spp.) at different depths at Tuka 3 Kiamba, Sarangani Province. Mindanao State University General Santos City Thesis Repository. https://35.229.131.110/node/60</t>
  </si>
  <si>
    <r>
      <rPr>
        <rFont val="Calibri"/>
        <color rgb="FF000000"/>
        <sz val="12.0"/>
      </rPr>
      <t xml:space="preserve">https://35.229.131.110/node/60; </t>
    </r>
    <r>
      <rPr>
        <rFont val="Calibri"/>
        <color rgb="FF1155CC"/>
        <sz val="12.0"/>
        <u/>
      </rPr>
      <t>https://thesis.msugensan.edu.ph/node/60</t>
    </r>
  </si>
  <si>
    <t>Evangeline D. Varela</t>
  </si>
  <si>
    <t>0423</t>
  </si>
  <si>
    <t xml:space="preserve">Site in Bantayan </t>
  </si>
  <si>
    <t>70 modules</t>
  </si>
  <si>
    <t>Silliman University</t>
  </si>
  <si>
    <t>BFAR; US Peace Corps</t>
  </si>
  <si>
    <t>0129</t>
  </si>
  <si>
    <t>Site in Brgy Calayo</t>
  </si>
  <si>
    <r>
      <rPr>
        <rFont val="Calibri"/>
        <color rgb="FF000000"/>
        <sz val="12.0"/>
      </rPr>
      <t xml:space="preserve">De la Salle University; </t>
    </r>
    <r>
      <rPr>
        <rFont val="Calibri"/>
        <color rgb="FF000000"/>
        <sz val="12.0"/>
      </rPr>
      <t>Pusod Inc.</t>
    </r>
  </si>
  <si>
    <t>Calayo People's Organization</t>
  </si>
  <si>
    <t>Pusod Admin (2018, January 30). Building artificial habitats in Barangay Calayo. Pusod Inc. http://pusod.org/pusod/building-artificial-habitats-in-barangay-calayo/</t>
  </si>
  <si>
    <t>http://pusod.org/pusod/building-artificial-habitats-in-barangay-calayo/</t>
  </si>
  <si>
    <t>0012</t>
  </si>
  <si>
    <r>
      <rPr>
        <rFont val="Calibri"/>
        <color rgb="FF000000"/>
        <sz val="12.0"/>
      </rPr>
      <t xml:space="preserve">City of </t>
    </r>
    <r>
      <rPr>
        <rFont val="Calibri"/>
        <color rgb="FF000000"/>
        <sz val="12.0"/>
      </rPr>
      <t>Candon</t>
    </r>
  </si>
  <si>
    <t>Site in Brgy Patpata 1st &amp; Patpata 2nd</t>
  </si>
  <si>
    <t>CLGU; Philippine Coast Guard</t>
  </si>
  <si>
    <r>
      <rPr>
        <rFont val="Calibri"/>
        <color rgb="FF000000"/>
        <sz val="12.0"/>
      </rPr>
      <t xml:space="preserve">Panglunsod na Kawanihan ng Pagsasaka ng Candon (2018, May 22). City Mayor Ericson G. Singson deploys Artificial Reef project at Barangays Patpata 1st and Patpata 2nd, Candon City. [Status Update]. Facebook. </t>
    </r>
    <r>
      <rPr>
        <rFont val="Calibri"/>
        <color rgb="FF000000"/>
        <sz val="12.0"/>
        <u/>
      </rPr>
      <t>https://web.facebook.com/permalink.php?id=978493562286545&amp;story_fbid=1211788355623730&amp;_rdc=1&amp;_rdr</t>
    </r>
  </si>
  <si>
    <t>https://web.facebook.com/permalink.php?id=978493562286545&amp;story_fbid=1211788355623730&amp;_rdc=1&amp;_rdr</t>
  </si>
  <si>
    <t>0015</t>
  </si>
  <si>
    <t>Santiago</t>
  </si>
  <si>
    <t>PH012927000</t>
  </si>
  <si>
    <t>Site in Santiago Cove</t>
  </si>
  <si>
    <t>Vitalis Villas</t>
  </si>
  <si>
    <r>
      <rPr>
        <rFont val="Calibri"/>
        <color rgb="FF000000"/>
        <sz val="12.0"/>
      </rPr>
      <t xml:space="preserve">Vitalis Villas (2017, June 16). Go diving or snorkeling at Santiago cove and see our artificial coral reef sanctuary. [Status Update]. Facebook. </t>
    </r>
    <r>
      <rPr>
        <rFont val="Calibri"/>
        <color rgb="FF1155CC"/>
        <sz val="12.0"/>
        <u/>
      </rPr>
      <t>https://web.facebook.com/VitalisVillas/posts/go-diving-or-snorkeling-at-santiago-cove-and-see-our-artificial-coral-reef-sanct/1897148467200987/?_rdc=1&amp;_rdr</t>
    </r>
  </si>
  <si>
    <t>https://web.facebook.com/VitalisVillas/posts/go-diving-or-snorkeling-at-santiago-cove-and-see-our-artificial-coral-reef-sanct/1897148467200987/?_rdc=1&amp;_rdr</t>
  </si>
  <si>
    <t>0094</t>
  </si>
  <si>
    <t>Site in Alas-asin</t>
  </si>
  <si>
    <t>Total &amp; Liquigaz</t>
  </si>
  <si>
    <t xml:space="preserve">PENRO </t>
  </si>
  <si>
    <t>PEMSEA &amp; Provincial Government of Bataan, Philippines (2017). State of the Coasts of Bataan Province. Partnerships in Environmental Management for the Seas of East Asia (PEMSEA), Quezon City.</t>
  </si>
  <si>
    <t>http://pemsea.org/sites/default/files/SOC%20Bataan.pdf</t>
  </si>
  <si>
    <t>0096</t>
  </si>
  <si>
    <t>Soriano, Z. (n.d.). Morong town, soon to be a diving spot. 1Bataan. https://1bataan.com/morong-town-soon-to-be-a-diving-spot/</t>
  </si>
  <si>
    <t>https://1bataan.com/morong-town-soon-to-be-a-diving-spot/</t>
  </si>
  <si>
    <t>0097</t>
  </si>
  <si>
    <t>Site in Nagbalayong</t>
  </si>
  <si>
    <t>0104</t>
  </si>
  <si>
    <t>San Antonio</t>
  </si>
  <si>
    <t>PH037109000</t>
  </si>
  <si>
    <t>30 modules</t>
  </si>
  <si>
    <r>
      <rPr>
        <rFont val="Calibri"/>
        <color rgb="FF1155CC"/>
        <sz val="12.0"/>
        <u/>
      </rPr>
      <t>https://punto.com.ph/artificial-reef-itinanim-sa-subic-bay/</t>
    </r>
    <r>
      <rPr>
        <rFont val="Calibri"/>
        <color rgb="FF000000"/>
        <sz val="12.0"/>
      </rPr>
      <t xml:space="preserve"> </t>
    </r>
  </si>
  <si>
    <t>0110</t>
  </si>
  <si>
    <t>Balayan</t>
  </si>
  <si>
    <t>PH041003000</t>
  </si>
  <si>
    <t>Site in Brgy Carenahan inside MPA</t>
  </si>
  <si>
    <t>Sem-Calaca Power Corporation &amp; Southwest Luzon Power Generation Corporation</t>
  </si>
  <si>
    <t>Department of Energy</t>
  </si>
  <si>
    <t>0197</t>
  </si>
  <si>
    <t>Caramoan</t>
  </si>
  <si>
    <t>PH051711000</t>
  </si>
  <si>
    <t>Reefs for Life</t>
  </si>
  <si>
    <t>Uknown</t>
  </si>
  <si>
    <t xml:space="preserve">Reefs for Life (2022, October 27). Did you know that the Philippines has close to 600 species of coral of which 200 are considered vulnerable or endangered? [Status Update]. </t>
  </si>
  <si>
    <t xml:space="preserve">https://web.facebook.com/CaramoanCoralReefProject/photos/a.3514110111966651/5665048640206110/ </t>
  </si>
  <si>
    <t>Bryan</t>
  </si>
  <si>
    <t>bryan@reefsforlife.org</t>
  </si>
  <si>
    <t>0220</t>
  </si>
  <si>
    <t>Batan</t>
  </si>
  <si>
    <t>PH060404000</t>
  </si>
  <si>
    <t>Panay News (2017, April 25). Aklan turns 61. Panay News. https://www.panaynews.net/aklan-turns-61/</t>
  </si>
  <si>
    <t>https://www.panaynews.net/aklan-turns-61/</t>
  </si>
  <si>
    <t>0222</t>
  </si>
  <si>
    <t>0224</t>
  </si>
  <si>
    <t>Kalibo</t>
  </si>
  <si>
    <t>PH060407000</t>
  </si>
  <si>
    <t>Kuhlmann, K. J. (2003). Ecological Evaluation of Near-Shore Spots as Key to Legalize Marine Protected Areas at the Coastline of Aklan, Philippines.  https://nsgl.gso.uri.edu/riu/riuc04001/pdffiles/papers/20988.pdf</t>
  </si>
  <si>
    <t>https://www.researchgate.net/publication/267416722_ECOLOGICAL_EVALUATION_OF_NEAR-SHORE_SPOTS_AS_KEY_TO_LEGALIZE_MARINE_PROTECTED_AREAS_AT_THE_COASTLINE_OF_AKLAN_PHILIPPINES</t>
  </si>
  <si>
    <t>0225</t>
  </si>
  <si>
    <t>Site inside MPA</t>
  </si>
  <si>
    <t>0229</t>
  </si>
  <si>
    <t>Rotary Club Boracay</t>
  </si>
  <si>
    <t>250 reef balls</t>
  </si>
  <si>
    <t>Boracay Rotary Club Reef Ball Project (n.d.). Reef Ball Foundation. http://www.reefball.org/album/philippines/boracayreef/index.html</t>
  </si>
  <si>
    <t>http://www.reefball.org/album/philippines/boracayreef/index.html</t>
  </si>
  <si>
    <t>0233</t>
  </si>
  <si>
    <t>Nabas</t>
  </si>
  <si>
    <t>PH060414000</t>
  </si>
  <si>
    <t>0234</t>
  </si>
  <si>
    <t>New Washington</t>
  </si>
  <si>
    <t>PH060415000</t>
  </si>
  <si>
    <t>concrete</t>
  </si>
  <si>
    <t>0235</t>
  </si>
  <si>
    <t>Numancia</t>
  </si>
  <si>
    <t>PH060416000</t>
  </si>
  <si>
    <t>Site in Camanci Norte</t>
  </si>
  <si>
    <t>0236</t>
  </si>
  <si>
    <t>"Bar towers"</t>
  </si>
  <si>
    <t>52 units</t>
  </si>
  <si>
    <t>0241</t>
  </si>
  <si>
    <t>Barbaza</t>
  </si>
  <si>
    <t>PH060602000</t>
  </si>
  <si>
    <t>OWWA</t>
  </si>
  <si>
    <t>OWAA</t>
  </si>
  <si>
    <t>DOLE; MLGU; BFAR</t>
  </si>
  <si>
    <t>WOW Barbaza (2020). BATABAT CORAL REEF
Salamat sa buhi nga grasya kag Dunang Manggad kang Barbaza. Naga amat amat ka recover ang aton [Status Update] [Images attached]. Facebook. https://web.facebook.com/WowBarbaza/posts/1465824566934101/?locale=hi_IN&amp;paipv=0&amp;eav=AfZGOrjdBSpfnDByXcj_hdkMBUl2YwXgKC2OTKkQpaMRz9lV5OLoqc7rel_f4h4K1EI&amp;_rdc=1&amp;_rdr</t>
  </si>
  <si>
    <t>https://web.facebook.com/WowBarbaza/posts/1465824566934101/?locale=hi_IN&amp;paipv=0&amp;eav=AfZGOrjdBSpfnDByXcj_hdkMBUl2YwXgKC2OTKkQpaMRz9lV5OLoqc7rel_f4h4K1EI&amp;_rdc=1&amp;_rdr</t>
  </si>
  <si>
    <t>0244</t>
  </si>
  <si>
    <t>City of Roxas</t>
  </si>
  <si>
    <t>PH061914000</t>
  </si>
  <si>
    <t>PHP 1,000,000.00</t>
  </si>
  <si>
    <t>560 units</t>
  </si>
  <si>
    <t>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t>
  </si>
  <si>
    <t>http://roxascity.gov.ph/roxas-city-receives-p1m-for-560-units-jackstone-type-artificial-reefs-project/</t>
  </si>
  <si>
    <t>0250</t>
  </si>
  <si>
    <t>Batad</t>
  </si>
  <si>
    <t>PH063009000</t>
  </si>
  <si>
    <t>Sites in Tunao, Alinsolong, Binon-on, Huisdong and Bonbon</t>
  </si>
  <si>
    <r>
      <rPr>
        <rFont val="Calibri"/>
        <color rgb="FF000000"/>
        <sz val="12.0"/>
      </rPr>
      <t xml:space="preserve">Crawford, B., Balgos, M., &amp; Pagdilao, C. (2000). Community-based Marine Sanctuaries in the Philippines: A Report on Focus Group Discussions. Coastal Resources Center, University of Rhode Island. </t>
    </r>
    <r>
      <rPr>
        <rFont val="Calibri"/>
        <color rgb="FF1155CC"/>
        <sz val="12.0"/>
        <u/>
      </rPr>
      <t>https://www.crc.uri.edu/download/CB_000E.pdf</t>
    </r>
  </si>
  <si>
    <t>https://www.crc.uri.edu/download/CB_000E.pdf</t>
  </si>
  <si>
    <t>0255</t>
  </si>
  <si>
    <t>Estancia</t>
  </si>
  <si>
    <t>PH063019000</t>
  </si>
  <si>
    <t>Site in three coastal Brgys</t>
  </si>
  <si>
    <t>0277</t>
  </si>
  <si>
    <t>Sustainable Energy and Enterprise Development for Communities (SEED4COM)</t>
  </si>
  <si>
    <t>Dann Diez</t>
  </si>
  <si>
    <t>0284</t>
  </si>
  <si>
    <t>Site in reef fronting USC Marine Research Station</t>
  </si>
  <si>
    <t>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t>
  </si>
  <si>
    <t>https://www.researchgate.net/publication/334957333_INTEGRATING_CORALS_OF_OPPORTUNITIES_ARTIFICIAL_REEF_SYSTEMS_AND_MARINE_PROTECTED_AREAS_POTENTIALS_FOR_EXPANDING_CORAL_COVER</t>
  </si>
  <si>
    <t>0285</t>
  </si>
  <si>
    <t>0304</t>
  </si>
  <si>
    <t>Salcedo</t>
  </si>
  <si>
    <t>PH082619000</t>
  </si>
  <si>
    <t>Site in Salcedo</t>
  </si>
  <si>
    <t>OXFAM (2016). OXFAM in the Philippines Annual Report 2016. https://cng-cdn.oxfam.org/philippines.oxfam.org/s3fs-public/file_attachments/Oxfam%20sa%20Pilipinas%20Annual%20Report%202016.pdf</t>
  </si>
  <si>
    <t>https://cng-cdn.oxfam.org/philippines.oxfam.org/s3fs-public/file_attachments/Oxfam%20sa%20Pilipinas%20Annual%20Report%202016.pdf</t>
  </si>
  <si>
    <t>0322</t>
  </si>
  <si>
    <t>Malitbog</t>
  </si>
  <si>
    <t>PH086409000</t>
  </si>
  <si>
    <t>Rope nursery (floating monoline)</t>
  </si>
  <si>
    <t>40 coral fragments</t>
  </si>
  <si>
    <t>Jerome Napala</t>
  </si>
  <si>
    <t>Eyom Napala (2017, August 14). Out of the 40 fragments that I processed last April 9, 2017, 38 of them survived [Status Update]. Facebook. https://www.facebook.com/photo/?fbid=10211996711851597&amp;set=a.10211341284986335</t>
  </si>
  <si>
    <t>https://www.facebook.com/photo/?fbid=10211996711851597&amp;set=a.10211341284986335</t>
  </si>
  <si>
    <t>0334</t>
  </si>
  <si>
    <t>Site in Dao-Dao Island</t>
  </si>
  <si>
    <t>Zamboanga del Sur Natural Tourist Attractions (n.d.). Lagaw Mindanao. http://lagawmindanao.blogspot.com/2012/03/zamboanga-del-sur.html</t>
  </si>
  <si>
    <t>http://lagawmindanao.blogspot.com/2012/03/zamboanga-del-sur.html</t>
  </si>
  <si>
    <t>0364</t>
  </si>
  <si>
    <t>Opol</t>
  </si>
  <si>
    <t>PH104321000</t>
  </si>
  <si>
    <t>Francisco, M. (2016, April 16-22). JCI Macajalar 24K honors women during JCI Week 2016. The Cagayan Times. https://issuu.com/sudaria_publications/docs/cdotimes_april_16-22__2016</t>
  </si>
  <si>
    <t>https://issuu.com/sudaria_publications/docs/cdotimes_april_16-22__2016</t>
  </si>
  <si>
    <t>0382</t>
  </si>
  <si>
    <t>San Isidro</t>
  </si>
  <si>
    <t>PH112510000</t>
  </si>
  <si>
    <t>0384</t>
  </si>
  <si>
    <t>Site in Brgy Diadangas South</t>
  </si>
  <si>
    <t>200 units</t>
  </si>
  <si>
    <t>PNA (2018, June 19). Foreign vessels runs aground, damages artificial reefs off GenSan. Philippine News Agency. https://www.pna.gov.ph/articles/1038701</t>
  </si>
  <si>
    <t>https://www.pna.gov.ph/articles/1038701</t>
  </si>
  <si>
    <t>0390</t>
  </si>
  <si>
    <t>Glan</t>
  </si>
  <si>
    <t>PH128002000</t>
  </si>
  <si>
    <t>Site inside MPAs in Binuni, Nibong and Talisay</t>
  </si>
  <si>
    <t>Fragments attached to concrete box-type artificial reefs</t>
  </si>
  <si>
    <t>Cortez, R. (n.d.). Artificial reef cum coral transplantation in Sarangani. https://www.emecs.or.jp/en/wp-content/uploads/2023/03/129.pdf#:~:text=This%20is%20sought%20as%20one%20of%20the,but%20throughout%20Sarangani%20Bay.%20The%20preparation%20of.</t>
  </si>
  <si>
    <t>https://www.emecs.or.jp/en/wp-content/uploads/2023/03/129.pdf#:~:text=This%20is%20sought%20as%20one%20of%20the,but%20throughout%20Sarangani%20Bay.%20The%20preparation%20of.</t>
  </si>
  <si>
    <t>0401</t>
  </si>
  <si>
    <t>Del Carmen</t>
  </si>
  <si>
    <t>PH166708000</t>
  </si>
  <si>
    <t>Del Carmen (2017, July 7). Del Carmen Artificial Coral Reefs. Municipality of Del Carmen. https://www.visitdelcarmen.com/del-carmen-artificial-coral-reefs/</t>
  </si>
  <si>
    <t>https://www.visitdelcarmen.com/del-carmen-artificial-coral-reefs/</t>
  </si>
  <si>
    <t>0402</t>
  </si>
  <si>
    <t>Malimono</t>
  </si>
  <si>
    <t>PH166715000</t>
  </si>
  <si>
    <t>Site in Hanagdong Fish Sanctuary</t>
  </si>
  <si>
    <t>BFAR CARAGA (2020). Annual Report 2020. https://caraga.bfar.da.gov.ph/wp-content/uploads/2022/12/Annual-Report-2020.pdf</t>
  </si>
  <si>
    <t>https://caraga.bfar.da.gov.ph/wp-content/uploads/2022/12/Annual-Report-2020.pdf</t>
  </si>
  <si>
    <t>0406</t>
  </si>
  <si>
    <t>Surigao del Sur</t>
  </si>
  <si>
    <t>Cortes</t>
  </si>
  <si>
    <t>PH166808000</t>
  </si>
  <si>
    <t>Nagpakabanang Mananagat sa Tigao (NAMATI)</t>
  </si>
  <si>
    <t>Fronda, J., De Leon, K., Grafil, M., &amp; Villarias, K. (2020). 6th Gawad Bayani ng Kalikasan Parangal sa mga Magiting na Pakikibaka para sa Kalikasan at Karapatan. Center for Environmental Concerns - Philippines. https://www.cecphils.org/wp-content/uploads/gbk2020-souvenir-program.pdf</t>
  </si>
  <si>
    <t>https://www.cecphils.org/wp-content/uploads/gbk2020-souvenir-program.pdf</t>
  </si>
  <si>
    <t>0417</t>
  </si>
  <si>
    <t>domes</t>
  </si>
  <si>
    <t>Philippine Dental Association</t>
  </si>
  <si>
    <t>300 blocks</t>
  </si>
  <si>
    <t>Sea Explorers Philippines</t>
  </si>
  <si>
    <t>FinnSnow (2021, October 20). Creating &amp; Installing Artificial Reefs in the Philippines - (Before/After Results) [Video]. Youtube. https://www.youtube.com/watch?v=X-dAZVSGLok</t>
  </si>
  <si>
    <t>https://www.youtube.com/watch?v=X-dAZVSGLok</t>
  </si>
  <si>
    <t>0421</t>
  </si>
  <si>
    <r>
      <rPr>
        <rFont val="Calibri"/>
        <color rgb="FF000000"/>
        <sz val="12.0"/>
      </rPr>
      <t xml:space="preserve">Site in Pura Vida Resort </t>
    </r>
    <r>
      <rPr>
        <rFont val="Calibri"/>
        <color rgb="FF000000"/>
        <sz val="12.0"/>
      </rPr>
      <t>house reef</t>
    </r>
  </si>
  <si>
    <t>Pura Vida Dive Resort</t>
  </si>
  <si>
    <t>3600 bottles</t>
  </si>
  <si>
    <t>Sea Explorers Philippines; Pura Vida Dive Resort</t>
  </si>
  <si>
    <t>0453</t>
  </si>
  <si>
    <t>Site in Pasiagan</t>
  </si>
  <si>
    <t>Junk material</t>
  </si>
  <si>
    <t>Junked Steel cabinet</t>
  </si>
  <si>
    <t xml:space="preserve">MSU-TCTO </t>
  </si>
  <si>
    <t>Mindanao State University</t>
  </si>
  <si>
    <t>WWF; Tawi-Tawi Diver's Club</t>
  </si>
  <si>
    <t>PIA-9 ZBST (2012, May 3). SCUBA diving training enhances MSU Tawi-Tawi's students' skills in marine, environmental science. Philippine Information Agency. https://piazampenpics.blogspot.com/2012/05/scuba-diving-training-enhances-msu-tawi.html?m=1</t>
  </si>
  <si>
    <t>https://piazampenpics.blogspot.com/2012/05/scuba-diving-training-enhances-msu-tawi.html?m=1</t>
  </si>
  <si>
    <t>Definition</t>
  </si>
  <si>
    <t>EXISTING Restoration_project_title</t>
  </si>
  <si>
    <t>Year</t>
  </si>
  <si>
    <t xml:space="preserve">Definition </t>
  </si>
  <si>
    <t>AR_design</t>
  </si>
  <si>
    <t>Motivations from Bostrom-Einarsson et al. (2020)</t>
  </si>
  <si>
    <t>Code</t>
  </si>
  <si>
    <t>Proponent_Gov_Type</t>
  </si>
  <si>
    <t>Proponent_Specific_Entity</t>
  </si>
  <si>
    <t>Source Type</t>
  </si>
  <si>
    <r>
      <rPr>
        <rFont val="Calibri"/>
        <color theme="1"/>
      </rPr>
      <t xml:space="preserve">Present in the 2023 database and </t>
    </r>
    <r>
      <rPr>
        <rFont val="Calibri"/>
        <b/>
        <color theme="1"/>
      </rPr>
      <t>included</t>
    </r>
    <r>
      <rPr>
        <rFont val="Calibri"/>
        <color theme="1"/>
      </rPr>
      <t xml:space="preserve"> in the Matorres et al. (2024) paper</t>
    </r>
  </si>
  <si>
    <r>
      <rPr>
        <rFont val="Calibri"/>
        <b/>
        <color theme="1"/>
      </rPr>
      <t>Changes were made</t>
    </r>
    <r>
      <rPr>
        <rFont val="Calibri"/>
        <color theme="1"/>
      </rPr>
      <t xml:space="preserve"> to retained columns when comparing the current version to Matorres et al. (2024)</t>
    </r>
  </si>
  <si>
    <t>Explicit year when the project was either established, started, or ended was not mentioned</t>
  </si>
  <si>
    <r>
      <rPr>
        <rFont val="Calibri"/>
        <color theme="1"/>
      </rPr>
      <t xml:space="preserve">Growing corals from </t>
    </r>
    <r>
      <rPr>
        <rFont val="Calibri"/>
        <b/>
        <color theme="1"/>
      </rPr>
      <t>fragments</t>
    </r>
    <r>
      <rPr>
        <rFont val="Calibri"/>
        <color theme="1"/>
      </rPr>
      <t xml:space="preserve"> of existing corals.</t>
    </r>
  </si>
  <si>
    <t>Direct transplantation</t>
  </si>
  <si>
    <r>
      <rPr>
        <rFont val="Calibri"/>
        <color theme="1"/>
      </rPr>
      <t xml:space="preserve">Method involving transplanting coral fragments or colonies </t>
    </r>
    <r>
      <rPr>
        <rFont val="Calibri"/>
        <b/>
        <color theme="1"/>
      </rPr>
      <t>directly</t>
    </r>
    <r>
      <rPr>
        <rFont val="Calibri"/>
        <color theme="1"/>
      </rPr>
      <t xml:space="preserve"> onto the substrate</t>
    </r>
  </si>
  <si>
    <r>
      <rPr>
        <rFont val="Calibri"/>
        <color theme="1"/>
      </rPr>
      <t xml:space="preserve">Structures made from </t>
    </r>
    <r>
      <rPr>
        <rFont val="Calibri"/>
        <b/>
        <color theme="1"/>
      </rPr>
      <t>concrete</t>
    </r>
    <r>
      <rPr>
        <rFont val="Calibri"/>
        <color theme="1"/>
      </rPr>
      <t>, including various shapes like domes, blocks, pyramids, and other molded forms.</t>
    </r>
  </si>
  <si>
    <r>
      <rPr>
        <rFont val="Calibri"/>
        <color theme="1"/>
      </rPr>
      <t xml:space="preserve">Project is </t>
    </r>
    <r>
      <rPr>
        <rFont val="Calibri"/>
        <b/>
        <color theme="1"/>
      </rPr>
      <t>not an artificial reef</t>
    </r>
    <r>
      <rPr>
        <rFont val="Calibri"/>
        <color theme="1"/>
      </rPr>
      <t xml:space="preserve"> project</t>
    </r>
  </si>
  <si>
    <r>
      <rPr>
        <rFont val="Calibri"/>
        <color theme="1"/>
      </rPr>
      <t xml:space="preserve">Project is </t>
    </r>
    <r>
      <rPr>
        <rFont val="Calibri"/>
        <b/>
        <color theme="1"/>
      </rPr>
      <t>not a coral gardening</t>
    </r>
    <r>
      <rPr>
        <rFont val="Calibri"/>
        <color theme="1"/>
      </rPr>
      <t xml:space="preserve"> project</t>
    </r>
  </si>
  <si>
    <r>
      <rPr>
        <rFont val="Calibri"/>
        <color theme="1"/>
      </rPr>
      <t xml:space="preserve">Project is </t>
    </r>
    <r>
      <rPr>
        <rFont val="Calibri"/>
        <b/>
        <color theme="1"/>
      </rPr>
      <t>not a coral gardening</t>
    </r>
    <r>
      <rPr>
        <rFont val="Calibri"/>
        <color theme="1"/>
      </rPr>
      <t xml:space="preserve"> project</t>
    </r>
  </si>
  <si>
    <t>Natural reef recovery is a lengthy processranging from 5 years to decades, and transplanting coral colonies on reef saffected by recruitment limitation may kick-start the recovery process</t>
  </si>
  <si>
    <t>Funder is based in the Philippines</t>
  </si>
  <si>
    <t>Restoration activities that are commercial in purpose</t>
  </si>
  <si>
    <t>Funder is a university or HEI</t>
  </si>
  <si>
    <t>Project was implented by an academic institution, university, or HEI</t>
  </si>
  <si>
    <t>Project implementor was not indicated</t>
  </si>
  <si>
    <r>
      <rPr>
        <rFont val="Calibri"/>
        <color theme="1"/>
      </rPr>
      <t xml:space="preserve">Published studies that have been reviewed by experts in the field before publication. This include </t>
    </r>
    <r>
      <rPr>
        <rFont val="Calibri"/>
        <b/>
        <color theme="1"/>
      </rPr>
      <t>journal articles</t>
    </r>
    <r>
      <rPr>
        <rFont val="Calibri"/>
        <color theme="1"/>
      </rPr>
      <t xml:space="preserve"> and </t>
    </r>
    <r>
      <rPr>
        <rFont val="Calibri"/>
        <b/>
        <color theme="1"/>
      </rPr>
      <t>books</t>
    </r>
    <r>
      <rPr>
        <rFont val="Calibri"/>
        <color theme="1"/>
      </rPr>
      <t xml:space="preserve">. </t>
    </r>
    <r>
      <rPr>
        <rFont val="Calibri"/>
        <b/>
        <color theme="1"/>
      </rPr>
      <t xml:space="preserve">Conference proceedings </t>
    </r>
    <r>
      <rPr>
        <rFont val="Calibri"/>
        <color theme="1"/>
      </rPr>
      <t>may also be included in this category, following the treatment in Boström-Einarsson et al. (2020).</t>
    </r>
  </si>
  <si>
    <r>
      <rPr>
        <rFont val="Calibri"/>
        <color theme="1"/>
      </rPr>
      <t xml:space="preserve">Present in the 2023 dataset </t>
    </r>
    <r>
      <rPr>
        <rFont val="Calibri"/>
        <b/>
        <color theme="1"/>
      </rPr>
      <t>but not included</t>
    </r>
    <r>
      <rPr>
        <rFont val="Calibri"/>
        <color theme="1"/>
      </rPr>
      <t xml:space="preserve"> in the Matorres et al. (2024) paper</t>
    </r>
  </si>
  <si>
    <r>
      <rPr>
        <rFont val="Calibri"/>
        <b/>
        <color theme="1"/>
      </rPr>
      <t>No changes</t>
    </r>
    <r>
      <rPr>
        <rFont val="Calibri"/>
        <color theme="1"/>
      </rPr>
      <t xml:space="preserve"> were made to retained columns when comparing the current version to Matorres et al. (2024)</t>
    </r>
  </si>
  <si>
    <r>
      <rPr>
        <rFont val="Calibri"/>
        <color theme="1"/>
      </rPr>
      <t xml:space="preserve">Growing corals from </t>
    </r>
    <r>
      <rPr>
        <rFont val="Calibri"/>
        <b/>
        <color theme="1"/>
      </rPr>
      <t>larvae</t>
    </r>
    <r>
      <rPr>
        <rFont val="Calibri"/>
        <color theme="1"/>
      </rPr>
      <t xml:space="preserve"> produced by coral spawning</t>
    </r>
  </si>
  <si>
    <r>
      <rPr>
        <rFont val="Calibri"/>
        <color theme="1"/>
      </rPr>
      <t xml:space="preserve">Method involving transplanting coral fragments or colonies after growing them in </t>
    </r>
    <r>
      <rPr>
        <rFont val="Calibri"/>
        <b/>
        <color theme="1"/>
      </rPr>
      <t>nurseries</t>
    </r>
  </si>
  <si>
    <r>
      <rPr>
        <rFont val="Calibri"/>
        <color theme="1"/>
      </rPr>
      <t>Artificial reefs made primarily from r</t>
    </r>
    <r>
      <rPr>
        <rFont val="Calibri"/>
        <b/>
        <color theme="1"/>
      </rPr>
      <t>ubber tires</t>
    </r>
    <r>
      <rPr>
        <rFont val="Calibri"/>
        <color theme="1"/>
      </rPr>
      <t>, either bundled, stacked, or combined with other materials.</t>
    </r>
  </si>
  <si>
    <t>Artificial Reef is made up mostly of bamboo materials for its frame</t>
  </si>
  <si>
    <t>Ex-situ</t>
  </si>
  <si>
    <t>Coral nurseries are found on land, in controlled conditions</t>
  </si>
  <si>
    <t>Flat table in which the frames are either made out of steel, PVC, or bamboo that is placed on the seafloor</t>
  </si>
  <si>
    <t>Reestablish a self-sustaining, functioning reef ecosystem</t>
  </si>
  <si>
    <r>
      <rPr>
        <rFont val="Calibri"/>
        <color theme="1"/>
      </rPr>
      <t xml:space="preserve">Objective here is not to restore a known coral community but rather </t>
    </r>
    <r>
      <rPr>
        <rFont val="Calibri"/>
        <b/>
        <color theme="1"/>
      </rPr>
      <t>rehabilitate</t>
    </r>
    <r>
      <rPr>
        <rFont val="Calibri"/>
        <color theme="1"/>
      </rPr>
      <t xml:space="preserve"> coral reefecosystem processes to secure critical </t>
    </r>
    <r>
      <rPr>
        <rFont val="Calibri"/>
        <b/>
        <color theme="1"/>
      </rPr>
      <t>ecosystem services</t>
    </r>
  </si>
  <si>
    <t>Funder is based abroad or outside the Philippines</t>
  </si>
  <si>
    <r>
      <rPr>
        <rFont val="Calibri"/>
        <color theme="1"/>
      </rPr>
      <t xml:space="preserve">Catch-all for projects whose stated objectives are related to rehabilitation, restoration, protection, provision of shelter and breeding ground, </t>
    </r>
    <r>
      <rPr>
        <rFont val="Calibri"/>
        <b/>
        <color theme="1"/>
      </rPr>
      <t>tourism</t>
    </r>
    <r>
      <rPr>
        <rFont val="Calibri"/>
        <color theme="1"/>
      </rPr>
      <t>, education, addressing illegal fishing and declining fish catch, tourism, coastal resource management, CSR, disaster rehab, livelihood, technology demonstration</t>
    </r>
  </si>
  <si>
    <t>Funder is a civil society group or clubs</t>
  </si>
  <si>
    <t>Project was implented by a civil socity group or club</t>
  </si>
  <si>
    <t xml:space="preserve">Not applicable </t>
  </si>
  <si>
    <t xml:space="preserve">Project was not established by the government </t>
  </si>
  <si>
    <t>Department of Environment and Natural Resources, including PENRO and CENRO</t>
  </si>
  <si>
    <t>Documents that are not published in peer-reviewed journals. This includes reports, media articles, theses, unpublished manuscripts, NGO publications, and social media posts.</t>
  </si>
  <si>
    <t>Conference Abstract</t>
  </si>
  <si>
    <r>
      <rPr>
        <rFont val="Calibri"/>
        <color theme="1"/>
      </rPr>
      <t xml:space="preserve">Added as a </t>
    </r>
    <r>
      <rPr>
        <rFont val="Calibri"/>
        <b/>
        <color theme="1"/>
      </rPr>
      <t>new</t>
    </r>
    <r>
      <rPr>
        <rFont val="Calibri"/>
        <color theme="1"/>
      </rPr>
      <t xml:space="preserve"> entry in the 2025 database </t>
    </r>
  </si>
  <si>
    <t>Deleted</t>
  </si>
  <si>
    <r>
      <rPr>
        <rFont val="Calibri"/>
        <color theme="1"/>
      </rPr>
      <t xml:space="preserve">Project was included in Matorres et al. (2024) but was </t>
    </r>
    <r>
      <rPr>
        <rFont val="Calibri"/>
        <b/>
        <color theme="1"/>
      </rPr>
      <t>removed</t>
    </r>
    <r>
      <rPr>
        <rFont val="Calibri"/>
        <color theme="1"/>
      </rPr>
      <t xml:space="preserve"> from the current database due to reasons such as: (1) missing valid reference, (2) split into multiple distinct projects, (3) identified as a duplicate, or (4) other relevant reasons</t>
    </r>
  </si>
  <si>
    <r>
      <rPr>
        <rFont val="Calibri"/>
        <b/>
        <color theme="1"/>
      </rPr>
      <t>Improving the seabed</t>
    </r>
    <r>
      <rPr>
        <rFont val="Calibri"/>
        <color theme="1"/>
      </rPr>
      <t xml:space="preserve"> to support coral settlement</t>
    </r>
  </si>
  <si>
    <t>Micro-fragmentation</t>
  </si>
  <si>
    <r>
      <rPr>
        <rFont val="Calibri"/>
        <color theme="1"/>
      </rPr>
      <t xml:space="preserve">Method involving transplanting </t>
    </r>
    <r>
      <rPr>
        <rFont val="Calibri"/>
        <b/>
        <color theme="1"/>
      </rPr>
      <t>very small coral fragments</t>
    </r>
    <r>
      <rPr>
        <rFont val="Calibri"/>
        <color theme="1"/>
      </rPr>
      <t xml:space="preserve"> to promote rapid tissue growth and fusion</t>
    </r>
  </si>
  <si>
    <r>
      <rPr>
        <rFont val="Calibri"/>
        <color theme="1"/>
      </rPr>
      <t xml:space="preserve">Reefs made from </t>
    </r>
    <r>
      <rPr>
        <rFont val="Calibri"/>
        <b/>
        <color theme="1"/>
      </rPr>
      <t>biodegradable or naturally occurring materials</t>
    </r>
    <r>
      <rPr>
        <rFont val="Calibri"/>
        <color theme="1"/>
      </rPr>
      <t xml:space="preserve"> such as bamboo, dead coral, sand, or giant clams.</t>
    </r>
  </si>
  <si>
    <t xml:space="preserve">Coral nurseries are found in the sea, in natural conditions </t>
  </si>
  <si>
    <t>Coral fragments are suspended from horizontal bars attaches to a vertical trunk; materials are either made from PVC, bamboo, or steel</t>
  </si>
  <si>
    <r>
      <rPr>
        <rFont val="Calibri"/>
        <b/>
        <color theme="1"/>
      </rPr>
      <t>Mitigation</t>
    </r>
    <r>
      <rPr>
        <rFont val="Calibri"/>
        <color theme="1"/>
      </rPr>
      <t xml:space="preserve"> strategy, whereby coral colonies are relocated from a soon-to-be impacted site to a safer site</t>
    </r>
  </si>
  <si>
    <t xml:space="preserve">Funder was not indicated </t>
  </si>
  <si>
    <t xml:space="preserve">Restoration project stated objectives are for experiment, study, testing and those funded by research fellowships. Majority of these were implemented the academe. </t>
  </si>
  <si>
    <t>Funder is among the following: resorts, companies, corporations, foundations, social enterprises</t>
  </si>
  <si>
    <t>Project was implemented by among the following: resorts, companies, corporations, social enterprises</t>
  </si>
  <si>
    <t>NGA</t>
  </si>
  <si>
    <t>Project was implemented by a national government authority, including BFAR, DENR, DOST, PCG, Phillippine Army</t>
  </si>
  <si>
    <t>Department of Science and Technology</t>
  </si>
  <si>
    <r>
      <rPr>
        <rFont val="Calibri"/>
        <color theme="1"/>
      </rPr>
      <t xml:space="preserve">Projects indentified via </t>
    </r>
    <r>
      <rPr>
        <rFont val="Calibri"/>
        <b/>
        <color theme="1"/>
      </rPr>
      <t>survey questionnaire</t>
    </r>
    <r>
      <rPr>
        <rFont val="Calibri"/>
        <color theme="1"/>
      </rPr>
      <t xml:space="preserve"> or </t>
    </r>
    <r>
      <rPr>
        <rFont val="Calibri"/>
        <b/>
        <color theme="1"/>
      </rPr>
      <t>personal communication</t>
    </r>
    <r>
      <rPr>
        <rFont val="Calibri"/>
        <color theme="1"/>
      </rPr>
      <t>.</t>
    </r>
  </si>
  <si>
    <t>Can either be grey or peer-reviewed literature. A rule of thumb is if the paper was cited by journal articles, then it is peer-reviewed. otherwise, it is grey literature.</t>
  </si>
  <si>
    <r>
      <rPr>
        <rFont val="Calibri"/>
        <color theme="1"/>
      </rPr>
      <t xml:space="preserve">Project was added as a </t>
    </r>
    <r>
      <rPr>
        <rFont val="Calibri"/>
        <b/>
        <color theme="1"/>
      </rPr>
      <t>new</t>
    </r>
    <r>
      <rPr>
        <rFont val="Calibri"/>
        <color theme="1"/>
      </rPr>
      <t xml:space="preserve"> entry in the 2025 database, with no previous version to compare</t>
    </r>
  </si>
  <si>
    <r>
      <rPr>
        <rFont val="Calibri"/>
        <color theme="1"/>
      </rPr>
      <t xml:space="preserve">Restoration method was </t>
    </r>
    <r>
      <rPr>
        <rFont val="Calibri"/>
        <b/>
        <color theme="1"/>
      </rPr>
      <t>not indicated</t>
    </r>
  </si>
  <si>
    <t>Larval enhancement</t>
  </si>
  <si>
    <r>
      <rPr>
        <rFont val="Calibri"/>
        <color theme="1"/>
      </rPr>
      <t xml:space="preserve">Method involving the use of sexually produced </t>
    </r>
    <r>
      <rPr>
        <rFont val="Calibri"/>
        <b/>
        <color theme="1"/>
      </rPr>
      <t>coral larvae</t>
    </r>
    <r>
      <rPr>
        <rFont val="Calibri"/>
        <color theme="1"/>
      </rPr>
      <t>, grown in-situ or ex-situ before release or transplantation</t>
    </r>
  </si>
  <si>
    <r>
      <rPr>
        <rFont val="Calibri"/>
        <color theme="1"/>
      </rPr>
      <t xml:space="preserve">Structures made from </t>
    </r>
    <r>
      <rPr>
        <rFont val="Calibri"/>
        <b/>
        <color theme="1"/>
      </rPr>
      <t>metal components</t>
    </r>
    <r>
      <rPr>
        <rFont val="Calibri"/>
        <color theme="1"/>
      </rPr>
      <t xml:space="preserve"> like steel frames or rebars, or</t>
    </r>
    <r>
      <rPr>
        <rFont val="Calibri"/>
        <b/>
        <color theme="1"/>
      </rPr>
      <t xml:space="preserve"> large sunken objects</t>
    </r>
    <r>
      <rPr>
        <rFont val="Calibri"/>
        <color theme="1"/>
      </rPr>
      <t xml:space="preserve"> such as ships or planes.</t>
    </r>
  </si>
  <si>
    <t>The location of the coral nursery was not indicated.</t>
  </si>
  <si>
    <r>
      <rPr>
        <rFont val="Calibri"/>
        <b/>
        <color theme="1"/>
      </rPr>
      <t>Conserve</t>
    </r>
    <r>
      <rPr>
        <rFont val="Calibri"/>
        <color theme="1"/>
      </rPr>
      <t xml:space="preserve"> endangered coral species, and safeguard critical ecosystem services on threatened coral reefs by increasing coral cover, diversity, and overall structural complexity. This objective also includes creating artificial “sacrificial sites to movetourism pressures away from pristine, natural reef areas”</t>
    </r>
  </si>
  <si>
    <t>Restoration objective was not stated nor funding agency</t>
  </si>
  <si>
    <t>Funder is a national government agency in the Philippines.</t>
  </si>
  <si>
    <t>Project was implemented by a national government agency in the Philippines.</t>
  </si>
  <si>
    <t>LGU</t>
  </si>
  <si>
    <t>Project was implemented by a local government unit, including PLGU, MLGU, CLGU</t>
  </si>
  <si>
    <t>Ministry of Agriculture, Fisheries, and Agrarian Reform</t>
  </si>
  <si>
    <t>Articles published in an academic journal indexed in recognised scholarly databases (e.g., Scopus, Web of Science), and typically peer-reviewed.</t>
  </si>
  <si>
    <t>Artificial reef</t>
  </si>
  <si>
    <r>
      <rPr>
        <rFont val="Calibri"/>
        <color theme="1"/>
      </rPr>
      <t>Method involving the i</t>
    </r>
    <r>
      <rPr>
        <rFont val="Calibri"/>
        <b/>
        <color theme="1"/>
      </rPr>
      <t>nstallation of artificial structures</t>
    </r>
    <r>
      <rPr>
        <rFont val="Calibri"/>
        <color theme="1"/>
      </rPr>
      <t xml:space="preserve"> to provide habitat and promote coral settlement</t>
    </r>
  </si>
  <si>
    <r>
      <rPr>
        <rFont val="Calibri"/>
        <color theme="1"/>
      </rPr>
      <t xml:space="preserve">Specially designed reef units using </t>
    </r>
    <r>
      <rPr>
        <rFont val="Calibri"/>
        <b/>
        <color theme="1"/>
      </rPr>
      <t>innovative materials or technology</t>
    </r>
    <r>
      <rPr>
        <rFont val="Calibri"/>
        <color theme="1"/>
      </rPr>
      <t>, such as Reef Balls, Reefbuds, or 3D-printed modules.</t>
    </r>
  </si>
  <si>
    <t xml:space="preserve">The type of concrete artificial reef structure was not explicitly mentioned in the source material </t>
  </si>
  <si>
    <r>
      <rPr>
        <rFont val="Calibri"/>
        <color theme="1"/>
      </rPr>
      <t xml:space="preserve">Project is a coral gardening project </t>
    </r>
    <r>
      <rPr>
        <rFont val="Calibri"/>
        <b/>
        <color theme="1"/>
      </rPr>
      <t xml:space="preserve">use of coral nurseries was not indicated </t>
    </r>
  </si>
  <si>
    <t>Provide alternative, sustainable livelihood opportunities</t>
  </si>
  <si>
    <r>
      <rPr>
        <rFont val="Calibri"/>
        <color theme="1"/>
      </rPr>
      <t xml:space="preserve">Coral transplantation efforts may provide alternative livelihood opportunities, such as enhancing </t>
    </r>
    <r>
      <rPr>
        <rFont val="Calibri"/>
        <b/>
        <color theme="1"/>
      </rPr>
      <t>fisheries habitat, tourism, and coral farming</t>
    </r>
  </si>
  <si>
    <t>Funder is a local government unit in the Philippines.</t>
  </si>
  <si>
    <t>Project was implemented by a local government unit in the Philippines.</t>
  </si>
  <si>
    <t>RGA</t>
  </si>
  <si>
    <t>Project was implemented by a regional government authority, which is specific to the region of BARMM</t>
  </si>
  <si>
    <t>Bureau of Fisheries and Aquatic Resources</t>
  </si>
  <si>
    <t>Projects that were collated via phone call, email, or face-to-face.</t>
  </si>
  <si>
    <t>Mineral accretion</t>
  </si>
  <si>
    <r>
      <rPr>
        <rFont val="Calibri"/>
        <color theme="1"/>
      </rPr>
      <t xml:space="preserve">Method involving the application of low-voltage </t>
    </r>
    <r>
      <rPr>
        <rFont val="Calibri"/>
        <b/>
        <color theme="1"/>
      </rPr>
      <t>electrical current</t>
    </r>
    <r>
      <rPr>
        <rFont val="Calibri"/>
        <color theme="1"/>
      </rPr>
      <t xml:space="preserve"> to artificial substrates</t>
    </r>
  </si>
  <si>
    <r>
      <rPr>
        <rFont val="Calibri"/>
        <color theme="1"/>
      </rPr>
      <t xml:space="preserve">Reefs built using </t>
    </r>
    <r>
      <rPr>
        <rFont val="Calibri"/>
        <b/>
        <color theme="1"/>
      </rPr>
      <t>repurposed materials</t>
    </r>
    <r>
      <rPr>
        <rFont val="Calibri"/>
        <color theme="1"/>
      </rPr>
      <t xml:space="preserve"> like glass bottles, PVC pipes, or other non-natural, non-metal waste items.</t>
    </r>
  </si>
  <si>
    <t xml:space="preserve">Artificial reef wherein the individul units are concrete cubes with a hollow square face on each side </t>
  </si>
  <si>
    <r>
      <rPr>
        <rFont val="Calibri"/>
        <color theme="1"/>
      </rPr>
      <t xml:space="preserve">Involvement in coral transplantation will foster conservation </t>
    </r>
    <r>
      <rPr>
        <rFont val="Calibri"/>
        <b/>
        <color theme="1"/>
      </rPr>
      <t>stewardship</t>
    </r>
    <r>
      <rPr>
        <rFont val="Calibri"/>
        <color theme="1"/>
      </rPr>
      <t xml:space="preserve"> through increased </t>
    </r>
    <r>
      <rPr>
        <rFont val="Calibri"/>
        <b/>
        <color theme="1"/>
      </rPr>
      <t>education</t>
    </r>
    <r>
      <rPr>
        <rFont val="Calibri"/>
        <color theme="1"/>
      </rPr>
      <t xml:space="preserve"> and research opportunities</t>
    </r>
  </si>
  <si>
    <t>Funder is a regional government unit in the Philippines, which is most of the time just MAFAR).</t>
  </si>
  <si>
    <t>Project was implemented by a regional government unit in the Philippines, which is most of the time just MAFAR).</t>
  </si>
  <si>
    <t xml:space="preserve">Retained as is for the classification </t>
  </si>
  <si>
    <t>Armed Forces of the Philippines</t>
  </si>
  <si>
    <t>Responses from the survey questionnaire that was circulated from August to December 2022.</t>
  </si>
  <si>
    <t>Substrate stabilisation</t>
  </si>
  <si>
    <r>
      <rPr>
        <rFont val="Calibri"/>
        <color theme="1"/>
      </rPr>
      <t xml:space="preserve">Method involving the use of </t>
    </r>
    <r>
      <rPr>
        <rFont val="Calibri"/>
        <b/>
        <color theme="1"/>
      </rPr>
      <t xml:space="preserve">mesh nets </t>
    </r>
    <r>
      <rPr>
        <rFont val="Calibri"/>
        <color theme="1"/>
      </rPr>
      <t>to stabilise loose or unstable substrate</t>
    </r>
  </si>
  <si>
    <r>
      <rPr>
        <rFont val="Calibri"/>
        <color theme="1"/>
      </rPr>
      <t xml:space="preserve">Structures </t>
    </r>
    <r>
      <rPr>
        <rFont val="Calibri"/>
        <b/>
        <color theme="1"/>
      </rPr>
      <t xml:space="preserve">combining two or more material types </t>
    </r>
    <r>
      <rPr>
        <rFont val="Calibri"/>
        <color theme="1"/>
      </rPr>
      <t>(e.g., tires and bamboo) where no single material is dominant.</t>
    </r>
  </si>
  <si>
    <t>In-situ nursery where coral fragments/COPs are being tended to grow; can be made out of steel bar for its frame</t>
  </si>
  <si>
    <r>
      <rPr>
        <rFont val="Calibri"/>
        <color theme="1"/>
      </rPr>
      <t xml:space="preserve">Restoration conducted to advance scientific understanding of coral reef ecology, restoration </t>
    </r>
    <r>
      <rPr>
        <rFont val="Calibri"/>
        <b/>
        <color theme="1"/>
      </rPr>
      <t>techniques</t>
    </r>
    <r>
      <rPr>
        <rFont val="Calibri"/>
        <color theme="1"/>
      </rPr>
      <t>, or related processes through systematic study and data collection</t>
    </r>
  </si>
  <si>
    <t>Funder is a non-profit, non-governmental organization</t>
  </si>
  <si>
    <t>Project was implemented by non-profit, non-governmental organization</t>
  </si>
  <si>
    <r>
      <rPr>
        <rFont val="Calibri"/>
        <color theme="1"/>
      </rPr>
      <t xml:space="preserve">Projects that were collected from social media platforms such as </t>
    </r>
    <r>
      <rPr>
        <rFont val="Calibri"/>
        <b/>
        <color theme="1"/>
      </rPr>
      <t xml:space="preserve">Facebook </t>
    </r>
    <r>
      <rPr>
        <rFont val="Calibri"/>
        <color theme="1"/>
      </rPr>
      <t xml:space="preserve">or </t>
    </r>
    <r>
      <rPr>
        <rFont val="Calibri"/>
        <b/>
        <color theme="1"/>
      </rPr>
      <t>Youtube</t>
    </r>
    <r>
      <rPr>
        <rFont val="Calibri"/>
        <color theme="1"/>
      </rPr>
      <t>.</t>
    </r>
  </si>
  <si>
    <t>Algae Removal</t>
  </si>
  <si>
    <r>
      <rPr>
        <rFont val="Calibri"/>
        <color theme="1"/>
      </rPr>
      <t xml:space="preserve">Method involving the </t>
    </r>
    <r>
      <rPr>
        <rFont val="Calibri"/>
        <b/>
        <color theme="1"/>
      </rPr>
      <t>removal of algae</t>
    </r>
    <r>
      <rPr>
        <rFont val="Calibri"/>
        <color theme="1"/>
      </rPr>
      <t xml:space="preserve"> to reduce competition for corals</t>
    </r>
  </si>
  <si>
    <t>Project does not use artificial reefs.</t>
  </si>
  <si>
    <t xml:space="preserve">Artificial reef structure that is dome-shaped with hollow portions </t>
  </si>
  <si>
    <t>Suspended nursery</t>
  </si>
  <si>
    <r>
      <rPr>
        <rFont val="Calibri"/>
        <color theme="1"/>
      </rPr>
      <t xml:space="preserve"> Restoration designed to modify and enhance the physical or biological environment to improve habitat conditions and support coral reef recovery using </t>
    </r>
    <r>
      <rPr>
        <rFont val="Calibri"/>
        <b/>
        <color theme="1"/>
      </rPr>
      <t>innovative</t>
    </r>
    <r>
      <rPr>
        <rFont val="Calibri"/>
        <color theme="1"/>
      </rPr>
      <t xml:space="preserve"> technology</t>
    </r>
  </si>
  <si>
    <t>Funder is among the following: funding agencies, fellowships, and are usually foreign institution</t>
  </si>
  <si>
    <t xml:space="preserve">Project was implemented by foreign funding agency </t>
  </si>
  <si>
    <t>City Local Government Unit</t>
  </si>
  <si>
    <r>
      <rPr>
        <rFont val="Calibri"/>
        <color theme="1"/>
      </rPr>
      <t xml:space="preserve">Entries published on online platforms, typically authored by individuals, organisations, or project teams. This includes project descriptions or updates shared through </t>
    </r>
    <r>
      <rPr>
        <rFont val="Calibri"/>
        <b/>
        <color theme="1"/>
      </rPr>
      <t>blog sites</t>
    </r>
    <r>
      <rPr>
        <rFont val="Calibri"/>
        <color theme="1"/>
      </rPr>
      <t>,</t>
    </r>
    <r>
      <rPr>
        <rFont val="Calibri"/>
        <b/>
        <color theme="1"/>
      </rPr>
      <t xml:space="preserve"> non-governmental institutional websites</t>
    </r>
    <r>
      <rPr>
        <rFont val="Calibri"/>
        <color theme="1"/>
      </rPr>
      <t xml:space="preserve">, or other </t>
    </r>
    <r>
      <rPr>
        <rFont val="Calibri"/>
        <b/>
        <color theme="1"/>
      </rPr>
      <t>web-based formats</t>
    </r>
    <r>
      <rPr>
        <rFont val="Calibri"/>
        <color theme="1"/>
      </rPr>
      <t xml:space="preserve"> that are not disseminated through formal media outlets.</t>
    </r>
  </si>
  <si>
    <t>Project used artificial reefs but the type of material was not indicated in the source material.</t>
  </si>
  <si>
    <t>Artificial reef technology composed of environment-friendly natuyral organic and inorganic materials, such as shredded coconut husk, rice stalks, volcanic rock, activated carbon, sand, and cement. They form hollow pyramid/dome structures</t>
  </si>
  <si>
    <t>Leg-fixed nursery</t>
  </si>
  <si>
    <r>
      <rPr>
        <rFont val="Calibri"/>
        <color theme="1"/>
      </rPr>
      <t xml:space="preserve">Project objective was </t>
    </r>
    <r>
      <rPr>
        <rFont val="Calibri"/>
        <b/>
        <color theme="1"/>
      </rPr>
      <t>not indicated</t>
    </r>
  </si>
  <si>
    <t>Funder is an individual person</t>
  </si>
  <si>
    <t>Project was implemented by a lone individual or as part of a student project</t>
  </si>
  <si>
    <t>Municipal Local Government Unit</t>
  </si>
  <si>
    <r>
      <rPr>
        <rFont val="Calibri"/>
        <color theme="1"/>
      </rPr>
      <t>Official announcements or updates from organisations or government agencies, written in a</t>
    </r>
    <r>
      <rPr>
        <rFont val="Calibri"/>
        <b/>
        <color theme="1"/>
      </rPr>
      <t xml:space="preserve"> formal and factual style</t>
    </r>
    <r>
      <rPr>
        <rFont val="Calibri"/>
        <color theme="1"/>
      </rPr>
      <t>. These may be published on websites such as the Philippine News Agency (pna.gov.ph), ABS-CBN News (news.abs-cbn.com), or Philippine Daily Inquirer (inquirer.net). Some LGUs and NGOs may also publish press releases on their own sites or platforms like Blogspot.</t>
    </r>
  </si>
  <si>
    <r>
      <rPr>
        <rFont val="Calibri"/>
        <color theme="1"/>
      </rPr>
      <t xml:space="preserve">Restoration method was </t>
    </r>
    <r>
      <rPr>
        <rFont val="Calibri"/>
        <b/>
        <color theme="1"/>
      </rPr>
      <t>not indicated</t>
    </r>
  </si>
  <si>
    <t>Concrete structure characterized by six protruding legs</t>
  </si>
  <si>
    <t>Funder is not indicated</t>
  </si>
  <si>
    <t>People's Organization, meaning these are community-based organizations representing sectors, usually marginal</t>
  </si>
  <si>
    <t>Provincial Local Government Unit</t>
  </si>
  <si>
    <t>Official publications produced by government agencies in the Philippines, these may include briefer reports, technical reports, annual reports or the like</t>
  </si>
  <si>
    <t xml:space="preserve">Concrete structure that is shaped into a pyramid, including those that were molded into a pyramid before installment, or formed from slabs into a pyramid underwater </t>
  </si>
  <si>
    <t xml:space="preserve">The Coral nursery unit is fixed to the seabed as a concrete square strructure in which the coral fragments are planted within it </t>
  </si>
  <si>
    <t>"Southeast Asian Fisheries Development Center", which is a 'consortium' of member countries of the ASEAN working collectively on specific research and development activities</t>
  </si>
  <si>
    <t>Includes SUCs, LUCs, and Public Research Institutes</t>
  </si>
  <si>
    <t>A research article prepared for submission to a journal but not yet published or accepted. The format is usually in a journal article style. This can include thesis, journal article, or abstract.</t>
  </si>
  <si>
    <t>Concrete roundtable</t>
  </si>
  <si>
    <t>Integrated coral silviculture</t>
  </si>
  <si>
    <t>Includes Private HEIs</t>
  </si>
  <si>
    <t xml:space="preserve">This are print articles that are produced by non-governmental institutions. </t>
  </si>
  <si>
    <t>A concrete structure that is shaped to resemble humans, animals, or the like</t>
  </si>
  <si>
    <t>Concrete slabs</t>
  </si>
  <si>
    <t>Angle-bar nursery</t>
  </si>
  <si>
    <t>Department of Energy, including National Power Corporation</t>
  </si>
  <si>
    <t>Department of Agriculture</t>
  </si>
  <si>
    <t>Coral tree</t>
  </si>
  <si>
    <t xml:space="preserve">Department or Social Welfare and Development </t>
  </si>
  <si>
    <t>Overseas Workers Welfare Administration</t>
  </si>
  <si>
    <t>A concrete structure with three legs or supports</t>
  </si>
  <si>
    <t>Commission on Higher Education</t>
  </si>
  <si>
    <t>3D-printed clay brick</t>
  </si>
  <si>
    <t>Philippine National Police</t>
  </si>
  <si>
    <t>Sand</t>
  </si>
  <si>
    <t>Dead coral</t>
  </si>
  <si>
    <t>Retained as is for the classification</t>
  </si>
  <si>
    <t>It is made of ceramic stoneware that is ideal for the settlement of corals and other invertebrates</t>
  </si>
  <si>
    <t>Steel pipe</t>
  </si>
  <si>
    <t>Wreck structure (plane, boat)</t>
  </si>
  <si>
    <t>Beams and cylinders</t>
  </si>
  <si>
    <t>Hollow block</t>
  </si>
  <si>
    <t>They are typically dome-shaped with holes and rough surfaces; constructed from special, ph-baalnce microsilica concrete</t>
  </si>
  <si>
    <t>Cement with silica</t>
  </si>
  <si>
    <t>Rubber</t>
  </si>
  <si>
    <t>Artificial reef is made wholly from waste items such as steel cabinets, wreck structures (planes, boats) etc without modifications</t>
  </si>
  <si>
    <t>Steel cabinet</t>
  </si>
  <si>
    <t>Terracotta tiles</t>
  </si>
  <si>
    <t>Tree nursery</t>
  </si>
  <si>
    <t>Quadrats</t>
  </si>
  <si>
    <t>Bamboo raft nursery</t>
  </si>
  <si>
    <t>Terracota tiles</t>
  </si>
  <si>
    <t>Pyramid</t>
  </si>
  <si>
    <t xml:space="preserve">Concrete structure that is shaped like a pyramid as one unit </t>
  </si>
  <si>
    <t>Concrete structure that is shaped like a cube, which can either be hollow or solid. It is usually used as inidividual units that are stacked to form bigger structures such as pyramids</t>
  </si>
  <si>
    <t>AR is a sculpture but made out of steel frames</t>
  </si>
  <si>
    <t xml:space="preserve">AR used particularly for the SCREMP project in Central Visayas. The structure of the AR is unknown </t>
  </si>
  <si>
    <t>Dome table</t>
  </si>
  <si>
    <t>Concrete cylinder</t>
  </si>
  <si>
    <t>Project 2B. Sexual Reproduction of Selected Reef Coral Species Across the Philippine Archipelago (Cebu)</t>
  </si>
  <si>
    <t>Project 2B. Sexual Reproduction of Selected Reef Coral Species Across the Philippine Archipelago (Tawi-Tawi)</t>
  </si>
  <si>
    <t>Regional Coral Restoration and Appropriate Technologies for Larger-Scale Coral &amp; Fish Habitat Restoration in the Philippines and Australia (FIS 2019/23)</t>
  </si>
  <si>
    <t>City of Lamitan</t>
  </si>
  <si>
    <t>PH150702000</t>
  </si>
  <si>
    <t>Maluso</t>
  </si>
  <si>
    <t>PH150704000</t>
  </si>
  <si>
    <t>Sumisip</t>
  </si>
  <si>
    <t>PH150705000</t>
  </si>
  <si>
    <t>Tipo-Tipo</t>
  </si>
  <si>
    <t>PH150706000</t>
  </si>
  <si>
    <t>PH150707000</t>
  </si>
  <si>
    <t>Akbar</t>
  </si>
  <si>
    <t>PH150708000</t>
  </si>
  <si>
    <t>Al-Barka</t>
  </si>
  <si>
    <t>PH150709000</t>
  </si>
  <si>
    <t>Hadji Mohammad Ajul</t>
  </si>
  <si>
    <t>PH150710000</t>
  </si>
  <si>
    <t>Ungkaya Pukan</t>
  </si>
  <si>
    <t>PH150711000</t>
  </si>
  <si>
    <t>Bacolod-Kalawi</t>
  </si>
  <si>
    <t>PH153601000</t>
  </si>
  <si>
    <t>Balindong</t>
  </si>
  <si>
    <t>PH153603000</t>
  </si>
  <si>
    <t>Bayang</t>
  </si>
  <si>
    <t>PH153604000</t>
  </si>
  <si>
    <t>Binidayan</t>
  </si>
  <si>
    <t>PH153605000</t>
  </si>
  <si>
    <t>Bubong</t>
  </si>
  <si>
    <t>PH153606000</t>
  </si>
  <si>
    <t>Butig</t>
  </si>
  <si>
    <t>PH153607000</t>
  </si>
  <si>
    <t>Ganassi</t>
  </si>
  <si>
    <t>PH153609000</t>
  </si>
  <si>
    <t>Kapai</t>
  </si>
  <si>
    <t>PH153610000</t>
  </si>
  <si>
    <t>Lumba-Bayabao</t>
  </si>
  <si>
    <t>PH153611000</t>
  </si>
  <si>
    <t>Lumbatan</t>
  </si>
  <si>
    <t>PH153612000</t>
  </si>
  <si>
    <t>Madalum</t>
  </si>
  <si>
    <t>PH153613000</t>
  </si>
  <si>
    <t>Madamba</t>
  </si>
  <si>
    <t>PH153614000</t>
  </si>
  <si>
    <t>Malabang</t>
  </si>
  <si>
    <t>PH153615000</t>
  </si>
  <si>
    <t>Marantao</t>
  </si>
  <si>
    <t>PH153616000</t>
  </si>
  <si>
    <t>City of Marawi</t>
  </si>
  <si>
    <t>PH153617000</t>
  </si>
  <si>
    <t>Masiu</t>
  </si>
  <si>
    <t>PH153618000</t>
  </si>
  <si>
    <t>Mulondo</t>
  </si>
  <si>
    <t>PH153619000</t>
  </si>
  <si>
    <t>Pagayawan</t>
  </si>
  <si>
    <t>PH153620000</t>
  </si>
  <si>
    <t>Piagapo</t>
  </si>
  <si>
    <t>PH153621000</t>
  </si>
  <si>
    <t>Poona Bayabao</t>
  </si>
  <si>
    <t>PH153622000</t>
  </si>
  <si>
    <t>Pualas</t>
  </si>
  <si>
    <t>PH153623000</t>
  </si>
  <si>
    <t>Ditsaan-Ramain</t>
  </si>
  <si>
    <t>PH153624000</t>
  </si>
  <si>
    <t>Saguiaran</t>
  </si>
  <si>
    <t>PH153625000</t>
  </si>
  <si>
    <t>Tamparan</t>
  </si>
  <si>
    <t>PH153626000</t>
  </si>
  <si>
    <t>Taraka</t>
  </si>
  <si>
    <t>PH153627000</t>
  </si>
  <si>
    <t>Tubaran</t>
  </si>
  <si>
    <t>PH153628000</t>
  </si>
  <si>
    <t>Tugaya</t>
  </si>
  <si>
    <t>PH153629000</t>
  </si>
  <si>
    <t>Wao</t>
  </si>
  <si>
    <t>PH153630000</t>
  </si>
  <si>
    <t>Marogong</t>
  </si>
  <si>
    <t>PH153631000</t>
  </si>
  <si>
    <t>Calanogas</t>
  </si>
  <si>
    <t>PH153632000</t>
  </si>
  <si>
    <t>Buadiposo-Buntong</t>
  </si>
  <si>
    <t>PH153633000</t>
  </si>
  <si>
    <t>Maguing</t>
  </si>
  <si>
    <t>PH153634000</t>
  </si>
  <si>
    <t>Picong</t>
  </si>
  <si>
    <t>PH153635000</t>
  </si>
  <si>
    <t>Lumbayanague</t>
  </si>
  <si>
    <t>PH153636000</t>
  </si>
  <si>
    <t>Amai Manabilang</t>
  </si>
  <si>
    <t>PH153637000</t>
  </si>
  <si>
    <t>Tagoloan Ii</t>
  </si>
  <si>
    <t>PH153638000</t>
  </si>
  <si>
    <t>Kapatagan</t>
  </si>
  <si>
    <t>PH153639000</t>
  </si>
  <si>
    <t>Sultan Dumalondong</t>
  </si>
  <si>
    <t>PH153640000</t>
  </si>
  <si>
    <t>Lumbaca-Unayan</t>
  </si>
  <si>
    <t>PH153641000</t>
  </si>
  <si>
    <t>Indanan</t>
  </si>
  <si>
    <t>PH156601000</t>
  </si>
  <si>
    <t>Jolo</t>
  </si>
  <si>
    <t>PH156602000</t>
  </si>
  <si>
    <t>Kalingalan Caluang</t>
  </si>
  <si>
    <t>PH156603000</t>
  </si>
  <si>
    <t>Luuk</t>
  </si>
  <si>
    <t>PH156604000</t>
  </si>
  <si>
    <t>Maimbung</t>
  </si>
  <si>
    <t>PH156605000</t>
  </si>
  <si>
    <t>Hadji Panglima Tahil</t>
  </si>
  <si>
    <t>PH156606000</t>
  </si>
  <si>
    <t>Pangutaran</t>
  </si>
  <si>
    <t>PH156608000</t>
  </si>
  <si>
    <t>PH156609000</t>
  </si>
  <si>
    <t>Pata</t>
  </si>
  <si>
    <t>PH156610000</t>
  </si>
  <si>
    <t>Patikul</t>
  </si>
  <si>
    <t>PH156611000</t>
  </si>
  <si>
    <t>Siasi</t>
  </si>
  <si>
    <t>PH156612000</t>
  </si>
  <si>
    <t>Talipao</t>
  </si>
  <si>
    <t>PH156613000</t>
  </si>
  <si>
    <t>Tapul</t>
  </si>
  <si>
    <t>PH156614000</t>
  </si>
  <si>
    <t>Tongkil</t>
  </si>
  <si>
    <t>PH156615000</t>
  </si>
  <si>
    <t>Panglima Estino</t>
  </si>
  <si>
    <t>PH156616000</t>
  </si>
  <si>
    <t>Lugus</t>
  </si>
  <si>
    <t>PH156617000</t>
  </si>
  <si>
    <t>Pandami</t>
  </si>
  <si>
    <t>PH156618000</t>
  </si>
  <si>
    <t>Omar</t>
  </si>
  <si>
    <t>PH156619000</t>
  </si>
  <si>
    <t>Mapun</t>
  </si>
  <si>
    <t>PH157003000</t>
  </si>
  <si>
    <t>South Ubian</t>
  </si>
  <si>
    <t>PH157006000</t>
  </si>
  <si>
    <t>Tandubas</t>
  </si>
  <si>
    <t>PH157007000</t>
  </si>
  <si>
    <t>Turtle Islands</t>
  </si>
  <si>
    <t>PH157008000</t>
  </si>
  <si>
    <t>Languyan</t>
  </si>
  <si>
    <t>PH157009000</t>
  </si>
  <si>
    <t>Sapa-Sapa</t>
  </si>
  <si>
    <t>PH157010000</t>
  </si>
  <si>
    <t>Barira</t>
  </si>
  <si>
    <t>PH153818000</t>
  </si>
  <si>
    <t>Buldon</t>
  </si>
  <si>
    <t>PH153802000</t>
  </si>
  <si>
    <t>City of Cotabato</t>
  </si>
  <si>
    <t>PH129804000</t>
  </si>
  <si>
    <t>Datu Odin Sinsuat</t>
  </si>
  <si>
    <t>PH153807000</t>
  </si>
  <si>
    <t>Kabuntalan</t>
  </si>
  <si>
    <t>PH153814000</t>
  </si>
  <si>
    <t>Northern Kabuntalan</t>
  </si>
  <si>
    <t>PH153834000</t>
  </si>
  <si>
    <t>Sultan Kudarat</t>
  </si>
  <si>
    <t>PH153812000</t>
  </si>
  <si>
    <t>Sultan Mastura</t>
  </si>
  <si>
    <t>PH153824000</t>
  </si>
  <si>
    <t>Talitay</t>
  </si>
  <si>
    <t>PH153821000</t>
  </si>
  <si>
    <t>Upi</t>
  </si>
  <si>
    <t>PH153815000</t>
  </si>
  <si>
    <t>Maguindanao del Sur</t>
  </si>
  <si>
    <t>Ampatuan</t>
  </si>
  <si>
    <t>PH153801000</t>
  </si>
  <si>
    <t>Buluan</t>
  </si>
  <si>
    <t>PH153803000</t>
  </si>
  <si>
    <t>Datu Abdullah Sangki</t>
  </si>
  <si>
    <t>PH153828000</t>
  </si>
  <si>
    <t>Datu Anggal Midtimbang</t>
  </si>
  <si>
    <t>PH153831000</t>
  </si>
  <si>
    <t>Datu Hoffer Ampatuan</t>
  </si>
  <si>
    <t>PH153835000</t>
  </si>
  <si>
    <t>Datu Paglas</t>
  </si>
  <si>
    <t>PH153805000</t>
  </si>
  <si>
    <t>Datu Piang</t>
  </si>
  <si>
    <t>PH153806000</t>
  </si>
  <si>
    <t>Datu Salibo</t>
  </si>
  <si>
    <t>PH153836000</t>
  </si>
  <si>
    <t>Datu Saudi Ampatuan</t>
  </si>
  <si>
    <t>PH153826000</t>
  </si>
  <si>
    <t>Datu Unsay</t>
  </si>
  <si>
    <t>PH153827000</t>
  </si>
  <si>
    <t>Gen. S.K. Pendatun</t>
  </si>
  <si>
    <t>PH153819000</t>
  </si>
  <si>
    <t>Guindulungan</t>
  </si>
  <si>
    <t>PH153825000</t>
  </si>
  <si>
    <t>Mamasapano</t>
  </si>
  <si>
    <t>PH153820000</t>
  </si>
  <si>
    <t>Mangudadatu</t>
  </si>
  <si>
    <t>PH153832000</t>
  </si>
  <si>
    <t>Pagagawan</t>
  </si>
  <si>
    <t>PH153822000</t>
  </si>
  <si>
    <t>Pagalungan</t>
  </si>
  <si>
    <t>PH153810000</t>
  </si>
  <si>
    <t>Paglat</t>
  </si>
  <si>
    <t>PH153823000</t>
  </si>
  <si>
    <t>Pandag</t>
  </si>
  <si>
    <t>PH153833000</t>
  </si>
  <si>
    <t>Rajah Buayan</t>
  </si>
  <si>
    <t>PH153829000</t>
  </si>
  <si>
    <t>Shariff Aguak</t>
  </si>
  <si>
    <t>PH153808000</t>
  </si>
  <si>
    <t>Shariff Saydona Mustapha</t>
  </si>
  <si>
    <t>PH153837000</t>
  </si>
  <si>
    <t>South Upi</t>
  </si>
  <si>
    <t>PH153817000</t>
  </si>
  <si>
    <t>Sultan Sa Barongis</t>
  </si>
  <si>
    <t>PH153813000</t>
  </si>
  <si>
    <t>Talayan</t>
  </si>
  <si>
    <t>PH153816000</t>
  </si>
  <si>
    <t>Special Geographic Area</t>
  </si>
  <si>
    <t>Kapalawan</t>
  </si>
  <si>
    <t>Old Kaabakan</t>
  </si>
  <si>
    <t>Kadayangan</t>
  </si>
  <si>
    <t>Nabalawag</t>
  </si>
  <si>
    <t>Pahamuddin</t>
  </si>
  <si>
    <t>Malidegao</t>
  </si>
  <si>
    <t>Ligawasan</t>
  </si>
  <si>
    <t>Tugunan</t>
  </si>
  <si>
    <t>Adams</t>
  </si>
  <si>
    <t>PH012801000</t>
  </si>
  <si>
    <t>Badoc</t>
  </si>
  <si>
    <t>PH012803000</t>
  </si>
  <si>
    <t>Bangui</t>
  </si>
  <si>
    <t>PH012804000</t>
  </si>
  <si>
    <t>City of Batac</t>
  </si>
  <si>
    <t>PH012805000</t>
  </si>
  <si>
    <t>Burgos</t>
  </si>
  <si>
    <t>PH012806000</t>
  </si>
  <si>
    <t>Carasi</t>
  </si>
  <si>
    <t>PH012807000</t>
  </si>
  <si>
    <t>Dingras</t>
  </si>
  <si>
    <t>PH012809000</t>
  </si>
  <si>
    <t>Dumalneg</t>
  </si>
  <si>
    <t>PH012810000</t>
  </si>
  <si>
    <t>Banna</t>
  </si>
  <si>
    <t>PH012811000</t>
  </si>
  <si>
    <t>Marcos</t>
  </si>
  <si>
    <t>PH012813000</t>
  </si>
  <si>
    <t>Nueva Era</t>
  </si>
  <si>
    <t>PH012814000</t>
  </si>
  <si>
    <t>Paoay</t>
  </si>
  <si>
    <t>PH012816000</t>
  </si>
  <si>
    <t>Piddig</t>
  </si>
  <si>
    <t>PH012818000</t>
  </si>
  <si>
    <t>Pinili</t>
  </si>
  <si>
    <t>PH012819000</t>
  </si>
  <si>
    <t>San Nicolas</t>
  </si>
  <si>
    <t>PH012820000</t>
  </si>
  <si>
    <t>Sarrat</t>
  </si>
  <si>
    <t>PH012821000</t>
  </si>
  <si>
    <t>Solsona</t>
  </si>
  <si>
    <t>PH012822000</t>
  </si>
  <si>
    <t>Vintar</t>
  </si>
  <si>
    <t>PH012823000</t>
  </si>
  <si>
    <t>Alilem</t>
  </si>
  <si>
    <t>PH012901000</t>
  </si>
  <si>
    <t>Banayoyo</t>
  </si>
  <si>
    <t>PH012902000</t>
  </si>
  <si>
    <t>Bantay</t>
  </si>
  <si>
    <t>PH012903000</t>
  </si>
  <si>
    <t>PH012904000</t>
  </si>
  <si>
    <t>City of Candon</t>
  </si>
  <si>
    <t>Caoayan</t>
  </si>
  <si>
    <t>PH012907000</t>
  </si>
  <si>
    <t>Cervantes</t>
  </si>
  <si>
    <t>PH012908000</t>
  </si>
  <si>
    <t>Galimuyod</t>
  </si>
  <si>
    <t>PH012909000</t>
  </si>
  <si>
    <t>Gregorio del Pilar</t>
  </si>
  <si>
    <t>PH012910000</t>
  </si>
  <si>
    <t>Lidlidda</t>
  </si>
  <si>
    <t>PH012911000</t>
  </si>
  <si>
    <t>Magsingal</t>
  </si>
  <si>
    <t>PH012912000</t>
  </si>
  <si>
    <t>Nagbukel</t>
  </si>
  <si>
    <t>PH012913000</t>
  </si>
  <si>
    <t>Quirino</t>
  </si>
  <si>
    <t>PH012915000</t>
  </si>
  <si>
    <t>PH012916000</t>
  </si>
  <si>
    <t>San Emilio</t>
  </si>
  <si>
    <t>PH012917000</t>
  </si>
  <si>
    <t>San Esteban</t>
  </si>
  <si>
    <t>PH012918000</t>
  </si>
  <si>
    <t>San Ildefonso</t>
  </si>
  <si>
    <t>PH012919000</t>
  </si>
  <si>
    <t>PH012920000</t>
  </si>
  <si>
    <t>PH012921000</t>
  </si>
  <si>
    <t>Santa</t>
  </si>
  <si>
    <t>PH012922000</t>
  </si>
  <si>
    <t>Santa Catalina</t>
  </si>
  <si>
    <t>PH012923000</t>
  </si>
  <si>
    <t>Santa Lucia</t>
  </si>
  <si>
    <t>PH012925000</t>
  </si>
  <si>
    <t>Santa Maria</t>
  </si>
  <si>
    <t>PH012926000</t>
  </si>
  <si>
    <t>PH012928000</t>
  </si>
  <si>
    <t>Sigay</t>
  </si>
  <si>
    <t>PH012929000</t>
  </si>
  <si>
    <t>Sugpon</t>
  </si>
  <si>
    <t>PH012931000</t>
  </si>
  <si>
    <t>Suyo</t>
  </si>
  <si>
    <t>PH012932000</t>
  </si>
  <si>
    <t>Bagulin</t>
  </si>
  <si>
    <t>PH013304000</t>
  </si>
  <si>
    <t>PH013308000</t>
  </si>
  <si>
    <t>Naguilian</t>
  </si>
  <si>
    <t>PH013311000</t>
  </si>
  <si>
    <t>Pugo</t>
  </si>
  <si>
    <t>PH013312000</t>
  </si>
  <si>
    <t>San Gabriel</t>
  </si>
  <si>
    <t>PH013315000</t>
  </si>
  <si>
    <t>Santol</t>
  </si>
  <si>
    <t>PH013318000</t>
  </si>
  <si>
    <t>Sudipen</t>
  </si>
  <si>
    <t>PH013319000</t>
  </si>
  <si>
    <t>Tubao</t>
  </si>
  <si>
    <t>PH013320000</t>
  </si>
  <si>
    <t>Aguilar</t>
  </si>
  <si>
    <t>PH015502000</t>
  </si>
  <si>
    <t>Alcala</t>
  </si>
  <si>
    <t>PH015504000</t>
  </si>
  <si>
    <t>Asingan</t>
  </si>
  <si>
    <t>PH015506000</t>
  </si>
  <si>
    <t>Balungao</t>
  </si>
  <si>
    <t>PH015507000</t>
  </si>
  <si>
    <t>Basista</t>
  </si>
  <si>
    <t>PH015509000</t>
  </si>
  <si>
    <t>Bautista</t>
  </si>
  <si>
    <t>PH015510000</t>
  </si>
  <si>
    <t>Bayambang</t>
  </si>
  <si>
    <t>PH015511000</t>
  </si>
  <si>
    <t>Binalonan</t>
  </si>
  <si>
    <t>PH015512000</t>
  </si>
  <si>
    <t>Binmaley</t>
  </si>
  <si>
    <t>PH015513000</t>
  </si>
  <si>
    <t>Bugallon</t>
  </si>
  <si>
    <t>PH015515000</t>
  </si>
  <si>
    <t>PH015516000</t>
  </si>
  <si>
    <t>Calasiao</t>
  </si>
  <si>
    <t>PH015517000</t>
  </si>
  <si>
    <t>City of Dagupan</t>
  </si>
  <si>
    <t>PH015518000</t>
  </si>
  <si>
    <t>Dasol</t>
  </si>
  <si>
    <t>PH015519000</t>
  </si>
  <si>
    <t>PH015523000</t>
  </si>
  <si>
    <t>Malasiqui</t>
  </si>
  <si>
    <t>PH015524000</t>
  </si>
  <si>
    <t>Manaoag</t>
  </si>
  <si>
    <t>PH015525000</t>
  </si>
  <si>
    <t>Mangaldan</t>
  </si>
  <si>
    <t>PH015526000</t>
  </si>
  <si>
    <t>Mangatarem</t>
  </si>
  <si>
    <t>PH015527000</t>
  </si>
  <si>
    <t>Mapandan</t>
  </si>
  <si>
    <t>PH015528000</t>
  </si>
  <si>
    <t>Natividad</t>
  </si>
  <si>
    <t>PH015529000</t>
  </si>
  <si>
    <t>Pozorrubio</t>
  </si>
  <si>
    <t>PH015530000</t>
  </si>
  <si>
    <t>Rosales</t>
  </si>
  <si>
    <t>PH015531000</t>
  </si>
  <si>
    <t>City of San Carlos</t>
  </si>
  <si>
    <t>PH015532000</t>
  </si>
  <si>
    <t>PH015534000</t>
  </si>
  <si>
    <t>San Manuel</t>
  </si>
  <si>
    <t>PH015535000</t>
  </si>
  <si>
    <t>PH015536000</t>
  </si>
  <si>
    <t>San Quintin</t>
  </si>
  <si>
    <t>PH015537000</t>
  </si>
  <si>
    <t>Santa Barbara</t>
  </si>
  <si>
    <t>PH015538000</t>
  </si>
  <si>
    <t>PH015539000</t>
  </si>
  <si>
    <t>PH015540000</t>
  </si>
  <si>
    <t>Sison</t>
  </si>
  <si>
    <t>PH015541000</t>
  </si>
  <si>
    <t>Tayug</t>
  </si>
  <si>
    <t>PH015543000</t>
  </si>
  <si>
    <t>Umingan</t>
  </si>
  <si>
    <t>PH015544000</t>
  </si>
  <si>
    <t>Urbiztondo</t>
  </si>
  <si>
    <t>PH015545000</t>
  </si>
  <si>
    <t>City of Urdaneta</t>
  </si>
  <si>
    <t>PH015546000</t>
  </si>
  <si>
    <t>Villasis</t>
  </si>
  <si>
    <t>PH015547000</t>
  </si>
  <si>
    <t>Laoac</t>
  </si>
  <si>
    <t>PH015548000</t>
  </si>
  <si>
    <t>Batanes</t>
  </si>
  <si>
    <t>Basco</t>
  </si>
  <si>
    <t>PH020901000</t>
  </si>
  <si>
    <t>Itbayat</t>
  </si>
  <si>
    <t>PH020902000</t>
  </si>
  <si>
    <t>Ivana</t>
  </si>
  <si>
    <t>PH020903000</t>
  </si>
  <si>
    <t>Mahatao</t>
  </si>
  <si>
    <t>PH020904000</t>
  </si>
  <si>
    <t>Sabtang</t>
  </si>
  <si>
    <t>PH020905000</t>
  </si>
  <si>
    <t>Uyugan</t>
  </si>
  <si>
    <t>PH020906000</t>
  </si>
  <si>
    <t>Abulug</t>
  </si>
  <si>
    <t>PH021501000</t>
  </si>
  <si>
    <t>PH021502000</t>
  </si>
  <si>
    <t>Allacapan</t>
  </si>
  <si>
    <t>PH021503000</t>
  </si>
  <si>
    <t>Amulung</t>
  </si>
  <si>
    <t>PH021504000</t>
  </si>
  <si>
    <t>Aparri</t>
  </si>
  <si>
    <t>PH021505000</t>
  </si>
  <si>
    <t>Baggao</t>
  </si>
  <si>
    <t>PH021506000</t>
  </si>
  <si>
    <t>Ballesteros</t>
  </si>
  <si>
    <t>PH021507000</t>
  </si>
  <si>
    <t>Buguey</t>
  </si>
  <si>
    <t>PH021508000</t>
  </si>
  <si>
    <t>Calayan</t>
  </si>
  <si>
    <t>PH021509000</t>
  </si>
  <si>
    <t>Camalaniugan</t>
  </si>
  <si>
    <t>PH021510000</t>
  </si>
  <si>
    <t>Claveria</t>
  </si>
  <si>
    <t>PH021511000</t>
  </si>
  <si>
    <t>Enrile</t>
  </si>
  <si>
    <t>PH021512000</t>
  </si>
  <si>
    <t>Gattaran</t>
  </si>
  <si>
    <t>PH021513000</t>
  </si>
  <si>
    <t>Gonzaga</t>
  </si>
  <si>
    <t>PH021514000</t>
  </si>
  <si>
    <t>Iguig</t>
  </si>
  <si>
    <t>PH021515000</t>
  </si>
  <si>
    <t>Lal-Lo</t>
  </si>
  <si>
    <t>PH021516000</t>
  </si>
  <si>
    <t>Lasam</t>
  </si>
  <si>
    <t>PH021517000</t>
  </si>
  <si>
    <t>Pamplona</t>
  </si>
  <si>
    <t>PH021518000</t>
  </si>
  <si>
    <t>Peñablanca</t>
  </si>
  <si>
    <t>PH021519000</t>
  </si>
  <si>
    <t>Piat</t>
  </si>
  <si>
    <t>PH021520000</t>
  </si>
  <si>
    <t>Rizal</t>
  </si>
  <si>
    <t>PH021521000</t>
  </si>
  <si>
    <t>Sanchez-Mira</t>
  </si>
  <si>
    <t>PH021522000</t>
  </si>
  <si>
    <t>Santa Praxedes</t>
  </si>
  <si>
    <t>PH021524000</t>
  </si>
  <si>
    <t>Santa Teresita</t>
  </si>
  <si>
    <t>PH021525000</t>
  </si>
  <si>
    <t>Santo Niño</t>
  </si>
  <si>
    <t>PH021526000</t>
  </si>
  <si>
    <t>Solana</t>
  </si>
  <si>
    <t>PH021527000</t>
  </si>
  <si>
    <t>Tuao</t>
  </si>
  <si>
    <t>PH021528000</t>
  </si>
  <si>
    <t>Tuguegarao City</t>
  </si>
  <si>
    <t>PH021529000</t>
  </si>
  <si>
    <t>Isabela</t>
  </si>
  <si>
    <t>Alicia</t>
  </si>
  <si>
    <t>PH023101000</t>
  </si>
  <si>
    <t>Angadanan</t>
  </si>
  <si>
    <t>PH023102000</t>
  </si>
  <si>
    <t>PH023103000</t>
  </si>
  <si>
    <t>Benito Soliven</t>
  </si>
  <si>
    <t>PH023104000</t>
  </si>
  <si>
    <t>PH023105000</t>
  </si>
  <si>
    <t>Cabagan</t>
  </si>
  <si>
    <t>PH023106000</t>
  </si>
  <si>
    <t>Cabatuan</t>
  </si>
  <si>
    <t>PH023107000</t>
  </si>
  <si>
    <t>City of Cauayan</t>
  </si>
  <si>
    <t>PH023108000</t>
  </si>
  <si>
    <t>Cordon</t>
  </si>
  <si>
    <t>PH023109000</t>
  </si>
  <si>
    <t>Dinapigue</t>
  </si>
  <si>
    <t>PH023110000</t>
  </si>
  <si>
    <t>Divilacan</t>
  </si>
  <si>
    <t>PH023111000</t>
  </si>
  <si>
    <t>Echague</t>
  </si>
  <si>
    <t>PH023112000</t>
  </si>
  <si>
    <t>Gamu</t>
  </si>
  <si>
    <t>PH023113000</t>
  </si>
  <si>
    <t>City of Ilagan</t>
  </si>
  <si>
    <t>PH023114000</t>
  </si>
  <si>
    <t>Jones</t>
  </si>
  <si>
    <t>PH023115000</t>
  </si>
  <si>
    <t>PH023116000</t>
  </si>
  <si>
    <t>Maconacon</t>
  </si>
  <si>
    <t>PH023117000</t>
  </si>
  <si>
    <t>Delfin Albano</t>
  </si>
  <si>
    <t>PH023118000</t>
  </si>
  <si>
    <t>Mallig</t>
  </si>
  <si>
    <t>PH023119000</t>
  </si>
  <si>
    <t>PH023120000</t>
  </si>
  <si>
    <t>Palanan</t>
  </si>
  <si>
    <t>PH023121000</t>
  </si>
  <si>
    <t>PH023122000</t>
  </si>
  <si>
    <t>PH023123000</t>
  </si>
  <si>
    <t>Ramon</t>
  </si>
  <si>
    <t>PH023124000</t>
  </si>
  <si>
    <t>Reina Mercedes</t>
  </si>
  <si>
    <t>PH023125000</t>
  </si>
  <si>
    <t>Roxas</t>
  </si>
  <si>
    <t>PH023126000</t>
  </si>
  <si>
    <t>San Agustin</t>
  </si>
  <si>
    <t>PH023127000</t>
  </si>
  <si>
    <t>San Guillermo</t>
  </si>
  <si>
    <t>PH023128000</t>
  </si>
  <si>
    <t>PH023129000</t>
  </si>
  <si>
    <t>PH023130000</t>
  </si>
  <si>
    <t>San Mariano</t>
  </si>
  <si>
    <t>PH023131000</t>
  </si>
  <si>
    <t>San Mateo</t>
  </si>
  <si>
    <t>PH023132000</t>
  </si>
  <si>
    <t>San Pablo</t>
  </si>
  <si>
    <t>PH023133000</t>
  </si>
  <si>
    <t>PH023134000</t>
  </si>
  <si>
    <t>City of Santiago</t>
  </si>
  <si>
    <t>PH023135000</t>
  </si>
  <si>
    <t>PH023136000</t>
  </si>
  <si>
    <t>Tumauini</t>
  </si>
  <si>
    <t>PH023137000</t>
  </si>
  <si>
    <t>Nueva Vizcaya</t>
  </si>
  <si>
    <t>Ambaguio</t>
  </si>
  <si>
    <t>PH025001000</t>
  </si>
  <si>
    <t>Aritao</t>
  </si>
  <si>
    <t>PH025002000</t>
  </si>
  <si>
    <t>Bagabag</t>
  </si>
  <si>
    <t>PH025003000</t>
  </si>
  <si>
    <t>Bambang</t>
  </si>
  <si>
    <t>PH025004000</t>
  </si>
  <si>
    <t>Bayombong</t>
  </si>
  <si>
    <t>PH025005000</t>
  </si>
  <si>
    <t>Diadi</t>
  </si>
  <si>
    <t>PH025006000</t>
  </si>
  <si>
    <t>Dupax del Norte</t>
  </si>
  <si>
    <t>PH025007000</t>
  </si>
  <si>
    <t>Dupax del Sur</t>
  </si>
  <si>
    <t>PH025008000</t>
  </si>
  <si>
    <t>Kasibu</t>
  </si>
  <si>
    <t>PH025009000</t>
  </si>
  <si>
    <t>Kayapa</t>
  </si>
  <si>
    <t>PH025010000</t>
  </si>
  <si>
    <t>PH025011000</t>
  </si>
  <si>
    <t>Santa Fe</t>
  </si>
  <si>
    <t>PH025012000</t>
  </si>
  <si>
    <t>Solano</t>
  </si>
  <si>
    <t>PH025013000</t>
  </si>
  <si>
    <t>Villaverde</t>
  </si>
  <si>
    <t>PH025014000</t>
  </si>
  <si>
    <t>Alfonso Castaneda</t>
  </si>
  <si>
    <t>PH025015000</t>
  </si>
  <si>
    <t>Aglipay</t>
  </si>
  <si>
    <t>PH025701000</t>
  </si>
  <si>
    <t>Cabarroguis</t>
  </si>
  <si>
    <t>PH025702000</t>
  </si>
  <si>
    <t>Diffun</t>
  </si>
  <si>
    <t>PH025703000</t>
  </si>
  <si>
    <t>Maddela</t>
  </si>
  <si>
    <t>PH025704000</t>
  </si>
  <si>
    <t>Saguday</t>
  </si>
  <si>
    <t>PH025705000</t>
  </si>
  <si>
    <t>Nagtipunan</t>
  </si>
  <si>
    <t>PH025706000</t>
  </si>
  <si>
    <t>Abucay</t>
  </si>
  <si>
    <t>PH030801000</t>
  </si>
  <si>
    <t>City of Balanga</t>
  </si>
  <si>
    <t>PH030803000</t>
  </si>
  <si>
    <t>Dinalupihan</t>
  </si>
  <si>
    <t>PH030804000</t>
  </si>
  <si>
    <t>Hermosa</t>
  </si>
  <si>
    <t>PH030805000</t>
  </si>
  <si>
    <t>Orani</t>
  </si>
  <si>
    <t>PH030809000</t>
  </si>
  <si>
    <t>Pilar</t>
  </si>
  <si>
    <t>PH030811000</t>
  </si>
  <si>
    <t>Samal</t>
  </si>
  <si>
    <t>PH030812000</t>
  </si>
  <si>
    <t>Bulacan</t>
  </si>
  <si>
    <t>Angat</t>
  </si>
  <si>
    <t>PH031401000</t>
  </si>
  <si>
    <t>Balagtas</t>
  </si>
  <si>
    <t>PH031402000</t>
  </si>
  <si>
    <t>City of Baliwag</t>
  </si>
  <si>
    <t>PH031403000</t>
  </si>
  <si>
    <t>Bocaue</t>
  </si>
  <si>
    <t>PH031404000</t>
  </si>
  <si>
    <t>PH031405000</t>
  </si>
  <si>
    <t>Bustos</t>
  </si>
  <si>
    <t>PH031406000</t>
  </si>
  <si>
    <t>Calumpit</t>
  </si>
  <si>
    <t>PH031407000</t>
  </si>
  <si>
    <t>Guiguinto</t>
  </si>
  <si>
    <t>PH031408000</t>
  </si>
  <si>
    <t>Hagonoy</t>
  </si>
  <si>
    <t>PH031409000</t>
  </si>
  <si>
    <t>City of Malolos</t>
  </si>
  <si>
    <t>PH031410000</t>
  </si>
  <si>
    <t>Marilao</t>
  </si>
  <si>
    <t>PH031411000</t>
  </si>
  <si>
    <t>City of Meycauayan</t>
  </si>
  <si>
    <t>PH031412000</t>
  </si>
  <si>
    <t>Norzagaray</t>
  </si>
  <si>
    <t>PH031413000</t>
  </si>
  <si>
    <t>Obando</t>
  </si>
  <si>
    <t>PH031414000</t>
  </si>
  <si>
    <t>Pandi</t>
  </si>
  <si>
    <t>PH031415000</t>
  </si>
  <si>
    <t>Paombong</t>
  </si>
  <si>
    <t>PH031416000</t>
  </si>
  <si>
    <t>PH031417000</t>
  </si>
  <si>
    <t>Pulilan</t>
  </si>
  <si>
    <t>PH031418000</t>
  </si>
  <si>
    <t>PH031419000</t>
  </si>
  <si>
    <t>City of San Jose Del Monte</t>
  </si>
  <si>
    <t>PH031420000</t>
  </si>
  <si>
    <t>San Miguel</t>
  </si>
  <si>
    <t>PH031421000</t>
  </si>
  <si>
    <t>San Rafael</t>
  </si>
  <si>
    <t>PH031422000</t>
  </si>
  <si>
    <t>PH031423000</t>
  </si>
  <si>
    <t>Doña Remedios Trinidad</t>
  </si>
  <si>
    <t>PH031424000</t>
  </si>
  <si>
    <t>Nueva Ecija</t>
  </si>
  <si>
    <t>Aliaga</t>
  </si>
  <si>
    <t>PH034901000</t>
  </si>
  <si>
    <t>Bongabon</t>
  </si>
  <si>
    <t>PH034902000</t>
  </si>
  <si>
    <t>City of Cabanatuan</t>
  </si>
  <si>
    <t>PH034903000</t>
  </si>
  <si>
    <t>Cabiao</t>
  </si>
  <si>
    <t>PH034904000</t>
  </si>
  <si>
    <t>Carranglan</t>
  </si>
  <si>
    <t>PH034905000</t>
  </si>
  <si>
    <t>Cuyapo</t>
  </si>
  <si>
    <t>PH034906000</t>
  </si>
  <si>
    <t>Gabaldon</t>
  </si>
  <si>
    <t>PH034907000</t>
  </si>
  <si>
    <t>City of Gapan</t>
  </si>
  <si>
    <t>PH034908000</t>
  </si>
  <si>
    <t>General Mamerto Natividad</t>
  </si>
  <si>
    <t>PH034909000</t>
  </si>
  <si>
    <t>General Tinio</t>
  </si>
  <si>
    <t>PH034910000</t>
  </si>
  <si>
    <t>Guimba</t>
  </si>
  <si>
    <t>PH034911000</t>
  </si>
  <si>
    <t>Jaen</t>
  </si>
  <si>
    <t>PH034912000</t>
  </si>
  <si>
    <t>Laur</t>
  </si>
  <si>
    <t>PH034913000</t>
  </si>
  <si>
    <t>Licab</t>
  </si>
  <si>
    <t>PH034914000</t>
  </si>
  <si>
    <t>Llanera</t>
  </si>
  <si>
    <t>PH034915000</t>
  </si>
  <si>
    <t>Lupao</t>
  </si>
  <si>
    <t>PH034916000</t>
  </si>
  <si>
    <t>Science City of Muñoz</t>
  </si>
  <si>
    <t>PH034917000</t>
  </si>
  <si>
    <t>Nampicuan</t>
  </si>
  <si>
    <t>PH034918000</t>
  </si>
  <si>
    <t>City of Palayan</t>
  </si>
  <si>
    <t>PH034919000</t>
  </si>
  <si>
    <t>Pantabangan</t>
  </si>
  <si>
    <t>PH034920000</t>
  </si>
  <si>
    <t>Peñaranda</t>
  </si>
  <si>
    <t>PH034921000</t>
  </si>
  <si>
    <t>PH034922000</t>
  </si>
  <si>
    <t>PH034923000</t>
  </si>
  <si>
    <t>PH034924000</t>
  </si>
  <si>
    <t>PH034925000</t>
  </si>
  <si>
    <t>San Jose City</t>
  </si>
  <si>
    <t>PH034926000</t>
  </si>
  <si>
    <t>San Leonardo</t>
  </si>
  <si>
    <t>PH034927000</t>
  </si>
  <si>
    <t>Santa Rosa</t>
  </si>
  <si>
    <t>PH034928000</t>
  </si>
  <si>
    <t>PH034929000</t>
  </si>
  <si>
    <t>Talavera</t>
  </si>
  <si>
    <t>PH034930000</t>
  </si>
  <si>
    <t>Talugtug</t>
  </si>
  <si>
    <t>PH034931000</t>
  </si>
  <si>
    <t>Zaragoza</t>
  </si>
  <si>
    <t>PH034932000</t>
  </si>
  <si>
    <t>Pampanga</t>
  </si>
  <si>
    <t>City of Angeles</t>
  </si>
  <si>
    <t>PH035401000</t>
  </si>
  <si>
    <t>Apalit</t>
  </si>
  <si>
    <t>PH035402000</t>
  </si>
  <si>
    <t>Arayat</t>
  </si>
  <si>
    <t>PH035403000</t>
  </si>
  <si>
    <t>Bacolor</t>
  </si>
  <si>
    <t>PH035404000</t>
  </si>
  <si>
    <t>Candaba</t>
  </si>
  <si>
    <t>PH035405000</t>
  </si>
  <si>
    <t>Floridablanca</t>
  </si>
  <si>
    <t>PH035406000</t>
  </si>
  <si>
    <t>Guagua</t>
  </si>
  <si>
    <t>PH035407000</t>
  </si>
  <si>
    <t>Lubao</t>
  </si>
  <si>
    <t>PH035408000</t>
  </si>
  <si>
    <t>Mabalacat City</t>
  </si>
  <si>
    <t>PH035409000</t>
  </si>
  <si>
    <t>Macabebe</t>
  </si>
  <si>
    <t>PH035410000</t>
  </si>
  <si>
    <t>Magalang</t>
  </si>
  <si>
    <t>PH035411000</t>
  </si>
  <si>
    <t>Masantol</t>
  </si>
  <si>
    <t>PH035412000</t>
  </si>
  <si>
    <t>Mexico</t>
  </si>
  <si>
    <t>PH035413000</t>
  </si>
  <si>
    <t>Minalin</t>
  </si>
  <si>
    <t>PH035414000</t>
  </si>
  <si>
    <t>Porac</t>
  </si>
  <si>
    <t>PH035415000</t>
  </si>
  <si>
    <t>PH035416000</t>
  </si>
  <si>
    <t>San Luis</t>
  </si>
  <si>
    <t>PH035417000</t>
  </si>
  <si>
    <t>San Simon</t>
  </si>
  <si>
    <t>PH035418000</t>
  </si>
  <si>
    <t>PH035419000</t>
  </si>
  <si>
    <t>Santa Rita</t>
  </si>
  <si>
    <t>PH035420000</t>
  </si>
  <si>
    <t>Sto. Tomas</t>
  </si>
  <si>
    <t>PH035421000</t>
  </si>
  <si>
    <t>Sasmuan</t>
  </si>
  <si>
    <t>PH035422000</t>
  </si>
  <si>
    <t>Tarlac</t>
  </si>
  <si>
    <t>Anao</t>
  </si>
  <si>
    <t>PH036901000</t>
  </si>
  <si>
    <t>Bamban</t>
  </si>
  <si>
    <t>PH036902000</t>
  </si>
  <si>
    <t>Camiling</t>
  </si>
  <si>
    <t>PH036903000</t>
  </si>
  <si>
    <t>Capas</t>
  </si>
  <si>
    <t>PH036904000</t>
  </si>
  <si>
    <t>PH036905000</t>
  </si>
  <si>
    <t>Gerona</t>
  </si>
  <si>
    <t>PH036906000</t>
  </si>
  <si>
    <t>La Paz</t>
  </si>
  <si>
    <t>PH036907000</t>
  </si>
  <si>
    <t>Mayantoc</t>
  </si>
  <si>
    <t>PH036908000</t>
  </si>
  <si>
    <t>Moncada</t>
  </si>
  <si>
    <t>PH036909000</t>
  </si>
  <si>
    <t>Paniqui</t>
  </si>
  <si>
    <t>PH036910000</t>
  </si>
  <si>
    <t>Pura</t>
  </si>
  <si>
    <t>PH036911000</t>
  </si>
  <si>
    <t>Ramos</t>
  </si>
  <si>
    <t>PH036912000</t>
  </si>
  <si>
    <t>San Clemente</t>
  </si>
  <si>
    <t>PH036913000</t>
  </si>
  <si>
    <t>PH036914000</t>
  </si>
  <si>
    <t>Santa Ignacia</t>
  </si>
  <si>
    <t>PH036915000</t>
  </si>
  <si>
    <t>City of Tarlac</t>
  </si>
  <si>
    <t>PH036916000</t>
  </si>
  <si>
    <t>Victoria</t>
  </si>
  <si>
    <t>PH036917000</t>
  </si>
  <si>
    <t>PH036918000</t>
  </si>
  <si>
    <t>Cabangan</t>
  </si>
  <si>
    <t>PH037102000</t>
  </si>
  <si>
    <t>Castillejos</t>
  </si>
  <si>
    <t>PH037104000</t>
  </si>
  <si>
    <t>City of Olongapo</t>
  </si>
  <si>
    <t>PH037107000</t>
  </si>
  <si>
    <t>Palauig</t>
  </si>
  <si>
    <t>PH037108000</t>
  </si>
  <si>
    <t>San Felipe</t>
  </si>
  <si>
    <t>PH037110000</t>
  </si>
  <si>
    <t>San Marcelino</t>
  </si>
  <si>
    <t>PH037111000</t>
  </si>
  <si>
    <t>San Narciso</t>
  </si>
  <si>
    <t>PH037112000</t>
  </si>
  <si>
    <t>PH037702000</t>
  </si>
  <si>
    <t>Dilasag</t>
  </si>
  <si>
    <t>PH037703000</t>
  </si>
  <si>
    <t>Dinalungan</t>
  </si>
  <si>
    <t>PH037704000</t>
  </si>
  <si>
    <t>Dingalan</t>
  </si>
  <si>
    <t>PH037705000</t>
  </si>
  <si>
    <t>Dipaculao</t>
  </si>
  <si>
    <t>PH037706000</t>
  </si>
  <si>
    <t>Maria Aurora</t>
  </si>
  <si>
    <t>PH037707000</t>
  </si>
  <si>
    <t>PH037708000</t>
  </si>
  <si>
    <t>Agoncillo</t>
  </si>
  <si>
    <t>PH041001000</t>
  </si>
  <si>
    <t>Alitagtag</t>
  </si>
  <si>
    <t>PH041002000</t>
  </si>
  <si>
    <t>Balete</t>
  </si>
  <si>
    <t>PH041004000</t>
  </si>
  <si>
    <t>Cuenca</t>
  </si>
  <si>
    <t>PH041009000</t>
  </si>
  <si>
    <t>Ibaan</t>
  </si>
  <si>
    <t>PH041010000</t>
  </si>
  <si>
    <t>Laurel</t>
  </si>
  <si>
    <t>PH041011000</t>
  </si>
  <si>
    <t>Lemery</t>
  </si>
  <si>
    <t>PH041012000</t>
  </si>
  <si>
    <t>City of Lipa</t>
  </si>
  <si>
    <t>PH041014000</t>
  </si>
  <si>
    <t>Malvar</t>
  </si>
  <si>
    <t>PH041017000</t>
  </si>
  <si>
    <t>Mataasnakahoy</t>
  </si>
  <si>
    <t>PH041018000</t>
  </si>
  <si>
    <t>Padre Garcia</t>
  </si>
  <si>
    <t>PH041020000</t>
  </si>
  <si>
    <t>PH041021000</t>
  </si>
  <si>
    <t>PH041024000</t>
  </si>
  <si>
    <t>PH041025000</t>
  </si>
  <si>
    <t>San Pascual</t>
  </si>
  <si>
    <t>PH041026000</t>
  </si>
  <si>
    <t>PH041027000</t>
  </si>
  <si>
    <t>City of Sto. Tomas</t>
  </si>
  <si>
    <t>PH041028000</t>
  </si>
  <si>
    <t>Taal</t>
  </si>
  <si>
    <t>PH041029000</t>
  </si>
  <si>
    <t>Talisay</t>
  </si>
  <si>
    <t>PH041030000</t>
  </si>
  <si>
    <t>City of Tanauan</t>
  </si>
  <si>
    <t>PH041031000</t>
  </si>
  <si>
    <t>Taysan</t>
  </si>
  <si>
    <t>PH041032000</t>
  </si>
  <si>
    <t>Tuy</t>
  </si>
  <si>
    <t>PH041034000</t>
  </si>
  <si>
    <t>Alfonso</t>
  </si>
  <si>
    <t>PH042101000</t>
  </si>
  <si>
    <t>Amadeo</t>
  </si>
  <si>
    <t>PH042102000</t>
  </si>
  <si>
    <t>City of Bacoor</t>
  </si>
  <si>
    <t>PH042103000</t>
  </si>
  <si>
    <t>City of Carmona</t>
  </si>
  <si>
    <t>PH042104000</t>
  </si>
  <si>
    <t>City of Cavite</t>
  </si>
  <si>
    <t>PH042105000</t>
  </si>
  <si>
    <t>City of Dasmariñas</t>
  </si>
  <si>
    <t>PH042106000</t>
  </si>
  <si>
    <t>General Emilio Aguinaldo</t>
  </si>
  <si>
    <t>PH042107000</t>
  </si>
  <si>
    <t>City of General Trias</t>
  </si>
  <si>
    <t>PH042108000</t>
  </si>
  <si>
    <t>City of Imus</t>
  </si>
  <si>
    <t>PH042109000</t>
  </si>
  <si>
    <t>Indang</t>
  </si>
  <si>
    <t>PH042110000</t>
  </si>
  <si>
    <t>Kawit</t>
  </si>
  <si>
    <t>PH042111000</t>
  </si>
  <si>
    <t>Magallanes</t>
  </si>
  <si>
    <t>PH042112000</t>
  </si>
  <si>
    <t>Mendez</t>
  </si>
  <si>
    <t>PH042114000</t>
  </si>
  <si>
    <t>Naic</t>
  </si>
  <si>
    <t>PH042115000</t>
  </si>
  <si>
    <t>Noveleta</t>
  </si>
  <si>
    <t>PH042116000</t>
  </si>
  <si>
    <t>Silang</t>
  </si>
  <si>
    <t>PH042118000</t>
  </si>
  <si>
    <t>City of Tagaytay</t>
  </si>
  <si>
    <t>PH042119000</t>
  </si>
  <si>
    <t>Tanza</t>
  </si>
  <si>
    <t>PH042120000</t>
  </si>
  <si>
    <t>Ternate</t>
  </si>
  <si>
    <t>PH042121000</t>
  </si>
  <si>
    <t>City of Trece Martires</t>
  </si>
  <si>
    <t>PH042122000</t>
  </si>
  <si>
    <t>Gen. Mariano Alvarez</t>
  </si>
  <si>
    <t>PH042123000</t>
  </si>
  <si>
    <t>Laguna</t>
  </si>
  <si>
    <t>Alaminos</t>
  </si>
  <si>
    <t>PH043401000</t>
  </si>
  <si>
    <t>Bay</t>
  </si>
  <si>
    <t>PH043402000</t>
  </si>
  <si>
    <t>City of Biñan</t>
  </si>
  <si>
    <t>PH043403000</t>
  </si>
  <si>
    <t>City of Cabuyao</t>
  </si>
  <si>
    <t>PH043404000</t>
  </si>
  <si>
    <t>City of Calamba</t>
  </si>
  <si>
    <t>PH043405000</t>
  </si>
  <si>
    <t>Calauan</t>
  </si>
  <si>
    <t>PH043406000</t>
  </si>
  <si>
    <t>Cavinti</t>
  </si>
  <si>
    <t>PH043407000</t>
  </si>
  <si>
    <t>Famy</t>
  </si>
  <si>
    <t>PH043408000</t>
  </si>
  <si>
    <t>Kalayaan</t>
  </si>
  <si>
    <t>PH043409000</t>
  </si>
  <si>
    <t>Liliw</t>
  </si>
  <si>
    <t>PH043410000</t>
  </si>
  <si>
    <t>Los Baños</t>
  </si>
  <si>
    <t>PH043411000</t>
  </si>
  <si>
    <t>Luisiana</t>
  </si>
  <si>
    <t>PH043412000</t>
  </si>
  <si>
    <t>Lumban</t>
  </si>
  <si>
    <t>PH043413000</t>
  </si>
  <si>
    <t>Mabitac</t>
  </si>
  <si>
    <t>PH043414000</t>
  </si>
  <si>
    <t>Magdalena</t>
  </si>
  <si>
    <t>PH043415000</t>
  </si>
  <si>
    <t>Majayjay</t>
  </si>
  <si>
    <t>PH043416000</t>
  </si>
  <si>
    <t>Nagcarlan</t>
  </si>
  <si>
    <t>PH043417000</t>
  </si>
  <si>
    <t>Paete</t>
  </si>
  <si>
    <t>PH043418000</t>
  </si>
  <si>
    <t>Pagsanjan</t>
  </si>
  <si>
    <t>PH043419000</t>
  </si>
  <si>
    <t>Pakil</t>
  </si>
  <si>
    <t>PH043420000</t>
  </si>
  <si>
    <t>Pangil</t>
  </si>
  <si>
    <t>PH043421000</t>
  </si>
  <si>
    <t>Pila</t>
  </si>
  <si>
    <t>PH043422000</t>
  </si>
  <si>
    <t>PH043423000</t>
  </si>
  <si>
    <t>City of San Pablo</t>
  </si>
  <si>
    <t>PH043424000</t>
  </si>
  <si>
    <t>City of San Pedro</t>
  </si>
  <si>
    <t>PH043425000</t>
  </si>
  <si>
    <t>PH043426000</t>
  </si>
  <si>
    <t>PH043427000</t>
  </si>
  <si>
    <t>City of Santa Rosa</t>
  </si>
  <si>
    <t>PH043428000</t>
  </si>
  <si>
    <t>Siniloan</t>
  </si>
  <si>
    <t>PH043429000</t>
  </si>
  <si>
    <t>PH043430000</t>
  </si>
  <si>
    <t>PH045605000</t>
  </si>
  <si>
    <t>Burdeos</t>
  </si>
  <si>
    <t>PH045606000</t>
  </si>
  <si>
    <t>PH045608000</t>
  </si>
  <si>
    <t>Catanauan</t>
  </si>
  <si>
    <t>PH045610000</t>
  </si>
  <si>
    <t>Dolores</t>
  </si>
  <si>
    <t>PH045615000</t>
  </si>
  <si>
    <t>General Nakar</t>
  </si>
  <si>
    <t>PH045617000</t>
  </si>
  <si>
    <t>Guinayangan</t>
  </si>
  <si>
    <t>PH045618000</t>
  </si>
  <si>
    <t>Jomalig</t>
  </si>
  <si>
    <t>PH045621000</t>
  </si>
  <si>
    <t>Lucban</t>
  </si>
  <si>
    <t>PH045623000</t>
  </si>
  <si>
    <t>Mauban</t>
  </si>
  <si>
    <t>PH045627000</t>
  </si>
  <si>
    <t>Mulanay</t>
  </si>
  <si>
    <t>PH045628000</t>
  </si>
  <si>
    <t>PH045629000</t>
  </si>
  <si>
    <t>Pagbilao</t>
  </si>
  <si>
    <t>PH045630000</t>
  </si>
  <si>
    <t>Panukulan</t>
  </si>
  <si>
    <t>PH045631000</t>
  </si>
  <si>
    <t>Patnanungan</t>
  </si>
  <si>
    <t>PH045632000</t>
  </si>
  <si>
    <t>Polillo</t>
  </si>
  <si>
    <t>PH045636000</t>
  </si>
  <si>
    <t>Real</t>
  </si>
  <si>
    <t>PH045638000</t>
  </si>
  <si>
    <t>Sampaloc</t>
  </si>
  <si>
    <t>PH045639000</t>
  </si>
  <si>
    <t>PH045640000</t>
  </si>
  <si>
    <t>PH045641000</t>
  </si>
  <si>
    <t>PH045642000</t>
  </si>
  <si>
    <t>PH045644000</t>
  </si>
  <si>
    <t>Sariaya</t>
  </si>
  <si>
    <t>PH045645000</t>
  </si>
  <si>
    <t>City of Tayabas</t>
  </si>
  <si>
    <t>PH045647000</t>
  </si>
  <si>
    <t>Tiaong</t>
  </si>
  <si>
    <t>PH045648000</t>
  </si>
  <si>
    <t>PH045800000</t>
  </si>
  <si>
    <t>Angono</t>
  </si>
  <si>
    <t>PH045801000</t>
  </si>
  <si>
    <t>City of Antipolo</t>
  </si>
  <si>
    <t>PH045802000</t>
  </si>
  <si>
    <t>Baras</t>
  </si>
  <si>
    <t>PH045803000</t>
  </si>
  <si>
    <t>Binangonan</t>
  </si>
  <si>
    <t>PH045804000</t>
  </si>
  <si>
    <t>Cainta</t>
  </si>
  <si>
    <t>PH045805000</t>
  </si>
  <si>
    <t>Cardona</t>
  </si>
  <si>
    <t>PH045806000</t>
  </si>
  <si>
    <t>Jala-Jala</t>
  </si>
  <si>
    <t>PH045807000</t>
  </si>
  <si>
    <t>Rodriguez</t>
  </si>
  <si>
    <t>PH045808000</t>
  </si>
  <si>
    <t>PH045809000</t>
  </si>
  <si>
    <t>Pililla</t>
  </si>
  <si>
    <t>PH045810000</t>
  </si>
  <si>
    <t>PH045811000</t>
  </si>
  <si>
    <t>Tanay</t>
  </si>
  <si>
    <t>PH045812000</t>
  </si>
  <si>
    <t>PH045813000</t>
  </si>
  <si>
    <t>Teresa</t>
  </si>
  <si>
    <t>PH045814000</t>
  </si>
  <si>
    <t>Boac</t>
  </si>
  <si>
    <t>PH174001000</t>
  </si>
  <si>
    <t>Gasan</t>
  </si>
  <si>
    <t>PH174003000</t>
  </si>
  <si>
    <t>Mogpog</t>
  </si>
  <si>
    <t>PH174004000</t>
  </si>
  <si>
    <t>Abra De Ilog</t>
  </si>
  <si>
    <t>PH175101000</t>
  </si>
  <si>
    <t>Calintaan</t>
  </si>
  <si>
    <t>PH175102000</t>
  </si>
  <si>
    <t>Looc</t>
  </si>
  <si>
    <t>PH175103000</t>
  </si>
  <si>
    <t>Magsaysay</t>
  </si>
  <si>
    <t>PH175105000</t>
  </si>
  <si>
    <t>Mamburao</t>
  </si>
  <si>
    <t>PH175106000</t>
  </si>
  <si>
    <t>Paluan</t>
  </si>
  <si>
    <t>PH175107000</t>
  </si>
  <si>
    <t>PH175108000</t>
  </si>
  <si>
    <t>Sablayan</t>
  </si>
  <si>
    <t>PH175109000</t>
  </si>
  <si>
    <t>PH175110000</t>
  </si>
  <si>
    <t>PH175111000</t>
  </si>
  <si>
    <t>Baco</t>
  </si>
  <si>
    <t>PH175201000</t>
  </si>
  <si>
    <t>Bansud</t>
  </si>
  <si>
    <t>PH175202000</t>
  </si>
  <si>
    <t>Bongabong</t>
  </si>
  <si>
    <t>PH175203000</t>
  </si>
  <si>
    <t>Bulalacao</t>
  </si>
  <si>
    <t>PH175204000</t>
  </si>
  <si>
    <t>City of Calapan</t>
  </si>
  <si>
    <t>PH175205000</t>
  </si>
  <si>
    <t>Gloria</t>
  </si>
  <si>
    <t>PH175206000</t>
  </si>
  <si>
    <t>Mansalay</t>
  </si>
  <si>
    <t>PH175207000</t>
  </si>
  <si>
    <t>Naujan</t>
  </si>
  <si>
    <t>PH175208000</t>
  </si>
  <si>
    <t>Pinamalayan</t>
  </si>
  <si>
    <t>PH175209000</t>
  </si>
  <si>
    <t>Pola</t>
  </si>
  <si>
    <t>PH175210000</t>
  </si>
  <si>
    <t>PH175212000</t>
  </si>
  <si>
    <t>San Teodoro</t>
  </si>
  <si>
    <t>PH175213000</t>
  </si>
  <si>
    <t>Socorro</t>
  </si>
  <si>
    <t>PH175214000</t>
  </si>
  <si>
    <t>PH175215000</t>
  </si>
  <si>
    <t>Agutaya</t>
  </si>
  <si>
    <t>PH175302000</t>
  </si>
  <si>
    <t>Araceli</t>
  </si>
  <si>
    <t>PH175303000</t>
  </si>
  <si>
    <t>Balabac</t>
  </si>
  <si>
    <t>PH175304000</t>
  </si>
  <si>
    <t>Bataraza</t>
  </si>
  <si>
    <t>PH175305000</t>
  </si>
  <si>
    <t>Brooke's Point</t>
  </si>
  <si>
    <t>PH175306000</t>
  </si>
  <si>
    <t>Busuanga</t>
  </si>
  <si>
    <t>PH175307000</t>
  </si>
  <si>
    <t>Cagayancillo</t>
  </si>
  <si>
    <t>PH175308000</t>
  </si>
  <si>
    <t>Coron</t>
  </si>
  <si>
    <t>PH175309000</t>
  </si>
  <si>
    <t>Cuyo</t>
  </si>
  <si>
    <t>PH175310000</t>
  </si>
  <si>
    <t>Dumaran</t>
  </si>
  <si>
    <t>PH175311000</t>
  </si>
  <si>
    <t>Linapacan</t>
  </si>
  <si>
    <t>PH175313000</t>
  </si>
  <si>
    <t>PH175314000</t>
  </si>
  <si>
    <t>Narra</t>
  </si>
  <si>
    <t>PH175315000</t>
  </si>
  <si>
    <t>PH175317000</t>
  </si>
  <si>
    <t>PH175318000</t>
  </si>
  <si>
    <t>PH175321000</t>
  </si>
  <si>
    <t>Culion</t>
  </si>
  <si>
    <t>PH175322000</t>
  </si>
  <si>
    <t>Dr. Jose P. Rizal</t>
  </si>
  <si>
    <t>PH175323000</t>
  </si>
  <si>
    <t>Sofronio Española</t>
  </si>
  <si>
    <t>PH175324000</t>
  </si>
  <si>
    <t>Alcantara</t>
  </si>
  <si>
    <t>PH175901000</t>
  </si>
  <si>
    <t>Banton</t>
  </si>
  <si>
    <t>PH175902000</t>
  </si>
  <si>
    <t>Cajidiocan</t>
  </si>
  <si>
    <t>PH175903000</t>
  </si>
  <si>
    <t>Calatrava</t>
  </si>
  <si>
    <t>PH175904000</t>
  </si>
  <si>
    <t>PH175905000</t>
  </si>
  <si>
    <t>Corcuera</t>
  </si>
  <si>
    <t>PH175906000</t>
  </si>
  <si>
    <t>PH175907000</t>
  </si>
  <si>
    <t>Magdiwang</t>
  </si>
  <si>
    <t>PH175908000</t>
  </si>
  <si>
    <t>PH175910000</t>
  </si>
  <si>
    <t>PH175911000</t>
  </si>
  <si>
    <t>PH175912000</t>
  </si>
  <si>
    <t>PH175914000</t>
  </si>
  <si>
    <t>PH175915000</t>
  </si>
  <si>
    <t>Ferrol</t>
  </si>
  <si>
    <t>PH175916000</t>
  </si>
  <si>
    <t>PH175917000</t>
  </si>
  <si>
    <t>Camalig</t>
  </si>
  <si>
    <t>PH050502000</t>
  </si>
  <si>
    <t>Daraga</t>
  </si>
  <si>
    <t>PH050503000</t>
  </si>
  <si>
    <t>Guinobatan</t>
  </si>
  <si>
    <t>PH050504000</t>
  </si>
  <si>
    <t>Jovellar</t>
  </si>
  <si>
    <t>PH050505000</t>
  </si>
  <si>
    <t>Libon</t>
  </si>
  <si>
    <t>PH050507000</t>
  </si>
  <si>
    <t>City of Ligao</t>
  </si>
  <si>
    <t>PH050508000</t>
  </si>
  <si>
    <t>Malilipot</t>
  </si>
  <si>
    <t>PH050509000</t>
  </si>
  <si>
    <t>Manito</t>
  </si>
  <si>
    <t>PH050511000</t>
  </si>
  <si>
    <t>Oas</t>
  </si>
  <si>
    <t>PH050512000</t>
  </si>
  <si>
    <t>Polangui</t>
  </si>
  <si>
    <t>PH050514000</t>
  </si>
  <si>
    <t>Rapu-Rapu</t>
  </si>
  <si>
    <t>PH050515000</t>
  </si>
  <si>
    <t>Basud</t>
  </si>
  <si>
    <t>PH051601000</t>
  </si>
  <si>
    <t>Capalonga</t>
  </si>
  <si>
    <t>PH051602000</t>
  </si>
  <si>
    <t>Daet</t>
  </si>
  <si>
    <t>PH051603000</t>
  </si>
  <si>
    <t>San Lorenzo Ruiz</t>
  </si>
  <si>
    <t>PH051604000</t>
  </si>
  <si>
    <t>Labo</t>
  </si>
  <si>
    <t>PH051606000</t>
  </si>
  <si>
    <t>Paracale</t>
  </si>
  <si>
    <t>PH051608000</t>
  </si>
  <si>
    <t>PH051609000</t>
  </si>
  <si>
    <t>Santa Elena</t>
  </si>
  <si>
    <t>PH051610000</t>
  </si>
  <si>
    <t>PH051611000</t>
  </si>
  <si>
    <t>Vinzons</t>
  </si>
  <si>
    <t>PH051612000</t>
  </si>
  <si>
    <t>Baao</t>
  </si>
  <si>
    <t>PH051701000</t>
  </si>
  <si>
    <t>PH051703000</t>
  </si>
  <si>
    <t>Bombon</t>
  </si>
  <si>
    <t>PH051704000</t>
  </si>
  <si>
    <t>Buhi</t>
  </si>
  <si>
    <t>PH051705000</t>
  </si>
  <si>
    <t>Bula</t>
  </si>
  <si>
    <t>PH051706000</t>
  </si>
  <si>
    <t>Cabusao</t>
  </si>
  <si>
    <t>PH051707000</t>
  </si>
  <si>
    <t>Calabanga</t>
  </si>
  <si>
    <t>PH051708000</t>
  </si>
  <si>
    <t>Camaligan</t>
  </si>
  <si>
    <t>PH051709000</t>
  </si>
  <si>
    <t>Canaman</t>
  </si>
  <si>
    <t>PH051710000</t>
  </si>
  <si>
    <t>Gainza</t>
  </si>
  <si>
    <t>PH051713000</t>
  </si>
  <si>
    <t>Garchitorena</t>
  </si>
  <si>
    <t>PH051714000</t>
  </si>
  <si>
    <t>Goa</t>
  </si>
  <si>
    <t>PH051715000</t>
  </si>
  <si>
    <t>City of Iriga</t>
  </si>
  <si>
    <t>PH051716000</t>
  </si>
  <si>
    <t>Lagonoy</t>
  </si>
  <si>
    <t>PH051717000</t>
  </si>
  <si>
    <t>Libmanan</t>
  </si>
  <si>
    <t>PH051718000</t>
  </si>
  <si>
    <t>Lupi</t>
  </si>
  <si>
    <t>PH051719000</t>
  </si>
  <si>
    <t>Magarao</t>
  </si>
  <si>
    <t>PH051720000</t>
  </si>
  <si>
    <t>Milaor</t>
  </si>
  <si>
    <t>PH051721000</t>
  </si>
  <si>
    <t>Minalabac</t>
  </si>
  <si>
    <t>PH051722000</t>
  </si>
  <si>
    <t>Nabua</t>
  </si>
  <si>
    <t>PH051723000</t>
  </si>
  <si>
    <t>PH051724000</t>
  </si>
  <si>
    <t>Ocampo</t>
  </si>
  <si>
    <t>PH051725000</t>
  </si>
  <si>
    <t>PH051726000</t>
  </si>
  <si>
    <t>Pili</t>
  </si>
  <si>
    <t>PH051728000</t>
  </si>
  <si>
    <t>Ragay</t>
  </si>
  <si>
    <t>PH051730000</t>
  </si>
  <si>
    <t>PH051732000</t>
  </si>
  <si>
    <t>Sipocot</t>
  </si>
  <si>
    <t>PH051734000</t>
  </si>
  <si>
    <t>Tigaon</t>
  </si>
  <si>
    <t>PH051736000</t>
  </si>
  <si>
    <t>Tinambac</t>
  </si>
  <si>
    <t>PH051737000</t>
  </si>
  <si>
    <t>Bagamanoc</t>
  </si>
  <si>
    <t>PH052001000</t>
  </si>
  <si>
    <t>PH052002000</t>
  </si>
  <si>
    <t>PH052003000</t>
  </si>
  <si>
    <t>Caramoran</t>
  </si>
  <si>
    <t>PH052004000</t>
  </si>
  <si>
    <t>Gigmoto</t>
  </si>
  <si>
    <t>PH052005000</t>
  </si>
  <si>
    <t>Pandan</t>
  </si>
  <si>
    <t>PH052006000</t>
  </si>
  <si>
    <t>Panganiban</t>
  </si>
  <si>
    <t>PH052007000</t>
  </si>
  <si>
    <t>PH052009000</t>
  </si>
  <si>
    <t>Viga</t>
  </si>
  <si>
    <t>PH052010000</t>
  </si>
  <si>
    <t>Baleno</t>
  </si>
  <si>
    <t>PH054102000</t>
  </si>
  <si>
    <t>Balud</t>
  </si>
  <si>
    <t>PH054103000</t>
  </si>
  <si>
    <t>Batuan</t>
  </si>
  <si>
    <t>PH054104000</t>
  </si>
  <si>
    <t>Cataingan</t>
  </si>
  <si>
    <t>PH054105000</t>
  </si>
  <si>
    <t>Cawayan</t>
  </si>
  <si>
    <t>PH054106000</t>
  </si>
  <si>
    <t>PH054107000</t>
  </si>
  <si>
    <t>Dimasalang</t>
  </si>
  <si>
    <t>PH054108000</t>
  </si>
  <si>
    <t>Esperanza</t>
  </si>
  <si>
    <t>PH054109000</t>
  </si>
  <si>
    <t>Mandaon</t>
  </si>
  <si>
    <t>PH054110000</t>
  </si>
  <si>
    <t>Milagros</t>
  </si>
  <si>
    <t>PH054112000</t>
  </si>
  <si>
    <t>Mobo</t>
  </si>
  <si>
    <t>PH054113000</t>
  </si>
  <si>
    <t>Monreal</t>
  </si>
  <si>
    <t>PH054114000</t>
  </si>
  <si>
    <t>Palanas</t>
  </si>
  <si>
    <t>PH054115000</t>
  </si>
  <si>
    <t>Pio V. Corpus</t>
  </si>
  <si>
    <t>PH054116000</t>
  </si>
  <si>
    <t>Placer</t>
  </si>
  <si>
    <t>PH054117000</t>
  </si>
  <si>
    <t>PH054120000</t>
  </si>
  <si>
    <t>Uson</t>
  </si>
  <si>
    <t>PH054121000</t>
  </si>
  <si>
    <t>Barcelona</t>
  </si>
  <si>
    <t>PH056202000</t>
  </si>
  <si>
    <t>Bulan</t>
  </si>
  <si>
    <t>PH056203000</t>
  </si>
  <si>
    <t>Bulusan</t>
  </si>
  <si>
    <t>PH056204000</t>
  </si>
  <si>
    <t>Castilla</t>
  </si>
  <si>
    <t>PH056206000</t>
  </si>
  <si>
    <t>Donsol</t>
  </si>
  <si>
    <t>PH056207000</t>
  </si>
  <si>
    <t>Gubat</t>
  </si>
  <si>
    <t>PH056208000</t>
  </si>
  <si>
    <t>Irosin</t>
  </si>
  <si>
    <t>PH056209000</t>
  </si>
  <si>
    <t>Juban</t>
  </si>
  <si>
    <t>PH056210000</t>
  </si>
  <si>
    <t>PH056211000</t>
  </si>
  <si>
    <t>Matnog</t>
  </si>
  <si>
    <t>PH056212000</t>
  </si>
  <si>
    <t>PH056213000</t>
  </si>
  <si>
    <t>Prieto Diaz</t>
  </si>
  <si>
    <t>PH056214000</t>
  </si>
  <si>
    <t>Santa Magdalena</t>
  </si>
  <si>
    <t>PH056215000</t>
  </si>
  <si>
    <t>Altavas</t>
  </si>
  <si>
    <t>PH060401000</t>
  </si>
  <si>
    <t>PH060402000</t>
  </si>
  <si>
    <t>Banga</t>
  </si>
  <si>
    <t>PH060403000</t>
  </si>
  <si>
    <t>Buruanga</t>
  </si>
  <si>
    <t>PH060405000</t>
  </si>
  <si>
    <t>Lezo</t>
  </si>
  <si>
    <t>PH060408000</t>
  </si>
  <si>
    <t>Libacao</t>
  </si>
  <si>
    <t>PH060409000</t>
  </si>
  <si>
    <t>Madalag</t>
  </si>
  <si>
    <t>PH060410000</t>
  </si>
  <si>
    <t>Makato</t>
  </si>
  <si>
    <t>PH060411000</t>
  </si>
  <si>
    <t>PH060413000</t>
  </si>
  <si>
    <t>Anini-Y</t>
  </si>
  <si>
    <t>Belison</t>
  </si>
  <si>
    <t>PH060603000</t>
  </si>
  <si>
    <t>Bugasong</t>
  </si>
  <si>
    <t>PH060604000</t>
  </si>
  <si>
    <t>Tobias Fornier</t>
  </si>
  <si>
    <t>PH060607000</t>
  </si>
  <si>
    <t>Hamtic</t>
  </si>
  <si>
    <t>PH060608000</t>
  </si>
  <si>
    <t>Laua-An</t>
  </si>
  <si>
    <t>PH060609000</t>
  </si>
  <si>
    <t>Libertad</t>
  </si>
  <si>
    <t>PH060610000</t>
  </si>
  <si>
    <t>PH060611000</t>
  </si>
  <si>
    <t>Patnongon</t>
  </si>
  <si>
    <t>PH060612000</t>
  </si>
  <si>
    <t>PH060613000</t>
  </si>
  <si>
    <t>San Remigio</t>
  </si>
  <si>
    <t>PH060614000</t>
  </si>
  <si>
    <t>Sebaste</t>
  </si>
  <si>
    <t>PH060615000</t>
  </si>
  <si>
    <t>Sibalom</t>
  </si>
  <si>
    <t>PH060616000</t>
  </si>
  <si>
    <t>Tibiao</t>
  </si>
  <si>
    <t>PH060617000</t>
  </si>
  <si>
    <t>Valderrama</t>
  </si>
  <si>
    <t>PH060618000</t>
  </si>
  <si>
    <t>Cuartero</t>
  </si>
  <si>
    <t>PH061901000</t>
  </si>
  <si>
    <t>Dao</t>
  </si>
  <si>
    <t>PH061902000</t>
  </si>
  <si>
    <t>Dumalag</t>
  </si>
  <si>
    <t>PH061903000</t>
  </si>
  <si>
    <t>Dumarao</t>
  </si>
  <si>
    <t>PH061904000</t>
  </si>
  <si>
    <t>Ivisan</t>
  </si>
  <si>
    <t>PH061905000</t>
  </si>
  <si>
    <t>Jamindan</t>
  </si>
  <si>
    <t>PH061906000</t>
  </si>
  <si>
    <t>Ma-Ayon</t>
  </si>
  <si>
    <t>PH061907000</t>
  </si>
  <si>
    <t>Mambusao</t>
  </si>
  <si>
    <t>PH061908000</t>
  </si>
  <si>
    <t>Panay</t>
  </si>
  <si>
    <t>PH061909000</t>
  </si>
  <si>
    <t>Panitan</t>
  </si>
  <si>
    <t>PH061910000</t>
  </si>
  <si>
    <t>PH061911000</t>
  </si>
  <si>
    <t>Pontevedra</t>
  </si>
  <si>
    <t>PH061912000</t>
  </si>
  <si>
    <t>President Roxas</t>
  </si>
  <si>
    <t>PH061913000</t>
  </si>
  <si>
    <t>Sigma</t>
  </si>
  <si>
    <t>PH061916000</t>
  </si>
  <si>
    <t>Tapaz</t>
  </si>
  <si>
    <t>PH061917000</t>
  </si>
  <si>
    <t>Alimodian</t>
  </si>
  <si>
    <t>PH063002000</t>
  </si>
  <si>
    <t>Anilao</t>
  </si>
  <si>
    <t>PH063003000</t>
  </si>
  <si>
    <t>Badiangan</t>
  </si>
  <si>
    <t>PH063004000</t>
  </si>
  <si>
    <t>Balasan</t>
  </si>
  <si>
    <t>PH063005000</t>
  </si>
  <si>
    <t>Banate</t>
  </si>
  <si>
    <t>PH063006000</t>
  </si>
  <si>
    <t>Barotac Nuevo</t>
  </si>
  <si>
    <t>PH063007000</t>
  </si>
  <si>
    <t>Bingawan</t>
  </si>
  <si>
    <t>PH063010000</t>
  </si>
  <si>
    <t>PH063012000</t>
  </si>
  <si>
    <t>Calinog</t>
  </si>
  <si>
    <t>PH063013000</t>
  </si>
  <si>
    <t>Dingle</t>
  </si>
  <si>
    <t>PH063016000</t>
  </si>
  <si>
    <t>Dueñas</t>
  </si>
  <si>
    <t>PH063017000</t>
  </si>
  <si>
    <t>Dumangas</t>
  </si>
  <si>
    <t>PH063018000</t>
  </si>
  <si>
    <t>Igbaras</t>
  </si>
  <si>
    <t>PH063021000</t>
  </si>
  <si>
    <t>City of Iloilo</t>
  </si>
  <si>
    <t>PH063022000</t>
  </si>
  <si>
    <t>Janiuay</t>
  </si>
  <si>
    <t>PH063023000</t>
  </si>
  <si>
    <t>Lambunao</t>
  </si>
  <si>
    <t>PH063025000</t>
  </si>
  <si>
    <t>Leganes</t>
  </si>
  <si>
    <t>PH063026000</t>
  </si>
  <si>
    <t>PH063027000</t>
  </si>
  <si>
    <t>Leon</t>
  </si>
  <si>
    <t>PH063028000</t>
  </si>
  <si>
    <t>Maasin</t>
  </si>
  <si>
    <t>PH063029000</t>
  </si>
  <si>
    <t>Miagao</t>
  </si>
  <si>
    <t>PH063030000</t>
  </si>
  <si>
    <t>Mina</t>
  </si>
  <si>
    <t>PH063031000</t>
  </si>
  <si>
    <t>New Lucena</t>
  </si>
  <si>
    <t>PH063032000</t>
  </si>
  <si>
    <t>City of Passi</t>
  </si>
  <si>
    <t>PH063035000</t>
  </si>
  <si>
    <t>Pavia</t>
  </si>
  <si>
    <t>PH063036000</t>
  </si>
  <si>
    <t>Pototan</t>
  </si>
  <si>
    <t>PH063037000</t>
  </si>
  <si>
    <t>San Dionisio</t>
  </si>
  <si>
    <t>PH063038000</t>
  </si>
  <si>
    <t>San Enrique</t>
  </si>
  <si>
    <t>PH063039000</t>
  </si>
  <si>
    <t>San Joaquin</t>
  </si>
  <si>
    <t>PH063040000</t>
  </si>
  <si>
    <t>PH063041000</t>
  </si>
  <si>
    <t>PH063042000</t>
  </si>
  <si>
    <t>PH063043000</t>
  </si>
  <si>
    <t>Sara</t>
  </si>
  <si>
    <t>PH063044000</t>
  </si>
  <si>
    <t>Tubungan</t>
  </si>
  <si>
    <t>PH063046000</t>
  </si>
  <si>
    <t>Zarraga</t>
  </si>
  <si>
    <t>PH063047000</t>
  </si>
  <si>
    <t>Guimaras</t>
  </si>
  <si>
    <t>PH067901000</t>
  </si>
  <si>
    <t>Jordan</t>
  </si>
  <si>
    <t>PH067902000</t>
  </si>
  <si>
    <t>Nueva Valencia</t>
  </si>
  <si>
    <t>PH067903000</t>
  </si>
  <si>
    <t>San Lorenzo</t>
  </si>
  <si>
    <t>PH067904000</t>
  </si>
  <si>
    <t>Sibunag</t>
  </si>
  <si>
    <t>PH067905000</t>
  </si>
  <si>
    <t>City of Bago</t>
  </si>
  <si>
    <t>PH064502000</t>
  </si>
  <si>
    <t>Binalbagan</t>
  </si>
  <si>
    <t>PH064503000</t>
  </si>
  <si>
    <t>City of Cadiz</t>
  </si>
  <si>
    <t>PH064504000</t>
  </si>
  <si>
    <t>PH064505000</t>
  </si>
  <si>
    <t>Candoni</t>
  </si>
  <si>
    <t>PH064506000</t>
  </si>
  <si>
    <t>Enrique B. Magalona</t>
  </si>
  <si>
    <t>PH064508000</t>
  </si>
  <si>
    <t>City of Escalante</t>
  </si>
  <si>
    <t>PH064509000</t>
  </si>
  <si>
    <t>City of Himamaylan</t>
  </si>
  <si>
    <t>PH064510000</t>
  </si>
  <si>
    <t>Hinigaran</t>
  </si>
  <si>
    <t>PH064511000</t>
  </si>
  <si>
    <t>Hinoba-an</t>
  </si>
  <si>
    <t>PH064512000</t>
  </si>
  <si>
    <t>Ilog</t>
  </si>
  <si>
    <t>PH064513000</t>
  </si>
  <si>
    <t>PH064514000</t>
  </si>
  <si>
    <t>City of Kabankalan</t>
  </si>
  <si>
    <t>PH064515000</t>
  </si>
  <si>
    <t>City of La Carlota</t>
  </si>
  <si>
    <t>PH064516000</t>
  </si>
  <si>
    <t>La Castellana</t>
  </si>
  <si>
    <t>PH064517000</t>
  </si>
  <si>
    <t>Manapla</t>
  </si>
  <si>
    <t>PH064518000</t>
  </si>
  <si>
    <t>Moises Padilla</t>
  </si>
  <si>
    <t>PH064519000</t>
  </si>
  <si>
    <t>Murcia</t>
  </si>
  <si>
    <t>PH064520000</t>
  </si>
  <si>
    <t>PH064521000</t>
  </si>
  <si>
    <t>Pulupandan</t>
  </si>
  <si>
    <t>PH064522000</t>
  </si>
  <si>
    <t>PH064524000</t>
  </si>
  <si>
    <t>PH064525000</t>
  </si>
  <si>
    <t>City of Silay</t>
  </si>
  <si>
    <t>PH064526000</t>
  </si>
  <si>
    <t>City of Sipalay</t>
  </si>
  <si>
    <t>PH064527000</t>
  </si>
  <si>
    <t>City of Talisay</t>
  </si>
  <si>
    <t>PH064528000</t>
  </si>
  <si>
    <t>Toboso</t>
  </si>
  <si>
    <t>PH064529000</t>
  </si>
  <si>
    <t>Valladolid</t>
  </si>
  <si>
    <t>PH064530000</t>
  </si>
  <si>
    <t>City of Victorias</t>
  </si>
  <si>
    <t>PH064531000</t>
  </si>
  <si>
    <t>Salvador Benedicto</t>
  </si>
  <si>
    <t>PH064532000</t>
  </si>
  <si>
    <t>City of Bais</t>
  </si>
  <si>
    <t>PH074604000</t>
  </si>
  <si>
    <t>Basay</t>
  </si>
  <si>
    <t>PH074605000</t>
  </si>
  <si>
    <t>City of Bayawan</t>
  </si>
  <si>
    <t>PH074606000</t>
  </si>
  <si>
    <t>City of Canlaon</t>
  </si>
  <si>
    <t>PH074608000</t>
  </si>
  <si>
    <t>City of Guihulngan</t>
  </si>
  <si>
    <t>PH074611000</t>
  </si>
  <si>
    <t>La Libertad</t>
  </si>
  <si>
    <t>PH074613000</t>
  </si>
  <si>
    <t>Mabinay</t>
  </si>
  <si>
    <t>PH074614000</t>
  </si>
  <si>
    <t>PH074616000</t>
  </si>
  <si>
    <t>PH074618000</t>
  </si>
  <si>
    <t>Sibulan</t>
  </si>
  <si>
    <t>PH074620000</t>
  </si>
  <si>
    <t>City of Tanjay</t>
  </si>
  <si>
    <t>PH074621000</t>
  </si>
  <si>
    <t>Valencia</t>
  </si>
  <si>
    <t>PH074623000</t>
  </si>
  <si>
    <t>Vallehermoso</t>
  </si>
  <si>
    <t>PH074624000</t>
  </si>
  <si>
    <t>Enrique Villanueva</t>
  </si>
  <si>
    <t>PH076101000</t>
  </si>
  <si>
    <t>Larena</t>
  </si>
  <si>
    <t>PH076102000</t>
  </si>
  <si>
    <t>PH076105000</t>
  </si>
  <si>
    <t>PH076106000</t>
  </si>
  <si>
    <t>PH071202000</t>
  </si>
  <si>
    <t>Antequera</t>
  </si>
  <si>
    <t>PH071204000</t>
  </si>
  <si>
    <t>Baclayon</t>
  </si>
  <si>
    <t>PH071205000</t>
  </si>
  <si>
    <t>Balilihan</t>
  </si>
  <si>
    <t>PH071206000</t>
  </si>
  <si>
    <t>PH071207000</t>
  </si>
  <si>
    <t>Bilar</t>
  </si>
  <si>
    <t>PH071208000</t>
  </si>
  <si>
    <t>PH071209000</t>
  </si>
  <si>
    <t>PH071212000</t>
  </si>
  <si>
    <t>Catigbian</t>
  </si>
  <si>
    <t>PH071213000</t>
  </si>
  <si>
    <t>PH071214000</t>
  </si>
  <si>
    <t>Corella</t>
  </si>
  <si>
    <t>PH071215000</t>
  </si>
  <si>
    <t>PH071216000</t>
  </si>
  <si>
    <t>Dagohoy</t>
  </si>
  <si>
    <t>PH071217000</t>
  </si>
  <si>
    <t>Danao</t>
  </si>
  <si>
    <t>PH071218000</t>
  </si>
  <si>
    <t>Dauis</t>
  </si>
  <si>
    <t>PH071219000</t>
  </si>
  <si>
    <t>Dimiao</t>
  </si>
  <si>
    <t>PH071220000</t>
  </si>
  <si>
    <t>Duero</t>
  </si>
  <si>
    <t>PH071221000</t>
  </si>
  <si>
    <t>Garcia Hernandez</t>
  </si>
  <si>
    <t>PH071222000</t>
  </si>
  <si>
    <t>Guindulman</t>
  </si>
  <si>
    <t>PH071223000</t>
  </si>
  <si>
    <t>Inabanga</t>
  </si>
  <si>
    <t>PH071224000</t>
  </si>
  <si>
    <t>Jagna</t>
  </si>
  <si>
    <t>PH071225000</t>
  </si>
  <si>
    <t>Getafe</t>
  </si>
  <si>
    <t>PH071226000</t>
  </si>
  <si>
    <t>Lila</t>
  </si>
  <si>
    <t>PH071227000</t>
  </si>
  <si>
    <t>Loboc</t>
  </si>
  <si>
    <t>PH071229000</t>
  </si>
  <si>
    <t>Loon</t>
  </si>
  <si>
    <t>PH071230000</t>
  </si>
  <si>
    <t>PH071231000</t>
  </si>
  <si>
    <t>Maribojoc</t>
  </si>
  <si>
    <t>PH071232000</t>
  </si>
  <si>
    <t>PH071234000</t>
  </si>
  <si>
    <t>Sagbayan</t>
  </si>
  <si>
    <t>PH071236000</t>
  </si>
  <si>
    <t>PH071237000</t>
  </si>
  <si>
    <t>PH071238000</t>
  </si>
  <si>
    <t>Sevilla</t>
  </si>
  <si>
    <t>PH071239000</t>
  </si>
  <si>
    <t>Sierra Bullones</t>
  </si>
  <si>
    <t>PH071240000</t>
  </si>
  <si>
    <t>Sikatuna</t>
  </si>
  <si>
    <t>PH071241000</t>
  </si>
  <si>
    <t>Trinidad</t>
  </si>
  <si>
    <t>PH071244000</t>
  </si>
  <si>
    <t>Tubigon</t>
  </si>
  <si>
    <t>PH071245000</t>
  </si>
  <si>
    <t>Ubay</t>
  </si>
  <si>
    <t>PH071246000</t>
  </si>
  <si>
    <t>PH071247000</t>
  </si>
  <si>
    <t>Bien Unido</t>
  </si>
  <si>
    <t>PH071248000</t>
  </si>
  <si>
    <t>PH072201000</t>
  </si>
  <si>
    <t>Argao</t>
  </si>
  <si>
    <t>PH072205000</t>
  </si>
  <si>
    <t>Balamban</t>
  </si>
  <si>
    <t>PH072208000</t>
  </si>
  <si>
    <t>Bantayan</t>
  </si>
  <si>
    <t>PH072209000</t>
  </si>
  <si>
    <t>City of Bogo</t>
  </si>
  <si>
    <t>PH072211000</t>
  </si>
  <si>
    <t>Boljoon</t>
  </si>
  <si>
    <t>PH072212000</t>
  </si>
  <si>
    <t>Borbon</t>
  </si>
  <si>
    <t>PH072213000</t>
  </si>
  <si>
    <t>City of Carcar</t>
  </si>
  <si>
    <t>PH072214000</t>
  </si>
  <si>
    <t>PH072215000</t>
  </si>
  <si>
    <t>Catmon</t>
  </si>
  <si>
    <t>PH072216000</t>
  </si>
  <si>
    <t>Compostela</t>
  </si>
  <si>
    <t>PH072218000</t>
  </si>
  <si>
    <t>Consolacion</t>
  </si>
  <si>
    <t>PH072219000</t>
  </si>
  <si>
    <t>Dalaguete</t>
  </si>
  <si>
    <t>PH072222000</t>
  </si>
  <si>
    <t>Danao City</t>
  </si>
  <si>
    <t>PH072223000</t>
  </si>
  <si>
    <t>Dumanjug</t>
  </si>
  <si>
    <t>PH072224000</t>
  </si>
  <si>
    <t>Ginatilan</t>
  </si>
  <si>
    <t>PH072225000</t>
  </si>
  <si>
    <t>Liloan</t>
  </si>
  <si>
    <t>PH072227000</t>
  </si>
  <si>
    <t>Madridejos</t>
  </si>
  <si>
    <t>PH072228000</t>
  </si>
  <si>
    <t>Malabuyoc</t>
  </si>
  <si>
    <t>PH072229000</t>
  </si>
  <si>
    <t>Medellin</t>
  </si>
  <si>
    <t>PH072231000</t>
  </si>
  <si>
    <t>Moalboal</t>
  </si>
  <si>
    <t>PH072233000</t>
  </si>
  <si>
    <t>PH072236000</t>
  </si>
  <si>
    <t>Pinamungajan</t>
  </si>
  <si>
    <t>PH072237000</t>
  </si>
  <si>
    <t>Poro</t>
  </si>
  <si>
    <t>PH072238000</t>
  </si>
  <si>
    <t>Ronda</t>
  </si>
  <si>
    <t>PH072239000</t>
  </si>
  <si>
    <t>Samboan</t>
  </si>
  <si>
    <t>PH072240000</t>
  </si>
  <si>
    <t>PH072241000</t>
  </si>
  <si>
    <t>PH072243000</t>
  </si>
  <si>
    <t>PH072244000</t>
  </si>
  <si>
    <t>Santander</t>
  </si>
  <si>
    <t>PH072245000</t>
  </si>
  <si>
    <t>Sibonga</t>
  </si>
  <si>
    <t>PH072246000</t>
  </si>
  <si>
    <t>PH072247000</t>
  </si>
  <si>
    <t>Tabogon</t>
  </si>
  <si>
    <t>PH072248000</t>
  </si>
  <si>
    <t>PH072250000</t>
  </si>
  <si>
    <t>City of Toledo</t>
  </si>
  <si>
    <t>PH072251000</t>
  </si>
  <si>
    <t>Tudela</t>
  </si>
  <si>
    <t>PH072253000</t>
  </si>
  <si>
    <t>City of Cebu</t>
  </si>
  <si>
    <t>PH072217000</t>
  </si>
  <si>
    <t>City of Mandaue</t>
  </si>
  <si>
    <t>PH072230000</t>
  </si>
  <si>
    <t>Arteche</t>
  </si>
  <si>
    <t>PH082601000</t>
  </si>
  <si>
    <t>Balangiga</t>
  </si>
  <si>
    <t>PH082602000</t>
  </si>
  <si>
    <t>Balangkayan</t>
  </si>
  <si>
    <t>PH082603000</t>
  </si>
  <si>
    <t>Can-Avid</t>
  </si>
  <si>
    <t>PH082605000</t>
  </si>
  <si>
    <t>PH082606000</t>
  </si>
  <si>
    <t>General Macarthur</t>
  </si>
  <si>
    <t>PH082607000</t>
  </si>
  <si>
    <t>Giporlos</t>
  </si>
  <si>
    <t>PH082608000</t>
  </si>
  <si>
    <t>Hernani</t>
  </si>
  <si>
    <t>PH082610000</t>
  </si>
  <si>
    <t>Jipapad</t>
  </si>
  <si>
    <t>PH082611000</t>
  </si>
  <si>
    <t>Llorente</t>
  </si>
  <si>
    <t>PH082613000</t>
  </si>
  <si>
    <t>Maslog</t>
  </si>
  <si>
    <t>PH082614000</t>
  </si>
  <si>
    <t>Maydolong</t>
  </si>
  <si>
    <t>PH082615000</t>
  </si>
  <si>
    <t>PH082616000</t>
  </si>
  <si>
    <t>Oras</t>
  </si>
  <si>
    <t>PH082617000</t>
  </si>
  <si>
    <t>San Policarpo</t>
  </si>
  <si>
    <t>PH082621000</t>
  </si>
  <si>
    <t>Sulat</t>
  </si>
  <si>
    <t>PH082622000</t>
  </si>
  <si>
    <t>Taft</t>
  </si>
  <si>
    <t>PH082623000</t>
  </si>
  <si>
    <t>Abuyog</t>
  </si>
  <si>
    <t>PH083701000</t>
  </si>
  <si>
    <t>Alangalang</t>
  </si>
  <si>
    <t>PH083702000</t>
  </si>
  <si>
    <t>Barugo</t>
  </si>
  <si>
    <t>PH083706000</t>
  </si>
  <si>
    <t>City of Baybay</t>
  </si>
  <si>
    <t>PH083708000</t>
  </si>
  <si>
    <t>Burauen</t>
  </si>
  <si>
    <t>PH083710000</t>
  </si>
  <si>
    <t>Calubian</t>
  </si>
  <si>
    <t>PH083713000</t>
  </si>
  <si>
    <t>Dagami</t>
  </si>
  <si>
    <t>PH083717000</t>
  </si>
  <si>
    <t>Dulag</t>
  </si>
  <si>
    <t>PH083718000</t>
  </si>
  <si>
    <t>Hilongos</t>
  </si>
  <si>
    <t>PH083719000</t>
  </si>
  <si>
    <t>Hindang</t>
  </si>
  <si>
    <t>PH083720000</t>
  </si>
  <si>
    <t>Inopacan</t>
  </si>
  <si>
    <t>PH083721000</t>
  </si>
  <si>
    <t>Isabel</t>
  </si>
  <si>
    <t>PH083722000</t>
  </si>
  <si>
    <t>Jaro</t>
  </si>
  <si>
    <t>PH083723000</t>
  </si>
  <si>
    <t>Javier</t>
  </si>
  <si>
    <t>PH083724000</t>
  </si>
  <si>
    <t>Julita</t>
  </si>
  <si>
    <t>PH083725000</t>
  </si>
  <si>
    <t>Kananga</t>
  </si>
  <si>
    <t>PH083726000</t>
  </si>
  <si>
    <t>PH083728000</t>
  </si>
  <si>
    <t>Macarthur</t>
  </si>
  <si>
    <t>PH083730000</t>
  </si>
  <si>
    <t>Mahaplag</t>
  </si>
  <si>
    <t>PH083731000</t>
  </si>
  <si>
    <t>Matag-Ob</t>
  </si>
  <si>
    <t>PH083733000</t>
  </si>
  <si>
    <t>Matalom</t>
  </si>
  <si>
    <t>PH083734000</t>
  </si>
  <si>
    <t>Mayorga</t>
  </si>
  <si>
    <t>PH083735000</t>
  </si>
  <si>
    <t>Merida</t>
  </si>
  <si>
    <t>PH083736000</t>
  </si>
  <si>
    <t>Palompon</t>
  </si>
  <si>
    <t>PH083740000</t>
  </si>
  <si>
    <t>Pastrana</t>
  </si>
  <si>
    <t>PH083741000</t>
  </si>
  <si>
    <t>PH083742000</t>
  </si>
  <si>
    <t>PH083743000</t>
  </si>
  <si>
    <t>PH083744000</t>
  </si>
  <si>
    <t>Tabango</t>
  </si>
  <si>
    <t>PH083745000</t>
  </si>
  <si>
    <t>Tabontabon</t>
  </si>
  <si>
    <t>PH083746000</t>
  </si>
  <si>
    <t>Tanauan</t>
  </si>
  <si>
    <t>PH083748000</t>
  </si>
  <si>
    <t>Tolosa</t>
  </si>
  <si>
    <t>PH083749000</t>
  </si>
  <si>
    <t>Tunga</t>
  </si>
  <si>
    <t>PH083750000</t>
  </si>
  <si>
    <t>Villaba</t>
  </si>
  <si>
    <t>PH083751000</t>
  </si>
  <si>
    <t>Allen</t>
  </si>
  <si>
    <t>PH084801000</t>
  </si>
  <si>
    <t>Bobon</t>
  </si>
  <si>
    <t>PH084803000</t>
  </si>
  <si>
    <t>Capul</t>
  </si>
  <si>
    <t>PH084804000</t>
  </si>
  <si>
    <t>Catarman</t>
  </si>
  <si>
    <t>PH084805000</t>
  </si>
  <si>
    <t>Catubig</t>
  </si>
  <si>
    <t>PH084806000</t>
  </si>
  <si>
    <t>Gamay</t>
  </si>
  <si>
    <t>PH084807000</t>
  </si>
  <si>
    <t>Laoang</t>
  </si>
  <si>
    <t>PH084808000</t>
  </si>
  <si>
    <t>Lapinig</t>
  </si>
  <si>
    <t>PH084809000</t>
  </si>
  <si>
    <t>Las Navas</t>
  </si>
  <si>
    <t>PH084810000</t>
  </si>
  <si>
    <t>Lavezares</t>
  </si>
  <si>
    <t>PH084811000</t>
  </si>
  <si>
    <t>Mapanas</t>
  </si>
  <si>
    <t>PH084812000</t>
  </si>
  <si>
    <t>Mondragon</t>
  </si>
  <si>
    <t>PH084813000</t>
  </si>
  <si>
    <t>Palapag</t>
  </si>
  <si>
    <t>PH084814000</t>
  </si>
  <si>
    <t>Pambujan</t>
  </si>
  <si>
    <t>PH084815000</t>
  </si>
  <si>
    <t>PH084816000</t>
  </si>
  <si>
    <t>PH084817000</t>
  </si>
  <si>
    <t>PH084818000</t>
  </si>
  <si>
    <t>PH084819000</t>
  </si>
  <si>
    <t>San Roque</t>
  </si>
  <si>
    <t>PH084820000</t>
  </si>
  <si>
    <t>PH084821000</t>
  </si>
  <si>
    <t>Silvino Lobos</t>
  </si>
  <si>
    <t>PH084822000</t>
  </si>
  <si>
    <t>PH084823000</t>
  </si>
  <si>
    <t>Lope De Vega</t>
  </si>
  <si>
    <t>PH084824000</t>
  </si>
  <si>
    <t>Samar</t>
  </si>
  <si>
    <t>Almagro</t>
  </si>
  <si>
    <t>PH086001000</t>
  </si>
  <si>
    <t>Basey</t>
  </si>
  <si>
    <t>PH086002000</t>
  </si>
  <si>
    <t>City of Calbayog</t>
  </si>
  <si>
    <t>PH086003000</t>
  </si>
  <si>
    <t>Calbiga</t>
  </si>
  <si>
    <t>PH086004000</t>
  </si>
  <si>
    <t>City of Catbalogan</t>
  </si>
  <si>
    <t>PH086005000</t>
  </si>
  <si>
    <t>Daram</t>
  </si>
  <si>
    <t>PH086006000</t>
  </si>
  <si>
    <t>Gandara</t>
  </si>
  <si>
    <t>PH086007000</t>
  </si>
  <si>
    <t>Hinabangan</t>
  </si>
  <si>
    <t>PH086008000</t>
  </si>
  <si>
    <t>Jiabong</t>
  </si>
  <si>
    <t>PH086009000</t>
  </si>
  <si>
    <t>Marabut</t>
  </si>
  <si>
    <t>PH086010000</t>
  </si>
  <si>
    <t>Matuguinao</t>
  </si>
  <si>
    <t>PH086011000</t>
  </si>
  <si>
    <t>Motiong</t>
  </si>
  <si>
    <t>PH086012000</t>
  </si>
  <si>
    <t>Pinabacdao</t>
  </si>
  <si>
    <t>PH086013000</t>
  </si>
  <si>
    <t>San Jose De Buan</t>
  </si>
  <si>
    <t>PH086014000</t>
  </si>
  <si>
    <t>San Sebastian</t>
  </si>
  <si>
    <t>PH086015000</t>
  </si>
  <si>
    <t>Santa Margarita</t>
  </si>
  <si>
    <t>PH086016000</t>
  </si>
  <si>
    <t>PH086017000</t>
  </si>
  <si>
    <t>PH086018000</t>
  </si>
  <si>
    <t>Talalora</t>
  </si>
  <si>
    <t>PH086019000</t>
  </si>
  <si>
    <t>Tarangnan</t>
  </si>
  <si>
    <t>PH086020000</t>
  </si>
  <si>
    <t>Villareal</t>
  </si>
  <si>
    <t>PH086021000</t>
  </si>
  <si>
    <t>Paranas</t>
  </si>
  <si>
    <t>PH086022000</t>
  </si>
  <si>
    <t>Zumarraga</t>
  </si>
  <si>
    <t>PH086023000</t>
  </si>
  <si>
    <t>Tagapul-An</t>
  </si>
  <si>
    <t>PH086024000</t>
  </si>
  <si>
    <t>San Jorge</t>
  </si>
  <si>
    <t>PH086025000</t>
  </si>
  <si>
    <t>Pagsanghan</t>
  </si>
  <si>
    <t>PH086026000</t>
  </si>
  <si>
    <t>Anahawan</t>
  </si>
  <si>
    <t>PH086401000</t>
  </si>
  <si>
    <t>Hinunangan</t>
  </si>
  <si>
    <t>PH086403000</t>
  </si>
  <si>
    <t>Hinundayan</t>
  </si>
  <si>
    <t>PH086404000</t>
  </si>
  <si>
    <t>Libagon</t>
  </si>
  <si>
    <t>PH086405000</t>
  </si>
  <si>
    <t>PH086406000</t>
  </si>
  <si>
    <t>City of Maasin</t>
  </si>
  <si>
    <t>PH086407000</t>
  </si>
  <si>
    <t>Macrohon</t>
  </si>
  <si>
    <t>PH086408000</t>
  </si>
  <si>
    <t>Pintuyan</t>
  </si>
  <si>
    <t>PH086411000</t>
  </si>
  <si>
    <t>Saint Bernard</t>
  </si>
  <si>
    <t>PH086412000</t>
  </si>
  <si>
    <t>PH086413000</t>
  </si>
  <si>
    <t>PH086414000</t>
  </si>
  <si>
    <t>San Ricardo</t>
  </si>
  <si>
    <t>PH086415000</t>
  </si>
  <si>
    <t>Limasawa</t>
  </si>
  <si>
    <t>PH086419000</t>
  </si>
  <si>
    <t>Biliran</t>
  </si>
  <si>
    <t>Almeria</t>
  </si>
  <si>
    <t>PH087801000</t>
  </si>
  <si>
    <t>PH087802000</t>
  </si>
  <si>
    <t>Cabucgayan</t>
  </si>
  <si>
    <t>PH087803000</t>
  </si>
  <si>
    <t>Caibiran</t>
  </si>
  <si>
    <t>PH087804000</t>
  </si>
  <si>
    <t>Culaba</t>
  </si>
  <si>
    <t>PH087805000</t>
  </si>
  <si>
    <t>Kawayan</t>
  </si>
  <si>
    <t>PH087806000</t>
  </si>
  <si>
    <t>Maripipi</t>
  </si>
  <si>
    <t>PH087807000</t>
  </si>
  <si>
    <t>Naval</t>
  </si>
  <si>
    <t>PH087808000</t>
  </si>
  <si>
    <t>City of Dipolog</t>
  </si>
  <si>
    <t>PH097202000</t>
  </si>
  <si>
    <t>Katipunan</t>
  </si>
  <si>
    <t>PH097203000</t>
  </si>
  <si>
    <t>PH097204000</t>
  </si>
  <si>
    <t>Labason</t>
  </si>
  <si>
    <t>PH097205000</t>
  </si>
  <si>
    <t>Liloy</t>
  </si>
  <si>
    <t>PH097206000</t>
  </si>
  <si>
    <t>Manukan</t>
  </si>
  <si>
    <t>PH097207000</t>
  </si>
  <si>
    <t>Mutia</t>
  </si>
  <si>
    <t>PH097208000</t>
  </si>
  <si>
    <t>Piñan</t>
  </si>
  <si>
    <t>PH097209000</t>
  </si>
  <si>
    <t>Polanco</t>
  </si>
  <si>
    <t>PH097210000</t>
  </si>
  <si>
    <t>Pres. Manuel A. Roxas</t>
  </si>
  <si>
    <t>PH097211000</t>
  </si>
  <si>
    <t>PH097212000</t>
  </si>
  <si>
    <t>Salug</t>
  </si>
  <si>
    <t>PH097213000</t>
  </si>
  <si>
    <t>Sergio Osmeña Sr.</t>
  </si>
  <si>
    <t>PH097214000</t>
  </si>
  <si>
    <t>Siayan</t>
  </si>
  <si>
    <t>PH097215000</t>
  </si>
  <si>
    <t>Sibuco</t>
  </si>
  <si>
    <t>PH097216000</t>
  </si>
  <si>
    <t>Sibutad</t>
  </si>
  <si>
    <t>PH097217000</t>
  </si>
  <si>
    <t>Sindangan</t>
  </si>
  <si>
    <t>PH097218000</t>
  </si>
  <si>
    <t>Siocon</t>
  </si>
  <si>
    <t>PH097219000</t>
  </si>
  <si>
    <t>Sirawai</t>
  </si>
  <si>
    <t>PH097220000</t>
  </si>
  <si>
    <t>Tampilisan</t>
  </si>
  <si>
    <t>PH097221000</t>
  </si>
  <si>
    <t>Jose Dalman</t>
  </si>
  <si>
    <t>PH097222000</t>
  </si>
  <si>
    <t>Gutalac</t>
  </si>
  <si>
    <t>PH097223000</t>
  </si>
  <si>
    <t>Baliguian</t>
  </si>
  <si>
    <t>PH097224000</t>
  </si>
  <si>
    <t>Godod</t>
  </si>
  <si>
    <t>PH097225000</t>
  </si>
  <si>
    <t>Leon T. Postigo</t>
  </si>
  <si>
    <t>PH097226000</t>
  </si>
  <si>
    <t>Kalawit</t>
  </si>
  <si>
    <t>PH097227000</t>
  </si>
  <si>
    <t>PH097302000</t>
  </si>
  <si>
    <t>Bayog</t>
  </si>
  <si>
    <t>PH097303000</t>
  </si>
  <si>
    <t>Dimataling</t>
  </si>
  <si>
    <t>PH097305000</t>
  </si>
  <si>
    <t>Dinas</t>
  </si>
  <si>
    <t>PH097306000</t>
  </si>
  <si>
    <t>Dumalinao</t>
  </si>
  <si>
    <t>PH097307000</t>
  </si>
  <si>
    <t>Dumingag</t>
  </si>
  <si>
    <t>PH097308000</t>
  </si>
  <si>
    <t>Kumalarang</t>
  </si>
  <si>
    <t>PH097311000</t>
  </si>
  <si>
    <t>Labangan</t>
  </si>
  <si>
    <t>PH097312000</t>
  </si>
  <si>
    <t>Lapuyan</t>
  </si>
  <si>
    <t>PH097313000</t>
  </si>
  <si>
    <t>Mahayag</t>
  </si>
  <si>
    <t>PH097315000</t>
  </si>
  <si>
    <t>Margosatubig</t>
  </si>
  <si>
    <t>PH097317000</t>
  </si>
  <si>
    <t>Midsalip</t>
  </si>
  <si>
    <t>PH097318000</t>
  </si>
  <si>
    <t>Molave</t>
  </si>
  <si>
    <t>PH097319000</t>
  </si>
  <si>
    <t>Ramon Magsaysay</t>
  </si>
  <si>
    <t>PH097323000</t>
  </si>
  <si>
    <t>PH097324000</t>
  </si>
  <si>
    <t>PH097325000</t>
  </si>
  <si>
    <t>Tabina</t>
  </si>
  <si>
    <t>PH097327000</t>
  </si>
  <si>
    <t>Tambulig</t>
  </si>
  <si>
    <t>PH097328000</t>
  </si>
  <si>
    <t>Tukuran</t>
  </si>
  <si>
    <t>PH097330000</t>
  </si>
  <si>
    <t>Lakewood</t>
  </si>
  <si>
    <t>PH097333000</t>
  </si>
  <si>
    <t>Josefina</t>
  </si>
  <si>
    <t>PH097337000</t>
  </si>
  <si>
    <t>PH097338000</t>
  </si>
  <si>
    <t>Sominot</t>
  </si>
  <si>
    <t>PH097340000</t>
  </si>
  <si>
    <t>Vincenzo A. Sagun</t>
  </si>
  <si>
    <t>PH097341000</t>
  </si>
  <si>
    <t>Guipos</t>
  </si>
  <si>
    <t>PH097343000</t>
  </si>
  <si>
    <t>Tigbao</t>
  </si>
  <si>
    <t>PH097344000</t>
  </si>
  <si>
    <t>Zamboanga Sibugay</t>
  </si>
  <si>
    <t>PH098301000</t>
  </si>
  <si>
    <t>Buug</t>
  </si>
  <si>
    <t>PH098302000</t>
  </si>
  <si>
    <t>Diplahan</t>
  </si>
  <si>
    <t>PH098303000</t>
  </si>
  <si>
    <t>Imelda</t>
  </si>
  <si>
    <t>PH098304000</t>
  </si>
  <si>
    <t>Ipil</t>
  </si>
  <si>
    <t>PH098305000</t>
  </si>
  <si>
    <t>Kabasalan</t>
  </si>
  <si>
    <t>PH098306000</t>
  </si>
  <si>
    <t>Mabuhay</t>
  </si>
  <si>
    <t>PH098307000</t>
  </si>
  <si>
    <t>Malangas</t>
  </si>
  <si>
    <t>PH098308000</t>
  </si>
  <si>
    <t>Naga</t>
  </si>
  <si>
    <t>PH098309000</t>
  </si>
  <si>
    <t>Olutanga</t>
  </si>
  <si>
    <t>PH098310000</t>
  </si>
  <si>
    <t>Payao</t>
  </si>
  <si>
    <t>PH098311000</t>
  </si>
  <si>
    <t>Roseller Lim</t>
  </si>
  <si>
    <t>PH098312000</t>
  </si>
  <si>
    <t>Siay</t>
  </si>
  <si>
    <t>PH098313000</t>
  </si>
  <si>
    <t>Talusan</t>
  </si>
  <si>
    <t>PH098314000</t>
  </si>
  <si>
    <t>Titay</t>
  </si>
  <si>
    <t>PH098315000</t>
  </si>
  <si>
    <t>Tungawan</t>
  </si>
  <si>
    <t>PH098316000</t>
  </si>
  <si>
    <t>City of Isabela</t>
  </si>
  <si>
    <t>PH099701000</t>
  </si>
  <si>
    <t>Bukidnon</t>
  </si>
  <si>
    <t>Baungon</t>
  </si>
  <si>
    <t>PH101301000</t>
  </si>
  <si>
    <t>Damulog</t>
  </si>
  <si>
    <t>PH101302000</t>
  </si>
  <si>
    <t>Dangcagan</t>
  </si>
  <si>
    <t>PH101303000</t>
  </si>
  <si>
    <t>Don Carlos</t>
  </si>
  <si>
    <t>PH101304000</t>
  </si>
  <si>
    <t>Impasug-ong</t>
  </si>
  <si>
    <t>PH101305000</t>
  </si>
  <si>
    <t>Kadingilan</t>
  </si>
  <si>
    <t>PH101306000</t>
  </si>
  <si>
    <t>Kalilangan</t>
  </si>
  <si>
    <t>PH101307000</t>
  </si>
  <si>
    <t>Kibawe</t>
  </si>
  <si>
    <t>PH101308000</t>
  </si>
  <si>
    <t>Kitaotao</t>
  </si>
  <si>
    <t>PH101309000</t>
  </si>
  <si>
    <t>Lantapan</t>
  </si>
  <si>
    <t>PH101310000</t>
  </si>
  <si>
    <t>Libona</t>
  </si>
  <si>
    <t>PH101311000</t>
  </si>
  <si>
    <t>City of Malaybalay</t>
  </si>
  <si>
    <t>PH101312000</t>
  </si>
  <si>
    <t>PH101313000</t>
  </si>
  <si>
    <t>Manolo Fortich</t>
  </si>
  <si>
    <t>PH101314000</t>
  </si>
  <si>
    <t>Maramag</t>
  </si>
  <si>
    <t>PH101315000</t>
  </si>
  <si>
    <t>Pangantucan</t>
  </si>
  <si>
    <t>PH101316000</t>
  </si>
  <si>
    <t>PH101317000</t>
  </si>
  <si>
    <t>PH101318000</t>
  </si>
  <si>
    <t>Sumilao</t>
  </si>
  <si>
    <t>PH101319000</t>
  </si>
  <si>
    <t>Talakag</t>
  </si>
  <si>
    <t>PH101320000</t>
  </si>
  <si>
    <t>City of Valencia</t>
  </si>
  <si>
    <t>PH101321000</t>
  </si>
  <si>
    <t>Cabanglasan</t>
  </si>
  <si>
    <t>PH101322000</t>
  </si>
  <si>
    <t>PH101801000</t>
  </si>
  <si>
    <t>Sagay</t>
  </si>
  <si>
    <t>PH101805000</t>
  </si>
  <si>
    <t>Bacolod</t>
  </si>
  <si>
    <t>PH103501000</t>
  </si>
  <si>
    <t>Baloi</t>
  </si>
  <si>
    <t>PH103502000</t>
  </si>
  <si>
    <t>Baroy</t>
  </si>
  <si>
    <t>PH103503000</t>
  </si>
  <si>
    <t>City of Iligan</t>
  </si>
  <si>
    <t>PH103504000</t>
  </si>
  <si>
    <t>PH103505000</t>
  </si>
  <si>
    <t>Sultan Naga Dimaporo</t>
  </si>
  <si>
    <t>PH103506000</t>
  </si>
  <si>
    <t>Kolambugan</t>
  </si>
  <si>
    <t>PH103508000</t>
  </si>
  <si>
    <t>Lala</t>
  </si>
  <si>
    <t>PH103509000</t>
  </si>
  <si>
    <t>PH103511000</t>
  </si>
  <si>
    <t>Matungao</t>
  </si>
  <si>
    <t>PH103513000</t>
  </si>
  <si>
    <t>Munai</t>
  </si>
  <si>
    <t>PH103514000</t>
  </si>
  <si>
    <t>Nunungan</t>
  </si>
  <si>
    <t>PH103515000</t>
  </si>
  <si>
    <t>Pantao Ragat</t>
  </si>
  <si>
    <t>PH103516000</t>
  </si>
  <si>
    <t>Poona Piagapo</t>
  </si>
  <si>
    <t>PH103517000</t>
  </si>
  <si>
    <t>Salvador</t>
  </si>
  <si>
    <t>PH103518000</t>
  </si>
  <si>
    <t>Sapad</t>
  </si>
  <si>
    <t>PH103519000</t>
  </si>
  <si>
    <t>Tagoloan</t>
  </si>
  <si>
    <t>PH103520000</t>
  </si>
  <si>
    <t>Tangcal</t>
  </si>
  <si>
    <t>PH103521000</t>
  </si>
  <si>
    <t>Tubod</t>
  </si>
  <si>
    <t>PH103522000</t>
  </si>
  <si>
    <t>Pantar</t>
  </si>
  <si>
    <t>PH103523000</t>
  </si>
  <si>
    <t>Aloran</t>
  </si>
  <si>
    <t>PH104201000</t>
  </si>
  <si>
    <t>Baliangao</t>
  </si>
  <si>
    <t>PH104202000</t>
  </si>
  <si>
    <t>Bonifacio</t>
  </si>
  <si>
    <t>PH104203000</t>
  </si>
  <si>
    <t>Calamba</t>
  </si>
  <si>
    <t>PH104204000</t>
  </si>
  <si>
    <t>PH104206000</t>
  </si>
  <si>
    <t>Jimenez</t>
  </si>
  <si>
    <t>PH104207000</t>
  </si>
  <si>
    <t>Lopez Jaena</t>
  </si>
  <si>
    <t>PH104208000</t>
  </si>
  <si>
    <t>City of Oroquieta</t>
  </si>
  <si>
    <t>PH104209000</t>
  </si>
  <si>
    <t>PH104212000</t>
  </si>
  <si>
    <t>Sapang Dalaga</t>
  </si>
  <si>
    <t>PH104213000</t>
  </si>
  <si>
    <t>City of Tangub</t>
  </si>
  <si>
    <t>PH104215000</t>
  </si>
  <si>
    <t>PH104216000</t>
  </si>
  <si>
    <t>Don Victoriano Chiongbian</t>
  </si>
  <si>
    <t>PH104217000</t>
  </si>
  <si>
    <t>Alubijid</t>
  </si>
  <si>
    <t>PH104301000</t>
  </si>
  <si>
    <t>Balingasag</t>
  </si>
  <si>
    <t>PH104302000</t>
  </si>
  <si>
    <t>Binuangan</t>
  </si>
  <si>
    <t>PH104304000</t>
  </si>
  <si>
    <t>PH104306000</t>
  </si>
  <si>
    <t>City of El Salvador</t>
  </si>
  <si>
    <t>PH104307000</t>
  </si>
  <si>
    <t>City of Gingoog</t>
  </si>
  <si>
    <t>PH104308000</t>
  </si>
  <si>
    <t>Gitagum</t>
  </si>
  <si>
    <t>PH104309000</t>
  </si>
  <si>
    <t>Kinoguitan</t>
  </si>
  <si>
    <t>PH104312000</t>
  </si>
  <si>
    <t>Lagonglong</t>
  </si>
  <si>
    <t>PH104313000</t>
  </si>
  <si>
    <t>PH104315000</t>
  </si>
  <si>
    <t>Lugait</t>
  </si>
  <si>
    <t>PH104316000</t>
  </si>
  <si>
    <t>PH104317000</t>
  </si>
  <si>
    <t>Manticao</t>
  </si>
  <si>
    <t>PH104318000</t>
  </si>
  <si>
    <t>Naawan</t>
  </si>
  <si>
    <t>PH104320000</t>
  </si>
  <si>
    <t>Salay</t>
  </si>
  <si>
    <t>PH104322000</t>
  </si>
  <si>
    <t>Sugbongcogon</t>
  </si>
  <si>
    <t>PH104323000</t>
  </si>
  <si>
    <t>PH104324000</t>
  </si>
  <si>
    <t>Talisayan</t>
  </si>
  <si>
    <t>PH104325000</t>
  </si>
  <si>
    <t>Asuncion</t>
  </si>
  <si>
    <t>PH112301000</t>
  </si>
  <si>
    <t>PH112303000</t>
  </si>
  <si>
    <t>Kapalong</t>
  </si>
  <si>
    <t>PH112305000</t>
  </si>
  <si>
    <t>New Corella</t>
  </si>
  <si>
    <t>PH112314000</t>
  </si>
  <si>
    <t>City of Panabo</t>
  </si>
  <si>
    <t>PH112315000</t>
  </si>
  <si>
    <t>PH112318000</t>
  </si>
  <si>
    <t>Talaingod</t>
  </si>
  <si>
    <t>PH112322000</t>
  </si>
  <si>
    <t>Braulio E. Dujali</t>
  </si>
  <si>
    <t>PH112323000</t>
  </si>
  <si>
    <t>PH112324000</t>
  </si>
  <si>
    <t>Bansalan</t>
  </si>
  <si>
    <t>PH112401000</t>
  </si>
  <si>
    <t>City of Digos</t>
  </si>
  <si>
    <t>PH112403000</t>
  </si>
  <si>
    <t>PH112404000</t>
  </si>
  <si>
    <t>Kiblawan</t>
  </si>
  <si>
    <t>PH112406000</t>
  </si>
  <si>
    <t>PH112407000</t>
  </si>
  <si>
    <t>Malalag</t>
  </si>
  <si>
    <t>PH112408000</t>
  </si>
  <si>
    <t>Matanao</t>
  </si>
  <si>
    <t>PH112410000</t>
  </si>
  <si>
    <t>Padada</t>
  </si>
  <si>
    <t>PH112411000</t>
  </si>
  <si>
    <t>PH112412000</t>
  </si>
  <si>
    <t>Sulop</t>
  </si>
  <si>
    <t>PH112414000</t>
  </si>
  <si>
    <t>Baganga</t>
  </si>
  <si>
    <t>PH112501000</t>
  </si>
  <si>
    <t>Banaybanay</t>
  </si>
  <si>
    <t>PH112502000</t>
  </si>
  <si>
    <t>Boston</t>
  </si>
  <si>
    <t>PH112503000</t>
  </si>
  <si>
    <t>Caraga</t>
  </si>
  <si>
    <t>PH112504000</t>
  </si>
  <si>
    <t>Cateel</t>
  </si>
  <si>
    <t>PH112505000</t>
  </si>
  <si>
    <t>Governor Generoso</t>
  </si>
  <si>
    <t>PH112506000</t>
  </si>
  <si>
    <t>Lupon</t>
  </si>
  <si>
    <t>PH112507000</t>
  </si>
  <si>
    <t>Manay</t>
  </si>
  <si>
    <t>PH112508000</t>
  </si>
  <si>
    <t>Tarragona</t>
  </si>
  <si>
    <t>PH112511000</t>
  </si>
  <si>
    <t>PH118201000</t>
  </si>
  <si>
    <t>Laak</t>
  </si>
  <si>
    <t>PH118202000</t>
  </si>
  <si>
    <t>Maco</t>
  </si>
  <si>
    <t>PH118204000</t>
  </si>
  <si>
    <t>Maragusan</t>
  </si>
  <si>
    <t>PH118205000</t>
  </si>
  <si>
    <t>Mawab</t>
  </si>
  <si>
    <t>PH118206000</t>
  </si>
  <si>
    <t>Monkayo</t>
  </si>
  <si>
    <t>PH118207000</t>
  </si>
  <si>
    <t>Montevista</t>
  </si>
  <si>
    <t>PH118208000</t>
  </si>
  <si>
    <t>Nabunturan</t>
  </si>
  <si>
    <t>PH118209000</t>
  </si>
  <si>
    <t>New Bataan</t>
  </si>
  <si>
    <t>PH118210000</t>
  </si>
  <si>
    <t>Pantukan</t>
  </si>
  <si>
    <t>PH118211000</t>
  </si>
  <si>
    <t>Davao Occidental</t>
  </si>
  <si>
    <t>Don Marcelino</t>
  </si>
  <si>
    <t>PH118601000</t>
  </si>
  <si>
    <t>Jose Abad Santos</t>
  </si>
  <si>
    <t>PH118602000</t>
  </si>
  <si>
    <t>Malita</t>
  </si>
  <si>
    <t>PH118603000</t>
  </si>
  <si>
    <t>PH118604000</t>
  </si>
  <si>
    <t>PH118605000</t>
  </si>
  <si>
    <t>Cotabato</t>
  </si>
  <si>
    <t>Alamada</t>
  </si>
  <si>
    <t>PH124701000</t>
  </si>
  <si>
    <t>PH124702000</t>
  </si>
  <si>
    <t>Kabacan</t>
  </si>
  <si>
    <t>PH124703000</t>
  </si>
  <si>
    <t>City of Kidapawan</t>
  </si>
  <si>
    <t>PH124704000</t>
  </si>
  <si>
    <t>Libungan</t>
  </si>
  <si>
    <t>PH124705000</t>
  </si>
  <si>
    <t>Magpet</t>
  </si>
  <si>
    <t>PH124706000</t>
  </si>
  <si>
    <t>Makilala</t>
  </si>
  <si>
    <t>PH124707000</t>
  </si>
  <si>
    <t>Matalam</t>
  </si>
  <si>
    <t>PH124708000</t>
  </si>
  <si>
    <t>Midsayap</t>
  </si>
  <si>
    <t>PH124709000</t>
  </si>
  <si>
    <t>M'Lang</t>
  </si>
  <si>
    <t>PH124710000</t>
  </si>
  <si>
    <t>Pigkawayan</t>
  </si>
  <si>
    <t>PH124711000</t>
  </si>
  <si>
    <t>Pikit</t>
  </si>
  <si>
    <t>PH124712000</t>
  </si>
  <si>
    <t>PH124713000</t>
  </si>
  <si>
    <t>Tulunan</t>
  </si>
  <si>
    <t>PH124714000</t>
  </si>
  <si>
    <t>Antipas</t>
  </si>
  <si>
    <t>PH124715000</t>
  </si>
  <si>
    <t>Banisilan</t>
  </si>
  <si>
    <t>PH124716000</t>
  </si>
  <si>
    <t>Aleosan</t>
  </si>
  <si>
    <t>PH124717000</t>
  </si>
  <si>
    <t>Arakan</t>
  </si>
  <si>
    <t>PH124718000</t>
  </si>
  <si>
    <t>PH126302000</t>
  </si>
  <si>
    <t>City of Koronadal</t>
  </si>
  <si>
    <t>PH126306000</t>
  </si>
  <si>
    <t>Norala</t>
  </si>
  <si>
    <t>PH126311000</t>
  </si>
  <si>
    <t>Polomolok</t>
  </si>
  <si>
    <t>PH126312000</t>
  </si>
  <si>
    <t>Surallah</t>
  </si>
  <si>
    <t>PH126313000</t>
  </si>
  <si>
    <t>Tampakan</t>
  </si>
  <si>
    <t>PH126314000</t>
  </si>
  <si>
    <t>Tantangan</t>
  </si>
  <si>
    <t>PH126315000</t>
  </si>
  <si>
    <t>T'Boli</t>
  </si>
  <si>
    <t>PH126316000</t>
  </si>
  <si>
    <t>Tupi</t>
  </si>
  <si>
    <t>PH126317000</t>
  </si>
  <si>
    <t>PH126318000</t>
  </si>
  <si>
    <t>Lake Sebu</t>
  </si>
  <si>
    <t>PH126319000</t>
  </si>
  <si>
    <t>Bagumbayan</t>
  </si>
  <si>
    <t>PH126501000</t>
  </si>
  <si>
    <t>Columbio</t>
  </si>
  <si>
    <t>PH126502000</t>
  </si>
  <si>
    <t>PH126503000</t>
  </si>
  <si>
    <t>Isulan</t>
  </si>
  <si>
    <t>PH126504000</t>
  </si>
  <si>
    <t>Kalamansig</t>
  </si>
  <si>
    <t>PH126505000</t>
  </si>
  <si>
    <t>Lebak</t>
  </si>
  <si>
    <t>PH126506000</t>
  </si>
  <si>
    <t>Lutayan</t>
  </si>
  <si>
    <t>PH126507000</t>
  </si>
  <si>
    <t>Lambayong</t>
  </si>
  <si>
    <t>PH126508000</t>
  </si>
  <si>
    <t>Palimbang</t>
  </si>
  <si>
    <t>PH126509000</t>
  </si>
  <si>
    <t>President Quirino</t>
  </si>
  <si>
    <t>PH126510000</t>
  </si>
  <si>
    <t>City of Tacurong</t>
  </si>
  <si>
    <t>PH126511000</t>
  </si>
  <si>
    <t>Sen. Ninoy Aquino</t>
  </si>
  <si>
    <t>PH126512000</t>
  </si>
  <si>
    <t>Maitum</t>
  </si>
  <si>
    <t>PH128005000</t>
  </si>
  <si>
    <t>Malungon</t>
  </si>
  <si>
    <t>PH128007000</t>
  </si>
  <si>
    <t>Jabonga</t>
  </si>
  <si>
    <t>PH160205000</t>
  </si>
  <si>
    <t>Kitcharao</t>
  </si>
  <si>
    <t>PH160206000</t>
  </si>
  <si>
    <t>Las Nieves</t>
  </si>
  <si>
    <t>PH160207000</t>
  </si>
  <si>
    <t>PH160208000</t>
  </si>
  <si>
    <t>Nasipit</t>
  </si>
  <si>
    <t>PH160209000</t>
  </si>
  <si>
    <t>PH160210000</t>
  </si>
  <si>
    <t>Tubay</t>
  </si>
  <si>
    <t>PH160211000</t>
  </si>
  <si>
    <t>Remedios T. Romualdez</t>
  </si>
  <si>
    <t>PH160212000</t>
  </si>
  <si>
    <t>Agusan del Sur</t>
  </si>
  <si>
    <t>City of Bayugan</t>
  </si>
  <si>
    <t>PH160301000</t>
  </si>
  <si>
    <t>Bunawan</t>
  </si>
  <si>
    <t>PH160302000</t>
  </si>
  <si>
    <t>PH160303000</t>
  </si>
  <si>
    <t>PH160304000</t>
  </si>
  <si>
    <t>Loreto</t>
  </si>
  <si>
    <t>PH160305000</t>
  </si>
  <si>
    <t>Prosperidad</t>
  </si>
  <si>
    <t>PH160306000</t>
  </si>
  <si>
    <t>PH160307000</t>
  </si>
  <si>
    <t>PH160308000</t>
  </si>
  <si>
    <t>PH160309000</t>
  </si>
  <si>
    <t>Santa Josefa</t>
  </si>
  <si>
    <t>PH160310000</t>
  </si>
  <si>
    <t>Talacogon</t>
  </si>
  <si>
    <t>PH160311000</t>
  </si>
  <si>
    <t>Trento</t>
  </si>
  <si>
    <t>PH160312000</t>
  </si>
  <si>
    <t>Veruela</t>
  </si>
  <si>
    <t>PH160313000</t>
  </si>
  <si>
    <t>Sibagat</t>
  </si>
  <si>
    <t>PH160314000</t>
  </si>
  <si>
    <t>PH166701000</t>
  </si>
  <si>
    <t>Bacuag</t>
  </si>
  <si>
    <t>PH166702000</t>
  </si>
  <si>
    <t>PH166704000</t>
  </si>
  <si>
    <t>Dapa</t>
  </si>
  <si>
    <t>PH166707000</t>
  </si>
  <si>
    <t>PH166710000</t>
  </si>
  <si>
    <t>Gigaquit</t>
  </si>
  <si>
    <t>PH166711000</t>
  </si>
  <si>
    <t>Mainit</t>
  </si>
  <si>
    <t>PH166714000</t>
  </si>
  <si>
    <t>PH166716000</t>
  </si>
  <si>
    <t>PH166717000</t>
  </si>
  <si>
    <t>San Benito</t>
  </si>
  <si>
    <t>PH166718000</t>
  </si>
  <si>
    <t>PH166719000</t>
  </si>
  <si>
    <t>PH166720000</t>
  </si>
  <si>
    <t>Santa Monica</t>
  </si>
  <si>
    <t>PH166721000</t>
  </si>
  <si>
    <t>PH166722000</t>
  </si>
  <si>
    <t>PH166723000</t>
  </si>
  <si>
    <t>Tagana-An</t>
  </si>
  <si>
    <t>PH166727000</t>
  </si>
  <si>
    <t>Barobo</t>
  </si>
  <si>
    <t>PH166801000</t>
  </si>
  <si>
    <t>Bayabas</t>
  </si>
  <si>
    <t>PH166802000</t>
  </si>
  <si>
    <t>City of Bislig</t>
  </si>
  <si>
    <t>PH166803000</t>
  </si>
  <si>
    <t>Cagwait</t>
  </si>
  <si>
    <t>PH166804000</t>
  </si>
  <si>
    <t>Cantilan</t>
  </si>
  <si>
    <t>PH166805000</t>
  </si>
  <si>
    <t>PH166806000</t>
  </si>
  <si>
    <t>Carrascal</t>
  </si>
  <si>
    <t>PH166807000</t>
  </si>
  <si>
    <t>Hinatuan</t>
  </si>
  <si>
    <t>PH166809000</t>
  </si>
  <si>
    <t>Lanuza</t>
  </si>
  <si>
    <t>PH166810000</t>
  </si>
  <si>
    <t>Lianga</t>
  </si>
  <si>
    <t>PH166811000</t>
  </si>
  <si>
    <t>Lingig</t>
  </si>
  <si>
    <t>PH166812000</t>
  </si>
  <si>
    <t>Madrid</t>
  </si>
  <si>
    <t>PH166813000</t>
  </si>
  <si>
    <t>Marihatag</t>
  </si>
  <si>
    <t>PH166814000</t>
  </si>
  <si>
    <t>PH166815000</t>
  </si>
  <si>
    <t>PH166816000</t>
  </si>
  <si>
    <t>Tagbina</t>
  </si>
  <si>
    <t>PH166817000</t>
  </si>
  <si>
    <t>Tago</t>
  </si>
  <si>
    <t>PH166818000</t>
  </si>
  <si>
    <t>City of Tandag</t>
  </si>
  <si>
    <t>PH166819000</t>
  </si>
  <si>
    <t>Basilisa</t>
  </si>
  <si>
    <t>PH168501000</t>
  </si>
  <si>
    <t>Dinagat</t>
  </si>
  <si>
    <t>PH168503000</t>
  </si>
  <si>
    <t>Libjo</t>
  </si>
  <si>
    <t>PH168504000</t>
  </si>
  <si>
    <t>PH168505000</t>
  </si>
  <si>
    <t>PH168506000</t>
  </si>
  <si>
    <t>Tubajon</t>
  </si>
  <si>
    <t>PH168507000</t>
  </si>
  <si>
    <t>City of Caloocan</t>
  </si>
  <si>
    <t>PH137501000</t>
  </si>
  <si>
    <t>City of Las Piñas</t>
  </si>
  <si>
    <t>PH137601000</t>
  </si>
  <si>
    <t>City of Makati</t>
  </si>
  <si>
    <t>PH137602000</t>
  </si>
  <si>
    <t>City of Malabon</t>
  </si>
  <si>
    <t>PH137502000</t>
  </si>
  <si>
    <t>City of Mandaluyong</t>
  </si>
  <si>
    <t>PH137401000</t>
  </si>
  <si>
    <t>City of Marikina</t>
  </si>
  <si>
    <t>PH137402000</t>
  </si>
  <si>
    <t>City of Muntinlupa</t>
  </si>
  <si>
    <t>PH137603000</t>
  </si>
  <si>
    <t>City of Navotas</t>
  </si>
  <si>
    <t>PH137503000</t>
  </si>
  <si>
    <t>City of Parañaque</t>
  </si>
  <si>
    <t>PH137604000</t>
  </si>
  <si>
    <t>Pasay City</t>
  </si>
  <si>
    <t>PH137605000</t>
  </si>
  <si>
    <t>City of Pasig</t>
  </si>
  <si>
    <t>PH137403000</t>
  </si>
  <si>
    <t>Quezon City</t>
  </si>
  <si>
    <t>PH137404000</t>
  </si>
  <si>
    <t>City of San Juan</t>
  </si>
  <si>
    <t>PH137405000</t>
  </si>
  <si>
    <t>City of Taguig</t>
  </si>
  <si>
    <t>PH137607000</t>
  </si>
  <si>
    <t>City of Valenzuela</t>
  </si>
  <si>
    <t>PH137504000</t>
  </si>
  <si>
    <t>Pateros</t>
  </si>
  <si>
    <t>PH137606000</t>
  </si>
  <si>
    <t>CAR</t>
  </si>
  <si>
    <t>Abra</t>
  </si>
  <si>
    <t>Bangued</t>
  </si>
  <si>
    <t>PH140101000</t>
  </si>
  <si>
    <t>Boliney</t>
  </si>
  <si>
    <t>PH140102000</t>
  </si>
  <si>
    <t>Bucay</t>
  </si>
  <si>
    <t>PH140103000</t>
  </si>
  <si>
    <t>Bucloc</t>
  </si>
  <si>
    <t>PH140104000</t>
  </si>
  <si>
    <t>Daguioman</t>
  </si>
  <si>
    <t>PH140105000</t>
  </si>
  <si>
    <t>Danglas</t>
  </si>
  <si>
    <t>PH140106000</t>
  </si>
  <si>
    <t>PH140107000</t>
  </si>
  <si>
    <t>PH140108000</t>
  </si>
  <si>
    <t>Lacub</t>
  </si>
  <si>
    <t>PH140109000</t>
  </si>
  <si>
    <t>Lagangilang</t>
  </si>
  <si>
    <t>PH140110000</t>
  </si>
  <si>
    <t>Lagayan</t>
  </si>
  <si>
    <t>PH140111000</t>
  </si>
  <si>
    <t>Langiden</t>
  </si>
  <si>
    <t>PH140112000</t>
  </si>
  <si>
    <t>Licuan-Baay</t>
  </si>
  <si>
    <t>PH140113000</t>
  </si>
  <si>
    <t>Luba</t>
  </si>
  <si>
    <t>PH140114000</t>
  </si>
  <si>
    <t>Malibcong</t>
  </si>
  <si>
    <t>PH140115000</t>
  </si>
  <si>
    <t>Manabo</t>
  </si>
  <si>
    <t>PH140116000</t>
  </si>
  <si>
    <t>Peñarrubia</t>
  </si>
  <si>
    <t>PH140117000</t>
  </si>
  <si>
    <t>Pidigan</t>
  </si>
  <si>
    <t>PH140118000</t>
  </si>
  <si>
    <t>PH140119000</t>
  </si>
  <si>
    <t>Sallapadan</t>
  </si>
  <si>
    <t>PH140120000</t>
  </si>
  <si>
    <t>PH140121000</t>
  </si>
  <si>
    <t>PH140122000</t>
  </si>
  <si>
    <t>PH140123000</t>
  </si>
  <si>
    <t>Tayum</t>
  </si>
  <si>
    <t>PH140124000</t>
  </si>
  <si>
    <t>Tineg</t>
  </si>
  <si>
    <t>PH140125000</t>
  </si>
  <si>
    <t>Tubo</t>
  </si>
  <si>
    <t>PH140126000</t>
  </si>
  <si>
    <t>Villaviciosa</t>
  </si>
  <si>
    <t>PH140127000</t>
  </si>
  <si>
    <t>Benguet</t>
  </si>
  <si>
    <t>Atok</t>
  </si>
  <si>
    <t>PH141101000</t>
  </si>
  <si>
    <t>City of Baguio</t>
  </si>
  <si>
    <t>PH141102000</t>
  </si>
  <si>
    <t>Bakun</t>
  </si>
  <si>
    <t>PH141103000</t>
  </si>
  <si>
    <t>Bokod</t>
  </si>
  <si>
    <t>PH141104000</t>
  </si>
  <si>
    <t>Buguias</t>
  </si>
  <si>
    <t>PH141105000</t>
  </si>
  <si>
    <t>Itogon</t>
  </si>
  <si>
    <t>PH141106000</t>
  </si>
  <si>
    <t>Kabayan</t>
  </si>
  <si>
    <t>PH141107000</t>
  </si>
  <si>
    <t>Kapangan</t>
  </si>
  <si>
    <t>PH141108000</t>
  </si>
  <si>
    <t>Kibungan</t>
  </si>
  <si>
    <t>PH141109000</t>
  </si>
  <si>
    <t>La Trinidad</t>
  </si>
  <si>
    <t>PH141110000</t>
  </si>
  <si>
    <t>Mankayan</t>
  </si>
  <si>
    <t>PH141111000</t>
  </si>
  <si>
    <t>Sablan</t>
  </si>
  <si>
    <t>PH141112000</t>
  </si>
  <si>
    <t>Tuba</t>
  </si>
  <si>
    <t>PH141113000</t>
  </si>
  <si>
    <t>Tublay</t>
  </si>
  <si>
    <t>PH141114000</t>
  </si>
  <si>
    <t>Ifugao</t>
  </si>
  <si>
    <t>Banaue</t>
  </si>
  <si>
    <t>PH142701000</t>
  </si>
  <si>
    <t>Hungduan</t>
  </si>
  <si>
    <t>PH142702000</t>
  </si>
  <si>
    <t>Kiangan</t>
  </si>
  <si>
    <t>PH142703000</t>
  </si>
  <si>
    <t>Lagawe</t>
  </si>
  <si>
    <t>PH142704000</t>
  </si>
  <si>
    <t>Lamut</t>
  </si>
  <si>
    <t>PH142705000</t>
  </si>
  <si>
    <t>Mayoyao</t>
  </si>
  <si>
    <t>PH142706000</t>
  </si>
  <si>
    <t>Alfonso Lista</t>
  </si>
  <si>
    <t>PH142707000</t>
  </si>
  <si>
    <t>Aguinaldo</t>
  </si>
  <si>
    <t>PH142708000</t>
  </si>
  <si>
    <t>Hingyon</t>
  </si>
  <si>
    <t>PH142709000</t>
  </si>
  <si>
    <t>Tinoc</t>
  </si>
  <si>
    <t>PH142710000</t>
  </si>
  <si>
    <t>Asipulo</t>
  </si>
  <si>
    <t>PH142711000</t>
  </si>
  <si>
    <t>Kalinga</t>
  </si>
  <si>
    <t>Balbalan</t>
  </si>
  <si>
    <t>PH143201000</t>
  </si>
  <si>
    <t>Lubuagan</t>
  </si>
  <si>
    <t>PH143206000</t>
  </si>
  <si>
    <t>Pasil</t>
  </si>
  <si>
    <t>PH143208000</t>
  </si>
  <si>
    <t>Pinukpuk</t>
  </si>
  <si>
    <t>PH143209000</t>
  </si>
  <si>
    <t>PH143211000</t>
  </si>
  <si>
    <t>City of Tabuk</t>
  </si>
  <si>
    <t>PH143213000</t>
  </si>
  <si>
    <t>Tanudan</t>
  </si>
  <si>
    <t>PH143214000</t>
  </si>
  <si>
    <t>Tinglayan</t>
  </si>
  <si>
    <t>PH143215000</t>
  </si>
  <si>
    <t>Mountain Province</t>
  </si>
  <si>
    <t>Barlig</t>
  </si>
  <si>
    <t>PH144401000</t>
  </si>
  <si>
    <t>Bauko</t>
  </si>
  <si>
    <t>PH144402000</t>
  </si>
  <si>
    <t>Besao</t>
  </si>
  <si>
    <t>PH144403000</t>
  </si>
  <si>
    <t>PH144404000</t>
  </si>
  <si>
    <t>Natonin</t>
  </si>
  <si>
    <t>PH144405000</t>
  </si>
  <si>
    <t>Paracelis</t>
  </si>
  <si>
    <t>PH144406000</t>
  </si>
  <si>
    <t>Sabangan</t>
  </si>
  <si>
    <t>PH144407000</t>
  </si>
  <si>
    <t>Sadanga</t>
  </si>
  <si>
    <t>PH144408000</t>
  </si>
  <si>
    <t>Sagada</t>
  </si>
  <si>
    <t>PH144409000</t>
  </si>
  <si>
    <t>Tadian</t>
  </si>
  <si>
    <t>PH144410000</t>
  </si>
  <si>
    <t>Apayao</t>
  </si>
  <si>
    <t>Calanasan</t>
  </si>
  <si>
    <t>PH148101000</t>
  </si>
  <si>
    <t>Conner</t>
  </si>
  <si>
    <t>PH148102000</t>
  </si>
  <si>
    <t>Flora</t>
  </si>
  <si>
    <t>PH148103000</t>
  </si>
  <si>
    <t>Kabugao</t>
  </si>
  <si>
    <t>PH148104000</t>
  </si>
  <si>
    <t>PH148105000</t>
  </si>
  <si>
    <t>Pudtol</t>
  </si>
  <si>
    <t>PH148106000</t>
  </si>
  <si>
    <t>Santa Marcela</t>
  </si>
  <si>
    <t>PH148107000</t>
  </si>
  <si>
    <t>General Restoration Method</t>
  </si>
  <si>
    <t>Specific Restoration Method</t>
  </si>
  <si>
    <t>Artificial Reef Design</t>
  </si>
  <si>
    <t>Rubble Stabilisation</t>
  </si>
  <si>
    <t>Algal Removal</t>
  </si>
  <si>
    <t>Asexual Propagation, Sexual Propagation, Substrate Enhancement</t>
  </si>
  <si>
    <t>Seq_ID</t>
  </si>
  <si>
    <t>Unique_Key</t>
  </si>
  <si>
    <t>Year_Added</t>
  </si>
  <si>
    <t>Old_ID</t>
  </si>
  <si>
    <t>Change_Type</t>
  </si>
  <si>
    <t>Change_Detail</t>
  </si>
  <si>
    <t>Unique Key</t>
  </si>
  <si>
    <t>Restoration method</t>
  </si>
  <si>
    <t>Restoration_project</t>
  </si>
  <si>
    <t>Restoration_project_locality</t>
  </si>
  <si>
    <t>Year of establishment</t>
  </si>
  <si>
    <t>Project start</t>
  </si>
  <si>
    <t>Project end</t>
  </si>
  <si>
    <t>General restoration method</t>
  </si>
  <si>
    <t>Match Group</t>
  </si>
  <si>
    <t>Specific restoration method</t>
  </si>
  <si>
    <t>General material used</t>
  </si>
  <si>
    <t>Material_Type</t>
  </si>
  <si>
    <t>Specific material used (Artificial Reef)</t>
  </si>
  <si>
    <t>Other specific information</t>
  </si>
  <si>
    <t>Specific materials used</t>
  </si>
  <si>
    <t>Specific objective</t>
  </si>
  <si>
    <t>Funding agency</t>
  </si>
  <si>
    <t>Funder_Loc</t>
  </si>
  <si>
    <t>Funder_Type</t>
  </si>
  <si>
    <t>Total funding provided</t>
  </si>
  <si>
    <t>Total area of restoration</t>
  </si>
  <si>
    <t>Total units</t>
  </si>
  <si>
    <t>Implementing institution</t>
  </si>
  <si>
    <t>Proponent</t>
  </si>
  <si>
    <t>Number of general methods</t>
  </si>
  <si>
    <t>If mixed, which methods?</t>
  </si>
  <si>
    <t>Source type</t>
  </si>
  <si>
    <t>Website</t>
  </si>
  <si>
    <t>Notes</t>
  </si>
  <si>
    <t>Base</t>
  </si>
  <si>
    <t>2021</t>
  </si>
  <si>
    <t>1-PH012802000-2021-Artificial Reef</t>
  </si>
  <si>
    <t>Concrete structure</t>
  </si>
  <si>
    <t xml:space="preserve">Synthetic </t>
  </si>
  <si>
    <t>Habitat for fish; fisheries livelihood</t>
  </si>
  <si>
    <t>Government</t>
  </si>
  <si>
    <t>MLGU; PGIN</t>
  </si>
  <si>
    <t>-</t>
  </si>
  <si>
    <t>Social Media</t>
  </si>
  <si>
    <t>Bacarra Agriculture Office (2021). Deployment of artificial reef about 2 km offshore. This is a joint project of BFAR, LGU Bacarra, PGIN, and the fisherfolk of Brgy Calioet. [Status Update]. Facebook https://web.facebook.com/watch/?v=372900961253018</t>
  </si>
  <si>
    <t>2-PH012808000-2011-Artificial Reef</t>
  </si>
  <si>
    <t>Fisheries Banner Program</t>
  </si>
  <si>
    <t>2011</t>
  </si>
  <si>
    <t>2-PH012808000-2023-Artificial Reef</t>
  </si>
  <si>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</si>
  <si>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</si>
  <si>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t>Marine biosystem regeneration</t>
  </si>
  <si>
    <r>
      <rPr>
        <rFont val="Calibri"/>
        <color theme="1"/>
        <sz val="12.0"/>
      </rPr>
      <t xml:space="preserve">Dr. Joven Cuanang / </t>
    </r>
    <r>
      <rPr>
        <rFont val="Calibri"/>
        <color rgb="FFFF0000"/>
        <sz val="12.0"/>
      </rPr>
      <t>Cong. Angelo Barba</t>
    </r>
  </si>
  <si>
    <t xml:space="preserve">Philippine Coast Guard, Philippine Air Force, </t>
  </si>
  <si>
    <t>3-PH012812000-1986-Artificial Reef</t>
  </si>
  <si>
    <t>Laoag City</t>
  </si>
  <si>
    <t>1986</t>
  </si>
  <si>
    <t>1985</t>
  </si>
  <si>
    <t>1987</t>
  </si>
  <si>
    <t>tires</t>
  </si>
  <si>
    <t>Ministry of Human Settlements</t>
  </si>
  <si>
    <t>Samahang Kabuhayan</t>
  </si>
  <si>
    <t>Conference Proceediing</t>
  </si>
  <si>
    <r>
      <rPr>
        <rFont val="Calibri"/>
        <color theme="1"/>
        <sz val="12.0"/>
      </rPr>
      <t xml:space="preserve">Laoag </t>
    </r>
    <r>
      <rPr>
        <rFont val="Calibri"/>
        <color rgb="FFFF0000"/>
        <sz val="12.0"/>
      </rPr>
      <t>City</t>
    </r>
  </si>
  <si>
    <t>Synthetic material</t>
  </si>
  <si>
    <t>Balgos, M.C. (1995). Evaluation of artificial reef development in the Philippines. In Munro, J.L. &amp; Balgos, M. (eds.) Artificial reefs in the Philippines. ICLARM Conf. Proc. 49, pp. 6-22.</t>
  </si>
  <si>
    <t>4-PH012815000-Unknown-Asexual Reproduction</t>
  </si>
  <si>
    <t>Asexual Reproduction</t>
  </si>
  <si>
    <t>2014</t>
  </si>
  <si>
    <t>2016</t>
  </si>
  <si>
    <t>4-PH012815000-2015-Asexual Reproduction</t>
  </si>
  <si>
    <t>Coral nursery unit (CNU)</t>
  </si>
  <si>
    <t>Reef restoration; field testing and innovating coral restoration techniques</t>
  </si>
  <si>
    <t>Academic</t>
  </si>
  <si>
    <t>Briefer Report</t>
  </si>
  <si>
    <t>Report uploaded in the Google Drive</t>
  </si>
  <si>
    <t>5-PH012817000-1986-Artificial Reef</t>
  </si>
  <si>
    <t>6-PH012905000-1982-Artificial Reef</t>
  </si>
  <si>
    <t>1982</t>
  </si>
  <si>
    <t>15 bamboo modules</t>
  </si>
  <si>
    <t>Natural material</t>
  </si>
  <si>
    <t>bamboo</t>
  </si>
  <si>
    <t>7-PH012905000-1983-Artificial Reef</t>
  </si>
  <si>
    <t>1983</t>
  </si>
  <si>
    <t>Bamboo; tires</t>
  </si>
  <si>
    <t>https://www.ircwash.org/sites/default/files/802-PH90-8920.pdf</t>
  </si>
  <si>
    <t>Natural material, Synthetic material</t>
  </si>
  <si>
    <t>Combination</t>
  </si>
  <si>
    <t>Bamboo, Tires</t>
  </si>
  <si>
    <t>Report</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</si>
  <si>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</si>
  <si>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8-PH012905000-1986-Artificial Reef</t>
  </si>
  <si>
    <t>9-PH012905000-1986-Artificial Reef</t>
  </si>
  <si>
    <t>10-PH012905000-2013-Artificial Reef</t>
  </si>
  <si>
    <t>2013</t>
  </si>
  <si>
    <t>Site in Brgy Daplacan</t>
  </si>
  <si>
    <t>Blog</t>
  </si>
  <si>
    <t>LGU Cabugao (2013). Artificial reef, naitapog para iti 2 a coastal barangay. http://lgucabugao.blogspot.com/2013/06/artificial-reef-naitapog-para-iti-2.html</t>
  </si>
  <si>
    <t>11-PH012906000-1986-Artificial Reef</t>
  </si>
  <si>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</si>
  <si>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Candon</t>
    </r>
  </si>
  <si>
    <t>12-PH012906000-2018-Artificial Reef</t>
  </si>
  <si>
    <r>
      <rPr>
        <rFont val="Calibri"/>
        <color rgb="FFFF0000"/>
        <sz val="12.0"/>
      </rPr>
      <t xml:space="preserve">City of </t>
    </r>
    <r>
      <rPr>
        <rFont val="Calibri"/>
        <color theme="1"/>
        <sz val="12.0"/>
      </rPr>
      <t>Candon</t>
    </r>
  </si>
  <si>
    <t>2018</t>
  </si>
  <si>
    <r>
      <rPr>
        <rFont val="Calibri"/>
        <color rgb="FFFF0000"/>
        <sz val="12.0"/>
      </rPr>
      <t xml:space="preserve">City of </t>
    </r>
    <r>
      <rPr>
        <rFont val="Calibri"/>
        <color theme="1"/>
        <sz val="12.0"/>
      </rPr>
      <t>Candon</t>
    </r>
  </si>
  <si>
    <t>Panglunsod na Kawanihan ng Pagsasaka ng Candon (2018, May 22). City Mayor Ericson G. Singson deploys Artificial Reef project at Barangays Patpata 1st and Patpata 2nd, Candon City. [Status Update]. Facebook. https://web.facebook.com/permalink.php?id=978493562286545&amp;story_fbid=1211788355623730&amp;_rdc=1&amp;_rdr</t>
  </si>
  <si>
    <t>13-PH012914000-1986-Artificial Reef</t>
  </si>
  <si>
    <t>14-PH012924000-1986-Artificial Reef</t>
  </si>
  <si>
    <t>15-PH012927000-Unknown-Artificial Reef</t>
  </si>
  <si>
    <t>*Per Vitalis Villas, there is an artificial reef at Santiago Cove but no literature to support the statement</t>
  </si>
  <si>
    <t>Vitalis Villas (2017, June 16). Go diving or snorkeling at Santiago cove and see our artificial coral reef sanctuary. [Status Update]. Facebook. https://web.facebook.com/VitalisVillas/posts/go-diving-or-snorkeling-at-santiago-cove-and-see-our-artificial-coral-reef-sanct/1897148467200987/?_rdc=1&amp;_rdr</t>
  </si>
  <si>
    <t>16-PH012930000-1986-Artificial Reef</t>
  </si>
  <si>
    <t>17-PH012933000-1986-Artificial Reef</t>
  </si>
  <si>
    <t>Site in Bacques</t>
  </si>
  <si>
    <t>Year established from https://www.ircwash.org/sites/default/files/802-PH90-8920.pdf</t>
  </si>
  <si>
    <t>18-PH012934000-1986-Artificial Reef</t>
  </si>
  <si>
    <t>19-PH013301000-1982-Artificial Reef</t>
  </si>
  <si>
    <t>19-PH012933000--Artificial Reef</t>
  </si>
  <si>
    <t>*Not indicated</t>
  </si>
  <si>
    <t>2010</t>
  </si>
  <si>
    <t>20-PH013302000-1986-Artificial Reef</t>
  </si>
  <si>
    <t>20-PH013301000-1982-Artificial Reef</t>
  </si>
  <si>
    <t>21-PH013303000-2021-Artificial Reef</t>
  </si>
  <si>
    <t>PLGU, MLGU</t>
  </si>
  <si>
    <t>21-PH013302000-1986-Artificial Reef</t>
  </si>
  <si>
    <t>22-PH013305000-2021-Artificial Reef</t>
  </si>
  <si>
    <t xml:space="preserve">Balaoan </t>
  </si>
  <si>
    <t>Installation of Artificial Reef to Harness Potential of Balaoan, La Union Underwater Tourism and Improved Coral Reef Productivity Project</t>
  </si>
  <si>
    <t>Coral reef enhancement</t>
  </si>
  <si>
    <t>Inner Wheel Club of San Fernando, Rotary Club of San Fernando</t>
  </si>
  <si>
    <t>Don Mariano Marcos Memorial State University - Institute of Environmental Studies</t>
  </si>
  <si>
    <t>22-PH013303000-2021-Artificial Reef</t>
  </si>
  <si>
    <t>(part of the 70 units distributed in 3 LGUs)</t>
  </si>
  <si>
    <t>DENR, PG-ENRO, OPA, PDRRMO</t>
  </si>
  <si>
    <t>23-PH013305000-2021-Artificial Reef</t>
  </si>
  <si>
    <t>Enhance coral reef for improved growth of the coastal flora and fauna</t>
  </si>
  <si>
    <t>Ocean Deep Diving Training Center</t>
  </si>
  <si>
    <t>24-PH013306000-1986-Artificial Reef</t>
  </si>
  <si>
    <t>24-PH013305000-2021-Artificial Reef</t>
  </si>
  <si>
    <t>25-PH013307000-2021-Artificial Reef</t>
  </si>
  <si>
    <t>Marine habitat rehabilitation; fish stock productivity</t>
  </si>
  <si>
    <t>3174 units</t>
  </si>
  <si>
    <t>https://m.facebook.com/permalink.php?id=336893718203&amp;story_fbid=10157795137738204; http://bauangtgis.gov.ph/2021/05/10/bfar-presents-the-underwater-assessment-of-artificial-reef-in-the-municipality/</t>
  </si>
  <si>
    <t>25-PH013306000-1986-Artificial Reef</t>
  </si>
  <si>
    <t>26-PH013309000-2014-Artificial Reef</t>
  </si>
  <si>
    <t>BFAR, MLGU</t>
  </si>
  <si>
    <t>26-PH013307000-2021-Artificial Reef</t>
  </si>
  <si>
    <t>27-PH013314000-2022-Artificial Reef</t>
  </si>
  <si>
    <r>
      <rPr>
        <rFont val="Calibri"/>
        <color rgb="FFFF0000"/>
        <sz val="12.0"/>
      </rPr>
      <t xml:space="preserve">City of </t>
    </r>
    <r>
      <rPr>
        <rFont val="Calibri"/>
        <color theme="1"/>
        <sz val="12.0"/>
      </rPr>
      <t>S</t>
    </r>
    <r>
      <rPr>
        <rFont val="Calibri"/>
        <color theme="1"/>
        <sz val="12.0"/>
      </rPr>
      <t>an Fernando</t>
    </r>
  </si>
  <si>
    <t>Sea of Life: Underwater Museum Project</t>
  </si>
  <si>
    <t>2022</t>
  </si>
  <si>
    <t>Reef ball; statues</t>
  </si>
  <si>
    <t>Rehabilitate coral reefs; propagate marine life; responsible fishing</t>
  </si>
  <si>
    <t>Crest International, OceanDeep Dive</t>
  </si>
  <si>
    <t>https://pia.gov.ph/news/2022/07/18/jci-manila-installs-artificial-reefs-in-la-union</t>
  </si>
  <si>
    <t>27-PH013309000-2014-Artificial Reef</t>
  </si>
  <si>
    <t>2012</t>
  </si>
  <si>
    <t>2017</t>
  </si>
  <si>
    <t>Facilitate regeneration of fish populations</t>
  </si>
  <si>
    <t xml:space="preserve">International </t>
  </si>
  <si>
    <t>28-PH013314000-2014-Artificial Reef</t>
  </si>
  <si>
    <r>
      <rPr>
        <rFont val="Calibri"/>
        <color rgb="FFFF0000"/>
        <sz val="12.0"/>
      </rPr>
      <t xml:space="preserve">City of </t>
    </r>
    <r>
      <rPr>
        <rFont val="Calibri"/>
        <color theme="1"/>
        <sz val="12.0"/>
      </rPr>
      <t>S</t>
    </r>
    <r>
      <rPr>
        <rFont val="Calibri"/>
        <color theme="1"/>
        <sz val="12.0"/>
      </rPr>
      <t>an Fernando</t>
    </r>
  </si>
  <si>
    <t>Coast Guard</t>
  </si>
  <si>
    <t>28-PH013314000-2022-Artificial Reef</t>
  </si>
  <si>
    <r>
      <rPr>
        <rFont val="Calibri"/>
        <color rgb="FFFF0000"/>
        <sz val="12.0"/>
      </rPr>
      <t xml:space="preserve">City of </t>
    </r>
    <r>
      <rPr>
        <rFont val="Calibri"/>
        <color theme="1"/>
        <sz val="12.0"/>
      </rPr>
      <t>S</t>
    </r>
    <r>
      <rPr>
        <rFont val="Calibri"/>
        <color theme="1"/>
        <sz val="12.0"/>
      </rPr>
      <t>an Fernando</t>
    </r>
  </si>
  <si>
    <t>Restoration inside MPA</t>
  </si>
  <si>
    <t>Reef ball, Concrete sculpture, Cement with silica</t>
  </si>
  <si>
    <t>Reef ball; statues; cement with silica</t>
  </si>
  <si>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</si>
  <si>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</si>
  <si>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t>Philippine Coast Guard, CLGU</t>
  </si>
  <si>
    <t>Crest International, OceanDeep Dive; Octohedz NFT</t>
  </si>
  <si>
    <t>29-PH013317000-1981-Artificial Reef</t>
  </si>
  <si>
    <r>
      <rPr>
        <rFont val="Calibri"/>
        <color theme="1"/>
      </rPr>
      <t xml:space="preserve">Site in Casantaan, Damortis; </t>
    </r>
    <r>
      <rPr>
        <rFont val="Calibri"/>
        <color rgb="FFFF0000"/>
        <sz val="12.0"/>
      </rPr>
      <t>Stated as Damortis in lit but latter is barangay and part of municipality of Santo Tomas</t>
    </r>
  </si>
  <si>
    <t>1981</t>
  </si>
  <si>
    <t>29-PH013314000-2014-Artificial Reef</t>
  </si>
  <si>
    <r>
      <rPr>
        <rFont val="Calibri"/>
        <color rgb="FFFF0000"/>
        <sz val="12.0"/>
      </rPr>
      <t xml:space="preserve">City of </t>
    </r>
    <r>
      <rPr>
        <rFont val="Calibri"/>
        <color theme="1"/>
        <sz val="12.0"/>
      </rPr>
      <t>San Fernando</t>
    </r>
  </si>
  <si>
    <t>Concrete structure, Synthetic material</t>
  </si>
  <si>
    <t>Synthetic</t>
  </si>
  <si>
    <t>Concrete general, PVC pipe</t>
  </si>
  <si>
    <t>Concrete and plastic pipes</t>
  </si>
  <si>
    <t>Protect and preserve various species of fish in the area</t>
  </si>
  <si>
    <t>Coast Guard, PENRO, PLGU, BLGU</t>
  </si>
  <si>
    <t>Naval Forces Northern Luzon (n.d.). NFNL deploys artificial coral reefs in San Fernando Bay [status update]. https://free.facebook.com/media/set/?set=a.1575816015988174.1073741860.1418721221697655&amp;type=3&amp;_rdc=1&amp;_rdr</t>
  </si>
  <si>
    <t>30-PH013316000-2021-Artificial Reef</t>
  </si>
  <si>
    <t>30-PH013317000-1981-Artificial Reef</t>
  </si>
  <si>
    <t>Site in Casantaan, Damortis; Stated as Damortis in lit but latter is barangay and part of municipality of Santo Tomas</t>
  </si>
  <si>
    <t>31-PH013313000-1985-Artificial Reef</t>
  </si>
  <si>
    <t>31-PH013316000-2021-Artificial Reef</t>
  </si>
  <si>
    <t>32-PH013313000-1985-Artificial Reef</t>
  </si>
  <si>
    <t>32-PH013302000-2014-Artificial Reef</t>
  </si>
  <si>
    <t>BFAR, municipal LGU</t>
  </si>
  <si>
    <t>33-PH015501000-1985-Artificial Reef</t>
  </si>
  <si>
    <t>33-PH013305000-2012-Artificial Reef</t>
  </si>
  <si>
    <t>DOT</t>
  </si>
  <si>
    <t>Holcim Philippines</t>
  </si>
  <si>
    <t>34-PH013310000-2023-Artificial Reef</t>
  </si>
  <si>
    <t>Provide natural habitat for marine life and boost fish production</t>
  </si>
  <si>
    <t>34-PH015501000-1985-Artificial Reef</t>
  </si>
  <si>
    <t>35-PH015501000-2021-Artificial Reef</t>
  </si>
  <si>
    <t>Provide livelihood opportunities to fisherfolk; breeding grounds for fishes and other marine resources</t>
  </si>
  <si>
    <r>
      <rPr>
        <rFont val="Calibri"/>
        <color theme="1"/>
        <sz val="12.0"/>
      </rPr>
      <t xml:space="preserve">BFAR, </t>
    </r>
    <r>
      <rPr>
        <rFont val="Calibri"/>
        <color rgb="FFFF0000"/>
        <sz val="12.0"/>
      </rPr>
      <t>MLGU</t>
    </r>
  </si>
  <si>
    <t>35-PH013317000--Artificial Reef</t>
  </si>
  <si>
    <t>1990</t>
  </si>
  <si>
    <t>1994</t>
  </si>
  <si>
    <t>36-PH015503000-1981-Artificial Reef</t>
  </si>
  <si>
    <t>Tambuyog Development Center</t>
  </si>
  <si>
    <t>36-PH013301000-2013-Artificial Reef</t>
  </si>
  <si>
    <t>37-PH015501000-Unknown-Artificial Reef</t>
  </si>
  <si>
    <t>Increase income and improve nutrition</t>
  </si>
  <si>
    <t>37-PH015503000-1985-Artificial Reef</t>
  </si>
  <si>
    <t>38-PH015501000-2021-Artificial Reef</t>
  </si>
  <si>
    <t>38-PH015503000-1987-Artificial Reef</t>
  </si>
  <si>
    <t>39-PH015503000-1981-Artificial Reef</t>
  </si>
  <si>
    <t>39-PH015503000-1999-Mineral accretion</t>
  </si>
  <si>
    <t>1999</t>
  </si>
  <si>
    <t>2000</t>
  </si>
  <si>
    <t>Electrochemical mineral accretion</t>
  </si>
  <si>
    <r>
      <rPr>
        <rFont val="Calibri"/>
        <color theme="1"/>
        <sz val="12.0"/>
      </rPr>
      <t xml:space="preserve">Research; </t>
    </r>
    <r>
      <rPr>
        <rFont val="Calibri"/>
        <color rgb="FFFF0000"/>
        <sz val="12.0"/>
      </rPr>
      <t>experimental</t>
    </r>
  </si>
  <si>
    <t>Published article</t>
  </si>
  <si>
    <t>Growth and survival of coral transplants with and without electrochemical deposition of CaCO3 - ScienceDirect</t>
  </si>
  <si>
    <t>40-PH015501000-Unknown-Artificial Reef</t>
  </si>
  <si>
    <t>Artificial Reef Program</t>
  </si>
  <si>
    <t>40-PH015503000-2015-Asexual Reproduction</t>
  </si>
  <si>
    <t>41-PH015503000-1985-Artificial Reef</t>
  </si>
  <si>
    <t>41-PH015503000-2018-Sexual Reproduction</t>
  </si>
  <si>
    <t>Sexual Reproduction</t>
  </si>
  <si>
    <t>42-PH015503000-1987-Artificial Reef</t>
  </si>
  <si>
    <t>42-PH015503000-2017-Asexual Reproduction</t>
  </si>
  <si>
    <t>12 CNUs; 3,270 COPs</t>
  </si>
  <si>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</si>
  <si>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</si>
  <si>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t>43-PH015503000-1999-Mineral accretion</t>
  </si>
  <si>
    <t>43-PH015503000-2001-Asexual Reproduction</t>
  </si>
  <si>
    <t>2001</t>
  </si>
  <si>
    <t>2005</t>
  </si>
  <si>
    <t>44-PH015503000-Unknown-Asexual Reproduction</t>
  </si>
  <si>
    <t>PAMB HINP</t>
  </si>
  <si>
    <t>44-PH015505000-1986-Artificial Reef</t>
  </si>
  <si>
    <t>45-PH015503000-2018-Sexual Reproduction</t>
  </si>
  <si>
    <t>ACIAR Coral Restoration Project</t>
  </si>
  <si>
    <t>45-PH015505000-1986-Artificial Reef</t>
  </si>
  <si>
    <t>46-PH015503000-Unknown-Asexual Reproduction</t>
  </si>
  <si>
    <t>(Different from the other roll-out site in Alaminos)</t>
  </si>
  <si>
    <t xml:space="preserve">CLGU; PAFI </t>
  </si>
  <si>
    <t>RVS-4 STAR</t>
  </si>
  <si>
    <t>46-PH015505000-2014-Sexual Reproduction</t>
  </si>
  <si>
    <t>Gravid colony collection conducted in Caniogan and Magsaysay Reef, Anda</t>
  </si>
  <si>
    <t>2,803,661.28</t>
  </si>
  <si>
    <t>47-PH015503000-2001-Asexual Reproduction</t>
  </si>
  <si>
    <t>47-PH015505000-2014-Sexual Reproduction</t>
  </si>
  <si>
    <t>2,682,661.50</t>
  </si>
  <si>
    <t>48-PH015505000-1986-Artificial Reef</t>
  </si>
  <si>
    <t>48-PH015505000-2018-Sexual Reproduction</t>
  </si>
  <si>
    <t>49-PH015505000-1986-Artificial Reef</t>
  </si>
  <si>
    <t>49-PH015505000-2001-Asexual Reproduction</t>
  </si>
  <si>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</si>
  <si>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t>Site in Caniogan MPA, Anda</t>
  </si>
  <si>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</si>
  <si>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</si>
  <si>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t>50-PH015505000-2014-Sexual Reproduction</t>
  </si>
  <si>
    <t>Project was conceptualized to contribute to the development of techniques in restoring degraded reef areas with the use of sexually-derived coral propagules</t>
  </si>
  <si>
    <t>Technical Report</t>
  </si>
  <si>
    <t>50-PH015505000-2011-Sexual Reproduction; Asexual Reproduction</t>
  </si>
  <si>
    <t>Sexual Reproduction; Asexual Reproduction</t>
  </si>
  <si>
    <t>Outplantation in Marcos sandbar (N 16.3213889, E 120.03388888888888); gravid colony from Cory Sandbar</t>
  </si>
  <si>
    <t>Larval enhancement, Coral gardening</t>
  </si>
  <si>
    <t>Gamete fertilization; larval culture and settlement competency</t>
  </si>
  <si>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</si>
  <si>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t xml:space="preserve">Asexual Propagation; Sexual Propagation </t>
  </si>
  <si>
    <t>51-PH015505000-2014-Sexual Reproduction</t>
  </si>
  <si>
    <t>51-PH015505000-2013-Sexual Reproduction</t>
  </si>
  <si>
    <t>(N 16.3213889, E 120.03388888888888)</t>
  </si>
  <si>
    <t>2015</t>
  </si>
  <si>
    <t xml:space="preserve">Test the effect of supplying large numbers of coral larvae on replicate degraded reef areas </t>
  </si>
  <si>
    <r>
      <rPr>
        <rFont val="Calibri"/>
        <color theme="1"/>
        <sz val="12.0"/>
      </rPr>
      <t xml:space="preserve">University of the Philippines Diliman; </t>
    </r>
    <r>
      <rPr>
        <rFont val="Calibri"/>
        <color rgb="FFFF0000"/>
        <sz val="12.0"/>
      </rPr>
      <t>UP MSI</t>
    </r>
  </si>
  <si>
    <t>52-PH015505000-2018-Sexual Reproduction</t>
  </si>
  <si>
    <t>52-PH015505000-2016-Sexual Reproduction</t>
  </si>
  <si>
    <t>2019</t>
  </si>
  <si>
    <r>
      <rPr>
        <rFont val="Calibri"/>
        <color theme="1"/>
        <sz val="12.0"/>
      </rPr>
      <t xml:space="preserve">University of the Philippines Diliman; </t>
    </r>
    <r>
      <rPr>
        <rFont val="Calibri"/>
        <color rgb="FFFF0000"/>
        <sz val="12.0"/>
      </rPr>
      <t>UP MSI</t>
    </r>
  </si>
  <si>
    <t>53-PH015505000-2001-Asexual Reproduction</t>
  </si>
  <si>
    <t xml:space="preserve">Direct transplantation; </t>
  </si>
  <si>
    <t>53-PH015505000-Unknown-Sexual Reproduction</t>
  </si>
  <si>
    <t>54-PH015505000-Unknown-Unknown</t>
  </si>
  <si>
    <t>*Mention of "Enhancing Recovery by Transplantation of Corals" project under Dr. Gomez but it seems to be the same project with above "Coral Reef Habitat and Productivity Enhancement" Pew Project; located in Tondol Anda, Pangasinan</t>
  </si>
  <si>
    <t>https://gefcoral.org/Portals/25/%20Appendix%20C%20-%20Cabaitan,Gomez,Ali%C3%B1o%202008%20JEMBE.pdf</t>
  </si>
  <si>
    <t>54-PH015505000-2016-Sexual Reproduction; Asexual Reproduction</t>
  </si>
  <si>
    <r>
      <rPr>
        <rFont val="Calibri"/>
        <color theme="1"/>
        <sz val="12.0"/>
      </rPr>
      <t xml:space="preserve">Sexual Reproduction; </t>
    </r>
    <r>
      <rPr>
        <rFont val="Calibri"/>
        <color rgb="FFFF0000"/>
        <sz val="12.0"/>
      </rPr>
      <t>Asexual Reproduction</t>
    </r>
  </si>
  <si>
    <t>Source of coral spawn from Magsaysay Reef</t>
  </si>
  <si>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</si>
  <si>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t>55-PH015505000-2012 (publication year)-Sexual Reproduction; Asexual Reproduction</t>
  </si>
  <si>
    <t>Growth and survivorship of juvenile corals outplanted to degraded reef areas in Bolinao-Anda Reef Complex, Philippines</t>
  </si>
  <si>
    <t>2012 (publication year)</t>
  </si>
  <si>
    <t>Transplantation</t>
  </si>
  <si>
    <t>Research; Determine growth and survivorship of juveniles of the reef-building coral Acropora valida</t>
  </si>
  <si>
    <t>55-PH015505000-2011-Sexual Reproduction; Asexual Reproduction</t>
  </si>
  <si>
    <t>Site at Marcos sandbar</t>
  </si>
  <si>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</si>
  <si>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</si>
  <si>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t>56-PH015505000-2013-Sexual Reproduction</t>
  </si>
  <si>
    <t>Enhanced larval supply and recruitment can replenish reef corals on degraded reefs</t>
  </si>
  <si>
    <t xml:space="preserve">Larval collection and culture; </t>
  </si>
  <si>
    <t xml:space="preserve">Research; Test the effect of supplying large numbers of coral larvae on replicate degraded reef areas </t>
  </si>
  <si>
    <t>56-PH015505000-2015-Sexual Reproduction</t>
  </si>
  <si>
    <r>
      <rPr>
        <rFont val="Calibri"/>
        <color theme="1"/>
        <sz val="12.0"/>
      </rPr>
      <t xml:space="preserve">Outplanting; </t>
    </r>
    <r>
      <rPr>
        <rFont val="Calibri"/>
        <color rgb="FFFF0000"/>
        <sz val="12.0"/>
      </rPr>
      <t>ex-situ nursery</t>
    </r>
  </si>
  <si>
    <t>Ex-situ nursery; outplanting</t>
  </si>
  <si>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</si>
  <si>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</si>
  <si>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</si>
  <si>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t>57-PH015505000-2016-Sexual Reproduction</t>
  </si>
  <si>
    <t>ACIAR Coral Reef Restoration Project (FIS/2014/063)</t>
  </si>
  <si>
    <t xml:space="preserve">Larval collection; </t>
  </si>
  <si>
    <t>Research; Build on pilot study to quantify effects of increased larval supply, assess long term restoration outcomes and develop techniques for capturing large volume of coral spaws</t>
  </si>
  <si>
    <t>57-PH015508000-1985-Artificial Reef</t>
  </si>
  <si>
    <t>58-PH015505000-2016-Sexual Reproduction</t>
  </si>
  <si>
    <t>Successfully cultured and reared coral embryos from wild caugh spawn slick in the Philippines</t>
  </si>
  <si>
    <t>Research; Understand early developmental stages of corals and establish parent colonies that can provide sustainable source of gametes</t>
  </si>
  <si>
    <t>58-PH015508000-1985-Artificial Reef</t>
  </si>
  <si>
    <r>
      <rPr>
        <rFont val="Calibri"/>
        <color theme="1"/>
        <sz val="12.0"/>
      </rPr>
      <t xml:space="preserve">Site in </t>
    </r>
    <r>
      <rPr>
        <rFont val="Calibri"/>
        <color rgb="FFFF0000"/>
        <sz val="12.0"/>
      </rPr>
      <t>Surip</t>
    </r>
  </si>
  <si>
    <t>14 TM and 1 BM</t>
  </si>
  <si>
    <t>59-PH015505000-2011-Sexual Reproduction; Asexual Reproduction</t>
  </si>
  <si>
    <t>Site at Marcos sandbar; Performance and cost-effectiveness of sexually produced Acropora granulosa juveniles compared with asexually generated coral fragments in restoring degraded reefs</t>
  </si>
  <si>
    <t>Larval collection; hatchery rearing; in situ nursery; out-planting</t>
  </si>
  <si>
    <t>Research; Evaluate and compare the performance of sexually and asexually derived colonies of A. granulosa in terms of growth and survivorship</t>
  </si>
  <si>
    <t>59-PH015514000-1978-Artificial Reef</t>
  </si>
  <si>
    <t>Ministry of Human Settlements; Natural Resources Management Center</t>
  </si>
  <si>
    <t>Japan Overseas Cooperation Volunteers</t>
  </si>
  <si>
    <t>60-PH015505000-2015-Sexual Reproduction</t>
  </si>
  <si>
    <t>Site in Caniogan and Cabungan; Feasibility of early outplanting of sexually propagated Acropora verweyi for coral reef restoration demonstrated in the Philippines</t>
  </si>
  <si>
    <t>Outplanting</t>
  </si>
  <si>
    <t>240 juveniles</t>
  </si>
  <si>
    <t>https://onlinelibrary.wiley.com/doi/10.1111/rec.13363</t>
  </si>
  <si>
    <t>60-PH015514000-2004-Asexual Reproduction</t>
  </si>
  <si>
    <t>2004</t>
  </si>
  <si>
    <t>2009</t>
  </si>
  <si>
    <t>61-PH015508000-1985-Artificial Reef</t>
  </si>
  <si>
    <t>61-PH015514000-1991-Artificial Reef</t>
  </si>
  <si>
    <r>
      <rPr>
        <rFont val="Calibri"/>
        <color theme="1"/>
        <sz val="12.0"/>
      </rPr>
      <t xml:space="preserve">Site at Silaqui Island and Guiguiwanen Bay </t>
    </r>
    <r>
      <rPr>
        <rFont val="Calibri"/>
        <color rgb="FFFF0000"/>
        <sz val="12.0"/>
      </rPr>
      <t>(E 119.875, 120: N 16.375, 16.4583333)</t>
    </r>
  </si>
  <si>
    <t>1991</t>
  </si>
  <si>
    <t>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t>
  </si>
  <si>
    <t>62-PH015508000-1985-Artificial Reef</t>
  </si>
  <si>
    <t>Site in Sunip</t>
  </si>
  <si>
    <t>62-PH015514000-1994-Asexual Reproduction</t>
  </si>
  <si>
    <r>
      <rPr>
        <rFont val="Calibri"/>
        <color theme="1"/>
        <sz val="12.0"/>
      </rPr>
      <t xml:space="preserve">Site at </t>
    </r>
    <r>
      <rPr>
        <rFont val="Calibri"/>
        <color rgb="FFFF0000"/>
        <sz val="12.0"/>
      </rPr>
      <t xml:space="preserve">Lucero Reef Flat, </t>
    </r>
    <r>
      <rPr>
        <rFont val="Calibri"/>
        <color theme="1"/>
        <sz val="12.0"/>
      </rPr>
      <t>Santiago Island</t>
    </r>
  </si>
  <si>
    <t>1995</t>
  </si>
  <si>
    <r>
      <rPr>
        <rFont val="Calibri"/>
        <color theme="1"/>
        <sz val="12.0"/>
      </rPr>
      <t xml:space="preserve">Research; </t>
    </r>
    <r>
      <rPr>
        <rFont val="Calibri"/>
        <color rgb="FFFF0000"/>
        <sz val="12.0"/>
      </rPr>
      <t>Determine growth and mortality of transplants of two species of scleractinian corals</t>
    </r>
  </si>
  <si>
    <t>Physiological and ecological aspects of coral transplantation - ScienceDirect</t>
  </si>
  <si>
    <t>63-PH015514000-1980-Asexual Reproduction</t>
  </si>
  <si>
    <t>1980</t>
  </si>
  <si>
    <r>
      <rPr>
        <rFont val="Calibri"/>
        <color theme="1"/>
        <sz val="12.0"/>
      </rPr>
      <t xml:space="preserve">Research; </t>
    </r>
    <r>
      <rPr>
        <rFont val="Calibri"/>
        <color rgb="FFFF0000"/>
        <sz val="12.0"/>
      </rPr>
      <t>Investigated the growth rate of transplanted Acropora pulchra</t>
    </r>
  </si>
  <si>
    <t>63-PH015513000-2015-Artificial Reef</t>
  </si>
  <si>
    <t>64-PH015514000-1978-Artificial Reef</t>
  </si>
  <si>
    <t>1978</t>
  </si>
  <si>
    <t>UP Marine Sciences Center</t>
  </si>
  <si>
    <t>https://pdf.usaid.gov/pdf_docs/pnabx173.pdf</t>
  </si>
  <si>
    <t>64-PH015514000-1983-Asexual Reproduction</t>
  </si>
  <si>
    <r>
      <rPr>
        <rFont val="Calibri"/>
        <color theme="1"/>
        <sz val="12.0"/>
      </rPr>
      <t xml:space="preserve">Site at Cangaluyan Island; </t>
    </r>
    <r>
      <rPr>
        <rFont val="Calibri"/>
        <color rgb="FFFF0000"/>
        <sz val="12.0"/>
      </rPr>
      <t>(N 16.3666667, E 120)</t>
    </r>
  </si>
  <si>
    <t>1984</t>
  </si>
  <si>
    <t>65-PH015514000-1996-Asexual Reproduction</t>
  </si>
  <si>
    <r>
      <rPr>
        <rFont val="Calibri"/>
        <color theme="1"/>
        <sz val="12.0"/>
      </rPr>
      <t xml:space="preserve">Site at Santiago Island; </t>
    </r>
    <r>
      <rPr>
        <rFont val="Calibri"/>
        <color rgb="FFFF0000"/>
        <sz val="12.0"/>
      </rPr>
      <t>(N 16.342, E 119.90)</t>
    </r>
  </si>
  <si>
    <t>1996</t>
  </si>
  <si>
    <t>1998</t>
  </si>
  <si>
    <t>Coral transplantation; initial tank culture</t>
  </si>
  <si>
    <r>
      <rPr>
        <rFont val="Calibri"/>
        <color theme="1"/>
        <sz val="12.0"/>
      </rPr>
      <t xml:space="preserve">Research; </t>
    </r>
    <r>
      <rPr>
        <rFont val="Calibri"/>
        <color rgb="FFFF0000"/>
        <sz val="12.0"/>
      </rPr>
      <t>Survival and growth of Porites scleratinian coral transplants</t>
    </r>
  </si>
  <si>
    <t>Comparison of coral growth and survival under enclosed, semi-natural conditions and in the field - ScienceDirect</t>
  </si>
  <si>
    <t>65-PH015514000-1991-Artificial Reef</t>
  </si>
  <si>
    <t>66-PH015514000-2004-Asexual Reproduction</t>
  </si>
  <si>
    <t>66-PH015514000-1998-Asexual Reproduction</t>
  </si>
  <si>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</si>
  <si>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</si>
  <si>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</si>
  <si>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t>Differential survival of coral transplants on various substrates under elevated water temperatures - ScienceDirect</t>
  </si>
  <si>
    <t>67-PH015514000-1991-Artificial Reef</t>
  </si>
  <si>
    <t>ASEAN Australia Living Coastal Resources Project</t>
  </si>
  <si>
    <t>Site at Silaqui Island and Guiguiwanen Bay</t>
  </si>
  <si>
    <t>32 modules</t>
  </si>
  <si>
    <t>https://pdf.usaid.gov/pdf_docs/pnabx173.pdf; 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t>
  </si>
  <si>
    <t>67-PH015514000-2014-Sexual Reproduction</t>
  </si>
  <si>
    <t>68-PH015514000-1994-Asexual Reproduction</t>
  </si>
  <si>
    <t>Site at Santiago Island</t>
  </si>
  <si>
    <t>68-PH015514000-2014-Sexual Reproduction</t>
  </si>
  <si>
    <t>69-PH015514000-Unknown-Asexual Reproduction</t>
  </si>
  <si>
    <t>Growth of Acropora pulchra | SpringerLink; https://link.springer.com/article/10.1007/BF00539430</t>
  </si>
  <si>
    <t>69-PH015514000-2004-Sexual Reproduction; Asexual Reproduction</t>
  </si>
  <si>
    <r>
      <rPr>
        <rFont val="Calibri"/>
        <color rgb="FFFF0000"/>
        <sz val="12.0"/>
      </rPr>
      <t xml:space="preserve">Site at Riripayan Point (N 16.3833333; E 119.91805555555555); </t>
    </r>
    <r>
      <rPr>
        <rFont val="Calibri"/>
        <color theme="1"/>
        <sz val="12.0"/>
      </rPr>
      <t>Survivorship of coral juveniles in a fish farm environment</t>
    </r>
  </si>
  <si>
    <t>70-PH015514000-1983-Asexual Reproduction</t>
  </si>
  <si>
    <t>Site at Cangaluyan Island, Bolinao; Different site from previous study of H.T. Yap and E. Gomez</t>
  </si>
  <si>
    <t>m083p091.pdf (int-res.com)</t>
  </si>
  <si>
    <t>70-PH015514000-2018-Sexual Reproduction; Asexual Reproduction</t>
  </si>
  <si>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</si>
  <si>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</si>
  <si>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t>71-PH015514000-2003 (publication year)-Asexual Reproduction</t>
  </si>
  <si>
    <t>Tank culture; Natural site at Santiago Island</t>
  </si>
  <si>
    <t>2003 (publication year)</t>
  </si>
  <si>
    <t>Tank culture; Coral transplantation</t>
  </si>
  <si>
    <t>71-PH015514000-2005-Asexual Reproduction</t>
  </si>
  <si>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</si>
  <si>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t>2006</t>
  </si>
  <si>
    <r>
      <rPr>
        <rFont val="Calibri"/>
        <color theme="1"/>
        <sz val="12.0"/>
      </rPr>
      <t xml:space="preserve">Research; </t>
    </r>
    <r>
      <rPr>
        <rFont val="Calibri"/>
        <color rgb="FFFF0000"/>
        <sz val="12.0"/>
      </rPr>
      <t>Comparison of three types of adhesives in attaching coral transplants</t>
    </r>
  </si>
  <si>
    <t>72-PH015514000-2004 (publication year)-Asexual Reproduction</t>
  </si>
  <si>
    <t>2004 (publication year)</t>
  </si>
  <si>
    <t>72-PH015514000-2005-Asexual Reproduction</t>
  </si>
  <si>
    <t>Enhancing Recovery by Transplantation of Corals / Coral Reef Targeted Research and Capacity Building for Management Program</t>
  </si>
  <si>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</si>
  <si>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</si>
  <si>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</si>
  <si>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t>73-PH015514000-2014-Sexual Reproduction</t>
  </si>
  <si>
    <t>73-PH015514000-2005-Asexual Reproduction</t>
  </si>
  <si>
    <r>
      <rPr>
        <rFont val="Calibri"/>
        <color rgb="FFFF0000"/>
        <sz val="12.0"/>
      </rPr>
      <t xml:space="preserve">Site in Santiago Island (N 16.4454167, E 119.92408333333334); </t>
    </r>
    <r>
      <rPr>
        <rFont val="Calibri"/>
        <color theme="1"/>
        <sz val="12.0"/>
      </rPr>
      <t>Employing a highly fragmented, weedy coral species in reef restoration</t>
    </r>
  </si>
  <si>
    <t>2007</t>
  </si>
  <si>
    <t>74-PH015514000-2014-Sexual Reproduction</t>
  </si>
  <si>
    <t>74-PH015514000-2007-Asexual Reproduction; Sexual Reproduction</t>
  </si>
  <si>
    <r>
      <rPr>
        <rFont val="Calibri"/>
        <color rgb="FFFF0000"/>
        <sz val="12.0"/>
      </rPr>
      <t xml:space="preserve">Asexual Reproduction; </t>
    </r>
    <r>
      <rPr>
        <rFont val="Calibri"/>
        <color theme="1"/>
        <sz val="12.0"/>
      </rPr>
      <t>Sexual Reproduction</t>
    </r>
  </si>
  <si>
    <t>Caging enhances post-settlement survival of juveniles of the scleratinian coral Acropora tenuis</t>
  </si>
  <si>
    <r>
      <rPr>
        <rFont val="Calibri"/>
        <color theme="1"/>
        <sz val="12.0"/>
      </rPr>
      <t xml:space="preserve">European Union INCO-DEV Project; </t>
    </r>
    <r>
      <rPr>
        <rFont val="Calibri"/>
        <color rgb="FFFF0000"/>
        <sz val="12.0"/>
      </rPr>
      <t>Singapore Ministry of Education Academic Research Fund Tier 1 FRC</t>
    </r>
  </si>
  <si>
    <t>75-PH015514000-2005 (publication year)-Asexual Reproduction</t>
  </si>
  <si>
    <t>Survivorship of coral juveniles in a fish farm environment</t>
  </si>
  <si>
    <t>2005 (publication year)</t>
  </si>
  <si>
    <t>75-PH015514000-2007-Asexual Reproduction</t>
  </si>
  <si>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</si>
  <si>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t>2008</t>
  </si>
  <si>
    <t>1,200 fragments</t>
  </si>
  <si>
    <t>76-PH015514000-2010 (publication year)-Sexual Reproduction</t>
  </si>
  <si>
    <t>Fish farm effluents alter reef benthic assemblages and reduce coral settlement</t>
  </si>
  <si>
    <t>2010 (publication year)</t>
  </si>
  <si>
    <t>76-PH015514000-2006-Asexual Reproduction</t>
  </si>
  <si>
    <t>Site at Binlab and Malilnep Ac; Successful Transplantation of a Fragmenting Coral, Montipora digitata, for reef rehabilitation</t>
  </si>
  <si>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</si>
  <si>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t>77-PH015514000-2008 (publication year)-Asexual Reproduction</t>
  </si>
  <si>
    <t>Comparison of three types of adhesive in attaching coral transplants to clam shell substrates</t>
  </si>
  <si>
    <t>2008 (publication year)</t>
  </si>
  <si>
    <t xml:space="preserve">Research; Selecting the appropriate means of attaching corals to substrates and </t>
  </si>
  <si>
    <t>77-PH015514000-2005-Asexual Reproduction</t>
  </si>
  <si>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</si>
  <si>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</si>
  <si>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</si>
  <si>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</si>
  <si>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t>78-PH015514000-2005-Asexual Reproduction</t>
  </si>
  <si>
    <t>GEF/WB Coral Reef Targeted Research for Capacity Building and Management Programme</t>
  </si>
  <si>
    <t xml:space="preserve">Fixed and suspended coral nurseries in the Philippines: Establishing the first step in the "gardening concept" of reef restoration </t>
  </si>
  <si>
    <t>7,000 COPs</t>
  </si>
  <si>
    <t>78-PH015514000-2010-Sexual Reproduction; Asexual Reproduction</t>
  </si>
  <si>
    <r>
      <rPr>
        <rFont val="Calibri"/>
        <color theme="1"/>
        <sz val="12.0"/>
      </rPr>
      <t xml:space="preserve">Sexual Reproduction; </t>
    </r>
    <r>
      <rPr>
        <rFont val="Calibri"/>
        <color rgb="FFFF0000"/>
        <sz val="12.0"/>
      </rPr>
      <t>Asexual Reproduction</t>
    </r>
  </si>
  <si>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</si>
  <si>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t>Coral colony collection; ex situ spawning, gamete collection and larval settlement in rubble; angle bar in-situ nursery</t>
  </si>
  <si>
    <t>79-PH015514000-2005-Asexual Reproduction</t>
  </si>
  <si>
    <t>Employing a highly fragmented, weedy coral species in reef restoration</t>
  </si>
  <si>
    <t>79-PH015514000-2010-Asexual Reproduction</t>
  </si>
  <si>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</si>
  <si>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</si>
  <si>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t>80-PH015514000-2007-Sexual Reproduction</t>
  </si>
  <si>
    <t>80-PH015514000-2008-Sexual Reproduction; Asexual Reproduction</t>
  </si>
  <si>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</si>
  <si>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</si>
  <si>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</si>
  <si>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t>81-PH015514000-Unknown-Asexual Reproduction</t>
  </si>
  <si>
    <t>Mid-water rope nursery - testing design and performance of a novel reef restoration instrument</t>
  </si>
  <si>
    <t>Research; Tested the design and performance of a novel mid-water floating nursery instrument</t>
  </si>
  <si>
    <t>81-PH015514000-2006-Asexual Reproduction</t>
  </si>
  <si>
    <t>Site in Silaqui Island and Lucero; Assessing the abridged nursery phase for slow growing corals used in coral restoration</t>
  </si>
  <si>
    <t>Direct transplantation, Coral gardening</t>
  </si>
  <si>
    <t>82-PH015514000-*Not indicated (2011 publication year)-Asexual Reproduction</t>
  </si>
  <si>
    <t>*Not indicated (2011 publication year)</t>
  </si>
  <si>
    <t>Research; Restore a degraded lagoon environment</t>
  </si>
  <si>
    <t>82-PH015514000-2015-Sexual Reproduction</t>
  </si>
  <si>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</si>
  <si>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t>83-PH015514000-*Not indicated (2011 publication year)-Asexual Reproduction</t>
  </si>
  <si>
    <t>How Quickly do Fragments of Coral "Self-Attach" after Transplantation</t>
  </si>
  <si>
    <t>Research; Examine the self-attachment times to natural calcium carbonate substrate</t>
  </si>
  <si>
    <t>European Union</t>
  </si>
  <si>
    <t>83-PH015520000-1986-Artificial Reef</t>
  </si>
  <si>
    <t>84-PH015514000-2010-Sexual Reproduction</t>
  </si>
  <si>
    <t>Effects of grazing by herbivorous gastropod (Trochus niloticus) on the survivorship of cultured coral spat</t>
  </si>
  <si>
    <t>84-PH015521000-1981-Artificial Reef</t>
  </si>
  <si>
    <t>Site in Tobuan</t>
  </si>
  <si>
    <t>85-PH015514000-2010-Asexual Reproduction</t>
  </si>
  <si>
    <t>Site in Lucero; Community-based, low-tech method of restoring a lost thicket of Acropora corals</t>
  </si>
  <si>
    <t>Research; Develop cost-effective, low-tech restoration method transferable to the community</t>
  </si>
  <si>
    <t>85-PH015522000-2022-Artificial Reef</t>
  </si>
  <si>
    <t>Concrete general</t>
  </si>
  <si>
    <r>
      <rPr>
        <rFont val="Calibri"/>
        <color theme="1"/>
        <sz val="12.0"/>
      </rPr>
      <t xml:space="preserve">Creation of MPA; </t>
    </r>
    <r>
      <rPr>
        <rFont val="Calibri"/>
        <color rgb="FFFF0000"/>
        <sz val="12.0"/>
      </rPr>
      <t>Boost the marine ecosystem and increase local fish catch</t>
    </r>
  </si>
  <si>
    <t>BFAR, PLGU</t>
  </si>
  <si>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</si>
  <si>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t>86-PH015514000-2008-Sexual Reproduction; Asexual Reproduction</t>
  </si>
  <si>
    <t>Site in BML; Closing the circle: is it feasible to rehabilitate reefs with sexually propagated corals</t>
  </si>
  <si>
    <t>CNU; "coral plug-in"</t>
  </si>
  <si>
    <t>86-PH015533000-2018-Artificial Reef</t>
  </si>
  <si>
    <t>Fish shelter and breeding ground</t>
  </si>
  <si>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</si>
  <si>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t>Fulgencio-Espanol, E. (2018, Jan. 31). Paglalagay ng artificial reef sa dagat sa Pangasinan, sinimulan na. ABS-CBN News. https://news.abs-cbn.com/news/01/31/18/paglalagay-ng-artificial-reef-sa-dagat-sa-pangasinan-sinimulan-na</t>
  </si>
  <si>
    <t>https://www.abs-cbn.com/news/nation/2025/2/5/ilang-device-na-gamit-umano-sa-pang-eespiya-nakuha-mula-sa-hinihinalang-chinese-spy-1912</t>
  </si>
  <si>
    <t>87-PH015514000-2006-Asexual Reproduction</t>
  </si>
  <si>
    <t>CNU; direct transplantation</t>
  </si>
  <si>
    <t>87-PH015542000-1985-Artificial Reef</t>
  </si>
  <si>
    <t>88-PH015514000-2015-Sexual Reproduction</t>
  </si>
  <si>
    <t>Effects of coral extracts on survivorship, swimming behavior and settlement of Pocillopora damicornis larvae</t>
  </si>
  <si>
    <t xml:space="preserve">University of the Philippines Diliman </t>
  </si>
  <si>
    <t>88-PH021523000-1986-Artificial Reef</t>
  </si>
  <si>
    <t>Stated as San Vicente municipality in Cagayan province in the literature but probably means Santa Ana</t>
  </si>
  <si>
    <t>89-PH015520000-1986-Artificial Reef</t>
  </si>
  <si>
    <t>89-PH037701000-2013-Asexual Reproduction</t>
  </si>
  <si>
    <t>12 CNUs; 17,588 COPs</t>
  </si>
  <si>
    <t>90-PH015521000-1981-Artificial Reef</t>
  </si>
  <si>
    <t>90-PH030802000-2013-Asexual Reproduction</t>
  </si>
  <si>
    <t>10 CNUs; 22,000 COPs</t>
  </si>
  <si>
    <t>91-PH015522000-2017-Artificial Reef</t>
  </si>
  <si>
    <t>91-PH030802000-2015-Asexual Reproduction</t>
  </si>
  <si>
    <t>92-PH015522000-2022-Artificial Reef</t>
  </si>
  <si>
    <t>Creation of MPA</t>
  </si>
  <si>
    <t>https://headtopics.com/ph/artificial-reefs-watch-tower-in-coastal-pangasinan-town-launched-24563096</t>
  </si>
  <si>
    <t>92-PH030806000-1990-Artificial Reef</t>
  </si>
  <si>
    <t>Fishing</t>
  </si>
  <si>
    <t>BFAR, DA, MLGU, BLGU</t>
  </si>
  <si>
    <t>93-PH015533000-2017-Artificial Reef</t>
  </si>
  <si>
    <t>93-PH030807000-1992-Artificial Reef</t>
  </si>
  <si>
    <t>94-PH015542000-1985-Artificial Reef</t>
  </si>
  <si>
    <t>94-PH030807000-Unknown-Asexual Reproduction</t>
  </si>
  <si>
    <t>95-PH021523000-1986-Artificial Reef</t>
  </si>
  <si>
    <t>95-PH030808000-2011-Artificial Reef</t>
  </si>
  <si>
    <t>96-PH037701000-Unknown-Asexual Reproduction</t>
  </si>
  <si>
    <t xml:space="preserve">Filipinnovation on Coral Reef Restoration </t>
  </si>
  <si>
    <t>96-PH030808000-2015-Artificial Reef</t>
  </si>
  <si>
    <t>Feature</t>
  </si>
  <si>
    <t>97-PH030802000-Unknown-Asexual Reproduction</t>
  </si>
  <si>
    <t>97-PH030808000-2017-Artificial Reef</t>
  </si>
  <si>
    <t>98-PH030802000-Unknown-Asexual Reproduction</t>
  </si>
  <si>
    <t>98-PH030808000-2022-Artificial Reef</t>
  </si>
  <si>
    <t>"GaREEFata"</t>
  </si>
  <si>
    <t>Habitat for coral and marine species</t>
  </si>
  <si>
    <t>99-PH030810000-Unknown-Artificial Reef</t>
  </si>
  <si>
    <t>99-PH030806000-1990-Artificial Reef</t>
  </si>
  <si>
    <t>100-PH037101000-Unknown-Artificial Reef</t>
  </si>
  <si>
    <t>100-PH030807000-Unknown-Artificial Reef</t>
  </si>
  <si>
    <t>101-PH037103000-1985-Artificial Reef</t>
  </si>
  <si>
    <t>101-PH030807000-Unknown-Asexual Reproduction</t>
  </si>
  <si>
    <t>102-PH037105000-2022-Sexual Reproduction; Asexual Reproduction</t>
  </si>
  <si>
    <t>Mead Foundation, UP MSI</t>
  </si>
  <si>
    <t>MLGU, DFAT</t>
  </si>
  <si>
    <t>MERF, University of Southern Cross, ACIAR</t>
  </si>
  <si>
    <t>102-PH030807000-2007-Artificial Reef</t>
  </si>
  <si>
    <t>Rehabilitate fish stocks; address illegal fishing</t>
  </si>
  <si>
    <t>BFAR 3</t>
  </si>
  <si>
    <t>Maritime Academy of Asia and the Pacific. Total Philippines, Liquigaz</t>
  </si>
  <si>
    <t>https://www.philstar.com/business/agriculture/2007/11/18/28085/building-new-home-fish-bataan</t>
  </si>
  <si>
    <t>103-PH037106000-2001-Asexual Reproduction</t>
  </si>
  <si>
    <t>103-PH030808000-2011-Artificial Reef</t>
  </si>
  <si>
    <t>104-PH030808000-2015-Artificial Reef</t>
  </si>
  <si>
    <t>104-PH037109000-Unknown-Artificial Reef</t>
  </si>
  <si>
    <t>105-PH030808000-2017-Artificial Reef</t>
  </si>
  <si>
    <t>105-PH037113000-2012-Artificial Reef</t>
  </si>
  <si>
    <t>106-PH030808000-2022-Artificial Reef</t>
  </si>
  <si>
    <t>106-PH037114000-2013-Asexual Reproduction</t>
  </si>
  <si>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</si>
  <si>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t>107-PH037103000-1985-Artificial Reef</t>
  </si>
  <si>
    <t>107-PH037114000-2015-Asexual Reproduction</t>
  </si>
  <si>
    <t>108-PH037114000-2012-Artificial Reef</t>
  </si>
  <si>
    <t>Enhance tourism</t>
  </si>
  <si>
    <t>108-PH037105000-2022-Asexual Reproduction</t>
  </si>
  <si>
    <t>An Integrated Approach to Marine Resource Conservation and Sustainable Fisheries Management, to Strengthen Coastal Communities in Zambales</t>
  </si>
  <si>
    <t>109-PH037105000-2022-Sexual Reproduction</t>
  </si>
  <si>
    <t>109-PH037114000-2021-Artificial Reef</t>
  </si>
  <si>
    <t>Fish sanctuary</t>
  </si>
  <si>
    <t>58 buds</t>
  </si>
  <si>
    <t>Aglibot, J. R. (2021, April 8). Beach resort in Subic Bay turns to artificial coral reefs to preserve marine ecosystem. https://newsinfo.inquirer.net/1416313/beach-resort-in-subic-bay-turns-to-artificial-coral-reefs-to-preserve-marine-ecosystem</t>
  </si>
  <si>
    <t>110-PH041003000-2022-Artificial Reef</t>
  </si>
  <si>
    <t>Site in Brgy Carenahan; inside MPA</t>
  </si>
  <si>
    <t>110-PH037106000-2001-Asexual Reproduction</t>
  </si>
  <si>
    <t>111-PH037109000-Unknown-Artificial Reef</t>
  </si>
  <si>
    <t>111-PH041005000-2002-Artificial Reef</t>
  </si>
  <si>
    <t>12.5 sq. m.</t>
  </si>
  <si>
    <t>112-PH037113000-2012-Artificial Reef</t>
  </si>
  <si>
    <t>112-PH041005000-2015-Artificial Reef</t>
  </si>
  <si>
    <t>100 sq. m.</t>
  </si>
  <si>
    <t>113-PH037114000-Unknown-Asexual Reproduction</t>
  </si>
  <si>
    <t>113-PH041006000-Unknown-Artificial Reef</t>
  </si>
  <si>
    <t>Mention of deploying artificial reef structures (made from wine bottles) as reef extensions; Also sank boat and old steel pipes</t>
  </si>
  <si>
    <t>Concrete structure, Metal structure, Synthetic material</t>
  </si>
  <si>
    <t>Concrete general, Glass bottles, Steel pipe, "Wreck structure (plane, boat)"</t>
  </si>
  <si>
    <r>
      <rPr>
        <rFont val="Calibri"/>
        <color theme="1"/>
        <sz val="12.0"/>
      </rPr>
      <t>Breeding ground</t>
    </r>
    <r>
      <rPr>
        <rFont val="Calibri"/>
        <color rgb="FFFF0000"/>
        <sz val="12.0"/>
      </rPr>
      <t xml:space="preserve"> for small fish and coral growth</t>
    </r>
    <r>
      <rPr>
        <rFont val="Calibri"/>
        <color theme="1"/>
        <sz val="12.0"/>
      </rPr>
      <t>; tourism</t>
    </r>
  </si>
  <si>
    <t>114-PH037114000-Unknown-Asexual Reproduction</t>
  </si>
  <si>
    <t>http://www.pcaarrd.dost.gov.ph/home/portal/index.php/quick-information-dispatch/2664-restoring-the-country-s-coral-reefs-through-filipinnovation</t>
  </si>
  <si>
    <t>114-PH041007000-1990-Artificial Reef</t>
  </si>
  <si>
    <t>Calaca</t>
  </si>
  <si>
    <t>BFAR, DA, MLGU, BLGU, FAs</t>
  </si>
  <si>
    <t>115-PH037114000-2012-Artificial Reef</t>
  </si>
  <si>
    <t>115-PH041008000-2019-Artificial Reef</t>
  </si>
  <si>
    <t>Shelter, food source, and breeding area for underwater wildlife</t>
  </si>
  <si>
    <t>BFAR, MGLU, CENRO, United States Navy</t>
  </si>
  <si>
    <t>https://mb.com.ph/2019/08/16/ph-us-join-forces-in-installing-artificial-reefs-in-calatagan-batangas/; https://www.philstar.com/headlines/2019/08/18/1944305/philippines-us-troops-install-artificial-habitat-reefs</t>
  </si>
  <si>
    <t>116-PH037114000-2021-Artificial Reef</t>
  </si>
  <si>
    <t>116-PH041008000-2022-Artificial Reef</t>
  </si>
  <si>
    <t>117-PH041008000-2018-Artificial Reef</t>
  </si>
  <si>
    <t>SCREMP</t>
  </si>
  <si>
    <t>Sites in Brgy Sta Ana, Tanagan and Brgy Hukay; coral nursery establishment project</t>
  </si>
  <si>
    <t>Concrete pyramid, Concrete jackstone, Concrete cube</t>
  </si>
  <si>
    <t>25M project for Calatagan</t>
  </si>
  <si>
    <t>De la Salle University, Pusod Inc.</t>
  </si>
  <si>
    <t>Samahan ng Mangingisda ng Brgy Hukay, Bataha for Nature Conservation Association (BANCA)</t>
  </si>
  <si>
    <t>117-PH042113000-Unknown-Artificial Reef</t>
  </si>
  <si>
    <t>118-PH041008000-Unknown-Artificial Reef</t>
  </si>
  <si>
    <t>118-PH041005000-2002-Artificial Reef</t>
  </si>
  <si>
    <t>2002</t>
  </si>
  <si>
    <t>Substrate for coral settlemennt and growth</t>
  </si>
  <si>
    <t>119-PH041005000-2015-Artificial Reef</t>
  </si>
  <si>
    <t>119-PH041013000-2017-Artificial Reef</t>
  </si>
  <si>
    <t>Concrete pyramid, Concrete cube</t>
  </si>
  <si>
    <t>120-PH041006000-Unknown-Artificial Reef</t>
  </si>
  <si>
    <t>Breeding ground; tourism</t>
  </si>
  <si>
    <t>120-PH041015000-2014-Artificial Reef</t>
  </si>
  <si>
    <t>Site in Brgys Olo-olo, Soloc and Malabrigo</t>
  </si>
  <si>
    <t>121-PH041007000-1990-Artificial Reef</t>
  </si>
  <si>
    <t>121-PH041015000-2015-Artificial Reef</t>
  </si>
  <si>
    <t>Site in Brgys Balibago and Biga</t>
  </si>
  <si>
    <t>122-PH041008000-2019-Artificial Reef</t>
  </si>
  <si>
    <t>Operation Pamalakaya</t>
  </si>
  <si>
    <t>122-PH041015000-2016-Artificial Reef</t>
  </si>
  <si>
    <t>123-PH041015000-2023-Sexual Reproduction; Asexual Reproduction</t>
  </si>
  <si>
    <r>
      <rPr>
        <rFont val="Calibri"/>
        <color rgb="FFFF0000"/>
        <sz val="12.0"/>
      </rPr>
      <t>Regional Coral Restoration and Appropriate Technologies for Larger-Scale Coral &amp; Fish Habitat Restoration in the Philippines and Australia</t>
    </r>
    <r>
      <rPr>
        <rFont val="Calibri"/>
        <color theme="1"/>
        <sz val="12.0"/>
      </rPr>
      <t xml:space="preserve"> </t>
    </r>
    <r>
      <rPr>
        <rFont val="Calibri"/>
        <color rgb="FFFF0000"/>
        <sz val="12.0"/>
      </rPr>
      <t>(FIS 2019/23)</t>
    </r>
  </si>
  <si>
    <r>
      <rPr>
        <rFont val="Calibri"/>
        <color theme="1"/>
        <sz val="12.0"/>
      </rPr>
      <t xml:space="preserve">Larval enhancement </t>
    </r>
    <r>
      <rPr>
        <rFont val="Calibri"/>
        <color rgb="FFFF0000"/>
        <sz val="12.0"/>
      </rPr>
      <t>and reseeding</t>
    </r>
  </si>
  <si>
    <t>UP MSI, MLGU</t>
  </si>
  <si>
    <t>123-PH041008000-2009-Artificial Reef</t>
  </si>
  <si>
    <t>124-PH041016000-2007-Artificial Reef</t>
  </si>
  <si>
    <t>Site in Anilao; 2 deployments</t>
  </si>
  <si>
    <t>124-PH041008000-2022-Artificial Reef</t>
  </si>
  <si>
    <t>Philippine Coast Guard Marine Environmental Protection Command</t>
  </si>
  <si>
    <t>https://ptvnews.ph/pcg-mepcom-installs-artificial-reefs-in-calatagan-batangas/</t>
  </si>
  <si>
    <t>125-PH041008000-2018-Artificial Reef</t>
  </si>
  <si>
    <t>https://brigadanews.ph/mga-artificial-reefs-sa-calatagan-batangas-habitat-na-ng-marine-lives/</t>
  </si>
  <si>
    <t>125-PH041016000-2017-Artificial Reef; Asexual Reproduction</t>
  </si>
  <si>
    <t>Artificial Reef; Asexual Reproduction</t>
  </si>
  <si>
    <t>Artificial reef, Direct transplantation</t>
  </si>
  <si>
    <t>Metal structure</t>
  </si>
  <si>
    <r>
      <rPr>
        <rFont val="Calibri"/>
        <color theme="1"/>
        <sz val="12.0"/>
      </rPr>
      <t xml:space="preserve">Transplantation; </t>
    </r>
    <r>
      <rPr>
        <rFont val="Calibri"/>
        <color rgb="FFFF0000"/>
        <sz val="12.0"/>
      </rPr>
      <t>AR art installations</t>
    </r>
  </si>
  <si>
    <t>Asexual Propagation; Substrate Enhancement</t>
  </si>
  <si>
    <t>126-PH041016000-2012-Asexual Reproduction</t>
  </si>
  <si>
    <t>126-PH041008000-Unknown-Asexual Reproduction</t>
  </si>
  <si>
    <t>*Mention of coral nursery establishment under the SCREMP Project of DENR</t>
  </si>
  <si>
    <t>http://pusod.org/pusod/verde-island-passage/</t>
  </si>
  <si>
    <t>127-PH041013000-2017-Artificial Reef</t>
  </si>
  <si>
    <t>127-PH041016000-2016-Artificial Reef</t>
  </si>
  <si>
    <r>
      <rPr>
        <rFont val="Calibri"/>
        <color rgb="FFFF0000"/>
        <sz val="12.0"/>
      </rPr>
      <t xml:space="preserve">Part of the Coral Restoration Field Laboratory; </t>
    </r>
    <r>
      <rPr>
        <rFont val="Calibri"/>
        <color theme="1"/>
        <sz val="12.0"/>
      </rPr>
      <t>MIPC corporate social responsibility program</t>
    </r>
  </si>
  <si>
    <r>
      <rPr>
        <rFont val="Calibri"/>
        <color theme="1"/>
        <sz val="12.0"/>
      </rPr>
      <t xml:space="preserve">Restore ecosystems; </t>
    </r>
    <r>
      <rPr>
        <rFont val="Calibri"/>
        <color rgb="FFFF0000"/>
        <sz val="12.0"/>
      </rPr>
      <t>Coral restoration; mitigate effects of climate change</t>
    </r>
  </si>
  <si>
    <t>25 Eco-MER units</t>
  </si>
  <si>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</si>
  <si>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t>128-PH041015000-2014-Artificial Reef</t>
  </si>
  <si>
    <t>128-PH041019000-2012-Artificial Reef; Asexual Reproduction</t>
  </si>
  <si>
    <t>Concrete block; transplantation</t>
  </si>
  <si>
    <t>Restore coral and marine environment</t>
  </si>
  <si>
    <t>Fostering Education and Environment for Development Inc. (FEED)</t>
  </si>
  <si>
    <r>
      <rPr>
        <rFont val="Calibri"/>
        <color theme="10"/>
        <sz val="12.0"/>
      </rPr>
      <t xml:space="preserve">https://manilaustimes.wordpress.com/2012/05/17/rotary-club-launches-adopt-a-coral-in-nasugbu/; </t>
    </r>
    <r>
      <rPr>
        <rFont val="Calibri (Body)"/>
        <color rgb="FFFF0000"/>
        <sz val="12.0"/>
        <u/>
      </rPr>
      <t>https://feed.org.ph/media-centre/press-releases-2015/adopt-a-coral-project-extends-its-outreach-through-feed/</t>
    </r>
  </si>
  <si>
    <t>129-PH041015000-2015-Artificial Reef</t>
  </si>
  <si>
    <t>129-PH041019000-2018-Artificial Reef</t>
  </si>
  <si>
    <r>
      <rPr>
        <rFont val="Calibri"/>
        <color theme="1"/>
        <sz val="12.0"/>
      </rPr>
      <t xml:space="preserve">De la Salle University, </t>
    </r>
    <r>
      <rPr>
        <rFont val="Calibri"/>
        <color rgb="FFFF0000"/>
        <sz val="12.0"/>
      </rPr>
      <t>Pusod Inc.</t>
    </r>
  </si>
  <si>
    <t>130-PH041015000-2016-Artificial Reef</t>
  </si>
  <si>
    <t>130-PH041022000-1984-Artificial Reef</t>
  </si>
  <si>
    <t>131-PH041016000-2017-Artificial Reef; Asexual Method</t>
  </si>
  <si>
    <t>Artificial Reef; Asexual Method</t>
  </si>
  <si>
    <t>131-PH041023000-1982-Artificial Reef</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</si>
  <si>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</si>
  <si>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132-PH041016000-Unknown-Asexual Reproduction</t>
  </si>
  <si>
    <t>40 CNUs/10,327 COPs</t>
  </si>
  <si>
    <t>132-PH041023000-1984-Artificial Reef</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</si>
  <si>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</si>
  <si>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133-PH041016000-2016-Artificial Reef</t>
  </si>
  <si>
    <t>Coral Restoration Field Laboratory</t>
  </si>
  <si>
    <t>Restore ecosystems</t>
  </si>
  <si>
    <t>MPIC, MLGU</t>
  </si>
  <si>
    <t>133-PH041023000-1984-Artificial Reef</t>
  </si>
  <si>
    <t>2 tire units</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</si>
  <si>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</si>
  <si>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134-PH041019000-2015-Artificial Reef; Asexual Method</t>
  </si>
  <si>
    <t>Coral planting</t>
  </si>
  <si>
    <t>Enhance marine life</t>
  </si>
  <si>
    <t>134-PH041023000-1985-Artificial Reef</t>
  </si>
  <si>
    <t>DENR-BMB (1990). The Philippine Environment in the Eighties. Department of Environment and Natural Resources-Biodiversity Management Bureau. https://www.ircwash.org/sites/default/files/802-PH90-8920.pdf</t>
  </si>
  <si>
    <t>135-PH041019000-2018-Artificial Reef</t>
  </si>
  <si>
    <t>Office of Sen. Loren Legarda</t>
  </si>
  <si>
    <t>MLGU, Pusod Inc.</t>
  </si>
  <si>
    <t>De la Salle University</t>
  </si>
  <si>
    <t>135-PH041023000-1992-Artificial Reef</t>
  </si>
  <si>
    <t>136-PH041022000-1984-Artificial Reef</t>
  </si>
  <si>
    <t>136-PH041023000-2012-Asexual Reproduction</t>
  </si>
  <si>
    <t>137-PH041023000-1982-Artificial Reef</t>
  </si>
  <si>
    <t>Calubcub II</t>
  </si>
  <si>
    <t>137-PH041033000-2018-Artificial Reef</t>
  </si>
  <si>
    <t>Concrete sculpture; statues</t>
  </si>
  <si>
    <t>Revive marine life, protect beach, boost ecoutourism</t>
  </si>
  <si>
    <t>DENR, MLGU, Philippine Navy</t>
  </si>
  <si>
    <t>138-PH042113000-1992-Artificial Reef</t>
  </si>
  <si>
    <t>138-PH041023000-1984-Artificial Reef</t>
  </si>
  <si>
    <t>139-PH042117000-2007-Artificial Reef</t>
  </si>
  <si>
    <t xml:space="preserve">Revitalize local fishing industry; home and spawning ground for marine life; </t>
  </si>
  <si>
    <r>
      <rPr>
        <rFont val="Calibri"/>
        <color theme="10"/>
        <sz val="12.0"/>
      </rPr>
      <t xml:space="preserve">https://www.thescubanews.com/2014/08/06/reefbud-technology-downsized-to-broaden-appeal/; </t>
    </r>
    <r>
      <rPr>
        <rFont val="Calibri (Body)"/>
        <color rgb="FFFF0000"/>
        <sz val="12.0"/>
        <u/>
      </rPr>
      <t>https://sites.google.com/a/islandecosystems.org/gics</t>
    </r>
  </si>
  <si>
    <t>139-PH041023000-1984-Artificial Reef</t>
  </si>
  <si>
    <t>140-PH045601000-1992-Artificial Reef</t>
  </si>
  <si>
    <t>140-PH041023000-1985-Artificial Reef</t>
  </si>
  <si>
    <t>141-PH045602000-2001-Asexual Reproduction</t>
  </si>
  <si>
    <t>141-PH041023000-Unknown-Artificial Reef</t>
  </si>
  <si>
    <t>142-PH045603000-1986-Artificial Reef</t>
  </si>
  <si>
    <t>142-PH041023000-Unknown-Asexual Reproduction</t>
  </si>
  <si>
    <t>22 CNUs/4,440 COPs</t>
  </si>
  <si>
    <t>143-PH045603000-1986-Artificial Reef</t>
  </si>
  <si>
    <t>143-PH041033000-2018-Artificial Reef</t>
  </si>
  <si>
    <t>Revive marine life, protect beach, boot ecoutourism</t>
  </si>
  <si>
    <t>144-PH045603000-2005-Artificial Reef</t>
  </si>
  <si>
    <r>
      <rPr>
        <rFont val="Calibri"/>
        <color theme="1"/>
        <sz val="12.0"/>
      </rPr>
      <t xml:space="preserve">Restore </t>
    </r>
    <r>
      <rPr>
        <rFont val="Calibri"/>
        <color rgb="FFFF0000"/>
        <sz val="12.0"/>
      </rPr>
      <t xml:space="preserve">local </t>
    </r>
    <r>
      <rPr>
        <rFont val="Calibri"/>
        <color theme="1"/>
        <sz val="12.0"/>
      </rPr>
      <t>fisheries</t>
    </r>
  </si>
  <si>
    <t>4 x 21 m</t>
  </si>
  <si>
    <t>Rotary Club of Madera, California</t>
  </si>
  <si>
    <t>144-PH041021000-2007-Artificial Reef</t>
  </si>
  <si>
    <t>REEForestation Using Recycled Waste Materials</t>
  </si>
  <si>
    <t>Experimental using recycled material</t>
  </si>
  <si>
    <t>https://sites.google.com/a/islandecosystems.org/gics</t>
  </si>
  <si>
    <t>145-PH045601000-Unknown-Artificial Reef</t>
  </si>
  <si>
    <t>145-PH045607000-1986-Artificial Reef</t>
  </si>
  <si>
    <t>146-PH045602000-2001-Asexual Reproduction</t>
  </si>
  <si>
    <t>146-PH045607000-1992-Artificial Reef</t>
  </si>
  <si>
    <t>https://core.ac.uk/download/pdf/6515223.pdf;</t>
  </si>
  <si>
    <t>147-PH045603000-1986-Artificial Reef</t>
  </si>
  <si>
    <t>147-PH045607000-1992-Artificial Reef</t>
  </si>
  <si>
    <t>148-PH045603000-1986-Artificial Reef</t>
  </si>
  <si>
    <t>148-PH045607000-1992-Artificial Reef</t>
  </si>
  <si>
    <t>149-PH045603000-2005-Artificial Reef</t>
  </si>
  <si>
    <t>Restore fisheries</t>
  </si>
  <si>
    <t>149-PH045607000-1992-Artificial Reef</t>
  </si>
  <si>
    <t>150-PH045607000-1986-Artificial Reef</t>
  </si>
  <si>
    <t>150-PH045607000-1992-Artificial Reef</t>
  </si>
  <si>
    <t>151-PH045607000-Unknown-Artificial Reef</t>
  </si>
  <si>
    <t>151-PH045607000-1992-Artificial Reef</t>
  </si>
  <si>
    <t>152-PH045607000-Unknown-Artificial Reef</t>
  </si>
  <si>
    <t>152-PH045616000-1992-Artificial Reef</t>
  </si>
  <si>
    <t>153-PH045607000-Unknown-Artificial Reef</t>
  </si>
  <si>
    <t>153-PH045619000-1986-Artificial Reef</t>
  </si>
  <si>
    <t>154-PH045607000-Unknown-Artificial Reef</t>
  </si>
  <si>
    <t>154-PH045620000-2001-Asexual Reproduction</t>
  </si>
  <si>
    <t>155-PH045607000-Unknown-Artificial Reef</t>
  </si>
  <si>
    <t>155-PH045622000-1986-Artificial Reef</t>
  </si>
  <si>
    <t>156-PH045607000-Unknown-Artificial Reef</t>
  </si>
  <si>
    <t>156-PH045624000-1992-Artificial Reef</t>
  </si>
  <si>
    <r>
      <rPr>
        <rFont val="Calibri"/>
        <color theme="1"/>
        <sz val="12.0"/>
      </rPr>
      <t xml:space="preserve">Lucena </t>
    </r>
    <r>
      <rPr>
        <rFont val="Calibri"/>
        <color rgb="FFFF0000"/>
        <sz val="12.0"/>
      </rPr>
      <t>City</t>
    </r>
  </si>
  <si>
    <t>Site stated as Mayao Castillo; now part of Lucena City</t>
  </si>
  <si>
    <t>157-PH045616000-Unknown-Artificial Reef</t>
  </si>
  <si>
    <t>157-PH045624000-1992-Artificial Reef</t>
  </si>
  <si>
    <r>
      <rPr>
        <rFont val="Calibri"/>
        <color theme="1"/>
        <sz val="12.0"/>
      </rPr>
      <t xml:space="preserve">Lucena </t>
    </r>
    <r>
      <rPr>
        <rFont val="Calibri"/>
        <color rgb="FFFF0000"/>
        <sz val="12.0"/>
      </rPr>
      <t>City</t>
    </r>
  </si>
  <si>
    <t>158-PH045619000-1986-Artificial Reef</t>
  </si>
  <si>
    <t>158-PH045625000-1992-Artificial Reef</t>
  </si>
  <si>
    <t>159-PH045633000-1992-Artificial Reef</t>
  </si>
  <si>
    <t>159-PH045619000-2016-Artificial Reef</t>
  </si>
  <si>
    <t>KALAHI-CIDSS Subproject</t>
  </si>
  <si>
    <t>MLGU, DOST</t>
  </si>
  <si>
    <t>https://m.facebook.com/dswdfo4a/photos/sa-proyektong-artificial-coral-reefs-ng-kalahi-cidss-naniniwala-ang-mga-mangingi/555459207949192/</t>
  </si>
  <si>
    <t>160-PH045620000-2001-Asexual Reproduction</t>
  </si>
  <si>
    <t>160-PH045633000-1992-Artificial Reef</t>
  </si>
  <si>
    <t>161-PH045622000-1986-Artificial Reef</t>
  </si>
  <si>
    <t>161-PH045633000-1992-Artificial Reef</t>
  </si>
  <si>
    <t>162-PH045624000-Unknown-Artificial Reef</t>
  </si>
  <si>
    <r>
      <rPr>
        <rFont val="Calibri"/>
        <color theme="1"/>
        <sz val="12.0"/>
      </rPr>
      <t xml:space="preserve">Lucena </t>
    </r>
    <r>
      <rPr>
        <rFont val="Calibri"/>
        <color rgb="FFFF0000"/>
        <sz val="12.0"/>
      </rPr>
      <t>City</t>
    </r>
  </si>
  <si>
    <t>162-PH045633000-1992-Artificial Reef</t>
  </si>
  <si>
    <t>163-PH045624000-Unknown-Artificial Reef</t>
  </si>
  <si>
    <r>
      <rPr>
        <rFont val="Calibri"/>
        <color theme="1"/>
        <sz val="12.0"/>
      </rPr>
      <t xml:space="preserve">Lucena </t>
    </r>
    <r>
      <rPr>
        <rFont val="Calibri"/>
        <color rgb="FFFF0000"/>
        <sz val="12.0"/>
      </rPr>
      <t>City</t>
    </r>
  </si>
  <si>
    <t>*Email sent to Reefs for Life; no response</t>
  </si>
  <si>
    <t>163-PH045634000-1992-Artificial Reef</t>
  </si>
  <si>
    <t>164-PH045625000-Unknown-Artificial Reef</t>
  </si>
  <si>
    <t>164-PH045635000-1986-Artificial Reef</t>
  </si>
  <si>
    <t>165-PH045635000-1986-Artificial Reef</t>
  </si>
  <si>
    <t>165-PH045637000-1992-Artificial Reef</t>
  </si>
  <si>
    <t>166-PH045633000-Unknown-Artificial Reef</t>
  </si>
  <si>
    <t>166-PH045637000-1992-Artificial Reef</t>
  </si>
  <si>
    <t>167-PH045633000-Unknown-Artificial Reef</t>
  </si>
  <si>
    <t>167-PH045646000-1992-Artificial Reef</t>
  </si>
  <si>
    <t>168-PH045633000-Unknown-Artificial Reef</t>
  </si>
  <si>
    <t>168-PH045649000-1992-Artificial Reef</t>
  </si>
  <si>
    <t>169-PH045633000-Unknown-Artificial Reef</t>
  </si>
  <si>
    <t>169-PH174002000-2021-Asexual Reproduction</t>
  </si>
  <si>
    <t>Reverse reef degradation and improve productivity of marine resources</t>
  </si>
  <si>
    <t>170-PH045634000-Unknown-Artificial Reef</t>
  </si>
  <si>
    <t>170-PH174005000-Unknown-Artificial Reef</t>
  </si>
  <si>
    <t>Sta. Cruz</t>
  </si>
  <si>
    <t>Site in Brgy Alobo; When the article was written, ARs were awaiting deployment</t>
  </si>
  <si>
    <t>171-PH045637000-Unknown-Artificial Reef</t>
  </si>
  <si>
    <t>171-PH174005000-Unknown-Artificial Reef</t>
  </si>
  <si>
    <t>Exact number of covered LGUs cannot be determined</t>
  </si>
  <si>
    <t>1989</t>
  </si>
  <si>
    <t>Concrete structure, Synthetic material, Natural material</t>
  </si>
  <si>
    <t>Tires, Concrete general, Bamboo</t>
  </si>
  <si>
    <t>tires, concrete, bamboo</t>
  </si>
  <si>
    <t>2,000 units</t>
  </si>
  <si>
    <t>172-PH045637000-Unknown-Artificial Reef</t>
  </si>
  <si>
    <t>172-PH174006000-2021-Asexual Reproduction</t>
  </si>
  <si>
    <t>173-PH045646000-Unknown-Artificial Reef</t>
  </si>
  <si>
    <t>173-PH175104000-Unknown-Asexual Reproduction</t>
  </si>
  <si>
    <t>174-PH045649000-Unknown-Artificial Reef</t>
  </si>
  <si>
    <t>174-PH175211000-2013-Artificial Reef</t>
  </si>
  <si>
    <t>Coral reef regeneration using innovative technology</t>
  </si>
  <si>
    <r>
      <rPr>
        <rFont val="Calibri"/>
        <sz val="12.0"/>
      </rPr>
      <t xml:space="preserve">https://sevenseasmedia.org/biri-initiative-story-on-coral-restoration/; </t>
    </r>
    <r>
      <rPr>
        <rFont val="Calibri"/>
        <color rgb="FFFF0000"/>
        <sz val="12.0"/>
        <u/>
      </rPr>
      <t>https://www.thescubanews.com/2014/08/06/reefbud-technology-downsized-to-broaden-appeal/</t>
    </r>
  </si>
  <si>
    <t>175-PH175301000-2023-Artificial Reef; Asexual Reproduction</t>
  </si>
  <si>
    <t>Artificial reef, Coral gardening</t>
  </si>
  <si>
    <t>Aborlan Tourism Office (2024, August 10). On August 6, 2024, a team led by Dr. Benjamin Gonzales together with BGERMC in collaboration with MENRO and MAO [Status Update]. Facebook. https://www.facebook.com/profile.php?id=61560256107542</t>
  </si>
  <si>
    <t>175-PH174002000-2021-Asexual Reproduction</t>
  </si>
  <si>
    <t>DOST; BFAR; DENR; PLGU; Marinduque State College</t>
  </si>
  <si>
    <t>176-PH175312000-2006-Artificial Reef</t>
  </si>
  <si>
    <t>Coral Reef Restoration and Education Program</t>
  </si>
  <si>
    <t>Site near Tres Marias</t>
  </si>
  <si>
    <t>Eco-Reefs (ceramic-based)</t>
  </si>
  <si>
    <t>Eco-Reefs; ceramic stoneware</t>
  </si>
  <si>
    <r>
      <rPr>
        <rFont val="Calibri"/>
        <color theme="1"/>
        <sz val="12.0"/>
      </rPr>
      <t xml:space="preserve">Eco-Reefs; </t>
    </r>
    <r>
      <rPr>
        <rFont val="Calibri"/>
        <color rgb="FFFF0000"/>
        <sz val="12.0"/>
      </rPr>
      <t>ceramic stoneware</t>
    </r>
  </si>
  <si>
    <r>
      <rPr>
        <rFont val="Calibri"/>
        <color theme="1"/>
        <sz val="12.0"/>
      </rPr>
      <t xml:space="preserve">Rehabilitate coral reefs; </t>
    </r>
    <r>
      <rPr>
        <rFont val="Calibri"/>
        <color rgb="FFFF0000"/>
        <sz val="12.0"/>
      </rPr>
      <t>marine life recruitment</t>
    </r>
  </si>
  <si>
    <t>https://www.ilink.ph/view.php?id=585; https://www.seacology.org/project/223-philippines/</t>
  </si>
  <si>
    <t>176-PH174006000-2021-Asexual Reproduction</t>
  </si>
  <si>
    <t>177-PH175316000-1985-Artificial Reef</t>
  </si>
  <si>
    <t>Puerto Princesa</t>
  </si>
  <si>
    <t>177-PH174005000-Unknown-Artificial Reef</t>
  </si>
  <si>
    <t>178-PH175316000-2014-Asexual Reproduction</t>
  </si>
  <si>
    <t>178-PH174005000-Unknown-Artificial Reef</t>
  </si>
  <si>
    <t>Sustained conservation and development of Calancan Bay and surrounding communities and processes and the improvement of overall environmental quality</t>
  </si>
  <si>
    <t>Reduce the impact of mine tailings from copper mining</t>
  </si>
  <si>
    <t>Marcopper Mining</t>
  </si>
  <si>
    <t>179-PH175104000-Unknown-Asexual Reproduction</t>
  </si>
  <si>
    <t>Commercial; Reseeding</t>
  </si>
  <si>
    <t>179-PH175319000-2011-Asexual Reproduction; Artificial Reef</t>
  </si>
  <si>
    <t>Asexual Reproduction; Artificial Reef</t>
  </si>
  <si>
    <t>Artificial reef, Direct transplantation, Substrate stabilisation</t>
  </si>
  <si>
    <t>Dome table, "Wreck structure (plane, boat)"</t>
  </si>
  <si>
    <r>
      <rPr>
        <rFont val="Calibri"/>
        <color theme="1"/>
        <sz val="12.0"/>
      </rPr>
      <t xml:space="preserve">Transplantation; </t>
    </r>
    <r>
      <rPr>
        <rFont val="Calibri"/>
        <color rgb="FFFF0000"/>
        <sz val="12.0"/>
      </rPr>
      <t>Rubble stabilizing structures, dome tables, wrecks</t>
    </r>
  </si>
  <si>
    <r>
      <rPr>
        <rFont val="Calibri"/>
        <color theme="1"/>
        <sz val="12.0"/>
      </rPr>
      <t xml:space="preserve">Transplantation; </t>
    </r>
    <r>
      <rPr>
        <rFont val="Calibri"/>
        <color rgb="FFFF0000"/>
        <sz val="12.0"/>
      </rPr>
      <t>Rubble stabilizing structures, dome tables, wrecks</t>
    </r>
  </si>
  <si>
    <r>
      <rPr>
        <rFont val="Calibri"/>
        <color theme="1"/>
        <sz val="12.0"/>
      </rPr>
      <t xml:space="preserve">Sustainable development of property; </t>
    </r>
    <r>
      <rPr>
        <rFont val="Calibri"/>
        <color rgb="FFFF0000"/>
        <sz val="12.0"/>
      </rPr>
      <t>reef rehabilitation</t>
    </r>
  </si>
  <si>
    <t>Development; Commercial</t>
  </si>
  <si>
    <t>180-PH175319000-2024-Sexual Reproduction</t>
  </si>
  <si>
    <r>
      <rPr>
        <rFont val="Calibri"/>
        <color theme="1"/>
        <sz val="12.0"/>
      </rPr>
      <t xml:space="preserve">Larval enhancement </t>
    </r>
    <r>
      <rPr>
        <rFont val="Calibri"/>
        <color rgb="FFFF0000"/>
        <sz val="12.0"/>
      </rPr>
      <t>and reseeding</t>
    </r>
  </si>
  <si>
    <t>180-PH175211000-2013-Artificial Reef</t>
  </si>
  <si>
    <t>Apple Dive Resort</t>
  </si>
  <si>
    <t>https://sevenseasmedia.org/biri-initiative-story-on-coral-restoration/</t>
  </si>
  <si>
    <t>181-PH175312000-2006-Artificial Reef</t>
  </si>
  <si>
    <t>"EcoReefs"</t>
  </si>
  <si>
    <t>Rehabilitate coral reefs</t>
  </si>
  <si>
    <t>El Nido Foundation, Seacology</t>
  </si>
  <si>
    <t>181-PH175320000-2017-Artificial Reef; Asexual Reproduction</t>
  </si>
  <si>
    <r>
      <rPr>
        <rFont val="Calibri"/>
        <color theme="1"/>
        <sz val="12.0"/>
      </rPr>
      <t xml:space="preserve">Sulu Reef Prosthesis; </t>
    </r>
    <r>
      <rPr>
        <rFont val="Calibri"/>
        <color rgb="FFFF0000"/>
        <sz val="12.0"/>
      </rPr>
      <t>coral transplantation</t>
    </r>
  </si>
  <si>
    <r>
      <rPr>
        <rFont val="Calibri"/>
        <color theme="1"/>
        <sz val="12.0"/>
      </rPr>
      <t xml:space="preserve">Sulu Reef Prosthesis; </t>
    </r>
    <r>
      <rPr>
        <rFont val="Calibri"/>
        <color rgb="FFFF0000"/>
        <sz val="12.0"/>
      </rPr>
      <t>coral transplantation</t>
    </r>
  </si>
  <si>
    <r>
      <rPr>
        <rFont val="Calibri"/>
        <color theme="1"/>
        <sz val="12.0"/>
      </rPr>
      <t xml:space="preserve">Restoration </t>
    </r>
    <r>
      <rPr>
        <rFont val="Calibri"/>
        <color rgb="FFFF0000"/>
        <sz val="12.0"/>
      </rPr>
      <t>of the degraded reef</t>
    </r>
  </si>
  <si>
    <t>178 m2</t>
  </si>
  <si>
    <t>Alessi, C., Pavi, T., Santo, M., Tardieu, F. &amp; Tardieu, C. (n.d.). Sulu-Reef Prosthesis, a new method to restore a degraded reef. https://sulubaai-foundation.com/wp-content/uploads/2019/07/Sulu-Reef-Prosthesis-a-new-method-in-restoration.pdf</t>
  </si>
  <si>
    <t>182-PH175909000-1985-Artificial Reef</t>
  </si>
  <si>
    <t>182-PH175316000-1985-Artificial Reef</t>
  </si>
  <si>
    <t>183-PH175913000-2013-Artificial Reef</t>
  </si>
  <si>
    <t>Shelter and breeding ground for fish</t>
  </si>
  <si>
    <t>10000PHP</t>
  </si>
  <si>
    <t>183-PH175316000-Unknown-Asexual Reproduction</t>
  </si>
  <si>
    <t>184-PH175319000-2011-Asexual Reproduction; Artificial Reef</t>
  </si>
  <si>
    <t>Sustainable development of property</t>
  </si>
  <si>
    <t>http://www.discovery.com.ph/palawan-cove.html</t>
  </si>
  <si>
    <t>184-PH050501000-2022-Asexual Reproduction</t>
  </si>
  <si>
    <r>
      <rPr>
        <rFont val="Calibri"/>
        <color theme="1"/>
        <sz val="12.0"/>
      </rPr>
      <t xml:space="preserve">CNU; </t>
    </r>
    <r>
      <rPr>
        <rFont val="Calibri"/>
        <color rgb="FFFF0000"/>
        <sz val="12.0"/>
      </rPr>
      <t>coral transplantation</t>
    </r>
  </si>
  <si>
    <r>
      <rPr>
        <rFont val="Calibri"/>
        <color theme="1"/>
        <sz val="12.0"/>
      </rPr>
      <t>Community awareness and protection</t>
    </r>
    <r>
      <rPr>
        <rFont val="Calibri"/>
        <color rgb="FFFF0000"/>
        <sz val="12.0"/>
      </rPr>
      <t xml:space="preserve"> of coral reefs</t>
    </r>
  </si>
  <si>
    <t>185-PH175320000-2016-Artificial Reef</t>
  </si>
  <si>
    <t>Restoration of coral reefs</t>
  </si>
  <si>
    <t>185-PH050506000-Unknown-Asexual Reproduction</t>
  </si>
  <si>
    <t>Legazpi City</t>
  </si>
  <si>
    <r>
      <rPr>
        <rFont val="Calibri"/>
        <color theme="1"/>
        <sz val="12.0"/>
      </rPr>
      <t xml:space="preserve">CNU; </t>
    </r>
    <r>
      <rPr>
        <rFont val="Calibri"/>
        <color rgb="FFFF0000"/>
        <sz val="12.0"/>
      </rPr>
      <t>coral transplantation</t>
    </r>
  </si>
  <si>
    <t>BFAR, BU, MCCF</t>
  </si>
  <si>
    <t>186-PH050506000-2023-Artificial Reef</t>
  </si>
  <si>
    <t>DZGBNewsOnline (2024, Oct. 14). The Naval Forces Southern Luzon (NFSL) has officially launched the 3rd Phase of its Artificial Reef Laying and Coral Restoration [Status Update]. https://www.facebook.com/photo.php?fbid=1006552911501040&amp;id=100064390224437&amp;set=a.600940552062280&amp;_rdc=2&amp;_rdr</t>
  </si>
  <si>
    <t>186-PH175909000-1985-Artificial Reef</t>
  </si>
  <si>
    <t>187-PH050510000-2018-Artificial Reef</t>
  </si>
  <si>
    <t>2 deployments in the same site (2018, 2013)</t>
  </si>
  <si>
    <r>
      <rPr>
        <rFont val="Calibri"/>
        <color theme="1"/>
        <sz val="12.0"/>
      </rPr>
      <t xml:space="preserve">BFAR </t>
    </r>
    <r>
      <rPr>
        <rFont val="Calibri"/>
        <color rgb="FFFF0000"/>
        <sz val="12.0"/>
      </rPr>
      <t>Region 5</t>
    </r>
  </si>
  <si>
    <t>187-PH050501000-2022-Asexual Reproduction</t>
  </si>
  <si>
    <t>Community awareness and protection</t>
  </si>
  <si>
    <t>188-PH050506000-Unknown-Asexual Reproduction</t>
  </si>
  <si>
    <t>Tourist attraction</t>
  </si>
  <si>
    <t>188-PH050513000-Unknown-Asexual Reproduction</t>
  </si>
  <si>
    <r>
      <rPr>
        <rFont val="Calibri"/>
        <color rgb="FFFF0000"/>
        <sz val="12.0"/>
      </rPr>
      <t>Iron bar dome CNU</t>
    </r>
    <r>
      <rPr>
        <rFont val="Calibri"/>
        <color theme="1"/>
        <sz val="12.0"/>
      </rPr>
      <t>; coral transplantation</t>
    </r>
  </si>
  <si>
    <t>Tourism and educational purposes</t>
  </si>
  <si>
    <t>189-PH050513000-Unknown-Asexual Reproduction</t>
  </si>
  <si>
    <t>Coral planting; CNU</t>
  </si>
  <si>
    <t>Bicol University - Tabaco Campu</t>
  </si>
  <si>
    <t>189-PH050516000-1983-Artificial Reef</t>
  </si>
  <si>
    <t>190-PH050516000-2013-Artificial Reef; Mineral accretion</t>
  </si>
  <si>
    <t>Artificial Reef; Mineral accretion</t>
  </si>
  <si>
    <t>Sites in Brgy San Vicente and Brgy Pandayan; The coral beads were implanted with 56 microsolar panels at the concrete structure, wires, lead conductor and glass jar</t>
  </si>
  <si>
    <t>Artificial reef, Mineral accretion</t>
  </si>
  <si>
    <t>Concrete structure, Microsolar panel implant</t>
  </si>
  <si>
    <r>
      <rPr>
        <rFont val="Calibri"/>
        <color theme="1"/>
        <sz val="12.0"/>
      </rPr>
      <t>Coral reef propagation and restoration;</t>
    </r>
    <r>
      <rPr>
        <rFont val="Calibri"/>
        <color rgb="FFFF0000"/>
        <sz val="12.0"/>
      </rPr>
      <t xml:space="preserve"> tourist attraction</t>
    </r>
  </si>
  <si>
    <t>Philippine Navy, PCG</t>
  </si>
  <si>
    <t>190-PH050516000-1983-Artificial Reef</t>
  </si>
  <si>
    <t>191-PH050517000-Unknown-Asexual Reproduction</t>
  </si>
  <si>
    <r>
      <rPr>
        <rFont val="Calibri"/>
        <color theme="1"/>
        <sz val="12.0"/>
      </rPr>
      <t xml:space="preserve">Tabaco </t>
    </r>
    <r>
      <rPr>
        <rFont val="Calibri"/>
        <color rgb="FFFF0000"/>
        <sz val="12.0"/>
      </rPr>
      <t>City</t>
    </r>
  </si>
  <si>
    <t>191-PH050517000-2016-Asexual Reproduction</t>
  </si>
  <si>
    <r>
      <rPr>
        <rFont val="Calibri"/>
        <color theme="1"/>
        <sz val="12.0"/>
      </rPr>
      <t xml:space="preserve">Tabaco </t>
    </r>
    <r>
      <rPr>
        <rFont val="Calibri"/>
        <color rgb="FFFF0000"/>
        <sz val="12.0"/>
      </rPr>
      <t>City</t>
    </r>
  </si>
  <si>
    <t>192-PH050518000-Unknown-Artificial Reef</t>
  </si>
  <si>
    <t>192-PH050518000-1992-Artificial Reef</t>
  </si>
  <si>
    <t>193-PH050518000-1990-Artificial Reef</t>
  </si>
  <si>
    <r>
      <rPr>
        <rFont val="Calibri"/>
        <color theme="1"/>
        <sz val="12.0"/>
      </rPr>
      <t xml:space="preserve">Fishing; </t>
    </r>
    <r>
      <rPr>
        <rFont val="Calibri"/>
        <color rgb="FFFF0000"/>
        <sz val="12.0"/>
      </rPr>
      <t>In response to allegations that power plants were causing diminishing fish catch</t>
    </r>
  </si>
  <si>
    <t>194-PH051605000-2021-Artificial Reef</t>
  </si>
  <si>
    <t>*Part of the celebration of Maritime and Archipelagic Awareness Month</t>
  </si>
  <si>
    <t>Frame</t>
  </si>
  <si>
    <r>
      <rPr>
        <rFont val="Calibri"/>
        <color rgb="FFFF0000"/>
        <sz val="12.0"/>
      </rPr>
      <t>Site in Calalanay Island</t>
    </r>
    <r>
      <rPr>
        <rFont val="Calibri"/>
        <color theme="1"/>
        <sz val="12.0"/>
      </rPr>
      <t>; Part of the celebration of Maritime and Archipelagic Awareness Month</t>
    </r>
  </si>
  <si>
    <t>Breding and spawning ground for fish</t>
  </si>
  <si>
    <t>195-PH051607000-Unknown-Artificial Reef</t>
  </si>
  <si>
    <t>195-PH051607000-1992-Artificial Reef</t>
  </si>
  <si>
    <t>196-PH051702000-Unknown-Artificial Reef</t>
  </si>
  <si>
    <t>196-PH051733000-Unknown-Artificial Reef</t>
  </si>
  <si>
    <t>1992</t>
  </si>
  <si>
    <t>Tires, concrete</t>
  </si>
  <si>
    <t>197-PH051702000-Unknown-Artificial Reef</t>
  </si>
  <si>
    <t>197-PH051711000-Unknown-Asexual Reproduction</t>
  </si>
  <si>
    <t>198-PH051712000-2021-Asexual Reproduction</t>
  </si>
  <si>
    <t>198-PH051711000-Unknown-Asexual Reproduction</t>
  </si>
  <si>
    <t>https://web.facebook.com/CaramoanCoralReefProject/photos/a.3514110111966651/5665048640206110/</t>
  </si>
  <si>
    <t>199-PH051727000-Unknown-Artificial Reef</t>
  </si>
  <si>
    <t>200-PH051727000-1989-Artificial Reef</t>
  </si>
  <si>
    <t>201-PH051727000-2020-Artificial Reef</t>
  </si>
  <si>
    <t>2020</t>
  </si>
  <si>
    <t>IFAD</t>
  </si>
  <si>
    <t>632 units</t>
  </si>
  <si>
    <t>MLGU, PNP</t>
  </si>
  <si>
    <t>Habitat for coral reef fishes; fisheries productivity</t>
  </si>
  <si>
    <t>202-PH051729000-2019-Asexual Reproduction</t>
  </si>
  <si>
    <t>US Peace Corps; DENR CENRO, BFAR</t>
  </si>
  <si>
    <t>203-PH051731000-Unknown-Artificial Reef</t>
  </si>
  <si>
    <t>203-PH051731000-1992-Artificial Reef</t>
  </si>
  <si>
    <t>204-PH051733000-1991-Artificial Reef</t>
  </si>
  <si>
    <t>Originally with PCAMRD</t>
  </si>
  <si>
    <t>Tires, concrete cubes and pyramid</t>
  </si>
  <si>
    <r>
      <rPr>
        <rFont val="Calibri"/>
        <color theme="1"/>
        <sz val="12.0"/>
      </rPr>
      <t>Tires, concrete</t>
    </r>
    <r>
      <rPr>
        <rFont val="Calibri"/>
        <color rgb="FFFF0000"/>
        <sz val="12.0"/>
      </rPr>
      <t xml:space="preserve"> cubes and pyramid</t>
    </r>
  </si>
  <si>
    <t>204-PH051735000-Unknown-Artificial Reef</t>
  </si>
  <si>
    <t>205-PH052008000-Unknown-Artificial Reef</t>
  </si>
  <si>
    <t>205-PH051735000-1992-Artificial Reef</t>
  </si>
  <si>
    <t>206-PH052011000-2024-Artificial Reef</t>
  </si>
  <si>
    <t>206-PH054101000-2017-Artificial Reef</t>
  </si>
  <si>
    <t>129 ha</t>
  </si>
  <si>
    <t>Reef Ball Foundation</t>
  </si>
  <si>
    <t>207-PH052008000-1992-Artificial Reef</t>
  </si>
  <si>
    <t>207-PH054109000-*Not indicated-Artificial Reef</t>
  </si>
  <si>
    <t>Artificial Reef Development Project</t>
  </si>
  <si>
    <t>Australian International Development Assistance Bureau (AIDAB)</t>
  </si>
  <si>
    <t>http://www.pemsea.org/sites/default/files/tc-v11n1.pdf</t>
  </si>
  <si>
    <t>208-PH054101000-2017-Artificial Reef</t>
  </si>
  <si>
    <t>208-PH054111000-Unknown-Asexual Reproduction</t>
  </si>
  <si>
    <t>Masbate City</t>
  </si>
  <si>
    <t>209-PH054111000-2018-Asexual Reproduction</t>
  </si>
  <si>
    <t>First approached by the Filipinnovation on Coral Reef Restoration. But supported by CHED</t>
  </si>
  <si>
    <t>209-PH054119000-1984-Artificial Reef</t>
  </si>
  <si>
    <t>210-PH054119000-Unknown-Artificial Reef</t>
  </si>
  <si>
    <t>Samar-Sea Ticao Pass Project</t>
  </si>
  <si>
    <t>210-PH054119000-1984-Artificial Reef</t>
  </si>
  <si>
    <t>211-PH054118000-Unknown-Asexual Reproduction</t>
  </si>
  <si>
    <t>211-PH054119000-Unknown-Artificial Reef</t>
  </si>
  <si>
    <t>"Brush parks"</t>
  </si>
  <si>
    <t>212-PH054118000-2013-Asexual Reproduction</t>
  </si>
  <si>
    <t>212-PH056216000-1985-Artificial Reef</t>
  </si>
  <si>
    <t>Sorsogon City</t>
  </si>
  <si>
    <r>
      <rPr>
        <rFont val="Calibri"/>
        <color theme="1"/>
      </rPr>
      <t xml:space="preserve">Site in Caricaran; </t>
    </r>
    <r>
      <rPr>
        <rFont val="Calibri"/>
        <color rgb="FFFF0000"/>
        <sz val="12.0"/>
      </rPr>
      <t>*Stated as Bacon in the literature, now part of Sorsogon City</t>
    </r>
  </si>
  <si>
    <t>213-PH056216000-1985-Artificial Reef</t>
  </si>
  <si>
    <r>
      <rPr>
        <rFont val="Calibri"/>
        <color theme="1"/>
      </rPr>
      <t xml:space="preserve">Site in Bato; </t>
    </r>
    <r>
      <rPr>
        <rFont val="Calibri"/>
        <color rgb="FFFF0000"/>
        <sz val="12.0"/>
      </rPr>
      <t>*Stated as Bacon in the literature, now part of Sorsogon City</t>
    </r>
  </si>
  <si>
    <t>Site in Caricaran; *Stated as Bacon in the literature, now part of Sorsogon City</t>
  </si>
  <si>
    <t>214-PH056216000-1986-Artificial Reef</t>
  </si>
  <si>
    <r>
      <rPr>
        <rFont val="Calibri"/>
        <color theme="1"/>
      </rPr>
      <t xml:space="preserve">Site in Gatbo; </t>
    </r>
    <r>
      <rPr>
        <rFont val="Calibri"/>
        <color rgb="FFFF0000"/>
        <sz val="12.0"/>
      </rPr>
      <t>*Stated as Bacon in the literature, now part of Sorsogon City</t>
    </r>
  </si>
  <si>
    <t>214-PH056216000-1985-Artificial Reef</t>
  </si>
  <si>
    <t>Site in Bato; *Stated as Bacon in the literature, now part of Sorsogon City</t>
  </si>
  <si>
    <t>215-PH056216000-1986-Artificial Reef</t>
  </si>
  <si>
    <r>
      <rPr>
        <rFont val="Calibri"/>
        <color theme="1"/>
      </rPr>
      <t xml:space="preserve">Site in Bon-ot; </t>
    </r>
    <r>
      <rPr>
        <rFont val="Calibri"/>
        <color rgb="FFFF0000"/>
        <sz val="12.0"/>
      </rPr>
      <t>*Stated as Bacon in the literature, now part of Sorsogon City</t>
    </r>
  </si>
  <si>
    <t>Site in Gatbo; *Stated as Bacon in the literature, now part of Sorsogon City</t>
  </si>
  <si>
    <t>216-PH056216000-1986-Artificial Reef</t>
  </si>
  <si>
    <r>
      <rPr>
        <rFont val="Calibri"/>
        <color theme="1"/>
      </rPr>
      <t>Site in Santa Lucia; *</t>
    </r>
    <r>
      <rPr>
        <rFont val="Calibri"/>
        <color rgb="FFFF0000"/>
        <sz val="12.0"/>
      </rPr>
      <t>Stated as Bacon in the literature, now part of Sorsogon City</t>
    </r>
  </si>
  <si>
    <t>Site in Bon-ot; *Stated as Bacon in the literature, now part of Sorsogon City</t>
  </si>
  <si>
    <t>217-PH056216000-1986-Artificial Reef</t>
  </si>
  <si>
    <r>
      <rPr>
        <rFont val="Calibri"/>
        <color theme="1"/>
      </rPr>
      <t xml:space="preserve">Site in Sawanga; </t>
    </r>
    <r>
      <rPr>
        <rFont val="Calibri"/>
        <color rgb="FFFF0000"/>
        <sz val="12.0"/>
      </rPr>
      <t>*Stated as Bacon in the literature, now part of Sorsogon City</t>
    </r>
  </si>
  <si>
    <t>Site in Santa Lucia; *Stated as Bacon in the literature, now part of Sorsogon City</t>
  </si>
  <si>
    <t>218-PH056205000-1986-Artificial Reef</t>
  </si>
  <si>
    <t>218-PH056216000-1986-Artificial Reef</t>
  </si>
  <si>
    <t>Site in Sawanga; *Stated as Bacon in the literature, now part of Sorsogon City</t>
  </si>
  <si>
    <t>219-PH056205000-1986-Artificial Reef</t>
  </si>
  <si>
    <t>219-PH060406000-2013-Artificial Reef</t>
  </si>
  <si>
    <t>Fish stock enhancement; fishing ground</t>
  </si>
  <si>
    <t>Millenium Challenge Corporation</t>
  </si>
  <si>
    <t>Compendium</t>
  </si>
  <si>
    <t>220-PH060404000-2017-Artificial Reef</t>
  </si>
  <si>
    <t>*Simultaneous deployment during celebration of Aklan Day 2017</t>
  </si>
  <si>
    <t>220-PH060406000-2022-Artificial Reef</t>
  </si>
  <si>
    <t>221-PH060406000-2013-Artificial Reef</t>
  </si>
  <si>
    <r>
      <rPr>
        <rFont val="Calibri"/>
        <color rgb="FFFF0000"/>
        <sz val="12.0"/>
      </rPr>
      <t>Address destructive fishing and declining fish catch</t>
    </r>
    <r>
      <rPr>
        <rFont val="Calibri"/>
        <color theme="1"/>
        <sz val="12.0"/>
      </rPr>
      <t xml:space="preserve">; Fish stock enhancement; fishing ground; </t>
    </r>
  </si>
  <si>
    <t>Compedium</t>
  </si>
  <si>
    <t>221-PH060412000-2022-Asexual Reproduction</t>
  </si>
  <si>
    <t>Preservation of Boracay Island</t>
  </si>
  <si>
    <t>https://www.manilawater.com/corporate/boracay-water/agos/2022-06-16/boracay-island-water-company-invests-in-marine-life</t>
  </si>
  <si>
    <t>222-PH060406000-2017-Artificial Reef</t>
  </si>
  <si>
    <t>222-PH060412000-2010-Asexual Reproduction</t>
  </si>
  <si>
    <t>223-PH060406000-2022-Artificial Reef</t>
  </si>
  <si>
    <t>223-PH060412000-2011-Artificial Reef</t>
  </si>
  <si>
    <t>224-PH060407000-Unknown-Artificial Reef</t>
  </si>
  <si>
    <t>AR already 14 years old by the time of survey in 2003</t>
  </si>
  <si>
    <t>224-PH060412000-Unknown-Artificial Reef</t>
  </si>
  <si>
    <t>(*Mention of Rotary Club Boracay installing "reefballs")</t>
  </si>
  <si>
    <t>225-PH060412000-2011-Unknown</t>
  </si>
  <si>
    <t>225-PH060412000-2003-Artificial Reef</t>
  </si>
  <si>
    <t>inside MPA</t>
  </si>
  <si>
    <t>226-PH060412000-Unknown-Asexual Reproduction</t>
  </si>
  <si>
    <t>https://noonbreakbalita.com/2016/4993/filipinnovation-to-effectively-restore-coral-reefs-in-the-philippines/</t>
  </si>
  <si>
    <t>226-PH060412000-2022-Asexual Reproduction</t>
  </si>
  <si>
    <t>227-PH060412000-2012-Artificial Reef</t>
  </si>
  <si>
    <t>https://sites.google.com/a/islandecosystems.org/gics; https://newsinfo.inquirer.net/140121/5000-%E2%80%98reefbuds%E2%80%99-to-repair-boracay%E2%80%99s-coral-reef-system</t>
  </si>
  <si>
    <t>227-PH060412000-2010-Asexual Reproduction</t>
  </si>
  <si>
    <t>coral nursery using PVC nets; established near Crocodile Island</t>
  </si>
  <si>
    <t>Artificial reef dome deployment in Boracay (2012, January 26). Gadgets Magazine. https://gadgetsmagazine.com.ph/technology/artificial-reef-dome-deployment-in-boracay</t>
  </si>
  <si>
    <t>228-PH060412000-Unknown-Asexual Reproduction</t>
  </si>
  <si>
    <t>228-PH060412000-2011-Artificial Reef</t>
  </si>
  <si>
    <t>coral nursery near Balinghai snorkeling area; reef domes in Boracay shoreline</t>
  </si>
  <si>
    <t>229-PH060412000-Unknown-Artificial Reef</t>
  </si>
  <si>
    <t>Official Website</t>
  </si>
  <si>
    <t>229-PH060417000-Unknown-Artificial Reef; Asexual Reproduction</t>
  </si>
  <si>
    <t>http://repository.seafdec.or.th/bitstream/handle/20.500.12067/882/DicksonAC2004.pdf;jsessionid=EEA396868A0490A721A5E9B77D356436?sequence=1; http://nrife.fra.affrc.go.jp/reprint/gyosyou%20ws.pdf</t>
  </si>
  <si>
    <t>230-PH060412000-Unknown-Asexual Reproduction</t>
  </si>
  <si>
    <t>230-PH060417000-Unknown-Asexual Reproduction</t>
  </si>
  <si>
    <t>231-PH060601000-Unknown-Asexual Reproduction</t>
  </si>
  <si>
    <t>231-PH060412000-2012-Artificial Reef</t>
  </si>
  <si>
    <t>232-PH060601000-2016-Unknown</t>
  </si>
  <si>
    <t>232-PH060412000-Unknown-Asexual Reproduction</t>
  </si>
  <si>
    <t>233-PH060414000-2017-Artificial Reef</t>
  </si>
  <si>
    <t>233-PH060606000-1994-Artificial Reef</t>
  </si>
  <si>
    <t>234-PH060415000-Unknown-Artificial Reef</t>
  </si>
  <si>
    <t>AR already 9 years old by the time of survey in 2003</t>
  </si>
  <si>
    <t>234-PH061914000-Unknown-Artificial Reef</t>
  </si>
  <si>
    <t>(*Mention of Roxas City receiving 1M from BFAR for installation of jackstone type Ars)</t>
  </si>
  <si>
    <t>235-PH060416000-2017-Artificial Reef</t>
  </si>
  <si>
    <t>*Simultaneous deployment during celebration of Aklan Day 2017; Site in Camanci Norte</t>
  </si>
  <si>
    <t>235-PH063001000-2004-Artificial Reef</t>
  </si>
  <si>
    <t>236-PH060417000-2003-Artificial Reef</t>
  </si>
  <si>
    <t>236-PH063001000-2014-Artificial Reef; Asexual Reproduction</t>
  </si>
  <si>
    <t>MLGU; UP Visayas</t>
  </si>
  <si>
    <t>237-PH063001000-1995-Artificial Reef</t>
  </si>
  <si>
    <t>237-PH060417000-Unknown-Artificial Reef; Asexual Reproduction</t>
  </si>
  <si>
    <t>238-PH063008000-Unknown-Artificial Reef</t>
  </si>
  <si>
    <t>238-PH060417000-2013-Asexual Reproduction</t>
  </si>
  <si>
    <t>239-PH060601000-2013-Asexual Reproduction</t>
  </si>
  <si>
    <t>Report uploaded in the Google Drive; https://savethephilippinecoralreefs.wordpress.com/2013/03/24/government-and-army-assist-with-coral-farming-on-nogas-coral-reefs/</t>
  </si>
  <si>
    <t>239-PH063009000-Unknown-Artificial Reef</t>
  </si>
  <si>
    <t>Artificial Reef, Fish Reservoir and Reforestation</t>
  </si>
  <si>
    <t>240-PH060601000-2016-Unknown</t>
  </si>
  <si>
    <t>240-PH063014000-2015-Artificial Reef</t>
  </si>
  <si>
    <t>News</t>
  </si>
  <si>
    <t>241-PH060602000-2015-Artificial Reef</t>
  </si>
  <si>
    <t>jackstone type</t>
  </si>
  <si>
    <t>DOLE, MLGU, BFAR</t>
  </si>
  <si>
    <t>241-PH063014000-2014-Artificial Reef; Asexual Reproduction</t>
  </si>
  <si>
    <t>242-PH060605000-2022-Artificial Reef</t>
  </si>
  <si>
    <t>Reefballs</t>
  </si>
  <si>
    <t>242-PH063015000-2014-Artificial Reef; Asexual Reproduction</t>
  </si>
  <si>
    <t>243-PH060606000-1994-Artificial Reef</t>
  </si>
  <si>
    <t>243-PH063019000-Unknown-Artificial Reef</t>
  </si>
  <si>
    <t>*Mention of deploying artificial reefs in three coastal barangays</t>
  </si>
  <si>
    <t>244-PH063020000-1985-Artificial Reef</t>
  </si>
  <si>
    <t>244-PH061914000-Unknown-Artificial Reef</t>
  </si>
  <si>
    <t>245-PH061915000-Unknown-Artificial Reef</t>
  </si>
  <si>
    <t>Sapian</t>
  </si>
  <si>
    <t>Site in Sapian Bay; located in the buffer zone of Sapian Bay MPA</t>
  </si>
  <si>
    <t>245-PH063034000-2013-Artificial Reef</t>
  </si>
  <si>
    <t>revive fishing; habitat of fish and marine resources</t>
  </si>
  <si>
    <t>246-PH063001000-2004-Artificial Reef</t>
  </si>
  <si>
    <t>246-PH063045000-2015-Artificial Reef</t>
  </si>
  <si>
    <t>247-PH063001000-2014-Artificial Reef; Asexual Reproduction</t>
  </si>
  <si>
    <t>3,400 live fragments; 600 jackstones</t>
  </si>
  <si>
    <t>247-PH063045000-2001-Asexual Reproduction</t>
  </si>
  <si>
    <t>248-PH063001000-1995-Artificial Reef</t>
  </si>
  <si>
    <t>248-PH184501000-1985-Artificial Reef</t>
  </si>
  <si>
    <t>PH184501000</t>
  </si>
  <si>
    <t>249-PH063008000-Unknown-Artificial Reef</t>
  </si>
  <si>
    <t>Asian Development Bank (2012). The Kalahi-CIDSS project in the Philippines: Sharing knowledge on community-driven development. Mandaluyong City, Philippines. https://www.adb.org/sites/default/files/publication/29878/kalahi-cidss-project-philippines.pdf</t>
  </si>
  <si>
    <t>249-PH184507000-2001-Asexual Reproduction</t>
  </si>
  <si>
    <t>PH184507000</t>
  </si>
  <si>
    <t>250-PH063009000-Unknown-Artificial Reef</t>
  </si>
  <si>
    <t>Crawford, B., Balgos, M., &amp; Pagdilao, C. (2000). Community-based Marine Sanctuaries in the Philippines: A Report on Focus Group Discussions. Coastal Resources Center, University of Rhode Island. https://www.crc.uri.edu/download/CB_000E.pdf</t>
  </si>
  <si>
    <t>250-PH101805000-Unknown-Artificial Reef</t>
  </si>
  <si>
    <t>tires, concrete</t>
  </si>
  <si>
    <t>251-PH063014000-2015-Artificial Reef</t>
  </si>
  <si>
    <t>251-PH184529000-*Not indicated-Artificial Reef</t>
  </si>
  <si>
    <t>PH184529000</t>
  </si>
  <si>
    <t>(*Mention of artificial reef installation in a DSWD all CDD report)</t>
  </si>
  <si>
    <t>252-PH063014000-2014-Artificial Reef; Asexual Reproduction</t>
  </si>
  <si>
    <t>252-PH071203000-Unknown-Asexual Reproduction</t>
  </si>
  <si>
    <t>253-PH063015000-2014-Artificial Reef; Asexual Reproduction</t>
  </si>
  <si>
    <t>253-PH071203000-2015-Asexual Reproduction</t>
  </si>
  <si>
    <t>Coral Transplantation Technology for Sustainable Fisheries and Underwater Tourism</t>
  </si>
  <si>
    <t>Research; Test difference on performance of coral transplantation after 1 year, and fish abundance in the reef</t>
  </si>
  <si>
    <t>30,000 COPs</t>
  </si>
  <si>
    <t>https://iserd.net/ijerd81/Volume8-1-10.pdf</t>
  </si>
  <si>
    <t>254-PH063015000-2015-Artificial Reef</t>
  </si>
  <si>
    <t>Site in near Pan de Azucar Island</t>
  </si>
  <si>
    <t>254-PH071210000-2001-Asexual Reproduction</t>
  </si>
  <si>
    <t>255-PH063019000-Unknown-Artificial Reef</t>
  </si>
  <si>
    <t>255-PH071211000-1986-Artificial Reef</t>
  </si>
  <si>
    <t>256-PH063020000-1985-Artificial Reef</t>
  </si>
  <si>
    <t>256-PH071233000-Unknown-Asexual Reproduction</t>
  </si>
  <si>
    <t>257-PH063034000-2013-Artificial Reef</t>
  </si>
  <si>
    <t>Artificial reefs dropped into Oton sea (2013, February 4). Sun Star. https://www.sunstar.com.ph/article/267935/artificial-reefs-dropped-into-oton-sea</t>
  </si>
  <si>
    <t>257-PH071235000-1995-Artificial Reef</t>
  </si>
  <si>
    <t>Pres. Carlos P. Garcia</t>
  </si>
  <si>
    <t>Mention of artificial reef deployment under the Small Islands Agricultural Support Services Program (SMISLE)</t>
  </si>
  <si>
    <t>258-PH063045000-2015-Artificial Reef</t>
  </si>
  <si>
    <t>258-PH071242000-1979-Artificial Reef</t>
  </si>
  <si>
    <t>Tagbilaran City</t>
  </si>
  <si>
    <t>1979</t>
  </si>
  <si>
    <t>259-PH063045000-2001-Asexual Reproduction</t>
  </si>
  <si>
    <t>259-PH072202000-2001-Asexual Reproduction</t>
  </si>
  <si>
    <t>260-PH071201000-Unknown-Artificial Reef</t>
  </si>
  <si>
    <t>Albuquerque</t>
  </si>
  <si>
    <t>Part of 300 artificial coral houses distributed in Bohol and Siquijor under SCREMP</t>
  </si>
  <si>
    <t>Reef recovery</t>
  </si>
  <si>
    <t>260-Unknown-2001-Asexual Reproduction</t>
  </si>
  <si>
    <t>(Municipality in Camotes - exact LGU not indicated in the report)</t>
  </si>
  <si>
    <t>261-PH071203000-2015-Asexual Reproduction</t>
  </si>
  <si>
    <t>261-PH072220000-2022-Asexual Reproduction</t>
  </si>
  <si>
    <t>262-PH071210000-2001-Asexual Reproduction</t>
  </si>
  <si>
    <t>262-PH072220000-2014-Sexual Reproduction</t>
  </si>
  <si>
    <t>263-PH071211000-1986-Artificial Reef</t>
  </si>
  <si>
    <t>263-PH072221000-2019-Mineral accretion; Asexual Reproduction</t>
  </si>
  <si>
    <t>Mineral accretion; Asexual Reproduction</t>
  </si>
  <si>
    <t>Coralive</t>
  </si>
  <si>
    <t>264-PH071228000-Unknown-Artificial Reef</t>
  </si>
  <si>
    <t>264-PH072226000-1979-Artificial Reef</t>
  </si>
  <si>
    <t>Lapu-Lapu City</t>
  </si>
  <si>
    <t>265-PH072226000-1982-Artificial Reef</t>
  </si>
  <si>
    <t>265-PH071233000-2013-Asexual Reproduction</t>
  </si>
  <si>
    <t>266-PH071233000-Unknown-Artificial Reef</t>
  </si>
  <si>
    <t>266-PH072226000-1997-Asexual Reproduction</t>
  </si>
  <si>
    <t>1997</t>
  </si>
  <si>
    <t>German Ministry of Environment; German Technical Cooperation</t>
  </si>
  <si>
    <t>2 ha</t>
  </si>
  <si>
    <t>267-PH071233000-Unknown-Asexual Reproduction</t>
  </si>
  <si>
    <t>267-PH072226000-Unknown-Asexual Reproduction</t>
  </si>
  <si>
    <t>CNU; Coral farming;</t>
  </si>
  <si>
    <t>*Being sold to resorts in Mactan</t>
  </si>
  <si>
    <t>International Marine Life Alliance; private resorts in Mactan Island</t>
  </si>
  <si>
    <t>268-PH072226000-Unknown-Asexual Reproduction; Artificial Reef</t>
  </si>
  <si>
    <t>Tourism; rehabilitation</t>
  </si>
  <si>
    <t>268-PH071235000-1995-Artificial Reef</t>
  </si>
  <si>
    <t>269-PH072226000-Unknown-Asexual Reproduction</t>
  </si>
  <si>
    <t>Coral  planting</t>
  </si>
  <si>
    <t>Tourism; CSR</t>
  </si>
  <si>
    <t>269-PH071242000-1979-Artificial Reef</t>
  </si>
  <si>
    <t>270-PH071243000-Unknown-Artificial Reef</t>
  </si>
  <si>
    <t>270-PH072226000-2010-Asexual Reproduction</t>
  </si>
  <si>
    <t>271-PH072202000-2001-Asexual Reproduction</t>
  </si>
  <si>
    <t>271-PH072226000-2014-Sexual Reproduction</t>
  </si>
  <si>
    <t>272-PH072203000-Unknown-Artificial Reef</t>
  </si>
  <si>
    <t>7 underwater sculptures</t>
  </si>
  <si>
    <t>272-PH072226000-2001-Asexual Reproduction</t>
  </si>
  <si>
    <t>273-PH072206000-Unknown-Artificial Reef</t>
  </si>
  <si>
    <t>Part of 345 artificial coral houses distributed in Cebu Province under SCREMP</t>
  </si>
  <si>
    <t>273-PH072232000-1986-Artificial Reef</t>
  </si>
  <si>
    <t>274-PH072204000-Unknown-Artificial Reef</t>
  </si>
  <si>
    <t>274-PH072234000-1990-Artificial Reef</t>
  </si>
  <si>
    <t>275-PH072207000-1988-Artificial Reef</t>
  </si>
  <si>
    <t>275-PH072242000-Unknown-Asexual Reproduction</t>
  </si>
  <si>
    <t>Pilot site for coral farming from Caw-oy Lapu-Lapu City</t>
  </si>
  <si>
    <t>Unpublished thesis</t>
  </si>
  <si>
    <t>276-PH072210000-Unknown-Artificial Reef</t>
  </si>
  <si>
    <t>276-PH072249000-1986-Artificial Reef</t>
  </si>
  <si>
    <t>277-PH072220000-2022-Asexual Reproduction</t>
  </si>
  <si>
    <t>277-PH072249000-1986-Artificial Reef</t>
  </si>
  <si>
    <t>278-PH184601000-Unknown-Artificial Reef</t>
  </si>
  <si>
    <t>PH184601000</t>
  </si>
  <si>
    <t>276 m2</t>
  </si>
  <si>
    <t>278-PH072220000-2014-Sexual Reproduction</t>
  </si>
  <si>
    <t>279-PH072220000-2024-Sexual Reproduction</t>
  </si>
  <si>
    <t>279-PH184603000-Unknown-Artificial Reef</t>
  </si>
  <si>
    <t>PH184603000</t>
  </si>
  <si>
    <t>210 m2</t>
  </si>
  <si>
    <t>280-PH072221000-2019-Artificial Reef; Mineral accretion; Asexual Reproduction</t>
  </si>
  <si>
    <t>Artificial Reef; Mineral accretion; Asexual Reproduction</t>
  </si>
  <si>
    <t>Artificial reef, Mineral accretion, Coral gardening</t>
  </si>
  <si>
    <t>, Tepanee Resort; Coralive</t>
  </si>
  <si>
    <t>280-PH184609000-Unknown-Artificial Reef</t>
  </si>
  <si>
    <t>PH184609000</t>
  </si>
  <si>
    <t>455 m2</t>
  </si>
  <si>
    <t>281-PH184609000-2022-Asexual Reproduction</t>
  </si>
  <si>
    <t>Atlantis Philippines Dive Resorts</t>
  </si>
  <si>
    <t>Coral Restoration Foundation</t>
  </si>
  <si>
    <t>https://atlantishotel.com/travel-specials/coral-restoration-project/</t>
  </si>
  <si>
    <t>281-PH072226000-1979-Artificial Reef</t>
  </si>
  <si>
    <t>282-PH184610000-Unknown-Artificial Reef</t>
  </si>
  <si>
    <t>Dumaguete</t>
  </si>
  <si>
    <t>PH184610000</t>
  </si>
  <si>
    <t>BPI Bayan</t>
  </si>
  <si>
    <t>282-PH072226000-1982-Artificial Reef</t>
  </si>
  <si>
    <t>283-PH184610000-1977-Artificial Reef</t>
  </si>
  <si>
    <t>1977</t>
  </si>
  <si>
    <t>283-PH072226000-1997-Asexual Reproduction</t>
  </si>
  <si>
    <t>Gomez, E., Cabaitan, P., &amp; Vicentuan, K. (2006). Coral culture and transplantation and restocking of giant clams in the Philippines. In J.H. Primavera, E.T. Quinitio, &amp; M. R. R. Eguia (Eds.). Proceedings of the Regional Technical Consultation on Stock Enh</t>
  </si>
  <si>
    <t>284-PH184610000-2001-Asexual Reproduction</t>
  </si>
  <si>
    <t>284-PH072226000-2014-Asexual Reproduction</t>
  </si>
  <si>
    <t>Coral transplantation; Artificial Reef</t>
  </si>
  <si>
    <t>Unpublished paper</t>
  </si>
  <si>
    <t>(PDF) INTEGRATING CORALS OF OPPORTUNITIES, ARTIFICIAL REEF SYSTEMS, AND MARINE PROTECTED AREAS: POTENTIALS FOR EXPANDING CORAL COVER (researchgate.net)</t>
  </si>
  <si>
    <t>285-PH184612000-Unknown-Artificial Reef</t>
  </si>
  <si>
    <t>PH184612000</t>
  </si>
  <si>
    <t>140 m2</t>
  </si>
  <si>
    <t>285-PH072226000-2014-Asexual Reproduction; Artificial Reef</t>
  </si>
  <si>
    <t>286-PH072226000-Unknown-Asexual Reproduction</t>
  </si>
  <si>
    <t>Coral  planting; artificial reef</t>
  </si>
  <si>
    <t>286-PH184617000-Unknown-Artificial Reef</t>
  </si>
  <si>
    <t>PH184617000</t>
  </si>
  <si>
    <t>420 m2</t>
  </si>
  <si>
    <t>287-PH072226000-2010-Asexual Reproduction</t>
  </si>
  <si>
    <t>Site in Suba Basbas, Lapu-Lapu City</t>
  </si>
  <si>
    <t>287-PH184619000-1986-Artificial Reef</t>
  </si>
  <si>
    <t>PH184619000</t>
  </si>
  <si>
    <t>288-PH072226000-2014-Sexual Reproduction</t>
  </si>
  <si>
    <t>288-PH184619000-Unknown-Artificial Reef</t>
  </si>
  <si>
    <t>630 m2</t>
  </si>
  <si>
    <t>289-PH072226000-2001-Asexual Reproduction</t>
  </si>
  <si>
    <t>289-PH184625000-1986-Artificial Reef</t>
  </si>
  <si>
    <t>PH184625000</t>
  </si>
  <si>
    <t>290-PH072226000-2024-Sexual Reproduction</t>
  </si>
  <si>
    <t>UP MSI, CLGU</t>
  </si>
  <si>
    <t>290-PH184625000-Unknown-Artificial Reef</t>
  </si>
  <si>
    <t>600 m2</t>
  </si>
  <si>
    <t>291-PH072232000-1986-Artificial Reef</t>
  </si>
  <si>
    <t>291-PH184625000-Unknown-Artificial Reef</t>
  </si>
  <si>
    <t>292-PH072234000-1990-Artificial Reef</t>
  </si>
  <si>
    <t>292-PH184625000-Unknown-Artificial Reef</t>
  </si>
  <si>
    <t>815 m2</t>
  </si>
  <si>
    <t>293-PH072235000-2022-Artificial Reef</t>
  </si>
  <si>
    <t>Kalahi-CIDSS</t>
  </si>
  <si>
    <t>P881,800.00</t>
  </si>
  <si>
    <t>82,500 sq m</t>
  </si>
  <si>
    <t>293-PH082604000-1986-Artificial Reef</t>
  </si>
  <si>
    <t>294-PH072242000-2000-Asexual Reproduction</t>
  </si>
  <si>
    <t>Site in Brgy Consuelo; Pilot site for coral farming from Caw-oy Lapu-Lapu City</t>
  </si>
  <si>
    <t>0.1ha</t>
  </si>
  <si>
    <t>294-PH082609000-1995-Asexual Reproduction</t>
  </si>
  <si>
    <t>295-PH072242000-2001-Asexual Reproduction</t>
  </si>
  <si>
    <t>Camotes site in source material</t>
  </si>
  <si>
    <t>295-PH082612000-2001-Asexual Reproduction</t>
  </si>
  <si>
    <t>296-PH072249000-1986-Artificial Reef</t>
  </si>
  <si>
    <t>296-PH082612000-2013-Asexual Reproduction</t>
  </si>
  <si>
    <t>297-PH072249000-1986-Artificial Reef</t>
  </si>
  <si>
    <t>297-PH082612000-2013-Asexual Reproduction</t>
  </si>
  <si>
    <t>298-PH072252000-Unknown-Artificial Reef</t>
  </si>
  <si>
    <t>298-PH082619000-Unknown-Artificial Reef</t>
  </si>
  <si>
    <t xml:space="preserve">Mentioned in the Oxfam Report that there were artificial reefs in Salcedo; </t>
  </si>
  <si>
    <t>299-PH082604000-1986-Artificial Reef</t>
  </si>
  <si>
    <t>299-PH082618000-2013-Asexual Reproduction</t>
  </si>
  <si>
    <t>300-PH084802000-2013-Artificial Reef</t>
  </si>
  <si>
    <t>300-PH082609000-1995-Asexual Reproduction</t>
  </si>
  <si>
    <t>301-PH084802000-2017-Asexual Reproduction</t>
  </si>
  <si>
    <t>301-PH082612000-2001-Asexual Reproduction</t>
  </si>
  <si>
    <t>302-PH082612000-2013-Asexual Reproduction</t>
  </si>
  <si>
    <t>Anticamara, J. A., &amp; Tan, B. C. (2018). Survival and growth of re-attached storm-generated coral fragments post super typhoon Haiyan (a.k.a. Yolanda). Science Diliman, 30(2), 5-31. https://journals.upd.edu.ph/index.php/sciencediliman/article/download/6423/5632</t>
  </si>
  <si>
    <t>302-PH084802000-2006-Artificial Reef</t>
  </si>
  <si>
    <t>303-PH083703000-Unknown-Artificial Reef</t>
  </si>
  <si>
    <t>303-PH082612000-2013-Asexual Reproduction</t>
  </si>
  <si>
    <t>304-PH083705000-Unknown-Artificial Reef</t>
  </si>
  <si>
    <t>304-PH082619000-Unknown-Artificial Reef</t>
  </si>
  <si>
    <t>305-PH082620000-Unknown-Artificial Reef</t>
  </si>
  <si>
    <t>305-PH083705000-Unknown-Artificial Reef</t>
  </si>
  <si>
    <t>306-PH083714000-Unknown-Artificial Reef</t>
  </si>
  <si>
    <t>306-PH082618000-2013-Asexual Reproduction</t>
  </si>
  <si>
    <t>307-PH083703000-1992-Artificial Reef</t>
  </si>
  <si>
    <t>307-PH083715000-1986-Artificial Reef</t>
  </si>
  <si>
    <t>308-PH083705000-1992-Artificial Reef</t>
  </si>
  <si>
    <t>308-PH083715000-Unknown-Artificial Reef</t>
  </si>
  <si>
    <t>309-PH083705000-1992-Artificial Reef</t>
  </si>
  <si>
    <t>309-PH083715000-Unknown-Artificial Reef</t>
  </si>
  <si>
    <t>310-PH083707000-1996-Artificial Reef</t>
  </si>
  <si>
    <t>310-PH083729000-Unknown-Artificial Reef</t>
  </si>
  <si>
    <t>311-PH083714000-1992-Artificial Reef</t>
  </si>
  <si>
    <t>311-PH083738000-Unknown-Artificial Reef</t>
  </si>
  <si>
    <t>312-PH083715000-1986-Artificial Reef</t>
  </si>
  <si>
    <t>312-PH083739000-Unknown-Artificial Reef</t>
  </si>
  <si>
    <t>313-PH083715000-1992-Artificial Reef</t>
  </si>
  <si>
    <t>313-PH083747000-Unknown-Artificial Reef</t>
  </si>
  <si>
    <t>Tacloban City</t>
  </si>
  <si>
    <t>314-PH083715000-1992-Artificial Reef</t>
  </si>
  <si>
    <t>314-PH086410000-Unknown-Asexual Reproduction</t>
  </si>
  <si>
    <t>315-PH083729000-1992-Artificial Reef</t>
  </si>
  <si>
    <t>315-PH086410000-2014-Artificial Reef</t>
  </si>
  <si>
    <t>316-PH083738000-1992-Artificial Reef</t>
  </si>
  <si>
    <t>316-PH086410000-Unknown-Asexual Reproduction</t>
  </si>
  <si>
    <t>Coral planting; coral transplantation</t>
  </si>
  <si>
    <t>317-PH086410000-2019-Artificial Reef</t>
  </si>
  <si>
    <t>Macropodia modules</t>
  </si>
  <si>
    <t>Blue pipe</t>
  </si>
  <si>
    <t>317-PH083739000-1992-Artificial Reef</t>
  </si>
  <si>
    <t>318-PH086410000-2020-Artificial Reef</t>
  </si>
  <si>
    <t>Sea urchin module</t>
  </si>
  <si>
    <t>318-PH083747000-1992-Artificial Reef</t>
  </si>
  <si>
    <t>319-PH084802000-2013-Artificial Reef</t>
  </si>
  <si>
    <t>319-PH086416000-2022-Artificial Reef</t>
  </si>
  <si>
    <t>Millepora module prototype</t>
  </si>
  <si>
    <t>320-PH084802000-2017-Asexual Reproduction</t>
  </si>
  <si>
    <t>320-PH086417000-Unknown-Artificial Reef</t>
  </si>
  <si>
    <r>
      <rPr>
        <rFont val="Calibri"/>
        <color theme="1"/>
      </rPr>
      <t xml:space="preserve">Site in San Jose; </t>
    </r>
    <r>
      <rPr>
        <rFont val="Calibri"/>
        <color rgb="FFFF0000"/>
        <sz val="12.0"/>
      </rPr>
      <t>*Stated as San Jose municipality in the literature but most likely means San Jose barangay which is part of Sogod town</t>
    </r>
  </si>
  <si>
    <t>321-PH097201000-1987-Artificial Reef</t>
  </si>
  <si>
    <t>Dapitan</t>
  </si>
  <si>
    <t>19987</t>
  </si>
  <si>
    <t>321-PH086402000-Unknown-Artificial Reef</t>
  </si>
  <si>
    <t>322-PH097201000-1987-Artificial Reef</t>
  </si>
  <si>
    <t>322-PH086409000-2017-Asexual Reproduction</t>
  </si>
  <si>
    <t>40 fragments</t>
  </si>
  <si>
    <t>Individual / Student project</t>
  </si>
  <si>
    <t>323-PH097201000-1987-Artificial Reef</t>
  </si>
  <si>
    <t>323-PH086410000-2013-Asexual Reproduction</t>
  </si>
  <si>
    <t>324-PH097211000-2021-Artificial Reef</t>
  </si>
  <si>
    <t xml:space="preserve">**BFAR conducted Participatory Coastal Resource Assessment for the installation of artificial reefs in 2021 yet there are no articles stating that the installation was pushed through </t>
  </si>
  <si>
    <t>324-PH086410000-2014-Artificial Reef</t>
  </si>
  <si>
    <t>Amazona, R. (n.d.). Artificial reefs revive marine life in Southern Leyte. http://www.cebu-philippines.net/marine-life-in-southern-leyte.html</t>
  </si>
  <si>
    <t>325-PH097322000-2021-Artificial Reef</t>
  </si>
  <si>
    <t>Pagadian</t>
  </si>
  <si>
    <t xml:space="preserve">*There are tourism-related articles posted prior to 2021 which mentioned artificial reef sites in Pagadian, yet there are no official documents stating any submerging activity conducted by LGUs/organizations </t>
  </si>
  <si>
    <t>325-PH086410000-Unknown-Asexual Reproduction</t>
  </si>
  <si>
    <t>Coral restoration Sogod Bay Southern Leyte Philippines | Padre Burgos | Facebook</t>
  </si>
  <si>
    <t>326-PH097322000-2021-Artificial Reef</t>
  </si>
  <si>
    <t>JCI Greater Pagadian</t>
  </si>
  <si>
    <t xml:space="preserve">Abdkt Freedive Team Strong Scuba </t>
  </si>
  <si>
    <t>326-PH086410000-2019-Artificial Reef</t>
  </si>
  <si>
    <t>pipe</t>
  </si>
  <si>
    <t>327-PH097332000-Unknown-Asexual Reproduction</t>
  </si>
  <si>
    <t>Zamboanga City</t>
  </si>
  <si>
    <t>327-PH086410000-2018-Artificial Reef</t>
  </si>
  <si>
    <t>328-PH097332000-2020-Artificial Reef</t>
  </si>
  <si>
    <t>328-PH086416000-2022-Artificial Reef</t>
  </si>
  <si>
    <t>329-PH086417000-1992-Artificial Reef</t>
  </si>
  <si>
    <t>Site in San Jose; *Stated as San Jose municipality in the literature but most likely means San Jose barangay which is part of Sogod town</t>
  </si>
  <si>
    <t>329-PH101802000-Unknown-Asexual Reproduction</t>
  </si>
  <si>
    <t>330-PH086418000-2016-Asexual Reproduction</t>
  </si>
  <si>
    <t>Site inside fish sanctuary Brgy San Antonio; Used staghorn coral specie (Acropora cervicornis)</t>
  </si>
  <si>
    <t>0.5ha</t>
  </si>
  <si>
    <r>
      <rPr>
        <rFont val="Calibri"/>
        <color theme="1"/>
        <sz val="12.0"/>
      </rPr>
      <t>Scaph Pro Philippines;</t>
    </r>
    <r>
      <rPr>
        <rFont val="Calibri"/>
        <color rgb="FFFF0000"/>
        <sz val="12.0"/>
      </rPr>
      <t xml:space="preserve"> Life Time Dive Center</t>
    </r>
  </si>
  <si>
    <t>330-PH101802000-2013-Artificial Reef</t>
  </si>
  <si>
    <t>331-PH097201000-1987-Artificial Reef</t>
  </si>
  <si>
    <t>331-PH101803000-2021-Artificial Reef</t>
  </si>
  <si>
    <t>Scaling-Up of Coastal and Marine Ecosystem Management Program</t>
  </si>
  <si>
    <t xml:space="preserve">MLGU; PNP; </t>
  </si>
  <si>
    <t>Ajis Aqua Sports &amp; Beach Resort, Buddy Dive Center, JEJORS Construction Corporation</t>
  </si>
  <si>
    <t>https://pro10.pnp.gov.ph/pro10/index.php/56-activities/339-installation-of-artificial-coral-reefs-at-mantigue-island-camiguin</t>
  </si>
  <si>
    <t>332-PH097201000-1987-Artificial Reef</t>
  </si>
  <si>
    <t>332-PH101804000-2019-Asexual Reproduction</t>
  </si>
  <si>
    <t>333-PH097201000-1987-Artificial Reef</t>
  </si>
  <si>
    <t>333-PH101804000-2013-Artificial Reef</t>
  </si>
  <si>
    <t>334-PH097322000-Unknown-Artificial Reef</t>
  </si>
  <si>
    <t>Tourism-related articles which mentioned artificial reef sites in Dao-Dao Island</t>
  </si>
  <si>
    <t>334-PH104205000-Unknown-Artificial Reef</t>
  </si>
  <si>
    <t>335-PH097322000-2021-Artificial Reef</t>
  </si>
  <si>
    <t>335-PH104210000-1986-Artificial Reef</t>
  </si>
  <si>
    <t>Ozamiz</t>
  </si>
  <si>
    <t>336-PH097332000-2015-Asexual Reproduction</t>
  </si>
  <si>
    <t>336-PH104210000-Unknown-Artificial Reef</t>
  </si>
  <si>
    <r>
      <rPr>
        <rFont val="Calibri"/>
        <color theme="1"/>
        <sz val="12.0"/>
      </rPr>
      <t xml:space="preserve">Ozamis </t>
    </r>
    <r>
      <rPr>
        <rFont val="Calibri"/>
        <color rgb="FFFF0000"/>
        <sz val="12.0"/>
      </rPr>
      <t>City</t>
    </r>
  </si>
  <si>
    <t>337-PH097332000-2020-Artificial Reef</t>
  </si>
  <si>
    <t>2 modules</t>
  </si>
  <si>
    <t xml:space="preserve">CLGU, PAMU, ZCSMST, DENR </t>
  </si>
  <si>
    <t>RPN (2020, November 16). Navy Frogmen Laid Artificial Coral Reefs to Protect Pink Sand Sta Cruz Island in Zamboanga. RPN Radio. https://rpnradio.com/navy-frogmen-laid-artificial-coral-reefs-to-protect-pink-sand-sta-cruz-island-in-zamboanga/</t>
  </si>
  <si>
    <t>337-PH104214000-2001-Asexual Reproduction</t>
  </si>
  <si>
    <t>338-PH101802000-2015-Asexual Reproduction</t>
  </si>
  <si>
    <t>338-PH104215000--Artificial Reef</t>
  </si>
  <si>
    <t>Tangub</t>
  </si>
  <si>
    <t>1993</t>
  </si>
  <si>
    <t>339-PH101802000-2013-Artificial Reef</t>
  </si>
  <si>
    <t>339-PH104303000-Unknown-Unknown</t>
  </si>
  <si>
    <t>*A resort claims to have artificial reefs but there are no articles documenting any artificial reef project in the municipality</t>
  </si>
  <si>
    <t>340-PH104305000-2021-Artificial Reef</t>
  </si>
  <si>
    <t>Cagayan de Oro City</t>
  </si>
  <si>
    <t>Rotary Club West CDO;</t>
  </si>
  <si>
    <t xml:space="preserve">Rotaract West CDO; </t>
  </si>
  <si>
    <t>340-PH101803000-2021-Artificial Reef</t>
  </si>
  <si>
    <r>
      <rPr>
        <rFont val="Calibri"/>
        <color theme="1"/>
        <sz val="12.0"/>
      </rPr>
      <t xml:space="preserve">PNP Regional Office 10, </t>
    </r>
    <r>
      <rPr>
        <rFont val="Calibri"/>
        <color rgb="FFFF0000"/>
        <sz val="12.0"/>
      </rPr>
      <t>PLGU</t>
    </r>
  </si>
  <si>
    <t>341-PH104305000-2016-Artificial Reef</t>
  </si>
  <si>
    <t>Ocean rehabilitation</t>
  </si>
  <si>
    <t>Bugo National High School</t>
  </si>
  <si>
    <t>Maria Therisa Mabalos / Bugo National High School</t>
  </si>
  <si>
    <t>341-PH101804000-2019-Asexual Reproduction</t>
  </si>
  <si>
    <t>342-PH104310000-1986-Artificial Reef</t>
  </si>
  <si>
    <t>342-PH101804000-2013-Artificial Reef</t>
  </si>
  <si>
    <t>300 units between Mambajao and Guinsiliban</t>
  </si>
  <si>
    <t>343-PH104311000-Unknown-Artificial Reef</t>
  </si>
  <si>
    <t>Agutayan Artificial Reef Project</t>
  </si>
  <si>
    <t>https://cbartazo.com/tag/agutayan-island/; https://www.philstar.com/business/business-as-usual/2008/08/25/81412/rudy-trillanes-coffee-man</t>
  </si>
  <si>
    <t>343-PH103507000-1986-Artificial Reef</t>
  </si>
  <si>
    <t>344-PH103507000-1986-Artificial Reef</t>
  </si>
  <si>
    <t>344-PH104314000-2022-Asexual Reproduction</t>
  </si>
  <si>
    <t>Earth Day 2022 celebration of Ports Management Office, CDO</t>
  </si>
  <si>
    <t>Coast Guard Northern Mindanao</t>
  </si>
  <si>
    <t>345-PH103510000-2008-Artificial Reef; Asexual Reproduction</t>
  </si>
  <si>
    <t>Biodiversity enhancement project under the NRM program of the Mindanao Rural Development Project (MRDP)</t>
  </si>
  <si>
    <t>3.23 million</t>
  </si>
  <si>
    <t>345-PH104318000-2005-Artificial Reef</t>
  </si>
  <si>
    <t>346-PH103512000-1993-Artificial Reef</t>
  </si>
  <si>
    <t>346-PH104319000-Unknown-Artificial Reef</t>
  </si>
  <si>
    <t>*Artificial structure installed by the resort for SCUBA tourism</t>
  </si>
  <si>
    <t>347-PH103512000-1993-Artificial Reef</t>
  </si>
  <si>
    <t>Site in Sogapod; *Stated as Sogapod in the lit but this is a barangay which is part of the municipality of Maigo</t>
  </si>
  <si>
    <t>347-PH104319000-2017-Artificial Reef</t>
  </si>
  <si>
    <t>Attraction</t>
  </si>
  <si>
    <t>348-PH104205000-1992-Artificial Reef</t>
  </si>
  <si>
    <t>348-PH104319000-Unknown-Asexual Reproduction</t>
  </si>
  <si>
    <t>Shore it Up</t>
  </si>
  <si>
    <t>*MPIC project also mentions artificial reef installation but could not find more information</t>
  </si>
  <si>
    <t>https://www.philstar.com/other-sections/starweek-magazine/2019/05/05/1915171/shoring-medina; https://businessmirror.com.ph/2017/04/23/shoring-up-marine-restoration/</t>
  </si>
  <si>
    <t>349-PH104319000-Unknown-Asexual Reproduction</t>
  </si>
  <si>
    <t>Acanthasia Project</t>
  </si>
  <si>
    <t>349-PH104210000-Unknown-Artificial Reef</t>
  </si>
  <si>
    <r>
      <rPr>
        <rFont val="Calibri"/>
        <color theme="1"/>
        <sz val="12.0"/>
      </rPr>
      <t xml:space="preserve">Ozamis </t>
    </r>
    <r>
      <rPr>
        <rFont val="Calibri"/>
        <color rgb="FFFF0000"/>
        <sz val="12.0"/>
      </rPr>
      <t>City</t>
    </r>
  </si>
  <si>
    <t>350-PH104211000-2023-Artificial Reef</t>
  </si>
  <si>
    <t>Concrete general, PVC pipe, Glass bottles</t>
  </si>
  <si>
    <t>350-PH104319000-Unknown-Asexual Reproduction</t>
  </si>
  <si>
    <t>Research group</t>
  </si>
  <si>
    <t>351-PH104321000-2016-Artificial Reef</t>
  </si>
  <si>
    <t>Mentioned the turning over of artificial reefs by JCI Macajalar 24K</t>
  </si>
  <si>
    <t>351-PH104214000-2001-Asexual Reproduction</t>
  </si>
  <si>
    <t>352-PH104326000-2015-Artificial Reef</t>
  </si>
  <si>
    <t>Project aims to build environmental awareness against illegal means of fishing and to rehabilitate the areas where coral growth is possible</t>
  </si>
  <si>
    <t>Macajalar Bay Development Alliance</t>
  </si>
  <si>
    <t>352-PH104303000-1997-Artificial Reef</t>
  </si>
  <si>
    <t>353-PH104305000-2021-Artificial Reef</t>
  </si>
  <si>
    <t>Agricultural Productivity Operations Office - Cagayan de Oro (2021, January 24). ICYMI. The video highlights of the House of Nemo: the Artificial Coral Reef Deployment Project by the Rotaract Club of West [Video attached] [Status Update]. Facebook. https://web.facebook.com/CityAgricultureCDO/posts/1818126778356518/?paipv=0&amp;eav=AfZRQmJgGSI0L2g9U65jABSY00S9bkGu4Mij9M1M--6CIMfEuumw-Pv07pQ30DTpugs&amp;_rdc=1&amp;_rdr</t>
  </si>
  <si>
    <t>353-PH103507000-1986-Artificial Reef</t>
  </si>
  <si>
    <t>354-PH104305000-2017-Artificial Reef</t>
  </si>
  <si>
    <r>
      <rPr>
        <rFont val="Calibri"/>
        <color theme="1"/>
        <sz val="12.0"/>
      </rPr>
      <t xml:space="preserve">Ocean rehabilitation; </t>
    </r>
    <r>
      <rPr>
        <rFont val="Calibri"/>
        <color rgb="FFFF0000"/>
        <sz val="12.0"/>
      </rPr>
      <t>sustainable school-community based projects</t>
    </r>
  </si>
  <si>
    <t>Maria Theresa Mabalos / Bugo National High School</t>
  </si>
  <si>
    <r>
      <rPr>
        <rFont val="Calibri"/>
        <color theme="1"/>
        <sz val="12.0"/>
      </rPr>
      <t xml:space="preserve">BFAR; </t>
    </r>
    <r>
      <rPr>
        <rFont val="Calibri"/>
        <color rgb="FFFF0000"/>
        <sz val="12.0"/>
      </rPr>
      <t>Philippine Coast Guard</t>
    </r>
  </si>
  <si>
    <t>354-PH103507000-1986-Artificial Reef</t>
  </si>
  <si>
    <t>355-PH104310000-1986-Artificial Reef</t>
  </si>
  <si>
    <t>355-PH103507000-2018-Artificial Reef</t>
  </si>
  <si>
    <t>Concrete hollow blocks</t>
  </si>
  <si>
    <t>SHIELDS (Safety, Environmental Health and Land Development Services)</t>
  </si>
  <si>
    <t>https://web.facebook.com/shieldsconservation/?_rdc=1&amp;_rdr</t>
  </si>
  <si>
    <t>356-PH104311000-Unknown-Artificial Reef</t>
  </si>
  <si>
    <t>Concrete structure, Synthetic material, Metal structure</t>
  </si>
  <si>
    <t>Tires, Concrete general, Steel frame</t>
  </si>
  <si>
    <t>cbartazo (2008, April 16). Diving at Agutayan Island…October 13, 2007). Life in the Great Beyond [blog]. https://cbartazo.com/tag/agutayan-island/</t>
  </si>
  <si>
    <t>https://cbartazo.com/tag/agutayan-island/; https://www.philstar.com/business/business-as-usual/2008/08/25/81412/rudy-trillanes-coffee-man; https://www.lakwatsero.com/dive-report/my-yearend-dive-at-agutayan-island-marine-sanctuary/</t>
  </si>
  <si>
    <t>356-PH103510000-2008-Asexual Reproduction</t>
  </si>
  <si>
    <t>357-PH104314000-2017-Artificial Reef</t>
  </si>
  <si>
    <r>
      <rPr>
        <rFont val="Calibri"/>
        <color theme="1"/>
        <sz val="12.0"/>
      </rPr>
      <t xml:space="preserve">BFAR; </t>
    </r>
    <r>
      <rPr>
        <rFont val="Calibri"/>
        <color rgb="FFFF0000"/>
        <sz val="12.0"/>
      </rPr>
      <t>Philippine Coast Guard</t>
    </r>
  </si>
  <si>
    <t>357-PH103512000-Unknown-Artificial Reef</t>
  </si>
  <si>
    <t>358-PH104314000-2022-Asexual Reproduction</t>
  </si>
  <si>
    <t>358-PH103512000-Unknown-Artificial Reef</t>
  </si>
  <si>
    <r>
      <rPr>
        <rFont val="Calibri"/>
        <color theme="1"/>
      </rPr>
      <t xml:space="preserve">Site in Sogapod; </t>
    </r>
    <r>
      <rPr>
        <rFont val="Calibri"/>
        <color rgb="FFFF0000"/>
        <sz val="12.0"/>
      </rPr>
      <t>*Stated as Sogapod in the lit but this is a barangay which is part of the municipality of Maigo</t>
    </r>
  </si>
  <si>
    <t>359-PH104319000-Unknown-Artificial Reef</t>
  </si>
  <si>
    <t>Artificial structure installed by the resort for SCUBA tourism; Located in Japanese Garden dive site</t>
  </si>
  <si>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</si>
  <si>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t>359-PH103506000-2021-Artificial Reef</t>
  </si>
  <si>
    <t>S.A.G.O.P Kalikasan Project on Maritime and Environmental Protection and Conservation</t>
  </si>
  <si>
    <t>Sustainable Approaches Generating Opportunities to reduce Poverty”, aims to protect mother Earth through conducting purposeful activities and at the same time give assistance to the livelihood of the people. </t>
  </si>
  <si>
    <t>Ceramic material</t>
  </si>
  <si>
    <t>Inner Wheel Club of Lanao del Norte</t>
  </si>
  <si>
    <t>PLGU, MLGU, Philippine Coast Guard, Phil Army, BFAR</t>
  </si>
  <si>
    <t>JCI Panguil Bay, AHAN AIKIDO</t>
  </si>
  <si>
    <t>Bangaan Women's Assoc.</t>
  </si>
  <si>
    <t>https://lanaodelnorte.gov.ph/2021/03/15/pgldn-show-support-to-s-a-g-o-p/</t>
  </si>
  <si>
    <t>Bulhing Montefalcon dela Cruz</t>
  </si>
  <si>
    <t>360-PH104319000-2017-Artificial Reef</t>
  </si>
  <si>
    <t>Artificial structure installed by the resort for SCUBA tourism; Located in Almost Paradise dive site</t>
  </si>
  <si>
    <t>360-PH103522000--Artificial Reef</t>
  </si>
  <si>
    <t xml:space="preserve">Fisheries Sector Program </t>
  </si>
  <si>
    <t>361-PH104319000-Unknown-Asexual Reproduction</t>
  </si>
  <si>
    <t>*News report shows picture of divers conductingcoral planting</t>
  </si>
  <si>
    <r>
      <rPr>
        <rFont val="Calibri"/>
        <color rgb="FF1155CC"/>
        <sz val="12.0"/>
        <u/>
      </rPr>
      <t>https://www.philstar.com/other-sections/starweek-magazine/2019/05/05/1915171/shoring-medina</t>
    </r>
    <r>
      <rPr>
        <rFont val="Calibri"/>
        <color theme="1"/>
        <sz val="12.0"/>
      </rPr>
      <t xml:space="preserve">; https://businessmirror.com.ph/2017/04/23/shoring-up-marine-restoration/ </t>
    </r>
  </si>
  <si>
    <t>361-PH118203000--Artificial Reef</t>
  </si>
  <si>
    <t>362-PH104319000-2000-Asexual Reproduction</t>
  </si>
  <si>
    <t>Site in Duka Bay</t>
  </si>
  <si>
    <t>Environmental restoration and conservation</t>
  </si>
  <si>
    <t>362-PH118203000-2023-Asexual Reproduction</t>
  </si>
  <si>
    <t>Install 35 artificial reef frames to become structural foundation of transplanted coral fragments</t>
  </si>
  <si>
    <t>DENR; Mabini Emergency Response Team; BFP</t>
  </si>
  <si>
    <t>Beach View Resort; Dusit Thani Lubi Plantation Resort; Ocean Bluex Freediving; The Trinity Project; Hijo Resorts Davao</t>
  </si>
  <si>
    <t>https://r11.denr.gov.ph/index.php/news-events/regional-releases</t>
  </si>
  <si>
    <t>363-PH104319000-Unknown-Asexual Reproduction; Artificial Reef</t>
  </si>
  <si>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</si>
  <si>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t>363-PH112317000-Unknown-Artificial Reef</t>
  </si>
  <si>
    <t>364-PH104321000-2016-Artificial Reef</t>
  </si>
  <si>
    <t>364-PH112317000-2012-Artificial Reef</t>
  </si>
  <si>
    <t>365-PH104326000-2015-Artificial Reef</t>
  </si>
  <si>
    <t>Concrete structure, Natural material</t>
  </si>
  <si>
    <t>Concrete general, Sand, Dead coral</t>
  </si>
  <si>
    <t>MLGU, Macajalar Bay Development Alliance</t>
  </si>
  <si>
    <t>Xavier University, Scuba de Oro</t>
  </si>
  <si>
    <t>365-PH112317000-*Not indicated-Artificial Reef</t>
  </si>
  <si>
    <t>*Mention of artificial reef deployment through the Coastal Resource Management and Fishery Development Plan of the LGU</t>
  </si>
  <si>
    <t>366-PH112317000-2019-Artificial Reef</t>
  </si>
  <si>
    <t>366-PH112317000-1991-Artificial Reef</t>
  </si>
  <si>
    <t>Project under the former PCAMRD</t>
  </si>
  <si>
    <t>Tires, Concrete general</t>
  </si>
  <si>
    <t>367-PH112317000-Unknown-Asexual Reproduction</t>
  </si>
  <si>
    <t>The Coral Project</t>
  </si>
  <si>
    <t>Coral Restoration Awareness and Livelihood (CORAL)</t>
  </si>
  <si>
    <t>367-PH112317000-2012-Artificial Reef</t>
  </si>
  <si>
    <t>368-PH112317000-Unknown-Artificial Reef; Asexual Reproduction</t>
  </si>
  <si>
    <t>368-PH112317000-2019-Artificial Reef</t>
  </si>
  <si>
    <r>
      <rPr>
        <rFont val="Calibri"/>
        <color theme="1"/>
        <sz val="12.0"/>
      </rPr>
      <t xml:space="preserve">CLGU; </t>
    </r>
    <r>
      <rPr>
        <rFont val="Calibri"/>
        <color rgb="FFFF0000"/>
        <sz val="12.0"/>
      </rPr>
      <t>Civil Military Operations Unit - Eastern Mindanao; Naval Special Operations Unit 7</t>
    </r>
  </si>
  <si>
    <t>CMOU-Eastern Mindanao (2019, August 25). 24 August 19 - The Naval Forces Eastern Mindanao (NFEM), Civil Military Operations Unit-Eastern Mindanao (CMOU-EM), Naval Operations Unit-7 [Status Update] [Images Attached]. Facebook. https://web.facebook.com/CMOUEM2018/posts/24-august-19-the-naval-forces-eastern-mindanao-nfem-civil-military-operations-un/1349837585154833/?_rdc=1&amp;_rdr</t>
  </si>
  <si>
    <t>369-PH112317000-2021-Artificial Reef</t>
  </si>
  <si>
    <t>Plane</t>
  </si>
  <si>
    <t>369-PH112317000-Unknown-Asexual Reproduction</t>
  </si>
  <si>
    <r>
      <rPr>
        <rFont val="Calibri"/>
        <color theme="1"/>
        <sz val="12.0"/>
      </rPr>
      <t xml:space="preserve">Site in Brgy Tagbaobo; </t>
    </r>
    <r>
      <rPr>
        <rFont val="Calibri"/>
        <color rgb="FFFF0000"/>
        <sz val="12.0"/>
      </rPr>
      <t>coral planting inside a no-take sanctuary</t>
    </r>
  </si>
  <si>
    <t>370-PH112317000-2022-Artificial Reef</t>
  </si>
  <si>
    <t xml:space="preserve">Rotary Club of Tagum; </t>
  </si>
  <si>
    <t>https://mindanao.politics.com.ph/artificial-reefs-to-be-installed-in-samal-island-waters/; https://web.facebook.com/cgs.igacos/posts/pfbid0o1Pr1n877hcQS3bWp9eiPnMsVcMwKEjXnSYkgKQVbuJVEF6KGgha7NPtkJeWfThZl</t>
  </si>
  <si>
    <t>Lorenzo Rubinos Jr.</t>
  </si>
  <si>
    <t>370-PH112317000-2012-Artificial Reef; Asexual Reproduction</t>
  </si>
  <si>
    <t>Whole project covered Pujada Bay Landscape and Seascape (Davao Oriental), Mabini Landscape and Seascape (Davao de Oro) and IGACOS</t>
  </si>
  <si>
    <t>3 ha for 3 sites</t>
  </si>
  <si>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</si>
  <si>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t>371-PH112317000-2001-Asexual Reproduction</t>
  </si>
  <si>
    <t>371-PH112317000-Unknown-Artificial Reef</t>
  </si>
  <si>
    <t>372-PH112317000-2022-Artificial Reef</t>
  </si>
  <si>
    <t>372-PH112319000-2007-Artificial Reef</t>
  </si>
  <si>
    <r>
      <rPr>
        <rFont val="Calibri"/>
        <color theme="1"/>
        <sz val="12.0"/>
      </rPr>
      <t xml:space="preserve">Tagum </t>
    </r>
    <r>
      <rPr>
        <rFont val="Calibri"/>
        <color rgb="FFFF0000"/>
        <sz val="12.0"/>
      </rPr>
      <t>City</t>
    </r>
  </si>
  <si>
    <t>3 hectare</t>
  </si>
  <si>
    <t>CLGU;</t>
  </si>
  <si>
    <t>https://businessmirror.com.ph/2017/03/26/tagum-city-cites-artificial-reef-project-supports-mpa-networking-initiative/; https://mobile.facebook.com/DistinctivelyDavao/posts/tagum-city-cites-artificial-reef-project-supports-mpa-networking-initiativetagum/283751215413471/?_rdc=1&amp;_rdr</t>
  </si>
  <si>
    <t>373-PH112317000-2001-Asexual Reproduction</t>
  </si>
  <si>
    <t>373-PH112319000-Unknown-Artificial Reef</t>
  </si>
  <si>
    <r>
      <rPr>
        <rFont val="Calibri"/>
        <color theme="1"/>
        <sz val="12.0"/>
      </rPr>
      <t xml:space="preserve">Tagum </t>
    </r>
    <r>
      <rPr>
        <rFont val="Calibri"/>
        <color rgb="FFFF0000"/>
        <sz val="12.0"/>
      </rPr>
      <t>City</t>
    </r>
  </si>
  <si>
    <t>CLGU; CENRO</t>
  </si>
  <si>
    <t>374-PH112402000-1986-Artificial Reef</t>
  </si>
  <si>
    <t>Davao City</t>
  </si>
  <si>
    <t>374-PH112319000-2007-Artificial Reef</t>
  </si>
  <si>
    <r>
      <rPr>
        <rFont val="Calibri"/>
        <color theme="1"/>
        <sz val="12.0"/>
      </rPr>
      <t xml:space="preserve">Tagum </t>
    </r>
    <r>
      <rPr>
        <rFont val="Calibri"/>
        <color rgb="FFFF0000"/>
        <sz val="12.0"/>
      </rPr>
      <t>City</t>
    </r>
  </si>
  <si>
    <t>Site inside 22-ha MPA in Brgy Liboganon;</t>
  </si>
  <si>
    <t>375-PH112402000-2017-Artificial Reef</t>
  </si>
  <si>
    <t>Build-A-Reef project is one of the four major activities carried out by the Foundation to preserve and protect the environment, the others being tree planting, coastal cleanup, and the adoption of a Philippine eagle.</t>
  </si>
  <si>
    <t>Phoenix Petroleum</t>
  </si>
  <si>
    <t>375-PH112319000-Unknown-Artificial Reef</t>
  </si>
  <si>
    <t>Tagum City</t>
  </si>
  <si>
    <t>376-PH112402000-2017-Artificial Reef</t>
  </si>
  <si>
    <t>Philippine Navy; BFAR; CLU</t>
  </si>
  <si>
    <t>376-PH112402000-1986-Artificial Reef</t>
  </si>
  <si>
    <t>377-PH112402000-2012-Artificial Reef</t>
  </si>
  <si>
    <t>San Pedro College</t>
  </si>
  <si>
    <t>377-PH112402000-2017-Artificial Reef</t>
  </si>
  <si>
    <t>Site inside MPAs in Brgy Vicente Hizon,Lanang and Barangay Centro; Build-A-Reef project is one of the four major activities carried out by the Foundation to preserve and protect the environment, the others being tree planting, coastal cleanup, and the adoption of a Philippine eagle.</t>
  </si>
  <si>
    <t>110cm x 70 cm each</t>
  </si>
  <si>
    <t>378-PH112402000-2017-Artificial Reef</t>
  </si>
  <si>
    <t>378-PH112509000-2004-Artificial Reef</t>
  </si>
  <si>
    <t>Mati City</t>
  </si>
  <si>
    <t>*Installation mentioned as part of Pujada Bay Festival</t>
  </si>
  <si>
    <t>http://archives.pia.gov.ph/?m=12&amp;sec=reader&amp;rp=1&amp;fi=p040320.htm&amp;no=8&amp;date=03/20/2004</t>
  </si>
  <si>
    <t>379-PH112402000-2017-Artificial Reef</t>
  </si>
  <si>
    <t>UNTV News and Rescue (2017, August 24). Naval Forces in Eastern Mindanao conducts coral reef restoration in Davao City [Video]. https://www.youtube.com/watch?v=J2E9tUJsTVo</t>
  </si>
  <si>
    <t>https://www.youtube.com/watch?v=J2E9tUJsTVo</t>
  </si>
  <si>
    <t>379-PH112510000-Unknown-Artificial Reef</t>
  </si>
  <si>
    <t>Mention of artificial reef deployment as part of the LGU's CRM activities</t>
  </si>
  <si>
    <t>380-PH112402000-2012-Artificial Reef</t>
  </si>
  <si>
    <t>380-PH126505000--</t>
  </si>
  <si>
    <t>*There's a project monitoring report from BFAR stating purchase of artificial reefs for Sultan Kudarat LGUs but there are no documents available to know if the purchase proceeded</t>
  </si>
  <si>
    <t>381-PH112509000-2024-Artificial Reef</t>
  </si>
  <si>
    <t>Concrete general, 3D-printed clay brick</t>
  </si>
  <si>
    <t>100 meters</t>
  </si>
  <si>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</si>
  <si>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t>381-PH126506000--</t>
  </si>
  <si>
    <t>382-PH112510000-Unknown-Artificial Reef</t>
  </si>
  <si>
    <t>382-PH126509000--</t>
  </si>
  <si>
    <t>383-PH118203000-2023-Asexual Reproduction</t>
  </si>
  <si>
    <t>Site in Kopiat Island; inside NIPAS Mabini Protected Landscape and Seascape</t>
  </si>
  <si>
    <t>1m x 2m</t>
  </si>
  <si>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</si>
  <si>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t>383-PH126303000-Unknown-Artificial Reef</t>
  </si>
  <si>
    <t>General Santos</t>
  </si>
  <si>
    <t>*Mention of artificial reefs damaged after a foreign vessel ran ground.</t>
  </si>
  <si>
    <t>384-PH126303000-2005-Artificial Reef</t>
  </si>
  <si>
    <t>Project Aware Foundation; Philippine Ports Authority</t>
  </si>
  <si>
    <t>5,001 domes</t>
  </si>
  <si>
    <t>384-PH126303000-Unknown-Artificial Reef</t>
  </si>
  <si>
    <r>
      <rPr>
        <rFont val="Calibri"/>
        <color theme="1"/>
        <sz val="12.0"/>
      </rPr>
      <t xml:space="preserve">General Santos </t>
    </r>
    <r>
      <rPr>
        <rFont val="Calibri"/>
        <color rgb="FFFF0000"/>
        <sz val="12.0"/>
      </rPr>
      <t>City</t>
    </r>
  </si>
  <si>
    <t>Site in Brgy Diadangas South; Mention of artificial reefs damaged after a foreign vessel ran ground.</t>
  </si>
  <si>
    <t>385-PH126303000-2005-Artificial Reef</t>
  </si>
  <si>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</si>
  <si>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</si>
  <si>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t>385-PH126303000-2019-Artificial Reef</t>
  </si>
  <si>
    <t>*It is rather unclear where the 75 units were distributed and installed</t>
  </si>
  <si>
    <t>75 units</t>
  </si>
  <si>
    <t>https://www.phoenixfuels.ph/build-a-reef-project-2018/</t>
  </si>
  <si>
    <t>386-PH128001000-Unknown-Artificial Reef</t>
  </si>
  <si>
    <t>*Mentioned as one of the activities conducted under the project</t>
  </si>
  <si>
    <t>386-PH128001000-1998-Artificial Reef</t>
  </si>
  <si>
    <r>
      <rPr>
        <rFont val="Calibri"/>
        <color rgb="FFFF0000"/>
        <sz val="12.0"/>
      </rPr>
      <t>Site in Brgy Kawas</t>
    </r>
    <r>
      <rPr>
        <rFont val="Calibri"/>
        <color theme="1"/>
        <sz val="12.0"/>
      </rPr>
      <t>; Mentioned as one of the activities conducted under the project</t>
    </r>
  </si>
  <si>
    <t>387-PH128003000-2017-Asexual Reproduction; Artificial Reef</t>
  </si>
  <si>
    <t>https://35.229.131.110/node/60</t>
  </si>
  <si>
    <t>387-PH128003000-2009-Artificial Reef</t>
  </si>
  <si>
    <t>*Installation mentioned as part of 4th Sarangani Bay Festival; It does not indicate which LGU received the Ars</t>
  </si>
  <si>
    <t>http://archives.pia.gov.ph/?m=12&amp;fi=p090529.htm&amp;no=A7</t>
  </si>
  <si>
    <t>388-PH128003000-2017-Asexual Reproduction; Artificial Reef</t>
  </si>
  <si>
    <t>Research to assess growth and survival of COPs at diff depths</t>
  </si>
  <si>
    <t>389-PH128003000-2014-Asexual Reproduction</t>
  </si>
  <si>
    <t>PLGU, DOT, PNP</t>
  </si>
  <si>
    <t>390-PH128003000-2020-Asexual Reproduction</t>
  </si>
  <si>
    <t>Transplant coral fragments affected by human activities and typhoons</t>
  </si>
  <si>
    <t>1,400 fragments</t>
  </si>
  <si>
    <t>391-PH128003000-Unknown-Asexual Reproduction</t>
  </si>
  <si>
    <t>392-PH128002000-2012-Asexual Reproduction; Artificial Reef</t>
  </si>
  <si>
    <t>393-PH128004000-2009-Artificial Reef</t>
  </si>
  <si>
    <t>Sarangani Energy Corp; Alson's Power Group</t>
  </si>
  <si>
    <t>500 units</t>
  </si>
  <si>
    <t>Conal Holdings Corp</t>
  </si>
  <si>
    <t>https://www.philstar.com/other-sections/the-good-news/2015/11/23/1524749/saranganis-kamanga-marine-eco-tourism-park-and-sanctuary-cited-one-philippines-best</t>
  </si>
  <si>
    <t>394-PH128004000-2012-Artificial Reef</t>
  </si>
  <si>
    <t>*Conduct of activity part of the celebration of International Coastal Cleanup Month</t>
  </si>
  <si>
    <t>OPA, OMA, PENRO, Environmental Conservation and Protection Center; 73rd Infrantry Batallion Philippine Army</t>
  </si>
  <si>
    <t>https://www.pressreader.com/philippines/sunstar-davao/20121003/281745561608748; https://clafi.org/our_work_categories/environment-protection-and-conservation-projects/; http://archives.pia.gov.ph/?m=12&amp;fi=p090529.htm&amp;no=67</t>
  </si>
  <si>
    <t>395-PH128004000-2009-Artificial Reef</t>
  </si>
  <si>
    <t>396-PH128004000-2012-Artificial Reef</t>
  </si>
  <si>
    <t>Site in Tinoto Reef; Conducted as part of the celebration of International Coastal Cleanup Month</t>
  </si>
  <si>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</si>
  <si>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</si>
  <si>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t>397-PH128006000-2012-Artificial Reef</t>
  </si>
  <si>
    <t>*Need to get source for this</t>
  </si>
  <si>
    <t>398-PH128006000-2015-Artificial Reef</t>
  </si>
  <si>
    <t>Deployed with ARs at the same time with Maasim in 2015</t>
  </si>
  <si>
    <t>300 units, including in Maasim</t>
  </si>
  <si>
    <t>Artificial Reef Dome (n.d.). Our Work: Environment Protection and Conservation Projects. Conrado &amp; Ladislawa Alcantara Foundation. https://clafi.org/our_work_categories/environment-protection-and-conservation-projects/</t>
  </si>
  <si>
    <t>399-PH160201000-Unknown-Artificial Reef</t>
  </si>
  <si>
    <t>*Mention of artificial reef deployment in Sacol Fish Sanctuary</t>
  </si>
  <si>
    <t>400-PH160201000-2022-Artificial Reef</t>
  </si>
  <si>
    <t>401-PH160201000-Unknown-Artificial Reef</t>
  </si>
  <si>
    <t>402-PH160201000-2022-Artificial Reef</t>
  </si>
  <si>
    <t>403-PH160202000-2020-Artificial Reef</t>
  </si>
  <si>
    <t>Butuan City</t>
  </si>
  <si>
    <t>404-PH160201000-2024-Artificial Reef</t>
  </si>
  <si>
    <t>Sustainable fisheries management and marine conservation</t>
  </si>
  <si>
    <t>MLGU, BFAR</t>
  </si>
  <si>
    <t>405-PH160203000-Unknown-Unknown</t>
  </si>
  <si>
    <r>
      <rPr>
        <rFont val="Calibri"/>
        <color theme="1"/>
        <sz val="12.0"/>
      </rPr>
      <t xml:space="preserve">Cabadbaran </t>
    </r>
    <r>
      <rPr>
        <rFont val="Calibri"/>
        <color rgb="FFFF0000"/>
        <sz val="12.0"/>
      </rPr>
      <t>City</t>
    </r>
  </si>
  <si>
    <t>406-PH160202000-2020-Artificial Reef</t>
  </si>
  <si>
    <t>407-PH160204000-Unknown-Artificial Reef</t>
  </si>
  <si>
    <t>*Mentioned in FishCORAL 2017 Report that artificial reefs were under procurement for the municipality</t>
  </si>
  <si>
    <t>https://www.bfar.da.gov.ph/wp-content/uploads/2022/05/FishCORAL-Project-Annual-Report-2017.pdf</t>
  </si>
  <si>
    <t>408-PH160203000-1987-Artificial Reef</t>
  </si>
  <si>
    <r>
      <rPr>
        <rFont val="Calibri"/>
        <color theme="1"/>
        <sz val="12.0"/>
      </rPr>
      <t xml:space="preserve">Cabadbaran </t>
    </r>
    <r>
      <rPr>
        <rFont val="Calibri"/>
        <color rgb="FFFF0000"/>
        <sz val="12.0"/>
      </rPr>
      <t>City</t>
    </r>
  </si>
  <si>
    <t>Concrete structure, Natural material, Synthetic material</t>
  </si>
  <si>
    <t>Bamboo, Tires, Concrete general</t>
  </si>
  <si>
    <t>bamboo, tires, concrete</t>
  </si>
  <si>
    <t>Spawning ground for fish</t>
  </si>
  <si>
    <t>PAO, BFAR</t>
  </si>
  <si>
    <t>409-PH166706000--Artificial Reef</t>
  </si>
  <si>
    <t>Nickel Asia Corp</t>
  </si>
  <si>
    <t>Taganito Mining Corp</t>
  </si>
  <si>
    <t>410-PH160204000-2019-Artificial Reef</t>
  </si>
  <si>
    <t>60 units out of 120 inside Poblacion Fish Sanctuary</t>
  </si>
  <si>
    <t>411-PH166706000-2018-Artificial Reef</t>
  </si>
  <si>
    <t>*Installation of ARs to rehabilitate Lambason Island Marine Sanctuary</t>
  </si>
  <si>
    <t>Global Ferronickel Holdings Inc.</t>
  </si>
  <si>
    <t>http://www.gfni.com.ph/wp-content/uploads/annualreports/2018%20IR%20061919%20FINAL.pdf</t>
  </si>
  <si>
    <t>412-PH166706000-2019-Asexual Reproduction</t>
  </si>
  <si>
    <t>413-PH166708000-Unknown-Artificial Reef</t>
  </si>
  <si>
    <t xml:space="preserve">Website mentions artificial reef monitoring by DENR </t>
  </si>
  <si>
    <t>414-PH166708000-Unknown-Artificial Reef</t>
  </si>
  <si>
    <t>415-PH166710000--</t>
  </si>
  <si>
    <t>*Per Mindanews, the LGU planned to set up a marine sancutary in Naked Island last 2013 which included activities like submerging artificial reefs, yet there are no articles stating that the activity was pushed through</t>
  </si>
  <si>
    <t>416-PH166715000-2020-Artificial Reef</t>
  </si>
  <si>
    <t>417-PH166715000-2020-Artificial Reef</t>
  </si>
  <si>
    <t>418-PH166724000-Unknown-Artificial Reef</t>
  </si>
  <si>
    <t>Surigao City</t>
  </si>
  <si>
    <t>Coral Reef Farm</t>
  </si>
  <si>
    <t>Philippine Coast Guard District North Eastern Mindanao</t>
  </si>
  <si>
    <t>https://coastguard.gov.ph/index.php/related-links/11-news/4072-pcg-supports-coral-reef-farm-project-in-surigao-city; https://newsline.ph/top-stories/2021/07/02/artificial-reefs-installed-in-protected-waters-in-surigao-city/</t>
  </si>
  <si>
    <t>419-PH166724000-2021-Artificial Reef</t>
  </si>
  <si>
    <r>
      <rPr>
        <rFont val="Calibri"/>
        <color rgb="FFFF0000"/>
        <sz val="12.0"/>
      </rPr>
      <t>Site in Brgy Ipil MPA</t>
    </r>
    <r>
      <rPr>
        <rFont val="Calibri"/>
        <color theme="1"/>
        <sz val="12.0"/>
      </rPr>
      <t>; Site in Brgy Mabua</t>
    </r>
  </si>
  <si>
    <t>Concrete cube, Mesh</t>
  </si>
  <si>
    <t>https://web.facebook.com/jcisurigaonickel/posts/a-reef-for-life-a-dive-of-hopejci-surigao-nickel-in-partnership-with-other-jci-p/3308942349207324/?_rdc=1&amp;_rdr; https://newsline.ph/artificial-reefs-installed-in-protected-waters-in-surigao-city/</t>
  </si>
  <si>
    <t>420-PH166724000-2015-Artificial Reef</t>
  </si>
  <si>
    <t>5 modules</t>
  </si>
  <si>
    <t>http://www.surigaocity.gov.ph/sites/default/files/documents/milestones/2015%20annual%20report_0.pdf</t>
  </si>
  <si>
    <t>421-PH166724000-2018-Artificial Reef</t>
  </si>
  <si>
    <t>422-PH166725000-2015-Artificial Reef; Asexual Reproduction</t>
  </si>
  <si>
    <t>Artificial Coral Reef and Coral Transportation Project</t>
  </si>
  <si>
    <t>https://newsinfo.inquirer.net/937981/philippine-tourism-hinatuan-beach-surigao-del-sur-tourist-spot-nickel-asia-corp-michael-arlan-hinatuan-mining-corp-denr-scremp</t>
  </si>
  <si>
    <t>423-PH166725000-2015-Artificial Reef; Asexual Reproduction</t>
  </si>
  <si>
    <t>150 fragments</t>
  </si>
  <si>
    <t>424-PH166808000-Unknown-Artificial Reef</t>
  </si>
  <si>
    <t>Mentioned in 6th Gawad Bayani ng Bayan, Center for Environmental Concerns; One of the activities of winner, NAMATI</t>
  </si>
  <si>
    <t>Program</t>
  </si>
  <si>
    <t>425-PH166808000-Unknown-Artificial Reef</t>
  </si>
  <si>
    <t>Mentioned in 6th Gawad Bayani ng Bayan, Center for Environmental Concerns; One of the activities of organization, NAMATI</t>
  </si>
  <si>
    <t>426-PH168502000-2019-Artificial Reef</t>
  </si>
  <si>
    <t>Activity conducted as part of World Ocean Day celebrations</t>
  </si>
  <si>
    <t>427-PH168502000-Unknown-Artificial Reef</t>
  </si>
  <si>
    <t>428-PH133913000-1985-Artificial Reef</t>
  </si>
  <si>
    <t>Manila</t>
  </si>
  <si>
    <t>PH133913000</t>
  </si>
  <si>
    <t>San Nicolas Shoal (Port Area)</t>
  </si>
  <si>
    <t>429-PH150712000-2020-Artificial Reef</t>
  </si>
  <si>
    <t>430-PH150703000-2020-Artificial Reef</t>
  </si>
  <si>
    <t>288 units</t>
  </si>
  <si>
    <t>431-PH133913000-1985-Artificial Reef</t>
  </si>
  <si>
    <t>Site in Manila Bay Fish Sanctuary (Port Area); *Coordinates taken from https://www.bfar.da.gov.ph/wp-content/uploads/2021/04/FAO-No.-151-s.-1985.pdf; fronting Navotas and Tondo area in Manila and Orion in Bataan</t>
  </si>
  <si>
    <t>432-PH184501000-1986-Artificial Reef</t>
  </si>
  <si>
    <t>433-PH150713000-2020-Artificial Reef</t>
  </si>
  <si>
    <t>434-PH184507000-1998-Artificial Reef</t>
  </si>
  <si>
    <t>Rubber , Concrete general, Dead coral</t>
  </si>
  <si>
    <t>Michelle Reyes &amp; Helen T. Yap</t>
  </si>
  <si>
    <t>Philippine Reef and Rainforest Conservation Foundation, Inc. (PRRCFI)</t>
  </si>
  <si>
    <t>435-PH153602000-2019-Asexual Reproduction</t>
  </si>
  <si>
    <t>https://mafar.bangsamoro.gov.ph/monitoring-of-deployed-coral-nursery-units-cnu-of-fishcoral-mafar-in-maguindanao/</t>
  </si>
  <si>
    <t>436-PH184507000-2001-Asexual Reproduction</t>
  </si>
  <si>
    <t>437-PH153830000-2021-Asexual Reproduction</t>
  </si>
  <si>
    <t>Datu Blah Sinsuat</t>
  </si>
  <si>
    <t>438-PH101805000-Unknown-Artificial Reef</t>
  </si>
  <si>
    <t>439-PH153809000-1986-Artificial Reef</t>
  </si>
  <si>
    <t>440-PH184601000-Unknown-Artificial Reef</t>
  </si>
  <si>
    <t>tires; concrete base</t>
  </si>
  <si>
    <t>280 m2</t>
  </si>
  <si>
    <t>441-PH153809000-2020-Artificial Reef</t>
  </si>
  <si>
    <t>442-PH184602000-Unknown-Artificial Reef</t>
  </si>
  <si>
    <t>PH184602000</t>
  </si>
  <si>
    <t>Part of 420 artificial coral houses distributed in Negros Oriental under SCREMP</t>
  </si>
  <si>
    <t>443-PH153811000-2021-Asexual Reproduction</t>
  </si>
  <si>
    <t>*Mention of assessment conducted by FishCORAL team to find suitable site for coral nursery</t>
  </si>
  <si>
    <t>444-PH184603000-Unknown-Artificial Reef</t>
  </si>
  <si>
    <t>445-PH156607000-2019-Artificial Reef</t>
  </si>
  <si>
    <t>Philippine Marines Western Mindanao Command</t>
  </si>
  <si>
    <t>446-PH184603000-Unknown-Artificial Reef</t>
  </si>
  <si>
    <t>Site where domes were installed already had tires and a submerged jeepney</t>
  </si>
  <si>
    <t>447-PH157002000-2012-Artificial Reef</t>
  </si>
  <si>
    <t>448-PH184607000-Unknown-Artificial Reef</t>
  </si>
  <si>
    <t>PH184607000</t>
  </si>
  <si>
    <t>449-PH157002000-2017-Asexual Reproduction</t>
  </si>
  <si>
    <t>Rotary Club Tawi-Tawi</t>
  </si>
  <si>
    <t>https://map.rotary.org/en/project/pages/project_detail.aspx?guid=F5D90E54-B5D2-4032-B523-24B3A8EDD9A4</t>
  </si>
  <si>
    <t>450-PH184609000-Unknown-Artificial Reef</t>
  </si>
  <si>
    <t>451-PH157002000-Unknown-Asexual Reproduction</t>
  </si>
  <si>
    <t>48 CNUs/14,041 COPs</t>
  </si>
  <si>
    <t>Mindanao State University - Tawi-Tawi</t>
  </si>
  <si>
    <t>452-PH184609000-2022-Asexual Reproduction</t>
  </si>
  <si>
    <t>Fragments attached to "trees"</t>
  </si>
  <si>
    <t>Conservation; raising awareness; sustainability</t>
  </si>
  <si>
    <r>
      <rPr>
        <rFont val="Calibri"/>
        <color theme="1"/>
        <sz val="12.0"/>
      </rPr>
      <t xml:space="preserve">Coral Restoration Foundation; </t>
    </r>
    <r>
      <rPr>
        <rFont val="Calibri"/>
        <color rgb="FFFF0000"/>
        <sz val="12.0"/>
      </rPr>
      <t>MEAD Foundation</t>
    </r>
  </si>
  <si>
    <t>Roni Ben-Aharon from Atlantis Dive Resorts and Liveaboards -… | ZuBlu (zubludiving.com)</t>
  </si>
  <si>
    <t>453-PH157002000-2014-Sexual Reproduction</t>
  </si>
  <si>
    <t>454-PH133913000-1981-Artificial Reef</t>
  </si>
  <si>
    <t>San Nicolas Shoal</t>
  </si>
  <si>
    <t>455-PH184609000-2017-Artificial Reef</t>
  </si>
  <si>
    <r>
      <rPr>
        <rFont val="Calibri"/>
        <color theme="1"/>
        <sz val="12.0"/>
      </rPr>
      <t xml:space="preserve">Site in Pura Vida Resort </t>
    </r>
    <r>
      <rPr>
        <rFont val="Calibri"/>
        <color rgb="FFFF0000"/>
        <sz val="12.0"/>
      </rPr>
      <t>house reef</t>
    </r>
  </si>
  <si>
    <t>300 blocks, 3600 bottles</t>
  </si>
  <si>
    <t>456-PH133913000-1985-Artificial Reef</t>
  </si>
  <si>
    <r>
      <rPr>
        <rFont val="Calibri"/>
        <color theme="1"/>
      </rPr>
      <t xml:space="preserve">Site in Manila Bay Fish Sanctuary; </t>
    </r>
    <r>
      <rPr>
        <rFont val="Calibri"/>
        <color rgb="FFFF0000"/>
        <sz val="12.0"/>
      </rPr>
      <t>*Coordinates taken from https://www.bfar.da.gov.ph/wp-content/uploads/2021/04/FAO-No.-151-s.-1985.pdf; fronting Navotas and Tondo area in Manila and Orion in Bataan</t>
    </r>
  </si>
  <si>
    <t>457-PH184610000-Unknown-Artificial Reef</t>
  </si>
  <si>
    <t>458-PH184610000-Unknown-Artificial Reef</t>
  </si>
  <si>
    <t>Balgos, M.C. (1995). Evaluation of artificial reef development in the Philippines. In Munro, J.L. &amp; Balgos, M. (eds.) Artificial reefs in the Philippines. ICLARM Conf. Proc. 49, pp. 6-22.; Alcala, A. (1979). Fish Standing Stock and Yield of an Artificial Reef off Bantayan, Dumaguete, Philippines. Silliman Journal, 26(4). 253-262. http://scinet.science.ph/union/Downloads/Alcala%20AC%201979%20Fish%20Standing%20Stock%20&amp;%20Yield%20of%20an%20Artificial%20Reef%20off%20Bantayan,%20Dumaguete%20City,%20Philippines_3963.pdf</t>
  </si>
  <si>
    <t>459-PH184610000-2001-Asexual Reproduction</t>
  </si>
  <si>
    <t>500-PH184612000-Unknown-Artificial Reef</t>
  </si>
  <si>
    <t>500-PH184615000-Unknown-Artificial Reef</t>
  </si>
  <si>
    <t>PH184615000</t>
  </si>
  <si>
    <t>500-PH184617000-Unknown-Artificial Reef</t>
  </si>
  <si>
    <t>500-PH184619000-1986-Artificial Reef</t>
  </si>
  <si>
    <t>500-PH184619000-Unknown-Artificial Reef</t>
  </si>
  <si>
    <t>500-PH184622000-Unknown-Artificial Reef</t>
  </si>
  <si>
    <t>PH184622000</t>
  </si>
  <si>
    <t>500-PH184625000-1986-Artificial Reef</t>
  </si>
  <si>
    <t>500-PH184625000-Unknown-Artificial Reef</t>
  </si>
  <si>
    <t>105 m2</t>
  </si>
  <si>
    <t>500-PH184625000-2016-Artificial Reef</t>
  </si>
  <si>
    <t>hollow blocks</t>
  </si>
  <si>
    <t>587 pcs</t>
  </si>
  <si>
    <t>Philippine Coast Guard South District Command; PCG 1306th Squadron</t>
  </si>
  <si>
    <t>500-PH076103000-Unknown-Artificial Reef</t>
  </si>
  <si>
    <t>500-PH076104000-Unknown-Artificial Reef</t>
  </si>
  <si>
    <t>Part of 300 artificial coral houses distributed in Bohol and Siquijor under SCREMPn</t>
  </si>
  <si>
    <t>500-PH076104000-1988-Artificial Reef</t>
  </si>
  <si>
    <t>500-PH150712000-2020-Artificial Reef</t>
  </si>
  <si>
    <t>500-PH150703000-2020-Artificial Reef</t>
  </si>
  <si>
    <t>500-PH150713000-2020-Artificial Reef</t>
  </si>
  <si>
    <t>500-PH153602000-2022-Asexual Reproduction</t>
  </si>
  <si>
    <t>MAFAR Provincial Office, MLGU</t>
  </si>
  <si>
    <t>Bagumbaran, A. (n.d.). MAFAR deploys coral nursery units in Lanao del Sur. https://philmuslimtoday.com/2022/06/08/mafar-deploys-coral-nursery-units-in-lanao-del-sur/</t>
  </si>
  <si>
    <t>500-PH153830000-2021-Asexual Reproduction</t>
  </si>
  <si>
    <t>500-PH153830000-2024-Asexual Reproduction</t>
  </si>
  <si>
    <t>CNU; wind-vane type</t>
  </si>
  <si>
    <t>Address coral reef degradation</t>
  </si>
  <si>
    <t>Admin (2024, Dec. 9). Coastal rehabilitation takes center stage in Datu Blah Sinsuat. https://mafar.bangsamoro.gov.ph/coastal-rehabilitation-takes-center-stage-in-datu-blah-sinsuat/</t>
  </si>
  <si>
    <t>500-PH153809000-1986-Artificial Reef</t>
  </si>
  <si>
    <t>500-PH153809000-2020-Artificial Reef</t>
  </si>
  <si>
    <t>500-PH153811000-2020-Asexual Reproduction</t>
  </si>
  <si>
    <t>500-PH156607000-2019-Artificial Reef</t>
  </si>
  <si>
    <t>Site in Barangay Kansipat</t>
  </si>
  <si>
    <t>Livelihood for fishermen</t>
  </si>
  <si>
    <r>
      <rPr>
        <rFont val="Calibri"/>
        <color theme="1"/>
        <sz val="12.0"/>
      </rPr>
      <t xml:space="preserve">Philippine Marines Western Mindanao Command </t>
    </r>
    <r>
      <rPr>
        <rFont val="Calibri"/>
        <color rgb="FFFF0000"/>
        <sz val="12.0"/>
      </rPr>
      <t>Marine Battallion Landing Team-3</t>
    </r>
  </si>
  <si>
    <t>Jr Garcia, T. (2019, April 17). Marines, BFAR install artificial reefs in Sulu. Philippine News Agency. https://www.pna.gov.ph/articles/1067574</t>
  </si>
  <si>
    <t>500-PH157002000-2012-Artificial Reef</t>
  </si>
  <si>
    <t>500-PH157002000-2014-Sexual Reproduction</t>
  </si>
  <si>
    <t>Site in Mussah Reef; MSU College of Fisheries and Brgy Pasiagan</t>
  </si>
  <si>
    <t>500-PH157002000-2012-Asexual Reproduction</t>
  </si>
  <si>
    <t>501-PH157001000-2012-Asexual Reproduction</t>
  </si>
  <si>
    <t>503-PH157011000-2012-Asexual Reproduction</t>
  </si>
  <si>
    <t>504-PH157004000-2012-Asexual Reproduction</t>
  </si>
  <si>
    <t>NA</t>
  </si>
  <si>
    <t>NA-PH157005000-2012-Asexual Reproduction</t>
  </si>
  <si>
    <t>Restoration_project_short</t>
  </si>
  <si>
    <t>Technique/Material Type</t>
  </si>
  <si>
    <t>Restoration objective</t>
  </si>
  <si>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</si>
  <si>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</si>
  <si>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r>
      <rPr>
        <rFont val="Calibri"/>
        <color theme="1"/>
        <sz val="12.0"/>
      </rPr>
      <t xml:space="preserve">Dr. Joven Cuanang / </t>
    </r>
    <r>
      <rPr>
        <rFont val="Calibri"/>
        <color rgb="FFFF0000"/>
        <sz val="12.0"/>
      </rPr>
      <t>Cong. Angelo Barba</t>
    </r>
  </si>
  <si>
    <r>
      <rPr>
        <rFont val="Calibri"/>
        <color theme="1"/>
        <sz val="12.0"/>
      </rPr>
      <t xml:space="preserve">Laoag </t>
    </r>
    <r>
      <rPr>
        <rFont val="Calibri"/>
        <color rgb="FFFF0000"/>
        <sz val="12.0"/>
      </rPr>
      <t>City</t>
    </r>
  </si>
  <si>
    <t>Site in Puypuyan</t>
  </si>
  <si>
    <t>15 modules</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</si>
  <si>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</si>
  <si>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</si>
  <si>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</si>
  <si>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San Fernando</t>
    </r>
  </si>
  <si>
    <r>
      <rPr>
        <rFont val="Calibri"/>
        <color rgb="FFFF0000"/>
        <sz val="12.0"/>
      </rPr>
      <t xml:space="preserve">City of </t>
    </r>
    <r>
      <rPr>
        <rFont val="Calibri"/>
        <color theme="1"/>
        <sz val="12.0"/>
      </rPr>
      <t>S</t>
    </r>
    <r>
      <rPr>
        <rFont val="Calibri"/>
        <color theme="1"/>
        <sz val="12.0"/>
      </rPr>
      <t>an Fernando</t>
    </r>
  </si>
  <si>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</si>
  <si>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</si>
  <si>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r>
      <rPr>
        <rFont val="Calibri"/>
        <color theme="1"/>
        <sz val="12.0"/>
      </rPr>
      <t xml:space="preserve">BFAR, </t>
    </r>
    <r>
      <rPr>
        <rFont val="Calibri"/>
        <color rgb="FFFF0000"/>
        <sz val="12.0"/>
      </rPr>
      <t>MLGU</t>
    </r>
  </si>
  <si>
    <r>
      <rPr>
        <rFont val="Calibri"/>
        <color theme="1"/>
        <sz val="12.0"/>
      </rPr>
      <t xml:space="preserve">Research; </t>
    </r>
    <r>
      <rPr>
        <rFont val="Calibri"/>
        <color rgb="FFFF0000"/>
        <sz val="12.0"/>
      </rPr>
      <t>experimental</t>
    </r>
  </si>
  <si>
    <t>Coral regrowth is new crusade | Inquirer News</t>
  </si>
  <si>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</si>
  <si>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</si>
  <si>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</si>
  <si>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</si>
  <si>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</si>
  <si>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</si>
  <si>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r>
      <rPr>
        <rFont val="Calibri"/>
        <color theme="1"/>
        <sz val="12.0"/>
      </rPr>
      <t xml:space="preserve">University of the Philippines Diliman; </t>
    </r>
    <r>
      <rPr>
        <rFont val="Calibri"/>
        <color rgb="FFFF0000"/>
        <sz val="12.0"/>
      </rPr>
      <t>UP MSI</t>
    </r>
  </si>
  <si>
    <r>
      <rPr>
        <rFont val="Calibri"/>
        <color theme="1"/>
        <sz val="12.0"/>
      </rPr>
      <t xml:space="preserve">University of the Philippines Diliman; </t>
    </r>
    <r>
      <rPr>
        <rFont val="Calibri"/>
        <color rgb="FFFF0000"/>
        <sz val="12.0"/>
      </rPr>
      <t>UP MSI</t>
    </r>
  </si>
  <si>
    <t>ACIAR Coral Reef Restoration Project (xxxx)</t>
  </si>
  <si>
    <r>
      <rPr>
        <rFont val="Calibri"/>
        <color theme="1"/>
        <sz val="12.0"/>
      </rPr>
      <t xml:space="preserve">Sexual Reproduction; </t>
    </r>
    <r>
      <rPr>
        <rFont val="Calibri"/>
        <color rgb="FFFF0000"/>
        <sz val="12.0"/>
      </rPr>
      <t>Asexual Reproduction</t>
    </r>
  </si>
  <si>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</si>
  <si>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</si>
  <si>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</si>
  <si>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r>
      <rPr>
        <rFont val="Calibri"/>
        <color theme="1"/>
        <sz val="12.0"/>
      </rPr>
      <t xml:space="preserve">Outplanting; </t>
    </r>
    <r>
      <rPr>
        <rFont val="Calibri"/>
        <color rgb="FFFF0000"/>
        <sz val="12.0"/>
      </rPr>
      <t>ex-situ nursery</t>
    </r>
  </si>
  <si>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</si>
  <si>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</si>
  <si>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</si>
  <si>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r>
      <rPr>
        <rFont val="Calibri"/>
        <color theme="1"/>
        <sz val="12.0"/>
      </rPr>
      <t xml:space="preserve">Site in </t>
    </r>
    <r>
      <rPr>
        <rFont val="Calibri"/>
        <color rgb="FFFF0000"/>
        <sz val="12.0"/>
      </rPr>
      <t>Surip</t>
    </r>
  </si>
  <si>
    <r>
      <rPr>
        <rFont val="Calibri"/>
        <color theme="1"/>
        <sz val="12.0"/>
      </rPr>
      <t xml:space="preserve">Site at Silaqui Island and Guiguiwanen Bay </t>
    </r>
    <r>
      <rPr>
        <rFont val="Calibri"/>
        <color rgb="FFFF0000"/>
        <sz val="12.0"/>
      </rPr>
      <t>(E 119.875, 120: N 16.375, 16.4583333)</t>
    </r>
  </si>
  <si>
    <r>
      <rPr>
        <rFont val="Calibri"/>
        <color theme="1"/>
        <sz val="12.0"/>
      </rPr>
      <t xml:space="preserve">Site at </t>
    </r>
    <r>
      <rPr>
        <rFont val="Calibri"/>
        <color rgb="FFFF0000"/>
        <sz val="12.0"/>
      </rPr>
      <t xml:space="preserve">Lucero Reef Flat, </t>
    </r>
    <r>
      <rPr>
        <rFont val="Calibri"/>
        <color theme="1"/>
        <sz val="12.0"/>
      </rPr>
      <t>Santiago Island</t>
    </r>
  </si>
  <si>
    <r>
      <rPr>
        <rFont val="Calibri"/>
        <color theme="1"/>
        <sz val="12.0"/>
      </rPr>
      <t xml:space="preserve">Research; </t>
    </r>
    <r>
      <rPr>
        <rFont val="Calibri"/>
        <color rgb="FFFF0000"/>
        <sz val="12.0"/>
      </rPr>
      <t>Determine growth and mortality of transplants of two species of scleractinian corals</t>
    </r>
  </si>
  <si>
    <r>
      <rPr>
        <rFont val="Calibri"/>
        <color theme="1"/>
        <sz val="12.0"/>
      </rPr>
      <t xml:space="preserve">Research; </t>
    </r>
    <r>
      <rPr>
        <rFont val="Calibri"/>
        <color rgb="FFFF0000"/>
        <sz val="12.0"/>
      </rPr>
      <t>Investigated the growth rate of transplanted Acropora pulchra</t>
    </r>
  </si>
  <si>
    <r>
      <rPr>
        <rFont val="Calibri"/>
        <color theme="1"/>
        <sz val="12.0"/>
      </rPr>
      <t xml:space="preserve">Site at Cangaluyan Island; </t>
    </r>
    <r>
      <rPr>
        <rFont val="Calibri"/>
        <color rgb="FFFF0000"/>
        <sz val="12.0"/>
      </rPr>
      <t>(N 16.3666667, E 120)</t>
    </r>
  </si>
  <si>
    <r>
      <rPr>
        <rFont val="Calibri"/>
        <color theme="1"/>
        <sz val="12.0"/>
      </rPr>
      <t xml:space="preserve">Site at Santiago Island; </t>
    </r>
    <r>
      <rPr>
        <rFont val="Calibri"/>
        <color rgb="FFFF0000"/>
        <sz val="12.0"/>
      </rPr>
      <t>(N 16.342, E 119.90)</t>
    </r>
  </si>
  <si>
    <r>
      <rPr>
        <rFont val="Calibri"/>
        <color theme="1"/>
        <sz val="12.0"/>
      </rPr>
      <t xml:space="preserve">Research; </t>
    </r>
    <r>
      <rPr>
        <rFont val="Calibri"/>
        <color rgb="FFFF0000"/>
        <sz val="12.0"/>
      </rPr>
      <t>Survival and growth of Porites scleratinian coral transplants</t>
    </r>
  </si>
  <si>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</si>
  <si>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</si>
  <si>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</si>
  <si>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r>
      <rPr>
        <rFont val="Calibri"/>
        <color rgb="FFFF0000"/>
        <sz val="12.0"/>
      </rPr>
      <t xml:space="preserve">Site at Riripayan Point (N 16.3833333; E 119.91805555555555); </t>
    </r>
    <r>
      <rPr>
        <rFont val="Calibri"/>
        <color theme="1"/>
        <sz val="12.0"/>
      </rPr>
      <t>Survivorship of coral juveniles in a fish farm environment</t>
    </r>
  </si>
  <si>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</si>
  <si>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</si>
  <si>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</si>
  <si>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r>
      <rPr>
        <rFont val="Calibri"/>
        <color theme="1"/>
        <sz val="12.0"/>
      </rPr>
      <t xml:space="preserve">Research; </t>
    </r>
    <r>
      <rPr>
        <rFont val="Calibri"/>
        <color rgb="FFFF0000"/>
        <sz val="12.0"/>
      </rPr>
      <t>Comparison of three types of adhesives in attaching coral transplants</t>
    </r>
  </si>
  <si>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</si>
  <si>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</si>
  <si>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</si>
  <si>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rgb="FFFF0000"/>
        <sz val="12.0"/>
      </rPr>
      <t xml:space="preserve">Site in Santiago Island (N 16.4454167, E 119.92408333333334); </t>
    </r>
    <r>
      <rPr>
        <rFont val="Calibri"/>
        <color theme="1"/>
        <sz val="12.0"/>
      </rPr>
      <t>Employing a highly fragmented, weedy coral species in reef restoration</t>
    </r>
  </si>
  <si>
    <r>
      <rPr>
        <rFont val="Calibri"/>
        <color rgb="FFFF0000"/>
        <sz val="12.0"/>
      </rPr>
      <t xml:space="preserve">Asexual Reproduction; </t>
    </r>
    <r>
      <rPr>
        <rFont val="Calibri"/>
        <color theme="1"/>
        <sz val="12.0"/>
      </rPr>
      <t>Sexual Reproduction</t>
    </r>
  </si>
  <si>
    <r>
      <rPr>
        <rFont val="Calibri"/>
        <color theme="1"/>
        <sz val="12.0"/>
      </rPr>
      <t xml:space="preserve">European Union INCO-DEV Project; </t>
    </r>
    <r>
      <rPr>
        <rFont val="Calibri"/>
        <color rgb="FFFF0000"/>
        <sz val="12.0"/>
      </rPr>
      <t>Singapore Ministry of Education Academic Research Fund Tier 1 FRC</t>
    </r>
  </si>
  <si>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</si>
  <si>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</si>
  <si>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</si>
  <si>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</si>
  <si>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</si>
  <si>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</si>
  <si>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</si>
  <si>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r>
      <rPr>
        <rFont val="Calibri"/>
        <color theme="1"/>
        <sz val="12.0"/>
      </rPr>
      <t xml:space="preserve">Sexual Reproduction; </t>
    </r>
    <r>
      <rPr>
        <rFont val="Calibri"/>
        <color rgb="FFFF0000"/>
        <sz val="12.0"/>
      </rPr>
      <t>Asexual Reproduction</t>
    </r>
  </si>
  <si>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</si>
  <si>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</si>
  <si>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</si>
  <si>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</si>
  <si>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</si>
  <si>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</si>
  <si>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r>
      <rPr>
        <rFont val="Calibri"/>
        <color theme="1"/>
        <sz val="12.0"/>
      </rPr>
      <t xml:space="preserve">Creation of MPA; </t>
    </r>
    <r>
      <rPr>
        <rFont val="Calibri"/>
        <color rgb="FFFF0000"/>
        <sz val="12.0"/>
      </rPr>
      <t>Boost the marine ecosystem and increase local fish catch</t>
    </r>
  </si>
  <si>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</si>
  <si>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</si>
  <si>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t>;09503417670</t>
  </si>
  <si>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</si>
  <si>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r>
      <rPr>
        <rFont val="Calibri"/>
        <color theme="1"/>
        <sz val="12.0"/>
      </rPr>
      <t>Breeding ground</t>
    </r>
    <r>
      <rPr>
        <rFont val="Calibri"/>
        <color rgb="FFFF0000"/>
        <sz val="12.0"/>
      </rPr>
      <t xml:space="preserve"> for small fish and coral growth</t>
    </r>
    <r>
      <rPr>
        <rFont val="Calibri"/>
        <color theme="1"/>
        <sz val="12.0"/>
      </rPr>
      <t>; tourism</t>
    </r>
  </si>
  <si>
    <r>
      <rPr>
        <rFont val="Calibri"/>
        <color rgb="FFFF0000"/>
        <sz val="12.0"/>
      </rPr>
      <t>Regional Coral Restoration and Appropriate Technologies for Larger-Scale Coral &amp; Fish Habitat Restoration in the Philippines and Australia</t>
    </r>
    <r>
      <rPr>
        <rFont val="Calibri"/>
        <color theme="1"/>
        <sz val="12.0"/>
      </rPr>
      <t xml:space="preserve"> </t>
    </r>
    <r>
      <rPr>
        <rFont val="Calibri"/>
        <color rgb="FFFF0000"/>
        <sz val="12.0"/>
      </rPr>
      <t>(FIS 2019/23)</t>
    </r>
  </si>
  <si>
    <r>
      <rPr>
        <rFont val="Calibri"/>
        <color theme="1"/>
        <sz val="12.0"/>
      </rPr>
      <t xml:space="preserve">Larval enhancement </t>
    </r>
    <r>
      <rPr>
        <rFont val="Calibri"/>
        <color rgb="FFFF0000"/>
        <sz val="12.0"/>
      </rPr>
      <t>and reseeding</t>
    </r>
  </si>
  <si>
    <r>
      <rPr>
        <rFont val="Calibri"/>
        <color theme="1"/>
        <sz val="12.0"/>
      </rPr>
      <t xml:space="preserve">Transplantation; </t>
    </r>
    <r>
      <rPr>
        <rFont val="Calibri"/>
        <color rgb="FFFF0000"/>
        <sz val="12.0"/>
      </rPr>
      <t>AR art installations</t>
    </r>
  </si>
  <si>
    <r>
      <rPr>
        <rFont val="Calibri"/>
        <color rgb="FFFF0000"/>
        <sz val="12.0"/>
      </rPr>
      <t xml:space="preserve">Part of the Coral Restoration Field Laboratory; </t>
    </r>
    <r>
      <rPr>
        <rFont val="Calibri"/>
        <color theme="1"/>
        <sz val="12.0"/>
      </rPr>
      <t>MIPC corporate social responsibility program</t>
    </r>
  </si>
  <si>
    <r>
      <rPr>
        <rFont val="Calibri"/>
        <color theme="1"/>
        <sz val="12.0"/>
      </rPr>
      <t xml:space="preserve">Restore ecosystems; </t>
    </r>
    <r>
      <rPr>
        <rFont val="Calibri"/>
        <color rgb="FFFF0000"/>
        <sz val="12.0"/>
      </rPr>
      <t>Coral restoration; mitigate effects of climate change</t>
    </r>
  </si>
  <si>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</si>
  <si>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r>
      <rPr>
        <rFont val="Calibri"/>
        <color theme="10"/>
        <sz val="12.0"/>
      </rPr>
      <t xml:space="preserve">https://manilaustimes.wordpress.com/2012/05/17/rotary-club-launches-adopt-a-coral-in-nasugbu/; </t>
    </r>
    <r>
      <rPr>
        <rFont val="Calibri (Body)"/>
        <color rgb="FFFF0000"/>
        <sz val="12.0"/>
        <u/>
      </rPr>
      <t>https://feed.org.ph/media-centre/press-releases-2015/adopt-a-coral-project-extends-its-outreach-through-feed/</t>
    </r>
  </si>
  <si>
    <r>
      <rPr>
        <rFont val="Calibri"/>
        <color theme="1"/>
        <sz val="12.0"/>
      </rPr>
      <t xml:space="preserve">De la Salle University, </t>
    </r>
    <r>
      <rPr>
        <rFont val="Calibri"/>
        <color rgb="FFFF0000"/>
        <sz val="12.0"/>
      </rPr>
      <t>Pusod Inc.</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</si>
  <si>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</si>
  <si>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</si>
  <si>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</si>
  <si>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0"/>
        <sz val="12.0"/>
      </rPr>
      <t xml:space="preserve">https://www.thescubanews.com/2014/08/06/reefbud-technology-downsized-to-broaden-appeal/; </t>
    </r>
    <r>
      <rPr>
        <rFont val="Calibri (Body)"/>
        <color rgb="FFFF0000"/>
        <sz val="12.0"/>
        <u/>
      </rPr>
      <t>https://sites.google.com/a/islandecosystems.org/gics</t>
    </r>
  </si>
  <si>
    <r>
      <rPr>
        <rFont val="Calibri"/>
        <color theme="1"/>
        <sz val="12.0"/>
      </rPr>
      <t xml:space="preserve">Restore </t>
    </r>
    <r>
      <rPr>
        <rFont val="Calibri"/>
        <color rgb="FFFF0000"/>
        <sz val="12.0"/>
      </rPr>
      <t xml:space="preserve">local </t>
    </r>
    <r>
      <rPr>
        <rFont val="Calibri"/>
        <color theme="1"/>
        <sz val="12.0"/>
      </rPr>
      <t>fisheries</t>
    </r>
  </si>
  <si>
    <r>
      <rPr>
        <rFont val="Calibri"/>
        <color theme="1"/>
        <sz val="12.0"/>
      </rPr>
      <t xml:space="preserve">Lucena </t>
    </r>
    <r>
      <rPr>
        <rFont val="Calibri"/>
        <color rgb="FFFF0000"/>
        <sz val="12.0"/>
      </rPr>
      <t>City</t>
    </r>
  </si>
  <si>
    <r>
      <rPr>
        <rFont val="Calibri"/>
        <color theme="1"/>
        <sz val="12.0"/>
      </rPr>
      <t xml:space="preserve">Lucena </t>
    </r>
    <r>
      <rPr>
        <rFont val="Calibri"/>
        <color rgb="FFFF0000"/>
        <sz val="12.0"/>
      </rPr>
      <t>City</t>
    </r>
  </si>
  <si>
    <r>
      <rPr>
        <rFont val="Calibri"/>
        <sz val="12.0"/>
      </rPr>
      <t xml:space="preserve">https://sevenseasmedia.org/biri-initiative-story-on-coral-restoration/; </t>
    </r>
    <r>
      <rPr>
        <rFont val="Calibri"/>
        <color rgb="FFFF0000"/>
        <sz val="12.0"/>
        <u/>
      </rPr>
      <t>https://www.thescubanews.com/2014/08/06/reefbud-technology-downsized-to-broaden-appeal/</t>
    </r>
  </si>
  <si>
    <r>
      <rPr>
        <rFont val="Calibri"/>
        <color theme="1"/>
        <sz val="12.0"/>
      </rPr>
      <t xml:space="preserve">Eco-Reefs; </t>
    </r>
    <r>
      <rPr>
        <rFont val="Calibri"/>
        <color rgb="FFFF0000"/>
        <sz val="12.0"/>
      </rPr>
      <t>ceramic stoneware</t>
    </r>
  </si>
  <si>
    <r>
      <rPr>
        <rFont val="Calibri"/>
        <color theme="1"/>
        <sz val="12.0"/>
      </rPr>
      <t xml:space="preserve">Rehabilitate coral reefs; </t>
    </r>
    <r>
      <rPr>
        <rFont val="Calibri"/>
        <color rgb="FFFF0000"/>
        <sz val="12.0"/>
      </rPr>
      <t>marine life recruitment</t>
    </r>
  </si>
  <si>
    <r>
      <rPr>
        <rFont val="Calibri"/>
        <color theme="1"/>
        <sz val="12.0"/>
      </rPr>
      <t xml:space="preserve">Transplantation; </t>
    </r>
    <r>
      <rPr>
        <rFont val="Calibri"/>
        <color rgb="FFFF0000"/>
        <sz val="12.0"/>
      </rPr>
      <t>Rubble stabilizing structures, dome tables, wrecks</t>
    </r>
  </si>
  <si>
    <r>
      <rPr>
        <rFont val="Calibri"/>
        <color theme="1"/>
        <sz val="12.0"/>
      </rPr>
      <t xml:space="preserve">Transplantation; </t>
    </r>
    <r>
      <rPr>
        <rFont val="Calibri"/>
        <color rgb="FFFF0000"/>
        <sz val="12.0"/>
      </rPr>
      <t>Rubble stabilizing structures, dome tables, wrecks</t>
    </r>
  </si>
  <si>
    <r>
      <rPr>
        <rFont val="Calibri"/>
        <color theme="1"/>
        <sz val="12.0"/>
      </rPr>
      <t xml:space="preserve">Sustainable development of property; </t>
    </r>
    <r>
      <rPr>
        <rFont val="Calibri"/>
        <color rgb="FFFF0000"/>
        <sz val="12.0"/>
      </rPr>
      <t>reef rehabilitation</t>
    </r>
  </si>
  <si>
    <r>
      <rPr>
        <rFont val="Calibri"/>
        <color theme="1"/>
        <sz val="12.0"/>
      </rPr>
      <t xml:space="preserve">Larval enhancement </t>
    </r>
    <r>
      <rPr>
        <rFont val="Calibri"/>
        <color rgb="FFFF0000"/>
        <sz val="12.0"/>
      </rPr>
      <t>and reseeding</t>
    </r>
  </si>
  <si>
    <r>
      <rPr>
        <rFont val="Calibri"/>
        <color theme="1"/>
        <sz val="12.0"/>
      </rPr>
      <t xml:space="preserve">Sulu Reef Prosthesis; </t>
    </r>
    <r>
      <rPr>
        <rFont val="Calibri"/>
        <color rgb="FFFF0000"/>
        <sz val="12.0"/>
      </rPr>
      <t>coral transplantation</t>
    </r>
  </si>
  <si>
    <r>
      <rPr>
        <rFont val="Calibri"/>
        <color theme="1"/>
        <sz val="12.0"/>
      </rPr>
      <t xml:space="preserve">Sulu Reef Prosthesis; </t>
    </r>
    <r>
      <rPr>
        <rFont val="Calibri"/>
        <color rgb="FFFF0000"/>
        <sz val="12.0"/>
      </rPr>
      <t>coral transplantation</t>
    </r>
  </si>
  <si>
    <r>
      <rPr>
        <rFont val="Calibri"/>
        <color theme="1"/>
        <sz val="12.0"/>
      </rPr>
      <t xml:space="preserve">Restoration </t>
    </r>
    <r>
      <rPr>
        <rFont val="Calibri"/>
        <color rgb="FFFF0000"/>
        <sz val="12.0"/>
      </rPr>
      <t>of the degraded reef</t>
    </r>
  </si>
  <si>
    <t>Region V</t>
  </si>
  <si>
    <r>
      <rPr>
        <rFont val="Calibri"/>
        <color theme="1"/>
        <sz val="12.0"/>
      </rPr>
      <t xml:space="preserve">CNU; </t>
    </r>
    <r>
      <rPr>
        <rFont val="Calibri"/>
        <color rgb="FFFF0000"/>
        <sz val="12.0"/>
      </rPr>
      <t>coral transplantation</t>
    </r>
  </si>
  <si>
    <r>
      <rPr>
        <rFont val="Calibri"/>
        <color theme="1"/>
        <sz val="12.0"/>
      </rPr>
      <t>Community awareness and protection</t>
    </r>
    <r>
      <rPr>
        <rFont val="Calibri"/>
        <color rgb="FFFF0000"/>
        <sz val="12.0"/>
      </rPr>
      <t xml:space="preserve"> of coral reefs</t>
    </r>
  </si>
  <si>
    <r>
      <rPr>
        <rFont val="Calibri"/>
        <color theme="1"/>
        <sz val="12.0"/>
      </rPr>
      <t xml:space="preserve">CNU; </t>
    </r>
    <r>
      <rPr>
        <rFont val="Calibri"/>
        <color rgb="FFFF0000"/>
        <sz val="12.0"/>
      </rPr>
      <t>coral transplantation</t>
    </r>
  </si>
  <si>
    <r>
      <rPr>
        <rFont val="Calibri"/>
        <color theme="1"/>
        <sz val="12.0"/>
      </rPr>
      <t xml:space="preserve">BFAR </t>
    </r>
    <r>
      <rPr>
        <rFont val="Calibri"/>
        <color rgb="FFFF0000"/>
        <sz val="12.0"/>
      </rPr>
      <t>Region 5</t>
    </r>
  </si>
  <si>
    <r>
      <rPr>
        <rFont val="Calibri"/>
        <color rgb="FFFF0000"/>
        <sz val="12.0"/>
      </rPr>
      <t>Iron bar dome CNU</t>
    </r>
    <r>
      <rPr>
        <rFont val="Calibri"/>
        <color theme="1"/>
        <sz val="12.0"/>
      </rPr>
      <t>; coral transplantation</t>
    </r>
  </si>
  <si>
    <r>
      <rPr>
        <rFont val="Calibri"/>
        <color theme="1"/>
        <sz val="12.0"/>
      </rPr>
      <t>Coral reef propagation and restoration;</t>
    </r>
    <r>
      <rPr>
        <rFont val="Calibri"/>
        <color rgb="FFFF0000"/>
        <sz val="12.0"/>
      </rPr>
      <t xml:space="preserve"> tourist attraction</t>
    </r>
  </si>
  <si>
    <r>
      <rPr>
        <rFont val="Calibri"/>
        <color theme="1"/>
        <sz val="12.0"/>
      </rPr>
      <t xml:space="preserve">Tabaco </t>
    </r>
    <r>
      <rPr>
        <rFont val="Calibri"/>
        <color rgb="FFFF0000"/>
        <sz val="12.0"/>
      </rPr>
      <t>City</t>
    </r>
  </si>
  <si>
    <r>
      <rPr>
        <rFont val="Calibri"/>
        <color theme="1"/>
        <sz val="12.0"/>
      </rPr>
      <t xml:space="preserve">Fishing; </t>
    </r>
    <r>
      <rPr>
        <rFont val="Calibri"/>
        <color rgb="FFFF0000"/>
        <sz val="12.0"/>
      </rPr>
      <t>In response to allegations that power plants were causing diminishing fish catch</t>
    </r>
  </si>
  <si>
    <r>
      <rPr>
        <rFont val="Calibri"/>
        <color rgb="FFFF0000"/>
        <sz val="12.0"/>
      </rPr>
      <t>Site in Calalanay Island</t>
    </r>
    <r>
      <rPr>
        <rFont val="Calibri"/>
        <color theme="1"/>
        <sz val="12.0"/>
      </rPr>
      <t>; Part of the celebration of Maritime and Archipelagic Awareness Month</t>
    </r>
  </si>
  <si>
    <t>Site in Caranan</t>
  </si>
  <si>
    <r>
      <rPr>
        <rFont val="Calibri"/>
        <color theme="1"/>
        <sz val="12.0"/>
      </rPr>
      <t>Tires, concrete</t>
    </r>
    <r>
      <rPr>
        <rFont val="Calibri"/>
        <color rgb="FFFF0000"/>
        <sz val="12.0"/>
      </rPr>
      <t xml:space="preserve"> cubes and pyramid</t>
    </r>
  </si>
  <si>
    <t>Region VI</t>
  </si>
  <si>
    <r>
      <rPr>
        <rFont val="Calibri"/>
        <color rgb="FFFF0000"/>
        <sz val="12.0"/>
      </rPr>
      <t>Address destructive fishing and declining fish catch</t>
    </r>
    <r>
      <rPr>
        <rFont val="Calibri"/>
        <color theme="1"/>
        <sz val="12.0"/>
      </rPr>
      <t xml:space="preserve">; Fish stock enhancement; fishing ground; </t>
    </r>
  </si>
  <si>
    <t>Region VII</t>
  </si>
  <si>
    <t>*Camotes site in source material</t>
  </si>
  <si>
    <t>Region VIII</t>
  </si>
  <si>
    <t>Online blog</t>
  </si>
  <si>
    <r>
      <rPr>
        <rFont val="Calibri"/>
        <color theme="1"/>
        <sz val="12.0"/>
      </rPr>
      <t>Scaph Pro Philippines;</t>
    </r>
    <r>
      <rPr>
        <rFont val="Calibri"/>
        <color rgb="FFFF0000"/>
        <sz val="12.0"/>
      </rPr>
      <t xml:space="preserve"> Life Time Dive Center</t>
    </r>
  </si>
  <si>
    <t>Region IX</t>
  </si>
  <si>
    <t>Region X</t>
  </si>
  <si>
    <r>
      <rPr>
        <rFont val="Calibri"/>
        <color theme="1"/>
        <sz val="12.0"/>
      </rPr>
      <t xml:space="preserve">PNP Regional Office 10, </t>
    </r>
    <r>
      <rPr>
        <rFont val="Calibri"/>
        <color rgb="FFFF0000"/>
        <sz val="12.0"/>
      </rPr>
      <t>PLGU</t>
    </r>
  </si>
  <si>
    <r>
      <rPr>
        <rFont val="Calibri"/>
        <color theme="1"/>
        <sz val="12.0"/>
      </rPr>
      <t xml:space="preserve">Ozamis </t>
    </r>
    <r>
      <rPr>
        <rFont val="Calibri"/>
        <color rgb="FFFF0000"/>
        <sz val="12.0"/>
      </rPr>
      <t>City</t>
    </r>
  </si>
  <si>
    <r>
      <rPr>
        <rFont val="Calibri"/>
        <color theme="1"/>
        <sz val="12.0"/>
      </rPr>
      <t xml:space="preserve">Ocean rehabilitation; </t>
    </r>
    <r>
      <rPr>
        <rFont val="Calibri"/>
        <color rgb="FFFF0000"/>
        <sz val="12.0"/>
      </rPr>
      <t>sustainable school-community based projects</t>
    </r>
  </si>
  <si>
    <r>
      <rPr>
        <rFont val="Calibri"/>
        <color theme="1"/>
        <sz val="12.0"/>
      </rPr>
      <t xml:space="preserve">BFAR; </t>
    </r>
    <r>
      <rPr>
        <rFont val="Calibri"/>
        <color rgb="FFFF0000"/>
        <sz val="12.0"/>
      </rPr>
      <t>Philippine Coast Guard</t>
    </r>
  </si>
  <si>
    <r>
      <rPr>
        <rFont val="Calibri"/>
        <color theme="1"/>
        <sz val="12.0"/>
      </rPr>
      <t xml:space="preserve">BFAR; </t>
    </r>
    <r>
      <rPr>
        <rFont val="Calibri"/>
        <color rgb="FFFF0000"/>
        <sz val="12.0"/>
      </rPr>
      <t>Philippine Coast Guard</t>
    </r>
  </si>
  <si>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</si>
  <si>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</si>
  <si>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t>Region XI</t>
  </si>
  <si>
    <r>
      <rPr>
        <rFont val="Calibri"/>
        <color theme="1"/>
        <sz val="12.0"/>
      </rPr>
      <t xml:space="preserve">CLGU; </t>
    </r>
    <r>
      <rPr>
        <rFont val="Calibri"/>
        <color rgb="FFFF0000"/>
        <sz val="12.0"/>
      </rPr>
      <t>Civil Military Operations Unit - Eastern Mindanao; Naval Special Operations Unit 7</t>
    </r>
  </si>
  <si>
    <r>
      <rPr>
        <rFont val="Calibri"/>
        <color theme="1"/>
        <sz val="12.0"/>
      </rPr>
      <t xml:space="preserve">Site in Brgy Tagbaobo; </t>
    </r>
    <r>
      <rPr>
        <rFont val="Calibri"/>
        <color rgb="FFFF0000"/>
        <sz val="12.0"/>
      </rPr>
      <t>coral planting inside a no-take sanctuary</t>
    </r>
  </si>
  <si>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</si>
  <si>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r>
      <rPr>
        <rFont val="Calibri"/>
        <color theme="1"/>
        <sz val="12.0"/>
      </rPr>
      <t xml:space="preserve">Tagum </t>
    </r>
    <r>
      <rPr>
        <rFont val="Calibri"/>
        <color rgb="FFFF0000"/>
        <sz val="12.0"/>
      </rPr>
      <t>City</t>
    </r>
  </si>
  <si>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</si>
  <si>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</si>
  <si>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t>Region XII</t>
  </si>
  <si>
    <r>
      <rPr>
        <rFont val="Calibri"/>
        <color theme="1"/>
        <sz val="12.0"/>
      </rPr>
      <t xml:space="preserve">General Santos </t>
    </r>
    <r>
      <rPr>
        <rFont val="Calibri"/>
        <color rgb="FFFF0000"/>
        <sz val="12.0"/>
      </rPr>
      <t>City</t>
    </r>
  </si>
  <si>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</si>
  <si>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</si>
  <si>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r>
      <rPr>
        <rFont val="Calibri"/>
        <color rgb="FFFF0000"/>
        <sz val="12.0"/>
      </rPr>
      <t>Site in Brgy Kawas</t>
    </r>
    <r>
      <rPr>
        <rFont val="Calibri"/>
        <color theme="1"/>
        <sz val="12.0"/>
      </rPr>
      <t>; Mentioned as one of the activities conducted under the project</t>
    </r>
  </si>
  <si>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</si>
  <si>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</si>
  <si>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t>Region XIII</t>
  </si>
  <si>
    <r>
      <rPr>
        <rFont val="Calibri"/>
        <color theme="1"/>
        <sz val="12.0"/>
      </rPr>
      <t xml:space="preserve">Cabadbaran </t>
    </r>
    <r>
      <rPr>
        <rFont val="Calibri"/>
        <color rgb="FFFF0000"/>
        <sz val="12.0"/>
      </rPr>
      <t>City</t>
    </r>
  </si>
  <si>
    <r>
      <rPr>
        <rFont val="Calibri"/>
        <color rgb="FFFF0000"/>
        <sz val="12.0"/>
      </rPr>
      <t>Site in Brgy Ipil MPA</t>
    </r>
    <r>
      <rPr>
        <rFont val="Calibri"/>
        <color theme="1"/>
        <sz val="12.0"/>
      </rPr>
      <t>; Site in Brgy Mabua</t>
    </r>
  </si>
  <si>
    <t>Manila, First District</t>
  </si>
  <si>
    <r>
      <rPr>
        <rFont val="Calibri"/>
        <color theme="1"/>
        <sz val="12.0"/>
      </rPr>
      <t xml:space="preserve">Coral Restoration Foundation; </t>
    </r>
    <r>
      <rPr>
        <rFont val="Calibri"/>
        <color rgb="FFFF0000"/>
        <sz val="12.0"/>
      </rPr>
      <t>MEAD Foundation</t>
    </r>
  </si>
  <si>
    <r>
      <rPr>
        <rFont val="Calibri"/>
        <color theme="1"/>
        <sz val="12.0"/>
      </rPr>
      <t xml:space="preserve">Site in Pura Vida Resort </t>
    </r>
    <r>
      <rPr>
        <rFont val="Calibri"/>
        <color rgb="FFFF0000"/>
        <sz val="12.0"/>
      </rPr>
      <t>house reef</t>
    </r>
  </si>
  <si>
    <r>
      <rPr>
        <rFont val="Calibri"/>
        <color theme="1"/>
        <sz val="12.0"/>
      </rPr>
      <t xml:space="preserve">Philippine Marines Western Mindanao Command </t>
    </r>
    <r>
      <rPr>
        <rFont val="Calibri"/>
        <color rgb="FFFF0000"/>
        <sz val="12.0"/>
      </rPr>
      <t>Marine Battallion Landing Team-3</t>
    </r>
  </si>
  <si>
    <t>Filipinnovation on Coral Reef Restoration Program</t>
  </si>
  <si>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</si>
  <si>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</si>
  <si>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r>
      <rPr>
        <rFont val="Calibri"/>
        <color theme="1"/>
        <sz val="12.0"/>
      </rPr>
      <t xml:space="preserve">Dr. Joven Cuanang / </t>
    </r>
    <r>
      <rPr>
        <rFont val="Calibri"/>
        <color rgb="FFFF0000"/>
        <sz val="12.0"/>
      </rPr>
      <t>Cong. Angelo Barba</t>
    </r>
  </si>
  <si>
    <r>
      <rPr>
        <rFont val="Calibri"/>
        <color theme="1"/>
        <sz val="12.0"/>
      </rPr>
      <t xml:space="preserve">Laoag </t>
    </r>
    <r>
      <rPr>
        <rFont val="Calibri"/>
        <color rgb="FFFF0000"/>
        <sz val="12.0"/>
      </rPr>
      <t>City</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</si>
  <si>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</si>
  <si>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</si>
  <si>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</si>
  <si>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San Fernando</t>
    </r>
  </si>
  <si>
    <r>
      <rPr>
        <rFont val="Calibri"/>
        <color rgb="FFFF0000"/>
        <sz val="12.0"/>
      </rPr>
      <t xml:space="preserve">City of </t>
    </r>
    <r>
      <rPr>
        <rFont val="Calibri"/>
        <color theme="1"/>
        <sz val="12.0"/>
      </rPr>
      <t>S</t>
    </r>
    <r>
      <rPr>
        <rFont val="Calibri"/>
        <color theme="1"/>
        <sz val="12.0"/>
      </rPr>
      <t>an Fernando</t>
    </r>
  </si>
  <si>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</si>
  <si>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</si>
  <si>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r>
      <rPr>
        <rFont val="Calibri"/>
        <color theme="1"/>
        <sz val="12.0"/>
      </rPr>
      <t xml:space="preserve">BFAR, </t>
    </r>
    <r>
      <rPr>
        <rFont val="Calibri"/>
        <color rgb="FFFF0000"/>
        <sz val="12.0"/>
      </rPr>
      <t>MLGU</t>
    </r>
  </si>
  <si>
    <r>
      <rPr>
        <rFont val="Calibri"/>
        <color theme="1"/>
        <sz val="12.0"/>
      </rPr>
      <t xml:space="preserve">Research; </t>
    </r>
    <r>
      <rPr>
        <rFont val="Calibri"/>
        <color rgb="FFFF0000"/>
        <sz val="12.0"/>
      </rPr>
      <t>experimental</t>
    </r>
  </si>
  <si>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</si>
  <si>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</si>
  <si>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</si>
  <si>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</si>
  <si>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</si>
  <si>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</si>
  <si>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r>
      <rPr>
        <rFont val="Calibri"/>
        <color theme="1"/>
        <sz val="12.0"/>
      </rPr>
      <t xml:space="preserve">University of the Philippines Diliman; </t>
    </r>
    <r>
      <rPr>
        <rFont val="Calibri"/>
        <color rgb="FFFF0000"/>
        <sz val="12.0"/>
      </rPr>
      <t>UP MSI</t>
    </r>
  </si>
  <si>
    <r>
      <rPr>
        <rFont val="Calibri"/>
        <color theme="1"/>
        <sz val="12.0"/>
      </rPr>
      <t xml:space="preserve">University of the Philippines Diliman; </t>
    </r>
    <r>
      <rPr>
        <rFont val="Calibri"/>
        <color rgb="FFFF0000"/>
        <sz val="12.0"/>
      </rPr>
      <t>UP MSI</t>
    </r>
  </si>
  <si>
    <r>
      <rPr>
        <rFont val="Calibri"/>
        <color theme="1"/>
        <sz val="12.0"/>
      </rPr>
      <t xml:space="preserve">Sexual Reproduction; </t>
    </r>
    <r>
      <rPr>
        <rFont val="Calibri"/>
        <color rgb="FFFF0000"/>
        <sz val="12.0"/>
      </rPr>
      <t>Asexual Reproduction</t>
    </r>
  </si>
  <si>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</si>
  <si>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</si>
  <si>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</si>
  <si>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r>
      <rPr>
        <rFont val="Calibri"/>
        <color theme="1"/>
        <sz val="12.0"/>
      </rPr>
      <t xml:space="preserve">Outplanting; </t>
    </r>
    <r>
      <rPr>
        <rFont val="Calibri"/>
        <color rgb="FFFF0000"/>
        <sz val="12.0"/>
      </rPr>
      <t>ex-situ nursery</t>
    </r>
  </si>
  <si>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</si>
  <si>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</si>
  <si>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</si>
  <si>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r>
      <rPr>
        <rFont val="Calibri"/>
        <color theme="1"/>
        <sz val="12.0"/>
      </rPr>
      <t xml:space="preserve">Site in </t>
    </r>
    <r>
      <rPr>
        <rFont val="Calibri"/>
        <color rgb="FFFF0000"/>
        <sz val="12.0"/>
      </rPr>
      <t>Surip</t>
    </r>
  </si>
  <si>
    <r>
      <rPr>
        <rFont val="Calibri"/>
        <color theme="1"/>
        <sz val="12.0"/>
      </rPr>
      <t xml:space="preserve">Site at Silaqui Island and Guiguiwanen Bay </t>
    </r>
    <r>
      <rPr>
        <rFont val="Calibri"/>
        <color rgb="FFFF0000"/>
        <sz val="12.0"/>
      </rPr>
      <t>(E 119.875, 120: N 16.375, 16.4583333)</t>
    </r>
  </si>
  <si>
    <r>
      <rPr>
        <rFont val="Calibri"/>
        <color theme="1"/>
        <sz val="12.0"/>
      </rPr>
      <t xml:space="preserve">Site at </t>
    </r>
    <r>
      <rPr>
        <rFont val="Calibri"/>
        <color rgb="FFFF0000"/>
        <sz val="12.0"/>
      </rPr>
      <t xml:space="preserve">Lucero Reef Flat, </t>
    </r>
    <r>
      <rPr>
        <rFont val="Calibri"/>
        <color theme="1"/>
        <sz val="12.0"/>
      </rPr>
      <t>Santiago Island</t>
    </r>
  </si>
  <si>
    <r>
      <rPr>
        <rFont val="Calibri"/>
        <color theme="1"/>
        <sz val="12.0"/>
      </rPr>
      <t xml:space="preserve">Research; </t>
    </r>
    <r>
      <rPr>
        <rFont val="Calibri"/>
        <color rgb="FFFF0000"/>
        <sz val="12.0"/>
      </rPr>
      <t>Determine growth and mortality of transplants of two species of scleractinian corals</t>
    </r>
  </si>
  <si>
    <r>
      <rPr>
        <rFont val="Calibri"/>
        <color theme="1"/>
        <sz val="12.0"/>
      </rPr>
      <t xml:space="preserve">Research; </t>
    </r>
    <r>
      <rPr>
        <rFont val="Calibri"/>
        <color rgb="FFFF0000"/>
        <sz val="12.0"/>
      </rPr>
      <t>Investigated the growth rate of transplanted Acropora pulchra</t>
    </r>
  </si>
  <si>
    <r>
      <rPr>
        <rFont val="Calibri"/>
        <color theme="1"/>
        <sz val="12.0"/>
      </rPr>
      <t xml:space="preserve">Site at Cangaluyan Island; </t>
    </r>
    <r>
      <rPr>
        <rFont val="Calibri"/>
        <color rgb="FFFF0000"/>
        <sz val="12.0"/>
      </rPr>
      <t>(N 16.3666667, E 120)</t>
    </r>
  </si>
  <si>
    <r>
      <rPr>
        <rFont val="Calibri"/>
        <color theme="1"/>
        <sz val="12.0"/>
      </rPr>
      <t xml:space="preserve">Site at Santiago Island; </t>
    </r>
    <r>
      <rPr>
        <rFont val="Calibri"/>
        <color rgb="FFFF0000"/>
        <sz val="12.0"/>
      </rPr>
      <t>(N 16.342, E 119.90)</t>
    </r>
  </si>
  <si>
    <r>
      <rPr>
        <rFont val="Calibri"/>
        <color theme="1"/>
        <sz val="12.0"/>
      </rPr>
      <t xml:space="preserve">Research; </t>
    </r>
    <r>
      <rPr>
        <rFont val="Calibri"/>
        <color rgb="FFFF0000"/>
        <sz val="12.0"/>
      </rPr>
      <t>Survival and growth of Porites scleratinian coral transplants</t>
    </r>
  </si>
  <si>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</si>
  <si>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</si>
  <si>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</si>
  <si>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r>
      <rPr>
        <rFont val="Calibri"/>
        <color rgb="FFFF0000"/>
        <sz val="12.0"/>
      </rPr>
      <t xml:space="preserve">Site at Riripayan Point (N 16.3833333; E 119.91805555555555); </t>
    </r>
    <r>
      <rPr>
        <rFont val="Calibri"/>
        <color theme="1"/>
        <sz val="12.0"/>
      </rPr>
      <t>Survivorship of coral juveniles in a fish farm environment</t>
    </r>
  </si>
  <si>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</si>
  <si>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</si>
  <si>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</si>
  <si>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r>
      <rPr>
        <rFont val="Calibri"/>
        <color theme="1"/>
        <sz val="12.0"/>
      </rPr>
      <t xml:space="preserve">Research; </t>
    </r>
    <r>
      <rPr>
        <rFont val="Calibri"/>
        <color rgb="FFFF0000"/>
        <sz val="12.0"/>
      </rPr>
      <t>Comparison of three types of adhesives in attaching coral transplants</t>
    </r>
  </si>
  <si>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</si>
  <si>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</si>
  <si>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</si>
  <si>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rgb="FFFF0000"/>
        <sz val="12.0"/>
      </rPr>
      <t xml:space="preserve">Site in Santiago Island (N 16.4454167, E 119.92408333333334); </t>
    </r>
    <r>
      <rPr>
        <rFont val="Calibri"/>
        <color theme="1"/>
        <sz val="12.0"/>
      </rPr>
      <t>Employing a highly fragmented, weedy coral species in reef restoration</t>
    </r>
  </si>
  <si>
    <r>
      <rPr>
        <rFont val="Calibri"/>
        <color rgb="FFFF0000"/>
        <sz val="12.0"/>
      </rPr>
      <t xml:space="preserve">Asexual Reproduction; </t>
    </r>
    <r>
      <rPr>
        <rFont val="Calibri"/>
        <color theme="1"/>
        <sz val="12.0"/>
      </rPr>
      <t>Sexual Reproduction</t>
    </r>
  </si>
  <si>
    <r>
      <rPr>
        <rFont val="Calibri"/>
        <color theme="1"/>
        <sz val="12.0"/>
      </rPr>
      <t xml:space="preserve">European Union INCO-DEV Project; </t>
    </r>
    <r>
      <rPr>
        <rFont val="Calibri"/>
        <color rgb="FFFF0000"/>
        <sz val="12.0"/>
      </rPr>
      <t>Singapore Ministry of Education Academic Research Fund Tier 1 FRC</t>
    </r>
  </si>
  <si>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</si>
  <si>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</si>
  <si>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</si>
  <si>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</si>
  <si>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</si>
  <si>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</si>
  <si>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</si>
  <si>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r>
      <rPr>
        <rFont val="Calibri"/>
        <color theme="1"/>
        <sz val="12.0"/>
      </rPr>
      <t xml:space="preserve">Sexual Reproduction; </t>
    </r>
    <r>
      <rPr>
        <rFont val="Calibri"/>
        <color rgb="FFFF0000"/>
        <sz val="12.0"/>
      </rPr>
      <t>Asexual Reproduction</t>
    </r>
  </si>
  <si>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</si>
  <si>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</si>
  <si>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</si>
  <si>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</si>
  <si>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</si>
  <si>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</si>
  <si>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r>
      <rPr>
        <rFont val="Calibri"/>
        <color theme="1"/>
        <sz val="12.0"/>
      </rPr>
      <t xml:space="preserve">Creation of MPA; </t>
    </r>
    <r>
      <rPr>
        <rFont val="Calibri"/>
        <color rgb="FFFF0000"/>
        <sz val="12.0"/>
      </rPr>
      <t>Boost the marine ecosystem and increase local fish catch</t>
    </r>
  </si>
  <si>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</si>
  <si>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</si>
  <si>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t>*Stated as San Vicente municipality in Cagayan province in the literature but probably means Santa Ana</t>
  </si>
  <si>
    <t>Proceedings</t>
  </si>
  <si>
    <t>Private Sector</t>
  </si>
  <si>
    <t>Online news</t>
  </si>
  <si>
    <t>Tourism Industry</t>
  </si>
  <si>
    <t>Australian Aid</t>
  </si>
  <si>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</si>
  <si>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t>Fish stock rehabilitation</t>
  </si>
  <si>
    <t>Biri Initiative; Petron</t>
  </si>
  <si>
    <t>*Mention of deploying artificial reef structures (made from wine bottles) as reef extensions; Also sank boat and old steel pipes</t>
  </si>
  <si>
    <t>BFAR, DA, MLGU, BLGU, Fas</t>
  </si>
  <si>
    <t>30 Ars</t>
  </si>
  <si>
    <t>MEPCOM</t>
  </si>
  <si>
    <t>Lee, M. (2022, June 10). PCG-MEPCOM installs artificial reefs in Calatagan, Batangas. PTV News Para sa Bayan. https://ptvnews.ph/pcg-mepcom-installs-artificial-reefs-in-calatagan-batangas/</t>
  </si>
  <si>
    <t>https://ptvnews.ph/pcg-mepcom-installs-artificial-reefs-in-calatagan-batangas/; https://www.youtube.com/watch?v=f_suBsU00pw</t>
  </si>
  <si>
    <t>BNFM Batangas (2022, Sept. 23). Mga artificial reefs sa Calatagan, Batangas, habitat na ng mga marine lives. Brigada News. https://brigadanews.ph/mga-artificial-reefs-sa-calatagan-batangas-habitat-na-ng-marine-lives/</t>
  </si>
  <si>
    <t>2007, 2010</t>
  </si>
  <si>
    <t>Enhace coral cover; restore marine ecosystem</t>
  </si>
  <si>
    <t>Part of Shore It Up; MIPC corporate social responsibility program</t>
  </si>
  <si>
    <t>Artificial</t>
  </si>
  <si>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</si>
  <si>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t>https://manilaustimes.wordpress.com/2012/05/17/rotary-club-launches-adopt-a-coral-in-nasugbu/</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</si>
  <si>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</si>
  <si>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</si>
  <si>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</si>
  <si>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"Reefbuds"</t>
  </si>
  <si>
    <t>GICS Spotlight: Biri Initiative - Restoring Damaged Reefs and More (n.d.). Global Insular Conservation Society: Preserving species and habitat through education, conservation and research. https://sites.google.com/a/islandecosystems.org/gics</t>
  </si>
  <si>
    <t>DSWD Region IV-A (2016, March 2). Sa proyektong artificial coral reefs ng Kalahi-CIDSS, naniniwala ang mga mangingisdang katulad ni Eugenio Tierra na magiging maganda na [Image Attached] [Status Update]. Facebook. https://web.facebook.com/dswdfo4a/photos/sa-proyektong-artificial-coral-reefs-ng-kalahi-cidss-naniniwala-ang-mga-mangingi/555459207949192/?paipv=0&amp;eav=AfZhpuAhvbCm2RoEXWDWdfMbHCgbQ5zukqQ_eJZ_mxZwSKDSi2bu5ZYaxHAHzxah7N8&amp;_rdc=1&amp;_rdr</t>
  </si>
  <si>
    <t>Lucena</t>
  </si>
  <si>
    <t>*Site stated as Mayao Castillo; now part of Lucena City</t>
  </si>
  <si>
    <t>Foreign Government</t>
  </si>
  <si>
    <t>Fragments on coral domes and quadrats</t>
  </si>
  <si>
    <t xml:space="preserve"> </t>
  </si>
  <si>
    <t>Legazpi</t>
  </si>
  <si>
    <t>2 deployments in the same site</t>
  </si>
  <si>
    <t>2018, 2023</t>
  </si>
  <si>
    <t>BFAR-5 BUB</t>
  </si>
  <si>
    <t>Coral Genesis Project; The coral beads were implanted with 56 microsolar panels at the concrete structure, wires, lead conductor and glass jar</t>
  </si>
  <si>
    <t>Shaped like a giant bead rosary</t>
  </si>
  <si>
    <t>Coral reef propagation and restoration</t>
  </si>
  <si>
    <t>Tabaco</t>
  </si>
  <si>
    <t>Journal</t>
  </si>
  <si>
    <r>
      <rPr>
        <rFont val="Calibri"/>
        <color rgb="FFFF0000"/>
        <sz val="12.0"/>
      </rPr>
      <t>Address destructive fishing and declining fish catch</t>
    </r>
    <r>
      <rPr>
        <rFont val="Calibri"/>
        <color theme="1"/>
        <sz val="12.0"/>
      </rPr>
      <t xml:space="preserve">; Fish stock enhancement; fishing ground; </t>
    </r>
  </si>
  <si>
    <r>
      <rPr>
        <rFont val="Calibri"/>
        <color theme="1"/>
        <sz val="12.0"/>
      </rPr>
      <t>Scaph Pro Philippines;</t>
    </r>
    <r>
      <rPr>
        <rFont val="Calibri"/>
        <color rgb="FFFF0000"/>
        <sz val="12.0"/>
      </rPr>
      <t xml:space="preserve"> Life Time Dive Center</t>
    </r>
  </si>
  <si>
    <r>
      <rPr>
        <rFont val="Calibri"/>
        <color theme="1"/>
        <sz val="12.0"/>
      </rPr>
      <t xml:space="preserve">PNP Regional Office 10, </t>
    </r>
    <r>
      <rPr>
        <rFont val="Calibri"/>
        <color rgb="FFFF0000"/>
        <sz val="12.0"/>
      </rPr>
      <t>PLGU</t>
    </r>
  </si>
  <si>
    <t>(Mentions installation somewhere in a location in Lanao del Norte)</t>
  </si>
  <si>
    <t>Shields (2018, November 13). On the 20th of September, we established ARs (Artificial Coral Reefs) on a degraded area in Lanao del Norte [Status Update]. Facebook. https://web.facebook.com/shieldsconservation/?_rdc=1&amp;_rdr</t>
  </si>
  <si>
    <t>https://web.facebook.com/shieldsconservation/?_rdc=1&amp;_rdr; https://newsline.ph/top-stories/2020/06/29/gn-power-lgu-launch-scubasura-underwater-clean-up-initiative/</t>
  </si>
  <si>
    <r>
      <rPr>
        <rFont val="Calibri"/>
        <color theme="1"/>
        <sz val="12.0"/>
      </rPr>
      <t xml:space="preserve">Ozamis </t>
    </r>
    <r>
      <rPr>
        <rFont val="Calibri"/>
        <color rgb="FFFF0000"/>
        <sz val="12.0"/>
      </rPr>
      <t>City</t>
    </r>
  </si>
  <si>
    <r>
      <rPr>
        <rFont val="Calibri"/>
        <color theme="1"/>
        <sz val="12.0"/>
      </rPr>
      <t xml:space="preserve">Ocean rehabilitation; </t>
    </r>
    <r>
      <rPr>
        <rFont val="Calibri"/>
        <color rgb="FFFF0000"/>
        <sz val="12.0"/>
      </rPr>
      <t>sustainable school-community based projects</t>
    </r>
  </si>
  <si>
    <r>
      <rPr>
        <rFont val="Calibri"/>
        <color theme="1"/>
        <sz val="12.0"/>
      </rPr>
      <t xml:space="preserve">BFAR; </t>
    </r>
    <r>
      <rPr>
        <rFont val="Calibri"/>
        <color rgb="FFFF0000"/>
        <sz val="12.0"/>
      </rPr>
      <t>Philippine Coast Guard</t>
    </r>
  </si>
  <si>
    <r>
      <rPr>
        <rFont val="Calibri"/>
        <color theme="1"/>
        <sz val="12.0"/>
      </rPr>
      <t xml:space="preserve">BFAR; </t>
    </r>
    <r>
      <rPr>
        <rFont val="Calibri"/>
        <color rgb="FFFF0000"/>
        <sz val="12.0"/>
      </rPr>
      <t>Philippine Coast Guard</t>
    </r>
  </si>
  <si>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</si>
  <si>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</si>
  <si>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r>
      <rPr>
        <rFont val="Calibri"/>
        <color theme="1"/>
        <sz val="12.0"/>
      </rPr>
      <t xml:space="preserve">CLGU; </t>
    </r>
    <r>
      <rPr>
        <rFont val="Calibri"/>
        <color rgb="FFFF0000"/>
        <sz val="12.0"/>
      </rPr>
      <t>Civil Military Operations Unit - Eastern Mindanao; Naval Special Operations Unit 7</t>
    </r>
  </si>
  <si>
    <r>
      <rPr>
        <rFont val="Calibri"/>
        <color theme="1"/>
        <sz val="12.0"/>
      </rPr>
      <t xml:space="preserve">Site in Brgy Tagbaobo; </t>
    </r>
    <r>
      <rPr>
        <rFont val="Calibri"/>
        <color rgb="FFFF0000"/>
        <sz val="12.0"/>
      </rPr>
      <t>coral planting inside a no-take sanctuary</t>
    </r>
  </si>
  <si>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</si>
  <si>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r>
      <rPr>
        <rFont val="Calibri"/>
        <color theme="1"/>
        <sz val="12.0"/>
      </rPr>
      <t xml:space="preserve">Tagum </t>
    </r>
    <r>
      <rPr>
        <rFont val="Calibri"/>
        <color rgb="FFFF0000"/>
        <sz val="12.0"/>
      </rPr>
      <t>City</t>
    </r>
  </si>
  <si>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</si>
  <si>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</si>
  <si>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r>
      <rPr>
        <rFont val="Calibri"/>
        <color theme="1"/>
        <sz val="12.0"/>
      </rPr>
      <t xml:space="preserve">General Santos </t>
    </r>
    <r>
      <rPr>
        <rFont val="Calibri"/>
        <color rgb="FFFF0000"/>
        <sz val="12.0"/>
      </rPr>
      <t>City</t>
    </r>
  </si>
  <si>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</si>
  <si>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</si>
  <si>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r>
      <rPr>
        <rFont val="Calibri"/>
        <color rgb="FFFF0000"/>
        <sz val="12.0"/>
      </rPr>
      <t>Site in Brgy Kawas</t>
    </r>
    <r>
      <rPr>
        <rFont val="Calibri"/>
        <color theme="1"/>
        <sz val="12.0"/>
      </rPr>
      <t>; Mentioned as one of the activities conducted under the project</t>
    </r>
  </si>
  <si>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</si>
  <si>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</si>
  <si>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r>
      <rPr>
        <rFont val="Calibri"/>
        <color theme="1"/>
        <sz val="12.0"/>
      </rPr>
      <t xml:space="preserve">Cabadbaran </t>
    </r>
    <r>
      <rPr>
        <rFont val="Calibri"/>
        <color rgb="FFFF0000"/>
        <sz val="12.0"/>
      </rPr>
      <t>City</t>
    </r>
  </si>
  <si>
    <r>
      <rPr>
        <rFont val="Calibri"/>
        <color rgb="FFFF0000"/>
        <sz val="12.0"/>
      </rPr>
      <t>Site in Brgy Ipil MPA</t>
    </r>
    <r>
      <rPr>
        <rFont val="Calibri"/>
        <color theme="1"/>
        <sz val="12.0"/>
      </rPr>
      <t>; Site in Brgy Mabua</t>
    </r>
  </si>
  <si>
    <r>
      <rPr>
        <rFont val="Calibri"/>
        <color theme="1"/>
        <sz val="12.0"/>
      </rPr>
      <t xml:space="preserve">Coral Restoration Foundation; </t>
    </r>
    <r>
      <rPr>
        <rFont val="Calibri"/>
        <color rgb="FFFF0000"/>
        <sz val="12.0"/>
      </rPr>
      <t>MEAD Foundation</t>
    </r>
  </si>
  <si>
    <r>
      <rPr>
        <rFont val="Calibri"/>
        <color theme="1"/>
        <sz val="12.0"/>
      </rPr>
      <t xml:space="preserve">Site in Pura Vida Resort </t>
    </r>
    <r>
      <rPr>
        <rFont val="Calibri"/>
        <color rgb="FFFF0000"/>
        <sz val="12.0"/>
      </rPr>
      <t>house reef</t>
    </r>
  </si>
  <si>
    <r>
      <rPr>
        <rFont val="Calibri"/>
        <color theme="1"/>
        <sz val="12.0"/>
      </rPr>
      <t xml:space="preserve">Philippine Marines Western Mindanao Command </t>
    </r>
    <r>
      <rPr>
        <rFont val="Calibri"/>
        <color rgb="FFFF0000"/>
        <sz val="12.0"/>
      </rPr>
      <t>Marine Battallion Landing Team-3</t>
    </r>
  </si>
  <si>
    <t>Mun_code</t>
  </si>
  <si>
    <t>Project_title</t>
  </si>
  <si>
    <t>Resto_notes</t>
  </si>
  <si>
    <t>Yr_estab</t>
  </si>
  <si>
    <t>Proj_start</t>
  </si>
  <si>
    <t>Method</t>
  </si>
  <si>
    <t>Materials_orig</t>
  </si>
  <si>
    <t>Materials_cat</t>
  </si>
  <si>
    <t>Objective</t>
  </si>
  <si>
    <t>Funder</t>
  </si>
  <si>
    <t>Fund_Type</t>
  </si>
  <si>
    <t>Fund_Amt</t>
  </si>
  <si>
    <t>Extent</t>
  </si>
  <si>
    <t>Num_units</t>
  </si>
  <si>
    <t>Implementor</t>
  </si>
  <si>
    <t>Implementing_type</t>
  </si>
  <si>
    <t>Include</t>
  </si>
  <si>
    <t>Validation_notes</t>
  </si>
  <si>
    <t>For validation</t>
  </si>
  <si>
    <t>Laoag</t>
  </si>
  <si>
    <t>Candon</t>
  </si>
  <si>
    <t>Vigan</t>
  </si>
  <si>
    <t>Donor agency</t>
  </si>
  <si>
    <t>News article</t>
  </si>
  <si>
    <t>Site at Quezon Island, HINP</t>
  </si>
  <si>
    <t>CHED;</t>
  </si>
  <si>
    <t>UPMSI</t>
  </si>
  <si>
    <t>Restoring damaged coral reefs using mass coral larval reseeding</t>
  </si>
  <si>
    <t>UPMSI and Southern Cross University</t>
  </si>
  <si>
    <t>https://www.aciar.gov.au/publication/coral-reef-restoration-using-mass-coral-larval-reseeding-final-report</t>
  </si>
  <si>
    <t>CLGU; PAFI</t>
  </si>
  <si>
    <t>Direct transplantation;</t>
  </si>
  <si>
    <t>########</t>
  </si>
  <si>
    <t>University of the Philippines Diliman;</t>
  </si>
  <si>
    <t>Project 2A. Sexual Reproduction in Selected Reef Coral Species Across the Archipelago</t>
  </si>
  <si>
    <t>Final Report</t>
  </si>
  <si>
    <t>Enhancing Recovery by Transplantation of Corals project</t>
  </si>
  <si>
    <t>Pew Marine Conservation Fellowship awarded to EDGomez</t>
  </si>
  <si>
    <t>Growth and survivorship of juvenile corals outplanted to degraded reef areas in Bolinao-Anda Reef Complex, Philippines. Published 2012</t>
  </si>
  <si>
    <t>Larval collection and culture;</t>
  </si>
  <si>
    <t>Larval collection and culture; transplantation</t>
  </si>
  <si>
    <t>Research; Test the effect of supplying large numbers of coral larvae on replicate degraded reef areas</t>
  </si>
  <si>
    <t>Site in Magsaysay Reef;</t>
  </si>
  <si>
    <t>Larval collection;</t>
  </si>
  <si>
    <t>Hatchery and transplantation</t>
  </si>
  <si>
    <t>Double of #67?</t>
  </si>
  <si>
    <t>ADB, Overseas Economic Cooperation Fund of Japan</t>
  </si>
  <si>
    <t>Tank culture; Natural site at Santiago Island. Published 2003</t>
  </si>
  <si>
    <t>Site at Santiago Island. Published 2004</t>
  </si>
  <si>
    <t>Survivorship of coral juveniles in a fish farm environment. Published 2005</t>
  </si>
  <si>
    <t>Fish farm effluents alter reef benthic assemblages and reduce coral settlement. Published 2010</t>
  </si>
  <si>
    <t>UP OVPAA Balik-PhD; DOST-PCAARRD</t>
  </si>
  <si>
    <t>Timothy James Quimpo</t>
  </si>
  <si>
    <t>Comparison of three types of adhesive in attaching coral transplants to clam shell substrates. Published 2008</t>
  </si>
  <si>
    <t>Research; Selecting the appropriate means of attaching corals to substrates and</t>
  </si>
  <si>
    <t>Global Environment Facility / World Bank; European Union INCO Dev Project</t>
  </si>
  <si>
    <t>Fixed and suspended coral nurseries in the Philippines: Establishing the first step in the "gardening concept" of reef restoration</t>
  </si>
  <si>
    <t>PhD Research</t>
  </si>
  <si>
    <t>Site at Binlab and Malilnep Ac; Successful Transplantation of a Fragmenting Coral, Montipora digitata, for reef rehabilitationl (2011 publication year)</t>
  </si>
  <si>
    <t>How Quickly do Fragments of Coral "Self-Attach" after Transplantation. Mentioned in the 2011 Publication. Partnership with the GEF/ WB CRTR Project</t>
  </si>
  <si>
    <t>PENRO</t>
  </si>
  <si>
    <t>Mead Foundation, UPMSI</t>
  </si>
  <si>
    <t>MERF, University of Southern Cross</t>
  </si>
  <si>
    <t>https://www.philstar.com/headlines/2019/08/18/1944305/philippines-us-troops-install-artificial-habitat-reefs</t>
  </si>
  <si>
    <t>Philippine Coast Guard Auxiliary; LGU</t>
  </si>
  <si>
    <t>EcoReefs</t>
  </si>
  <si>
    <t>Philippine Gold Processing and Refining Corp.;</t>
  </si>
  <si>
    <t>Reef Ball Foundation US</t>
  </si>
  <si>
    <t>"demonstrate the viability of reef restoraion technique to encourage LGUs to adopt the method</t>
  </si>
  <si>
    <t>Antonino B. Mendoza; Plutomeo Nieves; Satoshi Kubota</t>
  </si>
  <si>
    <t>Fish stock enhancement; address declining fish catch</t>
  </si>
  <si>
    <t>Community Fishery Resources Management</t>
  </si>
  <si>
    <t>address declining fish catch</t>
  </si>
  <si>
    <t>(*Mention of deploying artificial reefs in three coastal barangays)</t>
  </si>
  <si>
    <t>(*Mention of artificial reef deployment under the Small Islands Agricultural Support Services Program (SMISLE))</t>
  </si>
  <si>
    <t>Tagbilaran</t>
  </si>
  <si>
    <t>Logon Fisherfolks Assoc.</t>
  </si>
  <si>
    <t>I think this project is linked to the previous one see Pew Marine Conservation Fellowship from EDG</t>
  </si>
  <si>
    <t>Bangcolotan site</t>
  </si>
  <si>
    <t>Lutoban site</t>
  </si>
  <si>
    <t>Dalakit site</t>
  </si>
  <si>
    <t>Borongan</t>
  </si>
  <si>
    <t>Research; Recovery of typhoon affected reefs;</t>
  </si>
  <si>
    <t>*Mentioned in the Oxfam Report that there were artificial reefs in Salcedo;</t>
  </si>
  <si>
    <t>**BFAR conducted Participatory Coastal Resource Assessment for the installation of artificial reefs in 2021 yet there are no articles stating that the installation was pushed through</t>
  </si>
  <si>
    <t>*There are tourism-related articles posted prior to 2021 which mentioned artificial reef sites in Pagadian, yet there are no official documents stating any submerging activity conducted by LGUs/organizations</t>
  </si>
  <si>
    <t>Abdkt Freedive Team Strong Scuba</t>
  </si>
  <si>
    <t>MLGU; PNP;</t>
  </si>
  <si>
    <t>Camiguin Polytechnic State College;</t>
  </si>
  <si>
    <t>Rotaract West CDO;</t>
  </si>
  <si>
    <t>Large coral clones</t>
  </si>
  <si>
    <t>Large coral clones out-plantation</t>
  </si>
  <si>
    <t>*Mentioned the turning over of artificial reefs by JCI Macajalar 24K</t>
  </si>
  <si>
    <t>MLGUs and Macajalar Bay Development Alliance</t>
  </si>
  <si>
    <t>Linamon Coral Reef Restoration and Enhancement Through Community-Based Coral Transplantation in a Marine Protected Area</t>
  </si>
  <si>
    <t>Artificial reef; Asexual Reproduction</t>
  </si>
  <si>
    <t>Sustainable Approaches Generating Opportunities to reduce Poverty”, aims to protect mother Earth through conducting purposeful activities and at the same time give assistance to the livelihood of the people.</t>
  </si>
  <si>
    <t>Rotary Club of Tagum;</t>
  </si>
  <si>
    <t>Tagum</t>
  </si>
  <si>
    <t>Mati</t>
  </si>
  <si>
    <t>*Mention of artificial reef deployment as part of the LGU's CRM activities</t>
  </si>
  <si>
    <t>Philippine Ports Authority</t>
  </si>
  <si>
    <t>Project Aware Foundation; Cambridge Dive Center</t>
  </si>
  <si>
    <t>South Cotabato Foundation Inc.</t>
  </si>
  <si>
    <t>Cabadbaran</t>
  </si>
  <si>
    <t>*Website mentions artificial reef monitoring by DENR</t>
  </si>
  <si>
    <t>Punta Bilar Surigao Divers Club</t>
  </si>
  <si>
    <t>*Mentioned in 6th Gawad Bayani ng Bayan, Center for Environmental Concerns; One of the activities of winner, NAMATI</t>
  </si>
  <si>
    <t>Cagdianao Mining Corporation</t>
  </si>
  <si>
    <t>Site in Manila Bay Fish Sanctuary; *Coordinates taken from https://www.bfar.da.gov.ph/wp-content/uploads/2021/04/FAO-No.-151-s.-1985.pdf; fronting Navotas and Tondo area in Manila and Orion in Bataan</t>
  </si>
  <si>
    <t>Material_type</t>
  </si>
  <si>
    <t>Material_used</t>
  </si>
  <si>
    <t>Nursery_type</t>
  </si>
  <si>
    <t>Other_material_info</t>
  </si>
  <si>
    <t>Sub technique/materials</t>
  </si>
  <si>
    <t/>
  </si>
  <si>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</si>
  <si>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</si>
  <si>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r>
      <rPr>
        <rFont val="Calibri"/>
        <color theme="1"/>
        <sz val="12.0"/>
      </rPr>
      <t xml:space="preserve">Dr. Joven Cuanang / </t>
    </r>
    <r>
      <rPr>
        <rFont val="Calibri"/>
        <color rgb="FFFF0000"/>
        <sz val="12.0"/>
      </rPr>
      <t>Cong. Angelo Barba</t>
    </r>
  </si>
  <si>
    <r>
      <rPr>
        <rFont val="Calibri"/>
        <color theme="1"/>
        <sz val="12.0"/>
      </rPr>
      <t xml:space="preserve">Laoag </t>
    </r>
    <r>
      <rPr>
        <rFont val="Calibri"/>
        <color rgb="FFFF0000"/>
        <sz val="12.0"/>
      </rPr>
      <t>City</t>
    </r>
  </si>
  <si>
    <r>
      <rPr>
        <rFont val="Calibri"/>
        <color theme="1"/>
        <sz val="12.0"/>
      </rPr>
      <t xml:space="preserve">Cabadbaran </t>
    </r>
    <r>
      <rPr>
        <rFont val="Calibri"/>
        <color rgb="FFFF0000"/>
        <sz val="12.0"/>
      </rPr>
      <t>City</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</si>
  <si>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</si>
  <si>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rgb="FFFF0000"/>
        <sz val="12.0"/>
      </rPr>
      <t>Address destructive fishing and declining fish catch</t>
    </r>
    <r>
      <rPr>
        <rFont val="Calibri"/>
        <color theme="1"/>
        <sz val="12.0"/>
      </rPr>
      <t xml:space="preserve">; Fish stock enhancement; fishing ground; </t>
    </r>
  </si>
  <si>
    <t xml:space="preserve">*Not indicated </t>
  </si>
  <si>
    <r>
      <rPr>
        <rFont val="Calibri"/>
        <color rgb="FFFF0000"/>
        <sz val="12.0"/>
      </rPr>
      <t xml:space="preserve">City of </t>
    </r>
    <r>
      <rPr>
        <rFont val="Calibri"/>
        <color theme="1"/>
        <sz val="12.0"/>
      </rPr>
      <t>Candon</t>
    </r>
  </si>
  <si>
    <t>2003</t>
  </si>
  <si>
    <r>
      <rPr>
        <rFont val="Calibri"/>
        <color rgb="FFFF0000"/>
        <sz val="12.0"/>
      </rPr>
      <t xml:space="preserve">City of </t>
    </r>
    <r>
      <rPr>
        <rFont val="Calibri"/>
        <color theme="1"/>
        <sz val="12.0"/>
      </rPr>
      <t>Candon</t>
    </r>
  </si>
  <si>
    <r>
      <rPr>
        <rFont val="Calibri"/>
        <color theme="1"/>
        <sz val="12.0"/>
      </rPr>
      <t xml:space="preserve">CNU; </t>
    </r>
    <r>
      <rPr>
        <rFont val="Calibri"/>
        <color rgb="FFFF0000"/>
        <sz val="12.0"/>
      </rPr>
      <t>coral transplantation</t>
    </r>
  </si>
  <si>
    <r>
      <rPr>
        <rFont val="Calibri"/>
        <color theme="1"/>
        <sz val="12.0"/>
      </rPr>
      <t>Community awareness and protection</t>
    </r>
    <r>
      <rPr>
        <rFont val="Calibri"/>
        <color rgb="FFFF0000"/>
        <sz val="12.0"/>
      </rPr>
      <t xml:space="preserve"> of coral reefs</t>
    </r>
  </si>
  <si>
    <r>
      <rPr>
        <rFont val="Calibri"/>
        <color theme="1"/>
        <sz val="12.0"/>
      </rPr>
      <t xml:space="preserve">CNU; </t>
    </r>
    <r>
      <rPr>
        <rFont val="Calibri"/>
        <color rgb="FFFF0000"/>
        <sz val="12.0"/>
      </rPr>
      <t>coral transplantation</t>
    </r>
  </si>
  <si>
    <r>
      <rPr>
        <rFont val="Calibri"/>
        <color theme="1"/>
        <sz val="12.0"/>
      </rPr>
      <t xml:space="preserve">BFAR </t>
    </r>
    <r>
      <rPr>
        <rFont val="Calibri"/>
        <color rgb="FFFF0000"/>
        <sz val="12.0"/>
      </rPr>
      <t>Region 5</t>
    </r>
  </si>
  <si>
    <r>
      <rPr>
        <rFont val="Calibri"/>
        <color rgb="FFFF0000"/>
        <sz val="12.0"/>
      </rPr>
      <t>Iron bar dome CNU</t>
    </r>
    <r>
      <rPr>
        <rFont val="Calibri"/>
        <color theme="1"/>
        <sz val="12.0"/>
      </rPr>
      <t>; coral transplantation</t>
    </r>
  </si>
  <si>
    <r>
      <rPr>
        <rFont val="Calibri"/>
        <color theme="1"/>
        <sz val="12.0"/>
      </rPr>
      <t>Coral reef propagation and restoration;</t>
    </r>
    <r>
      <rPr>
        <rFont val="Calibri"/>
        <color rgb="FFFF0000"/>
        <sz val="12.0"/>
      </rPr>
      <t xml:space="preserve"> tourist attraction</t>
    </r>
  </si>
  <si>
    <r>
      <rPr>
        <rFont val="Calibri"/>
        <color theme="1"/>
        <sz val="12.0"/>
      </rPr>
      <t xml:space="preserve">Tabaco </t>
    </r>
    <r>
      <rPr>
        <rFont val="Calibri"/>
        <color rgb="FFFF0000"/>
        <sz val="12.0"/>
      </rPr>
      <t>City</t>
    </r>
  </si>
  <si>
    <r>
      <rPr>
        <rFont val="Calibri"/>
        <color theme="1"/>
        <sz val="12.0"/>
      </rPr>
      <t xml:space="preserve">Fishing; </t>
    </r>
    <r>
      <rPr>
        <rFont val="Calibri"/>
        <color rgb="FFFF0000"/>
        <sz val="12.0"/>
      </rPr>
      <t>In response to allegations that power plants were causing diminishing fish catch</t>
    </r>
  </si>
  <si>
    <r>
      <rPr>
        <rFont val="Calibri"/>
        <color rgb="FFFF0000"/>
        <sz val="12.0"/>
      </rPr>
      <t xml:space="preserve">City of </t>
    </r>
    <r>
      <rPr>
        <rFont val="Calibri"/>
        <color theme="1"/>
        <sz val="12.0"/>
      </rPr>
      <t>San Fernando</t>
    </r>
  </si>
  <si>
    <r>
      <rPr>
        <rFont val="Calibri"/>
        <color rgb="FFFF0000"/>
        <sz val="12.0"/>
      </rPr>
      <t xml:space="preserve">City of </t>
    </r>
    <r>
      <rPr>
        <rFont val="Calibri"/>
        <color theme="1"/>
        <sz val="12.0"/>
      </rPr>
      <t>S</t>
    </r>
    <r>
      <rPr>
        <rFont val="Calibri"/>
        <color theme="1"/>
        <sz val="12.0"/>
      </rPr>
      <t>an Fernando</t>
    </r>
  </si>
  <si>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</si>
  <si>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</si>
  <si>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r>
      <rPr>
        <rFont val="Calibri"/>
        <color theme="1"/>
        <sz val="12.0"/>
      </rPr>
      <t xml:space="preserve">BFAR, </t>
    </r>
    <r>
      <rPr>
        <rFont val="Calibri"/>
        <color rgb="FFFF0000"/>
        <sz val="12.0"/>
      </rPr>
      <t>MLGU</t>
    </r>
  </si>
  <si>
    <r>
      <rPr>
        <rFont val="Calibri"/>
        <color theme="1"/>
        <sz val="12.0"/>
      </rPr>
      <t xml:space="preserve">Research; </t>
    </r>
    <r>
      <rPr>
        <rFont val="Calibri"/>
        <color rgb="FFFF0000"/>
        <sz val="12.0"/>
      </rPr>
      <t>experimental</t>
    </r>
  </si>
  <si>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</si>
  <si>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</si>
  <si>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r>
      <rPr>
        <rFont val="Calibri"/>
        <color theme="1"/>
        <sz val="12.0"/>
      </rPr>
      <t>Breeding ground</t>
    </r>
    <r>
      <rPr>
        <rFont val="Calibri"/>
        <color rgb="FFFF0000"/>
        <sz val="12.0"/>
      </rPr>
      <t xml:space="preserve"> for small fish and coral growth</t>
    </r>
    <r>
      <rPr>
        <rFont val="Calibri"/>
        <color theme="1"/>
        <sz val="12.0"/>
      </rPr>
      <t>; tourism</t>
    </r>
  </si>
  <si>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</si>
  <si>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</si>
  <si>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</si>
  <si>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</si>
  <si>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r>
      <rPr>
        <rFont val="Calibri"/>
        <color theme="1"/>
        <sz val="12.0"/>
      </rPr>
      <t xml:space="preserve">University of the Philippines Diliman; </t>
    </r>
    <r>
      <rPr>
        <rFont val="Calibri"/>
        <color rgb="FFFF0000"/>
        <sz val="12.0"/>
      </rPr>
      <t>UP MSI</t>
    </r>
  </si>
  <si>
    <r>
      <rPr>
        <rFont val="Calibri"/>
        <color theme="1"/>
        <sz val="12.0"/>
      </rPr>
      <t xml:space="preserve">University of the Philippines Diliman; </t>
    </r>
    <r>
      <rPr>
        <rFont val="Calibri"/>
        <color rgb="FFFF0000"/>
        <sz val="12.0"/>
      </rPr>
      <t>UP MSI</t>
    </r>
  </si>
  <si>
    <r>
      <rPr>
        <rFont val="Calibri"/>
        <color theme="1"/>
        <sz val="12.0"/>
      </rPr>
      <t xml:space="preserve">Sexual Reproduction; </t>
    </r>
    <r>
      <rPr>
        <rFont val="Calibri"/>
        <color rgb="FFFF0000"/>
        <sz val="12.0"/>
      </rPr>
      <t>Asexual Reproduction</t>
    </r>
  </si>
  <si>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</si>
  <si>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</si>
  <si>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</si>
  <si>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r>
      <rPr>
        <rFont val="Calibri"/>
        <color rgb="FFFF0000"/>
        <sz val="12.0"/>
      </rPr>
      <t>Regional Coral Restoration and Appropriate Technologies for Larger-Scale Coral &amp; Fish Habitat Restoration in the Philippines and Australia</t>
    </r>
    <r>
      <rPr>
        <rFont val="Calibri"/>
        <color theme="1"/>
        <sz val="12.0"/>
      </rPr>
      <t xml:space="preserve"> </t>
    </r>
    <r>
      <rPr>
        <rFont val="Calibri"/>
        <color rgb="FFFF0000"/>
        <sz val="12.0"/>
      </rPr>
      <t>(FIS 2019/23)</t>
    </r>
  </si>
  <si>
    <r>
      <rPr>
        <rFont val="Calibri"/>
        <color theme="1"/>
        <sz val="12.0"/>
      </rPr>
      <t xml:space="preserve">Larval enhancement </t>
    </r>
    <r>
      <rPr>
        <rFont val="Calibri"/>
        <color rgb="FFFF0000"/>
        <sz val="12.0"/>
      </rPr>
      <t>and reseeding</t>
    </r>
  </si>
  <si>
    <r>
      <rPr>
        <rFont val="Calibri"/>
        <color theme="1"/>
        <sz val="12.0"/>
      </rPr>
      <t xml:space="preserve">Outplanting; </t>
    </r>
    <r>
      <rPr>
        <rFont val="Calibri"/>
        <color rgb="FFFF0000"/>
        <sz val="12.0"/>
      </rPr>
      <t>ex-situ nursery</t>
    </r>
  </si>
  <si>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</si>
  <si>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</si>
  <si>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</si>
  <si>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r>
      <rPr>
        <rFont val="Calibri"/>
        <color theme="1"/>
        <sz val="12.0"/>
      </rPr>
      <t xml:space="preserve">Transplantation; </t>
    </r>
    <r>
      <rPr>
        <rFont val="Calibri"/>
        <color rgb="FFFF0000"/>
        <sz val="12.0"/>
      </rPr>
      <t>AR art installations</t>
    </r>
  </si>
  <si>
    <r>
      <rPr>
        <rFont val="Calibri"/>
        <color theme="1"/>
        <sz val="12.0"/>
      </rPr>
      <t xml:space="preserve">Site in </t>
    </r>
    <r>
      <rPr>
        <rFont val="Calibri"/>
        <color rgb="FFFF0000"/>
        <sz val="12.0"/>
      </rPr>
      <t>Surip</t>
    </r>
  </si>
  <si>
    <r>
      <rPr>
        <rFont val="Calibri"/>
        <color rgb="FFFF0000"/>
        <sz val="12.0"/>
      </rPr>
      <t xml:space="preserve">Part of the Coral Restoration Field Laboratory; </t>
    </r>
    <r>
      <rPr>
        <rFont val="Calibri"/>
        <color theme="1"/>
        <sz val="12.0"/>
      </rPr>
      <t>MIPC corporate social responsibility program</t>
    </r>
  </si>
  <si>
    <r>
      <rPr>
        <rFont val="Calibri"/>
        <color theme="1"/>
        <sz val="12.0"/>
      </rPr>
      <t xml:space="preserve">Restore ecosystems; </t>
    </r>
    <r>
      <rPr>
        <rFont val="Calibri"/>
        <color rgb="FFFF0000"/>
        <sz val="12.0"/>
      </rPr>
      <t>Coral restoration; mitigate effects of climate change</t>
    </r>
  </si>
  <si>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</si>
  <si>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r>
      <rPr>
        <rFont val="Calibri"/>
        <color theme="10"/>
        <sz val="12.0"/>
      </rPr>
      <t xml:space="preserve">https://manilaustimes.wordpress.com/2012/05/17/rotary-club-launches-adopt-a-coral-in-nasugbu/; </t>
    </r>
    <r>
      <rPr>
        <rFont val="Calibri (Body)"/>
        <color rgb="FFFF0000"/>
        <sz val="12.0"/>
        <u/>
      </rPr>
      <t>https://feed.org.ph/media-centre/press-releases-2015/adopt-a-coral-project-extends-its-outreach-through-feed/</t>
    </r>
  </si>
  <si>
    <r>
      <rPr>
        <rFont val="Calibri"/>
        <color theme="1"/>
        <sz val="12.0"/>
      </rPr>
      <t xml:space="preserve">De la Salle University, </t>
    </r>
    <r>
      <rPr>
        <rFont val="Calibri"/>
        <color rgb="FFFF0000"/>
        <sz val="12.0"/>
      </rPr>
      <t>Pusod Inc.</t>
    </r>
  </si>
  <si>
    <r>
      <rPr>
        <rFont val="Calibri"/>
        <color theme="1"/>
        <sz val="12.0"/>
      </rPr>
      <t xml:space="preserve">Site at Silaqui Island and Guiguiwanen Bay </t>
    </r>
    <r>
      <rPr>
        <rFont val="Calibri"/>
        <color rgb="FFFF0000"/>
        <sz val="12.0"/>
      </rPr>
      <t>(E 119.875, 120: N 16.375, 16.4583333)</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</si>
  <si>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</si>
  <si>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Site at </t>
    </r>
    <r>
      <rPr>
        <rFont val="Calibri"/>
        <color rgb="FFFF0000"/>
        <sz val="12.0"/>
      </rPr>
      <t xml:space="preserve">Lucero Reef Flat, </t>
    </r>
    <r>
      <rPr>
        <rFont val="Calibri"/>
        <color theme="1"/>
        <sz val="12.0"/>
      </rPr>
      <t>Santiago Island</t>
    </r>
  </si>
  <si>
    <r>
      <rPr>
        <rFont val="Calibri"/>
        <color theme="1"/>
        <sz val="12.0"/>
      </rPr>
      <t xml:space="preserve">Research; </t>
    </r>
    <r>
      <rPr>
        <rFont val="Calibri"/>
        <color rgb="FFFF0000"/>
        <sz val="12.0"/>
      </rPr>
      <t>Determine growth and mortality of transplants of two species of scleractinian corals</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</si>
  <si>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</si>
  <si>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Research; </t>
    </r>
    <r>
      <rPr>
        <rFont val="Calibri"/>
        <color rgb="FFFF0000"/>
        <sz val="12.0"/>
      </rPr>
      <t>Investigated the growth rate of transplanted Acropora pulchra</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</si>
  <si>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</si>
  <si>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Site at Cangaluyan Island; </t>
    </r>
    <r>
      <rPr>
        <rFont val="Calibri"/>
        <color rgb="FFFF0000"/>
        <sz val="12.0"/>
      </rPr>
      <t>(N 16.3666667, E 120)</t>
    </r>
  </si>
  <si>
    <r>
      <rPr>
        <rFont val="Calibri"/>
        <color theme="1"/>
        <sz val="12.0"/>
      </rPr>
      <t xml:space="preserve">Site at Santiago Island; </t>
    </r>
    <r>
      <rPr>
        <rFont val="Calibri"/>
        <color rgb="FFFF0000"/>
        <sz val="12.0"/>
      </rPr>
      <t>(N 16.342, E 119.90)</t>
    </r>
  </si>
  <si>
    <r>
      <rPr>
        <rFont val="Calibri"/>
        <color theme="1"/>
        <sz val="12.0"/>
      </rPr>
      <t xml:space="preserve">Research; </t>
    </r>
    <r>
      <rPr>
        <rFont val="Calibri"/>
        <color rgb="FFFF0000"/>
        <sz val="12.0"/>
      </rPr>
      <t>Survival and growth of Porites scleratinian coral transplants</t>
    </r>
  </si>
  <si>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</si>
  <si>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</si>
  <si>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</si>
  <si>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r>
      <rPr>
        <rFont val="Calibri"/>
        <color rgb="FFFF0000"/>
        <sz val="12.0"/>
      </rPr>
      <t xml:space="preserve">Site at Riripayan Point (N 16.3833333; E 119.91805555555555); </t>
    </r>
    <r>
      <rPr>
        <rFont val="Calibri"/>
        <color theme="1"/>
        <sz val="12.0"/>
      </rPr>
      <t>Survivorship of coral juveniles in a fish farm environment</t>
    </r>
  </si>
  <si>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</si>
  <si>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</si>
  <si>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</si>
  <si>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r>
      <rPr>
        <rFont val="Calibri"/>
        <color theme="1"/>
        <sz val="12.0"/>
      </rPr>
      <t xml:space="preserve">Research; </t>
    </r>
    <r>
      <rPr>
        <rFont val="Calibri"/>
        <color rgb="FFFF0000"/>
        <sz val="12.0"/>
      </rPr>
      <t>Comparison of three types of adhesives in attaching coral transplants</t>
    </r>
  </si>
  <si>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</si>
  <si>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</si>
  <si>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</si>
  <si>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rgb="FFFF0000"/>
        <sz val="12.0"/>
      </rPr>
      <t xml:space="preserve">Site in Santiago Island (N 16.4454167, E 119.92408333333334); </t>
    </r>
    <r>
      <rPr>
        <rFont val="Calibri"/>
        <color theme="1"/>
        <sz val="12.0"/>
      </rPr>
      <t>Employing a highly fragmented, weedy coral species in reef restoration</t>
    </r>
  </si>
  <si>
    <r>
      <rPr>
        <rFont val="Calibri"/>
        <color rgb="FFFF0000"/>
        <sz val="12.0"/>
      </rPr>
      <t xml:space="preserve">Asexual Reproduction; </t>
    </r>
    <r>
      <rPr>
        <rFont val="Calibri"/>
        <color theme="1"/>
        <sz val="12.0"/>
      </rPr>
      <t>Sexual Reproduction</t>
    </r>
  </si>
  <si>
    <r>
      <rPr>
        <rFont val="Calibri"/>
        <color theme="1"/>
        <sz val="12.0"/>
      </rPr>
      <t xml:space="preserve">European Union INCO-DEV Project; </t>
    </r>
    <r>
      <rPr>
        <rFont val="Calibri"/>
        <color rgb="FFFF0000"/>
        <sz val="12.0"/>
      </rPr>
      <t>Singapore Ministry of Education Academic Research Fund Tier 1 FRC</t>
    </r>
  </si>
  <si>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</si>
  <si>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</si>
  <si>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</si>
  <si>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</si>
  <si>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</si>
  <si>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</si>
  <si>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</si>
  <si>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r>
      <rPr>
        <rFont val="Calibri"/>
        <color theme="1"/>
        <sz val="12.0"/>
      </rPr>
      <t xml:space="preserve">Sexual Reproduction; </t>
    </r>
    <r>
      <rPr>
        <rFont val="Calibri"/>
        <color rgb="FFFF0000"/>
        <sz val="12.0"/>
      </rPr>
      <t>Asexual Reproduction</t>
    </r>
  </si>
  <si>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</si>
  <si>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</si>
  <si>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</si>
  <si>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</si>
  <si>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</si>
  <si>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Site in Calalanay Island</t>
    </r>
    <r>
      <rPr>
        <rFont val="Calibri"/>
        <color theme="1"/>
        <sz val="12.0"/>
      </rPr>
      <t>; Part of the celebration of Maritime and Archipelagic Awareness Month</t>
    </r>
  </si>
  <si>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</si>
  <si>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r>
      <rPr>
        <rFont val="Calibri"/>
        <color theme="1"/>
        <sz val="12.0"/>
      </rPr>
      <t xml:space="preserve">Creation of MPA; </t>
    </r>
    <r>
      <rPr>
        <rFont val="Calibri"/>
        <color rgb="FFFF0000"/>
        <sz val="12.0"/>
      </rPr>
      <t>Boost the marine ecosystem and increase local fish catch</t>
    </r>
  </si>
  <si>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</si>
  <si>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</si>
  <si>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r>
      <rPr>
        <rFont val="Calibri"/>
        <color theme="1"/>
        <sz val="12.0"/>
      </rPr>
      <t>Tires, concrete</t>
    </r>
    <r>
      <rPr>
        <rFont val="Calibri"/>
        <color rgb="FFFF0000"/>
        <sz val="12.0"/>
      </rPr>
      <t xml:space="preserve"> cubes and pyramid</t>
    </r>
  </si>
  <si>
    <r>
      <rPr>
        <rFont val="Calibri"/>
        <color theme="1"/>
        <sz val="12.0"/>
      </rPr>
      <t xml:space="preserve">PNP Regional Office 10, </t>
    </r>
    <r>
      <rPr>
        <rFont val="Calibri"/>
        <color rgb="FFFF0000"/>
        <sz val="12.0"/>
      </rPr>
      <t>PLGU</t>
    </r>
  </si>
  <si>
    <r>
      <rPr>
        <rFont val="Calibri"/>
        <color theme="10"/>
        <sz val="12.0"/>
      </rPr>
      <t xml:space="preserve">https://www.thescubanews.com/2014/08/06/reefbud-technology-downsized-to-broaden-appeal/; </t>
    </r>
    <r>
      <rPr>
        <rFont val="Calibri (Body)"/>
        <color rgb="FFFF0000"/>
        <sz val="12.0"/>
        <u/>
      </rPr>
      <t>https://sites.google.com/a/islandecosystems.org/gics</t>
    </r>
  </si>
  <si>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</si>
  <si>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t>Tire</t>
  </si>
  <si>
    <t>1988</t>
  </si>
  <si>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</si>
  <si>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r>
      <rPr>
        <rFont val="Calibri"/>
        <i/>
        <color theme="1"/>
        <sz val="12.0"/>
      </rPr>
      <t>Coral laboratory grows in Batangas</t>
    </r>
    <r>
      <rPr>
        <rFont val="Calibri"/>
        <color theme="1"/>
        <sz val="12.0"/>
      </rPr>
      <t xml:space="preserve"> (2016, July 1). BusinessWorld Online. https://www.bworldonline.com/weekender/environment/2016/07/01/5884/coral-laboratory-grows-in-batangas</t>
    </r>
  </si>
  <si>
    <r>
      <rPr>
        <rFont val="Calibri"/>
        <color theme="1"/>
        <sz val="12.0"/>
      </rPr>
      <t xml:space="preserve">CLGU; </t>
    </r>
    <r>
      <rPr>
        <rFont val="Calibri"/>
        <color rgb="FFFF0000"/>
        <sz val="12.0"/>
      </rPr>
      <t>Civil Military Operations Unit - Eastern Mindanao; Naval Special Operations Unit 7</t>
    </r>
  </si>
  <si>
    <r>
      <rPr>
        <rFont val="Calibri"/>
        <color theme="1"/>
        <sz val="12.0"/>
      </rPr>
      <t xml:space="preserve">Site in Brgy Tagbaobo; </t>
    </r>
    <r>
      <rPr>
        <rFont val="Calibri"/>
        <color rgb="FFFF0000"/>
        <sz val="12.0"/>
      </rPr>
      <t>coral planting inside a no-take sanctuary</t>
    </r>
  </si>
  <si>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</si>
  <si>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</si>
  <si>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</si>
  <si>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theme="1"/>
        <sz val="12.0"/>
      </rPr>
      <t xml:space="preserve">Tagum </t>
    </r>
    <r>
      <rPr>
        <rFont val="Calibri"/>
        <color rgb="FFFF0000"/>
        <sz val="12.0"/>
      </rPr>
      <t>City</t>
    </r>
  </si>
  <si>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</si>
  <si>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</si>
  <si>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t xml:space="preserve">*Mentioned in the Oxfam Report that there were artificial reefs in Salcedo; </t>
  </si>
  <si>
    <t>158-PH045607000-*Not indicated-Artificial Reef</t>
  </si>
  <si>
    <t>Project Start changed</t>
  </si>
  <si>
    <t>159-PH045607000-*Not indicated-Artificial Reef</t>
  </si>
  <si>
    <r>
      <rPr>
        <rFont val="Calibri"/>
        <color rgb="FFFF0000"/>
        <sz val="12.0"/>
      </rPr>
      <t>Concrete</t>
    </r>
    <r>
      <rPr>
        <rFont val="Calibri"/>
        <color theme="1"/>
        <sz val="12.0"/>
      </rPr>
      <t xml:space="preserve"> sculpture; statues</t>
    </r>
  </si>
  <si>
    <r>
      <rPr>
        <rFont val="Calibri"/>
        <color rgb="FFFF0000"/>
        <sz val="12.0"/>
      </rPr>
      <t>Concrete</t>
    </r>
    <r>
      <rPr>
        <rFont val="Calibri"/>
        <color theme="1"/>
        <sz val="12.0"/>
      </rPr>
      <t xml:space="preserve"> sculpture; statues</t>
    </r>
  </si>
  <si>
    <r>
      <rPr>
        <rFont val="Calibri"/>
        <color theme="1"/>
        <sz val="12.0"/>
      </rPr>
      <t xml:space="preserve">Dr. Joven Cuanang / </t>
    </r>
    <r>
      <rPr>
        <rFont val="Calibri"/>
        <color rgb="FFFF0000"/>
        <sz val="12.0"/>
      </rPr>
      <t>Cong. Angelo Barba</t>
    </r>
  </si>
  <si>
    <t>160-PH045616000-*Not indicated-Artificial Reef</t>
  </si>
  <si>
    <r>
      <rPr>
        <rFont val="Calibri"/>
        <color theme="1"/>
        <sz val="12.0"/>
      </rPr>
      <t xml:space="preserve">Laoag </t>
    </r>
    <r>
      <rPr>
        <rFont val="Calibri"/>
        <color rgb="FFFF0000"/>
        <sz val="12.0"/>
      </rPr>
      <t>City</t>
    </r>
  </si>
  <si>
    <t>4-PH012815000--Asexual Reproduction</t>
  </si>
  <si>
    <t>161-PH045619000-1986-Artificial Reef</t>
  </si>
  <si>
    <t>162-PH045619000-2016-Artificial Reef</t>
  </si>
  <si>
    <t>163-PH045620000-2001-Asexual Reproduction</t>
  </si>
  <si>
    <t>164-PH045622000-1986-Artificial Reef</t>
  </si>
  <si>
    <r>
      <rPr>
        <rFont val="Calibri"/>
        <color theme="1"/>
        <sz val="12.0"/>
      </rPr>
      <t xml:space="preserve">DENR-BMB (1990). </t>
    </r>
    <r>
      <rPr>
        <rFont val="Calibri"/>
        <i/>
        <color theme="1"/>
        <sz val="12.0"/>
      </rPr>
      <t>The Philippine Environment in the Eighties. Department of Environment and Natural Resources-Biodiversity Management Bureau. https://www.ircwash.org/sites/default/files/802-PH90-8920.pdf</t>
    </r>
  </si>
  <si>
    <t>165-PH045624000-1992-Artificial Reef</t>
  </si>
  <si>
    <t>166-PH045624000-1992-Artificial Reef</t>
  </si>
  <si>
    <t>167-PH045625000-1992-Artificial Reef</t>
  </si>
  <si>
    <t>168-PH045635000-1986-Artificial Reef</t>
  </si>
  <si>
    <r>
      <rPr>
        <rFont val="Calibri"/>
        <color rgb="FFFF0000"/>
        <sz val="12.0"/>
      </rPr>
      <t xml:space="preserve">City of </t>
    </r>
    <r>
      <rPr>
        <rFont val="Calibri"/>
        <color theme="1"/>
        <sz val="12.0"/>
      </rPr>
      <t>Candon</t>
    </r>
  </si>
  <si>
    <r>
      <rPr>
        <rFont val="Calibri"/>
        <color rgb="FFFF0000"/>
        <sz val="12.0"/>
      </rPr>
      <t xml:space="preserve">City of </t>
    </r>
    <r>
      <rPr>
        <rFont val="Calibri"/>
        <color theme="1"/>
        <sz val="12.0"/>
      </rPr>
      <t>Candon</t>
    </r>
  </si>
  <si>
    <t>169-PH045633000-1992-Artificial Reef</t>
  </si>
  <si>
    <t>170-PH045633000-1992-Artificial Reef</t>
  </si>
  <si>
    <t>171-PH045633000-1992-Artificial Reef</t>
  </si>
  <si>
    <t>15-PH012927000-*Not indicated-Artificial Reef</t>
  </si>
  <si>
    <t>172-PH045633000-1992-Artificial Reef</t>
  </si>
  <si>
    <t>173-PH045634000-1992-Artificial Reef</t>
  </si>
  <si>
    <t>174-PH045637000-1992-Artificial Reef</t>
  </si>
  <si>
    <t>18-PH012933000--Artificial Reef</t>
  </si>
  <si>
    <t>175-PH045637000-1992-Artificial Reef</t>
  </si>
  <si>
    <t>19-PH012934000-1986-Artificial Reef</t>
  </si>
  <si>
    <t>176-PH045646000-1992-Artificial Reef</t>
  </si>
  <si>
    <t>177-PH045649000-1992-Artificial Reef</t>
  </si>
  <si>
    <t>238-PH063008000-*Not indicated-Artificial Reef</t>
  </si>
  <si>
    <t>178-PH174002000-2021-Asexual Reproduction</t>
  </si>
  <si>
    <t>239-PH063009000-*Not indicated-Artificial Reef</t>
  </si>
  <si>
    <t>179-PH174006000-2021-Asexual Reproduction</t>
  </si>
  <si>
    <t>180-PH174005000-*Not indicated-Artificial Reef</t>
  </si>
  <si>
    <t>243-PH063019000-*Not indicated-Artificial Reef</t>
  </si>
  <si>
    <t>181-PH174005000-*Not indicated-Artificial Reef</t>
  </si>
  <si>
    <t>182-PH175104000-*Not indicated-Asexual Reproduction</t>
  </si>
  <si>
    <t>183-PH175211000-2013-Artificial Reef</t>
  </si>
  <si>
    <t>184-PH175301000-2023-Artificial Reef; Asexual Reproduction</t>
  </si>
  <si>
    <t>185-PH175312000-2006-Artificial Reef</t>
  </si>
  <si>
    <t>186-PH175316000-1985-Artificial Reef</t>
  </si>
  <si>
    <t>187-PH175316000-2014-Asexual Reproduction</t>
  </si>
  <si>
    <t>188-PH175319000-2011-Asexual Reproduction; Artificial Reef</t>
  </si>
  <si>
    <t>189-PH175319000-2024-Sexual Reproduction</t>
  </si>
  <si>
    <t>190-PH175320000-2016-Artificial Reef</t>
  </si>
  <si>
    <t>21-PH013301000-2013-Artificial Reef</t>
  </si>
  <si>
    <t>191-PH175909000-1985-Artificial Reef</t>
  </si>
  <si>
    <t>22-PH013302000-1986-Artificial Reef</t>
  </si>
  <si>
    <t>192-PH175913000-2013-Artificial Reef</t>
  </si>
  <si>
    <t>193-PH050501000-2022-Asexual Reproduction</t>
  </si>
  <si>
    <t>23-PH013302000-2014-Artificial Reef</t>
  </si>
  <si>
    <t>194-PH050506000-*Not indicated-Asexual Reproduction</t>
  </si>
  <si>
    <t>24-PH013303000-2021-Artificial Reef</t>
  </si>
  <si>
    <t>195-PH050510000-2018, 2023-Artificial Reef</t>
  </si>
  <si>
    <t>25-PH013305000-2021-Artificial Reef</t>
  </si>
  <si>
    <t>196-PH050513000-*Not indicated-Asexual Reproduction</t>
  </si>
  <si>
    <t>26-PH013305000-2021-Artificial Reef</t>
  </si>
  <si>
    <t>197-PH050516000-1983-Artificial Reef</t>
  </si>
  <si>
    <t>27-PH013305000-2012-Artificial Reef</t>
  </si>
  <si>
    <t>198-PH050516000-2013-Artificial Reef; Mineral accretion</t>
  </si>
  <si>
    <t>27-PH013310000-2023-Artificial Reef</t>
  </si>
  <si>
    <t>28-PH013306000-1986-Artificial Reef</t>
  </si>
  <si>
    <t>199-PH050517000-2016-Asexual Reproduction</t>
  </si>
  <si>
    <t>28-PH013313000-1985-Artificial Reef</t>
  </si>
  <si>
    <t>29-PH013307000-2021-Artificial Reef</t>
  </si>
  <si>
    <t>200-PH050518000-1992-Artificial Reef</t>
  </si>
  <si>
    <r>
      <rPr>
        <rFont val="Calibri"/>
        <color rgb="FFFF0000"/>
        <sz val="12.0"/>
      </rPr>
      <t xml:space="preserve">City of </t>
    </r>
    <r>
      <rPr>
        <rFont val="Calibri"/>
        <color theme="1"/>
        <sz val="12.0"/>
      </rPr>
      <t>San Fernando</t>
    </r>
  </si>
  <si>
    <t>30-PH013309000-2014-Artificial Reef</t>
  </si>
  <si>
    <t>201-PH050518000-1990-Artificial Reef</t>
  </si>
  <si>
    <t>30-PH013314000-2022-Artificial Reef</t>
  </si>
  <si>
    <r>
      <rPr>
        <rFont val="Calibri"/>
        <color rgb="FFFF0000"/>
        <sz val="12.0"/>
      </rPr>
      <t xml:space="preserve">City of </t>
    </r>
    <r>
      <rPr>
        <rFont val="Calibri"/>
        <color theme="1"/>
        <sz val="12.0"/>
      </rPr>
      <t>S</t>
    </r>
    <r>
      <rPr>
        <rFont val="Calibri"/>
        <color theme="1"/>
        <sz val="12.0"/>
      </rPr>
      <t>an Fernando</t>
    </r>
  </si>
  <si>
    <r>
      <rPr>
        <rFont val="Calibri"/>
        <color theme="1"/>
        <sz val="12.0"/>
      </rPr>
      <t xml:space="preserve">Reef ball; statues; </t>
    </r>
    <r>
      <rPr>
        <rFont val="Calibri"/>
        <color rgb="FFFF0000"/>
        <sz val="12.0"/>
      </rPr>
      <t>cement with silica</t>
    </r>
  </si>
  <si>
    <r>
      <rPr>
        <rFont val="Calibri"/>
        <color theme="1"/>
        <sz val="12.0"/>
      </rPr>
      <t xml:space="preserve">JCI </t>
    </r>
    <r>
      <rPr>
        <rFont val="Calibri"/>
        <color rgb="FFFF0000"/>
        <sz val="12.0"/>
      </rPr>
      <t>Manila</t>
    </r>
  </si>
  <si>
    <t>31-PH013317000-1981-Artificial Reef</t>
  </si>
  <si>
    <r>
      <rPr>
        <rFont val="Calibri"/>
        <color theme="1"/>
      </rPr>
      <t xml:space="preserve">Site in Casantaan, Damortis; </t>
    </r>
    <r>
      <rPr>
        <rFont val="Calibri"/>
        <color rgb="FFFF0000"/>
        <sz val="12.0"/>
      </rPr>
      <t>Stated as Damortis in lit but latter is barangay and part of municipality of Santo Tomas</t>
    </r>
  </si>
  <si>
    <t>202-PH051605000-2021-Artificial Reef</t>
  </si>
  <si>
    <t>203-PH051607000-1992-Artificial Reef</t>
  </si>
  <si>
    <t>32-PH013317000-1981-Artificial Reef</t>
  </si>
  <si>
    <t>33-PH013314000-2014-Artificial Reef</t>
  </si>
  <si>
    <t>34-PH013314000-2022-Artificial Reef</t>
  </si>
  <si>
    <t>204-PH051733000-*Not indicated-Artificial Reef</t>
  </si>
  <si>
    <t>35-PH013316000-2021-Artificial Reef</t>
  </si>
  <si>
    <t>205-PH051702000-Unknown-Artificial Reef</t>
  </si>
  <si>
    <t>36-PH013317000--Artificial Reef</t>
  </si>
  <si>
    <t>206-PH051711000-Unknown-Asexual Reproduction</t>
  </si>
  <si>
    <t>207-PH051712000-2021-Asexual Reproduction</t>
  </si>
  <si>
    <t>208-PH051727000-*Not indicated-Artificial Reef</t>
  </si>
  <si>
    <t>209-PH051727000-1989-Artificial Reef</t>
  </si>
  <si>
    <t>210-PH051727000-2020-Artificial Reef</t>
  </si>
  <si>
    <t>357-PH103512000--Artificial Reef</t>
  </si>
  <si>
    <t>358-PH103512000--Artificial Reef</t>
  </si>
  <si>
    <r>
      <rPr>
        <rFont val="Calibri"/>
        <color theme="1"/>
      </rPr>
      <t xml:space="preserve">Site in Sogapod; </t>
    </r>
    <r>
      <rPr>
        <rFont val="Calibri"/>
        <color rgb="FFFF0000"/>
        <sz val="12.0"/>
      </rPr>
      <t>*Stated as Sogapod in the lit but this is a barangay which is part of the municipality of Maigo</t>
    </r>
  </si>
  <si>
    <t>211-PH051729000-2019-Asexual Reproduction</t>
  </si>
  <si>
    <t>212-PH051731000-1992-Artificial Reef</t>
  </si>
  <si>
    <t>411-PH153602000-2019-Asexual Reproduction</t>
  </si>
  <si>
    <t>443-PH153602000-2022-Asexual Reproduction</t>
  </si>
  <si>
    <t>213-PH051735000-1992-Artificial Reef</t>
  </si>
  <si>
    <t>303-PH083703000--Artificial Reef</t>
  </si>
  <si>
    <t>304-PH083705000--Artificial Reef</t>
  </si>
  <si>
    <t>214-PH052011000-2024-Artificial Reef</t>
  </si>
  <si>
    <t>305-PH083705000--Artificial Reef</t>
  </si>
  <si>
    <t>306-PH083714000--Artificial Reef</t>
  </si>
  <si>
    <t>215-PH052008000-1992-Artificial Reef</t>
  </si>
  <si>
    <t>216-PH054101000-2017-Artificial Reef</t>
  </si>
  <si>
    <t>308-PH083715000--Artificial Reef</t>
  </si>
  <si>
    <t>217-PH054111000-2018-Asexual Reproduction</t>
  </si>
  <si>
    <t>309-PH083715000--Artificial Reef</t>
  </si>
  <si>
    <t>218-PH054119000-1984-Artificial Reef</t>
  </si>
  <si>
    <t>310-PH083729000--Artificial Reef</t>
  </si>
  <si>
    <t>311-PH083738000--Artificial Reef</t>
  </si>
  <si>
    <t>219-PH054119000-Unknown-Artificial Reef</t>
  </si>
  <si>
    <t>312-PH083739000--Artificial Reef</t>
  </si>
  <si>
    <t>220-PH054118000-2013-Asexual Reproduction</t>
  </si>
  <si>
    <t>313-PH083747000--Artificial Reef</t>
  </si>
  <si>
    <t>221-PH056216000-1985-Artificial Reef</t>
  </si>
  <si>
    <t>222-PH056216000-1985-Artificial Reef</t>
  </si>
  <si>
    <t>223-PH056216000-1986-Artificial Reef</t>
  </si>
  <si>
    <t>412-PH153830000-2021-Asexual Reproduction</t>
  </si>
  <si>
    <t>224-PH056216000-1986-Artificial Reef</t>
  </si>
  <si>
    <t>413-PH153809000-1986-Artificial Reef</t>
  </si>
  <si>
    <t>414-PH153809000-2020-Artificial Reef</t>
  </si>
  <si>
    <t>225-PH056216000-1986-Artificial Reef</t>
  </si>
  <si>
    <t>415-PH153811000-2021-Asexual Reproduction</t>
  </si>
  <si>
    <t>444-PH153830000-2021-Asexual Reproduction</t>
  </si>
  <si>
    <t>226-PH056216000-1986-Artificial Reef</t>
  </si>
  <si>
    <t>445-PH153830000-2021-Asexual Reproduction</t>
  </si>
  <si>
    <t>446-PH153830000-2021-Asexual Reproduction</t>
  </si>
  <si>
    <t>227-PH056205000-1986-Artificial Reef</t>
  </si>
  <si>
    <t>447-PH153830000-2024-Asexual Reproduction</t>
  </si>
  <si>
    <t>228-PH060404000-2017-Artificial Reef</t>
  </si>
  <si>
    <t>448-PH153809000-1986-Artificial Reef</t>
  </si>
  <si>
    <t>449-PH153809000-2020-Artificial Reef</t>
  </si>
  <si>
    <t>229-PH060406000-2013-Artificial Reef</t>
  </si>
  <si>
    <r>
      <rPr>
        <rFont val="Calibri"/>
        <color rgb="FFFF0000"/>
        <sz val="12.0"/>
      </rPr>
      <t>Address destructive fishing and declining fish catch</t>
    </r>
    <r>
      <rPr>
        <rFont val="Calibri"/>
        <color theme="1"/>
        <sz val="12.0"/>
      </rPr>
      <t xml:space="preserve">; Fish stock enhancement; fishing ground; </t>
    </r>
  </si>
  <si>
    <t>450-PH153811000-2020-Asexual Reproduction</t>
  </si>
  <si>
    <t>421-PH133913000-1981-Artificial Reef</t>
  </si>
  <si>
    <t>230-PH060406000-2017-Artificial Reef</t>
  </si>
  <si>
    <t>422-PH133913000-1985-Artificial Reef</t>
  </si>
  <si>
    <r>
      <rPr>
        <rFont val="Calibri"/>
        <color theme="1"/>
      </rPr>
      <t xml:space="preserve">Site in Manila Bay Fish Sanctuary; </t>
    </r>
    <r>
      <rPr>
        <rFont val="Calibri"/>
        <color rgb="FFFF0000"/>
        <sz val="12.0"/>
      </rPr>
      <t>*Coordinates taken from https://www.bfar.da.gov.ph/wp-content/uploads/2021/04/FAO-No.-151-s.-1985.pdf; fronting Navotas and Tondo area in Manila and Orion in Bataan</t>
    </r>
  </si>
  <si>
    <t>231-PH060406000-2022-Artificial Reef</t>
  </si>
  <si>
    <t>232-PH060407000-Unknown-Artificial Reef</t>
  </si>
  <si>
    <t>233-PH060412000-2003-Artificial Reef</t>
  </si>
  <si>
    <t>234-PH060412000-2022-Asexual Reproduction</t>
  </si>
  <si>
    <t>177-PH174005000-*Not indicated-Artificial Reef</t>
  </si>
  <si>
    <t>178-PH174005000--Artificial Reef</t>
  </si>
  <si>
    <t>235-PH060412000-2010-Asexual Reproduction</t>
  </si>
  <si>
    <t>236-PH060412000-2011-Artificial Reef</t>
  </si>
  <si>
    <t>208-PH054111000-*Not indicated-Asexual Reproduction</t>
  </si>
  <si>
    <t>237-PH060412000-Unknown-Artificial Reef</t>
  </si>
  <si>
    <t>238-PH060412000-Unknown-Asexual Reproduction</t>
  </si>
  <si>
    <t>210-PH054119000--Artificial Reef</t>
  </si>
  <si>
    <t>239-PH060412000-2012-Artificial Reef</t>
  </si>
  <si>
    <t>211-PH054118000--Asexual Reproduction</t>
  </si>
  <si>
    <t>240-PH060412000-Unknown-Asexual Reproduction</t>
  </si>
  <si>
    <t>408-PH133913000-1985-Artificial Reef</t>
  </si>
  <si>
    <t>241-PH060414000-2017-Artificial Reef</t>
  </si>
  <si>
    <t>409-PH133913000-1985-Artificial Reef</t>
  </si>
  <si>
    <t>334-PH104205000--Artificial Reef</t>
  </si>
  <si>
    <t>242-PH060415000-Unknown-Artificial Reef</t>
  </si>
  <si>
    <t>336-PH104210000--Artificial Reef</t>
  </si>
  <si>
    <t>243-PH060416000-2017-Artificial Reef</t>
  </si>
  <si>
    <t>244-PH060417000-2003-Artificial Reef</t>
  </si>
  <si>
    <r>
      <rPr>
        <rFont val="Calibri"/>
        <color theme="1"/>
        <sz val="12.0"/>
      </rPr>
      <t xml:space="preserve">Ozamis </t>
    </r>
    <r>
      <rPr>
        <rFont val="Calibri"/>
        <color rgb="FFFF0000"/>
        <sz val="12.0"/>
      </rPr>
      <t>City</t>
    </r>
  </si>
  <si>
    <t>245-PH060417000-Unknown-Artificial Reef; Asexual Reproduction</t>
  </si>
  <si>
    <t>246-PH060417000-2013-Asexual Reproduction</t>
  </si>
  <si>
    <t>339-PH104303000--</t>
  </si>
  <si>
    <t>247-PH060601000-2013-Asexual Reproduction</t>
  </si>
  <si>
    <t>248-PH060601000-2016-Unknown</t>
  </si>
  <si>
    <t>343-PH104311000-*Not indicated-Artificial Reef</t>
  </si>
  <si>
    <t>Tires, concrete, steel</t>
  </si>
  <si>
    <t>249-PH060602000-2015-Artificial Reef</t>
  </si>
  <si>
    <t>346-PH104319000-*Not indicated-Artificial Reef</t>
  </si>
  <si>
    <t>250-PH060605000-2022-Artificial Reef</t>
  </si>
  <si>
    <t>348-PH104319000--Asexual Reproduction</t>
  </si>
  <si>
    <t>251-PH060606000-1994-Artificial Reef</t>
  </si>
  <si>
    <t>349-PH104319000--Asexual Reproduction</t>
  </si>
  <si>
    <t>350-PH104319000-*Not indicated-Asexual Reproduction</t>
  </si>
  <si>
    <t>252-PH061914000-Unknown-Artificial Reef</t>
  </si>
  <si>
    <t>253-PH061915000-Unknown-Artificial Reef</t>
  </si>
  <si>
    <r>
      <rPr>
        <rFont val="Calibri"/>
        <color theme="1"/>
        <sz val="12.0"/>
      </rPr>
      <t xml:space="preserve">Ocean rehabilitation; </t>
    </r>
    <r>
      <rPr>
        <rFont val="Calibri"/>
        <color rgb="FFFF0000"/>
        <sz val="12.0"/>
      </rPr>
      <t>sustainable school-community based projects</t>
    </r>
  </si>
  <si>
    <r>
      <rPr>
        <rFont val="Calibri"/>
        <color theme="1"/>
        <sz val="12.0"/>
      </rPr>
      <t xml:space="preserve">BFAR; </t>
    </r>
    <r>
      <rPr>
        <rFont val="Calibri"/>
        <color rgb="FFFF0000"/>
        <sz val="12.0"/>
      </rPr>
      <t>Philippine Coast Guard</t>
    </r>
  </si>
  <si>
    <t>254-PH063001000-2004-Artificial Reef</t>
  </si>
  <si>
    <t>255-PH063001000-2014-Artificial Reef; Asexual Reproduction</t>
  </si>
  <si>
    <r>
      <rPr>
        <rFont val="Calibri"/>
        <color theme="1"/>
        <sz val="12.0"/>
      </rPr>
      <t xml:space="preserve">BFAR; </t>
    </r>
    <r>
      <rPr>
        <rFont val="Calibri"/>
        <color rgb="FFFF0000"/>
        <sz val="12.0"/>
      </rPr>
      <t>Philippine Coast Guard</t>
    </r>
  </si>
  <si>
    <t>256-PH063001000-1995-Artificial Reef</t>
  </si>
  <si>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</si>
  <si>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t>257-PH063008000-Unknown-Artificial Reef</t>
  </si>
  <si>
    <t>258-PH063009000-Unknown-Artificial Reef</t>
  </si>
  <si>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</si>
  <si>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t>259-PH063014000-2015-Artificial Reef</t>
  </si>
  <si>
    <t>260-PH063014000-2014-Artificial Reef; Asexual Reproduction</t>
  </si>
  <si>
    <t>250-PH101805000--Artificial Reef</t>
  </si>
  <si>
    <t>261-PH063015000-2014-Artificial Reef; Asexual Reproduction</t>
  </si>
  <si>
    <t>410-PH184501000-1986-Artificial Reef</t>
  </si>
  <si>
    <t>411-PH184507000-1998-Artificial Reef</t>
  </si>
  <si>
    <t>262-PH063015000-2015-Artificial Reef</t>
  </si>
  <si>
    <t>412-PH184507000-2001-Asexual Reproduction</t>
  </si>
  <si>
    <t>413-PH101805000-Unknown-Artificial Reef</t>
  </si>
  <si>
    <t>263-PH063019000-Unknown-Artificial Reef</t>
  </si>
  <si>
    <t>278-PH184601000-*Not indicated-Artificial Reef</t>
  </si>
  <si>
    <t>279-PH184603000-*Not indicated-Artificial Reef</t>
  </si>
  <si>
    <t>264-PH063020000-1985-Artificial Reef</t>
  </si>
  <si>
    <t>280-PH184609000--Artificial Reef</t>
  </si>
  <si>
    <t>265-PH063034000-2013-Artificial Reef</t>
  </si>
  <si>
    <t>282-PH184610000-*Not indicated-Artificial Reef</t>
  </si>
  <si>
    <t>266-PH063045000-2015-Artificial Reef</t>
  </si>
  <si>
    <t>285-PH184612000-*Not indicated-Artificial Reef</t>
  </si>
  <si>
    <t>267-PH063045000-2001-Asexual Reproduction</t>
  </si>
  <si>
    <t>268-PH071201000-Unknown-Artificial Reef</t>
  </si>
  <si>
    <t>286-PH184617000-*Not indicated-Artificial Reef</t>
  </si>
  <si>
    <t>269-PH071203000-2015-Asexual Reproduction</t>
  </si>
  <si>
    <t>288-PH184619000-*Not indicated-Artificial Reef</t>
  </si>
  <si>
    <t>270-PH071210000-2001-Asexual Reproduction</t>
  </si>
  <si>
    <t>290-PH184625000-*Not indicated-Artificial Reef</t>
  </si>
  <si>
    <t>291-PH184625000-*Not indicated-Artificial Reef</t>
  </si>
  <si>
    <t>271-PH071211000-1986-Artificial Reef</t>
  </si>
  <si>
    <t>292-PH184625000-*Not indicated-Artificial Reef</t>
  </si>
  <si>
    <t>414-PH184601000-Unknown-Artificial Reef</t>
  </si>
  <si>
    <t>272-PH071228000-Unknown-Artificial Reef</t>
  </si>
  <si>
    <t>415-PH184602000-Unknown-Artificial Reef</t>
  </si>
  <si>
    <t>416-PH184603000-Unknown-Artificial Reef</t>
  </si>
  <si>
    <t>273-PH071233000-2013-Asexual Reproduction</t>
  </si>
  <si>
    <t>417-PH184603000-Unknown-Artificial Reef</t>
  </si>
  <si>
    <t>418-PH184607000-Unknown-Artificial Reef</t>
  </si>
  <si>
    <t>274-PH071233000-Unknown-Artificial Reef</t>
  </si>
  <si>
    <t>419-PH184609000-Unknown-Artificial Reef</t>
  </si>
  <si>
    <t>420-PH184609000-2022-Asexual Reproduction</t>
  </si>
  <si>
    <r>
      <rPr>
        <rFont val="Calibri"/>
        <color theme="1"/>
        <sz val="12.0"/>
      </rPr>
      <t xml:space="preserve">Coral Restoration Foundation; </t>
    </r>
    <r>
      <rPr>
        <rFont val="Calibri"/>
        <color rgb="FFFF0000"/>
        <sz val="12.0"/>
      </rPr>
      <t>MEAD Foundation</t>
    </r>
  </si>
  <si>
    <t>275-PH071233000-Unknown-Asexual Reproduction</t>
  </si>
  <si>
    <t>421-PH184609000-2017-Artificial Reef</t>
  </si>
  <si>
    <r>
      <rPr>
        <rFont val="Calibri"/>
        <color theme="1"/>
        <sz val="12.0"/>
      </rPr>
      <t xml:space="preserve">Site in Pura Vida Resort </t>
    </r>
    <r>
      <rPr>
        <rFont val="Calibri"/>
        <color rgb="FFFF0000"/>
        <sz val="12.0"/>
      </rPr>
      <t>house reef</t>
    </r>
  </si>
  <si>
    <t>422-PH184610000-Unknown-Artificial Reef</t>
  </si>
  <si>
    <t>276-PH071235000-1995-Artificial Reef</t>
  </si>
  <si>
    <t>423-PH184610000-Unknown-Artificial Reef</t>
  </si>
  <si>
    <t>424-PH184610000-2001-Asexual Reproduction</t>
  </si>
  <si>
    <t>277-PH071242000-1979-Artificial Reef</t>
  </si>
  <si>
    <t>425-PH184612000-Unknown-Artificial Reef</t>
  </si>
  <si>
    <t>426-PH184615000-Unknown-Artificial Reef</t>
  </si>
  <si>
    <t>278-PH071243000-Unknown-Artificial Reef</t>
  </si>
  <si>
    <t>427-PH184617000-Unknown-Artificial Reef</t>
  </si>
  <si>
    <t>428-PH184619000-1986-Artificial Reef</t>
  </si>
  <si>
    <t>279-PH072202000-2001-Asexual Reproduction</t>
  </si>
  <si>
    <t>429-PH184619000-Unknown-Artificial Reef</t>
  </si>
  <si>
    <t>430-PH184622000-Unknown-Artificial Reef</t>
  </si>
  <si>
    <t>280-PH072203000-Unknown-Artificial Reef</t>
  </si>
  <si>
    <t>431-PH184625000-1986-Artificial Reef</t>
  </si>
  <si>
    <t>432-PH184625000-Unknown-Artificial Reef</t>
  </si>
  <si>
    <t>281-PH072206000-Unknown-Artificial Reef</t>
  </si>
  <si>
    <t>433-PH184625000-Unknown-Artificial Reef</t>
  </si>
  <si>
    <t>434-PH184625000-Unknown-Artificial Reef</t>
  </si>
  <si>
    <t>282-PH072204000-Unknown-Artificial Reef</t>
  </si>
  <si>
    <t>435-PH184625000-2016-Artificial Reef</t>
  </si>
  <si>
    <t>283-PH072207000-1988-Artificial Reef</t>
  </si>
  <si>
    <t>284-PH072210000-Unknown-Artificial Reef</t>
  </si>
  <si>
    <t>285-PH072220000-2022-Asexual Reproduction</t>
  </si>
  <si>
    <t>179-PH175104000-*Not indicated-Asexual Reproduction</t>
  </si>
  <si>
    <t>286-PH072220000-2014-Sexual Reproduction</t>
  </si>
  <si>
    <r>
      <rPr>
        <rFont val="Calibri"/>
        <sz val="12.0"/>
      </rPr>
      <t xml:space="preserve">https://sevenseasmedia.org/biri-initiative-story-on-coral-restoration/; </t>
    </r>
    <r>
      <rPr>
        <rFont val="Calibri"/>
        <color rgb="FFFF0000"/>
        <sz val="12.0"/>
        <u/>
      </rPr>
      <t>https://www.thescubanews.com/2014/08/06/reefbud-technology-downsized-to-broaden-appeal/</t>
    </r>
  </si>
  <si>
    <t>287-PH072220000-2024-Sexual Reproduction</t>
  </si>
  <si>
    <r>
      <rPr>
        <rFont val="Calibri"/>
        <color theme="1"/>
        <sz val="12.0"/>
      </rPr>
      <t xml:space="preserve">Eco-Reefs; </t>
    </r>
    <r>
      <rPr>
        <rFont val="Calibri"/>
        <color rgb="FFFF0000"/>
        <sz val="12.0"/>
      </rPr>
      <t>ceramic stoneware</t>
    </r>
  </si>
  <si>
    <r>
      <rPr>
        <rFont val="Calibri"/>
        <color theme="1"/>
        <sz val="12.0"/>
      </rPr>
      <t xml:space="preserve">Rehabilitate coral reefs; </t>
    </r>
    <r>
      <rPr>
        <rFont val="Calibri"/>
        <color rgb="FFFF0000"/>
        <sz val="12.0"/>
      </rPr>
      <t>marine life recruitment</t>
    </r>
  </si>
  <si>
    <t>288-PH072221000-2019-Artificial Reef; Mineral accretion; Asexual Reproduction</t>
  </si>
  <si>
    <t>289-PH072226000-1979-Artificial Reef</t>
  </si>
  <si>
    <r>
      <rPr>
        <rFont val="Calibri"/>
        <color theme="1"/>
        <sz val="12.0"/>
      </rPr>
      <t xml:space="preserve">Transplantation; </t>
    </r>
    <r>
      <rPr>
        <rFont val="Calibri"/>
        <color rgb="FFFF0000"/>
        <sz val="12.0"/>
      </rPr>
      <t>Rubble stabilizing structures, dome tables, wrecks</t>
    </r>
  </si>
  <si>
    <r>
      <rPr>
        <rFont val="Calibri"/>
        <color theme="1"/>
        <sz val="12.0"/>
      </rPr>
      <t xml:space="preserve">Transplantation; </t>
    </r>
    <r>
      <rPr>
        <rFont val="Calibri"/>
        <color rgb="FFFF0000"/>
        <sz val="12.0"/>
      </rPr>
      <t>Rubble stabilizing structures, dome tables, wrecks</t>
    </r>
  </si>
  <si>
    <r>
      <rPr>
        <rFont val="Calibri"/>
        <color theme="1"/>
        <sz val="12.0"/>
      </rPr>
      <t xml:space="preserve">Sustainable development of property; </t>
    </r>
    <r>
      <rPr>
        <rFont val="Calibri"/>
        <color rgb="FFFF0000"/>
        <sz val="12.0"/>
      </rPr>
      <t>reef rehabilitation</t>
    </r>
  </si>
  <si>
    <r>
      <rPr>
        <rFont val="Calibri"/>
        <color theme="1"/>
        <sz val="12.0"/>
      </rPr>
      <t xml:space="preserve">Larval enhancement </t>
    </r>
    <r>
      <rPr>
        <rFont val="Calibri"/>
        <color rgb="FFFF0000"/>
        <sz val="12.0"/>
      </rPr>
      <t>and reseeding</t>
    </r>
  </si>
  <si>
    <t>290-PH072226000-1982-Artificial Reef</t>
  </si>
  <si>
    <r>
      <rPr>
        <rFont val="Calibri"/>
        <color theme="1"/>
        <sz val="12.0"/>
      </rPr>
      <t xml:space="preserve">Sulu Reef Prosthesis; </t>
    </r>
    <r>
      <rPr>
        <rFont val="Calibri"/>
        <color rgb="FFFF0000"/>
        <sz val="12.0"/>
      </rPr>
      <t>coral transplantation</t>
    </r>
  </si>
  <si>
    <r>
      <rPr>
        <rFont val="Calibri"/>
        <color theme="1"/>
        <sz val="12.0"/>
      </rPr>
      <t xml:space="preserve">Sulu Reef Prosthesis; </t>
    </r>
    <r>
      <rPr>
        <rFont val="Calibri"/>
        <color rgb="FFFF0000"/>
        <sz val="12.0"/>
      </rPr>
      <t>coral transplantation</t>
    </r>
  </si>
  <si>
    <r>
      <rPr>
        <rFont val="Calibri"/>
        <color theme="1"/>
        <sz val="12.0"/>
      </rPr>
      <t xml:space="preserve">Restoration </t>
    </r>
    <r>
      <rPr>
        <rFont val="Calibri"/>
        <color rgb="FFFF0000"/>
        <sz val="12.0"/>
      </rPr>
      <t>of the degraded reef</t>
    </r>
  </si>
  <si>
    <t>291-PH072226000-1997-Asexual Reproduction</t>
  </si>
  <si>
    <t>183-PH175316000--Asexual Reproduction</t>
  </si>
  <si>
    <t>292-PH072226000-2014-Asexual Reproduction</t>
  </si>
  <si>
    <t>293-PH072226000-2014-Asexual Reproduction; Artificial Reef</t>
  </si>
  <si>
    <t>33-PH015501000-Unknown-Artificial Reef</t>
  </si>
  <si>
    <t>294-PH072226000-Unknown-Asexual Reproduction</t>
  </si>
  <si>
    <r>
      <rPr>
        <rFont val="Calibri"/>
        <color theme="1"/>
        <sz val="12.0"/>
      </rPr>
      <t xml:space="preserve">BFAR, </t>
    </r>
    <r>
      <rPr>
        <rFont val="Calibri"/>
        <color rgb="FFFF0000"/>
        <sz val="12.0"/>
      </rPr>
      <t>MLGU</t>
    </r>
  </si>
  <si>
    <t>295-PH072226000-2010-Asexual Reproduction</t>
  </si>
  <si>
    <t>37-PH015501000--Artificial Reef</t>
  </si>
  <si>
    <t>296-PH072226000-2014-Sexual Reproduction</t>
  </si>
  <si>
    <t>38-PH015501000-1985-Artificial Reef</t>
  </si>
  <si>
    <t>297-PH072226000-2001-Asexual Reproduction</t>
  </si>
  <si>
    <t>39-PH015501000-2021-Artificial Reef</t>
  </si>
  <si>
    <r>
      <rPr>
        <rFont val="Calibri"/>
        <color theme="1"/>
        <sz val="12.0"/>
      </rPr>
      <t xml:space="preserve">Research; </t>
    </r>
    <r>
      <rPr>
        <rFont val="Calibri"/>
        <color rgb="FFFF0000"/>
        <sz val="12.0"/>
      </rPr>
      <t>experimental</t>
    </r>
  </si>
  <si>
    <t>298-PH072226000-2024-Sexual Reproduction</t>
  </si>
  <si>
    <t>40-PH015503000-1981-Artificial Reef</t>
  </si>
  <si>
    <t>299-PH072232000-1986-Artificial Reef</t>
  </si>
  <si>
    <t>300-PH072234000-1990-Artificial Reef</t>
  </si>
  <si>
    <r>
      <rPr>
        <rFont val="Calibri"/>
        <color theme="1"/>
        <sz val="12.0"/>
      </rPr>
      <t xml:space="preserve">Pangasinan State University; </t>
    </r>
    <r>
      <rPr>
        <rFont val="Calibri"/>
        <color rgb="FFFF0000"/>
        <sz val="12.0"/>
      </rPr>
      <t>DOST-PCAARRD</t>
    </r>
  </si>
  <si>
    <r>
      <rPr>
        <rFont val="Calibri"/>
        <color rgb="FFFF0000"/>
        <sz val="12.0"/>
      </rPr>
      <t xml:space="preserve">PAFI; </t>
    </r>
    <r>
      <rPr>
        <rFont val="Calibri"/>
        <color theme="1"/>
        <sz val="12.0"/>
      </rPr>
      <t>RVS-4 STAR</t>
    </r>
  </si>
  <si>
    <t>301-PH072235000-2022-Artificial Reef</t>
  </si>
  <si>
    <t>302-PH072242000-2000-Asexual Reproduction</t>
  </si>
  <si>
    <t>44-PH015503000--Asexual Reproduction</t>
  </si>
  <si>
    <t>303-PH072242000-2001-Asexual Reproduction</t>
  </si>
  <si>
    <t>304-PH072249000-1986-Artificial Reef</t>
  </si>
  <si>
    <t>46-PH015503000--Asexual Reproduction</t>
  </si>
  <si>
    <t>305-PH072249000-1986-Artificial Reef</t>
  </si>
  <si>
    <t>306-PH072252000-Unknown-Artificial Reef</t>
  </si>
  <si>
    <t>307-PH082604000-1986-Artificial Reef</t>
  </si>
  <si>
    <r>
      <rPr>
        <rFont val="Calibri"/>
        <color theme="1"/>
        <sz val="12.0"/>
      </rPr>
      <t xml:space="preserve">Coral Reef Habitat and Productivity Enhancement through Coral Transplantation and Giant Clam Restocking; </t>
    </r>
    <r>
      <rPr>
        <rFont val="Calibri"/>
        <color rgb="FFFF0000"/>
        <sz val="12.0"/>
      </rPr>
      <t>Enhancing Recovery by Transplantation of Corals</t>
    </r>
  </si>
  <si>
    <r>
      <rPr>
        <rFont val="Calibri"/>
        <color theme="1"/>
        <sz val="12.0"/>
      </rPr>
      <t xml:space="preserve">Direct transplantation; </t>
    </r>
    <r>
      <rPr>
        <rFont val="Calibri"/>
        <color rgb="FFFF0000"/>
        <sz val="12.0"/>
      </rPr>
      <t>cement; relocation; use of giant clams</t>
    </r>
  </si>
  <si>
    <r>
      <rPr>
        <rFont val="Calibri"/>
        <color theme="1"/>
        <sz val="12.0"/>
      </rPr>
      <t xml:space="preserve">Direct transplantation; </t>
    </r>
    <r>
      <rPr>
        <rFont val="Calibri"/>
        <color rgb="FFFF0000"/>
        <sz val="12.0"/>
      </rPr>
      <t>cement; relocation; use of giant clams</t>
    </r>
  </si>
  <si>
    <t>308-PH082609000-1995-Asexual Reproduction</t>
  </si>
  <si>
    <r>
      <rPr>
        <rFont val="Calibri"/>
        <color theme="1"/>
        <sz val="12.0"/>
      </rPr>
      <t xml:space="preserve">Research; </t>
    </r>
    <r>
      <rPr>
        <rFont val="Calibri"/>
        <color rgb="FFFF0000"/>
        <sz val="12.0"/>
      </rPr>
      <t>Determine growth and survivorship of juvenile corals outplanted to degraded reef areas in Bolinao-Anda Reef Complex, Philippines</t>
    </r>
  </si>
  <si>
    <t>309-PH082612000-2001-Asexual Reproduction</t>
  </si>
  <si>
    <r>
      <rPr>
        <rFont val="Calibri"/>
        <color theme="1"/>
        <sz val="12.0"/>
      </rPr>
      <t xml:space="preserve">University of the Philippines Diliman; </t>
    </r>
    <r>
      <rPr>
        <rFont val="Calibri"/>
        <color rgb="FFFF0000"/>
        <sz val="12.0"/>
      </rPr>
      <t>UP MSI</t>
    </r>
  </si>
  <si>
    <t>310-PH082612000-2013-Asexual Reproduction</t>
  </si>
  <si>
    <r>
      <rPr>
        <rFont val="Calibri"/>
        <color theme="1"/>
        <sz val="12.0"/>
      </rPr>
      <t xml:space="preserve">University of the Philippines Diliman; </t>
    </r>
    <r>
      <rPr>
        <rFont val="Calibri"/>
        <color rgb="FFFF0000"/>
        <sz val="12.0"/>
      </rPr>
      <t>UP MSI</t>
    </r>
  </si>
  <si>
    <t>311-PH082612000-2013-Asexual Reproduction</t>
  </si>
  <si>
    <t>53-PH015505000--Sexual Reproduction</t>
  </si>
  <si>
    <t>312-PH082619000-Unknown-Artificial Reef</t>
  </si>
  <si>
    <t>54-PH015505000--</t>
  </si>
  <si>
    <r>
      <rPr>
        <rFont val="Calibri"/>
        <color theme="1"/>
        <sz val="12.0"/>
      </rPr>
      <t xml:space="preserve">Sexual Reproduction; </t>
    </r>
    <r>
      <rPr>
        <rFont val="Calibri"/>
        <color rgb="FFFF0000"/>
        <sz val="12.0"/>
      </rPr>
      <t>Asexual Reproduction</t>
    </r>
  </si>
  <si>
    <r>
      <rPr>
        <rFont val="Calibri"/>
        <color theme="1"/>
        <sz val="12.0"/>
      </rPr>
      <t xml:space="preserve">Research; Understand early developmental stages of corals and establish parent colonies that can provide sustainable source of gametes; </t>
    </r>
    <r>
      <rPr>
        <rFont val="Calibri"/>
        <color rgb="FFFF0000"/>
        <sz val="12.0"/>
      </rPr>
      <t>Successfully cultured and reared coral embryos from wild caugh spawn slick in the Philippines</t>
    </r>
  </si>
  <si>
    <t>313-PH082620000-Unknown-Artificial Reef</t>
  </si>
  <si>
    <r>
      <rPr>
        <rFont val="Calibri"/>
        <color theme="1"/>
        <sz val="12.0"/>
      </rPr>
      <t xml:space="preserve">Larval collection; hatchery rearing; in situ nursery; out-planting </t>
    </r>
    <r>
      <rPr>
        <rFont val="Calibri"/>
        <color rgb="FFFF0000"/>
        <sz val="12.0"/>
      </rPr>
      <t>using plastic masonry wall plugs ("tox"); adhesive putty using marine epoxy, cement and sand</t>
    </r>
  </si>
  <si>
    <r>
      <rPr>
        <rFont val="Calibri"/>
        <color theme="1"/>
        <sz val="12.0"/>
      </rPr>
      <t xml:space="preserve">Research; </t>
    </r>
    <r>
      <rPr>
        <rFont val="Calibri"/>
        <color rgb="FFFF0000"/>
        <sz val="12.0"/>
      </rPr>
      <t>Performance and cost-effectiveness of sexually produced Acropora granulosa juveniles compared with asexually generated coral fragments in restoring degraded reefs</t>
    </r>
  </si>
  <si>
    <t>314-PH082618000-2013-Asexual Reproduction</t>
  </si>
  <si>
    <r>
      <rPr>
        <rFont val="Calibri"/>
        <color theme="1"/>
        <sz val="12.0"/>
      </rPr>
      <t xml:space="preserve">Outplanting; </t>
    </r>
    <r>
      <rPr>
        <rFont val="Calibri"/>
        <color rgb="FFFF0000"/>
        <sz val="12.0"/>
      </rPr>
      <t>ex-situ nursery</t>
    </r>
  </si>
  <si>
    <r>
      <rPr>
        <rFont val="Calibri"/>
        <color theme="1"/>
        <sz val="12.0"/>
      </rPr>
      <t xml:space="preserve">Research;  </t>
    </r>
    <r>
      <rPr>
        <rFont val="Calibri"/>
        <color rgb="FFFF0000"/>
        <sz val="12.0"/>
      </rPr>
      <t>Feasibility of early outplanting of sexually propagated Acropora verweyi for coral reef restoration</t>
    </r>
  </si>
  <si>
    <r>
      <rPr>
        <rFont val="Calibri"/>
        <color theme="1"/>
        <sz val="12.0"/>
      </rPr>
      <t xml:space="preserve">240 </t>
    </r>
    <r>
      <rPr>
        <rFont val="Calibri"/>
        <color rgb="FFFF0000"/>
        <sz val="12.0"/>
      </rPr>
      <t>colonies</t>
    </r>
  </si>
  <si>
    <r>
      <rPr>
        <rFont val="Calibri"/>
        <color theme="1"/>
        <sz val="12.0"/>
      </rPr>
      <t xml:space="preserve">Ligson, C., </t>
    </r>
    <r>
      <rPr>
        <rFont val="Calibri"/>
        <color rgb="FFFF0000"/>
        <sz val="12.0"/>
      </rPr>
      <t>Tabalanza, T., Villanueva, R. &amp; Cabaitan, P</t>
    </r>
    <r>
      <rPr>
        <rFont val="Calibri"/>
        <color theme="1"/>
        <sz val="12.0"/>
      </rPr>
      <t>. (</t>
    </r>
    <r>
      <rPr>
        <rFont val="Calibri"/>
        <color rgb="FFFF0000"/>
        <sz val="12.0"/>
      </rPr>
      <t>2020</t>
    </r>
    <r>
      <rPr>
        <rFont val="Calibri"/>
        <color theme="1"/>
        <sz val="12.0"/>
      </rPr>
      <t xml:space="preserve">). </t>
    </r>
    <r>
      <rPr>
        <rFont val="Calibri"/>
        <color rgb="FFFF0000"/>
        <sz val="12.0"/>
      </rPr>
      <t>Feasibility of early outplanting of sexually propagated Acropora verweyi for coral reef restoration demonstrated in the Philippines</t>
    </r>
    <r>
      <rPr>
        <rFont val="Calibri"/>
        <color theme="1"/>
        <sz val="12.0"/>
      </rPr>
      <t xml:space="preserve">. Restoration Ecology, </t>
    </r>
    <r>
      <rPr>
        <rFont val="Calibri"/>
        <color rgb="FFFF0000"/>
        <sz val="12.0"/>
      </rPr>
      <t>28(1)</t>
    </r>
    <r>
      <rPr>
        <rFont val="Calibri"/>
        <color theme="1"/>
        <sz val="12.0"/>
      </rPr>
      <t>. h</t>
    </r>
    <r>
      <rPr>
        <rFont val="Calibri"/>
        <color rgb="FFFF0000"/>
        <sz val="12.0"/>
      </rPr>
      <t>ttps://doi.org/10.1111/rec.13054</t>
    </r>
  </si>
  <si>
    <t>315-PH083703000-1992-Artificial Reef</t>
  </si>
  <si>
    <t xml:space="preserve">Site in Magsaysay Reef; </t>
  </si>
  <si>
    <t>316-PH083705000-1992-Artificial Reef</t>
  </si>
  <si>
    <r>
      <rPr>
        <rFont val="Calibri"/>
        <color theme="1"/>
        <sz val="12.0"/>
      </rPr>
      <t xml:space="preserve">Site in </t>
    </r>
    <r>
      <rPr>
        <rFont val="Calibri"/>
        <color rgb="FFFF0000"/>
        <sz val="12.0"/>
      </rPr>
      <t>Surip</t>
    </r>
  </si>
  <si>
    <t>317-PH083705000-1992-Artificial Reef</t>
  </si>
  <si>
    <t>318-PH083714000-1992-Artificial Reef</t>
  </si>
  <si>
    <t>319-PH083715000-1986-Artificial Reef</t>
  </si>
  <si>
    <r>
      <rPr>
        <rFont val="Calibri"/>
        <color theme="1"/>
        <sz val="12.0"/>
      </rPr>
      <t xml:space="preserve">Site at Silaqui Island and Guiguiwanen Bay </t>
    </r>
    <r>
      <rPr>
        <rFont val="Calibri"/>
        <color rgb="FFFF0000"/>
        <sz val="12.0"/>
      </rPr>
      <t>(E 119.875, 120: N 16.375, 16.4583333)</t>
    </r>
  </si>
  <si>
    <t>320-PH083715000-1992-Artificial Reef</t>
  </si>
  <si>
    <r>
      <rPr>
        <rFont val="Calibri"/>
        <color theme="1"/>
        <sz val="12.0"/>
      </rPr>
      <t xml:space="preserve">Site at </t>
    </r>
    <r>
      <rPr>
        <rFont val="Calibri"/>
        <color rgb="FFFF0000"/>
        <sz val="12.0"/>
      </rPr>
      <t xml:space="preserve">Lucero Reef Flat, </t>
    </r>
    <r>
      <rPr>
        <rFont val="Calibri"/>
        <color theme="1"/>
        <sz val="12.0"/>
      </rPr>
      <t>Santiago Island</t>
    </r>
  </si>
  <si>
    <r>
      <rPr>
        <rFont val="Calibri"/>
        <color theme="1"/>
        <sz val="12.0"/>
      </rPr>
      <t xml:space="preserve">Research; </t>
    </r>
    <r>
      <rPr>
        <rFont val="Calibri"/>
        <color rgb="FFFF0000"/>
        <sz val="12.0"/>
      </rPr>
      <t>Determine growth and mortality of transplants of two species of scleractinian corals</t>
    </r>
  </si>
  <si>
    <t>321-PH083715000-1992-Artificial Reef</t>
  </si>
  <si>
    <r>
      <rPr>
        <rFont val="Calibri"/>
        <color theme="1"/>
        <sz val="12.0"/>
      </rPr>
      <t xml:space="preserve">Research; </t>
    </r>
    <r>
      <rPr>
        <rFont val="Calibri"/>
        <color rgb="FFFF0000"/>
        <sz val="12.0"/>
      </rPr>
      <t>Investigated the growth rate of transplanted Acropora pulchra</t>
    </r>
  </si>
  <si>
    <t>322-PH083729000-1992-Artificial Reef</t>
  </si>
  <si>
    <r>
      <rPr>
        <rFont val="Calibri"/>
        <color theme="1"/>
        <sz val="12.0"/>
      </rPr>
      <t xml:space="preserve">Site at Cangaluyan Island; </t>
    </r>
    <r>
      <rPr>
        <rFont val="Calibri"/>
        <color rgb="FFFF0000"/>
        <sz val="12.0"/>
      </rPr>
      <t>(N 16.3666667, E 120)</t>
    </r>
  </si>
  <si>
    <t>323-PH083738000-1992-Artificial Reef</t>
  </si>
  <si>
    <r>
      <rPr>
        <rFont val="Calibri"/>
        <color theme="1"/>
        <sz val="12.0"/>
      </rPr>
      <t xml:space="preserve">Site at Santiago Island; </t>
    </r>
    <r>
      <rPr>
        <rFont val="Calibri"/>
        <color rgb="FFFF0000"/>
        <sz val="12.0"/>
      </rPr>
      <t>(N 16.342, E 119.90)</t>
    </r>
  </si>
  <si>
    <r>
      <rPr>
        <rFont val="Calibri"/>
        <color theme="1"/>
        <sz val="12.0"/>
      </rPr>
      <t xml:space="preserve">Research; </t>
    </r>
    <r>
      <rPr>
        <rFont val="Calibri"/>
        <color rgb="FFFF0000"/>
        <sz val="12.0"/>
      </rPr>
      <t>Survival and growth of Porites scleratinian coral transplants</t>
    </r>
  </si>
  <si>
    <t>324-PH083739000-1992-Artificial Reef</t>
  </si>
  <si>
    <r>
      <rPr>
        <rFont val="Calibri"/>
        <color theme="1"/>
        <sz val="12.0"/>
      </rPr>
      <t xml:space="preserve">Site at Santiago Island </t>
    </r>
    <r>
      <rPr>
        <rFont val="Calibri"/>
        <color rgb="FFFF0000"/>
        <sz val="12.0"/>
      </rPr>
      <t>(N 16.4113889, E 119.90694444444445)</t>
    </r>
  </si>
  <si>
    <r>
      <rPr>
        <rFont val="Calibri"/>
        <color theme="1"/>
        <sz val="12.0"/>
      </rPr>
      <t>Coral transplantation</t>
    </r>
    <r>
      <rPr>
        <rFont val="Calibri"/>
        <color rgb="FFFF0000"/>
        <sz val="12.0"/>
      </rPr>
      <t xml:space="preserve"> in natural and artificial substrate</t>
    </r>
    <r>
      <rPr>
        <rFont val="Calibri"/>
        <color theme="1"/>
        <sz val="12.0"/>
      </rPr>
      <t xml:space="preserve"> (metal grids)</t>
    </r>
  </si>
  <si>
    <r>
      <rPr>
        <rFont val="Calibri"/>
        <color theme="1"/>
        <sz val="12.0"/>
      </rPr>
      <t xml:space="preserve">Research; </t>
    </r>
    <r>
      <rPr>
        <rFont val="Calibri"/>
        <color rgb="FFFF0000"/>
        <sz val="12.0"/>
      </rPr>
      <t>Compare survival of coral transplants  attached to natural and artificial substrates</t>
    </r>
  </si>
  <si>
    <t>325-PH083747000-1992-Artificial Reef</t>
  </si>
  <si>
    <t>326-PH084802000-2013-Artificial Reef</t>
  </si>
  <si>
    <t>327-PH084802000-2017-Asexual Reproduction</t>
  </si>
  <si>
    <t>69-PH015514000--Asexual Reproduction</t>
  </si>
  <si>
    <r>
      <rPr>
        <rFont val="Calibri"/>
        <color rgb="FFFF0000"/>
        <sz val="12.0"/>
      </rPr>
      <t xml:space="preserve">Site at Riripayan Point (N 16.3833333; E 119.91805555555555); </t>
    </r>
    <r>
      <rPr>
        <rFont val="Calibri"/>
        <color theme="1"/>
        <sz val="12.0"/>
      </rPr>
      <t>Survivorship of coral juveniles in a fish farm environment</t>
    </r>
  </si>
  <si>
    <t>328-PH083707000-1996-Artificial Reef</t>
  </si>
  <si>
    <r>
      <rPr>
        <rFont val="Calibri"/>
        <color rgb="FFFF0000"/>
        <sz val="12.0"/>
      </rPr>
      <t xml:space="preserve">Site in Guiguiwanen Channel (N 16.3866667; E 119.91694444444445); </t>
    </r>
    <r>
      <rPr>
        <rFont val="Calibri"/>
        <color theme="1"/>
        <sz val="12.0"/>
      </rPr>
      <t>Fish farm effluents alter reef benthic assemblages and reduce coral settlement</t>
    </r>
  </si>
  <si>
    <r>
      <rPr>
        <rFont val="Calibri"/>
        <color theme="1"/>
        <sz val="12.0"/>
      </rPr>
      <t xml:space="preserve">Larval settlement in fiber cement tiles; </t>
    </r>
    <r>
      <rPr>
        <rFont val="Calibri"/>
        <color rgb="FFFF0000"/>
        <sz val="12.0"/>
      </rPr>
      <t>transplantation of tiles in replicate sites</t>
    </r>
  </si>
  <si>
    <t>329-PH086402000-Unknown-Artificial Reef</t>
  </si>
  <si>
    <r>
      <rPr>
        <rFont val="Calibri"/>
        <color rgb="FFFF0000"/>
        <sz val="12.0"/>
      </rPr>
      <t xml:space="preserve">Three sites in Silaqui (N 1820191, E 811925), Binabalian (N 1818242, E 811084), Malilnep (N 1819479, E 813857); </t>
    </r>
    <r>
      <rPr>
        <rFont val="Calibri"/>
        <color theme="1"/>
        <sz val="12.0"/>
      </rPr>
      <t>Comparison of three types of adhesive in attaching coral transplants to clam shell substrates</t>
    </r>
  </si>
  <si>
    <r>
      <rPr>
        <rFont val="Calibri"/>
        <color theme="1"/>
        <sz val="12.0"/>
      </rPr>
      <t xml:space="preserve">Research; </t>
    </r>
    <r>
      <rPr>
        <rFont val="Calibri"/>
        <color rgb="FFFF0000"/>
        <sz val="12.0"/>
      </rPr>
      <t>Comparison of three types of adhesives in attaching coral transplants</t>
    </r>
  </si>
  <si>
    <t>330-PH086409000-2017-Asexual Reproduction</t>
  </si>
  <si>
    <r>
      <rPr>
        <rFont val="Calibri"/>
        <color rgb="FFFF0000"/>
        <sz val="12.0"/>
      </rPr>
      <t>Site in Silaqui Island (N 16.4454167, E 119.92408333333334)</t>
    </r>
    <r>
      <rPr>
        <rFont val="Calibri"/>
        <color theme="1"/>
        <sz val="12.0"/>
      </rPr>
      <t xml:space="preserve">; Fixed and suspended coral nurseries in the Philippines: Establishing the first step in the "gardening concept" of reef restoration </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</si>
  <si>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</si>
  <si>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r>
      <rPr>
        <rFont val="Calibri"/>
        <color theme="1"/>
        <sz val="12.0"/>
      </rPr>
      <t xml:space="preserve">CNU; </t>
    </r>
    <r>
      <rPr>
        <rFont val="Calibri"/>
        <color rgb="FFFF0000"/>
        <sz val="12.0"/>
      </rPr>
      <t>suspended nursery and leg-fixed nursery</t>
    </r>
    <r>
      <rPr>
        <rFont val="Calibri"/>
        <color theme="1"/>
        <sz val="12.0"/>
      </rPr>
      <t xml:space="preserve"> (plastic mesh and PVC pipe frames)</t>
    </r>
  </si>
  <si>
    <t>331-PH086410000-2013-Asexual Reproduction</t>
  </si>
  <si>
    <r>
      <rPr>
        <rFont val="Calibri"/>
        <color rgb="FFFF0000"/>
        <sz val="12.0"/>
      </rPr>
      <t xml:space="preserve">Site in Santiago Island (N 16.4454167, E 119.92408333333334); </t>
    </r>
    <r>
      <rPr>
        <rFont val="Calibri"/>
        <color theme="1"/>
        <sz val="12.0"/>
      </rPr>
      <t>Employing a highly fragmented, weedy coral species in reef restoration</t>
    </r>
  </si>
  <si>
    <t>332-PH086410000-2014-Artificial Reef</t>
  </si>
  <si>
    <r>
      <rPr>
        <rFont val="Calibri"/>
        <color rgb="FFFF0000"/>
        <sz val="12.0"/>
      </rPr>
      <t xml:space="preserve">Asexual Reproduction; </t>
    </r>
    <r>
      <rPr>
        <rFont val="Calibri"/>
        <color theme="1"/>
        <sz val="12.0"/>
      </rPr>
      <t>Sexual Reproduction</t>
    </r>
  </si>
  <si>
    <r>
      <rPr>
        <rFont val="Calibri"/>
        <color theme="1"/>
        <sz val="12.0"/>
      </rPr>
      <t xml:space="preserve">European Union INCO-DEV Project; </t>
    </r>
    <r>
      <rPr>
        <rFont val="Calibri"/>
        <color rgb="FFFF0000"/>
        <sz val="12.0"/>
      </rPr>
      <t>Singapore Ministry of Education Academic Research Fund Tier 1 FRC</t>
    </r>
  </si>
  <si>
    <t>333-PH086410000-Unknown-Asexual Reproduction</t>
  </si>
  <si>
    <r>
      <rPr>
        <rFont val="Calibri"/>
        <color rgb="FFFF0000"/>
        <sz val="12.0"/>
      </rPr>
      <t>Site in Silaqui Island; "fixed to bottom" nursery installed in Binabalian Labas;</t>
    </r>
    <r>
      <rPr>
        <rFont val="Calibri"/>
        <color theme="1"/>
        <sz val="12.0"/>
      </rPr>
      <t xml:space="preserve"> Mid-water rope nursery - testing design and performance of a novel reef restoration instrument</t>
    </r>
  </si>
  <si>
    <t>334-PH086410000-2019-Artificial Reef</t>
  </si>
  <si>
    <r>
      <rPr>
        <rFont val="Calibri"/>
        <color theme="1"/>
        <sz val="12.0"/>
      </rPr>
      <t xml:space="preserve">Research; </t>
    </r>
    <r>
      <rPr>
        <rFont val="Calibri"/>
        <color rgb="FFFF0000"/>
        <sz val="12.0"/>
      </rPr>
      <t>Growth and survival of Montipora digitata during transplantation</t>
    </r>
    <r>
      <rPr>
        <rFont val="Calibri"/>
        <color theme="1"/>
        <sz val="12.0"/>
      </rPr>
      <t xml:space="preserve">; Restore a degraded lagoon environment; </t>
    </r>
  </si>
  <si>
    <t>335-PH086410000-2018-Artificial Reef</t>
  </si>
  <si>
    <r>
      <rPr>
        <rFont val="Calibri"/>
        <color rgb="FFFF0000"/>
        <sz val="12.0"/>
      </rPr>
      <t>Site in Silaqui Island (N 16.4459167, E 119.92394444444444)</t>
    </r>
    <r>
      <rPr>
        <rFont val="Calibri"/>
        <color theme="1"/>
        <sz val="12.0"/>
      </rPr>
      <t>; How Quickly do Fragments of Coral "Self-Attach" after Transplantation</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</si>
  <si>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</si>
  <si>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Coral transplantation; </t>
    </r>
    <r>
      <rPr>
        <rFont val="Calibri"/>
        <color rgb="FFFF0000"/>
        <sz val="12.0"/>
      </rPr>
      <t>Attachment to dead giant clam shells; frames made of PVC pipes and mesh, angle iron for anchor</t>
    </r>
  </si>
  <si>
    <r>
      <rPr>
        <rFont val="Calibri"/>
        <color theme="1"/>
        <sz val="12.0"/>
      </rPr>
      <t xml:space="preserve">Research; </t>
    </r>
    <r>
      <rPr>
        <rFont val="Calibri"/>
        <color rgb="FFFF0000"/>
        <sz val="12.0"/>
      </rPr>
      <t>Compare the self-attachment times of different coral species to natural calcium carbonate substrate</t>
    </r>
  </si>
  <si>
    <t>336-PH086416000-2022-Artificial Reef</t>
  </si>
  <si>
    <r>
      <rPr>
        <rFont val="Calibri"/>
        <color rgb="FFFF0000"/>
        <sz val="12.0"/>
      </rPr>
      <t>Site of nursery in Binabalian Labas (N 16.4269444, E 119.91444444444446)</t>
    </r>
    <r>
      <rPr>
        <rFont val="Calibri"/>
        <color theme="1"/>
        <sz val="12.0"/>
      </rPr>
      <t>; Effects of grazing by herbivorous gastropod (Trochus niloticus) on the survivorship of cultured coral spat</t>
    </r>
  </si>
  <si>
    <r>
      <rPr>
        <rFont val="Calibri"/>
        <color theme="1"/>
        <sz val="12.0"/>
      </rPr>
      <t xml:space="preserve">Sexual Reproduction; </t>
    </r>
    <r>
      <rPr>
        <rFont val="Calibri"/>
        <color rgb="FFFF0000"/>
        <sz val="12.0"/>
      </rPr>
      <t>Asexual Reproduction</t>
    </r>
  </si>
  <si>
    <t>337-PH086417000-1992-Artificial Reef</t>
  </si>
  <si>
    <r>
      <rPr>
        <rFont val="Calibri"/>
        <color theme="1"/>
        <sz val="12.0"/>
      </rPr>
      <t xml:space="preserve">Site in Lucero </t>
    </r>
    <r>
      <rPr>
        <rFont val="Calibri"/>
        <color rgb="FFFF0000"/>
        <sz val="12.0"/>
      </rPr>
      <t>(N 16.4161111, E 119.90722222222223)</t>
    </r>
    <r>
      <rPr>
        <rFont val="Calibri"/>
        <color theme="1"/>
        <sz val="12.0"/>
      </rPr>
      <t>; Community-based, low-tech method of restoring a lost thicket of Acropora corals</t>
    </r>
  </si>
  <si>
    <r>
      <rPr>
        <rFont val="Calibri"/>
        <color theme="1"/>
        <sz val="12.0"/>
      </rPr>
      <t xml:space="preserve">Research; Develop cost-effective, low-tech restoration method transferable to the community </t>
    </r>
    <r>
      <rPr>
        <rFont val="Calibri"/>
        <color rgb="FFFF0000"/>
        <sz val="12.0"/>
      </rPr>
      <t>using A. pulchra and A. intermedia species</t>
    </r>
  </si>
  <si>
    <r>
      <rPr>
        <rFont val="Calibri"/>
        <color theme="1"/>
        <sz val="12.0"/>
      </rPr>
      <t xml:space="preserve">Site in </t>
    </r>
    <r>
      <rPr>
        <rFont val="Calibri"/>
        <color rgb="FFFF0000"/>
        <sz val="12.0"/>
      </rPr>
      <t>Malilnep Channel</t>
    </r>
    <r>
      <rPr>
        <rFont val="Calibri"/>
        <color theme="1"/>
        <sz val="12.0"/>
      </rPr>
      <t>; Closing the circle: is it feasible to rehabilitate reefs with sexually propagated corals</t>
    </r>
  </si>
  <si>
    <r>
      <rPr>
        <rFont val="Calibri"/>
        <color rgb="FFFF0000"/>
        <sz val="12.0"/>
      </rPr>
      <t>Gravid colony collection; larval culture and rearing; Transplantation using plastic wall plug</t>
    </r>
    <r>
      <rPr>
        <rFont val="Calibri"/>
        <color theme="1"/>
        <sz val="12.0"/>
      </rPr>
      <t xml:space="preserve"> "coral plug-in";</t>
    </r>
    <r>
      <rPr>
        <rFont val="Calibri"/>
        <color rgb="FFFF0000"/>
        <sz val="12.0"/>
      </rPr>
      <t xml:space="preserve"> in-situ installation cement and PVC mesh</t>
    </r>
  </si>
  <si>
    <r>
      <rPr>
        <rFont val="Calibri"/>
        <color rgb="FFFF0000"/>
        <sz val="12.0"/>
      </rPr>
      <t>Plastic wall plug</t>
    </r>
    <r>
      <rPr>
        <rFont val="Calibri"/>
        <color theme="1"/>
        <sz val="12.0"/>
      </rPr>
      <t xml:space="preserve"> "coral plug-in";</t>
    </r>
    <r>
      <rPr>
        <rFont val="Calibri"/>
        <color rgb="FFFF0000"/>
        <sz val="12.0"/>
      </rPr>
      <t xml:space="preserve"> in-situ installation cement and PVC mesh</t>
    </r>
  </si>
  <si>
    <t>338-PH086418000-2016-Asexual Reproduction</t>
  </si>
  <si>
    <r>
      <rPr>
        <rFont val="Calibri"/>
        <color theme="1"/>
        <sz val="12.0"/>
      </rPr>
      <t>Scaph Pro Philippines;</t>
    </r>
    <r>
      <rPr>
        <rFont val="Calibri"/>
        <color rgb="FFFF0000"/>
        <sz val="12.0"/>
      </rPr>
      <t xml:space="preserve"> Life Time Dive Center</t>
    </r>
  </si>
  <si>
    <t>81-PH015514000-*Not indicated-Asexual Reproduction</t>
  </si>
  <si>
    <t>339-PH097201000-1987-Artificial Reef</t>
  </si>
  <si>
    <r>
      <rPr>
        <rFont val="Calibri"/>
        <color rgb="FFFF0000"/>
        <sz val="12.0"/>
      </rPr>
      <t>No restoration activity; experiment conducted in laboratory; coral colonies collected from Cangaluyan (N 16.38205, E  120.0038);</t>
    </r>
    <r>
      <rPr>
        <rFont val="Calibri"/>
        <color theme="1"/>
        <sz val="12.0"/>
      </rPr>
      <t xml:space="preserve"> Effects of coral extracts on survivorship, swimming behavior and settlement of Pocillopora damicornis larvae</t>
    </r>
  </si>
  <si>
    <t>340-PH097201000-1987-Artificial Reef</t>
  </si>
  <si>
    <t>341-PH097201000-1987-Artificial Reef</t>
  </si>
  <si>
    <t>342-PH097322000-Unknown-Artificial Reef</t>
  </si>
  <si>
    <r>
      <rPr>
        <rFont val="Calibri"/>
        <color theme="1"/>
        <sz val="12.0"/>
      </rPr>
      <t xml:space="preserve">Creation of MPA; </t>
    </r>
    <r>
      <rPr>
        <rFont val="Calibri"/>
        <color rgb="FFFF0000"/>
        <sz val="12.0"/>
      </rPr>
      <t>Boost the marine ecosystem and increase local fish catch</t>
    </r>
  </si>
  <si>
    <r>
      <rPr>
        <rFont val="Calibri"/>
        <color theme="1"/>
        <sz val="12.0"/>
      </rPr>
      <t xml:space="preserve">Pasiliao, J. J. (2022, Mar 7). Artificial reefs, watch tower in coastal Pangasinan town launched. </t>
    </r>
    <r>
      <rPr>
        <rFont val="Calibri"/>
        <i/>
        <color theme="1"/>
        <sz val="12.0"/>
      </rPr>
      <t>Manila Bulletin. https://mb.com.ph/2022/3/7/artificial-reefs-watch-tower-in-coastal-pangasinan-town-launched</t>
    </r>
  </si>
  <si>
    <t>343-PH097322000-2021-Artificial Reef</t>
  </si>
  <si>
    <r>
      <rPr>
        <rFont val="Calibri"/>
        <color theme="1"/>
        <sz val="12.0"/>
      </rPr>
      <t xml:space="preserve">PLGU, </t>
    </r>
    <r>
      <rPr>
        <rFont val="Calibri"/>
        <color rgb="FFFF0000"/>
        <sz val="12.0"/>
      </rPr>
      <t>MLGU</t>
    </r>
    <r>
      <rPr>
        <rFont val="Calibri"/>
        <color theme="1"/>
        <sz val="12.0"/>
      </rPr>
      <t xml:space="preserve">, </t>
    </r>
    <r>
      <rPr>
        <rFont val="Calibri"/>
        <color rgb="FFFF0000"/>
        <sz val="12.0"/>
      </rPr>
      <t>BFAR</t>
    </r>
  </si>
  <si>
    <t>344-PH097332000-2015-Asexual Reproduction</t>
  </si>
  <si>
    <t>345-PH097332000-2020-Artificial Reef</t>
  </si>
  <si>
    <t>346-PH101802000-2015-Asexual Reproduction</t>
  </si>
  <si>
    <t>347-PH101802000-2013-Artificial Reef</t>
  </si>
  <si>
    <t>348-PH101803000-2021-Artificial Reef</t>
  </si>
  <si>
    <r>
      <rPr>
        <rFont val="Calibri"/>
        <color theme="1"/>
        <sz val="12.0"/>
      </rPr>
      <t xml:space="preserve">PNP Regional Office 10, </t>
    </r>
    <r>
      <rPr>
        <rFont val="Calibri"/>
        <color rgb="FFFF0000"/>
        <sz val="12.0"/>
      </rPr>
      <t>PLGU</t>
    </r>
  </si>
  <si>
    <t>349-PH101804000-2019-Asexual Reproduction</t>
  </si>
  <si>
    <t>350-PH101804000-2013-Artificial Reef</t>
  </si>
  <si>
    <t>351-PH103507000-1986-Artificial Reef</t>
  </si>
  <si>
    <r>
      <rPr>
        <rFont val="Calibri"/>
        <color theme="1"/>
        <sz val="12.0"/>
      </rPr>
      <t xml:space="preserve">Restore </t>
    </r>
    <r>
      <rPr>
        <rFont val="Calibri"/>
        <color rgb="FFFF0000"/>
        <sz val="12.0"/>
      </rPr>
      <t xml:space="preserve">local </t>
    </r>
    <r>
      <rPr>
        <rFont val="Calibri"/>
        <color theme="1"/>
        <sz val="12.0"/>
      </rPr>
      <t>fisheries</t>
    </r>
  </si>
  <si>
    <t>352-PH103507000-1986-Artificial Reef</t>
  </si>
  <si>
    <t>145-PH045601000--Artificial Reef</t>
  </si>
  <si>
    <t>353-PH103507000-2018-Artificial Reef</t>
  </si>
  <si>
    <t>354-PH103510000-2008-Artificial Reef; Asexual Reproduction</t>
  </si>
  <si>
    <t>355-PH103512000-1993-Artificial Reef</t>
  </si>
  <si>
    <t>356-PH103512000-1993-Artificial Reef</t>
  </si>
  <si>
    <t>357-PH104205000-1992-Artificial Reef</t>
  </si>
  <si>
    <t>151-PH045607000--Artificial Reef</t>
  </si>
  <si>
    <t>358-PH104210000-Unknown-Artificial Reef</t>
  </si>
  <si>
    <r>
      <rPr>
        <rFont val="Calibri"/>
        <color theme="1"/>
        <sz val="12.0"/>
      </rPr>
      <t xml:space="preserve">Ozamis </t>
    </r>
    <r>
      <rPr>
        <rFont val="Calibri"/>
        <color rgb="FFFF0000"/>
        <sz val="12.0"/>
      </rPr>
      <t>City</t>
    </r>
  </si>
  <si>
    <t>152-PH045607000--Artificial Reef</t>
  </si>
  <si>
    <t>359-PH104214000-2001-Asexual Reproduction</t>
  </si>
  <si>
    <t>153-PH045607000--Artificial Reef</t>
  </si>
  <si>
    <t>360-PH104303000-1997-Artificial Reef</t>
  </si>
  <si>
    <t>154-PH045607000--Artificial Reef</t>
  </si>
  <si>
    <t>361-PH104305000-2021-Artificial Reef</t>
  </si>
  <si>
    <t>155-PH045607000--Artificial Reef</t>
  </si>
  <si>
    <t>362-PH104305000-2017-Artificial Reef</t>
  </si>
  <si>
    <r>
      <rPr>
        <rFont val="Calibri"/>
        <color theme="1"/>
        <sz val="12.0"/>
      </rPr>
      <t xml:space="preserve">Ocean rehabilitation; </t>
    </r>
    <r>
      <rPr>
        <rFont val="Calibri"/>
        <color rgb="FFFF0000"/>
        <sz val="12.0"/>
      </rPr>
      <t>sustainable school-community based projects</t>
    </r>
  </si>
  <si>
    <r>
      <rPr>
        <rFont val="Calibri"/>
        <color theme="1"/>
        <sz val="12.0"/>
      </rPr>
      <t xml:space="preserve">BFAR; </t>
    </r>
    <r>
      <rPr>
        <rFont val="Calibri"/>
        <color rgb="FFFF0000"/>
        <sz val="12.0"/>
      </rPr>
      <t>Philippine Coast Guard</t>
    </r>
  </si>
  <si>
    <t>156-PH045607000--Artificial Reef</t>
  </si>
  <si>
    <t>363-PH104310000-1986-Artificial Reef</t>
  </si>
  <si>
    <r>
      <rPr>
        <rFont val="Calibri"/>
        <color theme="1"/>
        <sz val="12.0"/>
      </rPr>
      <t xml:space="preserve">Lucena </t>
    </r>
    <r>
      <rPr>
        <rFont val="Calibri"/>
        <color rgb="FFFF0000"/>
        <sz val="12.0"/>
      </rPr>
      <t>City</t>
    </r>
  </si>
  <si>
    <t>157-PH045616000--Artificial Reef</t>
  </si>
  <si>
    <t>364-PH104311000-Unknown-Artificial Reef</t>
  </si>
  <si>
    <r>
      <rPr>
        <rFont val="Calibri"/>
        <color theme="1"/>
        <sz val="12.0"/>
      </rPr>
      <t xml:space="preserve">Lucena </t>
    </r>
    <r>
      <rPr>
        <rFont val="Calibri"/>
        <color rgb="FFFF0000"/>
        <sz val="12.0"/>
      </rPr>
      <t>City</t>
    </r>
  </si>
  <si>
    <t>365-PH104314000-2017-Artificial Reef</t>
  </si>
  <si>
    <r>
      <rPr>
        <rFont val="Calibri"/>
        <color theme="1"/>
        <sz val="12.0"/>
      </rPr>
      <t xml:space="preserve">BFAR; </t>
    </r>
    <r>
      <rPr>
        <rFont val="Calibri"/>
        <color rgb="FFFF0000"/>
        <sz val="12.0"/>
      </rPr>
      <t>Philippine Coast Guard</t>
    </r>
  </si>
  <si>
    <t>366-PH104314000-2022-Asexual Reproduction</t>
  </si>
  <si>
    <t>367-PH104319000-Unknown-Artificial Reef</t>
  </si>
  <si>
    <r>
      <rPr>
        <rFont val="Calibri"/>
        <color theme="1"/>
        <sz val="12.0"/>
      </rPr>
      <t xml:space="preserve">Bob of the Storm (2023, February 11). </t>
    </r>
    <r>
      <rPr>
        <rFont val="Calibri"/>
        <i/>
        <color theme="1"/>
        <sz val="12.0"/>
      </rPr>
      <t xml:space="preserve">Freediving Tour - Duka Bay's "Octopus" Artificial Reef </t>
    </r>
    <r>
      <rPr>
        <rFont val="Calibri"/>
        <color theme="1"/>
        <sz val="12.0"/>
      </rPr>
      <t>[Video]. Youtube. https://www.youtube.com/watch?v=7NBc_NGXqEA</t>
    </r>
  </si>
  <si>
    <t>368-PH104319000-2017-Artificial Reef</t>
  </si>
  <si>
    <t>162-PH045624000--Artificial Reef</t>
  </si>
  <si>
    <t>369-PH104319000-Unknown-Asexual Reproduction</t>
  </si>
  <si>
    <t>163-PH045624000--Artificial Reef</t>
  </si>
  <si>
    <t>370-PH104319000-2000-Asexual Reproduction</t>
  </si>
  <si>
    <t>164-PH045625000--Artificial Reef</t>
  </si>
  <si>
    <t>371-PH104319000-Unknown-Asexual Reproduction; Artificial Reef</t>
  </si>
  <si>
    <r>
      <rPr>
        <rFont val="Calibri"/>
        <color rgb="FFFF0000"/>
        <sz val="12.0"/>
      </rPr>
      <t>Site inside Duka Bay MPA; First to use "Large Coral Clones" for outplanting</t>
    </r>
    <r>
      <rPr>
        <rFont val="Calibri"/>
        <color theme="1"/>
        <sz val="12.0"/>
      </rPr>
      <t>; Involved the construction of and installation of concrete substrates seeded with large coral clones (LCCs).</t>
    </r>
  </si>
  <si>
    <t>372-PH104321000-2016-Artificial Reef</t>
  </si>
  <si>
    <t>166-PH045633000--Artificial Reef</t>
  </si>
  <si>
    <t>373-PH104326000-2015-Artificial Reef</t>
  </si>
  <si>
    <t>374-PH112317000-1991-Artificial Reef</t>
  </si>
  <si>
    <t>167-PH045633000--Artificial Reef</t>
  </si>
  <si>
    <t>375-PH112317000-2012-Artificial Reef</t>
  </si>
  <si>
    <t>168-PH045633000--Artificial Reef</t>
  </si>
  <si>
    <t>376-PH112317000-2019-Artificial Reef</t>
  </si>
  <si>
    <r>
      <rPr>
        <rFont val="Calibri"/>
        <color theme="1"/>
        <sz val="12.0"/>
      </rPr>
      <t xml:space="preserve">CLGU; </t>
    </r>
    <r>
      <rPr>
        <rFont val="Calibri"/>
        <color rgb="FFFF0000"/>
        <sz val="12.0"/>
      </rPr>
      <t>Civil Military Operations Unit - Eastern Mindanao; Naval Special Operations Unit 7</t>
    </r>
  </si>
  <si>
    <t>169-PH045633000--Artificial Reef</t>
  </si>
  <si>
    <t>170-PH045634000--Artificial Reef</t>
  </si>
  <si>
    <t>377-PH112317000-Unknown-Asexual Reproduction</t>
  </si>
  <si>
    <r>
      <rPr>
        <rFont val="Calibri"/>
        <color theme="1"/>
        <sz val="12.0"/>
      </rPr>
      <t xml:space="preserve">Site in Brgy Tagbaobo; </t>
    </r>
    <r>
      <rPr>
        <rFont val="Calibri"/>
        <color rgb="FFFF0000"/>
        <sz val="12.0"/>
      </rPr>
      <t>coral planting inside a no-take sanctuary</t>
    </r>
  </si>
  <si>
    <t>171-PH045637000--Artificial Reef</t>
  </si>
  <si>
    <t>172-PH045637000--Artificial Reef</t>
  </si>
  <si>
    <t>378-PH112317000-2012-Artificial Reef; Asexual Reproduction</t>
  </si>
  <si>
    <r>
      <rPr>
        <rFont val="Calibri"/>
        <color theme="1"/>
        <sz val="12.0"/>
      </rPr>
      <t xml:space="preserve">Llemit, R. L. (2019, Dec. 28). DENR rehabilitates 3 hectares of coral reef. </t>
    </r>
    <r>
      <rPr>
        <rFont val="Calibri"/>
        <i/>
        <color theme="1"/>
        <sz val="12.0"/>
      </rPr>
      <t>SunStar Davao. https://www.sunstar.com.ph/article/1837913/davao/local-news/denr-rehabilitates-3-hectares-of-coral-reef</t>
    </r>
  </si>
  <si>
    <t>173-PH045646000--Artificial Reef</t>
  </si>
  <si>
    <t>174-PH045649000--Artificial Reef</t>
  </si>
  <si>
    <t>379-PH112317000-Unknown-Artificial Reef</t>
  </si>
  <si>
    <t>380-PH112317000-2022-Artificial Reef</t>
  </si>
  <si>
    <t>386-PH128001000--Artificial Reef</t>
  </si>
  <si>
    <t>381-PH112317000-2001-Asexual Reproduction</t>
  </si>
  <si>
    <r>
      <rPr>
        <rFont val="Calibri"/>
        <color rgb="FFFF0000"/>
        <sz val="12.0"/>
      </rPr>
      <t>Site in Brgy Kawas</t>
    </r>
    <r>
      <rPr>
        <rFont val="Calibri"/>
        <color theme="1"/>
        <sz val="12.0"/>
      </rPr>
      <t>; Mentioned as one of the activities conducted under the project</t>
    </r>
  </si>
  <si>
    <t>382-PH112319000-2007-Artificial Reef</t>
  </si>
  <si>
    <r>
      <rPr>
        <rFont val="Calibri"/>
        <color theme="1"/>
        <sz val="12.0"/>
      </rPr>
      <t xml:space="preserve">Tagum </t>
    </r>
    <r>
      <rPr>
        <rFont val="Calibri"/>
        <color rgb="FFFF0000"/>
        <sz val="12.0"/>
      </rPr>
      <t>City</t>
    </r>
  </si>
  <si>
    <t>388-PH128003000-2014-Asexual Reproduction</t>
  </si>
  <si>
    <t>383-PH112319000-Unknown-Artificial Reef</t>
  </si>
  <si>
    <t>389-PH128003000--Asexual Reproduction</t>
  </si>
  <si>
    <t>384-PH112402000-1986-Artificial Reef</t>
  </si>
  <si>
    <t>389-PH128003000-2020-Asexual Reproduction</t>
  </si>
  <si>
    <t>390-PH128004000-2009-Artificial Reef</t>
  </si>
  <si>
    <t>385-PH112402000-2017-Artificial Reef</t>
  </si>
  <si>
    <t>390-PH128002000-2012-Asexual Reproduction; Artificial Reef</t>
  </si>
  <si>
    <t>391-PH128004000-2012-Artificial Reef</t>
  </si>
  <si>
    <t>386-PH112402000-2017-Artificial Reef</t>
  </si>
  <si>
    <t>391-PH128004000-2009-Artificial Reef</t>
  </si>
  <si>
    <t>392-PH128006000-2012-Artificial Reef</t>
  </si>
  <si>
    <t>387-PH112402000-2017-Artificial Reef</t>
  </si>
  <si>
    <t>392-PH128004000-2012-Artificial Reef</t>
  </si>
  <si>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</si>
  <si>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</si>
  <si>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t>393-PH128006000-2015-Artificial Reef</t>
  </si>
  <si>
    <t>388-PH112402000-2012-Artificial Reef</t>
  </si>
  <si>
    <t>436-PH076103000-Unknown-Artificial Reef</t>
  </si>
  <si>
    <t>437-PH076104000-Unknown-Artificial Reef</t>
  </si>
  <si>
    <t>389-PH112509000-2024-Artificial Reef</t>
  </si>
  <si>
    <r>
      <rPr>
        <rFont val="Calibri"/>
        <color rgb="FFFF0000"/>
        <sz val="12.0"/>
      </rPr>
      <t xml:space="preserve">Relator, R. (2024, Mar. 12). Reef made of clay bricks put up in Mati City, Davao Oriental. </t>
    </r>
    <r>
      <rPr>
        <rFont val="Calibri"/>
        <i/>
        <color rgb="FFFF0000"/>
        <sz val="12.0"/>
      </rPr>
      <t>GMA Regional TV. https://www.gmanetwork.com/regionaltv/features/100891/reef-made-of-clay-bricks-put-up-in-mati-city-davao-oriental/story/</t>
    </r>
  </si>
  <si>
    <t>438-PH076104000-1988-Artificial Reef</t>
  </si>
  <si>
    <r>
      <rPr>
        <rFont val="Calibri"/>
        <color theme="1"/>
      </rPr>
      <t xml:space="preserve">Site in Caricaran; </t>
    </r>
    <r>
      <rPr>
        <rFont val="Calibri"/>
        <color rgb="FFFF0000"/>
        <sz val="12.0"/>
      </rPr>
      <t>*Stated as Bacon in the literature, now part of Sorsogon City</t>
    </r>
  </si>
  <si>
    <t>390-PH112510000-Unknown-Artificial Reef</t>
  </si>
  <si>
    <r>
      <rPr>
        <rFont val="Calibri"/>
        <color theme="1"/>
      </rPr>
      <t xml:space="preserve">Site in Bato; </t>
    </r>
    <r>
      <rPr>
        <rFont val="Calibri"/>
        <color rgb="FFFF0000"/>
        <sz val="12.0"/>
      </rPr>
      <t>*Stated as Bacon in the literature, now part of Sorsogon City</t>
    </r>
  </si>
  <si>
    <t>391-PH118203000-2023-Asexual Reproduction</t>
  </si>
  <si>
    <r>
      <rPr>
        <rFont val="Calibri"/>
        <color rgb="FFFF0000"/>
        <sz val="12.0"/>
      </rPr>
      <t xml:space="preserve">DENR Davao (2023, January 21). Coral reef enrichment undertaken at Mabini Protected Landscape and Seascape, Davao de Oro [Status Update]. </t>
    </r>
    <r>
      <rPr>
        <rFont val="Calibri"/>
        <i/>
        <color rgb="FFFF0000"/>
        <sz val="12.0"/>
      </rPr>
      <t>https://web.facebook.com/story.php?story_fbid=551153050380292&amp;id=100064568057133&amp;_rdc=1&amp;_rdr</t>
    </r>
  </si>
  <si>
    <r>
      <rPr>
        <rFont val="Calibri"/>
        <color theme="1"/>
      </rPr>
      <t xml:space="preserve">Site in Gatbo; </t>
    </r>
    <r>
      <rPr>
        <rFont val="Calibri"/>
        <color rgb="FFFF0000"/>
        <sz val="12.0"/>
      </rPr>
      <t>*Stated as Bacon in the literature, now part of Sorsogon City</t>
    </r>
  </si>
  <si>
    <r>
      <rPr>
        <rFont val="Calibri"/>
        <color theme="1"/>
      </rPr>
      <t xml:space="preserve">Site in Bon-ot; </t>
    </r>
    <r>
      <rPr>
        <rFont val="Calibri"/>
        <color rgb="FFFF0000"/>
        <sz val="12.0"/>
      </rPr>
      <t>*Stated as Bacon in the literature, now part of Sorsogon City</t>
    </r>
  </si>
  <si>
    <t>392-PH126303000-Unknown-Artificial Reef</t>
  </si>
  <si>
    <r>
      <rPr>
        <rFont val="Calibri"/>
        <color theme="1"/>
        <sz val="12.0"/>
      </rPr>
      <t xml:space="preserve">General Santos </t>
    </r>
    <r>
      <rPr>
        <rFont val="Calibri"/>
        <color rgb="FFFF0000"/>
        <sz val="12.0"/>
      </rPr>
      <t>City</t>
    </r>
  </si>
  <si>
    <r>
      <rPr>
        <rFont val="Calibri"/>
        <color theme="1"/>
      </rPr>
      <t>Site in Santa Lucia; *</t>
    </r>
    <r>
      <rPr>
        <rFont val="Calibri"/>
        <color rgb="FFFF0000"/>
        <sz val="12.0"/>
      </rPr>
      <t>Stated as Bacon in the literature, now part of Sorsogon City</t>
    </r>
  </si>
  <si>
    <t>393-PH126303000-2005-Artificial Reef</t>
  </si>
  <si>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</si>
  <si>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</si>
  <si>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r>
      <rPr>
        <rFont val="Calibri"/>
        <color theme="1"/>
      </rPr>
      <t xml:space="preserve">Site in Sawanga; </t>
    </r>
    <r>
      <rPr>
        <rFont val="Calibri"/>
        <color rgb="FFFF0000"/>
        <sz val="12.0"/>
      </rPr>
      <t>*Stated as Bacon in the literature, now part of Sorsogon City</t>
    </r>
  </si>
  <si>
    <t>394-PH128001000-1998-Artificial Reef</t>
  </si>
  <si>
    <r>
      <rPr>
        <rFont val="Calibri"/>
        <color rgb="FFFF0000"/>
        <sz val="12.0"/>
      </rPr>
      <t>Site in Brgy Kawas</t>
    </r>
    <r>
      <rPr>
        <rFont val="Calibri"/>
        <color theme="1"/>
        <sz val="12.0"/>
      </rPr>
      <t>; Mentioned as one of the activities conducted under the project</t>
    </r>
  </si>
  <si>
    <t>395-PH128003000-2017-Asexual Reproduction; Artificial Reef</t>
  </si>
  <si>
    <t>383-PH126303000-*Not indicated-Artificial Reef</t>
  </si>
  <si>
    <t>396-PH128003000-2014-Asexual Reproduction</t>
  </si>
  <si>
    <r>
      <rPr>
        <rFont val="Calibri"/>
        <color theme="1"/>
        <sz val="12.0"/>
      </rPr>
      <t xml:space="preserve">General Santos </t>
    </r>
    <r>
      <rPr>
        <rFont val="Calibri"/>
        <color rgb="FFFF0000"/>
        <sz val="12.0"/>
      </rPr>
      <t>City</t>
    </r>
  </si>
  <si>
    <t>397-PH128003000-2020-Asexual Reproduction</t>
  </si>
  <si>
    <t>398-PH128002000-2012-Asexual Reproduction; Artificial Reef</t>
  </si>
  <si>
    <r>
      <rPr>
        <rFont val="Calibri"/>
        <color theme="1"/>
        <sz val="12.0"/>
      </rPr>
      <t xml:space="preserve">General Santos </t>
    </r>
    <r>
      <rPr>
        <rFont val="Calibri"/>
        <color rgb="FFFF0000"/>
        <sz val="12.0"/>
      </rPr>
      <t>City</t>
    </r>
  </si>
  <si>
    <r>
      <rPr>
        <rFont val="Calibri"/>
        <color rgb="FFFF0000"/>
        <sz val="12.0"/>
      </rPr>
      <t>Sites in Maharlika Beach Resort;</t>
    </r>
    <r>
      <rPr>
        <rFont val="Calibri"/>
        <color theme="1"/>
        <sz val="12.0"/>
      </rPr>
      <t xml:space="preserve"> Dupalco Beach; Part of a project to install 5,000 artificial reefs in the entire Sarangani Bay and municipalities that included towns of Glan, Malapatan, Alabel, Maasim and General Santos City. ; 3,509 units for the entire Sarangani Bay</t>
    </r>
  </si>
  <si>
    <t>314-PH086410000--Asexual Reproduction</t>
  </si>
  <si>
    <t>399-PH128004000-2009-Artificial Reef</t>
  </si>
  <si>
    <t>400-PH128004000-2012-Artificial Reef</t>
  </si>
  <si>
    <r>
      <rPr>
        <rFont val="Calibri"/>
        <color theme="1"/>
        <sz val="12.0"/>
      </rPr>
      <t xml:space="preserve">de Guzman, J. R. (2012, October 3). Donors lay artificial reef domes in Sarangani Bay. </t>
    </r>
    <r>
      <rPr>
        <rFont val="Calibri"/>
        <color rgb="FFFF0000"/>
        <sz val="12.0"/>
      </rPr>
      <t>One Mindanao. https://issuu.com/piamindanao1/docs/one_mindanao_-_october_3</t>
    </r>
  </si>
  <si>
    <r>
      <rPr>
        <rFont val="Calibri"/>
        <color rgb="FFFF0000"/>
        <sz val="12.0"/>
      </rPr>
      <t>https://issuu.com/piamindanao1/docs/one_mindanao_-_october_3;</t>
    </r>
    <r>
      <rPr>
        <rFont val="Calibri"/>
        <color theme="1"/>
        <sz val="12.0"/>
      </rPr>
      <t xml:space="preserve"> https://clafi.org/our_work_categories/environment-protection-and-conservation-projects/;</t>
    </r>
  </si>
  <si>
    <t>316-PH086410000-*Not indicated-Asexual Reproduction</t>
  </si>
  <si>
    <t>401-PH128006000-2015-Artificial Reef</t>
  </si>
  <si>
    <t>402-PH160201000-Unknown-Artificial Reef</t>
  </si>
  <si>
    <t>320-PH086417000--Artificial Reef</t>
  </si>
  <si>
    <r>
      <rPr>
        <rFont val="Calibri"/>
        <color theme="1"/>
      </rPr>
      <t xml:space="preserve">Site in San Jose; </t>
    </r>
    <r>
      <rPr>
        <rFont val="Calibri"/>
        <color rgb="FFFF0000"/>
        <sz val="12.0"/>
      </rPr>
      <t>*Stated as San Jose municipality in the literature but most likely means San Jose barangay which is part of Sogod town</t>
    </r>
  </si>
  <si>
    <t>403-PH160201000-2022-Artificial Reef</t>
  </si>
  <si>
    <t>405-PH160202000-2020-Artificial Reef</t>
  </si>
  <si>
    <t>406-PH160203000-1987-Artificial Reef</t>
  </si>
  <si>
    <r>
      <rPr>
        <rFont val="Calibri"/>
        <color theme="1"/>
        <sz val="12.0"/>
      </rPr>
      <t xml:space="preserve">Cabadbaran </t>
    </r>
    <r>
      <rPr>
        <rFont val="Calibri"/>
        <color rgb="FFFF0000"/>
        <sz val="12.0"/>
      </rPr>
      <t>City</t>
    </r>
  </si>
  <si>
    <t>407-PH160204000-2019-Artificial Reef</t>
  </si>
  <si>
    <r>
      <rPr>
        <rFont val="Calibri"/>
        <color theme="1"/>
        <sz val="12.0"/>
      </rPr>
      <t>Scaph Pro Philippines;</t>
    </r>
    <r>
      <rPr>
        <rFont val="Calibri"/>
        <color rgb="FFFF0000"/>
        <sz val="12.0"/>
      </rPr>
      <t xml:space="preserve"> Life Time Dive Center</t>
    </r>
  </si>
  <si>
    <t>408-PH166706000-2019-Asexual Reproduction</t>
  </si>
  <si>
    <t>416-PH156607000-2019-Artificial Reef</t>
  </si>
  <si>
    <t>451-PH156607000-2019-Artificial Reef</t>
  </si>
  <si>
    <r>
      <rPr>
        <rFont val="Calibri"/>
        <color theme="1"/>
        <sz val="12.0"/>
      </rPr>
      <t xml:space="preserve">Philippine Marines Western Mindanao Command </t>
    </r>
    <r>
      <rPr>
        <rFont val="Calibri"/>
        <color rgb="FFFF0000"/>
        <sz val="12.0"/>
      </rPr>
      <t>Marine Battallion Landing Team-3</t>
    </r>
  </si>
  <si>
    <t>409-PH166708000-Unknown-Artificial Reef</t>
  </si>
  <si>
    <t>452-PH156607000-2019-Artificial Reef</t>
  </si>
  <si>
    <t>398-PH166706000--Artificial Reef</t>
  </si>
  <si>
    <t>410-PH166715000-2020-Artificial Reef</t>
  </si>
  <si>
    <t>399-PH166706000-2018-Artificial Reef</t>
  </si>
  <si>
    <t>400-PH166708000-*Not indicated-Artificial Reef</t>
  </si>
  <si>
    <t xml:space="preserve">*Website mentions artificial reef monitoring by DENR </t>
  </si>
  <si>
    <t>411-PH166724000-2021-Artificial Reef</t>
  </si>
  <si>
    <r>
      <rPr>
        <rFont val="Calibri"/>
        <color rgb="FFFF0000"/>
        <sz val="12.0"/>
      </rPr>
      <t>Site in Brgy Ipil MPA</t>
    </r>
    <r>
      <rPr>
        <rFont val="Calibri"/>
        <color theme="1"/>
        <sz val="12.0"/>
      </rPr>
      <t>; Site in Brgy Mabua</t>
    </r>
  </si>
  <si>
    <t>400-PH166706000-2019-Asexual Reproduction</t>
  </si>
  <si>
    <t>401-PH166710000--</t>
  </si>
  <si>
    <t>412-PH166724000-2018-Artificial Reef</t>
  </si>
  <si>
    <t>401-PH166708000-Unknown-Artificial Reef</t>
  </si>
  <si>
    <t>402-PH166715000-2020-Artificial Reef</t>
  </si>
  <si>
    <t>413-PH166725000-2015-Artificial Reef; Asexual Reproduction</t>
  </si>
  <si>
    <t>403-PH166724000--Artificial Reef</t>
  </si>
  <si>
    <t>414-PH166808000-Unknown-Artificial Reef</t>
  </si>
  <si>
    <t>415-PH168502000-Unknown-Artificial Reef</t>
  </si>
  <si>
    <t>403-PH166724000-2021-Artificial Reef</t>
  </si>
  <si>
    <r>
      <rPr>
        <rFont val="Calibri"/>
        <color rgb="FFFF0000"/>
        <sz val="12.0"/>
      </rPr>
      <t>Site in Brgy Ipil MPA</t>
    </r>
    <r>
      <rPr>
        <rFont val="Calibri"/>
        <color theme="1"/>
        <sz val="12.0"/>
      </rPr>
      <t>; Site in Brgy Mabua</t>
    </r>
  </si>
  <si>
    <t>404-PH166724000-2015-Artificial Reef</t>
  </si>
  <si>
    <t>416-PH133913000-1985-Artificial Reef</t>
  </si>
  <si>
    <t>404-PH166724000-2018-Artificial Reef</t>
  </si>
  <si>
    <t>405-PH166725000-2015-Artificial Reef; Asexual Reproduction</t>
  </si>
  <si>
    <t>417-PH133913000-1985-Artificial Reef</t>
  </si>
  <si>
    <t>406-PH166808000-*Not indicated-Artificial Reef</t>
  </si>
  <si>
    <t>418-PH184501000-1986-Artificial Reef</t>
  </si>
  <si>
    <t>406-PH166808000-Unknown-Artificial Reef</t>
  </si>
  <si>
    <t>417-PH157002000-2012-Artificial Reef</t>
  </si>
  <si>
    <t>419-PH184507000-1998-Artificial Reef</t>
  </si>
  <si>
    <t>418-PH157002000-2017-Asexual Reproduction</t>
  </si>
  <si>
    <t>419-PH157002000--Asexual Reproduction</t>
  </si>
  <si>
    <t>420-PH184507000-2001-Asexual Reproduction</t>
  </si>
  <si>
    <t>420-PH157002000-2014-Sexual Reproduction</t>
  </si>
  <si>
    <t>453-PH157002000-2012-Artificial Reef</t>
  </si>
  <si>
    <t>454-PH157002000-2014-Sexual Reproduction</t>
  </si>
  <si>
    <t>421-PH101805000-Unknown-Artificial Reef</t>
  </si>
  <si>
    <t>455-PH157002000-2012-Asexual Reproduction</t>
  </si>
  <si>
    <t>456-PH157001000-2012-Asexual Reproduction</t>
  </si>
  <si>
    <t>422-PH184601000-Unknown-Artificial Reef</t>
  </si>
  <si>
    <t>457-PH157011000-2012-Asexual Reproduction</t>
  </si>
  <si>
    <t>423-PH184602000-Unknown-Artificial Reef</t>
  </si>
  <si>
    <t>458-PH157004000-2012-Asexual Reproduction</t>
  </si>
  <si>
    <t>424-PH184603000-Unknown-Artificial Reef</t>
  </si>
  <si>
    <t>459-PH157005000-2012-Asexual Reproduction</t>
  </si>
  <si>
    <t>425-PH184603000-Unknown-Artificial Reef</t>
  </si>
  <si>
    <t>426-PH184607000-Unknown-Artificial Reef</t>
  </si>
  <si>
    <t>427-PH184609000-Unknown-Artificial Reef</t>
  </si>
  <si>
    <t>428-PH184609000-2022-Asexual Reproduction</t>
  </si>
  <si>
    <r>
      <rPr>
        <rFont val="Calibri"/>
        <color theme="1"/>
        <sz val="12.0"/>
      </rPr>
      <t xml:space="preserve">Coral Restoration Foundation; </t>
    </r>
    <r>
      <rPr>
        <rFont val="Calibri"/>
        <color rgb="FFFF0000"/>
        <sz val="12.0"/>
      </rPr>
      <t>MEAD Foundation</t>
    </r>
  </si>
  <si>
    <t>429-PH184609000-2017-Artificial Reef</t>
  </si>
  <si>
    <r>
      <rPr>
        <rFont val="Calibri"/>
        <color theme="1"/>
        <sz val="12.0"/>
      </rPr>
      <t xml:space="preserve">Site in Pura Vida Resort </t>
    </r>
    <r>
      <rPr>
        <rFont val="Calibri"/>
        <color rgb="FFFF0000"/>
        <sz val="12.0"/>
      </rPr>
      <t>house reef</t>
    </r>
  </si>
  <si>
    <t>430-PH184610000-Unknown-Artificial Reef</t>
  </si>
  <si>
    <t>431-PH184610000-Unknown-Artificial Reef</t>
  </si>
  <si>
    <r>
      <rPr>
        <rFont val="Calibri"/>
        <color theme="1"/>
        <sz val="12.0"/>
      </rPr>
      <t xml:space="preserve">DOST-PCAARRD (2013b). </t>
    </r>
    <r>
      <rPr>
        <rFont val="Calibri"/>
        <i/>
        <color theme="1"/>
        <sz val="12.0"/>
      </rPr>
      <t>Project 2: Pilot Technology Demonstration on Coral Nursery Units Management in Bagac, Bataan and Subic, Zambales, Philippines.</t>
    </r>
  </si>
  <si>
    <t>432-PH184610000-2001-Asexual Reproduction</t>
  </si>
  <si>
    <t>433-PH184612000-Unknown-Artificial Reef</t>
  </si>
  <si>
    <t>434-PH184615000-Unknown-Artificial Reef</t>
  </si>
  <si>
    <t>435-PH184617000-Unknown-Artificial Reef</t>
  </si>
  <si>
    <t>436-PH184619000-1986-Artificial Reef</t>
  </si>
  <si>
    <t>437-PH184619000-Unknown-Artificial Reef</t>
  </si>
  <si>
    <t>438-PH184622000-Unknown-Artificial Reef</t>
  </si>
  <si>
    <t>111-PH037109000--Artificial Reef</t>
  </si>
  <si>
    <t>439-PH184625000-1986-Artificial Reef</t>
  </si>
  <si>
    <t>440-PH184625000-Unknown-Artificial Reef</t>
  </si>
  <si>
    <t>113-PH037114000--Asexual Reproduction</t>
  </si>
  <si>
    <t>441-PH184625000-Unknown-Artificial Reef</t>
  </si>
  <si>
    <t>114-PH037114000--Asexual Reproduction</t>
  </si>
  <si>
    <t>442-PH184625000-Unknown-Artificial Reef</t>
  </si>
  <si>
    <t>443-PH184625000-2016-Artificial Reef</t>
  </si>
  <si>
    <t>444-PH076103000-Unknown-Artificial Reef</t>
  </si>
  <si>
    <t>445-PH076104000-Unknown-Artificial Reef</t>
  </si>
  <si>
    <t>446-PH076104000-1988-Artificial Reef</t>
  </si>
  <si>
    <t>447-PH150712000-2020-Artificial Reef</t>
  </si>
  <si>
    <t>448-PH150703000-2020-Artificial Reef</t>
  </si>
  <si>
    <t>449-PH150713000-2020-Artificial Reef</t>
  </si>
  <si>
    <t>450-PH153602000-2022-Asexual Reproduction</t>
  </si>
  <si>
    <t>451-PH153830000-2021-Asexual Reproduction</t>
  </si>
  <si>
    <t>452-PH153809000-1986-Artificial Reef</t>
  </si>
  <si>
    <t>453-PH153809000-2020-Artificial Reef</t>
  </si>
  <si>
    <t>454-PH156607000-2019-Artificial Reef</t>
  </si>
  <si>
    <r>
      <rPr>
        <rFont val="Calibri"/>
        <color theme="1"/>
        <sz val="12.0"/>
      </rPr>
      <t xml:space="preserve">Philippine Marines Western Mindanao Command </t>
    </r>
    <r>
      <rPr>
        <rFont val="Calibri"/>
        <color rgb="FFFF0000"/>
        <sz val="12.0"/>
      </rPr>
      <t>Marine Battallion Landing Team-3</t>
    </r>
  </si>
  <si>
    <t>327-PH097332000--Asexual Reproduction</t>
  </si>
  <si>
    <t>455-PH157002000-2012-Artificial Reef</t>
  </si>
  <si>
    <t>457-PH157002000-2014-Sexual Reproduction</t>
  </si>
  <si>
    <t>458-PH157002000-2012-Asexual Reproduction</t>
  </si>
  <si>
    <t>-PH050506000-2023-Artificial Reef</t>
  </si>
  <si>
    <t>-PH150703000-2020-Artificial Reef</t>
  </si>
  <si>
    <t>-PH153830000-2021-Asexual Reproduction</t>
  </si>
  <si>
    <t>-PH153830000-2024-Asexual Reproduction</t>
  </si>
  <si>
    <t>-PH153811000-2020-Asexual Reproduction</t>
  </si>
  <si>
    <t>-PH104211000-2023-Artificial Reef</t>
  </si>
  <si>
    <t>-PH015505000--Sexual Reproduction</t>
  </si>
  <si>
    <t>-PH156607000-2019-Artificial Reef</t>
  </si>
  <si>
    <t>-PH157001000-2012-Asexual Reproduction</t>
  </si>
  <si>
    <t>-PH157011000-2012-Asexual Reproduction</t>
  </si>
  <si>
    <t>-PH157004000-2012-Asexual Reproduction</t>
  </si>
  <si>
    <t>-PH157005000-2012-Asexual Reproduction</t>
  </si>
</sst>
</file>

<file path=xl/styles.xml><?xml version="1.0" encoding="utf-8"?>
<styleSheet xmlns="http://schemas.openxmlformats.org/spreadsheetml/2006/main" xmlns:x14ac="http://schemas.microsoft.com/office/spreadsheetml/2009/9/ac" xmlns:mc="http://schemas.openxmlformats.org/markup-compatibility/2006">
  <fonts count="56">
    <font>
      <sz val="12.0"/>
      <color theme="1"/>
      <name val="Calibri"/>
      <scheme val="minor"/>
    </font>
    <font>
      <b/>
      <color theme="1"/>
      <name val="Calibri"/>
      <scheme val="minor"/>
    </font>
    <font>
      <i/>
      <color theme="1"/>
      <name val="Calibri"/>
      <scheme val="minor"/>
    </font>
    <font>
      <color theme="1"/>
      <name val="Calibri"/>
      <scheme val="minor"/>
    </font>
    <font>
      <b/>
      <sz val="12.0"/>
      <color theme="1"/>
      <name val="Calibri"/>
    </font>
    <font>
      <i/>
      <sz val="12.0"/>
      <color theme="1"/>
      <name val="Calibri"/>
    </font>
    <font>
      <color rgb="FF000000"/>
      <name val="Calibri"/>
      <scheme val="minor"/>
    </font>
    <font>
      <sz val="12.0"/>
      <color rgb="FF000000"/>
      <name val="Calibri"/>
    </font>
    <font>
      <u/>
      <sz val="12.0"/>
      <color rgb="FF000000"/>
      <name val="Calibri"/>
    </font>
    <font>
      <sz val="12.0"/>
      <color rgb="FF000000"/>
      <name val="Calibri"/>
      <scheme val="minor"/>
    </font>
    <font>
      <u/>
      <sz val="12.0"/>
      <color rgb="FF000000"/>
      <name val="Calibri"/>
    </font>
    <font>
      <u/>
      <sz val="12.0"/>
      <color rgb="FF000000"/>
      <name val="Calibri"/>
    </font>
    <font>
      <sz val="12.0"/>
      <color theme="1"/>
      <name val="Calibri"/>
    </font>
    <font>
      <u/>
      <sz val="12.0"/>
      <color rgb="FF0000FF"/>
      <name val="Calibri"/>
    </font>
    <font>
      <u/>
      <sz val="12.0"/>
      <color rgb="FF0563C1"/>
      <name val="Calibri"/>
    </font>
    <font>
      <u/>
      <sz val="12.0"/>
      <color rgb="FF0000FF"/>
      <name val="Calibri"/>
    </font>
    <font>
      <sz val="12.0"/>
      <color rgb="FF111111"/>
      <name val="Calibri"/>
      <scheme val="minor"/>
    </font>
    <font>
      <u/>
      <sz val="12.0"/>
      <color rgb="FF0000FF"/>
      <name val="Calibri"/>
    </font>
    <font>
      <sz val="11.0"/>
      <color rgb="FF222222"/>
      <name val="Verdana"/>
    </font>
    <font>
      <sz val="12.0"/>
      <color rgb="FF0A0A0A"/>
      <name val="Calibri"/>
    </font>
    <font>
      <u/>
      <sz val="12.0"/>
      <color rgb="FF000000"/>
      <name val="Calibri"/>
    </font>
    <font>
      <u/>
      <sz val="12.0"/>
      <color rgb="FF000000"/>
      <name val="Calibri"/>
    </font>
    <font>
      <sz val="11.0"/>
      <color rgb="FF000000"/>
      <name val="Calibri"/>
      <scheme val="minor"/>
    </font>
    <font>
      <u/>
      <sz val="12.0"/>
      <color rgb="FF0000FF"/>
      <name val="Calibri"/>
    </font>
    <font>
      <b/>
      <color rgb="FF000000"/>
      <name val="Calibri"/>
    </font>
    <font>
      <sz val="11.0"/>
      <color theme="1"/>
      <name val="Arial"/>
    </font>
    <font>
      <sz val="12.0"/>
      <color rgb="FFFF0000"/>
      <name val="Calibri"/>
    </font>
    <font>
      <u/>
      <sz val="12.0"/>
      <color rgb="FF0000FF"/>
      <name val="Calibri"/>
    </font>
    <font>
      <u/>
      <sz val="12.0"/>
      <color theme="10"/>
      <name val="Calibri"/>
    </font>
    <font>
      <u/>
      <sz val="12.0"/>
      <color rgb="FFFF0000"/>
      <name val="Calibri"/>
    </font>
    <font>
      <sz val="12.0"/>
      <color rgb="FFC00000"/>
      <name val="Calibri"/>
    </font>
    <font>
      <sz val="12.0"/>
      <color rgb="FF333333"/>
      <name val="Calibri"/>
    </font>
    <font>
      <u/>
      <sz val="12.0"/>
      <color theme="1"/>
      <name val="Calibri"/>
    </font>
    <font>
      <u/>
      <sz val="12.0"/>
      <color rgb="FF0563C1"/>
      <name val="Calibri"/>
    </font>
    <font>
      <sz val="12.0"/>
      <color theme="1"/>
      <name val="Arial"/>
    </font>
    <font>
      <u/>
      <sz val="12.0"/>
      <color theme="10"/>
      <name val="Calibri"/>
    </font>
    <font>
      <sz val="10.0"/>
      <color theme="1"/>
      <name val="Arial"/>
    </font>
    <font>
      <u/>
      <sz val="12.0"/>
      <color rgb="FF0000FF"/>
      <name val="Calibri"/>
    </font>
    <font>
      <u/>
      <sz val="12.0"/>
      <color theme="1"/>
      <name val="Calibri"/>
    </font>
    <font>
      <u/>
      <sz val="12.0"/>
      <color theme="1"/>
      <name val="Calibri"/>
    </font>
    <font>
      <sz val="12.0"/>
      <color rgb="FF050505"/>
      <name val="Calibri"/>
    </font>
    <font>
      <u/>
      <sz val="12.0"/>
      <color theme="1"/>
      <name val="Calibri"/>
    </font>
    <font>
      <sz val="10.0"/>
      <color theme="1"/>
      <name val="Catamaran"/>
    </font>
    <font>
      <u/>
      <sz val="12.0"/>
      <color rgb="FFFF0000"/>
      <name val="Calibri"/>
    </font>
    <font>
      <b/>
      <sz val="14.0"/>
      <color theme="1"/>
      <name val="Calibri"/>
    </font>
    <font>
      <u/>
      <sz val="12.0"/>
      <color theme="1"/>
      <name val="Calibri"/>
    </font>
    <font>
      <u/>
      <sz val="12.0"/>
      <color theme="10"/>
      <name val="Calibri"/>
    </font>
    <font>
      <u/>
      <sz val="12.0"/>
      <color theme="1"/>
      <name val="Calibri"/>
    </font>
    <font>
      <u/>
      <sz val="12.0"/>
      <color rgb="FF0000FF"/>
      <name val="Calibri"/>
    </font>
    <font>
      <sz val="11.0"/>
      <color rgb="FF000000"/>
      <name val="&quot;Aptos Narrow&quot;"/>
    </font>
    <font>
      <u/>
      <sz val="11.0"/>
      <color rgb="FF000000"/>
      <name val="&quot;Aptos Narrow&quot;"/>
    </font>
    <font>
      <b/>
      <color rgb="FF000000"/>
      <name val="Calibri"/>
      <scheme val="minor"/>
    </font>
    <font>
      <u/>
      <sz val="12.0"/>
      <color theme="10"/>
      <name val="Calibri"/>
    </font>
    <font>
      <u/>
      <sz val="12.0"/>
      <color rgb="FFFF0000"/>
      <name val="Calibri"/>
    </font>
    <font>
      <u/>
      <sz val="12.0"/>
      <color theme="1"/>
      <name val="Calibri"/>
    </font>
    <font>
      <u/>
      <sz val="12.0"/>
      <color rgb="FF0000FF"/>
      <name val="Calibri"/>
    </font>
  </fonts>
  <fills count="20">
    <fill>
      <patternFill patternType="none"/>
    </fill>
    <fill>
      <patternFill patternType="lightGray"/>
    </fill>
    <fill>
      <patternFill patternType="solid">
        <fgColor rgb="FFFFF2CC"/>
        <bgColor rgb="FFFFF2CC"/>
      </patternFill>
    </fill>
    <fill>
      <patternFill patternType="solid">
        <fgColor rgb="FFEA9999"/>
        <bgColor rgb="FFEA9999"/>
      </patternFill>
    </fill>
    <fill>
      <patternFill patternType="solid">
        <fgColor rgb="FF93C47D"/>
        <bgColor rgb="FF93C47D"/>
      </patternFill>
    </fill>
    <fill>
      <patternFill patternType="solid">
        <fgColor rgb="FFA4C2F4"/>
        <bgColor rgb="FFA4C2F4"/>
      </patternFill>
    </fill>
    <fill>
      <patternFill patternType="solid">
        <fgColor rgb="FFF9CB9C"/>
        <bgColor rgb="FFF9CB9C"/>
      </patternFill>
    </fill>
    <fill>
      <patternFill patternType="solid">
        <fgColor rgb="FFEAD1DC"/>
        <bgColor rgb="FFEAD1DC"/>
      </patternFill>
    </fill>
    <fill>
      <patternFill patternType="solid">
        <fgColor rgb="FFD9D9D9"/>
        <bgColor rgb="FFD9D9D9"/>
      </patternFill>
    </fill>
    <fill>
      <patternFill patternType="solid">
        <fgColor rgb="FFFF00FF"/>
        <bgColor rgb="FFFF00FF"/>
      </patternFill>
    </fill>
    <fill>
      <patternFill patternType="solid">
        <fgColor rgb="FFFFFFFF"/>
        <bgColor rgb="FFFFFFFF"/>
      </patternFill>
    </fill>
    <fill>
      <patternFill patternType="solid">
        <fgColor rgb="FFFFFF00"/>
        <bgColor rgb="FFFFFF00"/>
      </patternFill>
    </fill>
    <fill>
      <patternFill patternType="solid">
        <fgColor rgb="FFF1F1F1"/>
        <bgColor rgb="FFF1F1F1"/>
      </patternFill>
    </fill>
    <fill>
      <patternFill patternType="solid">
        <fgColor theme="1"/>
        <bgColor theme="1"/>
      </patternFill>
    </fill>
    <fill>
      <patternFill patternType="solid">
        <fgColor rgb="FFFF0000"/>
        <bgColor rgb="FFFF0000"/>
      </patternFill>
    </fill>
    <fill>
      <patternFill patternType="solid">
        <fgColor theme="7"/>
        <bgColor theme="7"/>
      </patternFill>
    </fill>
    <fill>
      <patternFill patternType="solid">
        <fgColor rgb="FFFF9900"/>
        <bgColor rgb="FFFF9900"/>
      </patternFill>
    </fill>
    <fill>
      <patternFill patternType="solid">
        <fgColor rgb="FFFFC000"/>
        <bgColor rgb="FFFFC000"/>
      </patternFill>
    </fill>
    <fill>
      <patternFill patternType="solid">
        <fgColor rgb="FF00B0F0"/>
        <bgColor rgb="FF00B0F0"/>
      </patternFill>
    </fill>
    <fill>
      <patternFill patternType="solid">
        <fgColor theme="5"/>
        <bgColor theme="5"/>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49" xfId="0" applyAlignment="1" applyFont="1" applyNumberFormat="1">
      <alignment readingOrder="0"/>
    </xf>
    <xf borderId="0" fillId="0" fontId="4" numFmtId="0" xfId="0" applyAlignment="1" applyFont="1">
      <alignment readingOrder="0"/>
    </xf>
    <xf borderId="0" fillId="0" fontId="4" numFmtId="0" xfId="0" applyFont="1"/>
    <xf borderId="0" fillId="0" fontId="2" numFmtId="0" xfId="0" applyFont="1"/>
    <xf borderId="0" fillId="0" fontId="3" numFmtId="0" xfId="0" applyFont="1"/>
    <xf borderId="0" fillId="0" fontId="5" numFmtId="0" xfId="0" applyAlignment="1" applyFont="1">
      <alignment readingOrder="0"/>
    </xf>
    <xf borderId="0" fillId="0" fontId="6" numFmtId="49" xfId="0" applyAlignment="1" applyFont="1" applyNumberFormat="1">
      <alignment horizontal="right" readingOrder="0" shrinkToFit="0" wrapText="0"/>
    </xf>
    <xf borderId="0" fillId="0" fontId="6" numFmtId="0" xfId="0" applyAlignment="1" applyFont="1">
      <alignment readingOrder="0" shrinkToFit="0" wrapText="0"/>
    </xf>
    <xf borderId="0" fillId="0" fontId="6" numFmtId="0" xfId="0" applyAlignment="1" applyFont="1">
      <alignment horizontal="right" readingOrder="0" shrinkToFit="0" wrapText="0"/>
    </xf>
    <xf borderId="0" fillId="2" fontId="6" numFmtId="49" xfId="0" applyAlignment="1" applyFill="1" applyFont="1" applyNumberFormat="1">
      <alignment shrinkToFit="0" wrapText="0"/>
    </xf>
    <xf borderId="0" fillId="2" fontId="6" numFmtId="0" xfId="0" applyAlignment="1" applyFont="1">
      <alignment readingOrder="0" shrinkToFit="0" wrapText="0"/>
    </xf>
    <xf borderId="0" fillId="2" fontId="6" numFmtId="0" xfId="0" applyAlignment="1" applyFont="1">
      <alignment horizontal="left" readingOrder="0" shrinkToFit="0" wrapText="0"/>
    </xf>
    <xf borderId="0" fillId="3" fontId="6" numFmtId="0" xfId="0" applyAlignment="1" applyFill="1" applyFont="1">
      <alignment readingOrder="0" shrinkToFit="0" wrapText="0"/>
    </xf>
    <xf borderId="0" fillId="4" fontId="6" numFmtId="0" xfId="0" applyAlignment="1" applyFill="1" applyFont="1">
      <alignment readingOrder="0" shrinkToFit="0" wrapText="0"/>
    </xf>
    <xf borderId="0" fillId="5" fontId="6" numFmtId="0" xfId="0" applyAlignment="1" applyFill="1" applyFont="1">
      <alignment readingOrder="0" shrinkToFit="0" wrapText="0"/>
    </xf>
    <xf borderId="0" fillId="5" fontId="6" numFmtId="49" xfId="0" applyAlignment="1" applyFont="1" applyNumberFormat="1">
      <alignment readingOrder="0" shrinkToFit="0" wrapText="0"/>
    </xf>
    <xf borderId="0" fillId="6" fontId="6" numFmtId="0" xfId="0" applyAlignment="1" applyFill="1" applyFont="1">
      <alignment readingOrder="0" shrinkToFit="0" wrapText="0"/>
    </xf>
    <xf borderId="0" fillId="6" fontId="6" numFmtId="0" xfId="0" applyAlignment="1" applyFont="1">
      <alignment shrinkToFit="0" wrapText="0"/>
    </xf>
    <xf borderId="0" fillId="7" fontId="6" numFmtId="0" xfId="0" applyAlignment="1" applyFill="1" applyFont="1">
      <alignment readingOrder="0" shrinkToFit="0" wrapText="0"/>
    </xf>
    <xf borderId="0" fillId="7" fontId="6" numFmtId="0" xfId="0" applyAlignment="1" applyFont="1">
      <alignment shrinkToFit="0" wrapText="0"/>
    </xf>
    <xf borderId="0" fillId="8" fontId="6" numFmtId="0" xfId="0" applyAlignment="1" applyFill="1" applyFont="1">
      <alignment readingOrder="0" shrinkToFit="0" wrapText="0"/>
    </xf>
    <xf borderId="0" fillId="0" fontId="7" numFmtId="49" xfId="0" applyAlignment="1" applyFont="1" applyNumberFormat="1">
      <alignment horizontal="right" shrinkToFit="0" wrapText="0"/>
    </xf>
    <xf borderId="0" fillId="0" fontId="7" numFmtId="0" xfId="0" applyAlignment="1" applyFont="1">
      <alignment shrinkToFit="0" wrapText="0"/>
    </xf>
    <xf borderId="0" fillId="0" fontId="7" numFmtId="0" xfId="0" applyAlignment="1" applyFont="1">
      <alignment horizontal="right" readingOrder="0" shrinkToFit="0" wrapText="0"/>
    </xf>
    <xf borderId="0" fillId="0" fontId="7" numFmtId="0" xfId="0" applyAlignment="1" applyFont="1">
      <alignment readingOrder="0" shrinkToFit="0" wrapText="0"/>
    </xf>
    <xf borderId="0" fillId="0" fontId="7" numFmtId="49" xfId="0" applyAlignment="1" applyFont="1" applyNumberFormat="1">
      <alignment shrinkToFit="0" wrapText="0"/>
    </xf>
    <xf borderId="1" fillId="0" fontId="7" numFmtId="49" xfId="0" applyAlignment="1" applyBorder="1" applyFont="1" applyNumberFormat="1">
      <alignment shrinkToFit="0" wrapText="0"/>
    </xf>
    <xf borderId="0" fillId="0" fontId="7" numFmtId="0" xfId="0" applyAlignment="1" applyFont="1">
      <alignment horizontal="left" shrinkToFit="0" wrapText="0"/>
    </xf>
    <xf borderId="0" fillId="0" fontId="7" numFmtId="0" xfId="0" applyAlignment="1" applyFont="1">
      <alignment readingOrder="0" shrinkToFit="0" wrapText="0"/>
    </xf>
    <xf borderId="0" fillId="9" fontId="7" numFmtId="0" xfId="0" applyAlignment="1" applyFill="1" applyFont="1">
      <alignment shrinkToFit="0" wrapText="0"/>
    </xf>
    <xf borderId="0" fillId="0" fontId="8" numFmtId="0" xfId="0" applyAlignment="1" applyFont="1">
      <alignment readingOrder="0" shrinkToFit="0" wrapText="0"/>
    </xf>
    <xf borderId="0" fillId="10" fontId="9" numFmtId="0" xfId="0" applyAlignment="1" applyFill="1" applyFont="1">
      <alignment readingOrder="0" shrinkToFit="0" wrapText="0"/>
    </xf>
    <xf borderId="0" fillId="0" fontId="7" numFmtId="49" xfId="0" applyAlignment="1" applyFont="1" applyNumberFormat="1">
      <alignment horizontal="right" readingOrder="0" shrinkToFit="0" wrapText="0"/>
    </xf>
    <xf borderId="0" fillId="0" fontId="6" numFmtId="0" xfId="0" applyAlignment="1" applyFont="1">
      <alignment shrinkToFit="0" wrapText="0"/>
    </xf>
    <xf borderId="0" fillId="0" fontId="10" numFmtId="0" xfId="0" applyAlignment="1" applyFont="1">
      <alignment shrinkToFit="0" wrapText="0"/>
    </xf>
    <xf borderId="0" fillId="0" fontId="11" numFmtId="0" xfId="0" applyAlignment="1" applyFont="1">
      <alignment readingOrder="0" shrinkToFit="0" wrapText="0"/>
    </xf>
    <xf borderId="0" fillId="0" fontId="7" numFmtId="49" xfId="0" applyAlignment="1" applyFont="1" applyNumberFormat="1">
      <alignment readingOrder="0" shrinkToFit="0" wrapText="0"/>
    </xf>
    <xf borderId="0" fillId="0" fontId="6" numFmtId="0" xfId="0" applyAlignment="1" applyFont="1">
      <alignment horizontal="left" readingOrder="0" shrinkToFit="0" wrapText="0"/>
    </xf>
    <xf borderId="0" fillId="0" fontId="6" numFmtId="49" xfId="0" applyAlignment="1" applyFont="1" applyNumberFormat="1">
      <alignment readingOrder="0" shrinkToFit="0" wrapText="0"/>
    </xf>
    <xf borderId="0" fillId="0" fontId="7" numFmtId="0" xfId="0" applyAlignment="1" applyFont="1">
      <alignment shrinkToFit="0" vertical="bottom" wrapText="0"/>
    </xf>
    <xf borderId="0" fillId="0" fontId="7" numFmtId="49" xfId="0" applyAlignment="1" applyFont="1" applyNumberFormat="1">
      <alignment horizontal="left" readingOrder="0" shrinkToFit="0" wrapText="0"/>
    </xf>
    <xf borderId="0" fillId="0" fontId="7" numFmtId="49" xfId="0" applyAlignment="1" applyFont="1" applyNumberFormat="1">
      <alignment horizontal="left" shrinkToFit="0" wrapText="0"/>
    </xf>
    <xf borderId="0" fillId="0" fontId="7" numFmtId="0" xfId="0" applyAlignment="1" applyFont="1">
      <alignment shrinkToFit="0" vertical="bottom" wrapText="0"/>
    </xf>
    <xf borderId="0" fillId="0" fontId="7" numFmtId="49" xfId="0" applyAlignment="1" applyFont="1" applyNumberFormat="1">
      <alignment shrinkToFit="0" vertical="bottom" wrapText="0"/>
    </xf>
    <xf borderId="0" fillId="11" fontId="7" numFmtId="0" xfId="0" applyAlignment="1" applyFill="1" applyFont="1">
      <alignment shrinkToFit="0" wrapText="0"/>
    </xf>
    <xf borderId="0" fillId="0" fontId="7" numFmtId="0" xfId="0" applyAlignment="1" applyFont="1">
      <alignment horizontal="left" readingOrder="0" shrinkToFit="0" wrapText="0"/>
    </xf>
    <xf borderId="0" fillId="0" fontId="12" numFmtId="0" xfId="0" applyAlignment="1" applyFont="1">
      <alignment readingOrder="0" vertical="bottom"/>
    </xf>
    <xf borderId="0" fillId="0" fontId="3" numFmtId="0" xfId="0" applyAlignment="1" applyFont="1">
      <alignment readingOrder="0" shrinkToFit="0" wrapText="0"/>
    </xf>
    <xf borderId="0" fillId="0" fontId="6" numFmtId="0" xfId="0" applyAlignment="1" applyFont="1">
      <alignment shrinkToFit="0" wrapText="0"/>
    </xf>
    <xf borderId="1" fillId="0" fontId="7" numFmtId="0" xfId="0" applyAlignment="1" applyBorder="1" applyFont="1">
      <alignment horizontal="left" shrinkToFit="0" wrapText="0"/>
    </xf>
    <xf borderId="0" fillId="11" fontId="6" numFmtId="49" xfId="0" applyAlignment="1" applyFont="1" applyNumberFormat="1">
      <alignment readingOrder="0" shrinkToFit="0" wrapText="0"/>
    </xf>
    <xf borderId="0" fillId="11" fontId="7" numFmtId="49" xfId="0" applyAlignment="1" applyFont="1" applyNumberFormat="1">
      <alignment readingOrder="0" shrinkToFit="0" wrapText="0"/>
    </xf>
    <xf borderId="0" fillId="11" fontId="7" numFmtId="49" xfId="0" applyAlignment="1" applyFont="1" applyNumberFormat="1">
      <alignment shrinkToFit="0" wrapText="0"/>
    </xf>
    <xf borderId="1" fillId="11" fontId="7" numFmtId="49" xfId="0" applyAlignment="1" applyBorder="1" applyFont="1" applyNumberFormat="1">
      <alignment readingOrder="0" shrinkToFit="0" wrapText="0"/>
    </xf>
    <xf borderId="0" fillId="9" fontId="7" numFmtId="0" xfId="0" applyAlignment="1" applyFont="1">
      <alignment readingOrder="0" shrinkToFit="0" wrapText="0"/>
    </xf>
    <xf borderId="0" fillId="0" fontId="13" numFmtId="0" xfId="0" applyAlignment="1" applyFont="1">
      <alignment readingOrder="0" shrinkToFit="0" wrapText="0"/>
    </xf>
    <xf borderId="0" fillId="0" fontId="12" numFmtId="49" xfId="0" applyAlignment="1" applyFont="1" applyNumberFormat="1">
      <alignment horizontal="right" readingOrder="0" vertical="bottom"/>
    </xf>
    <xf borderId="0" fillId="0" fontId="12" numFmtId="0" xfId="0" applyAlignment="1" applyFont="1">
      <alignment horizontal="right" vertical="bottom"/>
    </xf>
    <xf borderId="0" fillId="0" fontId="12" numFmtId="0" xfId="0" applyAlignment="1" applyFont="1">
      <alignment vertical="bottom"/>
    </xf>
    <xf borderId="0" fillId="0" fontId="12" numFmtId="49" xfId="0" applyAlignment="1" applyFont="1" applyNumberFormat="1">
      <alignment vertical="bottom"/>
    </xf>
    <xf borderId="0" fillId="0" fontId="12" numFmtId="49" xfId="0" applyAlignment="1" applyFont="1" applyNumberFormat="1">
      <alignment readingOrder="0" vertical="bottom"/>
    </xf>
    <xf borderId="0" fillId="0" fontId="12" numFmtId="0" xfId="0" applyAlignment="1" applyFont="1">
      <alignment horizontal="left" vertical="bottom"/>
    </xf>
    <xf borderId="0" fillId="0" fontId="12" numFmtId="0" xfId="0" applyAlignment="1" applyFont="1">
      <alignment readingOrder="0" vertical="bottom"/>
    </xf>
    <xf borderId="0" fillId="0" fontId="12" numFmtId="0" xfId="0" applyAlignment="1" applyFont="1">
      <alignment vertical="bottom"/>
    </xf>
    <xf borderId="0" fillId="0" fontId="14" numFmtId="0" xfId="0" applyAlignment="1" applyFont="1">
      <alignment vertical="bottom"/>
    </xf>
    <xf borderId="0" fillId="0" fontId="7" numFmtId="2" xfId="0" applyAlignment="1" applyFont="1" applyNumberFormat="1">
      <alignment readingOrder="0" shrinkToFit="0" wrapText="0"/>
    </xf>
    <xf borderId="0" fillId="11" fontId="7" numFmtId="0" xfId="0" applyAlignment="1" applyFont="1">
      <alignment readingOrder="0" shrinkToFit="0" wrapText="0"/>
    </xf>
    <xf borderId="0" fillId="0" fontId="7" numFmtId="49" xfId="0" applyAlignment="1" applyFont="1" applyNumberFormat="1">
      <alignment readingOrder="0" shrinkToFit="0" vertical="bottom" wrapText="0"/>
    </xf>
    <xf borderId="0" fillId="0" fontId="12" numFmtId="49" xfId="0" applyAlignment="1" applyFont="1" applyNumberFormat="1">
      <alignment horizontal="right" readingOrder="0" shrinkToFit="0" vertical="bottom" wrapText="0"/>
    </xf>
    <xf borderId="0" fillId="0" fontId="12" numFmtId="0" xfId="0" applyAlignment="1" applyFont="1">
      <alignment horizontal="right" shrinkToFit="0" vertical="bottom" wrapText="0"/>
    </xf>
    <xf borderId="0" fillId="0" fontId="12" numFmtId="0" xfId="0" applyAlignment="1" applyFont="1">
      <alignment shrinkToFit="0" vertical="bottom" wrapText="0"/>
    </xf>
    <xf borderId="0" fillId="0" fontId="12" numFmtId="0" xfId="0" applyAlignment="1" applyFont="1">
      <alignment readingOrder="0" shrinkToFit="0" vertical="bottom" wrapText="0"/>
    </xf>
    <xf borderId="0" fillId="0" fontId="12" numFmtId="49" xfId="0" applyAlignment="1" applyFont="1" applyNumberFormat="1">
      <alignment shrinkToFit="0" vertical="bottom" wrapText="0"/>
    </xf>
    <xf borderId="0" fillId="0" fontId="12" numFmtId="49" xfId="0" applyAlignment="1" applyFont="1" applyNumberFormat="1">
      <alignment readingOrder="0" shrinkToFit="0" vertical="bottom" wrapText="0"/>
    </xf>
    <xf borderId="0" fillId="0" fontId="12" numFmtId="0" xfId="0" applyAlignment="1" applyFont="1">
      <alignment horizontal="left" shrinkToFit="0" vertical="bottom" wrapText="0"/>
    </xf>
    <xf borderId="0" fillId="0" fontId="12" numFmtId="0" xfId="0" applyAlignment="1" applyFont="1">
      <alignment readingOrder="0" shrinkToFit="0" vertical="bottom" wrapText="0"/>
    </xf>
    <xf borderId="0" fillId="0" fontId="12" numFmtId="0" xfId="0" applyAlignment="1" applyFont="1">
      <alignment shrinkToFit="0" vertical="bottom" wrapText="0"/>
    </xf>
    <xf borderId="0" fillId="11" fontId="15" numFmtId="0" xfId="0" applyAlignment="1" applyFont="1">
      <alignment readingOrder="0" shrinkToFit="0" vertical="bottom" wrapText="0"/>
    </xf>
    <xf borderId="0" fillId="11" fontId="12" numFmtId="0" xfId="0" applyAlignment="1" applyFont="1">
      <alignment shrinkToFit="0" vertical="bottom" wrapText="0"/>
    </xf>
    <xf borderId="0" fillId="0" fontId="12" numFmtId="0" xfId="0" applyAlignment="1" applyFont="1">
      <alignment horizontal="right" readingOrder="0" shrinkToFit="0" vertical="bottom" wrapText="0"/>
    </xf>
    <xf borderId="0" fillId="11" fontId="12" numFmtId="49" xfId="0" applyAlignment="1" applyFont="1" applyNumberFormat="1">
      <alignment readingOrder="0" shrinkToFit="0" vertical="bottom" wrapText="0"/>
    </xf>
    <xf borderId="0" fillId="0" fontId="12" numFmtId="0" xfId="0" applyAlignment="1" applyFont="1">
      <alignment horizontal="left" readingOrder="0" shrinkToFit="0" vertical="bottom" wrapText="0"/>
    </xf>
    <xf borderId="0" fillId="9" fontId="12" numFmtId="0" xfId="0" applyAlignment="1" applyFont="1">
      <alignment readingOrder="0" shrinkToFit="0" vertical="bottom" wrapText="0"/>
    </xf>
    <xf borderId="0" fillId="0" fontId="3" numFmtId="0" xfId="0" applyAlignment="1" applyFont="1">
      <alignment readingOrder="0" shrinkToFit="0" vertical="top" wrapText="1"/>
    </xf>
    <xf borderId="0" fillId="0" fontId="7" numFmtId="3" xfId="0" applyAlignment="1" applyFont="1" applyNumberFormat="1">
      <alignment shrinkToFit="0" wrapText="0"/>
    </xf>
    <xf borderId="0" fillId="0" fontId="7" numFmtId="0" xfId="0" applyAlignment="1" applyFont="1">
      <alignment readingOrder="0" shrinkToFit="0" vertical="bottom" wrapText="0"/>
    </xf>
    <xf borderId="0" fillId="12" fontId="16" numFmtId="0" xfId="0" applyAlignment="1" applyFill="1" applyFont="1">
      <alignment horizontal="left" readingOrder="0" shrinkToFit="0" wrapText="0"/>
    </xf>
    <xf borderId="0" fillId="0" fontId="7" numFmtId="0" xfId="0" applyAlignment="1" applyFont="1">
      <alignment shrinkToFit="0" vertical="center" wrapText="0"/>
    </xf>
    <xf borderId="0" fillId="0" fontId="7" numFmtId="0" xfId="0" applyAlignment="1" applyFont="1">
      <alignment readingOrder="0" shrinkToFit="0" wrapText="0"/>
    </xf>
    <xf borderId="0" fillId="0" fontId="12" numFmtId="0" xfId="0" applyAlignment="1" applyFont="1">
      <alignment horizontal="right" readingOrder="0" vertical="bottom"/>
    </xf>
    <xf borderId="0" fillId="0" fontId="17" numFmtId="0" xfId="0" applyAlignment="1" applyFont="1">
      <alignment vertical="bottom"/>
    </xf>
    <xf borderId="0" fillId="10" fontId="18" numFmtId="0" xfId="0" applyAlignment="1" applyFont="1">
      <alignment readingOrder="0" shrinkToFit="0" wrapText="0"/>
    </xf>
    <xf borderId="0" fillId="10" fontId="19" numFmtId="0" xfId="0" applyAlignment="1" applyFont="1">
      <alignment readingOrder="0" shrinkToFit="0" wrapText="0"/>
    </xf>
    <xf borderId="0" fillId="9" fontId="12" numFmtId="0" xfId="0" applyAlignment="1" applyFont="1">
      <alignment shrinkToFit="0" vertical="bottom" wrapText="0"/>
    </xf>
    <xf borderId="0" fillId="0" fontId="6" numFmtId="0" xfId="0" applyAlignment="1" applyFont="1">
      <alignment horizontal="left" shrinkToFit="0" wrapText="0"/>
    </xf>
    <xf borderId="1" fillId="0" fontId="7" numFmtId="49" xfId="0" applyAlignment="1" applyBorder="1" applyFont="1" applyNumberFormat="1">
      <alignment horizontal="right" readingOrder="0" shrinkToFit="0" wrapText="0"/>
    </xf>
    <xf borderId="1" fillId="0" fontId="7" numFmtId="0" xfId="0" applyAlignment="1" applyBorder="1" applyFont="1">
      <alignment shrinkToFit="0" vertical="bottom" wrapText="0"/>
    </xf>
    <xf borderId="1" fillId="0" fontId="7" numFmtId="0" xfId="0" applyAlignment="1" applyBorder="1" applyFont="1">
      <alignment shrinkToFit="0" wrapText="0"/>
    </xf>
    <xf borderId="1" fillId="0" fontId="7" numFmtId="0" xfId="0" applyAlignment="1" applyBorder="1" applyFont="1">
      <alignment readingOrder="0" shrinkToFit="0" wrapText="0"/>
    </xf>
    <xf borderId="1" fillId="0" fontId="20" numFmtId="0" xfId="0" applyAlignment="1" applyBorder="1" applyFont="1">
      <alignment readingOrder="0" shrinkToFit="0" wrapText="0"/>
    </xf>
    <xf borderId="0" fillId="0" fontId="7" numFmtId="0" xfId="0" applyAlignment="1" applyFont="1">
      <alignment horizontal="left" shrinkToFit="0" wrapText="0"/>
    </xf>
    <xf borderId="1" fillId="0" fontId="7" numFmtId="49" xfId="0" applyAlignment="1" applyBorder="1" applyFont="1" applyNumberFormat="1">
      <alignment horizontal="left" readingOrder="0" shrinkToFit="0" wrapText="0"/>
    </xf>
    <xf borderId="1" fillId="0" fontId="6" numFmtId="0" xfId="0" applyAlignment="1" applyBorder="1" applyFont="1">
      <alignment readingOrder="0" shrinkToFit="0" wrapText="0"/>
    </xf>
    <xf borderId="1" fillId="0" fontId="21" numFmtId="0" xfId="0" applyAlignment="1" applyBorder="1" applyFont="1">
      <alignment shrinkToFit="0" wrapText="0"/>
    </xf>
    <xf borderId="1" fillId="0" fontId="7" numFmtId="49" xfId="0" applyAlignment="1" applyBorder="1" applyFont="1" applyNumberFormat="1">
      <alignment horizontal="left" shrinkToFit="0" wrapText="0"/>
    </xf>
    <xf borderId="1" fillId="0" fontId="7" numFmtId="0" xfId="0" applyAlignment="1" applyBorder="1" applyFont="1">
      <alignment readingOrder="0" shrinkToFit="0" wrapText="0"/>
    </xf>
    <xf borderId="1" fillId="0" fontId="7" numFmtId="3" xfId="0" applyAlignment="1" applyBorder="1" applyFont="1" applyNumberFormat="1">
      <alignment horizontal="left" shrinkToFit="0" wrapText="0"/>
    </xf>
    <xf borderId="1" fillId="0" fontId="7" numFmtId="0" xfId="0" applyAlignment="1" applyBorder="1" applyFont="1">
      <alignment horizontal="left" readingOrder="0" shrinkToFit="0" wrapText="0"/>
    </xf>
    <xf borderId="0" fillId="0" fontId="9" numFmtId="0" xfId="0" applyAlignment="1" applyFont="1">
      <alignment horizontal="left" shrinkToFit="0" wrapText="0"/>
    </xf>
    <xf borderId="0" fillId="0" fontId="3" numFmtId="0" xfId="0" applyAlignment="1" applyFont="1">
      <alignment shrinkToFit="0" wrapText="0"/>
    </xf>
    <xf borderId="0" fillId="0" fontId="22" numFmtId="0" xfId="0" applyAlignment="1" applyFont="1">
      <alignment readingOrder="0" shrinkToFit="0" wrapText="0"/>
    </xf>
    <xf borderId="0" fillId="10" fontId="7" numFmtId="0" xfId="0" applyAlignment="1" applyFont="1">
      <alignment readingOrder="0" shrinkToFit="0" wrapText="0"/>
    </xf>
    <xf borderId="0" fillId="10" fontId="7" numFmtId="49" xfId="0" applyAlignment="1" applyFont="1" applyNumberFormat="1">
      <alignment readingOrder="0" shrinkToFit="0" wrapText="0"/>
    </xf>
    <xf borderId="1" fillId="0" fontId="12" numFmtId="0" xfId="0" applyAlignment="1" applyBorder="1" applyFont="1">
      <alignment readingOrder="0" shrinkToFit="0" vertical="bottom" wrapText="0"/>
    </xf>
    <xf borderId="1" fillId="0" fontId="12" numFmtId="0" xfId="0" applyAlignment="1" applyBorder="1" applyFont="1">
      <alignment shrinkToFit="0" vertical="bottom" wrapText="0"/>
    </xf>
    <xf borderId="0" fillId="0" fontId="23" numFmtId="0" xfId="0" applyAlignment="1" applyFont="1">
      <alignment shrinkToFit="0" vertical="bottom" wrapText="0"/>
    </xf>
    <xf borderId="0" fillId="0" fontId="7" numFmtId="0" xfId="0" applyAlignment="1" applyFont="1">
      <alignment horizontal="left" shrinkToFit="0" vertical="top" wrapText="0"/>
    </xf>
    <xf borderId="0" fillId="0" fontId="1" numFmtId="0" xfId="0" applyAlignment="1" applyFont="1">
      <alignment readingOrder="0" shrinkToFit="0" vertical="top" wrapText="1"/>
    </xf>
    <xf borderId="0" fillId="8" fontId="1" numFmtId="0" xfId="0" applyAlignment="1" applyFont="1">
      <alignment readingOrder="0" shrinkToFit="0" vertical="top" wrapText="1"/>
    </xf>
    <xf borderId="0" fillId="8" fontId="24" numFmtId="0" xfId="0" applyAlignment="1" applyFont="1">
      <alignment readingOrder="0" shrinkToFit="0" vertical="top" wrapText="1"/>
    </xf>
    <xf borderId="0" fillId="0" fontId="24" numFmtId="0" xfId="0" applyAlignment="1" applyFont="1">
      <alignment readingOrder="0" shrinkToFit="0" vertical="top" wrapText="1"/>
    </xf>
    <xf borderId="0" fillId="0" fontId="1" numFmtId="0" xfId="0" applyAlignment="1" applyFont="1">
      <alignment readingOrder="0" shrinkToFit="0" wrapText="1"/>
    </xf>
    <xf borderId="0" fillId="0" fontId="3" numFmtId="0" xfId="0" applyAlignment="1" applyFont="1">
      <alignment shrinkToFit="0" vertical="top" wrapText="1"/>
    </xf>
    <xf borderId="0" fillId="8" fontId="3" numFmtId="0" xfId="0" applyAlignment="1" applyFont="1">
      <alignment shrinkToFit="0" vertical="top" wrapText="1"/>
    </xf>
    <xf borderId="0" fillId="8" fontId="3" numFmtId="0" xfId="0" applyAlignment="1" applyFont="1">
      <alignment shrinkToFit="0" vertical="top" wrapText="1"/>
    </xf>
    <xf borderId="0" fillId="0" fontId="3" numFmtId="0" xfId="0" applyFont="1"/>
    <xf borderId="0" fillId="0" fontId="3" numFmtId="0" xfId="0" applyAlignment="1" applyFont="1">
      <alignment readingOrder="0" shrinkToFit="0" wrapText="1"/>
    </xf>
    <xf borderId="0" fillId="0" fontId="3" numFmtId="0" xfId="0" applyAlignment="1" applyFont="1">
      <alignment shrinkToFit="0" vertical="top" wrapText="1"/>
    </xf>
    <xf borderId="0" fillId="8" fontId="3" numFmtId="0" xfId="0" applyAlignment="1" applyFont="1">
      <alignment readingOrder="0" shrinkToFit="0" vertical="top" wrapText="1"/>
    </xf>
    <xf borderId="0" fillId="0" fontId="3" numFmtId="0" xfId="0" applyAlignment="1" applyFont="1">
      <alignment readingOrder="0" vertical="top"/>
    </xf>
    <xf borderId="0" fillId="0" fontId="3" numFmtId="0" xfId="0" applyAlignment="1" applyFont="1">
      <alignment shrinkToFit="0" wrapText="1"/>
    </xf>
    <xf borderId="0" fillId="11" fontId="3" numFmtId="0" xfId="0" applyAlignment="1" applyFont="1">
      <alignment readingOrder="0" vertical="top"/>
    </xf>
    <xf borderId="0" fillId="11" fontId="3" numFmtId="0" xfId="0" applyAlignment="1" applyFont="1">
      <alignment readingOrder="0" shrinkToFit="0" vertical="top" wrapText="1"/>
    </xf>
    <xf borderId="0" fillId="0" fontId="3" numFmtId="0" xfId="0" applyAlignment="1" applyFont="1">
      <alignment horizontal="left" readingOrder="0" shrinkToFit="0" vertical="top" wrapText="1"/>
    </xf>
    <xf borderId="0" fillId="11" fontId="3" numFmtId="0" xfId="0" applyAlignment="1" applyFont="1">
      <alignment readingOrder="0" shrinkToFit="0" wrapText="1"/>
    </xf>
    <xf borderId="0" fillId="0" fontId="3" numFmtId="0" xfId="0" applyAlignment="1" applyFont="1">
      <alignment vertical="top"/>
    </xf>
    <xf borderId="2" fillId="0" fontId="25" numFmtId="0" xfId="0" applyAlignment="1" applyBorder="1" applyFont="1">
      <alignment readingOrder="0" shrinkToFit="0" vertical="top" wrapText="1"/>
    </xf>
    <xf borderId="0" fillId="0" fontId="1" numFmtId="49" xfId="0" applyFont="1" applyNumberFormat="1"/>
    <xf borderId="0" fillId="0" fontId="3" numFmtId="49" xfId="0" applyFont="1" applyNumberFormat="1"/>
    <xf borderId="0" fillId="0" fontId="3" numFmtId="49" xfId="0" applyAlignment="1" applyFont="1" applyNumberFormat="1">
      <alignment readingOrder="0"/>
    </xf>
    <xf borderId="0" fillId="11" fontId="3" numFmtId="49" xfId="0" applyAlignment="1" applyFont="1" applyNumberFormat="1">
      <alignment readingOrder="0"/>
    </xf>
    <xf borderId="0" fillId="0" fontId="1" numFmtId="3" xfId="0" applyAlignment="1" applyFont="1" applyNumberFormat="1">
      <alignment horizontal="right" readingOrder="0"/>
    </xf>
    <xf borderId="0" fillId="0" fontId="3" numFmtId="0" xfId="0" applyAlignment="1" applyFont="1">
      <alignment horizontal="right"/>
    </xf>
    <xf borderId="0" fillId="0" fontId="3" numFmtId="0" xfId="0" applyAlignment="1" applyFont="1">
      <alignment horizontal="right" readingOrder="0"/>
    </xf>
    <xf borderId="0" fillId="0" fontId="3" numFmtId="3" xfId="0" applyAlignment="1" applyFont="1" applyNumberFormat="1">
      <alignment horizontal="right" readingOrder="0"/>
    </xf>
    <xf borderId="0" fillId="0" fontId="3" numFmtId="0" xfId="0" applyFont="1"/>
    <xf borderId="0" fillId="0" fontId="3" numFmtId="1" xfId="0" applyFont="1" applyNumberFormat="1"/>
    <xf borderId="0" fillId="0" fontId="12" numFmtId="3" xfId="0" applyAlignment="1" applyFont="1" applyNumberFormat="1">
      <alignment horizontal="right"/>
    </xf>
    <xf borderId="0" fillId="0" fontId="12" numFmtId="0" xfId="0" applyAlignment="1" applyFont="1">
      <alignment horizontal="right" readingOrder="0"/>
    </xf>
    <xf borderId="0" fillId="0" fontId="12" numFmtId="0" xfId="0" applyFont="1"/>
    <xf borderId="0" fillId="0" fontId="7" numFmtId="0" xfId="0" applyFont="1"/>
    <xf borderId="0" fillId="0" fontId="7" numFmtId="49" xfId="0" applyFont="1" applyNumberFormat="1"/>
    <xf borderId="0" fillId="0" fontId="12" numFmtId="0" xfId="0" applyAlignment="1" applyFont="1">
      <alignment readingOrder="0"/>
    </xf>
    <xf borderId="1" fillId="0" fontId="12" numFmtId="49" xfId="0" applyBorder="1" applyFont="1" applyNumberFormat="1"/>
    <xf borderId="0" fillId="0" fontId="26" numFmtId="0" xfId="0" applyFont="1"/>
    <xf borderId="0" fillId="0" fontId="0" numFmtId="1" xfId="0" applyAlignment="1" applyFont="1" applyNumberFormat="1">
      <alignment horizontal="left"/>
    </xf>
    <xf borderId="0" fillId="0" fontId="26" numFmtId="49" xfId="0" applyAlignment="1" applyFont="1" applyNumberFormat="1">
      <alignment horizontal="left"/>
    </xf>
    <xf borderId="0" fillId="0" fontId="12" numFmtId="0" xfId="0" applyAlignment="1" applyFont="1">
      <alignment readingOrder="0" shrinkToFit="0" wrapText="1"/>
    </xf>
    <xf borderId="0" fillId="0" fontId="12" numFmtId="0" xfId="0" applyAlignment="1" applyFont="1">
      <alignment readingOrder="0" shrinkToFit="0" wrapText="1"/>
    </xf>
    <xf borderId="0" fillId="0" fontId="26" numFmtId="0" xfId="0" applyAlignment="1" applyFont="1">
      <alignment readingOrder="0" shrinkToFit="0" wrapText="0"/>
    </xf>
    <xf borderId="0" fillId="0" fontId="26" numFmtId="49" xfId="0" applyFont="1" applyNumberFormat="1"/>
    <xf borderId="0" fillId="0" fontId="27" numFmtId="0" xfId="0" applyFont="1"/>
    <xf borderId="0" fillId="0" fontId="7" numFmtId="49" xfId="0" applyAlignment="1" applyFont="1" applyNumberFormat="1">
      <alignment horizontal="left"/>
    </xf>
    <xf borderId="0" fillId="0" fontId="26" numFmtId="49" xfId="0" applyAlignment="1" applyFont="1" applyNumberFormat="1">
      <alignment horizontal="left" readingOrder="0"/>
    </xf>
    <xf borderId="0" fillId="0" fontId="12" numFmtId="3" xfId="0" applyAlignment="1" applyFont="1" applyNumberFormat="1">
      <alignment readingOrder="0"/>
    </xf>
    <xf borderId="0" fillId="0" fontId="12" numFmtId="1" xfId="0" applyAlignment="1" applyFont="1" applyNumberFormat="1">
      <alignment horizontal="left"/>
    </xf>
    <xf borderId="0" fillId="0" fontId="12" numFmtId="0" xfId="0" applyAlignment="1" applyFont="1">
      <alignment readingOrder="0" shrinkToFit="0" wrapText="0"/>
    </xf>
    <xf borderId="0" fillId="0" fontId="26" numFmtId="3" xfId="0" applyFont="1" applyNumberFormat="1"/>
    <xf borderId="0" fillId="0" fontId="28" numFmtId="0" xfId="0" applyFont="1"/>
    <xf borderId="1" fillId="0" fontId="12" numFmtId="0" xfId="0" applyBorder="1" applyFont="1"/>
    <xf borderId="1" fillId="0" fontId="3" numFmtId="49" xfId="0" applyBorder="1" applyFont="1" applyNumberFormat="1"/>
    <xf borderId="0" fillId="0" fontId="12" numFmtId="49" xfId="0" applyAlignment="1" applyFont="1" applyNumberFormat="1">
      <alignment horizontal="left"/>
    </xf>
    <xf borderId="0" fillId="0" fontId="26" numFmtId="0" xfId="0" applyAlignment="1" applyFont="1">
      <alignment readingOrder="0"/>
    </xf>
    <xf borderId="0" fillId="0" fontId="29" numFmtId="0" xfId="0" applyFont="1"/>
    <xf borderId="0" fillId="0" fontId="26" numFmtId="1" xfId="0" applyAlignment="1" applyFont="1" applyNumberFormat="1">
      <alignment horizontal="left"/>
    </xf>
    <xf borderId="0" fillId="0" fontId="12" numFmtId="0" xfId="0" applyAlignment="1" applyFont="1">
      <alignment readingOrder="0" shrinkToFit="0" wrapText="0"/>
    </xf>
    <xf borderId="0" fillId="0" fontId="26" numFmtId="0" xfId="0" applyAlignment="1" applyFont="1">
      <alignment readingOrder="0"/>
    </xf>
    <xf borderId="0" fillId="0" fontId="12" numFmtId="49" xfId="0" applyFont="1" applyNumberFormat="1"/>
    <xf borderId="1" fillId="0" fontId="12" numFmtId="1" xfId="0" applyAlignment="1" applyBorder="1" applyFont="1" applyNumberFormat="1">
      <alignment horizontal="left"/>
    </xf>
    <xf borderId="0" fillId="0" fontId="30" numFmtId="0" xfId="0" applyFont="1"/>
    <xf borderId="0" fillId="0" fontId="26" numFmtId="0" xfId="0" applyAlignment="1" applyFont="1">
      <alignment readingOrder="0" shrinkToFit="0" wrapText="0"/>
    </xf>
    <xf borderId="0" fillId="0" fontId="26" numFmtId="0" xfId="0" applyAlignment="1" applyFont="1">
      <alignment horizontal="left" vertical="top"/>
    </xf>
    <xf borderId="0" fillId="0" fontId="12" numFmtId="3" xfId="0" applyAlignment="1" applyFont="1" applyNumberFormat="1">
      <alignment horizontal="right" readingOrder="0"/>
    </xf>
    <xf borderId="0" fillId="0" fontId="26" numFmtId="0" xfId="0" applyAlignment="1" applyFont="1">
      <alignment readingOrder="0" shrinkToFit="0" wrapText="1"/>
    </xf>
    <xf borderId="0" fillId="0" fontId="12" numFmtId="3" xfId="0" applyFont="1" applyNumberFormat="1"/>
    <xf borderId="0" fillId="0" fontId="31" numFmtId="0" xfId="0" applyFont="1"/>
    <xf borderId="0" fillId="0" fontId="32" numFmtId="0" xfId="0" applyAlignment="1" applyFont="1">
      <alignment readingOrder="0"/>
    </xf>
    <xf borderId="0" fillId="0" fontId="12" numFmtId="0" xfId="0" applyAlignment="1" applyFont="1">
      <alignment readingOrder="0"/>
    </xf>
    <xf borderId="0" fillId="0" fontId="26" numFmtId="0" xfId="0" applyAlignment="1" applyFont="1">
      <alignment horizontal="left"/>
    </xf>
    <xf borderId="0" fillId="0" fontId="12" numFmtId="4" xfId="0" applyAlignment="1" applyFont="1" applyNumberFormat="1">
      <alignment readingOrder="0"/>
    </xf>
    <xf borderId="1" fillId="0" fontId="26" numFmtId="49" xfId="0" applyBorder="1" applyFont="1" applyNumberFormat="1"/>
    <xf borderId="0" fillId="0" fontId="3" numFmtId="1" xfId="0" applyAlignment="1" applyFont="1" applyNumberFormat="1">
      <alignment readingOrder="0"/>
    </xf>
    <xf borderId="0" fillId="0" fontId="33" numFmtId="0" xfId="0" applyAlignment="1" applyFont="1">
      <alignment readingOrder="0"/>
    </xf>
    <xf borderId="0" fillId="0" fontId="26" numFmtId="1" xfId="0" applyFont="1" applyNumberFormat="1"/>
    <xf borderId="0" fillId="0" fontId="34" numFmtId="0" xfId="0" applyFont="1"/>
    <xf borderId="0" fillId="0" fontId="12" numFmtId="2" xfId="0" applyAlignment="1" applyFont="1" applyNumberFormat="1">
      <alignment readingOrder="0"/>
    </xf>
    <xf borderId="0" fillId="0" fontId="12" numFmtId="0" xfId="0" applyAlignment="1" applyFont="1">
      <alignment vertical="center"/>
    </xf>
    <xf borderId="1" fillId="0" fontId="34" numFmtId="0" xfId="0" applyBorder="1" applyFont="1"/>
    <xf borderId="1" fillId="0" fontId="26" numFmtId="0" xfId="0" applyBorder="1" applyFont="1"/>
    <xf borderId="1" fillId="0" fontId="26" numFmtId="49" xfId="0" applyAlignment="1" applyBorder="1" applyFont="1" applyNumberFormat="1">
      <alignment horizontal="left"/>
    </xf>
    <xf borderId="1" fillId="0" fontId="26" numFmtId="0" xfId="0" applyAlignment="1" applyBorder="1" applyFont="1">
      <alignment readingOrder="0"/>
    </xf>
    <xf borderId="1" fillId="0" fontId="7" numFmtId="0" xfId="0" applyBorder="1" applyFont="1"/>
    <xf borderId="0" fillId="0" fontId="26" numFmtId="0" xfId="0" applyAlignment="1" applyFont="1">
      <alignment readingOrder="0" shrinkToFit="0" wrapText="1"/>
    </xf>
    <xf borderId="1" fillId="0" fontId="12" numFmtId="3" xfId="0" applyAlignment="1" applyBorder="1" applyFont="1" applyNumberFormat="1">
      <alignment horizontal="right" readingOrder="0"/>
    </xf>
    <xf borderId="1" fillId="0" fontId="3" numFmtId="0" xfId="0" applyBorder="1" applyFont="1"/>
    <xf borderId="1" fillId="0" fontId="12" numFmtId="3" xfId="0" applyAlignment="1" applyBorder="1" applyFont="1" applyNumberFormat="1">
      <alignment horizontal="right"/>
    </xf>
    <xf borderId="1" fillId="0" fontId="3" numFmtId="0" xfId="0" applyAlignment="1" applyBorder="1" applyFont="1">
      <alignment readingOrder="0"/>
    </xf>
    <xf borderId="1" fillId="0" fontId="35" numFmtId="0" xfId="0" applyBorder="1" applyFont="1"/>
    <xf borderId="0" fillId="0" fontId="36" numFmtId="0" xfId="0" applyFont="1"/>
    <xf borderId="1" fillId="0" fontId="3" numFmtId="49" xfId="0" applyAlignment="1" applyBorder="1" applyFont="1" applyNumberFormat="1">
      <alignment readingOrder="0"/>
    </xf>
    <xf borderId="1" fillId="0" fontId="7" numFmtId="49" xfId="0" applyBorder="1" applyFont="1" applyNumberFormat="1"/>
    <xf borderId="1" fillId="0" fontId="26" numFmtId="1" xfId="0" applyBorder="1" applyFont="1" applyNumberFormat="1"/>
    <xf borderId="1" fillId="0" fontId="12" numFmtId="49" xfId="0" applyAlignment="1" applyBorder="1" applyFont="1" applyNumberFormat="1">
      <alignment horizontal="left"/>
    </xf>
    <xf borderId="1" fillId="0" fontId="12" numFmtId="0" xfId="0" applyAlignment="1" applyBorder="1" applyFont="1">
      <alignment readingOrder="0"/>
    </xf>
    <xf borderId="1" fillId="0" fontId="26" numFmtId="1" xfId="0" applyAlignment="1" applyBorder="1" applyFont="1" applyNumberFormat="1">
      <alignment horizontal="left"/>
    </xf>
    <xf borderId="1" fillId="0" fontId="37" numFmtId="0" xfId="0" applyBorder="1" applyFont="1"/>
    <xf borderId="1" fillId="0" fontId="7" numFmtId="49" xfId="0" applyAlignment="1" applyBorder="1" applyFont="1" applyNumberFormat="1">
      <alignment horizontal="left"/>
    </xf>
    <xf borderId="1" fillId="0" fontId="38" numFmtId="0" xfId="0" applyBorder="1" applyFont="1"/>
    <xf borderId="1" fillId="0" fontId="39" numFmtId="0" xfId="0" applyAlignment="1" applyBorder="1" applyFont="1">
      <alignment readingOrder="0"/>
    </xf>
    <xf borderId="0" fillId="0" fontId="7" numFmtId="0" xfId="0" applyAlignment="1" applyFont="1">
      <alignment readingOrder="0"/>
    </xf>
    <xf borderId="1" fillId="0" fontId="7" numFmtId="0" xfId="0" applyAlignment="1" applyBorder="1" applyFont="1">
      <alignment readingOrder="0"/>
    </xf>
    <xf borderId="0" fillId="0" fontId="40" numFmtId="0" xfId="0" applyFont="1"/>
    <xf borderId="0" fillId="0" fontId="19" numFmtId="0" xfId="0" applyFont="1"/>
    <xf borderId="0" fillId="0" fontId="41" numFmtId="0" xfId="0" applyAlignment="1" applyFont="1">
      <alignment readingOrder="0"/>
    </xf>
    <xf borderId="0" fillId="0" fontId="42" numFmtId="0" xfId="0" applyAlignment="1" applyFont="1">
      <alignment readingOrder="0"/>
    </xf>
    <xf borderId="0" fillId="0" fontId="26" numFmtId="3" xfId="0" applyAlignment="1" applyFont="1" applyNumberFormat="1">
      <alignment horizontal="left"/>
    </xf>
    <xf borderId="0" fillId="0" fontId="12" numFmtId="0" xfId="0" applyAlignment="1" applyFont="1">
      <alignment horizontal="left"/>
    </xf>
    <xf borderId="0" fillId="0" fontId="43" numFmtId="0" xfId="0" applyAlignment="1" applyFont="1">
      <alignment readingOrder="0"/>
    </xf>
    <xf borderId="0" fillId="11" fontId="12" numFmtId="0" xfId="0" applyAlignment="1" applyFont="1">
      <alignment horizontal="left" readingOrder="0"/>
    </xf>
    <xf borderId="1" fillId="11" fontId="12" numFmtId="0" xfId="0" applyAlignment="1" applyBorder="1" applyFont="1">
      <alignment horizontal="left"/>
    </xf>
    <xf borderId="1" fillId="11" fontId="44" numFmtId="0" xfId="0" applyBorder="1" applyFont="1"/>
    <xf borderId="1" fillId="11" fontId="4" numFmtId="0" xfId="0" applyBorder="1" applyFont="1"/>
    <xf borderId="1" fillId="11" fontId="44" numFmtId="0" xfId="0" applyAlignment="1" applyBorder="1" applyFont="1">
      <alignment horizontal="left"/>
    </xf>
    <xf borderId="1" fillId="11" fontId="44" numFmtId="0" xfId="0" applyAlignment="1" applyBorder="1" applyFont="1">
      <alignment horizontal="center"/>
    </xf>
    <xf borderId="0" fillId="0" fontId="12" numFmtId="0" xfId="0" applyAlignment="1" applyFont="1">
      <alignment horizontal="left" readingOrder="0"/>
    </xf>
    <xf borderId="0" fillId="0" fontId="45" numFmtId="0" xfId="0" applyFont="1"/>
    <xf borderId="0" fillId="0" fontId="12" numFmtId="4" xfId="0" applyAlignment="1" applyFont="1" applyNumberFormat="1">
      <alignment horizontal="left"/>
    </xf>
    <xf borderId="0" fillId="0" fontId="26" numFmtId="4" xfId="0" applyFont="1" applyNumberFormat="1"/>
    <xf borderId="0" fillId="0" fontId="12" numFmtId="2" xfId="0" applyFont="1" applyNumberFormat="1"/>
    <xf borderId="0" fillId="0" fontId="12" numFmtId="3" xfId="0" applyAlignment="1" applyFont="1" applyNumberFormat="1">
      <alignment horizontal="left"/>
    </xf>
    <xf borderId="0" fillId="0" fontId="12" numFmtId="4" xfId="0" applyFont="1" applyNumberFormat="1"/>
    <xf borderId="0" fillId="13" fontId="12" numFmtId="0" xfId="0" applyAlignment="1" applyFill="1" applyFont="1">
      <alignment horizontal="left"/>
    </xf>
    <xf borderId="1" fillId="13" fontId="12" numFmtId="0" xfId="0" applyAlignment="1" applyBorder="1" applyFont="1">
      <alignment horizontal="left"/>
    </xf>
    <xf borderId="1" fillId="13" fontId="12" numFmtId="0" xfId="0" applyBorder="1" applyFont="1"/>
    <xf borderId="1" fillId="14" fontId="26" numFmtId="0" xfId="0" applyAlignment="1" applyBorder="1" applyFill="1" applyFont="1">
      <alignment horizontal="left"/>
    </xf>
    <xf borderId="1" fillId="11" fontId="12" numFmtId="0" xfId="0" applyBorder="1" applyFont="1"/>
    <xf borderId="1" fillId="11" fontId="26" numFmtId="0" xfId="0" applyBorder="1" applyFont="1"/>
    <xf borderId="1" fillId="11" fontId="46" numFmtId="0" xfId="0" applyBorder="1" applyFont="1"/>
    <xf borderId="1" fillId="15" fontId="12" numFmtId="0" xfId="0" applyAlignment="1" applyBorder="1" applyFill="1" applyFont="1">
      <alignment horizontal="left"/>
    </xf>
    <xf borderId="1" fillId="15" fontId="12" numFmtId="0" xfId="0" applyBorder="1" applyFont="1"/>
    <xf borderId="1" fillId="15" fontId="26" numFmtId="0" xfId="0" applyBorder="1" applyFont="1"/>
    <xf borderId="1" fillId="15" fontId="47" numFmtId="0" xfId="0" applyBorder="1" applyFont="1"/>
    <xf borderId="1" fillId="11" fontId="48" numFmtId="0" xfId="0" applyBorder="1" applyFont="1"/>
    <xf borderId="0" fillId="11" fontId="49" numFmtId="0" xfId="0" applyAlignment="1" applyFont="1">
      <alignment readingOrder="0" shrinkToFit="0" vertical="bottom" wrapText="0"/>
    </xf>
    <xf borderId="0" fillId="0" fontId="49" numFmtId="0" xfId="0" applyAlignment="1" applyFont="1">
      <alignment horizontal="right" readingOrder="0" shrinkToFit="0" vertical="bottom" wrapText="0"/>
    </xf>
    <xf borderId="0" fillId="0" fontId="49" numFmtId="0" xfId="0" applyAlignment="1" applyFont="1">
      <alignment readingOrder="0" shrinkToFit="0" vertical="bottom" wrapText="0"/>
    </xf>
    <xf borderId="0" fillId="0" fontId="49" numFmtId="0" xfId="0" applyAlignment="1" applyFont="1">
      <alignment shrinkToFit="0" vertical="bottom" wrapText="0"/>
    </xf>
    <xf borderId="0" fillId="0" fontId="49" numFmtId="3" xfId="0" applyAlignment="1" applyFont="1" applyNumberFormat="1">
      <alignment readingOrder="0" shrinkToFit="0" vertical="bottom" wrapText="0"/>
    </xf>
    <xf borderId="0" fillId="0" fontId="49" numFmtId="0" xfId="0" applyAlignment="1" applyFont="1">
      <alignment shrinkToFit="0" vertical="bottom" wrapText="0"/>
    </xf>
    <xf borderId="0" fillId="0" fontId="50" numFmtId="0" xfId="0" applyAlignment="1" applyFont="1">
      <alignment readingOrder="0" shrinkToFit="0" vertical="bottom" wrapText="0"/>
    </xf>
    <xf borderId="0" fillId="0" fontId="49" numFmtId="4" xfId="0" applyAlignment="1" applyFont="1" applyNumberFormat="1">
      <alignment readingOrder="0" shrinkToFit="0" vertical="bottom" wrapText="0"/>
    </xf>
    <xf borderId="0" fillId="0" fontId="49" numFmtId="0" xfId="0" applyAlignment="1" applyFont="1">
      <alignment horizontal="center" readingOrder="0" shrinkToFit="0" vertical="bottom" wrapText="0"/>
    </xf>
    <xf borderId="0" fillId="0" fontId="49" numFmtId="2" xfId="0" applyAlignment="1" applyFont="1" applyNumberFormat="1">
      <alignment shrinkToFit="0" vertical="bottom" wrapText="0"/>
    </xf>
    <xf borderId="0" fillId="0" fontId="1" numFmtId="0" xfId="0" applyAlignment="1" applyFont="1">
      <alignment horizontal="right" readingOrder="0"/>
    </xf>
    <xf borderId="0" fillId="0" fontId="1" numFmtId="0" xfId="0" applyFont="1"/>
    <xf borderId="0" fillId="0" fontId="1" numFmtId="1" xfId="0" applyAlignment="1" applyFont="1" applyNumberFormat="1">
      <alignment readingOrder="0"/>
    </xf>
    <xf borderId="0" fillId="0" fontId="1" numFmtId="49" xfId="0" applyAlignment="1" applyFont="1" applyNumberFormat="1">
      <alignment readingOrder="0"/>
    </xf>
    <xf borderId="0" fillId="0" fontId="51" numFmtId="0" xfId="0" applyAlignment="1" applyFont="1">
      <alignment readingOrder="0" shrinkToFit="0" wrapText="0"/>
    </xf>
    <xf borderId="0" fillId="0" fontId="1" numFmtId="0" xfId="0" applyAlignment="1" applyFont="1">
      <alignment readingOrder="0" shrinkToFit="0" wrapText="0"/>
    </xf>
    <xf borderId="0" fillId="0" fontId="3" numFmtId="0" xfId="0" applyAlignment="1" applyFont="1">
      <alignment readingOrder="0"/>
    </xf>
    <xf borderId="0" fillId="16" fontId="3" numFmtId="3" xfId="0" applyAlignment="1" applyFill="1" applyFont="1" applyNumberFormat="1">
      <alignment horizontal="right"/>
    </xf>
    <xf borderId="0" fillId="16" fontId="3" numFmtId="0" xfId="0" applyAlignment="1" applyFont="1">
      <alignment readingOrder="0"/>
    </xf>
    <xf borderId="1" fillId="0" fontId="12" numFmtId="0" xfId="0" applyAlignment="1" applyBorder="1" applyFont="1">
      <alignment horizontal="left"/>
    </xf>
    <xf borderId="0" fillId="17" fontId="12" numFmtId="0" xfId="0" applyFill="1" applyFont="1"/>
    <xf borderId="0" fillId="11" fontId="12" numFmtId="49" xfId="0" applyFont="1" applyNumberFormat="1"/>
    <xf borderId="0" fillId="18" fontId="12" numFmtId="0" xfId="0" applyFill="1" applyFont="1"/>
    <xf borderId="0" fillId="14" fontId="26" numFmtId="0" xfId="0" applyAlignment="1" applyFont="1">
      <alignment horizontal="left"/>
    </xf>
    <xf borderId="1" fillId="17" fontId="12" numFmtId="0" xfId="0" applyBorder="1" applyFont="1"/>
    <xf borderId="1" fillId="18" fontId="12" numFmtId="0" xfId="0" applyBorder="1" applyFont="1"/>
    <xf borderId="0" fillId="17" fontId="34" numFmtId="0" xfId="0" applyFont="1"/>
    <xf borderId="0" fillId="19" fontId="12" numFmtId="0" xfId="0" applyFill="1" applyFont="1"/>
    <xf borderId="0" fillId="11" fontId="12" numFmtId="0" xfId="0" applyFont="1"/>
    <xf borderId="0" fillId="11" fontId="12" numFmtId="0" xfId="0" applyAlignment="1" applyFont="1">
      <alignment horizontal="left"/>
    </xf>
    <xf borderId="0" fillId="11" fontId="26" numFmtId="0" xfId="0" applyFont="1"/>
    <xf borderId="0" fillId="11" fontId="52" numFmtId="0" xfId="0" applyFont="1"/>
    <xf borderId="0" fillId="0" fontId="0" numFmtId="49" xfId="0" applyAlignment="1" applyFont="1" applyNumberFormat="1">
      <alignment horizontal="left"/>
    </xf>
    <xf borderId="0" fillId="0" fontId="12" numFmtId="0" xfId="0" applyAlignment="1" applyFont="1">
      <alignment horizontal="left" vertical="top"/>
    </xf>
    <xf borderId="1" fillId="0" fontId="3" numFmtId="0" xfId="0" applyBorder="1" applyFont="1"/>
    <xf borderId="1" fillId="11" fontId="12" numFmtId="49" xfId="0" applyBorder="1" applyFont="1" applyNumberFormat="1"/>
    <xf borderId="1" fillId="0" fontId="53" numFmtId="0" xfId="0" applyBorder="1" applyFont="1"/>
    <xf borderId="0" fillId="15" fontId="12" numFmtId="3" xfId="0" applyAlignment="1" applyFont="1" applyNumberFormat="1">
      <alignment horizontal="right"/>
    </xf>
    <xf borderId="0" fillId="15" fontId="12" numFmtId="0" xfId="0" applyFont="1"/>
    <xf borderId="0" fillId="15" fontId="12" numFmtId="0" xfId="0" applyAlignment="1" applyFont="1">
      <alignment horizontal="left"/>
    </xf>
    <xf borderId="0" fillId="15" fontId="26" numFmtId="0" xfId="0" applyFont="1"/>
    <xf borderId="0" fillId="15" fontId="54" numFmtId="0" xfId="0" applyFont="1"/>
    <xf borderId="0" fillId="11" fontId="55" numFmtId="0" xfId="0" applyFont="1"/>
    <xf borderId="0" fillId="0" fontId="42" numFmtId="0" xfId="0" applyFont="1"/>
    <xf borderId="0" fillId="0" fontId="26" numFmtId="3" xfId="0" applyAlignment="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kalahi.dswd.gov.ph/press/downloads/category/58-old-iec-materials?download=322:tayo-na-tayo-na-disaster-resiliency-compendium" TargetMode="External"/><Relationship Id="rId194" Type="http://schemas.openxmlformats.org/officeDocument/2006/relationships/hyperlink" Target="https://amiananbalitangayon.com/la-union-sustains-living-shorelines-deploys-artificial-reefs/" TargetMode="External"/><Relationship Id="rId193" Type="http://schemas.openxmlformats.org/officeDocument/2006/relationships/hyperlink" Target="https://www.pna.gov.ph/articles/1171451" TargetMode="External"/><Relationship Id="rId192" Type="http://schemas.openxmlformats.org/officeDocument/2006/relationships/hyperlink" Target="https://www.adb.org/sites/default/files/publication/29878/kalahi-cidss-project-philippines.pdf" TargetMode="External"/><Relationship Id="rId191" Type="http://schemas.openxmlformats.org/officeDocument/2006/relationships/hyperlink" Target="https://kalahi.dswd.gov.ph/press/downloads/category/58-old-iec-materials?download=322:tayo-na-tayo-na-disaster-resiliency-compendium" TargetMode="External"/><Relationship Id="rId187" Type="http://schemas.openxmlformats.org/officeDocument/2006/relationships/hyperlink" Target="https://www.dmmmsu.edu.ph/2021/12/08/7-artificial-reefs-installed-in-coastal-area-along-frti/" TargetMode="External"/><Relationship Id="rId186" Type="http://schemas.openxmlformats.org/officeDocument/2006/relationships/hyperlink" Target="https://web.facebook.com/CityAgricultureCDO/posts/1818126778356518/?paipv=0&amp;eav=AfZRQmJgGSI0L2g9U65jABSY00S9bkGu4Mij9M1M--6CIMfEuumw-Pv07pQ30DTpugs&amp;_rdc=1&amp;_rdr" TargetMode="External"/><Relationship Id="rId185" Type="http://schemas.openxmlformats.org/officeDocument/2006/relationships/hyperlink" Target="https://www.youtube.com/watch?v=TSbFpQUdSAE" TargetMode="External"/><Relationship Id="rId184" Type="http://schemas.openxmlformats.org/officeDocument/2006/relationships/hyperlink" Target="https://rpnradio.com/navy-frogmen-laid-artificial-coral-reefs-to-protect-pink-sand-sta-cruz-island-in-zamboanga/" TargetMode="External"/><Relationship Id="rId189" Type="http://schemas.openxmlformats.org/officeDocument/2006/relationships/hyperlink" Target="https://journal.com.ph/community-project-under-dswd-revives-marine-ecosystem-battered-by-typhoons/" TargetMode="External"/><Relationship Id="rId188" Type="http://schemas.openxmlformats.org/officeDocument/2006/relationships/hyperlink" Target="https://mobile.facebook.com/watch/?v=381675062720602&amp;paipv=0&amp;eav=AfYwcIL9NxwTN4aCbErewJy7tTD3nrufxoQ6KHefWVVRdYsV3q7dl44iSGOHSXvUCgs&amp;_rdr" TargetMode="External"/><Relationship Id="rId183" Type="http://schemas.openxmlformats.org/officeDocument/2006/relationships/hyperlink" Target="https://rpnradio.com/navy-frogmen-laid-artificial-coral-reefs-to-protect-pink-sand-sta-cruz-island-in-zamboanga/" TargetMode="External"/><Relationship Id="rId182" Type="http://schemas.openxmlformats.org/officeDocument/2006/relationships/hyperlink" Target="https://www.sciencedirect.com/science/article/abs/pii/S0022098198000410?via%3Dihub" TargetMode="External"/><Relationship Id="rId181" Type="http://schemas.openxmlformats.org/officeDocument/2006/relationships/hyperlink" Target="https://core.ac.uk/download/pdf/6515223.pdf" TargetMode="External"/><Relationship Id="rId180" Type="http://schemas.openxmlformats.org/officeDocument/2006/relationships/hyperlink" Target="https://core.ac.uk/download/pdf/6515223.pdf" TargetMode="External"/><Relationship Id="rId176" Type="http://schemas.openxmlformats.org/officeDocument/2006/relationships/hyperlink" Target="https://core.ac.uk/download/pdf/6515223.pdf" TargetMode="External"/><Relationship Id="rId297" Type="http://schemas.openxmlformats.org/officeDocument/2006/relationships/hyperlink" Target="https://www.rotary.org/en/giant-rotary-wheel-haven-fish-philippines" TargetMode="External"/><Relationship Id="rId175" Type="http://schemas.openxmlformats.org/officeDocument/2006/relationships/hyperlink" Target="https://core.ac.uk/download/pdf/6515223.pdf" TargetMode="External"/><Relationship Id="rId296" Type="http://schemas.openxmlformats.org/officeDocument/2006/relationships/hyperlink" Target="https://newsinfo.inquirer.net/937981/philippine-tourism-hinatuan-beach-surigao-del-sur-tourist-spot-nickel-asia-corp-michael-arlan-hinatuan-mining-corp-denr-scremp" TargetMode="External"/><Relationship Id="rId174" Type="http://schemas.openxmlformats.org/officeDocument/2006/relationships/hyperlink" Target="https://core.ac.uk/download/pdf/6515223.pdf" TargetMode="External"/><Relationship Id="rId295" Type="http://schemas.openxmlformats.org/officeDocument/2006/relationships/hyperlink" Target="https://rpnradio.com/the-corals-of-currimao/" TargetMode="External"/><Relationship Id="rId173" Type="http://schemas.openxmlformats.org/officeDocument/2006/relationships/hyperlink" Target="https://core.ac.uk/download/pdf/6515223.pdf" TargetMode="External"/><Relationship Id="rId294" Type="http://schemas.openxmlformats.org/officeDocument/2006/relationships/hyperlink" Target="https://cbartazo.com/tag/diving-in-bicol/" TargetMode="External"/><Relationship Id="rId179" Type="http://schemas.openxmlformats.org/officeDocument/2006/relationships/hyperlink" Target="https://core.ac.uk/download/pdf/6515223.pdf" TargetMode="External"/><Relationship Id="rId178" Type="http://schemas.openxmlformats.org/officeDocument/2006/relationships/hyperlink" Target="https://core.ac.uk/download/pdf/6515223.pdf" TargetMode="External"/><Relationship Id="rId299" Type="http://schemas.openxmlformats.org/officeDocument/2006/relationships/hyperlink" Target="https://brigadanews.ph/artificial-coral-reefs-inilagay-sa-karagatang-sakop-ng-jose-panganiban-bahagi-ng-marine-protected-areas-idedeklarang-fish-santuary-ng-lgu/" TargetMode="External"/><Relationship Id="rId177" Type="http://schemas.openxmlformats.org/officeDocument/2006/relationships/hyperlink" Target="https://core.ac.uk/download/pdf/6515223.pdf" TargetMode="External"/><Relationship Id="rId298" Type="http://schemas.openxmlformats.org/officeDocument/2006/relationships/hyperlink" Target="https://www.researchgate.net/publication/305770156_Coral_reef_resource_management_in_the_Philippines_-_with_focus_on_marine_protected_areas_as_a_management_tool" TargetMode="External"/><Relationship Id="rId198" Type="http://schemas.openxmlformats.org/officeDocument/2006/relationships/hyperlink" Target="https://core.ac.uk/download/pdf/6515223.pdf" TargetMode="External"/><Relationship Id="rId197" Type="http://schemas.openxmlformats.org/officeDocument/2006/relationships/hyperlink" Target="https://core.ac.uk/download/pdf/6515223.pdf" TargetMode="External"/><Relationship Id="rId196" Type="http://schemas.openxmlformats.org/officeDocument/2006/relationships/hyperlink" Target="https://mb.com.ph/2022/3/7/artificial-reefs-watch-tower-in-coastal-pangasinan-town-launched" TargetMode="External"/><Relationship Id="rId195" Type="http://schemas.openxmlformats.org/officeDocument/2006/relationships/hyperlink" Target="https://amiananbalitangayon.com/la-union-sustains-living-shorelines-deploys-artificial-reefs/" TargetMode="External"/><Relationship Id="rId199" Type="http://schemas.openxmlformats.org/officeDocument/2006/relationships/hyperlink" Target="https://core.ac.uk/download/pdf/6515223.pdf" TargetMode="External"/><Relationship Id="rId150" Type="http://schemas.openxmlformats.org/officeDocument/2006/relationships/hyperlink" Target="https://core.ac.uk/download/pdf/6515223.pdf" TargetMode="External"/><Relationship Id="rId271" Type="http://schemas.openxmlformats.org/officeDocument/2006/relationships/hyperlink" Target="https://www.sunstar.com.ph/article/385473/denr-7-plants-1t-artificial-reefs-" TargetMode="External"/><Relationship Id="rId392" Type="http://schemas.openxmlformats.org/officeDocument/2006/relationships/hyperlink" Target="https://1bataan.com/morong-town-soon-to-be-a-diving-spot/" TargetMode="External"/><Relationship Id="rId270" Type="http://schemas.openxmlformats.org/officeDocument/2006/relationships/hyperlink" Target="https://www.sunstar.com.ph/article/385473/denr-7-plants-1t-artificial-reefs-" TargetMode="External"/><Relationship Id="rId391" Type="http://schemas.openxmlformats.org/officeDocument/2006/relationships/hyperlink" Target="https://1bataan.com/morong-town-soon-to-be-a-diving-spot/" TargetMode="External"/><Relationship Id="rId390" Type="http://schemas.openxmlformats.org/officeDocument/2006/relationships/hyperlink" Target="http://pemsea.org/sites/default/files/SOC%20Bataan.pdf" TargetMode="External"/><Relationship Id="rId1" Type="http://schemas.openxmlformats.org/officeDocument/2006/relationships/hyperlink" Target="https://www.pna.gov.ph/articles/1136282" TargetMode="External"/><Relationship Id="rId2" Type="http://schemas.openxmlformats.org/officeDocument/2006/relationships/hyperlink" Target="https://www.philstar.com/business/business-as-usual/2006/04/24/333050/duka-bay-ecological-business-paradigm" TargetMode="External"/><Relationship Id="rId3" Type="http://schemas.openxmlformats.org/officeDocument/2006/relationships/hyperlink" Target="https://www.researchgate.net/publication/320629634_Enhanced_larval_supply_and_recruitment_can_replenish_reef_corals_on_degraded_reefs" TargetMode="External"/><Relationship Id="rId149" Type="http://schemas.openxmlformats.org/officeDocument/2006/relationships/hyperlink" Target="https://core.ac.uk/download/pdf/6515223.pdf" TargetMode="External"/><Relationship Id="rId4" Type="http://schemas.openxmlformats.org/officeDocument/2006/relationships/hyperlink" Target="https://www.researchgate.net/publication/356725969_Increased_Coral_Larval_Supply_Enhances_Recruitment_for_Coral_and_Fish_Habitat_Restoration" TargetMode="External"/><Relationship Id="rId148" Type="http://schemas.openxmlformats.org/officeDocument/2006/relationships/hyperlink" Target="https://core.ac.uk/download/pdf/6515223.pdf" TargetMode="External"/><Relationship Id="rId269" Type="http://schemas.openxmlformats.org/officeDocument/2006/relationships/hyperlink" Target="https://www.sunstar.com.ph/article/385473/denr-7-plants-1t-artificial-reefs-" TargetMode="External"/><Relationship Id="rId9" Type="http://schemas.openxmlformats.org/officeDocument/2006/relationships/hyperlink" Target="https://businessmirror.com.ph/2017/03/26/tagum-city-cites-artificial-reef-project-supports-mpa-networking-initiative/" TargetMode="External"/><Relationship Id="rId143" Type="http://schemas.openxmlformats.org/officeDocument/2006/relationships/hyperlink" Target="https://core.ac.uk/download/pdf/6515223.pdf" TargetMode="External"/><Relationship Id="rId264" Type="http://schemas.openxmlformats.org/officeDocument/2006/relationships/hyperlink" Target="https://www.sunstar.com.ph/article/385473/denr-7-plants-1t-artificial-reefs-" TargetMode="External"/><Relationship Id="rId385" Type="http://schemas.openxmlformats.org/officeDocument/2006/relationships/hyperlink" Target="http://pusod.org/pusod/building-artificial-habitats-in-barangay-calayo/" TargetMode="External"/><Relationship Id="rId142" Type="http://schemas.openxmlformats.org/officeDocument/2006/relationships/hyperlink" Target="https://core.ac.uk/download/pdf/6515223.pdf" TargetMode="External"/><Relationship Id="rId263" Type="http://schemas.openxmlformats.org/officeDocument/2006/relationships/hyperlink" Target="https://www.sunstar.com.ph/article/385473/denr-7-plants-1t-artificial-reefs-" TargetMode="External"/><Relationship Id="rId384" Type="http://schemas.openxmlformats.org/officeDocument/2006/relationships/hyperlink" Target="https://core.ac.uk/download/pdf/6515223.pdf" TargetMode="External"/><Relationship Id="rId141" Type="http://schemas.openxmlformats.org/officeDocument/2006/relationships/hyperlink" Target="https://core.ac.uk/download/pdf/6515223.pdf" TargetMode="External"/><Relationship Id="rId262" Type="http://schemas.openxmlformats.org/officeDocument/2006/relationships/hyperlink" Target="https://web.facebook.com/watch/?v=220661800165072" TargetMode="External"/><Relationship Id="rId383" Type="http://schemas.openxmlformats.org/officeDocument/2006/relationships/hyperlink" Target="https://thesis.msugensan.edu.ph/node/60" TargetMode="External"/><Relationship Id="rId140" Type="http://schemas.openxmlformats.org/officeDocument/2006/relationships/hyperlink" Target="https://www.researchgate.net/publication/233680292_The_potential_of_artificial_reefs_as_fisheries_management_tools_in_developing_countries" TargetMode="External"/><Relationship Id="rId261" Type="http://schemas.openxmlformats.org/officeDocument/2006/relationships/hyperlink" Target="https://web.facebook.com/watch/?v=2145212505517713" TargetMode="External"/><Relationship Id="rId382" Type="http://schemas.openxmlformats.org/officeDocument/2006/relationships/hyperlink" Target="https://journals.upd.edu.ph/index.php/sciencediliman/article/download/6423/5632" TargetMode="External"/><Relationship Id="rId5" Type="http://schemas.openxmlformats.org/officeDocument/2006/relationships/hyperlink" Target="https://manilaustimes.wordpress.com/2012/05/17/rotary-club-launches-adopt-a-coral-in-nasugbu/" TargetMode="External"/><Relationship Id="rId147" Type="http://schemas.openxmlformats.org/officeDocument/2006/relationships/hyperlink" Target="https://core.ac.uk/download/pdf/6515223.pdf" TargetMode="External"/><Relationship Id="rId268" Type="http://schemas.openxmlformats.org/officeDocument/2006/relationships/hyperlink" Target="https://www.sunstar.com.ph/article/385473/denr-7-plants-1t-artificial-reefs-" TargetMode="External"/><Relationship Id="rId389" Type="http://schemas.openxmlformats.org/officeDocument/2006/relationships/hyperlink" Target="https://web.facebook.com/VitalisVillas/posts/go-diving-or-snorkeling-at-santiago-cove-and-see-our-artificial-coral-reef-sanct/1897148467200987/?_rdc=1&amp;_rdr" TargetMode="External"/><Relationship Id="rId6" Type="http://schemas.openxmlformats.org/officeDocument/2006/relationships/hyperlink" Target="https://cbartazo.com/tag/agutayan-island/" TargetMode="External"/><Relationship Id="rId146" Type="http://schemas.openxmlformats.org/officeDocument/2006/relationships/hyperlink" Target="https://core.ac.uk/download/pdf/6515223.pdf" TargetMode="External"/><Relationship Id="rId267" Type="http://schemas.openxmlformats.org/officeDocument/2006/relationships/hyperlink" Target="https://www.sunstar.com.ph/article/385473/denr-7-plants-1t-artificial-reefs-" TargetMode="External"/><Relationship Id="rId388" Type="http://schemas.openxmlformats.org/officeDocument/2006/relationships/hyperlink" Target="https://web.facebook.com/VitalisVillas/posts/go-diving-or-snorkeling-at-santiago-cove-and-see-our-artificial-coral-reef-sanct/1897148467200987/?_rdc=1&amp;_rdr" TargetMode="External"/><Relationship Id="rId7" Type="http://schemas.openxmlformats.org/officeDocument/2006/relationships/hyperlink" Target="https://cbartazo.com/tag/agutayan-island/" TargetMode="External"/><Relationship Id="rId145" Type="http://schemas.openxmlformats.org/officeDocument/2006/relationships/hyperlink" Target="https://core.ac.uk/download/pdf/6515223.pdf" TargetMode="External"/><Relationship Id="rId266" Type="http://schemas.openxmlformats.org/officeDocument/2006/relationships/hyperlink" Target="https://www.sunstar.com.ph/article/385473/denr-7-plants-1t-artificial-reefs-" TargetMode="External"/><Relationship Id="rId387" Type="http://schemas.openxmlformats.org/officeDocument/2006/relationships/hyperlink" Target="https://web.facebook.com/permalink.php?id=978493562286545&amp;story_fbid=1211788355623730&amp;_rdc=1&amp;_rdr" TargetMode="External"/><Relationship Id="rId8" Type="http://schemas.openxmlformats.org/officeDocument/2006/relationships/hyperlink" Target="https://www.pcaarrd.dost.gov.ph/index.php/quick-information-dispatch-qid-articles/restoring-the-country-s-coral-reefs-through-filipinnovation" TargetMode="External"/><Relationship Id="rId144" Type="http://schemas.openxmlformats.org/officeDocument/2006/relationships/hyperlink" Target="https://core.ac.uk/download/pdf/6515223.pdf" TargetMode="External"/><Relationship Id="rId265" Type="http://schemas.openxmlformats.org/officeDocument/2006/relationships/hyperlink" Target="https://www.sunstar.com.ph/article/385473/denr-7-plants-1t-artificial-reefs-" TargetMode="External"/><Relationship Id="rId386" Type="http://schemas.openxmlformats.org/officeDocument/2006/relationships/hyperlink" Target="https://web.facebook.com/permalink.php?id=978493562286545&amp;story_fbid=1211788355623730&amp;_rdc=1&amp;_rdr" TargetMode="External"/><Relationship Id="rId260" Type="http://schemas.openxmlformats.org/officeDocument/2006/relationships/hyperlink" Target="https://www.psdn.org.ph/sdvillage-ph/coastal/lpnig2.html" TargetMode="External"/><Relationship Id="rId381" Type="http://schemas.openxmlformats.org/officeDocument/2006/relationships/hyperlink" Target="https://core.ac.uk/download/pdf/6515223.pdf" TargetMode="External"/><Relationship Id="rId380" Type="http://schemas.openxmlformats.org/officeDocument/2006/relationships/hyperlink" Target="https://www.sciencedirect.com/science/article/abs/pii/S0022098116301873" TargetMode="External"/><Relationship Id="rId139" Type="http://schemas.openxmlformats.org/officeDocument/2006/relationships/hyperlink" Target="https://www.bfar.da.gov.ph/wp-content/uploads/2022/05/FishCORAL-Project-Annual-Report-2020.pdf" TargetMode="External"/><Relationship Id="rId138" Type="http://schemas.openxmlformats.org/officeDocument/2006/relationships/hyperlink" Target="https://www.bfar.da.gov.ph/wp-content/uploads/2022/05/FishCORAL-Project-Annual-Report-2020.pdf" TargetMode="External"/><Relationship Id="rId259" Type="http://schemas.openxmlformats.org/officeDocument/2006/relationships/hyperlink" Target="mailto:cinzia.alessi01@community.unipa.it" TargetMode="External"/><Relationship Id="rId137" Type="http://schemas.openxmlformats.org/officeDocument/2006/relationships/hyperlink" Target="https://www.bfar.da.gov.ph/wp-content/uploads/2022/05/FishCORAL-Project-Annual-Report-2020.pdf" TargetMode="External"/><Relationship Id="rId258" Type="http://schemas.openxmlformats.org/officeDocument/2006/relationships/hyperlink" Target="https://sulubaai-foundation.com/wp-content/uploads/2019/07/Sulu-Reef-Prosthesis-a-new-method-in-restoration.pdf" TargetMode="External"/><Relationship Id="rId379" Type="http://schemas.openxmlformats.org/officeDocument/2006/relationships/hyperlink" Target="https://academic.oup.com/icesjms/article/71/7/1866/664250" TargetMode="External"/><Relationship Id="rId132" Type="http://schemas.openxmlformats.org/officeDocument/2006/relationships/hyperlink" Target="mailto:arpee55@yahoo.com" TargetMode="External"/><Relationship Id="rId253" Type="http://schemas.openxmlformats.org/officeDocument/2006/relationships/hyperlink" Target="https://www.bworldonline.com/weekender/environment/2016/07/01/5884/coral-laboratory-grows-in-batangas/" TargetMode="External"/><Relationship Id="rId374" Type="http://schemas.openxmlformats.org/officeDocument/2006/relationships/hyperlink" Target="https://www.sciencedirect.com/science/article/abs/pii/S0025326X04000712?via%3Dihub" TargetMode="External"/><Relationship Id="rId131" Type="http://schemas.openxmlformats.org/officeDocument/2006/relationships/hyperlink" Target="https://drive.google.com/drive/folders/1mG8We-vs6MZP2ijJO3W1fRPBfuCIhp3z" TargetMode="External"/><Relationship Id="rId252" Type="http://schemas.openxmlformats.org/officeDocument/2006/relationships/hyperlink" Target="https://www.divescotty.com/underwater-blog/blog-february-14-2018.php" TargetMode="External"/><Relationship Id="rId373" Type="http://schemas.openxmlformats.org/officeDocument/2006/relationships/hyperlink" Target="https://www.sciencedirect.com/science/article/abs/pii/S0025326X0300064X" TargetMode="External"/><Relationship Id="rId130" Type="http://schemas.openxmlformats.org/officeDocument/2006/relationships/hyperlink" Target="https://drive.google.com/drive/folders/1mG8We-vs6MZP2ijJO3W1fRPBfuCIhp3z" TargetMode="External"/><Relationship Id="rId251" Type="http://schemas.openxmlformats.org/officeDocument/2006/relationships/hyperlink" Target="https://web.facebook.com/jcimanilaseaoflife/posts/pfbid02pDbrLSGU8G89Y6fFseL879wWeu6hoSHsuHNsYRL4JyTrGsnutkfhxQJMKf7vf5dml" TargetMode="External"/><Relationship Id="rId372" Type="http://schemas.openxmlformats.org/officeDocument/2006/relationships/hyperlink" Target="https://www.int-res.com/articles/meps/83/m083p091.pdf" TargetMode="External"/><Relationship Id="rId250" Type="http://schemas.openxmlformats.org/officeDocument/2006/relationships/hyperlink" Target="http://allhonestreviews.blogspot.com/2012/08/launching-of-jci-manila-sea-of-life.html" TargetMode="External"/><Relationship Id="rId371" Type="http://schemas.openxmlformats.org/officeDocument/2006/relationships/hyperlink" Target="https://link.springer.com/article/10.1007/BF00539430" TargetMode="External"/><Relationship Id="rId136" Type="http://schemas.openxmlformats.org/officeDocument/2006/relationships/hyperlink" Target="https://www.bfar.da.gov.ph/wp-content/uploads/2022/05/FishCORAL-Project-Annual-Report-2020.pdf" TargetMode="External"/><Relationship Id="rId257" Type="http://schemas.openxmlformats.org/officeDocument/2006/relationships/hyperlink" Target="https://core.ac.uk/download/pdf/6515223.pdf" TargetMode="External"/><Relationship Id="rId378" Type="http://schemas.openxmlformats.org/officeDocument/2006/relationships/hyperlink" Target="https://zoologicalstudies.springeropen.com/articles/10.1186/1810-522X-52-44" TargetMode="External"/><Relationship Id="rId135" Type="http://schemas.openxmlformats.org/officeDocument/2006/relationships/hyperlink" Target="https://www.bfar.da.gov.ph/wp-content/uploads/2022/05/FishCORAL-Project-Annual-Report-2020.pdf" TargetMode="External"/><Relationship Id="rId256" Type="http://schemas.openxmlformats.org/officeDocument/2006/relationships/hyperlink" Target="http://oneocean.org/about_crmp/98search.html" TargetMode="External"/><Relationship Id="rId377" Type="http://schemas.openxmlformats.org/officeDocument/2006/relationships/hyperlink" Target="https://www.researchgate.net/publication/227686360_Comparison_of_three_types_of_adhesive_in_attaching_coral_transplants_to_clam_shell_substrates" TargetMode="External"/><Relationship Id="rId134" Type="http://schemas.openxmlformats.org/officeDocument/2006/relationships/hyperlink" Target="https://www.bfar.da.gov.ph/wp-content/uploads/2022/05/FishCORAL-Project-Annual-Report-2020.pdf" TargetMode="External"/><Relationship Id="rId255" Type="http://schemas.openxmlformats.org/officeDocument/2006/relationships/hyperlink" Target="http://oneocean.org/download/db_files/directory_of_crm_destinations2Ed.pdf" TargetMode="External"/><Relationship Id="rId376" Type="http://schemas.openxmlformats.org/officeDocument/2006/relationships/hyperlink" Target="https://pubmed.ncbi.nlm.nih.gov/32275570/" TargetMode="External"/><Relationship Id="rId133" Type="http://schemas.openxmlformats.org/officeDocument/2006/relationships/hyperlink" Target="https://www.facebook.com/mafar.bangsamoro/posts/monitoring-of-deployed-coral-nursery-units-cnu-of-fishcoral-mafar-in-maguindanao/1003835920443233/" TargetMode="External"/><Relationship Id="rId254" Type="http://schemas.openxmlformats.org/officeDocument/2006/relationships/hyperlink" Target="https://www.philstar.com/other-sections/starweek-magazine/2019/05/05/1915171/shoring-medina" TargetMode="External"/><Relationship Id="rId375" Type="http://schemas.openxmlformats.org/officeDocument/2006/relationships/hyperlink" Target="https://www.sciencedirect.com/science/article/abs/pii/S0025326X05001669?via%3Dihub" TargetMode="External"/><Relationship Id="rId172" Type="http://schemas.openxmlformats.org/officeDocument/2006/relationships/hyperlink" Target="https://core.ac.uk/download/pdf/6515223.pdf" TargetMode="External"/><Relationship Id="rId293" Type="http://schemas.openxmlformats.org/officeDocument/2006/relationships/hyperlink" Target="https://clafi.org/our_work_categories/environment-protection-and-conservation-projects/" TargetMode="External"/><Relationship Id="rId171" Type="http://schemas.openxmlformats.org/officeDocument/2006/relationships/hyperlink" Target="https://core.ac.uk/download/pdf/6515223.pdf" TargetMode="External"/><Relationship Id="rId292" Type="http://schemas.openxmlformats.org/officeDocument/2006/relationships/hyperlink" Target="https://www.rotarydistrict3860.org/wp-content/d3860/Dumaguete%20South/21_22/04_ebulletin_2021_09_29_2021-09-29.pdf" TargetMode="External"/><Relationship Id="rId170" Type="http://schemas.openxmlformats.org/officeDocument/2006/relationships/hyperlink" Target="https://core.ac.uk/download/pdf/6515223.pdf" TargetMode="External"/><Relationship Id="rId291" Type="http://schemas.openxmlformats.org/officeDocument/2006/relationships/hyperlink" Target="https://admin.concern.net/sites/default/files/media/migrated/_supporting_recovery_of_fishing_livelihoods_mangroves_and_coral_reefs_in_the_philippines_0.pdf" TargetMode="External"/><Relationship Id="rId290" Type="http://schemas.openxmlformats.org/officeDocument/2006/relationships/hyperlink" Target="https://admin.concern.net/sites/default/files/media/migrated/_supporting_recovery_of_fishing_livelihoods_mangroves_and_coral_reefs_in_the_philippines_0.pdf" TargetMode="External"/><Relationship Id="rId165" Type="http://schemas.openxmlformats.org/officeDocument/2006/relationships/hyperlink" Target="https://core.ac.uk/download/pdf/6515223.pdf" TargetMode="External"/><Relationship Id="rId286" Type="http://schemas.openxmlformats.org/officeDocument/2006/relationships/hyperlink" Target="https://core.ac.uk/download/pdf/6515223.pdf" TargetMode="External"/><Relationship Id="rId164" Type="http://schemas.openxmlformats.org/officeDocument/2006/relationships/hyperlink" Target="https://core.ac.uk/download/pdf/6515223.pdf" TargetMode="External"/><Relationship Id="rId285" Type="http://schemas.openxmlformats.org/officeDocument/2006/relationships/hyperlink" Target="http://pubs.iclarm.net/libinfo/Pdf/Pub%20CP6%2049.pdf" TargetMode="External"/><Relationship Id="rId163" Type="http://schemas.openxmlformats.org/officeDocument/2006/relationships/hyperlink" Target="https://core.ac.uk/download/pdf/6515223.pdf" TargetMode="External"/><Relationship Id="rId284" Type="http://schemas.openxmlformats.org/officeDocument/2006/relationships/hyperlink" Target="https://www.philippinenickel.org/news-and-updates/press-release/pgmcs-coral-transplantation-in-lambason-millari-island-marine-sanctuary/" TargetMode="External"/><Relationship Id="rId162" Type="http://schemas.openxmlformats.org/officeDocument/2006/relationships/hyperlink" Target="https://core.ac.uk/download/pdf/6515223.pdf" TargetMode="External"/><Relationship Id="rId283" Type="http://schemas.openxmlformats.org/officeDocument/2006/relationships/hyperlink" Target="https://web.facebook.com/story.php?story_fbid=551153050380292&amp;id=100064568057133&amp;_rdc=1&amp;_rdr" TargetMode="External"/><Relationship Id="rId169" Type="http://schemas.openxmlformats.org/officeDocument/2006/relationships/hyperlink" Target="https://core.ac.uk/download/pdf/6515223.pdf" TargetMode="External"/><Relationship Id="rId168" Type="http://schemas.openxmlformats.org/officeDocument/2006/relationships/hyperlink" Target="https://core.ac.uk/download/pdf/6515223.pdf" TargetMode="External"/><Relationship Id="rId289" Type="http://schemas.openxmlformats.org/officeDocument/2006/relationships/hyperlink" Target="https://mafar.bangsamoro.gov.ph/coastal-rehabilitation-takes-center-stage-in-datu-blah-sinsuat/" TargetMode="External"/><Relationship Id="rId167" Type="http://schemas.openxmlformats.org/officeDocument/2006/relationships/hyperlink" Target="https://core.ac.uk/download/pdf/6515223.pdf" TargetMode="External"/><Relationship Id="rId288" Type="http://schemas.openxmlformats.org/officeDocument/2006/relationships/hyperlink" Target="https://www.pna.gov.ph/articles/1116952" TargetMode="External"/><Relationship Id="rId166" Type="http://schemas.openxmlformats.org/officeDocument/2006/relationships/hyperlink" Target="https://core.ac.uk/download/pdf/6515223.pdf" TargetMode="External"/><Relationship Id="rId287" Type="http://schemas.openxmlformats.org/officeDocument/2006/relationships/hyperlink" Target="https://core.ac.uk/download/pdf/6515223.pdf" TargetMode="External"/><Relationship Id="rId161" Type="http://schemas.openxmlformats.org/officeDocument/2006/relationships/hyperlink" Target="https://core.ac.uk/download/pdf/6515223.pdf" TargetMode="External"/><Relationship Id="rId282" Type="http://schemas.openxmlformats.org/officeDocument/2006/relationships/hyperlink" Target="https://www.lakwatsero.com/dive-report/linamon-coral-transplanation-project-in-iligan-bay/" TargetMode="External"/><Relationship Id="rId160" Type="http://schemas.openxmlformats.org/officeDocument/2006/relationships/hyperlink" Target="https://core.ac.uk/download/pdf/6515223.pdf" TargetMode="External"/><Relationship Id="rId281" Type="http://schemas.openxmlformats.org/officeDocument/2006/relationships/hyperlink" Target="https://savethephilippinecoralreefs.wordpress.com/page/10/?controllername=search&amp;action=search&amp;channel=world&amp;search=1&amp;inlinelink=1&amp;query=-paul%20fong-" TargetMode="External"/><Relationship Id="rId280" Type="http://schemas.openxmlformats.org/officeDocument/2006/relationships/hyperlink" Target="http://nrife.fra.affrc.go.jp/reprint/gyosyou%20ws.pdf" TargetMode="External"/><Relationship Id="rId159" Type="http://schemas.openxmlformats.org/officeDocument/2006/relationships/hyperlink" Target="https://core.ac.uk/download/pdf/6515223.pdf" TargetMode="External"/><Relationship Id="rId154" Type="http://schemas.openxmlformats.org/officeDocument/2006/relationships/hyperlink" Target="https://core.ac.uk/download/pdf/6515223.pdf" TargetMode="External"/><Relationship Id="rId275" Type="http://schemas.openxmlformats.org/officeDocument/2006/relationships/hyperlink" Target="https://www.sunstar.com.ph/article/385473/denr-7-plants-1t-artificial-reefs-" TargetMode="External"/><Relationship Id="rId396" Type="http://schemas.openxmlformats.org/officeDocument/2006/relationships/hyperlink" Target="https://www.panaynews.net/aklan-turns-61/" TargetMode="External"/><Relationship Id="rId153" Type="http://schemas.openxmlformats.org/officeDocument/2006/relationships/hyperlink" Target="https://core.ac.uk/download/pdf/6515223.pdf" TargetMode="External"/><Relationship Id="rId274" Type="http://schemas.openxmlformats.org/officeDocument/2006/relationships/hyperlink" Target="https://www.sunstar.com.ph/article/385473/denr-7-plants-1t-artificial-reefs-" TargetMode="External"/><Relationship Id="rId395" Type="http://schemas.openxmlformats.org/officeDocument/2006/relationships/hyperlink" Target="https://web.facebook.com/CaramoanCoralReefProject/photos/a.3514110111966651/5665048640206110/" TargetMode="External"/><Relationship Id="rId152" Type="http://schemas.openxmlformats.org/officeDocument/2006/relationships/hyperlink" Target="https://core.ac.uk/download/pdf/6515223.pdf" TargetMode="External"/><Relationship Id="rId273" Type="http://schemas.openxmlformats.org/officeDocument/2006/relationships/hyperlink" Target="https://www.sunstar.com.ph/article/385473/denr-7-plants-1t-artificial-reefs-" TargetMode="External"/><Relationship Id="rId394" Type="http://schemas.openxmlformats.org/officeDocument/2006/relationships/hyperlink" Target="https://www.panaynews.net/smpc-turns-over-40-fiberglass-bancas-for-fishing-livelihood/" TargetMode="External"/><Relationship Id="rId151" Type="http://schemas.openxmlformats.org/officeDocument/2006/relationships/hyperlink" Target="https://core.ac.uk/download/pdf/6515223.pdf" TargetMode="External"/><Relationship Id="rId272" Type="http://schemas.openxmlformats.org/officeDocument/2006/relationships/hyperlink" Target="https://www.sunstar.com.ph/article/385473/denr-7-plants-1t-artificial-reefs-" TargetMode="External"/><Relationship Id="rId393" Type="http://schemas.openxmlformats.org/officeDocument/2006/relationships/hyperlink" Target="https://punto.com.ph/artificial-reef-itinanim-sa-subic-bay/" TargetMode="External"/><Relationship Id="rId158" Type="http://schemas.openxmlformats.org/officeDocument/2006/relationships/hyperlink" Target="https://core.ac.uk/download/pdf/6515223.pdf" TargetMode="External"/><Relationship Id="rId279" Type="http://schemas.openxmlformats.org/officeDocument/2006/relationships/hyperlink" Target="mailto:info@peopleandthesea.org" TargetMode="External"/><Relationship Id="rId157" Type="http://schemas.openxmlformats.org/officeDocument/2006/relationships/hyperlink" Target="https://core.ac.uk/download/pdf/6515223.pdf" TargetMode="External"/><Relationship Id="rId278" Type="http://schemas.openxmlformats.org/officeDocument/2006/relationships/hyperlink" Target="https://peopleandthesea.org/" TargetMode="External"/><Relationship Id="rId399"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56" Type="http://schemas.openxmlformats.org/officeDocument/2006/relationships/hyperlink" Target="https://core.ac.uk/download/pdf/6515223.pdf" TargetMode="External"/><Relationship Id="rId277" Type="http://schemas.openxmlformats.org/officeDocument/2006/relationships/hyperlink" Target="https://www.sunstar.com.ph/article/1837913/davao/local-news/denr-rehabilitates-3-hectares-of-coral-reef" TargetMode="External"/><Relationship Id="rId39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55" Type="http://schemas.openxmlformats.org/officeDocument/2006/relationships/hyperlink" Target="https://core.ac.uk/download/pdf/6515223.pdf" TargetMode="External"/><Relationship Id="rId276" Type="http://schemas.openxmlformats.org/officeDocument/2006/relationships/hyperlink" Target="https://www.sunstar.com.ph/article/385473/denr-7-plants-1t-artificial-reefs-" TargetMode="External"/><Relationship Id="rId397" Type="http://schemas.openxmlformats.org/officeDocument/2006/relationships/hyperlink" Target="https://www.panaynews.net/aklan-turns-61/" TargetMode="External"/><Relationship Id="rId40" Type="http://schemas.openxmlformats.org/officeDocument/2006/relationships/hyperlink" Target="https://core.ac.uk/download/pdf/6515223.pdf" TargetMode="External"/><Relationship Id="rId42" Type="http://schemas.openxmlformats.org/officeDocument/2006/relationships/hyperlink" Target="https://core.ac.uk/download/pdf/6515223.pdf" TargetMode="External"/><Relationship Id="rId41" Type="http://schemas.openxmlformats.org/officeDocument/2006/relationships/hyperlink" Target="https://core.ac.uk/download/pdf/6515223.pdf" TargetMode="External"/><Relationship Id="rId44" Type="http://schemas.openxmlformats.org/officeDocument/2006/relationships/hyperlink" Target="https://core.ac.uk/download/pdf/6515223.pdf" TargetMode="External"/><Relationship Id="rId43" Type="http://schemas.openxmlformats.org/officeDocument/2006/relationships/hyperlink" Target="https://core.ac.uk/download/pdf/6515223.pdf" TargetMode="External"/><Relationship Id="rId46" Type="http://schemas.openxmlformats.org/officeDocument/2006/relationships/hyperlink" Target="https://core.ac.uk/download/pdf/6515223.pdf" TargetMode="External"/><Relationship Id="rId45" Type="http://schemas.openxmlformats.org/officeDocument/2006/relationships/hyperlink" Target="https://core.ac.uk/download/pdf/6515223.pdf" TargetMode="External"/><Relationship Id="rId48" Type="http://schemas.openxmlformats.org/officeDocument/2006/relationships/hyperlink" Target="https://core.ac.uk/download/pdf/6515223.pdf" TargetMode="External"/><Relationship Id="rId47" Type="http://schemas.openxmlformats.org/officeDocument/2006/relationships/hyperlink" Target="https://core.ac.uk/download/pdf/6515223.pdf" TargetMode="External"/><Relationship Id="rId49" Type="http://schemas.openxmlformats.org/officeDocument/2006/relationships/hyperlink" Target="https://core.ac.uk/download/pdf/6515223.pdf" TargetMode="External"/><Relationship Id="rId31" Type="http://schemas.openxmlformats.org/officeDocument/2006/relationships/hyperlink" Target="https://core.ac.uk/download/pdf/6515223.pdf" TargetMode="External"/><Relationship Id="rId30" Type="http://schemas.openxmlformats.org/officeDocument/2006/relationships/hyperlink" Target="http://pubs.iclarm.net/libinfo/Pdf/Pub%20CP6%2049.pdf" TargetMode="External"/><Relationship Id="rId33" Type="http://schemas.openxmlformats.org/officeDocument/2006/relationships/hyperlink" Target="https://core.ac.uk/download/pdf/6515223.pdf" TargetMode="External"/><Relationship Id="rId32" Type="http://schemas.openxmlformats.org/officeDocument/2006/relationships/hyperlink" Target="https://core.ac.uk/download/pdf/6515223.pdf" TargetMode="External"/><Relationship Id="rId35" Type="http://schemas.openxmlformats.org/officeDocument/2006/relationships/hyperlink" Target="https://core.ac.uk/download/pdf/6515223.pdf" TargetMode="External"/><Relationship Id="rId34" Type="http://schemas.openxmlformats.org/officeDocument/2006/relationships/hyperlink" Target="https://core.ac.uk/download/pdf/6515223.pdf" TargetMode="External"/><Relationship Id="rId37" Type="http://schemas.openxmlformats.org/officeDocument/2006/relationships/hyperlink" Target="https://core.ac.uk/download/pdf/6515223.pdf" TargetMode="External"/><Relationship Id="rId36" Type="http://schemas.openxmlformats.org/officeDocument/2006/relationships/hyperlink" Target="https://core.ac.uk/download/pdf/6515223.pdf" TargetMode="External"/><Relationship Id="rId39" Type="http://schemas.openxmlformats.org/officeDocument/2006/relationships/hyperlink" Target="https://core.ac.uk/download/pdf/6515223.pdf" TargetMode="External"/><Relationship Id="rId38" Type="http://schemas.openxmlformats.org/officeDocument/2006/relationships/hyperlink" Target="https://core.ac.uk/download/pdf/6515223.pdf" TargetMode="External"/><Relationship Id="rId20" Type="http://schemas.openxmlformats.org/officeDocument/2006/relationships/hyperlink" Target="http://pubs.iclarm.net/libinfo/Pdf/Pub%20CP6%2049.pdf" TargetMode="External"/><Relationship Id="rId22" Type="http://schemas.openxmlformats.org/officeDocument/2006/relationships/hyperlink" Target="http://pubs.iclarm.net/libinfo/Pdf/Pub%20CP6%2049.pdf" TargetMode="External"/><Relationship Id="rId21" Type="http://schemas.openxmlformats.org/officeDocument/2006/relationships/hyperlink" Target="http://pubs.iclarm.net/libinfo/Pdf/Pub%20CP6%2049.pdf" TargetMode="External"/><Relationship Id="rId24" Type="http://schemas.openxmlformats.org/officeDocument/2006/relationships/hyperlink" Target="http://pubs.iclarm.net/libinfo/Pdf/Pub%20CP6%2049.pdf" TargetMode="External"/><Relationship Id="rId23" Type="http://schemas.openxmlformats.org/officeDocument/2006/relationships/hyperlink" Target="http://pubs.iclarm.net/libinfo/Pdf/Pub%20CP6%2049.pdf" TargetMode="External"/><Relationship Id="rId409" Type="http://schemas.openxmlformats.org/officeDocument/2006/relationships/hyperlink" Target="http://oneocean.org/about_crmp/98search.html" TargetMode="External"/><Relationship Id="rId40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03" Type="http://schemas.openxmlformats.org/officeDocument/2006/relationships/hyperlink" Target="https://www.panaynews.net/aklan-turns-61/" TargetMode="External"/><Relationship Id="rId40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01" Type="http://schemas.openxmlformats.org/officeDocument/2006/relationships/hyperlink" Target="https://www.panaynews.net/aklan-turns-61/" TargetMode="External"/><Relationship Id="rId408" Type="http://schemas.openxmlformats.org/officeDocument/2006/relationships/hyperlink" Target="https://www.crc.uri.edu/download/CB_000E.pdf" TargetMode="External"/><Relationship Id="rId407" Type="http://schemas.openxmlformats.org/officeDocument/2006/relationships/hyperlink" Target="https://www.crc.uri.edu/download/CB_000E.pdf" TargetMode="External"/><Relationship Id="rId406" Type="http://schemas.openxmlformats.org/officeDocument/2006/relationships/hyperlink" Target="http://roxascity.gov.ph/roxas-city-receives-p1m-for-560-units-jackstone-type-artificial-reefs-project/" TargetMode="External"/><Relationship Id="rId405" Type="http://schemas.openxmlformats.org/officeDocument/2006/relationships/hyperlink" Target="https://web.facebook.com/WowBarbaza/posts/1465824566934101/?locale=hi_IN&amp;paipv=0&amp;eav=AfZGOrjdBSpfnDByXcj_hdkMBUl2YwXgKC2OTKkQpaMRz9lV5OLoqc7rel_f4h4K1EI&amp;_rdc=1&amp;_rdr" TargetMode="External"/><Relationship Id="rId26" Type="http://schemas.openxmlformats.org/officeDocument/2006/relationships/hyperlink" Target="http://pubs.iclarm.net/libinfo/Pdf/Pub%20CP6%2049.pdf" TargetMode="External"/><Relationship Id="rId25" Type="http://schemas.openxmlformats.org/officeDocument/2006/relationships/hyperlink" Target="http://pubs.iclarm.net/libinfo/Pdf/Pub%20CP6%2049.pdf" TargetMode="External"/><Relationship Id="rId28" Type="http://schemas.openxmlformats.org/officeDocument/2006/relationships/hyperlink" Target="http://pubs.iclarm.net/libinfo/Pdf/Pub%20CP6%2049.pdf" TargetMode="External"/><Relationship Id="rId27" Type="http://schemas.openxmlformats.org/officeDocument/2006/relationships/hyperlink" Target="http://pubs.iclarm.net/libinfo/Pdf/Pub%20CP6%2049.pdf" TargetMode="External"/><Relationship Id="rId400" Type="http://schemas.openxmlformats.org/officeDocument/2006/relationships/hyperlink" Target="http://www.reefball.org/album/philippines/boracayreef/index.html" TargetMode="External"/><Relationship Id="rId29" Type="http://schemas.openxmlformats.org/officeDocument/2006/relationships/hyperlink" Target="http://pubs.iclarm.net/libinfo/Pdf/Pub%20CP6%2049.pdf" TargetMode="External"/><Relationship Id="rId11" Type="http://schemas.openxmlformats.org/officeDocument/2006/relationships/hyperlink" Target="https://www.philstar.com/other-sections/the-good-news/2015/11/23/1524749/saranganis-kamanga-marine-eco-tourism-park-and-sanctuary-cited-one-philippines-best" TargetMode="External"/><Relationship Id="rId10" Type="http://schemas.openxmlformats.org/officeDocument/2006/relationships/hyperlink" Target="https://butuan.bomboradyo.com/artificial-coral-reefs-gimontar-sa-surigao-city/" TargetMode="External"/><Relationship Id="rId13" Type="http://schemas.openxmlformats.org/officeDocument/2006/relationships/hyperlink" Target="https://www.ircwash.org/sites/default/files/802-PH90-8920.pdf" TargetMode="External"/><Relationship Id="rId12" Type="http://schemas.openxmlformats.org/officeDocument/2006/relationships/hyperlink" Target="https://clafi.org/our_work_categories/environment-protection-and-conservation-projects/" TargetMode="External"/><Relationship Id="rId15" Type="http://schemas.openxmlformats.org/officeDocument/2006/relationships/hyperlink" Target="http://pubs.iclarm.net/libinfo/Pdf/Pub%20CP6%2049.pdf" TargetMode="External"/><Relationship Id="rId14" Type="http://schemas.openxmlformats.org/officeDocument/2006/relationships/hyperlink" Target="http://pubs.iclarm.net/libinfo/Pdf/Pub%20CP6%2049.pdf"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pubs.iclarm.net/libinfo/Pdf/Pub%20CP6%2049.pdf" TargetMode="External"/><Relationship Id="rId19" Type="http://schemas.openxmlformats.org/officeDocument/2006/relationships/hyperlink" Target="http://pubs.iclarm.net/libinfo/Pdf/Pub%20CP6%2049.pdf" TargetMode="External"/><Relationship Id="rId18" Type="http://schemas.openxmlformats.org/officeDocument/2006/relationships/hyperlink" Target="http://pubs.iclarm.net/libinfo/Pdf/Pub%20CP6%2049.pdf" TargetMode="External"/><Relationship Id="rId84" Type="http://schemas.openxmlformats.org/officeDocument/2006/relationships/hyperlink" Target="https://newsline.ph/artificial-reefs-installed-in-protected-waters-in-surigao-city/" TargetMode="External"/><Relationship Id="rId83" Type="http://schemas.openxmlformats.org/officeDocument/2006/relationships/hyperlink" Target="https://newsinfo.inquirer.net/460845/helping-coral-reefs-with-beads-of-faith" TargetMode="External"/><Relationship Id="rId86" Type="http://schemas.openxmlformats.org/officeDocument/2006/relationships/hyperlink" Target="https://aquadocs.org/bitstream/handle/1834/40478/GomezED2006.pdf?sequence=1&amp;isAllowed=y" TargetMode="External"/><Relationship Id="rId85" Type="http://schemas.openxmlformats.org/officeDocument/2006/relationships/hyperlink" Target="https://www.facebook.com/profile.php?id=61560256107542" TargetMode="External"/><Relationship Id="rId88" Type="http://schemas.openxmlformats.org/officeDocument/2006/relationships/hyperlink" Target="https://aquadocs.org/bitstream/handle/1834/40478/GomezED2006.pdf?sequence=1&amp;isAllowed=y" TargetMode="External"/><Relationship Id="rId87" Type="http://schemas.openxmlformats.org/officeDocument/2006/relationships/hyperlink" Target="https://aquadocs.org/bitstream/handle/1834/40478/GomezED2006.pdf?sequence=1&amp;isAllowed=y" TargetMode="External"/><Relationship Id="rId89" Type="http://schemas.openxmlformats.org/officeDocument/2006/relationships/hyperlink" Target="https://aquadocs.org/bitstream/handle/1834/40478/GomezED2006.pdf?sequence=1&amp;isAllowed=y" TargetMode="External"/><Relationship Id="rId80" Type="http://schemas.openxmlformats.org/officeDocument/2006/relationships/hyperlink" Target="https://core.ac.uk/download/pdf/6515223.pdf" TargetMode="External"/><Relationship Id="rId82" Type="http://schemas.openxmlformats.org/officeDocument/2006/relationships/hyperlink" Target="https://www.researchgate.net/publication/350049376_Coral_farming_A_tool_for_reef_rehabilitation_and_community_ecotourism" TargetMode="External"/><Relationship Id="rId81" Type="http://schemas.openxmlformats.org/officeDocument/2006/relationships/hyperlink" Target="http://www.coralmovement.org/" TargetMode="External"/><Relationship Id="rId73" Type="http://schemas.openxmlformats.org/officeDocument/2006/relationships/hyperlink" Target="http://oneocean.org/download/db_files/directory_of_crm_destinations2Ed.pdf" TargetMode="External"/><Relationship Id="rId72" Type="http://schemas.openxmlformats.org/officeDocument/2006/relationships/hyperlink" Target="http://oneocean.org/download/db_files/directory_of_crm_destinations2Ed.pdf" TargetMode="External"/><Relationship Id="rId75" Type="http://schemas.openxmlformats.org/officeDocument/2006/relationships/hyperlink" Target="http://oneocean.org/download/db_files/directory_of_crm_destinations2Ed.pdf" TargetMode="External"/><Relationship Id="rId74" Type="http://schemas.openxmlformats.org/officeDocument/2006/relationships/hyperlink" Target="http://oneocean.org/download/db_files/directory_of_crm_destinations2Ed.pdf" TargetMode="External"/><Relationship Id="rId77" Type="http://schemas.openxmlformats.org/officeDocument/2006/relationships/hyperlink" Target="http://oneocean.org/download/db_files/directory_of_crm_destinations2Ed.pdf" TargetMode="External"/><Relationship Id="rId76" Type="http://schemas.openxmlformats.org/officeDocument/2006/relationships/hyperlink" Target="http://oneocean.org/download/db_files/directory_of_crm_destinations2Ed.pdf" TargetMode="External"/><Relationship Id="rId79" Type="http://schemas.openxmlformats.org/officeDocument/2006/relationships/hyperlink" Target="http://oneocean.org/download/db_files/directory_of_crm_destinations2Ed.pdf" TargetMode="External"/><Relationship Id="rId78" Type="http://schemas.openxmlformats.org/officeDocument/2006/relationships/hyperlink" Target="http://oneocean.org/download/db_files/directory_of_crm_destinations2Ed.pdf" TargetMode="External"/><Relationship Id="rId71" Type="http://schemas.openxmlformats.org/officeDocument/2006/relationships/hyperlink" Target="http://oneocean.org/download/db_files/directory_of_crm_destinations2Ed.pdf" TargetMode="External"/><Relationship Id="rId70" Type="http://schemas.openxmlformats.org/officeDocument/2006/relationships/hyperlink" Target="http://oneocean.org/download/db_files/directory_of_crm_destinations2Ed.pdf" TargetMode="External"/><Relationship Id="rId62" Type="http://schemas.openxmlformats.org/officeDocument/2006/relationships/hyperlink" Target="https://gadgetsmagazine.com.ph/technology/artificial-reef-dome-deployment-in-boracay" TargetMode="External"/><Relationship Id="rId61" Type="http://schemas.openxmlformats.org/officeDocument/2006/relationships/hyperlink" Target="https://www.marineconservationphilippines.org/wp-content/uploads/2018/02/an-evaluation-of-coral-reef-restoration-methods.pdf" TargetMode="External"/><Relationship Id="rId64" Type="http://schemas.openxmlformats.org/officeDocument/2006/relationships/hyperlink" Target="https://www.pna.gov.ph/articles/1049175" TargetMode="External"/><Relationship Id="rId63" Type="http://schemas.openxmlformats.org/officeDocument/2006/relationships/hyperlink" Target="https://gadgetsmagazine.com.ph/technology/artificial-reef-dome-deployment-in-boracay" TargetMode="External"/><Relationship Id="rId66" Type="http://schemas.openxmlformats.org/officeDocument/2006/relationships/hyperlink" Target="https://www.phoenixfuels.ph/phoenix-helps-save-marine-life-through-artificial-reefs/" TargetMode="External"/><Relationship Id="rId65" Type="http://schemas.openxmlformats.org/officeDocument/2006/relationships/hyperlink" Target="https://web.facebook.com/people/PCGA-312th-Auxiliary-Squadron/100064379604303/?_rdc=1&amp;_rdr" TargetMode="External"/><Relationship Id="rId68" Type="http://schemas.openxmlformats.org/officeDocument/2006/relationships/hyperlink" Target="https://core.ac.uk/download/pdf/6515223.pdf" TargetMode="External"/><Relationship Id="rId67" Type="http://schemas.openxmlformats.org/officeDocument/2006/relationships/hyperlink" Target="https://www.rappler.com/moveph/145137-iloilo-fishermen-lead-coastal-management/" TargetMode="External"/><Relationship Id="rId60" Type="http://schemas.openxmlformats.org/officeDocument/2006/relationships/hyperlink" Target="https://sevenseasmedia.org/biri-initiative-story-on-coral-restoration/" TargetMode="External"/><Relationship Id="rId69" Type="http://schemas.openxmlformats.org/officeDocument/2006/relationships/hyperlink" Target="http://oneocean.org/download/db_files/directory_of_crm_destinations2Ed.pdf" TargetMode="External"/><Relationship Id="rId51" Type="http://schemas.openxmlformats.org/officeDocument/2006/relationships/hyperlink" Target="https://core.ac.uk/download/pdf/6515223.pdf" TargetMode="External"/><Relationship Id="rId50" Type="http://schemas.openxmlformats.org/officeDocument/2006/relationships/hyperlink" Target="https://core.ac.uk/download/pdf/6515223.pdf" TargetMode="External"/><Relationship Id="rId53" Type="http://schemas.openxmlformats.org/officeDocument/2006/relationships/hyperlink" Target="https://core.ac.uk/download/pdf/6515223.pdf" TargetMode="External"/><Relationship Id="rId52" Type="http://schemas.openxmlformats.org/officeDocument/2006/relationships/hyperlink" Target="https://core.ac.uk/download/pdf/6515223.pdf" TargetMode="External"/><Relationship Id="rId55" Type="http://schemas.openxmlformats.org/officeDocument/2006/relationships/hyperlink" Target="https://core.ac.uk/download/pdf/6515223.pdf" TargetMode="External"/><Relationship Id="rId54" Type="http://schemas.openxmlformats.org/officeDocument/2006/relationships/hyperlink" Target="https://core.ac.uk/download/pdf/6515223.pdf" TargetMode="External"/><Relationship Id="rId57" Type="http://schemas.openxmlformats.org/officeDocument/2006/relationships/hyperlink" Target="https://www.philstar.com/other-sections/starweek-magazine/2001/06/17/127209/butuan-waters-live-again" TargetMode="External"/><Relationship Id="rId56" Type="http://schemas.openxmlformats.org/officeDocument/2006/relationships/hyperlink" Target="http://pubs.iclarm.net/libinfo/Pdf/Pub%20CP6%2049.pdf" TargetMode="External"/><Relationship Id="rId59" Type="http://schemas.openxmlformats.org/officeDocument/2006/relationships/hyperlink" Target="https://www.ingentaconnect.com/content/umrsmas/bullmar/1994/00000055/f0020002/art00047" TargetMode="External"/><Relationship Id="rId58" Type="http://schemas.openxmlformats.org/officeDocument/2006/relationships/hyperlink" Target="https://www.ingentaconnect.com/content/umrsmas/bullmar/1994/00000055/f0020002/art00047" TargetMode="External"/><Relationship Id="rId107" Type="http://schemas.openxmlformats.org/officeDocument/2006/relationships/hyperlink" Target="https://www.youtube.com/watch?v=jkzZm4QyHDI" TargetMode="External"/><Relationship Id="rId228" Type="http://schemas.openxmlformats.org/officeDocument/2006/relationships/hyperlink" Target="https://drive.google.com/drive/folders/1mG8We-vs6MZP2ijJO3W1fRPBfuCIhp3z" TargetMode="External"/><Relationship Id="rId349" Type="http://schemas.openxmlformats.org/officeDocument/2006/relationships/hyperlink" Target="https://www.pna.gov.ph/articles/1067574" TargetMode="External"/><Relationship Id="rId106" Type="http://schemas.openxmlformats.org/officeDocument/2006/relationships/hyperlink" Target="https://www.zubludiving.com/articles/zublu-insights/roni-ben-aharon-from-atlantis-dive-resorts-and-liveaboards" TargetMode="External"/><Relationship Id="rId227" Type="http://schemas.openxmlformats.org/officeDocument/2006/relationships/hyperlink" Target="https://drive.google.com/drive/folders/1mG8We-vs6MZP2ijJO3W1fRPBfuCIhp3z" TargetMode="External"/><Relationship Id="rId348" Type="http://schemas.openxmlformats.org/officeDocument/2006/relationships/hyperlink" Target="https://philippinemorningpost.com/underwater-experience-in-samal-island/" TargetMode="External"/><Relationship Id="rId105" Type="http://schemas.openxmlformats.org/officeDocument/2006/relationships/hyperlink" Target="https://web.facebook.com/109393900941452/videos/836922833909809" TargetMode="External"/><Relationship Id="rId226" Type="http://schemas.openxmlformats.org/officeDocument/2006/relationships/hyperlink" Target="https://drive.google.com/drive/folders/1mG8We-vs6MZP2ijJO3W1fRPBfuCIhp3z" TargetMode="External"/><Relationship Id="rId347"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04" Type="http://schemas.openxmlformats.org/officeDocument/2006/relationships/hyperlink" Target="https://www.manilawater.com/corporate/boracay-water/agos/2022-06-16/boracay-island-water-company-invests-in-marine-life" TargetMode="External"/><Relationship Id="rId225" Type="http://schemas.openxmlformats.org/officeDocument/2006/relationships/hyperlink" Target="https://sevenseasmedia.org/biri-initiative-story-on-coral-restoration/" TargetMode="External"/><Relationship Id="rId346"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09" Type="http://schemas.openxmlformats.org/officeDocument/2006/relationships/hyperlink" Target="https://www.eco-business.com/news/sustainable-coral-nurseries-ensure-future-of-philippine-coral-reefs/" TargetMode="External"/><Relationship Id="rId108" Type="http://schemas.openxmlformats.org/officeDocument/2006/relationships/hyperlink" Target="https://pia4b.wordpress.com/2013/01/22/abs-cbn-foundation-pinangasiwaan-ang-paglagay-ng-artificial-reefs-sa-lgu-san-fernando/" TargetMode="External"/><Relationship Id="rId229" Type="http://schemas.openxmlformats.org/officeDocument/2006/relationships/hyperlink" Target="https://drive.google.com/drive/folders/1mG8We-vs6MZP2ijJO3W1fRPBfuCIhp3z" TargetMode="External"/><Relationship Id="rId220" Type="http://schemas.openxmlformats.org/officeDocument/2006/relationships/hyperlink" Target="https://issuu.com/piamindanao1/docs/august_27" TargetMode="External"/><Relationship Id="rId341" Type="http://schemas.openxmlformats.org/officeDocument/2006/relationships/hyperlink" Target="https://m.facebook.com/permalink.php?id=336893718203&amp;story_fbid=10157795137738204" TargetMode="External"/><Relationship Id="rId340" Type="http://schemas.openxmlformats.org/officeDocument/2006/relationships/hyperlink" Target="https://core.ac.uk/download/pdf/6515223.pdf" TargetMode="External"/><Relationship Id="rId103" Type="http://schemas.openxmlformats.org/officeDocument/2006/relationships/hyperlink" Target="mailto:jrguest@gmail.com" TargetMode="External"/><Relationship Id="rId224" Type="http://schemas.openxmlformats.org/officeDocument/2006/relationships/hyperlink" Target="https://drive.google.com/drive/folders/1mG8We-vs6MZP2ijJO3W1fRPBfuCIhp3z" TargetMode="External"/><Relationship Id="rId345" Type="http://schemas.openxmlformats.org/officeDocument/2006/relationships/hyperlink" Target="https://www.youtube.com/watch?v=7NBc_NGXqEA" TargetMode="External"/><Relationship Id="rId102" Type="http://schemas.openxmlformats.org/officeDocument/2006/relationships/hyperlink" Target="https://link.springer.com/article/10.1007/s00338-013-1114-1" TargetMode="External"/><Relationship Id="rId223" Type="http://schemas.openxmlformats.org/officeDocument/2006/relationships/hyperlink" Target="https://drive.google.com/drive/folders/1mG8We-vs6MZP2ijJO3W1fRPBfuCIhp3z" TargetMode="External"/><Relationship Id="rId344" Type="http://schemas.openxmlformats.org/officeDocument/2006/relationships/hyperlink" Target="http://pubs.iclarm.net/libinfo/Pdf/Pub%20CP6%2049.pdf" TargetMode="External"/><Relationship Id="rId101" Type="http://schemas.openxmlformats.org/officeDocument/2006/relationships/hyperlink" Target="https://www.tandfonline.com/doi/abs/10.1080/08920753.2011.600240?journalCode=ucmg20" TargetMode="External"/><Relationship Id="rId222" Type="http://schemas.openxmlformats.org/officeDocument/2006/relationships/hyperlink" Target="https://psbalita.com/kaligkasan-pro-10-at-lgu-camiguin-nanguna-sa-paglagay-ng-artificial-reefs-sa-mantigue-island/" TargetMode="External"/><Relationship Id="rId343" Type="http://schemas.openxmlformats.org/officeDocument/2006/relationships/hyperlink" Target="https://web.facebook.com/butuancitypioofficial/posts/35-artificial-reefs-gi-instalar-sa-fish-sanctuary-sa-brgy-masao-sa-butuannagtamb/3347562868625222/?_rdc=1&amp;_rdr" TargetMode="External"/><Relationship Id="rId100" Type="http://schemas.openxmlformats.org/officeDocument/2006/relationships/hyperlink" Target="https://www.researchgate.net/publication/223475676_Caging_enhances_post-settlement_survival_of_juveniles_of_the_scleractinian_coral_Acropora_tenuis" TargetMode="External"/><Relationship Id="rId221" Type="http://schemas.openxmlformats.org/officeDocument/2006/relationships/hyperlink" Target="https://mobile.facebook.com/playalacaletabataan/posts/3079682972247006/?_rdc=1&amp;_rdr" TargetMode="External"/><Relationship Id="rId342" Type="http://schemas.openxmlformats.org/officeDocument/2006/relationships/hyperlink" Target="https://punto.com.ph/artificial-reef-itinanim-sa-subic-bay/" TargetMode="External"/><Relationship Id="rId217" Type="http://schemas.openxmlformats.org/officeDocument/2006/relationships/hyperlink" Target="http://www.coralmovement.org/" TargetMode="External"/><Relationship Id="rId338" Type="http://schemas.openxmlformats.org/officeDocument/2006/relationships/hyperlink" Target="https://core.ac.uk/download/pdf/6515223.pdf" TargetMode="External"/><Relationship Id="rId216" Type="http://schemas.openxmlformats.org/officeDocument/2006/relationships/hyperlink" Target="https://www.facebook.com/media/set/?vanity=154004468006961&amp;set=a.7450109991729669" TargetMode="External"/><Relationship Id="rId337" Type="http://schemas.openxmlformats.org/officeDocument/2006/relationships/hyperlink" Target="https://core.ac.uk/download/pdf/6515223.pdf" TargetMode="External"/><Relationship Id="rId215" Type="http://schemas.openxmlformats.org/officeDocument/2006/relationships/hyperlink" Target="https://mb.com.ph/2019/08/16/ph-us-join-forces-in-installing-artificial-reefs-in-calatagan-batangas/" TargetMode="External"/><Relationship Id="rId336" Type="http://schemas.openxmlformats.org/officeDocument/2006/relationships/hyperlink" Target="https://core.ac.uk/download/pdf/6515223.pdf" TargetMode="External"/><Relationship Id="rId214" Type="http://schemas.openxmlformats.org/officeDocument/2006/relationships/hyperlink" Target="http://www.cebu-philippines.net/marine-life-in-southern-leyte.html" TargetMode="External"/><Relationship Id="rId335" Type="http://schemas.openxmlformats.org/officeDocument/2006/relationships/hyperlink" Target="https://core.ac.uk/download/pdf/6515223.pdf" TargetMode="External"/><Relationship Id="rId219" Type="http://schemas.openxmlformats.org/officeDocument/2006/relationships/hyperlink" Target="https://issuu.com/piamindanao1/docs/august_27" TargetMode="External"/><Relationship Id="rId218" Type="http://schemas.openxmlformats.org/officeDocument/2006/relationships/hyperlink" Target="https://drive.google.com/drive/folders/1mG8We-vs6MZP2ijJO3W1fRPBfuCIhp3z" TargetMode="External"/><Relationship Id="rId339" Type="http://schemas.openxmlformats.org/officeDocument/2006/relationships/hyperlink" Target="https://core.ac.uk/download/pdf/6515223.pdf" TargetMode="External"/><Relationship Id="rId330" Type="http://schemas.openxmlformats.org/officeDocument/2006/relationships/hyperlink" Target="https://www.panaynews.net/smpc-turns-over-40-fiberglass-bancas-for-fishing-livelihood/" TargetMode="External"/><Relationship Id="rId213" Type="http://schemas.openxmlformats.org/officeDocument/2006/relationships/hyperlink" Target="https://web.facebook.com/media/set/?set=a.1831074026966655&amp;type=3" TargetMode="External"/><Relationship Id="rId334" Type="http://schemas.openxmlformats.org/officeDocument/2006/relationships/hyperlink" Target="https://core.ac.uk/download/pdf/6515223.pdf" TargetMode="External"/><Relationship Id="rId212" Type="http://schemas.openxmlformats.org/officeDocument/2006/relationships/hyperlink" Target="mailto:sangkalikasan2016@gmail.com" TargetMode="External"/><Relationship Id="rId333" Type="http://schemas.openxmlformats.org/officeDocument/2006/relationships/hyperlink" Target="https://nanopdf.com/download/community-based-coastal-resource-management-in-nasidman-island-iloilo-philippine_pdf" TargetMode="External"/><Relationship Id="rId211" Type="http://schemas.openxmlformats.org/officeDocument/2006/relationships/hyperlink" Target="https://drive.google.com/drive/folders/1mG8We-vs6MZP2ijJO3W1fRPBfuCIhp3z" TargetMode="External"/><Relationship Id="rId332" Type="http://schemas.openxmlformats.org/officeDocument/2006/relationships/hyperlink" Target="mailto:albarist20@gmail.com" TargetMode="External"/><Relationship Id="rId210" Type="http://schemas.openxmlformats.org/officeDocument/2006/relationships/hyperlink" Target="mailto:sangkalikasan2016@gmail.com" TargetMode="External"/><Relationship Id="rId331" Type="http://schemas.openxmlformats.org/officeDocument/2006/relationships/hyperlink" Target="https://dergipark.org.tr/en/download/article-file/2047698" TargetMode="External"/><Relationship Id="rId370" Type="http://schemas.openxmlformats.org/officeDocument/2006/relationships/hyperlink" Target="https://onlinelibrary.wiley.com/doi/epdf/10.1111/rec.13054" TargetMode="External"/><Relationship Id="rId129" Type="http://schemas.openxmlformats.org/officeDocument/2006/relationships/hyperlink" Target="https://drive.google.com/drive/folders/1mG8We-vs6MZP2ijJO3W1fRPBfuCIhp3z" TargetMode="External"/><Relationship Id="rId128" Type="http://schemas.openxmlformats.org/officeDocument/2006/relationships/hyperlink" Target="https://drive.google.com/drive/folders/1mG8We-vs6MZP2ijJO3W1fRPBfuCIhp3z" TargetMode="External"/><Relationship Id="rId249" Type="http://schemas.openxmlformats.org/officeDocument/2006/relationships/hyperlink" Target="https://www.lemongreenteaph.com/2018/11/jci-manila-and-gold-seas-tuna-chunks.html" TargetMode="External"/><Relationship Id="rId127" Type="http://schemas.openxmlformats.org/officeDocument/2006/relationships/hyperlink" Target="mailto:arpee55@yahoo.com" TargetMode="External"/><Relationship Id="rId248" Type="http://schemas.openxmlformats.org/officeDocument/2006/relationships/hyperlink" Target="https://mirror.pia.gov.ph/news/2022/07/18/jci-manila-installs-artificial-reefs-in-la-union" TargetMode="External"/><Relationship Id="rId369"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126" Type="http://schemas.openxmlformats.org/officeDocument/2006/relationships/hyperlink" Target="https://drive.google.com/drive/folders/1mG8We-vs6MZP2ijJO3W1fRPBfuCIhp3z" TargetMode="External"/><Relationship Id="rId247" Type="http://schemas.openxmlformats.org/officeDocument/2006/relationships/hyperlink" Target="https://www.xu.edu.ph/images/publication/newsletters/pagtaob/documents/PAGTAOB_V3_I1.pdf" TargetMode="External"/><Relationship Id="rId368" Type="http://schemas.openxmlformats.org/officeDocument/2006/relationships/hyperlink" Target="https://www.sciencedirect.com/science/article/abs/pii/S0044848619332533" TargetMode="External"/><Relationship Id="rId121" Type="http://schemas.openxmlformats.org/officeDocument/2006/relationships/hyperlink" Target="https://drive.google.com/drive/folders/1mG8We-vs6MZP2ijJO3W1fRPBfuCIhp3z" TargetMode="External"/><Relationship Id="rId242" Type="http://schemas.openxmlformats.org/officeDocument/2006/relationships/hyperlink" Target="http://oneocean.org/download/db_files/directory_of_crm_destinations2Ed.pdf" TargetMode="External"/><Relationship Id="rId363" Type="http://schemas.openxmlformats.org/officeDocument/2006/relationships/hyperlink" Target="https://core.ac.uk/download/pdf/6515223.pdf" TargetMode="External"/><Relationship Id="rId120" Type="http://schemas.openxmlformats.org/officeDocument/2006/relationships/hyperlink" Target="https://drive.google.com/drive/folders/1mG8We-vs6MZP2ijJO3W1fRPBfuCIhp3z" TargetMode="External"/><Relationship Id="rId241" Type="http://schemas.openxmlformats.org/officeDocument/2006/relationships/hyperlink" Target="https://web.facebook.com/LGUbuenavistaagriculture" TargetMode="External"/><Relationship Id="rId362" Type="http://schemas.openxmlformats.org/officeDocument/2006/relationships/hyperlink" Target="http://pubs.iclarm.net/libinfo/Pdf/Pub%20CP6%2049.pdf" TargetMode="External"/><Relationship Id="rId240" Type="http://schemas.openxmlformats.org/officeDocument/2006/relationships/hyperlink" Target="https://sevenseasmedia.org/biri-initiative-story-on-coral-restoration/" TargetMode="External"/><Relationship Id="rId361" Type="http://schemas.openxmlformats.org/officeDocument/2006/relationships/hyperlink" Target="http://pubs.iclarm.net/libinfo/Pdf/Pub%20CP6%2049.pdf" TargetMode="External"/><Relationship Id="rId360" Type="http://schemas.openxmlformats.org/officeDocument/2006/relationships/hyperlink" Target="http://pubs.iclarm.net/libinfo/Pdf/Pub%20CP6%2049.pdf" TargetMode="External"/><Relationship Id="rId125" Type="http://schemas.openxmlformats.org/officeDocument/2006/relationships/hyperlink" Target="https://drive.google.com/drive/folders/1mG8We-vs6MZP2ijJO3W1fRPBfuCIhp3z" TargetMode="External"/><Relationship Id="rId246" Type="http://schemas.openxmlformats.org/officeDocument/2006/relationships/hyperlink" Target="https://sgp.undp.org/spacial-itemid-projects-landing-page/spacial-itemid-project-search-results/spacial-itemid-project-detailpage?view=projectdetail&amp;id=3748" TargetMode="External"/><Relationship Id="rId367" Type="http://schemas.openxmlformats.org/officeDocument/2006/relationships/hyperlink" Target="https://www.tandfonline.com/doi/abs/10.1080/17451000.2012.682582" TargetMode="External"/><Relationship Id="rId124" Type="http://schemas.openxmlformats.org/officeDocument/2006/relationships/hyperlink" Target="https://drive.google.com/drive/folders/1mG8We-vs6MZP2ijJO3W1fRPBfuCIhp3z" TargetMode="External"/><Relationship Id="rId245" Type="http://schemas.openxmlformats.org/officeDocument/2006/relationships/hyperlink" Target="mailto:dvgensan@yahoo.com.ph" TargetMode="External"/><Relationship Id="rId366" Type="http://schemas.openxmlformats.org/officeDocument/2006/relationships/hyperlink" Target="https://www.sciencedirect.com/science/article/abs/pii/S0022098102000515" TargetMode="External"/><Relationship Id="rId123" Type="http://schemas.openxmlformats.org/officeDocument/2006/relationships/hyperlink" Target="https://drive.google.com/drive/folders/1mG8We-vs6MZP2ijJO3W1fRPBfuCIhp3z" TargetMode="External"/><Relationship Id="rId244" Type="http://schemas.openxmlformats.org/officeDocument/2006/relationships/hyperlink" Target="https://www.gmanetwork.com/news/topstories/regions/47043/sun-star-3-500-artificial-reef-domes-set-up-in-sarangani-bay/story/" TargetMode="External"/><Relationship Id="rId365" Type="http://schemas.openxmlformats.org/officeDocument/2006/relationships/hyperlink" Target="https://www.ingentaconnect.com/content/umrsmas/bullmar/2001/00000069/00000002/art00028?crawler=true" TargetMode="External"/><Relationship Id="rId122" Type="http://schemas.openxmlformats.org/officeDocument/2006/relationships/hyperlink" Target="https://drive.google.com/drive/folders/1mG8We-vs6MZP2ijJO3W1fRPBfuCIhp3z" TargetMode="External"/><Relationship Id="rId243" Type="http://schemas.openxmlformats.org/officeDocument/2006/relationships/hyperlink" Target="https://www.nzdl.org/cgi-bin/library?e=d-00000-00---off-0hdl--00-0----0-10-0---0---0direct-10---4-------0-1l--11-en-50---20-about---00-0-1-00-0--4----0-0-11-10-0utfZz-8-10&amp;cl=CL2.17.2&amp;d=HASHfc8d613128f6e253a7fd93.6&amp;gc=1" TargetMode="External"/><Relationship Id="rId364" Type="http://schemas.openxmlformats.org/officeDocument/2006/relationships/hyperlink" Target="https://core.ac.uk/download/pdf/6515223.pdf" TargetMode="External"/><Relationship Id="rId95" Type="http://schemas.openxmlformats.org/officeDocument/2006/relationships/hyperlink" Target="https://www.sciencedirect.com/science/article/abs/pii/S092585741000176X" TargetMode="External"/><Relationship Id="rId94" Type="http://schemas.openxmlformats.org/officeDocument/2006/relationships/hyperlink" Target="mailto:lishaish@yahoo.com" TargetMode="External"/><Relationship Id="rId97" Type="http://schemas.openxmlformats.org/officeDocument/2006/relationships/hyperlink" Target="https://www.sciencedirect.com/science/article/abs/pii/S0925857409003498" TargetMode="External"/><Relationship Id="rId96" Type="http://schemas.openxmlformats.org/officeDocument/2006/relationships/hyperlink" Target="mailto:lishaish@yahoo.com" TargetMode="External"/><Relationship Id="rId99" Type="http://schemas.openxmlformats.org/officeDocument/2006/relationships/hyperlink" Target="https://www.researchgate.net/publication/282149376_Assessing_an_abridged_nursery_phase_for_slow_growing_corals_used_in_coral_restoration" TargetMode="External"/><Relationship Id="rId98" Type="http://schemas.openxmlformats.org/officeDocument/2006/relationships/hyperlink" Target="mailto:gidi.levi@gmail.com" TargetMode="External"/><Relationship Id="rId91" Type="http://schemas.openxmlformats.org/officeDocument/2006/relationships/hyperlink" Target="https://web.facebook.com/CMOUEM2018/posts/1349837585154833" TargetMode="External"/><Relationship Id="rId90" Type="http://schemas.openxmlformats.org/officeDocument/2006/relationships/hyperlink" Target="https://aquadocs.org/bitstream/handle/1834/40478/GomezED2006.pdf?sequence=1&amp;isAllowed=y" TargetMode="External"/><Relationship Id="rId93" Type="http://schemas.openxmlformats.org/officeDocument/2006/relationships/hyperlink" Target="https://www.sciencedirect.com/science/article/abs/pii/S002209810800066X?via%3Dihub" TargetMode="External"/><Relationship Id="rId92" Type="http://schemas.openxmlformats.org/officeDocument/2006/relationships/hyperlink" Target="https://web.facebook.com/CMOUEM2018/posts/24-august-19-the-naval-forces-eastern-mindanao-nfem-civil-military-operations-un/1349837585154833/?_rdc=1&amp;_rdr" TargetMode="External"/><Relationship Id="rId118" Type="http://schemas.openxmlformats.org/officeDocument/2006/relationships/hyperlink" Target="https://drive.google.com/drive/folders/1mG8We-vs6MZP2ijJO3W1fRPBfuCIhp3z" TargetMode="External"/><Relationship Id="rId239" Type="http://schemas.openxmlformats.org/officeDocument/2006/relationships/hyperlink" Target="https://newsinfo.inquirer.net/1416313/beach-resort-in-subic-bay-turns-to-artificial-coral-reefs-to-preserve-marine-ecosystem" TargetMode="External"/><Relationship Id="rId117" Type="http://schemas.openxmlformats.org/officeDocument/2006/relationships/hyperlink" Target="https://drive.google.com/drive/folders/1mG8We-vs6MZP2ijJO3W1fRPBfuCIhp3z" TargetMode="External"/><Relationship Id="rId238" Type="http://schemas.openxmlformats.org/officeDocument/2006/relationships/hyperlink" Target="https://www.thescubanews.com/2014/08/06/reefbud-technology-downsized-to-broaden-appeal/" TargetMode="External"/><Relationship Id="rId359" Type="http://schemas.openxmlformats.org/officeDocument/2006/relationships/hyperlink" Target="http://pubs.iclarm.net/libinfo/Pdf/Pub%20CP6%2049.pdf" TargetMode="External"/><Relationship Id="rId116" Type="http://schemas.openxmlformats.org/officeDocument/2006/relationships/hyperlink" Target="https://drive.google.com/drive/folders/1mG8We-vs6MZP2ijJO3W1fRPBfuCIhp3z" TargetMode="External"/><Relationship Id="rId237" Type="http://schemas.openxmlformats.org/officeDocument/2006/relationships/hyperlink" Target="https://www.thescubanews.com/2014/08/06/reefbud-technology-downsized-to-broaden-appeal/" TargetMode="External"/><Relationship Id="rId358" Type="http://schemas.openxmlformats.org/officeDocument/2006/relationships/hyperlink" Target="http://pubs.iclarm.net/libinfo/Pdf/Pub%20CP6%2049.pdf" TargetMode="External"/><Relationship Id="rId115" Type="http://schemas.openxmlformats.org/officeDocument/2006/relationships/hyperlink" Target="https://drive.google.com/drive/folders/1mG8We-vs6MZP2ijJO3W1fRPBfuCIhp3z" TargetMode="External"/><Relationship Id="rId236" Type="http://schemas.openxmlformats.org/officeDocument/2006/relationships/hyperlink" Target="https://www.thescubanews.com/2014/08/06/reefbud-technology-downsized-to-broaden-appeal/" TargetMode="External"/><Relationship Id="rId357" Type="http://schemas.openxmlformats.org/officeDocument/2006/relationships/hyperlink" Target="https://kochi.repo.nii.ac.jp/?action=repository_action_common_download&amp;item_id=8640&amp;item_no=1&amp;attribute_id=17&amp;file_no=1" TargetMode="External"/><Relationship Id="rId119" Type="http://schemas.openxmlformats.org/officeDocument/2006/relationships/hyperlink" Target="https://drive.google.com/drive/folders/1mG8We-vs6MZP2ijJO3W1fRPBfuCIhp3z" TargetMode="External"/><Relationship Id="rId110"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31" Type="http://schemas.openxmlformats.org/officeDocument/2006/relationships/hyperlink" Target="mailto:shalu002@fiu.edu" TargetMode="External"/><Relationship Id="rId352" Type="http://schemas.openxmlformats.org/officeDocument/2006/relationships/hyperlink" Target="https://kochi.repo.nii.ac.jp/?action=repository_action_common_download&amp;item_id=8640&amp;item_no=1&amp;attribute_id=17&amp;file_no=1" TargetMode="External"/><Relationship Id="rId230" Type="http://schemas.openxmlformats.org/officeDocument/2006/relationships/hyperlink" Target="https://drive.google.com/drive/folders/1mG8We-vs6MZP2ijJO3W1fRPBfuCIhp3z" TargetMode="External"/><Relationship Id="rId351" Type="http://schemas.openxmlformats.org/officeDocument/2006/relationships/hyperlink" Target="https://www.subicbaynews.com/reef-monitoring-sa-subic-bay/" TargetMode="External"/><Relationship Id="rId350" Type="http://schemas.openxmlformats.org/officeDocument/2006/relationships/hyperlink" Target="https://www.pna.gov.ph/articles/1067574" TargetMode="External"/><Relationship Id="rId114" Type="http://schemas.openxmlformats.org/officeDocument/2006/relationships/hyperlink" Target="https://mb.com.ph/2021/06/24/filipinnovation-mimaropas-first-large-scale-coral-restoration-project-already-started/" TargetMode="External"/><Relationship Id="rId235" Type="http://schemas.openxmlformats.org/officeDocument/2006/relationships/hyperlink" Target="https://nickelasia.com/bulletin/pangangalaga-sa-karagatan-pinaigting-pa-ng-cmc-hmc" TargetMode="External"/><Relationship Id="rId356" Type="http://schemas.openxmlformats.org/officeDocument/2006/relationships/hyperlink" Target="http://oneocean.org/download/db_files/directory_of_crm_destinations2Ed.pdf" TargetMode="External"/><Relationship Id="rId113" Type="http://schemas.openxmlformats.org/officeDocument/2006/relationships/hyperlink" Target="mailto:james.guest@nus.edu.sg" TargetMode="External"/><Relationship Id="rId234" Type="http://schemas.openxmlformats.org/officeDocument/2006/relationships/hyperlink" Target="https://www.shearwater.com/monthly-blog-posts/paradiso-rito-and-redeem-the-reef-project-a-glimmer-of-hope-for-verde-island-passage/" TargetMode="External"/><Relationship Id="rId355" Type="http://schemas.openxmlformats.org/officeDocument/2006/relationships/hyperlink" Target="http://www.pmocdo.ppa.com.ph/pmo-mo-c-expands-initiatives-for-environment-conservation/" TargetMode="External"/><Relationship Id="rId112" Type="http://schemas.openxmlformats.org/officeDocument/2006/relationships/hyperlink" Target="https://www.academia.edu/25026620/How_Quickly_do_Fragments_of_Coral_Self_Attach_after_Transplantation" TargetMode="External"/><Relationship Id="rId233" Type="http://schemas.openxmlformats.org/officeDocument/2006/relationships/hyperlink" Target="http://pusod.org/pusod/artificial-habitat-units-fabrication/" TargetMode="External"/><Relationship Id="rId354" Type="http://schemas.openxmlformats.org/officeDocument/2006/relationships/hyperlink" Target="http://oneocean.org/download/db_files/directory_of_crm_destinations2Ed.pdf" TargetMode="External"/><Relationship Id="rId111" Type="http://schemas.openxmlformats.org/officeDocument/2006/relationships/hyperlink" Target="https://kochi.repo.nii.ac.jp/?action=repository_action_common_download&amp;item_id=8640&amp;item_no=1&amp;attribute_id=17&amp;file_no=1" TargetMode="External"/><Relationship Id="rId232" Type="http://schemas.openxmlformats.org/officeDocument/2006/relationships/hyperlink" Target="https://www.facebook.com/photo.php?fbid=1006552911501040&amp;id=100064390224437&amp;set=a.600940552062280&amp;_rdc=2&amp;_rdr" TargetMode="External"/><Relationship Id="rId353" Type="http://schemas.openxmlformats.org/officeDocument/2006/relationships/hyperlink" Target="http://oneocean.org/download/db_files/directory_of_crm_destinations2Ed.pdf" TargetMode="External"/><Relationship Id="rId305" Type="http://schemas.openxmlformats.org/officeDocument/2006/relationships/hyperlink" Target="https://web.facebook.com/photo/?fbid=25137872482494016&amp;set=pcb.25137873715827226" TargetMode="External"/><Relationship Id="rId304" Type="http://schemas.openxmlformats.org/officeDocument/2006/relationships/hyperlink" Target="https://www.sentineltimes.net/2022/09/artificial-coral-reefs-in-town-of-lobo.html" TargetMode="External"/><Relationship Id="rId425" Type="http://schemas.openxmlformats.org/officeDocument/2006/relationships/drawing" Target="../drawings/drawing3.xml"/><Relationship Id="rId303" Type="http://schemas.openxmlformats.org/officeDocument/2006/relationships/hyperlink" Target="https://www.sentineltimes.net/2022/09/artificial-coral-reefs-in-town-of-lobo.html" TargetMode="External"/><Relationship Id="rId424" Type="http://schemas.openxmlformats.org/officeDocument/2006/relationships/hyperlink" Target="https://piazampenpics.blogspot.com/2012/05/scuba-diving-training-enhances-msu-tawi.html?m=1" TargetMode="External"/><Relationship Id="rId302" Type="http://schemas.openxmlformats.org/officeDocument/2006/relationships/hyperlink" Target="https://www.jgsummit.com.ph/impact/jgspg-s-artificial-reef-project-continues-to-attract-marine-life-20190629" TargetMode="External"/><Relationship Id="rId423" Type="http://schemas.openxmlformats.org/officeDocument/2006/relationships/hyperlink" Target="https://www.youtube.com/watch?v=X-dAZVSGLok" TargetMode="External"/><Relationship Id="rId309" Type="http://schemas.openxmlformats.org/officeDocument/2006/relationships/hyperlink" Target="https://www.pna.gov.ph/articles/1124515" TargetMode="External"/><Relationship Id="rId308" Type="http://schemas.openxmlformats.org/officeDocument/2006/relationships/hyperlink" Target="https://www.facebook.com/sogodbaycoralrestoration/?_rdc=2&amp;_rdr" TargetMode="External"/><Relationship Id="rId307" Type="http://schemas.openxmlformats.org/officeDocument/2006/relationships/hyperlink" Target="https://web.facebook.com/nia.buitizon/videos/404223295357898" TargetMode="External"/><Relationship Id="rId306" Type="http://schemas.openxmlformats.org/officeDocument/2006/relationships/hyperlink" Target="https://r5.denr.gov.ph/index.php/news-events/photo-releases/1292-coral-reef-restoration-at-gamban-reef" TargetMode="External"/><Relationship Id="rId301" Type="http://schemas.openxmlformats.org/officeDocument/2006/relationships/hyperlink" Target="https://www.jgsummit.com.ph/impact/jgspg-s-artificial-reef-project-continues-to-attract-marine-life-20190629" TargetMode="External"/><Relationship Id="rId422" Type="http://schemas.openxmlformats.org/officeDocument/2006/relationships/hyperlink" Target="https://www.youtube.com/watch?v=X-dAZVSGLok" TargetMode="External"/><Relationship Id="rId300" Type="http://schemas.openxmlformats.org/officeDocument/2006/relationships/hyperlink" Target="https://free.facebook.com/media/set/?set=a.1575816015988174.1073741860.1418721221697655&amp;type=3&amp;_rdc=1&amp;_rdr" TargetMode="External"/><Relationship Id="rId421" Type="http://schemas.openxmlformats.org/officeDocument/2006/relationships/hyperlink" Target="https://www.cecphils.org/wp-content/uploads/gbk2020-souvenir-program.pdf" TargetMode="External"/><Relationship Id="rId420" Type="http://schemas.openxmlformats.org/officeDocument/2006/relationships/hyperlink" Target="https://caraga.bfar.da.gov.ph/wp-content/uploads/2022/12/Annual-Report-2020.pdf" TargetMode="External"/><Relationship Id="rId415" Type="http://schemas.openxmlformats.org/officeDocument/2006/relationships/hyperlink" Target="https://issuu.com/sudaria_publications/docs/cdotimes_april_16-22__2016" TargetMode="External"/><Relationship Id="rId414" Type="http://schemas.openxmlformats.org/officeDocument/2006/relationships/hyperlink" Target="http://lagawmindanao.blogspot.com/2012/03/zamboanga-del-sur.html" TargetMode="External"/><Relationship Id="rId413" Type="http://schemas.openxmlformats.org/officeDocument/2006/relationships/hyperlink" Target="https://www.facebook.com/photo/?fbid=10211996711851597&amp;set=a.10211341284986335" TargetMode="External"/><Relationship Id="rId412" Type="http://schemas.openxmlformats.org/officeDocument/2006/relationships/hyperlink" Target="https://cng-cdn.oxfam.org/philippines.oxfam.org/s3fs-public/file_attachments/Oxfam%20sa%20Pilipinas%20Annual%20Report%202016.pdf" TargetMode="External"/><Relationship Id="rId419" Type="http://schemas.openxmlformats.org/officeDocument/2006/relationships/hyperlink" Target="https://www.visitdelcarmen.com/del-carmen-artificial-coral-reefs/" TargetMode="External"/><Relationship Id="rId418" Type="http://schemas.openxmlformats.org/officeDocument/2006/relationships/hyperlink" Target="https://www.emecs.or.jp/en/wp-content/uploads/2023/03/129.pdf" TargetMode="External"/><Relationship Id="rId417" Type="http://schemas.openxmlformats.org/officeDocument/2006/relationships/hyperlink" Target="https://www.pna.gov.ph/articles/1038701" TargetMode="External"/><Relationship Id="rId416" Type="http://schemas.openxmlformats.org/officeDocument/2006/relationships/hyperlink" Target="http://oneocean.org/about_crmp/98search.html" TargetMode="External"/><Relationship Id="rId411"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410"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06" Type="http://schemas.openxmlformats.org/officeDocument/2006/relationships/hyperlink" Target="https://drive.google.com/drive/folders/1mG8We-vs6MZP2ijJO3W1fRPBfuCIhp3z" TargetMode="External"/><Relationship Id="rId327" Type="http://schemas.openxmlformats.org/officeDocument/2006/relationships/hyperlink" Target="https://www.pna.gov.ph/articles/1095764" TargetMode="External"/><Relationship Id="rId205" Type="http://schemas.openxmlformats.org/officeDocument/2006/relationships/hyperlink" Target="https://drive.google.com/drive/folders/1mG8We-vs6MZP2ijJO3W1fRPBfuCIhp3z" TargetMode="External"/><Relationship Id="rId326" Type="http://schemas.openxmlformats.org/officeDocument/2006/relationships/hyperlink" Target="https://savethephilippinecoralreefs.wordpress.com/2013/03/24/rvs-4-star-mariculture-coral-farm-brakes-ground-in-the-philippines/" TargetMode="External"/><Relationship Id="rId204" Type="http://schemas.openxmlformats.org/officeDocument/2006/relationships/hyperlink" Target="https://drive.google.com/drive/folders/1mG8We-vs6MZP2ijJO3W1fRPBfuCIhp3z" TargetMode="External"/><Relationship Id="rId325" Type="http://schemas.openxmlformats.org/officeDocument/2006/relationships/hyperlink" Target="https://www.portulano.com/activities" TargetMode="External"/><Relationship Id="rId203" Type="http://schemas.openxmlformats.org/officeDocument/2006/relationships/hyperlink" Target="https://drive.google.com/drive/folders/1mG8We-vs6MZP2ijJO3W1fRPBfuCIhp3z" TargetMode="External"/><Relationship Id="rId324" Type="http://schemas.openxmlformats.org/officeDocument/2006/relationships/hyperlink" Target="https://business.inquirer.net/356210/sustainability-as-the-key-to-resiliency" TargetMode="External"/><Relationship Id="rId209" Type="http://schemas.openxmlformats.org/officeDocument/2006/relationships/hyperlink" Target="https://drive.google.com/drive/folders/1mG8We-vs6MZP2ijJO3W1fRPBfuCIhp3z" TargetMode="External"/><Relationship Id="rId208" Type="http://schemas.openxmlformats.org/officeDocument/2006/relationships/hyperlink" Target="mailto:samgulayan@yahoo.com" TargetMode="External"/><Relationship Id="rId329" Type="http://schemas.openxmlformats.org/officeDocument/2006/relationships/hyperlink" Target="https://manilastandard.net/?p=198184" TargetMode="External"/><Relationship Id="rId207" Type="http://schemas.openxmlformats.org/officeDocument/2006/relationships/hyperlink" Target="https://drive.google.com/drive/folders/1mG8We-vs6MZP2ijJO3W1fRPBfuCIhp3z" TargetMode="External"/><Relationship Id="rId328" Type="http://schemas.openxmlformats.org/officeDocument/2006/relationships/hyperlink" Target="https://www.pna.gov.ph/articles/1095764" TargetMode="External"/><Relationship Id="rId202" Type="http://schemas.openxmlformats.org/officeDocument/2006/relationships/hyperlink" Target="https://drive.google.com/drive/folders/1mG8We-vs6MZP2ijJO3W1fRPBfuCIhp3z" TargetMode="External"/><Relationship Id="rId323" Type="http://schemas.openxmlformats.org/officeDocument/2006/relationships/hyperlink" Target="http://lgucabugao.blogspot.com/2013/06/artificial-reef-naitapog-para-iti-2.html" TargetMode="External"/><Relationship Id="rId201" Type="http://schemas.openxmlformats.org/officeDocument/2006/relationships/hyperlink" Target="https://drive.google.com/drive/folders/1mG8We-vs6MZP2ijJO3W1fRPBfuCIhp3z" TargetMode="External"/><Relationship Id="rId322" Type="http://schemas.openxmlformats.org/officeDocument/2006/relationships/hyperlink" Target="https://web.facebook.com/watch/?v=372900961253018" TargetMode="External"/><Relationship Id="rId200" Type="http://schemas.openxmlformats.org/officeDocument/2006/relationships/hyperlink" Target="https://core.ac.uk/download/pdf/6515223.pdf" TargetMode="External"/><Relationship Id="rId321" Type="http://schemas.openxmlformats.org/officeDocument/2006/relationships/hyperlink" Target="https://www.youtube.com/watch?v=6AfF_6TG2jE" TargetMode="External"/><Relationship Id="rId320" Type="http://schemas.openxmlformats.org/officeDocument/2006/relationships/hyperlink" Target="https://issuu.com/discoveryworldcorp/docs/2020_dwc_annual_report/1" TargetMode="External"/><Relationship Id="rId316" Type="http://schemas.openxmlformats.org/officeDocument/2006/relationships/hyperlink" Target="https://news.abs-cbn.com/news/01/31/18/paglalagay-ng-artificial-reef-sa-dagat-sa-pangasinan-sinimulan-na" TargetMode="External"/><Relationship Id="rId315" Type="http://schemas.openxmlformats.org/officeDocument/2006/relationships/hyperlink" Target="https://www.pna.gov.ph/articles/1195285" TargetMode="External"/><Relationship Id="rId314" Type="http://schemas.openxmlformats.org/officeDocument/2006/relationships/hyperlink" Target="https://philmuslimtoday.com/2022/06/08/mafar-deploys-coral-nursery-units-in-lanao-del-sur/" TargetMode="External"/><Relationship Id="rId313" Type="http://schemas.openxmlformats.org/officeDocument/2006/relationships/hyperlink" Target="https://ejournals.ph/article.php?id=15657" TargetMode="External"/><Relationship Id="rId319" Type="http://schemas.openxmlformats.org/officeDocument/2006/relationships/hyperlink" Target="https://caraga.bfar.da.gov.ph/wp-content/uploads/2022/12/Annual-Report-2018.pdf" TargetMode="External"/><Relationship Id="rId318" Type="http://schemas.openxmlformats.org/officeDocument/2006/relationships/hyperlink" Target="https://www.sunstar.com.ph/article/267935/artificial-reefs-dropped-into-oton-sea" TargetMode="External"/><Relationship Id="rId317" Type="http://schemas.openxmlformats.org/officeDocument/2006/relationships/hyperlink" Target="https://www.abs-cbn.com/news/01/31/18/paglalagay-ng-artificial-reef-sa-dagat-sa-pangasinan-sinimulan-na" TargetMode="External"/><Relationship Id="rId312" Type="http://schemas.openxmlformats.org/officeDocument/2006/relationships/hyperlink" Target="https://caraga.bfar.da.gov.ph/wp-content/uploads/2022/12/Annual-Report-2019.pdf" TargetMode="External"/><Relationship Id="rId311" Type="http://schemas.openxmlformats.org/officeDocument/2006/relationships/hyperlink" Target="https://web.facebook.com/photo/?fbid=434871958676768&amp;set=pcb.434872188676745" TargetMode="External"/><Relationship Id="rId310" Type="http://schemas.openxmlformats.org/officeDocument/2006/relationships/hyperlink" Target="https://www.ustp.edu.ph/bsmb-students-install-artificial-coral-reefs-in-panaon-coastal-water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90" Type="http://schemas.openxmlformats.org/officeDocument/2006/relationships/hyperlink" Target="https://nanopdf.com/download/community-based-coastal-resource-management-in-nasidman-island-iloilo-philippine_pdf" TargetMode="External"/><Relationship Id="rId194" Type="http://schemas.openxmlformats.org/officeDocument/2006/relationships/hyperlink" Target="https://web.facebook.com/WowBarbaza/posts/1465824566934101/?locale=hi_IN&amp;paipv=0&amp;eav=AfZGOrjdBSpfnDByXcj_hdkMBUl2YwXgKC2OTKkQpaMRz9lV5OLoqc7rel_f4h4K1EI&amp;_rdc=1&amp;_rdr" TargetMode="External"/><Relationship Id="rId193" Type="http://schemas.openxmlformats.org/officeDocument/2006/relationships/hyperlink" Target="https://web.facebook.com/watch/?v=220661800165072" TargetMode="External"/><Relationship Id="rId192" Type="http://schemas.openxmlformats.org/officeDocument/2006/relationships/hyperlink" Target="https://www.crc.uri.edu/download/CB_000E.pdf" TargetMode="External"/><Relationship Id="rId191" Type="http://schemas.openxmlformats.org/officeDocument/2006/relationships/hyperlink" Target="https://www.adb.org/sites/default/files/publication/29878/kalahi-cidss-project-philippines.pdf" TargetMode="External"/><Relationship Id="rId187" Type="http://schemas.openxmlformats.org/officeDocument/2006/relationships/hyperlink" Target="https://kalahi.dswd.gov.ph/press/downloads/category/58-old-iec-materials?download=322:tayo-na-tayo-na-disaster-resiliency-compendium" TargetMode="External"/><Relationship Id="rId186" Type="http://schemas.openxmlformats.org/officeDocument/2006/relationships/hyperlink" Target="https://www.panaynews.net/aklan-turns-61/" TargetMode="External"/><Relationship Id="rId185" Type="http://schemas.openxmlformats.org/officeDocument/2006/relationships/hyperlink" Target="http://roxascity.gov.ph/roxas-city-receives-p1m-for-560-units-jackstone-type-artificial-reefs-project/" TargetMode="External"/><Relationship Id="rId18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89" Type="http://schemas.openxmlformats.org/officeDocument/2006/relationships/hyperlink" Target="https://admin.concern.net/sites/default/files/media/migrated/_supporting_recovery_of_fishing_livelihoods_mangroves_and_coral_reefs_in_the_philippines_0.pdf" TargetMode="External"/><Relationship Id="rId18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83" Type="http://schemas.openxmlformats.org/officeDocument/2006/relationships/hyperlink" Target="https://www.panaynews.net/aklan-turns-61/" TargetMode="External"/><Relationship Id="rId182" Type="http://schemas.openxmlformats.org/officeDocument/2006/relationships/hyperlink" Target="https://www.pcaarrd.dost.gov.ph/index.php/quick-information-dispatch-qid-articles/restoring-the-country-s-coral-reefs-through-filipinnovation" TargetMode="External"/><Relationship Id="rId181" Type="http://schemas.openxmlformats.org/officeDocument/2006/relationships/hyperlink" Target="http://www.reefball.org/album/philippines/boracayreef/index.html" TargetMode="External"/><Relationship Id="rId180" Type="http://schemas.openxmlformats.org/officeDocument/2006/relationships/hyperlink" Target="https://gadgetsmagazine.com.ph/technology/artificial-reef-dome-deployment-in-boracay" TargetMode="External"/><Relationship Id="rId176"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97" Type="http://schemas.openxmlformats.org/officeDocument/2006/relationships/hyperlink" Target="https://www.philstar.com/business/business-as-usual/2006/04/24/333050/duka-bay-ecological-business-paradigm" TargetMode="External"/><Relationship Id="rId175"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96" Type="http://schemas.openxmlformats.org/officeDocument/2006/relationships/hyperlink" Target="https://www.philstar.com/other-sections/starweek-magazine/2019/05/05/1915171/shoring-medina" TargetMode="External"/><Relationship Id="rId174" Type="http://schemas.openxmlformats.org/officeDocument/2006/relationships/hyperlink" Target="https://gadgetsmagazine.com.ph/technology/artificial-reef-dome-deployment-in-boracay" TargetMode="External"/><Relationship Id="rId29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73" Type="http://schemas.openxmlformats.org/officeDocument/2006/relationships/hyperlink" Target="https://www.panaynews.net/aklan-turns-61/" TargetMode="External"/><Relationship Id="rId294" Type="http://schemas.openxmlformats.org/officeDocument/2006/relationships/hyperlink" Target="https://lanaodelnorte.gov.ph/2021/03/15/pgldn-show-support-to-s-a-g-o-p/" TargetMode="External"/><Relationship Id="rId179" Type="http://schemas.openxmlformats.org/officeDocument/2006/relationships/hyperlink" Target="https://gadgetsmagazine.com.ph/technology/artificial-reef-dome-deployment-in-boracay" TargetMode="External"/><Relationship Id="rId178" Type="http://schemas.openxmlformats.org/officeDocument/2006/relationships/hyperlink" Target="https://www.manilawater.com/corporate/boracay-water/agos/2022-06-16/boracay-island-water-company-invests-in-marine-life" TargetMode="External"/><Relationship Id="rId299" Type="http://schemas.openxmlformats.org/officeDocument/2006/relationships/hyperlink" Target="https://r11.denr.gov.ph/index.php/news-events/regional-releases" TargetMode="External"/><Relationship Id="rId177" Type="http://schemas.openxmlformats.org/officeDocument/2006/relationships/hyperlink" Target="https://noonbreakbalita.com/2016/4993/filipinnovation-to-effectively-restore-coral-reefs-in-the-philippines/" TargetMode="External"/><Relationship Id="rId29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98" Type="http://schemas.openxmlformats.org/officeDocument/2006/relationships/hyperlink" Target="https://www.researchgate.net/publication/233680292_The_potential_of_artificial_reefs_as_fisheries_management_tools_in_developing_countries" TargetMode="External"/><Relationship Id="rId197" Type="http://schemas.openxmlformats.org/officeDocument/2006/relationships/hyperlink" Target="http://roxascity.gov.ph/roxas-city-receives-p1m-for-560-units-jackstone-type-artificial-reefs-project/" TargetMode="External"/><Relationship Id="rId196" Type="http://schemas.openxmlformats.org/officeDocument/2006/relationships/hyperlink" Target="https://admin.concern.net/sites/default/files/media/migrated/_supporting_recovery_of_fishing_livelihoods_mangroves_and_coral_reefs_in_the_philippines_0.pdf" TargetMode="External"/><Relationship Id="rId195" Type="http://schemas.openxmlformats.org/officeDocument/2006/relationships/hyperlink" Target="https://www.panaynews.net/smpc-turns-over-40-fiberglass-bancas-for-fishing-livelihood/" TargetMode="External"/><Relationship Id="rId199" Type="http://schemas.openxmlformats.org/officeDocument/2006/relationships/hyperlink" Target="https://kalahi.dswd.gov.ph/press/downloads/category/58-old-iec-materials?download=322:tayo-na-tayo-na-disaster-resiliency-compendium" TargetMode="External"/><Relationship Id="rId150" Type="http://schemas.openxmlformats.org/officeDocument/2006/relationships/hyperlink" Target="mailto:cinzia.alessi01@community.unipa.it" TargetMode="External"/><Relationship Id="rId271" Type="http://schemas.openxmlformats.org/officeDocument/2006/relationships/hyperlink" Target="mailto:sangkalikasan2016@gmail.com" TargetMode="External"/><Relationship Id="rId392" Type="http://schemas.openxmlformats.org/officeDocument/2006/relationships/hyperlink" Target="mailto:shalu002@fiu.edu" TargetMode="External"/><Relationship Id="rId270" Type="http://schemas.openxmlformats.org/officeDocument/2006/relationships/hyperlink" Target="https://rpnradio.com/navy-frogmen-laid-artificial-coral-reefs-to-protect-pink-sand-sta-cruz-island-in-zamboanga/" TargetMode="External"/><Relationship Id="rId391" Type="http://schemas.openxmlformats.org/officeDocument/2006/relationships/hyperlink" Target="https://piazampenpics.blogspot.com/2012/05/scuba-diving-training-enhances-msu-tawi.html?m=1" TargetMode="External"/><Relationship Id="rId390" Type="http://schemas.openxmlformats.org/officeDocument/2006/relationships/hyperlink" Target="https://www.pna.gov.ph/articles/1067574" TargetMode="External"/><Relationship Id="rId1" Type="http://schemas.openxmlformats.org/officeDocument/2006/relationships/hyperlink" Target="https://web.facebook.com/watch/?v=372900961253018" TargetMode="External"/><Relationship Id="rId2" Type="http://schemas.openxmlformats.org/officeDocument/2006/relationships/hyperlink" Target="https://rpnradio.com/the-corals-of-currimao/" TargetMode="External"/><Relationship Id="rId3" Type="http://schemas.openxmlformats.org/officeDocument/2006/relationships/hyperlink" Target="https://www.ircwash.org/sites/default/files/802-PH90-8920.pdf" TargetMode="External"/><Relationship Id="rId149" Type="http://schemas.openxmlformats.org/officeDocument/2006/relationships/hyperlink" Target="https://sulubaai-foundation.com/wp-content/uploads/2019/07/Sulu-Reef-Prosthesis-a-new-method-in-restoration.pdf" TargetMode="External"/><Relationship Id="rId4" Type="http://schemas.openxmlformats.org/officeDocument/2006/relationships/hyperlink" Target="http://pubs.iclarm.net/libinfo/Pdf/Pub%20CP6%2049.pdf" TargetMode="External"/><Relationship Id="rId148" Type="http://schemas.openxmlformats.org/officeDocument/2006/relationships/hyperlink" Target="https://www.pna.gov.ph/articles/1171451" TargetMode="External"/><Relationship Id="rId269" Type="http://schemas.openxmlformats.org/officeDocument/2006/relationships/hyperlink" Target="mailto:sangkalikasan2016@gmail.com" TargetMode="External"/><Relationship Id="rId9" Type="http://schemas.openxmlformats.org/officeDocument/2006/relationships/hyperlink" Target="http://pubs.iclarm.net/libinfo/Pdf/Pub%20CP6%2049.pdf" TargetMode="External"/><Relationship Id="rId143" Type="http://schemas.openxmlformats.org/officeDocument/2006/relationships/hyperlink" Target="https://www.facebook.com/profile.php?id=61560256107542" TargetMode="External"/><Relationship Id="rId264" Type="http://schemas.openxmlformats.org/officeDocument/2006/relationships/hyperlink" Target="mailto:sangkalikasan2016@gmail.com" TargetMode="External"/><Relationship Id="rId385" Type="http://schemas.openxmlformats.org/officeDocument/2006/relationships/hyperlink" Target="https://mafar.bangsamoro.gov.ph/coastal-rehabilitation-takes-center-stage-in-datu-blah-sinsuat/" TargetMode="External"/><Relationship Id="rId142" Type="http://schemas.openxmlformats.org/officeDocument/2006/relationships/hyperlink" Target="https://sevenseasmedia.org/biri-initiative-story-on-coral-restoration/" TargetMode="External"/><Relationship Id="rId263" Type="http://schemas.openxmlformats.org/officeDocument/2006/relationships/hyperlink" Target="https://www.facebook.com/media/set/?vanity=154004468006961&amp;set=a.7450109991729669" TargetMode="External"/><Relationship Id="rId384" Type="http://schemas.openxmlformats.org/officeDocument/2006/relationships/hyperlink" Target="https://www.facebook.com/mafar.bangsamoro/posts/monitoring-of-deployed-coral-nursery-units-cnu-of-fishcoral-mafar-in-maguindanao/1003835920443233/" TargetMode="External"/><Relationship Id="rId141" Type="http://schemas.openxmlformats.org/officeDocument/2006/relationships/hyperlink" Target="https://savethephilippinecoralreefs.wordpress.com/2013/03/24/rvs-4-star-mariculture-coral-farm-brakes-ground-in-the-philippines/" TargetMode="External"/><Relationship Id="rId262" Type="http://schemas.openxmlformats.org/officeDocument/2006/relationships/hyperlink" Target="https://web.facebook.com/media/set/?set=a.1831074026966655&amp;type=3" TargetMode="External"/><Relationship Id="rId383" Type="http://schemas.openxmlformats.org/officeDocument/2006/relationships/hyperlink" Target="https://philmuslimtoday.com/2022/06/08/mafar-deploys-coral-nursery-units-in-lanao-del-sur/" TargetMode="External"/><Relationship Id="rId140" Type="http://schemas.openxmlformats.org/officeDocument/2006/relationships/hyperlink" Target="https://mb.com.ph/2021/06/24/filipinnovation-mimaropas-first-large-scale-coral-restoration-project-already-started/" TargetMode="External"/><Relationship Id="rId261" Type="http://schemas.openxmlformats.org/officeDocument/2006/relationships/hyperlink" Target="mailto:sangkalikasan2016@gmail.com" TargetMode="External"/><Relationship Id="rId382" Type="http://schemas.openxmlformats.org/officeDocument/2006/relationships/hyperlink" Target="https://www.bfar.da.gov.ph/wp-content/uploads/2022/05/FishCORAL-Project-Annual-Report-2020.pdf" TargetMode="External"/><Relationship Id="rId5" Type="http://schemas.openxmlformats.org/officeDocument/2006/relationships/hyperlink" Target="http://pubs.iclarm.net/libinfo/Pdf/Pub%20CP6%2049.pdf" TargetMode="External"/><Relationship Id="rId147" Type="http://schemas.openxmlformats.org/officeDocument/2006/relationships/hyperlink" Target="https://pia4b.wordpress.com/2013/01/22/abs-cbn-foundation-pinangasiwaan-ang-paglagay-ng-artificial-reefs-sa-lgu-san-fernando/" TargetMode="External"/><Relationship Id="rId268" Type="http://schemas.openxmlformats.org/officeDocument/2006/relationships/hyperlink" Target="https://web.facebook.com/people/PCGA-312th-Auxiliary-Squadron/100064379604303/?_rdc=1&amp;_rdr" TargetMode="External"/><Relationship Id="rId389" Type="http://schemas.openxmlformats.org/officeDocument/2006/relationships/hyperlink" Target="https://www.pna.gov.ph/articles/1067574" TargetMode="External"/><Relationship Id="rId6" Type="http://schemas.openxmlformats.org/officeDocument/2006/relationships/hyperlink" Target="https://www.ircwash.org/sites/default/files/802-PH90-8920.pdf" TargetMode="External"/><Relationship Id="rId146" Type="http://schemas.openxmlformats.org/officeDocument/2006/relationships/hyperlink" Target="mailto:cinzia.alessi01@community.unipa.it" TargetMode="External"/><Relationship Id="rId267" Type="http://schemas.openxmlformats.org/officeDocument/2006/relationships/hyperlink" Target="http://lagawmindanao.blogspot.com/2012/03/zamboanga-del-sur.html" TargetMode="External"/><Relationship Id="rId388" Type="http://schemas.openxmlformats.org/officeDocument/2006/relationships/hyperlink" Target="https://www.bfar.da.gov.ph/wp-content/uploads/2022/05/FishCORAL-Project-Annual-Report-2020.pdf" TargetMode="External"/><Relationship Id="rId7" Type="http://schemas.openxmlformats.org/officeDocument/2006/relationships/hyperlink" Target="https://www.ircwash.org/sites/default/files/802-PH90-8920.pdf" TargetMode="External"/><Relationship Id="rId145" Type="http://schemas.openxmlformats.org/officeDocument/2006/relationships/hyperlink" Target="https://sulubaai-foundation.com/wp-content/uploads/2019/07/Sulu-Reef-Prosthesis-a-new-method-in-restoration.pdf" TargetMode="External"/><Relationship Id="rId266" Type="http://schemas.openxmlformats.org/officeDocument/2006/relationships/hyperlink" Target="https://pro10.pnp.gov.ph/pro10/index.php/56-activities/339-installation-of-artificial-coral-reefs-at-mantigue-island-camiguin" TargetMode="External"/><Relationship Id="rId387" Type="http://schemas.openxmlformats.org/officeDocument/2006/relationships/hyperlink" Target="https://www.bfar.da.gov.ph/wp-content/uploads/2022/05/FishCORAL-Project-Annual-Report-2020.pdf" TargetMode="External"/><Relationship Id="rId8" Type="http://schemas.openxmlformats.org/officeDocument/2006/relationships/hyperlink" Target="http://pubs.iclarm.net/libinfo/Pdf/Pub%20CP6%2049.pdf" TargetMode="External"/><Relationship Id="rId144" Type="http://schemas.openxmlformats.org/officeDocument/2006/relationships/hyperlink" Target="https://issuu.com/discoveryworldcorp/docs/2020_dwc_annual_report/1" TargetMode="External"/><Relationship Id="rId265" Type="http://schemas.openxmlformats.org/officeDocument/2006/relationships/hyperlink" Target="https://manilastandard.net/?p=198184" TargetMode="External"/><Relationship Id="rId386" Type="http://schemas.openxmlformats.org/officeDocument/2006/relationships/hyperlink" Target="https://core.ac.uk/download/pdf/6515223.pdf" TargetMode="External"/><Relationship Id="rId260" Type="http://schemas.openxmlformats.org/officeDocument/2006/relationships/hyperlink" Target="https://web.facebook.com/sogodbaycoralrestoration/?_rdc=1&amp;_rdr" TargetMode="External"/><Relationship Id="rId381" Type="http://schemas.openxmlformats.org/officeDocument/2006/relationships/hyperlink" Target="https://www.bfar.da.gov.ph/wp-content/uploads/2022/05/FishCORAL-Project-Annual-Report-2020.pdf" TargetMode="External"/><Relationship Id="rId380" Type="http://schemas.openxmlformats.org/officeDocument/2006/relationships/hyperlink" Target="https://www.bfar.da.gov.ph/wp-content/uploads/2022/05/FishCORAL-Project-Annual-Report-2020.pdf" TargetMode="External"/><Relationship Id="rId139" Type="http://schemas.openxmlformats.org/officeDocument/2006/relationships/hyperlink" Target="https://core.ac.uk/download/pdf/6515223.pdf;" TargetMode="External"/><Relationship Id="rId138" Type="http://schemas.openxmlformats.org/officeDocument/2006/relationships/hyperlink" Target="https://core.ac.uk/download/pdf/6515223.pdf;" TargetMode="External"/><Relationship Id="rId259" Type="http://schemas.openxmlformats.org/officeDocument/2006/relationships/hyperlink" Target="http://www.cebu-philippines.net/marine-life-in-southern-leyte.html" TargetMode="External"/><Relationship Id="rId137" Type="http://schemas.openxmlformats.org/officeDocument/2006/relationships/hyperlink" Target="https://www.rotary.org/en/giant-rotary-wheel-haven-fish-philippines" TargetMode="External"/><Relationship Id="rId258" Type="http://schemas.openxmlformats.org/officeDocument/2006/relationships/hyperlink" Target="mailto:arpee55@yahoo.com" TargetMode="External"/><Relationship Id="rId379" Type="http://schemas.openxmlformats.org/officeDocument/2006/relationships/hyperlink" Target="http://oneocean.org/download/db_files/directory_of_crm_destinations2Ed.pdf" TargetMode="External"/><Relationship Id="rId132" Type="http://schemas.openxmlformats.org/officeDocument/2006/relationships/hyperlink" Target="https://www.thescubanews.com/2014/08/06/reefbud-technology-downsized-to-broaden-appeal/" TargetMode="External"/><Relationship Id="rId253" Type="http://schemas.openxmlformats.org/officeDocument/2006/relationships/hyperlink" Target="http://www.cebu-philippines.net/marine-life-in-southern-leyte.html" TargetMode="External"/><Relationship Id="rId374" Type="http://schemas.openxmlformats.org/officeDocument/2006/relationships/hyperlink" Target="https://core.ac.uk/download/pdf/6515223.pdf" TargetMode="External"/><Relationship Id="rId131" Type="http://schemas.openxmlformats.org/officeDocument/2006/relationships/hyperlink" Target="https://core.ac.uk/download/pdf/6515223.pdf" TargetMode="External"/><Relationship Id="rId252" Type="http://schemas.openxmlformats.org/officeDocument/2006/relationships/hyperlink" Target="mailto:arpee55@yahoo.com" TargetMode="External"/><Relationship Id="rId373" Type="http://schemas.openxmlformats.org/officeDocument/2006/relationships/hyperlink" Target="https://www.sunstar.com.ph/article/385473/denr-7-plants-1t-artificial-reefs-" TargetMode="External"/><Relationship Id="rId130" Type="http://schemas.openxmlformats.org/officeDocument/2006/relationships/hyperlink" Target="https://www.lemongreenteaph.com/2018/11/jci-manila-and-gold-seas-tuna-chunks.html" TargetMode="External"/><Relationship Id="rId251" Type="http://schemas.openxmlformats.org/officeDocument/2006/relationships/hyperlink" Target="http://oneocean.org/download/db_files/directory_of_crm_destinations2Ed.pdf" TargetMode="External"/><Relationship Id="rId372" Type="http://schemas.openxmlformats.org/officeDocument/2006/relationships/hyperlink" Target="https://core.ac.uk/download/pdf/6515223.pdf" TargetMode="External"/><Relationship Id="rId250" Type="http://schemas.openxmlformats.org/officeDocument/2006/relationships/hyperlink" Target="http://oneocean.org/download/db_files/directory_of_crm_destinations2Ed.pdf" TargetMode="External"/><Relationship Id="rId371" Type="http://schemas.openxmlformats.org/officeDocument/2006/relationships/hyperlink" Target="https://core.ac.uk/download/pdf/6515223.pdf" TargetMode="External"/><Relationship Id="rId136" Type="http://schemas.openxmlformats.org/officeDocument/2006/relationships/hyperlink" Target="https://sites.google.com/a/islandecosystems.org/gics" TargetMode="External"/><Relationship Id="rId257" Type="http://schemas.openxmlformats.org/officeDocument/2006/relationships/hyperlink" Target="https://www.facebook.com/photo/?fbid=10211996711851597&amp;set=a.10211341284986335" TargetMode="External"/><Relationship Id="rId378" Type="http://schemas.openxmlformats.org/officeDocument/2006/relationships/hyperlink" Target="https://www.sunstar.com.ph/article/385473/denr-7-plants-1t-artificial-reefs-" TargetMode="External"/><Relationship Id="rId135" Type="http://schemas.openxmlformats.org/officeDocument/2006/relationships/hyperlink" Target="https://www.rotary.org/en/giant-rotary-wheel-haven-fish-philippines" TargetMode="External"/><Relationship Id="rId256" Type="http://schemas.openxmlformats.org/officeDocument/2006/relationships/hyperlink" Target="http://oneocean.org/download/db_files/directory_of_crm_destinations2Ed.pdf" TargetMode="External"/><Relationship Id="rId377" Type="http://schemas.openxmlformats.org/officeDocument/2006/relationships/hyperlink" Target="https://www.sunstar.com.ph/article/385473/denr-7-plants-1t-artificial-reefs-" TargetMode="External"/><Relationship Id="rId134" Type="http://schemas.openxmlformats.org/officeDocument/2006/relationships/hyperlink" Target="https://www.lemongreenteaph.com/2018/11/jci-manila-and-gold-seas-tuna-chunks.html" TargetMode="External"/><Relationship Id="rId255" Type="http://schemas.openxmlformats.org/officeDocument/2006/relationships/hyperlink" Target="https://sevenseasmedia.org/biri-initiative-story-on-coral-restoration/" TargetMode="External"/><Relationship Id="rId376" Type="http://schemas.openxmlformats.org/officeDocument/2006/relationships/hyperlink" Target="https://www.pna.gov.ph/articles/1049175" TargetMode="External"/><Relationship Id="rId133" Type="http://schemas.openxmlformats.org/officeDocument/2006/relationships/hyperlink" Target="https://aquadocs.org/bitstream/handle/1834/40478/GomezED2006.pdf?sequence=1&amp;isAllowed=y" TargetMode="External"/><Relationship Id="rId254" Type="http://schemas.openxmlformats.org/officeDocument/2006/relationships/hyperlink" Target="https://sevenseasmedia.org/biri-initiative-story-on-coral-restoration/" TargetMode="External"/><Relationship Id="rId375" Type="http://schemas.openxmlformats.org/officeDocument/2006/relationships/hyperlink" Target="https://core.ac.uk/download/pdf/6515223.pdf" TargetMode="External"/><Relationship Id="rId172" Type="http://schemas.openxmlformats.org/officeDocument/2006/relationships/hyperlink" Target="https://www.manilawater.com/corporate/boracay-water/agos/2022-06-16/boracay-island-water-company-invests-in-marine-life" TargetMode="External"/><Relationship Id="rId29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71" Type="http://schemas.openxmlformats.org/officeDocument/2006/relationships/hyperlink" Target="https://kalahi.dswd.gov.ph/press/downloads/category/58-old-iec-materials?download=322:tayo-na-tayo-na-disaster-resiliency-compendium" TargetMode="External"/><Relationship Id="rId292" Type="http://schemas.openxmlformats.org/officeDocument/2006/relationships/hyperlink" Target="https://www.youtube.com/watch?v=7NBc_NGXqEA" TargetMode="External"/><Relationship Id="rId170" Type="http://schemas.openxmlformats.org/officeDocument/2006/relationships/hyperlink" Target="https://www.panaynews.net/aklan-turns-61/" TargetMode="External"/><Relationship Id="rId291" Type="http://schemas.openxmlformats.org/officeDocument/2006/relationships/hyperlink" Target="http://www.pmocdo.ppa.com.ph/pmo-mo-c-expands-initiatives-for-environment-conservation/" TargetMode="External"/><Relationship Id="rId290" Type="http://schemas.openxmlformats.org/officeDocument/2006/relationships/hyperlink" Target="https://www.pna.gov.ph/articles/1095764" TargetMode="External"/><Relationship Id="rId165" Type="http://schemas.openxmlformats.org/officeDocument/2006/relationships/hyperlink" Target="http://www.pemsea.org/sites/default/files/tc-v11n1.pdf" TargetMode="External"/><Relationship Id="rId286" Type="http://schemas.openxmlformats.org/officeDocument/2006/relationships/hyperlink" Target="https://www.psdn.org.ph/sdvillage-ph/coastal/lpnig2.html" TargetMode="External"/><Relationship Id="rId164" Type="http://schemas.openxmlformats.org/officeDocument/2006/relationships/hyperlink" Target="https://web.facebook.com/nia.buitizon/videos/404223295357898" TargetMode="External"/><Relationship Id="rId285" Type="http://schemas.openxmlformats.org/officeDocument/2006/relationships/hyperlink" Target="https://www.xu.edu.ph/images/publication/newsletters/pagtaob/documents/PAGTAOB_V3_I1.pdf" TargetMode="External"/><Relationship Id="rId163" Type="http://schemas.openxmlformats.org/officeDocument/2006/relationships/hyperlink" Target="https://r5.denr.gov.ph/index.php/news-events/photo-releases/1292-coral-reef-restoration-at-gamban-reef" TargetMode="External"/><Relationship Id="rId284" Type="http://schemas.openxmlformats.org/officeDocument/2006/relationships/hyperlink" Target="https://issuu.com/sudaria_publications/docs/cdotimes_april_16-22__2016" TargetMode="External"/><Relationship Id="rId162" Type="http://schemas.openxmlformats.org/officeDocument/2006/relationships/hyperlink" Target="https://r5.denr.gov.ph/index.php/news-events/photo-releases/1292-coral-reef-restoration-at-gamban-reef" TargetMode="External"/><Relationship Id="rId28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69" Type="http://schemas.openxmlformats.org/officeDocument/2006/relationships/hyperlink" Target="https://kalahi.dswd.gov.ph/press/downloads/category/58-old-iec-materials?download=322:tayo-na-tayo-na-disaster-resiliency-compendium" TargetMode="External"/><Relationship Id="rId168" Type="http://schemas.openxmlformats.org/officeDocument/2006/relationships/hyperlink" Target="https://www.nzdl.org/cgi-bin/library?e=d-00000-00---off-0hdl--00-0----0-10-0---0---0direct-10---4-------0-1l--11-en-50---20-about---00-0-1-00-0--4----0-0-11-10-0utfZz-8-10&amp;cl=CL2.17.2&amp;d=HASHfc8d613128f6e253a7fd93.6&amp;gc=1" TargetMode="External"/><Relationship Id="rId289" Type="http://schemas.openxmlformats.org/officeDocument/2006/relationships/hyperlink" Target="https://www.lakwatsero.com/dive-report/linamon-coral-transplanation-project-in-iligan-bay/" TargetMode="External"/><Relationship Id="rId167" Type="http://schemas.openxmlformats.org/officeDocument/2006/relationships/hyperlink" Target="https://kochi.repo.nii.ac.jp/?action=repository_action_common_download&amp;item_id=8640&amp;item_no=1&amp;attribute_id=17&amp;file_no=1" TargetMode="External"/><Relationship Id="rId288" Type="http://schemas.openxmlformats.org/officeDocument/2006/relationships/hyperlink" Target="https://www.pna.gov.ph/articles/1095764" TargetMode="External"/><Relationship Id="rId166" Type="http://schemas.openxmlformats.org/officeDocument/2006/relationships/hyperlink" Target="https://kochi.repo.nii.ac.jp/?action=repository_action_common_download&amp;item_id=8640&amp;item_no=1&amp;attribute_id=17&amp;file_no=1" TargetMode="External"/><Relationship Id="rId287" Type="http://schemas.openxmlformats.org/officeDocument/2006/relationships/hyperlink" Target="https://web.facebook.com/CityAgricultureCDO/posts/1818126778356518/?paipv=0&amp;eav=AfZRQmJgGSI0L2g9U65jABSY00S9bkGu4Mij9M1M--6CIMfEuumw-Pv07pQ30DTpugs&amp;_rdc=1&amp;_rdr" TargetMode="External"/><Relationship Id="rId161" Type="http://schemas.openxmlformats.org/officeDocument/2006/relationships/hyperlink" Target="https://web.facebook.com/109393900941452/videos/836922833909809" TargetMode="External"/><Relationship Id="rId282" Type="http://schemas.openxmlformats.org/officeDocument/2006/relationships/hyperlink" Target="https://www.eco-business.com/news/sustainable-coral-nurseries-ensure-future-of-philippine-coral-reefs/" TargetMode="External"/><Relationship Id="rId160" Type="http://schemas.openxmlformats.org/officeDocument/2006/relationships/hyperlink" Target="https://web.facebook.com/CaramoanCoralReefProject/photos/a.3514110111966651/5665048640206110/" TargetMode="External"/><Relationship Id="rId281" Type="http://schemas.openxmlformats.org/officeDocument/2006/relationships/hyperlink" Target="https://www.ustp.edu.ph/bsmb-students-install-artificial-coral-reefs-in-panaon-coastal-waters/" TargetMode="External"/><Relationship Id="rId280"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59" Type="http://schemas.openxmlformats.org/officeDocument/2006/relationships/hyperlink" Target="https://ejournals.ph/article.php?id=15657" TargetMode="External"/><Relationship Id="rId154" Type="http://schemas.openxmlformats.org/officeDocument/2006/relationships/hyperlink" Target="https://kochi.repo.nii.ac.jp/?action=repository_action_common_download&amp;item_id=8640&amp;item_no=1&amp;attribute_id=17&amp;file_no=1" TargetMode="External"/><Relationship Id="rId275" Type="http://schemas.openxmlformats.org/officeDocument/2006/relationships/hyperlink" Target="https://issuu.com/piamindanao1/docs/august_27" TargetMode="External"/><Relationship Id="rId153" Type="http://schemas.openxmlformats.org/officeDocument/2006/relationships/hyperlink" Target="https://web.facebook.com/photo/?fbid=25137872482494016&amp;set=pcb.25137873715827226" TargetMode="External"/><Relationship Id="rId274" Type="http://schemas.openxmlformats.org/officeDocument/2006/relationships/hyperlink" Target="https://www.pna.gov.ph/articles/1124515" TargetMode="External"/><Relationship Id="rId152" Type="http://schemas.openxmlformats.org/officeDocument/2006/relationships/hyperlink" Target="https://www.facebook.com/photo.php?fbid=1006552911501040&amp;id=100064390224437&amp;set=a.600940552062280&amp;_rdc=2&amp;_rdr" TargetMode="External"/><Relationship Id="rId273" Type="http://schemas.openxmlformats.org/officeDocument/2006/relationships/hyperlink" Target="https://psbalita.com/kaligkasan-pro-10-at-lgu-camiguin-nanguna-sa-paglagay-ng-artificial-reefs-sa-mantigue-island/" TargetMode="External"/><Relationship Id="rId151" Type="http://schemas.openxmlformats.org/officeDocument/2006/relationships/hyperlink" Target="https://cbartazo.com/tag/diving-in-bicol/" TargetMode="External"/><Relationship Id="rId272" Type="http://schemas.openxmlformats.org/officeDocument/2006/relationships/hyperlink" Target="https://issuu.com/piamindanao1/docs/august_27" TargetMode="External"/><Relationship Id="rId393" Type="http://schemas.openxmlformats.org/officeDocument/2006/relationships/drawing" Target="../drawings/drawing12.xml"/><Relationship Id="rId158" Type="http://schemas.openxmlformats.org/officeDocument/2006/relationships/hyperlink" Target="https://ejournals.ph/article.php?id=15657" TargetMode="External"/><Relationship Id="rId27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57" Type="http://schemas.openxmlformats.org/officeDocument/2006/relationships/hyperlink" Target="https://brigadanews.ph/artificial-coral-reefs-inilagay-sa-karagatang-sakop-ng-jose-panganiban-bahagi-ng-marine-protected-areas-idedeklarang-fish-santuary-ng-lgu/" TargetMode="External"/><Relationship Id="rId27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56" Type="http://schemas.openxmlformats.org/officeDocument/2006/relationships/hyperlink" Target="https://kochi.repo.nii.ac.jp/?action=repository_action_common_download&amp;item_id=8640&amp;item_no=1&amp;attribute_id=17&amp;file_no=1" TargetMode="External"/><Relationship Id="rId277" Type="http://schemas.openxmlformats.org/officeDocument/2006/relationships/hyperlink" Target="https://www.lakwatsero.com/dive-report/linamon-coral-transplanation-project-in-iligan-bay/" TargetMode="External"/><Relationship Id="rId155" Type="http://schemas.openxmlformats.org/officeDocument/2006/relationships/hyperlink" Target="https://newsinfo.inquirer.net/460845/helping-coral-reefs-with-beads-of-faith" TargetMode="External"/><Relationship Id="rId276" Type="http://schemas.openxmlformats.org/officeDocument/2006/relationships/hyperlink" Target="http://www.pmocdo.ppa.com.ph/pmo-mo-c-expands-initiatives-for-environment-conservation/" TargetMode="External"/><Relationship Id="rId40" Type="http://schemas.openxmlformats.org/officeDocument/2006/relationships/hyperlink" Target="https://aquadocs.org/bitstream/handle/1834/40478/GomezED2006.pdf?sequence=1&amp;isAllowed=y" TargetMode="External"/><Relationship Id="rId42" Type="http://schemas.openxmlformats.org/officeDocument/2006/relationships/hyperlink" Target="http://pubs.iclarm.net/libinfo/Pdf/Pub%20CP6%2049.pdf" TargetMode="External"/><Relationship Id="rId41" Type="http://schemas.openxmlformats.org/officeDocument/2006/relationships/hyperlink" Target="http://pubs.iclarm.net/libinfo/Pdf/Pub%20CP6%2049.pdf" TargetMode="External"/><Relationship Id="rId44" Type="http://schemas.openxmlformats.org/officeDocument/2006/relationships/hyperlink" Target="https://www.tandfonline.com/doi/abs/10.1080/17451000.2012.682582" TargetMode="External"/><Relationship Id="rId43" Type="http://schemas.openxmlformats.org/officeDocument/2006/relationships/hyperlink" Target="https://aquadocs.org/bitstream/handle/1834/40478/GomezED2006.pdf?sequence=1&amp;isAllowed=y" TargetMode="External"/><Relationship Id="rId46" Type="http://schemas.openxmlformats.org/officeDocument/2006/relationships/hyperlink" Target="https://www.researchgate.net/publication/356725969_Increased_Coral_Larval_Supply_Enhances_Recruitment_for_Coral_and_Fish_Habitat_Restoration" TargetMode="External"/><Relationship Id="rId45" Type="http://schemas.openxmlformats.org/officeDocument/2006/relationships/hyperlink" Target="https://www.researchgate.net/publication/320629634_Enhanced_larval_supply_and_recruitment_can_replenish_reef_corals_on_degraded_reefs" TargetMode="External"/><Relationship Id="rId48"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47" Type="http://schemas.openxmlformats.org/officeDocument/2006/relationships/hyperlink" Target="https://www.sciencedirect.com/science/article/abs/pii/S0044848619332533" TargetMode="External"/><Relationship Id="rId49" Type="http://schemas.openxmlformats.org/officeDocument/2006/relationships/hyperlink" Target="https://www.researchgate.net/publication/320629634_Enhanced_larval_supply_and_recruitment_can_replenish_reef_corals_on_degraded_reefs" TargetMode="External"/><Relationship Id="rId31" Type="http://schemas.openxmlformats.org/officeDocument/2006/relationships/hyperlink" Target="http://pubs.iclarm.net/libinfo/Pdf/Pub%20CP6%2049.pdf" TargetMode="External"/><Relationship Id="rId30" Type="http://schemas.openxmlformats.org/officeDocument/2006/relationships/hyperlink" Target="https://www.pna.gov.ph/articles/1195285" TargetMode="External"/><Relationship Id="rId33" Type="http://schemas.openxmlformats.org/officeDocument/2006/relationships/hyperlink" Target="http://pubs.iclarm.net/libinfo/Pdf/Pub%20CP6%2049.pdf" TargetMode="External"/><Relationship Id="rId32" Type="http://schemas.openxmlformats.org/officeDocument/2006/relationships/hyperlink" Target="https://www.pna.gov.ph/articles/1136282" TargetMode="External"/><Relationship Id="rId35" Type="http://schemas.openxmlformats.org/officeDocument/2006/relationships/hyperlink" Target="http://pubs.iclarm.net/libinfo/Pdf/Pub%20CP6%2049.pdf" TargetMode="External"/><Relationship Id="rId34" Type="http://schemas.openxmlformats.org/officeDocument/2006/relationships/hyperlink" Target="http://pubs.iclarm.net/libinfo/Pdf/Pub%20CP6%2049.pdf" TargetMode="External"/><Relationship Id="rId37" Type="http://schemas.openxmlformats.org/officeDocument/2006/relationships/hyperlink" Target="https://www.sciencedirect.com/science/article/abs/pii/S0022098102000515" TargetMode="External"/><Relationship Id="rId36" Type="http://schemas.openxmlformats.org/officeDocument/2006/relationships/hyperlink" Target="http://pubs.iclarm.net/libinfo/Pdf/Pub%20CP6%2049.pdf" TargetMode="External"/><Relationship Id="rId39" Type="http://schemas.openxmlformats.org/officeDocument/2006/relationships/hyperlink" Target="https://www.sciencedirect.com/science/article/abs/pii/S0022098102000515"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s://amiananbalitangayon.com/la-union-sustains-living-shorelines-deploys-artificial-reefs/" TargetMode="External"/><Relationship Id="rId22" Type="http://schemas.openxmlformats.org/officeDocument/2006/relationships/hyperlink" Target="https://m.facebook.com/permalink.php?id=336893718203&amp;story_fbid=10157795137738204" TargetMode="External"/><Relationship Id="rId21" Type="http://schemas.openxmlformats.org/officeDocument/2006/relationships/hyperlink" Target="https://www.dmmmsu.edu.ph/2021/12/08/7-artificial-reefs-installed-in-coastal-area-along-frti/" TargetMode="External"/><Relationship Id="rId24" Type="http://schemas.openxmlformats.org/officeDocument/2006/relationships/hyperlink" Target="https://m.facebook.com/permalink.php?id=336893718203&amp;story_fbid=10157795137738204" TargetMode="External"/><Relationship Id="rId23" Type="http://schemas.openxmlformats.org/officeDocument/2006/relationships/hyperlink" Target="http://pubs.iclarm.net/libinfo/Pdf/Pub%20CP6%2049.pdf" TargetMode="External"/><Relationship Id="rId26" Type="http://schemas.openxmlformats.org/officeDocument/2006/relationships/hyperlink" Target="https://free.facebook.com/media/set/?set=a.1575816015988174.1073741860.1418721221697655&amp;type=3&amp;_rdc=1&amp;_rdr" TargetMode="External"/><Relationship Id="rId25" Type="http://schemas.openxmlformats.org/officeDocument/2006/relationships/hyperlink" Target="https://pia.gov.ph/news/2022/07/18/jci-manila-installs-artificial-reefs-in-la-union" TargetMode="External"/><Relationship Id="rId28" Type="http://schemas.openxmlformats.org/officeDocument/2006/relationships/hyperlink" Target="https://amiananbalitangayon.com/la-union-sustains-living-shorelines-deploys-artificial-reefs/" TargetMode="External"/><Relationship Id="rId27" Type="http://schemas.openxmlformats.org/officeDocument/2006/relationships/hyperlink" Target="http://pubs.iclarm.net/libinfo/Pdf/Pub%20CP6%2049.pdf" TargetMode="External"/><Relationship Id="rId29" Type="http://schemas.openxmlformats.org/officeDocument/2006/relationships/hyperlink" Target="http://pubs.iclarm.net/libinfo/Pdf/Pub%20CP6%2049.pdf" TargetMode="External"/><Relationship Id="rId11" Type="http://schemas.openxmlformats.org/officeDocument/2006/relationships/hyperlink" Target="http://pubs.iclarm.net/libinfo/Pdf/Pub%20CP6%2049.pdf" TargetMode="External"/><Relationship Id="rId10" Type="http://schemas.openxmlformats.org/officeDocument/2006/relationships/hyperlink" Target="http://lgucabugao.blogspot.com/2013/06/artificial-reef-naitapog-para-iti-2.html" TargetMode="External"/><Relationship Id="rId13" Type="http://schemas.openxmlformats.org/officeDocument/2006/relationships/hyperlink" Target="http://pubs.iclarm.net/libinfo/Pdf/Pub%20CP6%2049.pdf" TargetMode="External"/><Relationship Id="rId12" Type="http://schemas.openxmlformats.org/officeDocument/2006/relationships/hyperlink" Target="https://web.facebook.com/permalink.php?id=978493562286545&amp;story_fbid=1211788355623730&amp;_rdc=1&amp;_rdr" TargetMode="External"/><Relationship Id="rId15" Type="http://schemas.openxmlformats.org/officeDocument/2006/relationships/hyperlink" Target="http://pubs.iclarm.net/libinfo/Pdf/Pub%20CP6%2049.pdf" TargetMode="External"/><Relationship Id="rId14" Type="http://schemas.openxmlformats.org/officeDocument/2006/relationships/hyperlink" Target="http://pubs.iclarm.net/libinfo/Pdf/Pub%20CP6%2049.pdf"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pubs.iclarm.net/libinfo/Pdf/Pub%20CP6%2049.pdf" TargetMode="External"/><Relationship Id="rId19" Type="http://schemas.openxmlformats.org/officeDocument/2006/relationships/hyperlink" Target="http://pubs.iclarm.net/libinfo/Pdf/Pub%20CP6%2049.pdf" TargetMode="External"/><Relationship Id="rId18" Type="http://schemas.openxmlformats.org/officeDocument/2006/relationships/hyperlink" Target="http://pubs.iclarm.net/libinfo/Pdf/Pub%20CP6%2049.pdf" TargetMode="External"/><Relationship Id="rId84" Type="http://schemas.openxmlformats.org/officeDocument/2006/relationships/hyperlink" Target="https://www.researchgate.net/publication/223475676_Caging_enhances_post-settlement_survival_of_juveniles_of_the_scleractinian_coral_Acropora_tenuis" TargetMode="External"/><Relationship Id="rId83" Type="http://schemas.openxmlformats.org/officeDocument/2006/relationships/hyperlink" Target="https://academic.oup.com/icesjms/article/71/7/1866/664250" TargetMode="External"/><Relationship Id="rId86" Type="http://schemas.openxmlformats.org/officeDocument/2006/relationships/hyperlink" Target="mailto:jrguest@gmail.com" TargetMode="External"/><Relationship Id="rId85" Type="http://schemas.openxmlformats.org/officeDocument/2006/relationships/hyperlink" Target="https://link.springer.com/article/10.1007/s00338-013-1114-1" TargetMode="External"/><Relationship Id="rId88" Type="http://schemas.openxmlformats.org/officeDocument/2006/relationships/hyperlink" Target="https://www.researchgate.net/publication/282149376_Assessing_an_abridged_nursery_phase_for_slow_growing_corals_used_in_coral_restoration" TargetMode="External"/><Relationship Id="rId87" Type="http://schemas.openxmlformats.org/officeDocument/2006/relationships/hyperlink" Target="mailto:gidi.levi@gmail.com" TargetMode="External"/><Relationship Id="rId89" Type="http://schemas.openxmlformats.org/officeDocument/2006/relationships/hyperlink" Target="https://www.tandfonline.com/doi/abs/10.1080/08920753.2011.600240?journalCode=ucmg20" TargetMode="External"/><Relationship Id="rId80" Type="http://schemas.openxmlformats.org/officeDocument/2006/relationships/hyperlink" Target="https://zoologicalstudies.springeropen.com/articles/10.1186/1810-522X-52-44" TargetMode="External"/><Relationship Id="rId82" Type="http://schemas.openxmlformats.org/officeDocument/2006/relationships/hyperlink" Target="mailto:lishaish@yahoo.com" TargetMode="External"/><Relationship Id="rId81" Type="http://schemas.openxmlformats.org/officeDocument/2006/relationships/hyperlink" Target="https://www.sciencedirect.com/science/article/abs/pii/S092585741000176X" TargetMode="External"/><Relationship Id="rId73" Type="http://schemas.openxmlformats.org/officeDocument/2006/relationships/hyperlink" Target="https://www.sciencedirect.com/science/article/abs/pii/S0025326X05001669?via%3Dihub" TargetMode="External"/><Relationship Id="rId72" Type="http://schemas.openxmlformats.org/officeDocument/2006/relationships/hyperlink" Target="https://www.researchgate.net/publication/223475676_Caging_enhances_post-settlement_survival_of_juveniles_of_the_scleractinian_coral_Acropora_tenuis" TargetMode="External"/><Relationship Id="rId75" Type="http://schemas.openxmlformats.org/officeDocument/2006/relationships/hyperlink" Target="mailto:gidi.levi@gmail.com" TargetMode="External"/><Relationship Id="rId74" Type="http://schemas.openxmlformats.org/officeDocument/2006/relationships/hyperlink" Target="https://www.sciencedirect.com/science/article/abs/pii/S0925857409003498" TargetMode="External"/><Relationship Id="rId77" Type="http://schemas.openxmlformats.org/officeDocument/2006/relationships/hyperlink" Target="https://www.academia.edu/25026620/How_Quickly_do_Fragments_of_Coral_Self_Attach_after_Transplantation" TargetMode="External"/><Relationship Id="rId76" Type="http://schemas.openxmlformats.org/officeDocument/2006/relationships/hyperlink" Target="https://www.tandfonline.com/doi/abs/10.1080/08920753.2011.600240?journalCode=ucmg20" TargetMode="External"/><Relationship Id="rId79" Type="http://schemas.openxmlformats.org/officeDocument/2006/relationships/hyperlink" Target="mailto:lishaish@yahoo.com" TargetMode="External"/><Relationship Id="rId78" Type="http://schemas.openxmlformats.org/officeDocument/2006/relationships/hyperlink" Target="mailto:james.guest@nus.edu.sg" TargetMode="External"/><Relationship Id="rId71" Type="http://schemas.openxmlformats.org/officeDocument/2006/relationships/hyperlink" Target="mailto:lishaish@yahoo.com" TargetMode="External"/><Relationship Id="rId70" Type="http://schemas.openxmlformats.org/officeDocument/2006/relationships/hyperlink" Target="https://www.sciencedirect.com/science/article/abs/pii/S092585741000176X" TargetMode="External"/><Relationship Id="rId62" Type="http://schemas.openxmlformats.org/officeDocument/2006/relationships/hyperlink" Target="https://www.sciencedirect.com/science/article/abs/pii/S0025326X05001669?via%3Dihub" TargetMode="External"/><Relationship Id="rId61" Type="http://schemas.openxmlformats.org/officeDocument/2006/relationships/hyperlink" Target="https://link.springer.com/article/10.1007/BF00393119" TargetMode="External"/><Relationship Id="rId64" Type="http://schemas.openxmlformats.org/officeDocument/2006/relationships/hyperlink" Target="https://pubmed.ncbi.nlm.nih.gov/32275570/" TargetMode="External"/><Relationship Id="rId63" Type="http://schemas.openxmlformats.org/officeDocument/2006/relationships/hyperlink" Target="https://www.int-res.com/articles/meps/83/m083p091.pdf" TargetMode="External"/><Relationship Id="rId66" Type="http://schemas.openxmlformats.org/officeDocument/2006/relationships/hyperlink" Target="https://www.researchgate.net/publication/227686360_Comparison_of_three_types_of_adhesive_in_attaching_coral_transplants_to_clam_shell_substrates" TargetMode="External"/><Relationship Id="rId65" Type="http://schemas.openxmlformats.org/officeDocument/2006/relationships/hyperlink" Target="https://www.sciencedirect.com/science/article/abs/pii/S0025326X0300064X" TargetMode="External"/><Relationship Id="rId68" Type="http://schemas.openxmlformats.org/officeDocument/2006/relationships/hyperlink" Target="https://www.sciencedirect.com/science/article/abs/pii/S002209810800066X?via%3Dihub" TargetMode="External"/><Relationship Id="rId67" Type="http://schemas.openxmlformats.org/officeDocument/2006/relationships/hyperlink" Target="https://www.sciencedirect.com/science/article/abs/pii/S0025326X04000712?via%3Dihub" TargetMode="External"/><Relationship Id="rId60" Type="http://schemas.openxmlformats.org/officeDocument/2006/relationships/hyperlink" Target="https://www.sciencedirect.com/science/article/abs/pii/S0022098198000410?via%3Dihub" TargetMode="External"/><Relationship Id="rId69" Type="http://schemas.openxmlformats.org/officeDocument/2006/relationships/hyperlink" Target="mailto:lishaish@yahoo.com" TargetMode="External"/><Relationship Id="rId51" Type="http://schemas.openxmlformats.org/officeDocument/2006/relationships/hyperlink" Target="https://www.marineconservationphilippines.org/wp-content/uploads/2018/02/an-evaluation-of-coral-reef-restoration-methods.pdf" TargetMode="External"/><Relationship Id="rId50" Type="http://schemas.openxmlformats.org/officeDocument/2006/relationships/hyperlink" Target="https://onlinelibrary.wiley.com/doi/epdf/10.1111/rec.13054" TargetMode="External"/><Relationship Id="rId53" Type="http://schemas.openxmlformats.org/officeDocument/2006/relationships/hyperlink" Target="https://link.springer.com/article/10.1007/BF00539430" TargetMode="External"/><Relationship Id="rId52" Type="http://schemas.openxmlformats.org/officeDocument/2006/relationships/hyperlink" Target="https://www.sciencedirect.com/science/article/abs/pii/S0022098198000410?via%3Dihub" TargetMode="External"/><Relationship Id="rId55" Type="http://schemas.openxmlformats.org/officeDocument/2006/relationships/hyperlink" Target="https://www.int-res.com/articles/meps/83/m083p091.pdf" TargetMode="External"/><Relationship Id="rId54" Type="http://schemas.openxmlformats.org/officeDocument/2006/relationships/hyperlink" Target="https://pdf.usaid.gov/pdf_docs/pnabx173.pdf" TargetMode="External"/><Relationship Id="rId57" Type="http://schemas.openxmlformats.org/officeDocument/2006/relationships/hyperlink" Target="http://pubs.iclarm.net/libinfo/Pdf/Pub%20CP6%2049.pdf" TargetMode="External"/><Relationship Id="rId56" Type="http://schemas.openxmlformats.org/officeDocument/2006/relationships/hyperlink" Target="https://www.sciencedirect.com/science/article/abs/pii/S0025326X0300064X" TargetMode="External"/><Relationship Id="rId59" Type="http://schemas.openxmlformats.org/officeDocument/2006/relationships/hyperlink" Target="https://www.sciencedirect.com/science/article/abs/pii/S0025326X04000712?via%3Dihub" TargetMode="External"/><Relationship Id="rId58" Type="http://schemas.openxmlformats.org/officeDocument/2006/relationships/hyperlink" Target="https://www.marineconservationphilippines.org/wp-content/uploads/2018/02/an-evaluation-of-coral-reef-restoration-methods.pdf" TargetMode="External"/><Relationship Id="rId107" Type="http://schemas.openxmlformats.org/officeDocument/2006/relationships/hyperlink" Target="https://newsinfo.inquirer.net/1416313/beach-resort-in-subic-bay-turns-to-artificial-coral-reefs-to-preserve-marine-ecosystem" TargetMode="External"/><Relationship Id="rId228" Type="http://schemas.openxmlformats.org/officeDocument/2006/relationships/hyperlink" Target="https://www.sunstar.com.ph/article/385473/denr-7-plants-1t-artificial-reefs-" TargetMode="External"/><Relationship Id="rId349" Type="http://schemas.openxmlformats.org/officeDocument/2006/relationships/hyperlink" Target="https://core.ac.uk/download/pdf/6515223.pdf" TargetMode="External"/><Relationship Id="rId106" Type="http://schemas.openxmlformats.org/officeDocument/2006/relationships/hyperlink" Target="about:blank" TargetMode="External"/><Relationship Id="rId227" Type="http://schemas.openxmlformats.org/officeDocument/2006/relationships/hyperlink" Target="https://www.youtube.com/watch?v=TSbFpQUdSAE" TargetMode="External"/><Relationship Id="rId348" Type="http://schemas.openxmlformats.org/officeDocument/2006/relationships/hyperlink" Target="https://nickelasia.com/bulletin/pangangalaga-sa-karagatan-pinaigting-pa-ng-cmc-hmc" TargetMode="External"/><Relationship Id="rId105" Type="http://schemas.openxmlformats.org/officeDocument/2006/relationships/hyperlink" Target="https://punto.com.ph/artificial-reef-itinanim-sa-subic-bay/" TargetMode="External"/><Relationship Id="rId226" Type="http://schemas.openxmlformats.org/officeDocument/2006/relationships/hyperlink" Target="https://www.sunstar.com.ph/article/385473/denr-7-plants-1t-artificial-reefs-" TargetMode="External"/><Relationship Id="rId347" Type="http://schemas.openxmlformats.org/officeDocument/2006/relationships/hyperlink" Target="https://www.cecphils.org/wp-content/uploads/gbk2020-souvenir-program.pdf" TargetMode="External"/><Relationship Id="rId104" Type="http://schemas.openxmlformats.org/officeDocument/2006/relationships/hyperlink" Target="https://1bataan.com/morong-town-soon-to-be-a-diving-spot/" TargetMode="External"/><Relationship Id="rId225" Type="http://schemas.openxmlformats.org/officeDocument/2006/relationships/hyperlink" Target="http://oneocean.org/about_crmp/98search.html" TargetMode="External"/><Relationship Id="rId346" Type="http://schemas.openxmlformats.org/officeDocument/2006/relationships/hyperlink" Target="https://www.cecphils.org/wp-content/uploads/gbk2020-souvenir-program.pdf" TargetMode="External"/><Relationship Id="rId109" Type="http://schemas.openxmlformats.org/officeDocument/2006/relationships/hyperlink" Target="https://www.jgsummit.com.ph/impact/jgspg-s-artificial-reef-project-continues-to-attract-marine-life-20190629" TargetMode="External"/><Relationship Id="rId108" Type="http://schemas.openxmlformats.org/officeDocument/2006/relationships/hyperlink" Target="https://www.panaynews.net/smpc-turns-over-40-fiberglass-bancas-for-fishing-livelihood/" TargetMode="External"/><Relationship Id="rId229" Type="http://schemas.openxmlformats.org/officeDocument/2006/relationships/hyperlink" Target="https://www.sunstar.com.ph/article/385473/denr-7-plants-1t-artificial-reefs-" TargetMode="External"/><Relationship Id="rId220" Type="http://schemas.openxmlformats.org/officeDocument/2006/relationships/hyperlink" Target="mailto:info@peopleandthesea.org" TargetMode="External"/><Relationship Id="rId341" Type="http://schemas.openxmlformats.org/officeDocument/2006/relationships/hyperlink" Target="https://www.visitdelcarmen.com/del-carmen-artificial-coral-reefs/" TargetMode="External"/><Relationship Id="rId340" Type="http://schemas.openxmlformats.org/officeDocument/2006/relationships/hyperlink" Target="https://www.visitdelcarmen.com/del-carmen-artificial-coral-reefs/" TargetMode="External"/><Relationship Id="rId103" Type="http://schemas.openxmlformats.org/officeDocument/2006/relationships/hyperlink" Target="http://pemsea.org/sites/default/files/SOC%20Bataan.pdf" TargetMode="External"/><Relationship Id="rId224" Type="http://schemas.openxmlformats.org/officeDocument/2006/relationships/hyperlink" Target="https://www.youtube.com/watch?v=jkzZm4QyHDI" TargetMode="External"/><Relationship Id="rId345" Type="http://schemas.openxmlformats.org/officeDocument/2006/relationships/hyperlink" Target="https://newsinfo.inquirer.net/937981/philippine-tourism-hinatuan-beach-surigao-del-sur-tourist-spot-nickel-asia-corp-michael-arlan-hinatuan-mining-corp-denr-scremp" TargetMode="External"/><Relationship Id="rId102" Type="http://schemas.openxmlformats.org/officeDocument/2006/relationships/hyperlink" Target="https://business.inquirer.net/356210/sustainability-as-the-key-to-resiliency" TargetMode="External"/><Relationship Id="rId223" Type="http://schemas.openxmlformats.org/officeDocument/2006/relationships/hyperlink" Target="https://www.sunstar.com.ph/article/385473/denr-7-plants-1t-artificial-reefs-" TargetMode="External"/><Relationship Id="rId344" Type="http://schemas.openxmlformats.org/officeDocument/2006/relationships/hyperlink" Target="https://butuan.bomboradyo.com/artificial-coral-reefs-gimontar-sa-surigao-city/" TargetMode="External"/><Relationship Id="rId101" Type="http://schemas.openxmlformats.org/officeDocument/2006/relationships/hyperlink" Target="http://oneocean.org/download/db_files/directory_of_crm_destinations2Ed.pdf" TargetMode="External"/><Relationship Id="rId222" Type="http://schemas.openxmlformats.org/officeDocument/2006/relationships/hyperlink" Target="mailto:arpee55@yahoo.com" TargetMode="External"/><Relationship Id="rId343" Type="http://schemas.openxmlformats.org/officeDocument/2006/relationships/hyperlink" Target="http://www.surigaocity.gov.ph/sites/default/files/documents/milestones/2015%20annual%20report_0.pdf" TargetMode="External"/><Relationship Id="rId100" Type="http://schemas.openxmlformats.org/officeDocument/2006/relationships/hyperlink" Target="https://mobile.facebook.com/playalacaletabataan/posts/3079682972247006/?_rdc=1&amp;_rdr" TargetMode="External"/><Relationship Id="rId221" Type="http://schemas.openxmlformats.org/officeDocument/2006/relationships/hyperlink" Target="https://www.sunstar.com.ph/article/385473/denr-7-plants-1t-artificial-reefs-" TargetMode="External"/><Relationship Id="rId342" Type="http://schemas.openxmlformats.org/officeDocument/2006/relationships/hyperlink" Target="https://caraga.bfar.da.gov.ph/wp-content/uploads/2022/12/Annual-Report-2020.pdf" TargetMode="External"/><Relationship Id="rId217" Type="http://schemas.openxmlformats.org/officeDocument/2006/relationships/hyperlink" Target="https://www.sunstar.com.ph/article/385473/denr-7-plants-1t-artificial-reefs-" TargetMode="External"/><Relationship Id="rId338" Type="http://schemas.openxmlformats.org/officeDocument/2006/relationships/hyperlink" Target="http://www.gfni.com.ph/wp-content/uploads/annualreports/2018%20IR%20061919%20FINAL.pdf" TargetMode="External"/><Relationship Id="rId216" Type="http://schemas.openxmlformats.org/officeDocument/2006/relationships/hyperlink" Target="mailto:albarist20@gmail.com" TargetMode="External"/><Relationship Id="rId337" Type="http://schemas.openxmlformats.org/officeDocument/2006/relationships/hyperlink" Target="https://caraga.bfar.da.gov.ph/wp-content/uploads/2022/12/Annual-Report-2019.pdf" TargetMode="External"/><Relationship Id="rId215" Type="http://schemas.openxmlformats.org/officeDocument/2006/relationships/hyperlink" Target="https://dergipark.org.tr/en/download/article-file/2047698" TargetMode="External"/><Relationship Id="rId336" Type="http://schemas.openxmlformats.org/officeDocument/2006/relationships/hyperlink" Target="https://nickelasia.com/bulletin/pangangalaga-sa-karagatan-pinaigting-pa-ng-cmc-hmc" TargetMode="External"/><Relationship Id="rId214" Type="http://schemas.openxmlformats.org/officeDocument/2006/relationships/hyperlink" Target="http://oneocean.org/about_crmp/98search.html" TargetMode="External"/><Relationship Id="rId335" Type="http://schemas.openxmlformats.org/officeDocument/2006/relationships/hyperlink" Target="https://www.philstar.com/other-sections/starweek-magazine/2001/06/17/127209/butuan-waters-live-again" TargetMode="External"/><Relationship Id="rId219" Type="http://schemas.openxmlformats.org/officeDocument/2006/relationships/hyperlink" Target="https://peopleandthesea.org/" TargetMode="External"/><Relationship Id="rId218" Type="http://schemas.openxmlformats.org/officeDocument/2006/relationships/hyperlink" Target="mailto:samgulayan@yahoo.com" TargetMode="External"/><Relationship Id="rId339" Type="http://schemas.openxmlformats.org/officeDocument/2006/relationships/hyperlink" Target="https://www.philippinenickel.org/news-and-updates/press-release/pgmcs-coral-transplantation-in-lambason-millari-island-marine-sanctuary/" TargetMode="External"/><Relationship Id="rId330" Type="http://schemas.openxmlformats.org/officeDocument/2006/relationships/hyperlink" Target="https://clafi.org/our_work_categories/environment-protection-and-conservation-projects/" TargetMode="External"/><Relationship Id="rId213" Type="http://schemas.openxmlformats.org/officeDocument/2006/relationships/hyperlink" Target="https://www.sunstar.com.ph/article/267935/artificial-reefs-dropped-into-oton-sea" TargetMode="External"/><Relationship Id="rId334" Type="http://schemas.openxmlformats.org/officeDocument/2006/relationships/hyperlink" Target="https://web.facebook.com/butuancitypioofficial/posts/35-artificial-reefs-gi-instalar-sa-fish-sanctuary-sa-brgy-masao-sa-butuannagtamb/3347562868625222/?_rdc=1&amp;_rdr" TargetMode="External"/><Relationship Id="rId212" Type="http://schemas.openxmlformats.org/officeDocument/2006/relationships/hyperlink" Target="mailto:arpee55@yahoo.com" TargetMode="External"/><Relationship Id="rId333" Type="http://schemas.openxmlformats.org/officeDocument/2006/relationships/hyperlink" Target="https://web.facebook.com/LGUbuenavistaagriculture" TargetMode="External"/><Relationship Id="rId211" Type="http://schemas.openxmlformats.org/officeDocument/2006/relationships/hyperlink" Target="http://oneocean.org/about_crmp/98search.html" TargetMode="External"/><Relationship Id="rId332" Type="http://schemas.openxmlformats.org/officeDocument/2006/relationships/hyperlink" Target="https://web.facebook.com/photo/?fbid=434871958676768&amp;set=pcb.434872188676745" TargetMode="External"/><Relationship Id="rId210" Type="http://schemas.openxmlformats.org/officeDocument/2006/relationships/hyperlink" Target="https://web.facebook.com/jcimanilaseaoflife/posts/pfbid02pDbrLSGU8G89Y6fFseL879wWeu6hoSHsuHNsYRL4JyTrGsnutkfhxQJMKf7vf5dml" TargetMode="External"/><Relationship Id="rId331" Type="http://schemas.openxmlformats.org/officeDocument/2006/relationships/hyperlink" Target="https://caraga.bfar.da.gov.ph/wp-content/uploads/2022/12/Annual-Report-2018.pdf" TargetMode="External"/><Relationship Id="rId370" Type="http://schemas.openxmlformats.org/officeDocument/2006/relationships/hyperlink" Target="https://core.ac.uk/download/pdf/6515223.pdf" TargetMode="External"/><Relationship Id="rId129" Type="http://schemas.openxmlformats.org/officeDocument/2006/relationships/hyperlink" Target="http://pusod.org/pusod/building-artificial-habitats-in-barangay-calayo/" TargetMode="External"/><Relationship Id="rId128" Type="http://schemas.openxmlformats.org/officeDocument/2006/relationships/hyperlink" Target="https://www.ircwash.org/sites/default/files/802-PH90-8920.pdf" TargetMode="External"/><Relationship Id="rId249" Type="http://schemas.openxmlformats.org/officeDocument/2006/relationships/hyperlink" Target="https://cng-cdn.oxfam.org/philippines.oxfam.org/s3fs-public/file_attachments/Oxfam%20sa%20Pilipinas%20Annual%20Report%202016.pdf" TargetMode="External"/><Relationship Id="rId127" Type="http://schemas.openxmlformats.org/officeDocument/2006/relationships/hyperlink" Target="https://www.ircwash.org/sites/default/files/802-PH90-8920.pdf" TargetMode="External"/><Relationship Id="rId248" Type="http://schemas.openxmlformats.org/officeDocument/2006/relationships/hyperlink" Target="https://journals.upd.edu.ph/index.php/sciencediliman/article/download/6423/5632" TargetMode="External"/><Relationship Id="rId369" Type="http://schemas.openxmlformats.org/officeDocument/2006/relationships/hyperlink" Target="https://www.sunstar.com.ph/article/385473/denr-7-plants-1t-artificial-reefs-" TargetMode="External"/><Relationship Id="rId126" Type="http://schemas.openxmlformats.org/officeDocument/2006/relationships/hyperlink" Target="https://www.shearwater.com/monthly-blog-posts/paradiso-rito-and-redeem-the-reef-project-a-glimmer-of-hope-for-verde-island-passage/" TargetMode="External"/><Relationship Id="rId247" Type="http://schemas.openxmlformats.org/officeDocument/2006/relationships/hyperlink" Target="https://sevenseasmedia.org/biri-initiative-story-on-coral-restoration/" TargetMode="External"/><Relationship Id="rId368" Type="http://schemas.openxmlformats.org/officeDocument/2006/relationships/hyperlink" Target="https://core.ac.uk/download/pdf/6515223.pdf" TargetMode="External"/><Relationship Id="rId121" Type="http://schemas.openxmlformats.org/officeDocument/2006/relationships/hyperlink" Target="https://www.shearwater.com/monthly-blog-posts/paradiso-rito-and-redeem-the-reef-project-a-glimmer-of-hope-for-verde-island-passage/" TargetMode="External"/><Relationship Id="rId242" Type="http://schemas.openxmlformats.org/officeDocument/2006/relationships/hyperlink" Target="https://journal.com.ph/community-project-under-dswd-revives-marine-ecosystem-battered-by-typhoons/" TargetMode="External"/><Relationship Id="rId363" Type="http://schemas.openxmlformats.org/officeDocument/2006/relationships/hyperlink" Target="mailto:shalu002@fiu.edu" TargetMode="External"/><Relationship Id="rId120" Type="http://schemas.openxmlformats.org/officeDocument/2006/relationships/hyperlink" Target="https://www.thescubanews.com/2014/08/06/reefbud-technology-downsized-to-broaden-appeal/" TargetMode="External"/><Relationship Id="rId241" Type="http://schemas.openxmlformats.org/officeDocument/2006/relationships/hyperlink" Target="http://www.coralmovement.org/" TargetMode="External"/><Relationship Id="rId362" Type="http://schemas.openxmlformats.org/officeDocument/2006/relationships/hyperlink" Target="https://www.zubludiving.com/articles/zublu-insights/roni-ben-aharon-from-atlantis-dive-resorts-and-liveaboards" TargetMode="External"/><Relationship Id="rId240" Type="http://schemas.openxmlformats.org/officeDocument/2006/relationships/hyperlink" Target="https://www.divescotty.com/underwater-blog/blog-february-14-2018.php" TargetMode="External"/><Relationship Id="rId361" Type="http://schemas.openxmlformats.org/officeDocument/2006/relationships/hyperlink" Target="https://core.ac.uk/download/pdf/6515223.pdf" TargetMode="External"/><Relationship Id="rId360" Type="http://schemas.openxmlformats.org/officeDocument/2006/relationships/hyperlink" Target="https://map.rotary.org/en/project/pages/project_detail.aspx?guid=F5D90E54-B5D2-4032-B523-24B3A8EDD9A4" TargetMode="External"/><Relationship Id="rId125" Type="http://schemas.openxmlformats.org/officeDocument/2006/relationships/hyperlink" Target="http://pusod.org/pusod/building-artificial-habitats-in-barangay-calayo/" TargetMode="External"/><Relationship Id="rId246" Type="http://schemas.openxmlformats.org/officeDocument/2006/relationships/hyperlink" Target="https://cng-cdn.oxfam.org/philippines.oxfam.org/s3fs-public/file_attachments/Oxfam%20sa%20Pilipinas%20Annual%20Report%202016.pdf" TargetMode="External"/><Relationship Id="rId367" Type="http://schemas.openxmlformats.org/officeDocument/2006/relationships/hyperlink" Target="https://aquadocs.org/bitstream/handle/1834/40478/GomezED2006.pdf?sequence=1&amp;isAllowed=y" TargetMode="External"/><Relationship Id="rId124" Type="http://schemas.openxmlformats.org/officeDocument/2006/relationships/hyperlink" Target="https://manilaustimes.wordpress.com/2012/05/17/rotary-club-launches-adopt-a-coral-in-nasugbu/" TargetMode="External"/><Relationship Id="rId245" Type="http://schemas.openxmlformats.org/officeDocument/2006/relationships/hyperlink" Target="https://www.sunstar.com.ph/article/385473/denr-7-plants-1t-artificial-reefs-" TargetMode="External"/><Relationship Id="rId366" Type="http://schemas.openxmlformats.org/officeDocument/2006/relationships/hyperlink" Target="https://core.ac.uk/download/pdf/6515223.pdf" TargetMode="External"/><Relationship Id="rId123" Type="http://schemas.openxmlformats.org/officeDocument/2006/relationships/hyperlink" Target="https://www.bworldonline.com/weekender/environment/2016/07/01/5884/coral-laboratory-grows-in-batangas/" TargetMode="External"/><Relationship Id="rId244" Type="http://schemas.openxmlformats.org/officeDocument/2006/relationships/hyperlink" Target="https://aquadocs.org/bitstream/handle/1834/40478/GomezED2006.pdf?sequence=1&amp;isAllowed=y" TargetMode="External"/><Relationship Id="rId365" Type="http://schemas.openxmlformats.org/officeDocument/2006/relationships/hyperlink" Target="https://www.rotarydistrict3860.org/wp-content/d3860/Dumaguete%20South/21_22/04_ebulletin_2021_09_29_2021-09-29.pdf" TargetMode="External"/><Relationship Id="rId122" Type="http://schemas.openxmlformats.org/officeDocument/2006/relationships/hyperlink" Target="http://pusod.org/pusod/artificial-habitat-units-fabrication/" TargetMode="External"/><Relationship Id="rId243" Type="http://schemas.openxmlformats.org/officeDocument/2006/relationships/hyperlink" Target="https://www.researchgate.net/publication/305770156_Coral_reef_resource_management_in_the_Philippines_-_with_focus_on_marine_protected_areas_as_a_management_tool" TargetMode="External"/><Relationship Id="rId364" Type="http://schemas.openxmlformats.org/officeDocument/2006/relationships/hyperlink" Target="https://www.youtube.com/watch?v=X-dAZVSGLok" TargetMode="External"/><Relationship Id="rId95" Type="http://schemas.openxmlformats.org/officeDocument/2006/relationships/hyperlink" Target="https://headtopics.com/ph/artificial-reefs-watch-tower-in-coastal-pangasinan-town-launched-24563096" TargetMode="External"/><Relationship Id="rId94" Type="http://schemas.openxmlformats.org/officeDocument/2006/relationships/hyperlink" Target="https://www.abs-cbn.com/news/nation/2025/2/5/ilang-device-na-gamit-umano-sa-pang-eespiya-nakuha-mula-sa-hinihinalang-chinese-spy-1912" TargetMode="External"/><Relationship Id="rId97" Type="http://schemas.openxmlformats.org/officeDocument/2006/relationships/hyperlink" Target="https://punto.com.ph/artificial-reef-itinanim-sa-subic-bay/" TargetMode="External"/><Relationship Id="rId96" Type="http://schemas.openxmlformats.org/officeDocument/2006/relationships/hyperlink" Target="http://pemsea.org/sites/default/files/SOC%20Bataan.pdf" TargetMode="External"/><Relationship Id="rId99" Type="http://schemas.openxmlformats.org/officeDocument/2006/relationships/hyperlink" Target="https://1bataan.com/morong-town-soon-to-be-a-diving-spot/" TargetMode="External"/><Relationship Id="rId98" Type="http://schemas.openxmlformats.org/officeDocument/2006/relationships/hyperlink" Target="https://1bataan.com/morong-town-soon-to-be-a-diving-spot/" TargetMode="External"/><Relationship Id="rId91" Type="http://schemas.openxmlformats.org/officeDocument/2006/relationships/hyperlink" Target="mailto:james.guest@nus.edu.sg" TargetMode="External"/><Relationship Id="rId90" Type="http://schemas.openxmlformats.org/officeDocument/2006/relationships/hyperlink" Target="https://www.sciencedirect.com/science/article/abs/pii/S0022098116301873" TargetMode="External"/><Relationship Id="rId93" Type="http://schemas.openxmlformats.org/officeDocument/2006/relationships/hyperlink" Target="mailto:jrguest@gmail.com" TargetMode="External"/><Relationship Id="rId92" Type="http://schemas.openxmlformats.org/officeDocument/2006/relationships/hyperlink" Target="https://mb.com.ph/2022/3/7/artificial-reefs-watch-tower-in-coastal-pangasinan-town-launched" TargetMode="External"/><Relationship Id="rId118" Type="http://schemas.openxmlformats.org/officeDocument/2006/relationships/hyperlink" Target="http://pusod.org/pusod/artificial-habitat-units-fabrication/" TargetMode="External"/><Relationship Id="rId239"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117" Type="http://schemas.openxmlformats.org/officeDocument/2006/relationships/hyperlink" Target="https://www.jgsummit.com.ph/impact/jgspg-s-artificial-reef-project-continues-to-attract-marine-life-20190629" TargetMode="External"/><Relationship Id="rId238"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59" Type="http://schemas.openxmlformats.org/officeDocument/2006/relationships/hyperlink" Target="https://www.sunstar.com.ph/article/385473/denr-7-plants-1t-artificial-reefs-" TargetMode="External"/><Relationship Id="rId116" Type="http://schemas.openxmlformats.org/officeDocument/2006/relationships/hyperlink" Target="http://oneocean.org/download/db_files/directory_of_crm_destinations2Ed.pdf" TargetMode="External"/><Relationship Id="rId237" Type="http://schemas.openxmlformats.org/officeDocument/2006/relationships/hyperlink" Target="https://aquadocs.org/bitstream/handle/1834/40478/GomezED2006.pdf?sequence=1&amp;isAllowed=y" TargetMode="External"/><Relationship Id="rId358" Type="http://schemas.openxmlformats.org/officeDocument/2006/relationships/hyperlink" Target="https://www.youtube.com/watch?v=X-dAZVSGLok" TargetMode="External"/><Relationship Id="rId115" Type="http://schemas.openxmlformats.org/officeDocument/2006/relationships/hyperlink" Target="https://web.facebook.com/watch/?v=2145212505517713" TargetMode="External"/><Relationship Id="rId236" Type="http://schemas.openxmlformats.org/officeDocument/2006/relationships/hyperlink" Target="https://www.rotarydistrict3860.org/wp-content/d3860/Dumaguete%20South/21_22/04_ebulletin_2021_09_29_2021-09-29.pdf" TargetMode="External"/><Relationship Id="rId357" Type="http://schemas.openxmlformats.org/officeDocument/2006/relationships/hyperlink" Target="https://core.ac.uk/download/pdf/6515223.pdf" TargetMode="External"/><Relationship Id="rId119" Type="http://schemas.openxmlformats.org/officeDocument/2006/relationships/hyperlink" Target="https://www.sentineltimes.net/2022/09/artificial-coral-reefs-in-town-of-lobo.html" TargetMode="External"/><Relationship Id="rId110" Type="http://schemas.openxmlformats.org/officeDocument/2006/relationships/hyperlink" Target="https://www.jgsummit.com.ph/impact/jgspg-s-artificial-reef-project-continues-to-attract-marine-life-20190629" TargetMode="External"/><Relationship Id="rId231" Type="http://schemas.openxmlformats.org/officeDocument/2006/relationships/hyperlink" Target="https://www.researchgate.net/publication/305770156_Coral_reef_resource_management_in_the_Philippines_-_with_focus_on_marine_protected_areas_as_a_management_tool" TargetMode="External"/><Relationship Id="rId352" Type="http://schemas.openxmlformats.org/officeDocument/2006/relationships/hyperlink" Target="https://www.ingentaconnect.com/content/umrsmas/bullmar/2001/00000069/00000002/art00028?crawler=true" TargetMode="External"/><Relationship Id="rId230" Type="http://schemas.openxmlformats.org/officeDocument/2006/relationships/hyperlink" Target="http://oneocean.org/download/db_files/directory_of_crm_destinations2Ed.pdf" TargetMode="External"/><Relationship Id="rId351" Type="http://schemas.openxmlformats.org/officeDocument/2006/relationships/hyperlink" Target="https://core.ac.uk/download/pdf/6515223.pdf" TargetMode="External"/><Relationship Id="rId350" Type="http://schemas.openxmlformats.org/officeDocument/2006/relationships/hyperlink" Target="https://core.ac.uk/download/pdf/6515223.pdf" TargetMode="External"/><Relationship Id="rId114" Type="http://schemas.openxmlformats.org/officeDocument/2006/relationships/hyperlink" Target="http://www.coralmovement.org/" TargetMode="External"/><Relationship Id="rId235" Type="http://schemas.openxmlformats.org/officeDocument/2006/relationships/hyperlink" Target="https://atlantishotel.com/travel-specials/coral-restoration-project/" TargetMode="External"/><Relationship Id="rId356" Type="http://schemas.openxmlformats.org/officeDocument/2006/relationships/hyperlink" Target="https://www.sunstar.com.ph/article/385473/denr-7-plants-1t-artificial-reefs-" TargetMode="External"/><Relationship Id="rId113" Type="http://schemas.openxmlformats.org/officeDocument/2006/relationships/hyperlink" Target="https://punto.com.ph/artificial-reef-itinanim-sa-subic-bay/" TargetMode="External"/><Relationship Id="rId234" Type="http://schemas.openxmlformats.org/officeDocument/2006/relationships/hyperlink" Target="mailto:info@peopleandthesea.org" TargetMode="External"/><Relationship Id="rId355" Type="http://schemas.openxmlformats.org/officeDocument/2006/relationships/hyperlink" Target="https://core.ac.uk/download/pdf/6515223.pdf" TargetMode="External"/><Relationship Id="rId112" Type="http://schemas.openxmlformats.org/officeDocument/2006/relationships/hyperlink" Target="http://pubs.iclarm.net/libinfo/Pdf/Pub%20CP6%2049.pdf" TargetMode="External"/><Relationship Id="rId233" Type="http://schemas.openxmlformats.org/officeDocument/2006/relationships/hyperlink" Target="https://peopleandthesea.org/" TargetMode="External"/><Relationship Id="rId354" Type="http://schemas.openxmlformats.org/officeDocument/2006/relationships/hyperlink" Target="https://core.ac.uk/download/pdf/6515223.pdf" TargetMode="External"/><Relationship Id="rId111" Type="http://schemas.openxmlformats.org/officeDocument/2006/relationships/hyperlink" Target="https://www.portulano.com/activities" TargetMode="External"/><Relationship Id="rId232" Type="http://schemas.openxmlformats.org/officeDocument/2006/relationships/hyperlink" Target="https://www.sunstar.com.ph/article/385473/denr-7-plants-1t-artificial-reefs-" TargetMode="External"/><Relationship Id="rId353" Type="http://schemas.openxmlformats.org/officeDocument/2006/relationships/hyperlink" Target="https://mafar.bangsamoro.gov.ph/monitoring-of-deployed-coral-nursery-units-cnu-of-fishcoral-mafar-in-maguindanao/" TargetMode="External"/><Relationship Id="rId305" Type="http://schemas.openxmlformats.org/officeDocument/2006/relationships/hyperlink" Target="https://savethephilippinecoralreefs.wordpress.com/page/10/?controllername=search&amp;action=search&amp;channel=world&amp;search=1&amp;inlinelink=1&amp;query=-paul%20fong-" TargetMode="External"/><Relationship Id="rId304" Type="http://schemas.openxmlformats.org/officeDocument/2006/relationships/hyperlink" Target="https://www.xu.edu.ph/images/publication/newsletters/pagtaob/documents/PAGTAOB_V3_I1.pdf" TargetMode="External"/><Relationship Id="rId303" Type="http://schemas.openxmlformats.org/officeDocument/2006/relationships/hyperlink" Target="http://allhonestreviews.blogspot.com/2012/08/launching-of-jci-manila-sea-of-life.html" TargetMode="External"/><Relationship Id="rId302" Type="http://schemas.openxmlformats.org/officeDocument/2006/relationships/hyperlink" Target="https://issuu.com/sudaria_publications/docs/cdotimes_april_16-22__2016" TargetMode="External"/><Relationship Id="rId309" Type="http://schemas.openxmlformats.org/officeDocument/2006/relationships/hyperlink" Target="https://savethephilippinecoralreefs.wordpress.com/page/10/?controllername=search&amp;action=search&amp;channel=world&amp;search=1&amp;inlinelink=1&amp;query=-paul%20fong-" TargetMode="External"/><Relationship Id="rId308" Type="http://schemas.openxmlformats.org/officeDocument/2006/relationships/hyperlink" Target="https://philippinemorningpost.com/underwater-experience-in-samal-island/" TargetMode="External"/><Relationship Id="rId307" Type="http://schemas.openxmlformats.org/officeDocument/2006/relationships/hyperlink" Target="https://web.facebook.com/CMOUEM2018/posts/24-august-19-the-naval-forces-eastern-mindanao-nfem-civil-military-operations-un/1349837585154833/?_rdc=1&amp;_rdr" TargetMode="External"/><Relationship Id="rId306" Type="http://schemas.openxmlformats.org/officeDocument/2006/relationships/hyperlink" Target="http://allhonestreviews.blogspot.com/2012/08/launching-of-jci-manila-sea-of-life.html" TargetMode="External"/><Relationship Id="rId30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00" Type="http://schemas.openxmlformats.org/officeDocument/2006/relationships/hyperlink" Target="https://www.eco-business.com/news/sustainable-coral-nurseries-ensure-future-of-philippine-coral-reefs/" TargetMode="External"/><Relationship Id="rId206" Type="http://schemas.openxmlformats.org/officeDocument/2006/relationships/hyperlink" Target="https://www.rappler.com/moveph/145137-iloilo-fishermen-lead-coastal-management/" TargetMode="External"/><Relationship Id="rId327" Type="http://schemas.openxmlformats.org/officeDocument/2006/relationships/hyperlink" Target="https://www.pna.gov.ph/articles/1116952" TargetMode="External"/><Relationship Id="rId205" Type="http://schemas.openxmlformats.org/officeDocument/2006/relationships/hyperlink" Target="https://www.crc.uri.edu/download/CB_000E.pdf" TargetMode="External"/><Relationship Id="rId326" Type="http://schemas.openxmlformats.org/officeDocument/2006/relationships/hyperlink" Target="https://35.229.131.110/node/60" TargetMode="External"/><Relationship Id="rId204" Type="http://schemas.openxmlformats.org/officeDocument/2006/relationships/hyperlink" Target="https://www.adb.org/sites/default/files/publication/29878/kalahi-cidss-project-philippines.pdf" TargetMode="External"/><Relationship Id="rId325" Type="http://schemas.openxmlformats.org/officeDocument/2006/relationships/hyperlink" Target="https://35.229.131.110/node/60" TargetMode="External"/><Relationship Id="rId203" Type="http://schemas.openxmlformats.org/officeDocument/2006/relationships/hyperlink" Target="https://nanopdf.com/download/community-based-coastal-resource-management-in-nasidman-island-iloilo-philippine_pdf" TargetMode="External"/><Relationship Id="rId324" Type="http://schemas.openxmlformats.org/officeDocument/2006/relationships/hyperlink" Target="https://sgp.undp.org/spacial-itemid-projects-landing-page/spacial-itemid-project-search-results/spacial-itemid-project-detailpage?view=projectdetail&amp;id=3748" TargetMode="External"/><Relationship Id="rId209" Type="http://schemas.openxmlformats.org/officeDocument/2006/relationships/hyperlink" Target="mailto:samgulayan@yahoo.com" TargetMode="External"/><Relationship Id="rId208" Type="http://schemas.openxmlformats.org/officeDocument/2006/relationships/hyperlink" Target="https://admin.concern.net/sites/default/files/media/migrated/_supporting_recovery_of_fishing_livelihoods_mangroves_and_coral_reefs_in_the_philippines_0.pdf" TargetMode="External"/><Relationship Id="rId329" Type="http://schemas.openxmlformats.org/officeDocument/2006/relationships/hyperlink" Target="https://www.philstar.com/other-sections/the-good-news/2015/11/23/1524749/saranganis-kamanga-marine-eco-tourism-park-and-sanctuary-cited-one-philippines-best" TargetMode="External"/><Relationship Id="rId207" Type="http://schemas.openxmlformats.org/officeDocument/2006/relationships/hyperlink" Target="mailto:samgulayan@yahoo.com" TargetMode="External"/><Relationship Id="rId328" Type="http://schemas.openxmlformats.org/officeDocument/2006/relationships/hyperlink" Target="https://www.emecs.or.jp/en/wp-content/uploads/2023/03/129.pdf" TargetMode="External"/><Relationship Id="rId202" Type="http://schemas.openxmlformats.org/officeDocument/2006/relationships/hyperlink" Target="https://admin.concern.net/sites/default/files/media/migrated/_supporting_recovery_of_fishing_livelihoods_mangroves_and_coral_reefs_in_the_philippines_0.pdf" TargetMode="External"/><Relationship Id="rId323" Type="http://schemas.openxmlformats.org/officeDocument/2006/relationships/hyperlink" Target="https://sgp.undp.org/spacial-itemid-projects-landing-page/spacial-itemid-project-search-results/spacial-itemid-project-detailpage?view=projectdetail&amp;id=3748" TargetMode="External"/><Relationship Id="rId201" Type="http://schemas.openxmlformats.org/officeDocument/2006/relationships/hyperlink" Target="mailto:albarist20@gmail.com" TargetMode="External"/><Relationship Id="rId322" Type="http://schemas.openxmlformats.org/officeDocument/2006/relationships/hyperlink" Target="mailto:dvgensan@yahoo.com.ph" TargetMode="External"/><Relationship Id="rId200" Type="http://schemas.openxmlformats.org/officeDocument/2006/relationships/hyperlink" Target="https://dergipark.org.tr/en/download/article-file/2047698" TargetMode="External"/><Relationship Id="rId321" Type="http://schemas.openxmlformats.org/officeDocument/2006/relationships/hyperlink" Target="https://www.gmanetwork.com/news/topstories/regions/47043/sun-star-3-500-artificial-reef-domes-set-up-in-sarangani-bay/story/" TargetMode="External"/><Relationship Id="rId320" Type="http://schemas.openxmlformats.org/officeDocument/2006/relationships/hyperlink" Target="https://www.pna.gov.ph/articles/1038701" TargetMode="External"/><Relationship Id="rId316" Type="http://schemas.openxmlformats.org/officeDocument/2006/relationships/hyperlink" Target="https://www.youtube.com/watch?v=6AfF_6TG2jE" TargetMode="External"/><Relationship Id="rId315" Type="http://schemas.openxmlformats.org/officeDocument/2006/relationships/hyperlink" Target="http://oneocean.org/about_crmp/98search.html" TargetMode="External"/><Relationship Id="rId314" Type="http://schemas.openxmlformats.org/officeDocument/2006/relationships/hyperlink" Target="https://www.youtube.com/watch?v=J2E9tUJsTVo" TargetMode="External"/><Relationship Id="rId313" Type="http://schemas.openxmlformats.org/officeDocument/2006/relationships/hyperlink" Target="https://www.phoenixfuels.ph/phoenix-helps-save-marine-life-through-artificial-reefs/" TargetMode="External"/><Relationship Id="rId319" Type="http://schemas.openxmlformats.org/officeDocument/2006/relationships/hyperlink" Target="mailto:dvgensan@yahoo.com.ph" TargetMode="External"/><Relationship Id="rId318" Type="http://schemas.openxmlformats.org/officeDocument/2006/relationships/hyperlink" Target="https://web.facebook.com/story.php?story_fbid=551153050380292&amp;id=100064568057133&amp;_rdc=1&amp;_rdr" TargetMode="External"/><Relationship Id="rId317" Type="http://schemas.openxmlformats.org/officeDocument/2006/relationships/hyperlink" Target="http://oneocean.org/about_crmp/98search.html" TargetMode="External"/><Relationship Id="rId312" Type="http://schemas.openxmlformats.org/officeDocument/2006/relationships/hyperlink" Target="https://mobile.facebook.com/watch/?v=381675062720602&amp;paipv=0&amp;eav=AfYwcIL9NxwTN4aCbErewJy7tTD3nrufxoQ6KHefWVVRdYsV3q7dl44iSGOHSXvUCgs&amp;_rdr" TargetMode="External"/><Relationship Id="rId311" Type="http://schemas.openxmlformats.org/officeDocument/2006/relationships/hyperlink" Target="https://philippinemorningpost.com/underwater-experience-in-samal-island/" TargetMode="External"/><Relationship Id="rId310" Type="http://schemas.openxmlformats.org/officeDocument/2006/relationships/hyperlink" Target="https://www.sunstar.com.ph/article/1837913/davao/local-news/denr-rehabilitates-3-hectares-of-coral-reef" TargetMode="External"/></Relationships>
</file>

<file path=xl/worksheets/_rels/sheet13.xml.rels><?xml version="1.0" encoding="UTF-8" standalone="yes"?><Relationships xmlns="http://schemas.openxmlformats.org/package/2006/relationships"><Relationship Id="rId190" Type="http://schemas.openxmlformats.org/officeDocument/2006/relationships/hyperlink" Target="http://oneocean.org/download/db_files/directory_of_crm_destinations2Ed.pdf" TargetMode="External"/><Relationship Id="rId194" Type="http://schemas.openxmlformats.org/officeDocument/2006/relationships/hyperlink" Target="https://web.facebook.com/sogodbaycoralrestoration/?_rdc=1&amp;_rdr" TargetMode="External"/><Relationship Id="rId193" Type="http://schemas.openxmlformats.org/officeDocument/2006/relationships/hyperlink" Target="http://www.cebu-philippines.net/marine-life-in-southern-leyte.html" TargetMode="External"/><Relationship Id="rId192" Type="http://schemas.openxmlformats.org/officeDocument/2006/relationships/hyperlink" Target="mailto:arpee55@yahoo.com" TargetMode="External"/><Relationship Id="rId191" Type="http://schemas.openxmlformats.org/officeDocument/2006/relationships/hyperlink" Target="https://www.facebook.com/photo/?fbid=10211996711851597&amp;set=a.10211341284986335" TargetMode="External"/><Relationship Id="rId187" Type="http://schemas.openxmlformats.org/officeDocument/2006/relationships/hyperlink" Target="http://oneocean.org/download/db_files/directory_of_crm_destinations2Ed.pdf" TargetMode="External"/><Relationship Id="rId186" Type="http://schemas.openxmlformats.org/officeDocument/2006/relationships/hyperlink" Target="http://oneocean.org/download/db_files/directory_of_crm_destinations2Ed.pdf" TargetMode="External"/><Relationship Id="rId185" Type="http://schemas.openxmlformats.org/officeDocument/2006/relationships/hyperlink" Target="https://cng-cdn.oxfam.org/philippines.oxfam.org/s3fs-public/file_attachments/Oxfam%20sa%20Pilipinas%20Annual%20Report%202016.pdf" TargetMode="External"/><Relationship Id="rId184" Type="http://schemas.openxmlformats.org/officeDocument/2006/relationships/hyperlink" Target="https://journals.upd.edu.ph/index.php/sciencediliman/article/download/6423/5632" TargetMode="External"/><Relationship Id="rId189" Type="http://schemas.openxmlformats.org/officeDocument/2006/relationships/hyperlink" Target="https://sevenseasmedia.org/biri-initiative-story-on-coral-restoration/" TargetMode="External"/><Relationship Id="rId188" Type="http://schemas.openxmlformats.org/officeDocument/2006/relationships/hyperlink" Target="https://sevenseasmedia.org/biri-initiative-story-on-coral-restoration/" TargetMode="External"/><Relationship Id="rId183" Type="http://schemas.openxmlformats.org/officeDocument/2006/relationships/hyperlink" Target="https://www.sunstar.com.ph/article/385473/denr-7-plants-1t-artificial-reefs-" TargetMode="External"/><Relationship Id="rId182" Type="http://schemas.openxmlformats.org/officeDocument/2006/relationships/hyperlink" Target="https://aquadocs.org/bitstream/handle/1834/40478/GomezED2006.pdf?sequence=1&amp;isAllowed=y" TargetMode="External"/><Relationship Id="rId181" Type="http://schemas.openxmlformats.org/officeDocument/2006/relationships/hyperlink" Target="https://www.researchgate.net/publication/305770156_Coral_reef_resource_management_in_the_Philippines_-_with_focus_on_marine_protected_areas_as_a_management_tool" TargetMode="External"/><Relationship Id="rId180" Type="http://schemas.openxmlformats.org/officeDocument/2006/relationships/hyperlink" Target="https://journal.com.ph/community-project-under-dswd-revives-marine-ecosystem-battered-by-typhoons/" TargetMode="External"/><Relationship Id="rId176"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97" Type="http://schemas.openxmlformats.org/officeDocument/2006/relationships/hyperlink" Target="mailto:shalu002@fiu.edu" TargetMode="External"/><Relationship Id="rId175" Type="http://schemas.openxmlformats.org/officeDocument/2006/relationships/hyperlink" Target="https://aquadocs.org/bitstream/handle/1834/40478/GomezED2006.pdf?sequence=1&amp;isAllowed=y" TargetMode="External"/><Relationship Id="rId296" Type="http://schemas.openxmlformats.org/officeDocument/2006/relationships/hyperlink" Target="https://piazampenpics.blogspot.com/2012/05/scuba-diving-training-enhances-msu-tawi.html?m=1" TargetMode="External"/><Relationship Id="rId174" Type="http://schemas.openxmlformats.org/officeDocument/2006/relationships/hyperlink" Target="mailto:info@peopleandthesea.org" TargetMode="External"/><Relationship Id="rId295" Type="http://schemas.openxmlformats.org/officeDocument/2006/relationships/hyperlink" Target="https://www.pna.gov.ph/articles/1067574" TargetMode="External"/><Relationship Id="rId173" Type="http://schemas.openxmlformats.org/officeDocument/2006/relationships/hyperlink" Target="https://peopleandthesea.org/" TargetMode="External"/><Relationship Id="rId294" Type="http://schemas.openxmlformats.org/officeDocument/2006/relationships/hyperlink" Target="https://www.pna.gov.ph/articles/1067574" TargetMode="External"/><Relationship Id="rId179" Type="http://schemas.openxmlformats.org/officeDocument/2006/relationships/hyperlink" Target="http://www.coralmovement.org/" TargetMode="External"/><Relationship Id="rId178" Type="http://schemas.openxmlformats.org/officeDocument/2006/relationships/hyperlink" Target="https://www.divescotty.com/underwater-blog/blog-february-14-2018.php" TargetMode="External"/><Relationship Id="rId177"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98" Type="http://schemas.openxmlformats.org/officeDocument/2006/relationships/drawing" Target="../drawings/drawing13.xml"/><Relationship Id="rId198" Type="http://schemas.openxmlformats.org/officeDocument/2006/relationships/hyperlink" Target="http://lagawmindanao.blogspot.com/2012/03/zamboanga-del-sur.html" TargetMode="External"/><Relationship Id="rId197" Type="http://schemas.openxmlformats.org/officeDocument/2006/relationships/hyperlink" Target="https://manilastandard.net/?p=198184" TargetMode="External"/><Relationship Id="rId196" Type="http://schemas.openxmlformats.org/officeDocument/2006/relationships/hyperlink" Target="https://www.facebook.com/media/set/?vanity=154004468006961&amp;set=a.7450109991729669" TargetMode="External"/><Relationship Id="rId195" Type="http://schemas.openxmlformats.org/officeDocument/2006/relationships/hyperlink" Target="https://web.facebook.com/media/set/?set=a.1831074026966655&amp;type=3" TargetMode="External"/><Relationship Id="rId199" Type="http://schemas.openxmlformats.org/officeDocument/2006/relationships/hyperlink" Target="https://web.facebook.com/people/PCGA-312th-Auxiliary-Squadron/100064379604303/?_rdc=1&amp;_rdr" TargetMode="External"/><Relationship Id="rId150" Type="http://schemas.openxmlformats.org/officeDocument/2006/relationships/hyperlink" Target="https://nanopdf.com/download/community-based-coastal-resource-management-in-nasidman-island-iloilo-philippine_pdf" TargetMode="External"/><Relationship Id="rId271" Type="http://schemas.openxmlformats.org/officeDocument/2006/relationships/hyperlink" Target="https://core.ac.uk/download/pdf/6515223.pdf" TargetMode="External"/><Relationship Id="rId270" Type="http://schemas.openxmlformats.org/officeDocument/2006/relationships/hyperlink" Target="https://www.rotarydistrict3860.org/wp-content/d3860/Dumaguete%20South/21_22/04_ebulletin_2021_09_29_2021-09-29.pdf" TargetMode="External"/><Relationship Id="rId1" Type="http://schemas.openxmlformats.org/officeDocument/2006/relationships/hyperlink" Target="https://web.facebook.com/watch/?v=372900961253018" TargetMode="External"/><Relationship Id="rId2" Type="http://schemas.openxmlformats.org/officeDocument/2006/relationships/hyperlink" Target="https://rpnradio.com/the-corals-of-currimao/" TargetMode="External"/><Relationship Id="rId3" Type="http://schemas.openxmlformats.org/officeDocument/2006/relationships/hyperlink" Target="https://www.ircwash.org/sites/default/files/802-PH90-8920.pdf" TargetMode="External"/><Relationship Id="rId149" Type="http://schemas.openxmlformats.org/officeDocument/2006/relationships/hyperlink" Target="https://admin.concern.net/sites/default/files/media/migrated/_supporting_recovery_of_fishing_livelihoods_mangroves_and_coral_reefs_in_the_philippines_0.pdf" TargetMode="External"/><Relationship Id="rId4" Type="http://schemas.openxmlformats.org/officeDocument/2006/relationships/hyperlink" Target="http://pubs.iclarm.net/libinfo/Pdf/Pub%20CP6%2049.pdf" TargetMode="External"/><Relationship Id="rId148" Type="http://schemas.openxmlformats.org/officeDocument/2006/relationships/hyperlink" Target="https://kalahi.dswd.gov.ph/press/downloads/category/58-old-iec-materials?download=322:tayo-na-tayo-na-disaster-resiliency-compendium" TargetMode="External"/><Relationship Id="rId269" Type="http://schemas.openxmlformats.org/officeDocument/2006/relationships/hyperlink" Target="https://www.youtube.com/watch?v=X-dAZVSGLok" TargetMode="External"/><Relationship Id="rId9" Type="http://schemas.openxmlformats.org/officeDocument/2006/relationships/hyperlink" Target="http://lgucabugao.blogspot.com/2013/06/artificial-reef-naitapog-para-iti-2.html" TargetMode="External"/><Relationship Id="rId143" Type="http://schemas.openxmlformats.org/officeDocument/2006/relationships/hyperlink" Target="https://web.facebook.com/watch/?v=220661800165072" TargetMode="External"/><Relationship Id="rId264" Type="http://schemas.openxmlformats.org/officeDocument/2006/relationships/hyperlink" Target="https://core.ac.uk/download/pdf/6515223.pdf" TargetMode="External"/><Relationship Id="rId14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63" Type="http://schemas.openxmlformats.org/officeDocument/2006/relationships/hyperlink" Target="https://www.sunstar.com.ph/article/385473/denr-7-plants-1t-artificial-reefs-" TargetMode="External"/><Relationship Id="rId141" Type="http://schemas.openxmlformats.org/officeDocument/2006/relationships/hyperlink" Target="https://www.panaynews.net/aklan-turns-61/" TargetMode="External"/><Relationship Id="rId262" Type="http://schemas.openxmlformats.org/officeDocument/2006/relationships/hyperlink" Target="https://core.ac.uk/download/pdf/6515223.pdf" TargetMode="External"/><Relationship Id="rId140"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61" Type="http://schemas.openxmlformats.org/officeDocument/2006/relationships/hyperlink" Target="https://core.ac.uk/download/pdf/6515223.pdf" TargetMode="External"/><Relationship Id="rId5" Type="http://schemas.openxmlformats.org/officeDocument/2006/relationships/hyperlink" Target="http://pubs.iclarm.net/libinfo/Pdf/Pub%20CP6%2049.pdf" TargetMode="External"/><Relationship Id="rId147" Type="http://schemas.openxmlformats.org/officeDocument/2006/relationships/hyperlink" Target="https://www.researchgate.net/publication/233680292_The_potential_of_artificial_reefs_as_fisheries_management_tools_in_developing_countries" TargetMode="External"/><Relationship Id="rId268" Type="http://schemas.openxmlformats.org/officeDocument/2006/relationships/hyperlink" Target="https://www.zubludiving.com/articles/zublu-insights/roni-ben-aharon-from-atlantis-dive-resorts-and-liveaboards" TargetMode="External"/><Relationship Id="rId6" Type="http://schemas.openxmlformats.org/officeDocument/2006/relationships/hyperlink" Target="https://www.ircwash.org/sites/default/files/802-PH90-8920.pdf" TargetMode="External"/><Relationship Id="rId146" Type="http://schemas.openxmlformats.org/officeDocument/2006/relationships/hyperlink" Target="http://roxascity.gov.ph/roxas-city-receives-p1m-for-560-units-jackstone-type-artificial-reefs-project/" TargetMode="External"/><Relationship Id="rId267" Type="http://schemas.openxmlformats.org/officeDocument/2006/relationships/hyperlink" Target="https://core.ac.uk/download/pdf/6515223.pdf" TargetMode="External"/><Relationship Id="rId7" Type="http://schemas.openxmlformats.org/officeDocument/2006/relationships/hyperlink" Target="http://pubs.iclarm.net/libinfo/Pdf/Pub%20CP6%2049.pdf" TargetMode="External"/><Relationship Id="rId145" Type="http://schemas.openxmlformats.org/officeDocument/2006/relationships/hyperlink" Target="https://www.panaynews.net/smpc-turns-over-40-fiberglass-bancas-for-fishing-livelihood/" TargetMode="External"/><Relationship Id="rId266" Type="http://schemas.openxmlformats.org/officeDocument/2006/relationships/hyperlink" Target="https://www.sunstar.com.ph/article/385473/denr-7-plants-1t-artificial-reefs-" TargetMode="External"/><Relationship Id="rId8" Type="http://schemas.openxmlformats.org/officeDocument/2006/relationships/hyperlink" Target="http://pubs.iclarm.net/libinfo/Pdf/Pub%20CP6%2049.pdf" TargetMode="External"/><Relationship Id="rId144" Type="http://schemas.openxmlformats.org/officeDocument/2006/relationships/hyperlink" Target="https://web.facebook.com/WowBarbaza/posts/1465824566934101/?locale=hi_IN&amp;paipv=0&amp;eav=AfZGOrjdBSpfnDByXcj_hdkMBUl2YwXgKC2OTKkQpaMRz9lV5OLoqc7rel_f4h4K1EI&amp;_rdc=1&amp;_rdr" TargetMode="External"/><Relationship Id="rId265" Type="http://schemas.openxmlformats.org/officeDocument/2006/relationships/hyperlink" Target="https://www.youtube.com/watch?v=X-dAZVSGLok" TargetMode="External"/><Relationship Id="rId260" Type="http://schemas.openxmlformats.org/officeDocument/2006/relationships/hyperlink" Target="https://www.ingentaconnect.com/content/umrsmas/bullmar/2001/00000069/00000002/art00028?crawler=true" TargetMode="External"/><Relationship Id="rId139" Type="http://schemas.openxmlformats.org/officeDocument/2006/relationships/hyperlink" Target="https://www.panaynews.net/aklan-turns-61/" TargetMode="External"/><Relationship Id="rId138" Type="http://schemas.openxmlformats.org/officeDocument/2006/relationships/hyperlink" Target="https://www.pcaarrd.dost.gov.ph/index.php/quick-information-dispatch-qid-articles/restoring-the-country-s-coral-reefs-through-filipinnovation" TargetMode="External"/><Relationship Id="rId259" Type="http://schemas.openxmlformats.org/officeDocument/2006/relationships/hyperlink" Target="https://core.ac.uk/download/pdf/6515223.pdf" TargetMode="External"/><Relationship Id="rId137" Type="http://schemas.openxmlformats.org/officeDocument/2006/relationships/hyperlink" Target="http://www.reefball.org/album/philippines/boracayreef/index.html" TargetMode="External"/><Relationship Id="rId258" Type="http://schemas.openxmlformats.org/officeDocument/2006/relationships/hyperlink" Target="https://core.ac.uk/download/pdf/6515223.pdf" TargetMode="External"/><Relationship Id="rId13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53" Type="http://schemas.openxmlformats.org/officeDocument/2006/relationships/hyperlink" Target="https://newsinfo.inquirer.net/937981/philippine-tourism-hinatuan-beach-surigao-del-sur-tourist-spot-nickel-asia-corp-michael-arlan-hinatuan-mining-corp-denr-scremp" TargetMode="External"/><Relationship Id="rId131" Type="http://schemas.openxmlformats.org/officeDocument/2006/relationships/hyperlink" Target="https://www.panaynews.net/aklan-turns-61/" TargetMode="External"/><Relationship Id="rId252" Type="http://schemas.openxmlformats.org/officeDocument/2006/relationships/hyperlink" Target="https://butuan.bomboradyo.com/artificial-coral-reefs-gimontar-sa-surigao-city/" TargetMode="External"/><Relationship Id="rId130" Type="http://schemas.openxmlformats.org/officeDocument/2006/relationships/hyperlink" Target="https://kalahi.dswd.gov.ph/press/downloads/category/58-old-iec-materials?download=322:tayo-na-tayo-na-disaster-resiliency-compendium" TargetMode="External"/><Relationship Id="rId251" Type="http://schemas.openxmlformats.org/officeDocument/2006/relationships/hyperlink" Target="https://caraga.bfar.da.gov.ph/wp-content/uploads/2022/12/Annual-Report-2020.pdf" TargetMode="External"/><Relationship Id="rId250" Type="http://schemas.openxmlformats.org/officeDocument/2006/relationships/hyperlink" Target="https://www.visitdelcarmen.com/del-carmen-artificial-coral-reefs/" TargetMode="External"/><Relationship Id="rId136" Type="http://schemas.openxmlformats.org/officeDocument/2006/relationships/hyperlink" Target="https://gadgetsmagazine.com.ph/technology/artificial-reef-dome-deployment-in-boracay" TargetMode="External"/><Relationship Id="rId257" Type="http://schemas.openxmlformats.org/officeDocument/2006/relationships/hyperlink" Target="https://www.ircwash.org/sites/default/files/802-PH90-8920.pdf" TargetMode="External"/><Relationship Id="rId135" Type="http://schemas.openxmlformats.org/officeDocument/2006/relationships/hyperlink" Target="https://gadgetsmagazine.com.ph/technology/artificial-reef-dome-deployment-in-boracay" TargetMode="External"/><Relationship Id="rId256" Type="http://schemas.openxmlformats.org/officeDocument/2006/relationships/hyperlink" Target="https://core.ac.uk/download/pdf/6515223.pdf" TargetMode="External"/><Relationship Id="rId134" Type="http://schemas.openxmlformats.org/officeDocument/2006/relationships/hyperlink" Target="https://www.manilawater.com/corporate/boracay-water/agos/2022-06-16/boracay-island-water-company-invests-in-marine-life" TargetMode="External"/><Relationship Id="rId255" Type="http://schemas.openxmlformats.org/officeDocument/2006/relationships/hyperlink" Target="https://nickelasia.com/bulletin/pangangalaga-sa-karagatan-pinaigting-pa-ng-cmc-hmc" TargetMode="External"/><Relationship Id="rId133"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54" Type="http://schemas.openxmlformats.org/officeDocument/2006/relationships/hyperlink" Target="https://www.cecphils.org/wp-content/uploads/gbk2020-souvenir-program.pdf" TargetMode="External"/><Relationship Id="rId172" Type="http://schemas.openxmlformats.org/officeDocument/2006/relationships/hyperlink" Target="https://www.sunstar.com.ph/article/385473/denr-7-plants-1t-artificial-reefs-" TargetMode="External"/><Relationship Id="rId293" Type="http://schemas.openxmlformats.org/officeDocument/2006/relationships/hyperlink" Target="https://www.bfar.da.gov.ph/wp-content/uploads/2022/05/FishCORAL-Project-Annual-Report-2020.pdf" TargetMode="External"/><Relationship Id="rId171" Type="http://schemas.openxmlformats.org/officeDocument/2006/relationships/hyperlink" Target="http://oneocean.org/download/db_files/directory_of_crm_destinations2Ed.pdf" TargetMode="External"/><Relationship Id="rId292" Type="http://schemas.openxmlformats.org/officeDocument/2006/relationships/hyperlink" Target="https://www.bfar.da.gov.ph/wp-content/uploads/2022/05/FishCORAL-Project-Annual-Report-2020.pdf" TargetMode="External"/><Relationship Id="rId170" Type="http://schemas.openxmlformats.org/officeDocument/2006/relationships/hyperlink" Target="https://www.sunstar.com.ph/article/385473/denr-7-plants-1t-artificial-reefs-" TargetMode="External"/><Relationship Id="rId291" Type="http://schemas.openxmlformats.org/officeDocument/2006/relationships/hyperlink" Target="https://core.ac.uk/download/pdf/6515223.pdf" TargetMode="External"/><Relationship Id="rId290" Type="http://schemas.openxmlformats.org/officeDocument/2006/relationships/hyperlink" Target="https://mafar.bangsamoro.gov.ph/coastal-rehabilitation-takes-center-stage-in-datu-blah-sinsuat/" TargetMode="External"/><Relationship Id="rId165" Type="http://schemas.openxmlformats.org/officeDocument/2006/relationships/hyperlink" Target="https://www.youtube.com/watch?v=jkzZm4QyHDI" TargetMode="External"/><Relationship Id="rId286" Type="http://schemas.openxmlformats.org/officeDocument/2006/relationships/hyperlink" Target="https://www.bfar.da.gov.ph/wp-content/uploads/2022/05/FishCORAL-Project-Annual-Report-2020.pdf" TargetMode="External"/><Relationship Id="rId164" Type="http://schemas.openxmlformats.org/officeDocument/2006/relationships/hyperlink" Target="https://www.sunstar.com.ph/article/385473/denr-7-plants-1t-artificial-reefs-" TargetMode="External"/><Relationship Id="rId285" Type="http://schemas.openxmlformats.org/officeDocument/2006/relationships/hyperlink" Target="https://www.bfar.da.gov.ph/wp-content/uploads/2022/05/FishCORAL-Project-Annual-Report-2020.pdf" TargetMode="External"/><Relationship Id="rId163" Type="http://schemas.openxmlformats.org/officeDocument/2006/relationships/hyperlink" Target="mailto:arpee55@yahoo.com" TargetMode="External"/><Relationship Id="rId284" Type="http://schemas.openxmlformats.org/officeDocument/2006/relationships/hyperlink" Target="http://oneocean.org/download/db_files/directory_of_crm_destinations2Ed.pdf" TargetMode="External"/><Relationship Id="rId162" Type="http://schemas.openxmlformats.org/officeDocument/2006/relationships/hyperlink" Target="https://www.sunstar.com.ph/article/385473/denr-7-plants-1t-artificial-reefs-" TargetMode="External"/><Relationship Id="rId283" Type="http://schemas.openxmlformats.org/officeDocument/2006/relationships/hyperlink" Target="https://www.sunstar.com.ph/article/385473/denr-7-plants-1t-artificial-reefs-" TargetMode="External"/><Relationship Id="rId169" Type="http://schemas.openxmlformats.org/officeDocument/2006/relationships/hyperlink" Target="https://www.sunstar.com.ph/article/385473/denr-7-plants-1t-artificial-reefs-" TargetMode="External"/><Relationship Id="rId168" Type="http://schemas.openxmlformats.org/officeDocument/2006/relationships/hyperlink" Target="https://www.youtube.com/watch?v=TSbFpQUdSAE" TargetMode="External"/><Relationship Id="rId289" Type="http://schemas.openxmlformats.org/officeDocument/2006/relationships/hyperlink" Target="https://www.facebook.com/mafar.bangsamoro/posts/monitoring-of-deployed-coral-nursery-units-cnu-of-fishcoral-mafar-in-maguindanao/1003835920443233/" TargetMode="External"/><Relationship Id="rId167" Type="http://schemas.openxmlformats.org/officeDocument/2006/relationships/hyperlink" Target="https://www.sunstar.com.ph/article/385473/denr-7-plants-1t-artificial-reefs-" TargetMode="External"/><Relationship Id="rId288" Type="http://schemas.openxmlformats.org/officeDocument/2006/relationships/hyperlink" Target="https://philmuslimtoday.com/2022/06/08/mafar-deploys-coral-nursery-units-in-lanao-del-sur/" TargetMode="External"/><Relationship Id="rId166" Type="http://schemas.openxmlformats.org/officeDocument/2006/relationships/hyperlink" Target="http://oneocean.org/about_crmp/98search.html" TargetMode="External"/><Relationship Id="rId287" Type="http://schemas.openxmlformats.org/officeDocument/2006/relationships/hyperlink" Target="https://www.bfar.da.gov.ph/wp-content/uploads/2022/05/FishCORAL-Project-Annual-Report-2020.pdf" TargetMode="External"/><Relationship Id="rId161" Type="http://schemas.openxmlformats.org/officeDocument/2006/relationships/hyperlink" Target="mailto:samgulayan@yahoo.com" TargetMode="External"/><Relationship Id="rId282" Type="http://schemas.openxmlformats.org/officeDocument/2006/relationships/hyperlink" Target="https://www.sunstar.com.ph/article/385473/denr-7-plants-1t-artificial-reefs-" TargetMode="External"/><Relationship Id="rId160" Type="http://schemas.openxmlformats.org/officeDocument/2006/relationships/hyperlink" Target="https://www.sunstar.com.ph/article/385473/denr-7-plants-1t-artificial-reefs-" TargetMode="External"/><Relationship Id="rId281" Type="http://schemas.openxmlformats.org/officeDocument/2006/relationships/hyperlink" Target="https://www.pna.gov.ph/articles/1049175" TargetMode="External"/><Relationship Id="rId280" Type="http://schemas.openxmlformats.org/officeDocument/2006/relationships/hyperlink" Target="https://core.ac.uk/download/pdf/6515223.pdf" TargetMode="External"/><Relationship Id="rId159" Type="http://schemas.openxmlformats.org/officeDocument/2006/relationships/hyperlink" Target="mailto:albarist20@gmail.com" TargetMode="External"/><Relationship Id="rId154" Type="http://schemas.openxmlformats.org/officeDocument/2006/relationships/hyperlink" Target="https://admin.concern.net/sites/default/files/media/migrated/_supporting_recovery_of_fishing_livelihoods_mangroves_and_coral_reefs_in_the_philippines_0.pdf" TargetMode="External"/><Relationship Id="rId275" Type="http://schemas.openxmlformats.org/officeDocument/2006/relationships/hyperlink" Target="https://core.ac.uk/download/pdf/6515223.pdf" TargetMode="External"/><Relationship Id="rId153" Type="http://schemas.openxmlformats.org/officeDocument/2006/relationships/hyperlink" Target="https://www.rappler.com/moveph/145137-iloilo-fishermen-lead-coastal-management/" TargetMode="External"/><Relationship Id="rId274" Type="http://schemas.openxmlformats.org/officeDocument/2006/relationships/hyperlink" Target="https://www.sunstar.com.ph/article/385473/denr-7-plants-1t-artificial-reefs-" TargetMode="External"/><Relationship Id="rId152" Type="http://schemas.openxmlformats.org/officeDocument/2006/relationships/hyperlink" Target="https://www.crc.uri.edu/download/CB_000E.pdf" TargetMode="External"/><Relationship Id="rId273" Type="http://schemas.openxmlformats.org/officeDocument/2006/relationships/hyperlink" Target="https://core.ac.uk/download/pdf/6515223.pdf" TargetMode="External"/><Relationship Id="rId151" Type="http://schemas.openxmlformats.org/officeDocument/2006/relationships/hyperlink" Target="https://www.adb.org/sites/default/files/publication/29878/kalahi-cidss-project-philippines.pdf" TargetMode="External"/><Relationship Id="rId272" Type="http://schemas.openxmlformats.org/officeDocument/2006/relationships/hyperlink" Target="https://aquadocs.org/bitstream/handle/1834/40478/GomezED2006.pdf?sequence=1&amp;isAllowed=y" TargetMode="External"/><Relationship Id="rId158" Type="http://schemas.openxmlformats.org/officeDocument/2006/relationships/hyperlink" Target="https://dergipark.org.tr/en/download/article-file/2047698" TargetMode="External"/><Relationship Id="rId279" Type="http://schemas.openxmlformats.org/officeDocument/2006/relationships/hyperlink" Target="https://core.ac.uk/download/pdf/6515223.pdf" TargetMode="External"/><Relationship Id="rId157" Type="http://schemas.openxmlformats.org/officeDocument/2006/relationships/hyperlink" Target="https://www.sunstar.com.ph/article/267935/artificial-reefs-dropped-into-oton-sea" TargetMode="External"/><Relationship Id="rId278" Type="http://schemas.openxmlformats.org/officeDocument/2006/relationships/hyperlink" Target="https://www.sunstar.com.ph/article/385473/denr-7-plants-1t-artificial-reefs-" TargetMode="External"/><Relationship Id="rId156" Type="http://schemas.openxmlformats.org/officeDocument/2006/relationships/hyperlink" Target="http://oneocean.org/about_crmp/98search.html" TargetMode="External"/><Relationship Id="rId277" Type="http://schemas.openxmlformats.org/officeDocument/2006/relationships/hyperlink" Target="https://core.ac.uk/download/pdf/6515223.pdf" TargetMode="External"/><Relationship Id="rId155" Type="http://schemas.openxmlformats.org/officeDocument/2006/relationships/hyperlink" Target="https://web.facebook.com/jcimanilaseaoflife/posts/pfbid02pDbrLSGU8G89Y6fFseL879wWeu6hoSHsuHNsYRL4JyTrGsnutkfhxQJMKf7vf5dml" TargetMode="External"/><Relationship Id="rId276" Type="http://schemas.openxmlformats.org/officeDocument/2006/relationships/hyperlink" Target="https://core.ac.uk/download/pdf/6515223.pdf" TargetMode="External"/><Relationship Id="rId40" Type="http://schemas.openxmlformats.org/officeDocument/2006/relationships/hyperlink" Target="https://aquadocs.org/bitstream/handle/1834/40478/GomezED2006.pdf?sequence=1&amp;isAllowed=y" TargetMode="External"/><Relationship Id="rId42" Type="http://schemas.openxmlformats.org/officeDocument/2006/relationships/hyperlink" Target="https://www.researchgate.net/publication/320629634_Enhanced_larval_supply_and_recruitment_can_replenish_reef_corals_on_degraded_reefs" TargetMode="External"/><Relationship Id="rId41" Type="http://schemas.openxmlformats.org/officeDocument/2006/relationships/hyperlink" Target="https://www.tandfonline.com/doi/abs/10.1080/17451000.2012.682582" TargetMode="External"/><Relationship Id="rId44" Type="http://schemas.openxmlformats.org/officeDocument/2006/relationships/hyperlink" Target="https://www.sciencedirect.com/science/article/abs/pii/S0044848619332533" TargetMode="External"/><Relationship Id="rId43" Type="http://schemas.openxmlformats.org/officeDocument/2006/relationships/hyperlink" Target="https://www.researchgate.net/publication/356725969_Increased_Coral_Larval_Supply_Enhances_Recruitment_for_Coral_and_Fish_Habitat_Restoration" TargetMode="External"/><Relationship Id="rId46" Type="http://schemas.openxmlformats.org/officeDocument/2006/relationships/hyperlink" Target="https://onlinelibrary.wiley.com/doi/epdf/10.1111/rec.13054" TargetMode="External"/><Relationship Id="rId45"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48" Type="http://schemas.openxmlformats.org/officeDocument/2006/relationships/hyperlink" Target="https://www.sciencedirect.com/science/article/abs/pii/S0022098198000410?via%3Dihub" TargetMode="External"/><Relationship Id="rId47" Type="http://schemas.openxmlformats.org/officeDocument/2006/relationships/hyperlink" Target="https://www.marineconservationphilippines.org/wp-content/uploads/2018/02/an-evaluation-of-coral-reef-restoration-methods.pdf" TargetMode="External"/><Relationship Id="rId49" Type="http://schemas.openxmlformats.org/officeDocument/2006/relationships/hyperlink" Target="https://link.springer.com/article/10.1007/BF00539430" TargetMode="External"/><Relationship Id="rId31" Type="http://schemas.openxmlformats.org/officeDocument/2006/relationships/hyperlink" Target="https://www.pna.gov.ph/articles/1136282" TargetMode="External"/><Relationship Id="rId30" Type="http://schemas.openxmlformats.org/officeDocument/2006/relationships/hyperlink" Target="http://pubs.iclarm.net/libinfo/Pdf/Pub%20CP6%2049.pdf" TargetMode="External"/><Relationship Id="rId33" Type="http://schemas.openxmlformats.org/officeDocument/2006/relationships/hyperlink" Target="http://pubs.iclarm.net/libinfo/Pdf/Pub%20CP6%2049.pdf" TargetMode="External"/><Relationship Id="rId32" Type="http://schemas.openxmlformats.org/officeDocument/2006/relationships/hyperlink" Target="http://pubs.iclarm.net/libinfo/Pdf/Pub%20CP6%2049.pdf" TargetMode="External"/><Relationship Id="rId35" Type="http://schemas.openxmlformats.org/officeDocument/2006/relationships/hyperlink" Target="https://www.sciencedirect.com/science/article/abs/pii/S0022098102000515" TargetMode="External"/><Relationship Id="rId34" Type="http://schemas.openxmlformats.org/officeDocument/2006/relationships/hyperlink" Target="http://pubs.iclarm.net/libinfo/Pdf/Pub%20CP6%2049.pdf" TargetMode="External"/><Relationship Id="rId37" Type="http://schemas.openxmlformats.org/officeDocument/2006/relationships/hyperlink" Target="https://aquadocs.org/bitstream/handle/1834/40478/GomezED2006.pdf?sequence=1&amp;isAllowed=y" TargetMode="External"/><Relationship Id="rId36" Type="http://schemas.openxmlformats.org/officeDocument/2006/relationships/hyperlink" Target="https://newsinfo.inquirer.net/821770/coral-regrowth-is-new-crusade" TargetMode="External"/><Relationship Id="rId39"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s://www.dmmmsu.edu.ph/2021/12/08/7-artificial-reefs-installed-in-coastal-area-along-frti/" TargetMode="External"/><Relationship Id="rId22" Type="http://schemas.openxmlformats.org/officeDocument/2006/relationships/hyperlink" Target="https://m.facebook.com/permalink.php?id=336893718203&amp;story_fbid=10157795137738204" TargetMode="External"/><Relationship Id="rId21" Type="http://schemas.openxmlformats.org/officeDocument/2006/relationships/hyperlink" Target="http://pubs.iclarm.net/libinfo/Pdf/Pub%20CP6%2049.pdf" TargetMode="External"/><Relationship Id="rId24" Type="http://schemas.openxmlformats.org/officeDocument/2006/relationships/hyperlink" Target="http://pubs.iclarm.net/libinfo/Pdf/Pub%20CP6%2049.pdf" TargetMode="External"/><Relationship Id="rId23" Type="http://schemas.openxmlformats.org/officeDocument/2006/relationships/hyperlink" Target="https://www.pna.gov.ph/articles/1195285" TargetMode="External"/><Relationship Id="rId26" Type="http://schemas.openxmlformats.org/officeDocument/2006/relationships/hyperlink" Target="https://pia.gov.ph/news/2022/07/18/jci-manila-installs-artificial-reefs-in-la-union" TargetMode="External"/><Relationship Id="rId25" Type="http://schemas.openxmlformats.org/officeDocument/2006/relationships/hyperlink" Target="https://free.facebook.com/media/set/?set=a.1575816015988174.1073741860.1418721221697655&amp;type=3&amp;_rdc=1&amp;_rdr" TargetMode="External"/><Relationship Id="rId28" Type="http://schemas.openxmlformats.org/officeDocument/2006/relationships/hyperlink" Target="http://pubs.iclarm.net/libinfo/Pdf/Pub%20CP6%2049.pdf" TargetMode="External"/><Relationship Id="rId27" Type="http://schemas.openxmlformats.org/officeDocument/2006/relationships/hyperlink" Target="https://amiananbalitangayon.com/la-union-sustains-living-shorelines-deploys-artificial-reefs/" TargetMode="External"/><Relationship Id="rId29" Type="http://schemas.openxmlformats.org/officeDocument/2006/relationships/hyperlink" Target="http://pubs.iclarm.net/libinfo/Pdf/Pub%20CP6%2049.pdf" TargetMode="External"/><Relationship Id="rId11" Type="http://schemas.openxmlformats.org/officeDocument/2006/relationships/hyperlink" Target="https://web.facebook.com/permalink.php?id=978493562286545&amp;story_fbid=1211788355623730&amp;_rdc=1&amp;_rdr" TargetMode="External"/><Relationship Id="rId10" Type="http://schemas.openxmlformats.org/officeDocument/2006/relationships/hyperlink" Target="http://pubs.iclarm.net/libinfo/Pdf/Pub%20CP6%2049.pdf" TargetMode="External"/><Relationship Id="rId13" Type="http://schemas.openxmlformats.org/officeDocument/2006/relationships/hyperlink" Target="http://pubs.iclarm.net/libinfo/Pdf/Pub%20CP6%2049.pdf" TargetMode="External"/><Relationship Id="rId12" Type="http://schemas.openxmlformats.org/officeDocument/2006/relationships/hyperlink" Target="http://pubs.iclarm.net/libinfo/Pdf/Pub%20CP6%2049.pdf" TargetMode="External"/><Relationship Id="rId15" Type="http://schemas.openxmlformats.org/officeDocument/2006/relationships/hyperlink" Target="http://pubs.iclarm.net/libinfo/Pdf/Pub%20CP6%2049.pdf" TargetMode="External"/><Relationship Id="rId14" Type="http://schemas.openxmlformats.org/officeDocument/2006/relationships/hyperlink" Target="http://pubs.iclarm.net/libinfo/Pdf/Pub%20CP6%2049.pdf"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pubs.iclarm.net/libinfo/Pdf/Pub%20CP6%2049.pdf" TargetMode="External"/><Relationship Id="rId19" Type="http://schemas.openxmlformats.org/officeDocument/2006/relationships/hyperlink" Target="https://amiananbalitangayon.com/la-union-sustains-living-shorelines-deploys-artificial-reefs/" TargetMode="External"/><Relationship Id="rId18" Type="http://schemas.openxmlformats.org/officeDocument/2006/relationships/hyperlink" Target="http://pubs.iclarm.net/libinfo/Pdf/Pub%20CP6%2049.pdf" TargetMode="External"/><Relationship Id="rId84" Type="http://schemas.openxmlformats.org/officeDocument/2006/relationships/hyperlink" Target="https://www.jgsummit.com.ph/impact/jgspg-s-artificial-reef-project-continues-to-attract-marine-life-20190629" TargetMode="External"/><Relationship Id="rId83" Type="http://schemas.openxmlformats.org/officeDocument/2006/relationships/hyperlink" Target="https://www.panaynews.net/smpc-turns-over-40-fiberglass-bancas-for-fishing-livelihood/" TargetMode="External"/><Relationship Id="rId86" Type="http://schemas.openxmlformats.org/officeDocument/2006/relationships/hyperlink" Target="https://www.portulano.com/activities" TargetMode="External"/><Relationship Id="rId85" Type="http://schemas.openxmlformats.org/officeDocument/2006/relationships/hyperlink" Target="https://www.jgsummit.com.ph/impact/jgspg-s-artificial-reef-project-continues-to-attract-marine-life-20190629" TargetMode="External"/><Relationship Id="rId88" Type="http://schemas.openxmlformats.org/officeDocument/2006/relationships/hyperlink" Target="http://www.coralmovement.org/" TargetMode="External"/><Relationship Id="rId87" Type="http://schemas.openxmlformats.org/officeDocument/2006/relationships/hyperlink" Target="http://pubs.iclarm.net/libinfo/Pdf/Pub%20CP6%2049.pdf" TargetMode="External"/><Relationship Id="rId89" Type="http://schemas.openxmlformats.org/officeDocument/2006/relationships/hyperlink" Target="https://web.facebook.com/watch/?v=2145212505517713" TargetMode="External"/><Relationship Id="rId80" Type="http://schemas.openxmlformats.org/officeDocument/2006/relationships/hyperlink" Target="https://business.inquirer.net/356210/sustainability-as-the-key-to-resiliency" TargetMode="External"/><Relationship Id="rId82" Type="http://schemas.openxmlformats.org/officeDocument/2006/relationships/hyperlink" Target="https://newsinfo.inquirer.net/1416313/beach-resort-in-subic-bay-turns-to-artificial-coral-reefs-to-preserve-marine-ecosystem" TargetMode="External"/><Relationship Id="rId81" Type="http://schemas.openxmlformats.org/officeDocument/2006/relationships/hyperlink" Target="https://punto.com.ph/artificial-reef-itinanim-sa-subic-bay/" TargetMode="External"/><Relationship Id="rId73" Type="http://schemas.openxmlformats.org/officeDocument/2006/relationships/hyperlink" Target="https://www.abs-cbn.com/news/nation/2025/2/5/ilang-device-na-gamit-umano-sa-pang-eespiya-nakuha-mula-sa-hinihinalang-chinese-spy-1912" TargetMode="External"/><Relationship Id="rId72" Type="http://schemas.openxmlformats.org/officeDocument/2006/relationships/hyperlink" Target="https://mb.com.ph/2022/3/7/artificial-reefs-watch-tower-in-coastal-pangasinan-town-launched" TargetMode="External"/><Relationship Id="rId75" Type="http://schemas.openxmlformats.org/officeDocument/2006/relationships/hyperlink" Target="https://punto.com.ph/artificial-reef-itinanim-sa-subic-bay/" TargetMode="External"/><Relationship Id="rId74" Type="http://schemas.openxmlformats.org/officeDocument/2006/relationships/hyperlink" Target="http://pemsea.org/sites/default/files/SOC%20Bataan.pdf" TargetMode="External"/><Relationship Id="rId77" Type="http://schemas.openxmlformats.org/officeDocument/2006/relationships/hyperlink" Target="https://1bataan.com/morong-town-soon-to-be-a-diving-spot/" TargetMode="External"/><Relationship Id="rId76" Type="http://schemas.openxmlformats.org/officeDocument/2006/relationships/hyperlink" Target="https://1bataan.com/morong-town-soon-to-be-a-diving-spot/" TargetMode="External"/><Relationship Id="rId79" Type="http://schemas.openxmlformats.org/officeDocument/2006/relationships/hyperlink" Target="http://oneocean.org/download/db_files/directory_of_crm_destinations2Ed.pdf" TargetMode="External"/><Relationship Id="rId78" Type="http://schemas.openxmlformats.org/officeDocument/2006/relationships/hyperlink" Target="https://mobile.facebook.com/playalacaletabataan/posts/3079682972247006/?_rdc=1&amp;_rdr" TargetMode="External"/><Relationship Id="rId71" Type="http://schemas.openxmlformats.org/officeDocument/2006/relationships/hyperlink" Target="https://www.sciencedirect.com/science/article/abs/pii/S0022098116301873" TargetMode="External"/><Relationship Id="rId70" Type="http://schemas.openxmlformats.org/officeDocument/2006/relationships/hyperlink" Target="https://www.researchgate.net/publication/282149376_Assessing_an_abridged_nursery_phase_for_slow_growing_corals_used_in_coral_restoration" TargetMode="External"/><Relationship Id="rId62" Type="http://schemas.openxmlformats.org/officeDocument/2006/relationships/hyperlink" Target="mailto:gidi.levi@gmail.com" TargetMode="External"/><Relationship Id="rId61" Type="http://schemas.openxmlformats.org/officeDocument/2006/relationships/hyperlink" Target="https://www.sciencedirect.com/science/article/abs/pii/S0925857409003498" TargetMode="External"/><Relationship Id="rId64" Type="http://schemas.openxmlformats.org/officeDocument/2006/relationships/hyperlink" Target="https://www.academia.edu/25026620/How_Quickly_do_Fragments_of_Coral_Self_Attach_after_Transplantation" TargetMode="External"/><Relationship Id="rId63" Type="http://schemas.openxmlformats.org/officeDocument/2006/relationships/hyperlink" Target="https://www.tandfonline.com/doi/abs/10.1080/08920753.2011.600240?journalCode=ucmg20" TargetMode="External"/><Relationship Id="rId66" Type="http://schemas.openxmlformats.org/officeDocument/2006/relationships/hyperlink" Target="https://zoologicalstudies.springeropen.com/articles/10.1186/1810-522X-52-44" TargetMode="External"/><Relationship Id="rId65" Type="http://schemas.openxmlformats.org/officeDocument/2006/relationships/hyperlink" Target="mailto:james.guest@nus.edu.sg" TargetMode="External"/><Relationship Id="rId68" Type="http://schemas.openxmlformats.org/officeDocument/2006/relationships/hyperlink" Target="https://link.springer.com/article/10.1007/s00338-013-1114-1" TargetMode="External"/><Relationship Id="rId67" Type="http://schemas.openxmlformats.org/officeDocument/2006/relationships/hyperlink" Target="https://academic.oup.com/icesjms/article/71/7/1866/664250" TargetMode="External"/><Relationship Id="rId60" Type="http://schemas.openxmlformats.org/officeDocument/2006/relationships/hyperlink" Target="https://www.researchgate.net/publication/223475676_Caging_enhances_post-settlement_survival_of_juveniles_of_the_scleractinian_coral_Acropora_tenuis" TargetMode="External"/><Relationship Id="rId69" Type="http://schemas.openxmlformats.org/officeDocument/2006/relationships/hyperlink" Target="mailto:jrguest@gmail.com" TargetMode="External"/><Relationship Id="rId51" Type="http://schemas.openxmlformats.org/officeDocument/2006/relationships/hyperlink" Target="https://www.sciencedirect.com/science/article/abs/pii/S0025326X0300064X" TargetMode="External"/><Relationship Id="rId50" Type="http://schemas.openxmlformats.org/officeDocument/2006/relationships/hyperlink" Target="https://www.int-res.com/articles/meps/83/m083p091.pdf" TargetMode="External"/><Relationship Id="rId53" Type="http://schemas.openxmlformats.org/officeDocument/2006/relationships/hyperlink" Target="https://www.sciencedirect.com/science/article/abs/pii/S0025326X05001669?via%3Dihub" TargetMode="External"/><Relationship Id="rId52" Type="http://schemas.openxmlformats.org/officeDocument/2006/relationships/hyperlink" Target="https://www.sciencedirect.com/science/article/abs/pii/S0025326X04000712?via%3Dihub" TargetMode="External"/><Relationship Id="rId55" Type="http://schemas.openxmlformats.org/officeDocument/2006/relationships/hyperlink" Target="https://www.researchgate.net/publication/227686360_Comparison_of_three_types_of_adhesive_in_attaching_coral_transplants_to_clam_shell_substrates" TargetMode="External"/><Relationship Id="rId54" Type="http://schemas.openxmlformats.org/officeDocument/2006/relationships/hyperlink" Target="https://pubmed.ncbi.nlm.nih.gov/32275570/" TargetMode="External"/><Relationship Id="rId57" Type="http://schemas.openxmlformats.org/officeDocument/2006/relationships/hyperlink" Target="mailto:lishaish@yahoo.com" TargetMode="External"/><Relationship Id="rId56" Type="http://schemas.openxmlformats.org/officeDocument/2006/relationships/hyperlink" Target="https://www.sciencedirect.com/science/article/abs/pii/S002209810800066X?via%3Dihub" TargetMode="External"/><Relationship Id="rId59" Type="http://schemas.openxmlformats.org/officeDocument/2006/relationships/hyperlink" Target="mailto:lishaish@yahoo.com" TargetMode="External"/><Relationship Id="rId58" Type="http://schemas.openxmlformats.org/officeDocument/2006/relationships/hyperlink" Target="https://www.sciencedirect.com/science/article/abs/pii/S092585741000176X" TargetMode="External"/><Relationship Id="rId107" Type="http://schemas.openxmlformats.org/officeDocument/2006/relationships/hyperlink" Target="https://mb.com.ph/2021/06/24/filipinnovation-mimaropas-first-large-scale-coral-restoration-project-already-started/" TargetMode="External"/><Relationship Id="rId228" Type="http://schemas.openxmlformats.org/officeDocument/2006/relationships/hyperlink" Target="https://mobile.facebook.com/watch/?v=381675062720602&amp;paipv=0&amp;eav=AfYwcIL9NxwTN4aCbErewJy7tTD3nrufxoQ6KHefWVVRdYsV3q7dl44iSGOHSXvUCgs&amp;_rdr" TargetMode="External"/><Relationship Id="rId106" Type="http://schemas.openxmlformats.org/officeDocument/2006/relationships/hyperlink" Target="https://core.ac.uk/download/pdf/6515223.pdf;" TargetMode="External"/><Relationship Id="rId227" Type="http://schemas.openxmlformats.org/officeDocument/2006/relationships/hyperlink" Target="https://philippinemorningpost.com/underwater-experience-in-samal-island/" TargetMode="External"/><Relationship Id="rId105" Type="http://schemas.openxmlformats.org/officeDocument/2006/relationships/hyperlink" Target="https://core.ac.uk/download/pdf/6515223.pdf;" TargetMode="External"/><Relationship Id="rId226" Type="http://schemas.openxmlformats.org/officeDocument/2006/relationships/hyperlink" Target="https://www.sunstar.com.ph/article/1837913/davao/local-news/denr-rehabilitates-3-hectares-of-coral-reef" TargetMode="External"/><Relationship Id="rId104" Type="http://schemas.openxmlformats.org/officeDocument/2006/relationships/hyperlink" Target="https://www.rotary.org/en/giant-rotary-wheel-haven-fish-philippines" TargetMode="External"/><Relationship Id="rId225" Type="http://schemas.openxmlformats.org/officeDocument/2006/relationships/hyperlink" Target="https://savethephilippinecoralreefs.wordpress.com/page/10/?controllername=search&amp;action=search&amp;channel=world&amp;search=1&amp;inlinelink=1&amp;query=-paul%20fong-" TargetMode="External"/><Relationship Id="rId109" Type="http://schemas.openxmlformats.org/officeDocument/2006/relationships/hyperlink" Target="https://sevenseasmedia.org/biri-initiative-story-on-coral-restoration/" TargetMode="External"/><Relationship Id="rId108" Type="http://schemas.openxmlformats.org/officeDocument/2006/relationships/hyperlink" Target="https://savethephilippinecoralreefs.wordpress.com/2013/03/24/rvs-4-star-mariculture-coral-farm-brakes-ground-in-the-philippines/" TargetMode="External"/><Relationship Id="rId229" Type="http://schemas.openxmlformats.org/officeDocument/2006/relationships/hyperlink" Target="https://www.phoenixfuels.ph/phoenix-helps-save-marine-life-through-artificial-reefs/" TargetMode="External"/><Relationship Id="rId220"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03" Type="http://schemas.openxmlformats.org/officeDocument/2006/relationships/hyperlink" Target="https://aquadocs.org/bitstream/handle/1834/40478/GomezED2006.pdf?sequence=1&amp;isAllowed=y" TargetMode="External"/><Relationship Id="rId224" Type="http://schemas.openxmlformats.org/officeDocument/2006/relationships/hyperlink" Target="https://web.facebook.com/CMOUEM2018/posts/24-august-19-the-naval-forces-eastern-mindanao-nfem-civil-military-operations-un/1349837585154833/?_rdc=1&amp;_rdr" TargetMode="External"/><Relationship Id="rId102" Type="http://schemas.openxmlformats.org/officeDocument/2006/relationships/hyperlink" Target="https://www.thescubanews.com/2014/08/06/reefbud-technology-downsized-to-broaden-appeal/" TargetMode="External"/><Relationship Id="rId223" Type="http://schemas.openxmlformats.org/officeDocument/2006/relationships/hyperlink" Target="http://allhonestreviews.blogspot.com/2012/08/launching-of-jci-manila-sea-of-life.html" TargetMode="External"/><Relationship Id="rId101" Type="http://schemas.openxmlformats.org/officeDocument/2006/relationships/hyperlink" Target="https://core.ac.uk/download/pdf/6515223.pdf" TargetMode="External"/><Relationship Id="rId222" Type="http://schemas.openxmlformats.org/officeDocument/2006/relationships/hyperlink" Target="https://www.xu.edu.ph/images/publication/newsletters/pagtaob/documents/PAGTAOB_V3_I1.pdf" TargetMode="External"/><Relationship Id="rId100" Type="http://schemas.openxmlformats.org/officeDocument/2006/relationships/hyperlink" Target="https://www.lemongreenteaph.com/2018/11/jci-manila-and-gold-seas-tuna-chunks.html" TargetMode="External"/><Relationship Id="rId221" Type="http://schemas.openxmlformats.org/officeDocument/2006/relationships/hyperlink" Target="https://issuu.com/sudaria_publications/docs/cdotimes_april_16-22__2016" TargetMode="External"/><Relationship Id="rId217" Type="http://schemas.openxmlformats.org/officeDocument/2006/relationships/hyperlink" Target="https://www.philstar.com/business/business-as-usual/2006/04/24/333050/duka-bay-ecological-business-paradigm" TargetMode="External"/><Relationship Id="rId216"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4" Type="http://schemas.openxmlformats.org/officeDocument/2006/relationships/hyperlink" Target="https://www.youtube.com/watch?v=7NBc_NGXqEA" TargetMode="External"/><Relationship Id="rId219" Type="http://schemas.openxmlformats.org/officeDocument/2006/relationships/hyperlink" Target="https://www.eco-business.com/news/sustainable-coral-nurseries-ensure-future-of-philippine-coral-reefs/" TargetMode="External"/><Relationship Id="rId21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3" Type="http://schemas.openxmlformats.org/officeDocument/2006/relationships/hyperlink" Target="http://www.pmocdo.ppa.com.ph/pmo-mo-c-expands-initiatives-for-environment-conservation/" TargetMode="External"/><Relationship Id="rId212" Type="http://schemas.openxmlformats.org/officeDocument/2006/relationships/hyperlink" Target="https://www.pna.gov.ph/articles/1095764" TargetMode="External"/><Relationship Id="rId211" Type="http://schemas.openxmlformats.org/officeDocument/2006/relationships/hyperlink" Target="https://www.pna.gov.ph/articles/1095764" TargetMode="External"/><Relationship Id="rId210" Type="http://schemas.openxmlformats.org/officeDocument/2006/relationships/hyperlink" Target="https://web.facebook.com/CityAgricultureCDO/posts/1818126778356518/?paipv=0&amp;eav=AfZRQmJgGSI0L2g9U65jABSY00S9bkGu4Mij9M1M--6CIMfEuumw-Pv07pQ30DTpugs&amp;_rdc=1&amp;_rdr" TargetMode="External"/><Relationship Id="rId129" Type="http://schemas.openxmlformats.org/officeDocument/2006/relationships/hyperlink" Target="https://www.panaynews.net/aklan-turns-61/" TargetMode="External"/><Relationship Id="rId128" Type="http://schemas.openxmlformats.org/officeDocument/2006/relationships/hyperlink" Target="https://www.nzdl.org/cgi-bin/library?e=d-00000-00---off-0hdl--00-0----0-10-0---0---0direct-10---4-------0-1l--11-en-50---20-about---00-0-1-00-0--4----0-0-11-10-0utfZz-8-10&amp;cl=CL2.17.2&amp;d=HASHfc8d613128f6e253a7fd93.6&amp;gc=1" TargetMode="External"/><Relationship Id="rId249" Type="http://schemas.openxmlformats.org/officeDocument/2006/relationships/hyperlink" Target="https://www.philippinenickel.org/news-and-updates/press-release/pgmcs-coral-transplantation-in-lambason-millari-island-marine-sanctuary/" TargetMode="External"/><Relationship Id="rId127" Type="http://schemas.openxmlformats.org/officeDocument/2006/relationships/hyperlink" Target="https://kochi.repo.nii.ac.jp/?action=repository_action_common_download&amp;item_id=8640&amp;item_no=1&amp;attribute_id=17&amp;file_no=1" TargetMode="External"/><Relationship Id="rId248" Type="http://schemas.openxmlformats.org/officeDocument/2006/relationships/hyperlink" Target="https://caraga.bfar.da.gov.ph/wp-content/uploads/2022/12/Annual-Report-2019.pdf" TargetMode="External"/><Relationship Id="rId126" Type="http://schemas.openxmlformats.org/officeDocument/2006/relationships/hyperlink" Target="https://web.facebook.com/nia.buitizon/videos/404223295357898" TargetMode="External"/><Relationship Id="rId247" Type="http://schemas.openxmlformats.org/officeDocument/2006/relationships/hyperlink" Target="https://www.philstar.com/other-sections/starweek-magazine/2001/06/17/127209/butuan-waters-live-again" TargetMode="External"/><Relationship Id="rId121" Type="http://schemas.openxmlformats.org/officeDocument/2006/relationships/hyperlink" Target="https://kochi.repo.nii.ac.jp/?action=repository_action_common_download&amp;item_id=8640&amp;item_no=1&amp;attribute_id=17&amp;file_no=1" TargetMode="External"/><Relationship Id="rId242" Type="http://schemas.openxmlformats.org/officeDocument/2006/relationships/hyperlink" Target="https://clafi.org/our_work_categories/environment-protection-and-conservation-projects/" TargetMode="External"/><Relationship Id="rId120" Type="http://schemas.openxmlformats.org/officeDocument/2006/relationships/hyperlink" Target="https://newsinfo.inquirer.net/460845/helping-coral-reefs-with-beads-of-faith" TargetMode="External"/><Relationship Id="rId241" Type="http://schemas.openxmlformats.org/officeDocument/2006/relationships/hyperlink" Target="https://www.philstar.com/other-sections/the-good-news/2015/11/23/1524749/saranganis-kamanga-marine-eco-tourism-park-and-sanctuary-cited-one-philippines-best" TargetMode="External"/><Relationship Id="rId240" Type="http://schemas.openxmlformats.org/officeDocument/2006/relationships/hyperlink" Target="https://www.emecs.or.jp/en/wp-content/uploads/2023/03/129.pdf" TargetMode="External"/><Relationship Id="rId125" Type="http://schemas.openxmlformats.org/officeDocument/2006/relationships/hyperlink" Target="https://r5.denr.gov.ph/index.php/news-events/photo-releases/1292-coral-reef-restoration-at-gamban-reef" TargetMode="External"/><Relationship Id="rId246" Type="http://schemas.openxmlformats.org/officeDocument/2006/relationships/hyperlink" Target="https://web.facebook.com/butuancitypioofficial/posts/35-artificial-reefs-gi-instalar-sa-fish-sanctuary-sa-brgy-masao-sa-butuannagtamb/3347562868625222/?_rdc=1&amp;_rdr" TargetMode="External"/><Relationship Id="rId124" Type="http://schemas.openxmlformats.org/officeDocument/2006/relationships/hyperlink" Target="https://web.facebook.com/109393900941452/videos/836922833909809" TargetMode="External"/><Relationship Id="rId245" Type="http://schemas.openxmlformats.org/officeDocument/2006/relationships/hyperlink" Target="https://web.facebook.com/LGUbuenavistaagriculture" TargetMode="External"/><Relationship Id="rId123" Type="http://schemas.openxmlformats.org/officeDocument/2006/relationships/hyperlink" Target="https://ejournals.ph/article.php?id=15657" TargetMode="External"/><Relationship Id="rId244" Type="http://schemas.openxmlformats.org/officeDocument/2006/relationships/hyperlink" Target="https://web.facebook.com/photo/?fbid=434871958676768&amp;set=pcb.434872188676745" TargetMode="External"/><Relationship Id="rId122" Type="http://schemas.openxmlformats.org/officeDocument/2006/relationships/hyperlink" Target="https://brigadanews.ph/artificial-coral-reefs-inilagay-sa-karagatang-sakop-ng-jose-panganiban-bahagi-ng-marine-protected-areas-idedeklarang-fish-santuary-ng-lgu/" TargetMode="External"/><Relationship Id="rId243" Type="http://schemas.openxmlformats.org/officeDocument/2006/relationships/hyperlink" Target="https://caraga.bfar.da.gov.ph/wp-content/uploads/2022/12/Annual-Report-2018.pdf" TargetMode="External"/><Relationship Id="rId95" Type="http://schemas.openxmlformats.org/officeDocument/2006/relationships/hyperlink" Target="https://www.bworldonline.com/weekender/environment/2016/07/01/5884/coral-laboratory-grows-in-batangas/" TargetMode="External"/><Relationship Id="rId94" Type="http://schemas.openxmlformats.org/officeDocument/2006/relationships/hyperlink" Target="https://www.shearwater.com/monthly-blog-posts/paradiso-rito-and-redeem-the-reef-project-a-glimmer-of-hope-for-verde-island-passage/" TargetMode="External"/><Relationship Id="rId97" Type="http://schemas.openxmlformats.org/officeDocument/2006/relationships/hyperlink" Target="http://pusod.org/pusod/building-artificial-habitats-in-barangay-calayo/" TargetMode="External"/><Relationship Id="rId96" Type="http://schemas.openxmlformats.org/officeDocument/2006/relationships/hyperlink" Target="https://manilaustimes.wordpress.com/2012/05/17/rotary-club-launches-adopt-a-coral-in-nasugbu/" TargetMode="External"/><Relationship Id="rId99" Type="http://schemas.openxmlformats.org/officeDocument/2006/relationships/hyperlink" Target="https://www.ircwash.org/sites/default/files/802-PH90-8920.pdf" TargetMode="External"/><Relationship Id="rId98" Type="http://schemas.openxmlformats.org/officeDocument/2006/relationships/hyperlink" Target="https://www.ircwash.org/sites/default/files/802-PH90-8920.pdf" TargetMode="External"/><Relationship Id="rId91" Type="http://schemas.openxmlformats.org/officeDocument/2006/relationships/hyperlink" Target="http://pusod.org/pusod/artificial-habitat-units-fabrication/" TargetMode="External"/><Relationship Id="rId90" Type="http://schemas.openxmlformats.org/officeDocument/2006/relationships/hyperlink" Target="http://oneocean.org/download/db_files/directory_of_crm_destinations2Ed.pdf" TargetMode="External"/><Relationship Id="rId93" Type="http://schemas.openxmlformats.org/officeDocument/2006/relationships/hyperlink" Target="https://www.thescubanews.com/2014/08/06/reefbud-technology-downsized-to-broaden-appeal/" TargetMode="External"/><Relationship Id="rId92" Type="http://schemas.openxmlformats.org/officeDocument/2006/relationships/hyperlink" Target="https://www.sentineltimes.net/2022/09/artificial-coral-reefs-in-town-of-lobo.html" TargetMode="External"/><Relationship Id="rId118" Type="http://schemas.openxmlformats.org/officeDocument/2006/relationships/hyperlink" Target="https://web.facebook.com/photo/?fbid=25137872482494016&amp;set=pcb.25137873715827226" TargetMode="External"/><Relationship Id="rId239" Type="http://schemas.openxmlformats.org/officeDocument/2006/relationships/hyperlink" Target="https://www.pna.gov.ph/articles/1116952" TargetMode="External"/><Relationship Id="rId117" Type="http://schemas.openxmlformats.org/officeDocument/2006/relationships/hyperlink" Target="https://www.facebook.com/photo.php?fbid=1006552911501040&amp;id=100064390224437&amp;set=a.600940552062280&amp;_rdc=2&amp;_rdr" TargetMode="External"/><Relationship Id="rId238" Type="http://schemas.openxmlformats.org/officeDocument/2006/relationships/hyperlink" Target="https://35.229.131.110/node/60" TargetMode="External"/><Relationship Id="rId116" Type="http://schemas.openxmlformats.org/officeDocument/2006/relationships/hyperlink" Target="https://cbartazo.com/tag/diving-in-bicol/" TargetMode="External"/><Relationship Id="rId237" Type="http://schemas.openxmlformats.org/officeDocument/2006/relationships/hyperlink" Target="https://sgp.undp.org/spacial-itemid-projects-landing-page/spacial-itemid-project-search-results/spacial-itemid-project-detailpage?view=projectdetail&amp;id=3748" TargetMode="External"/><Relationship Id="rId115" Type="http://schemas.openxmlformats.org/officeDocument/2006/relationships/hyperlink" Target="https://www.pna.gov.ph/articles/1171451" TargetMode="External"/><Relationship Id="rId236" Type="http://schemas.openxmlformats.org/officeDocument/2006/relationships/hyperlink" Target="mailto:dvgensan@yahoo.com.ph" TargetMode="External"/><Relationship Id="rId119" Type="http://schemas.openxmlformats.org/officeDocument/2006/relationships/hyperlink" Target="https://kochi.repo.nii.ac.jp/?action=repository_action_common_download&amp;item_id=8640&amp;item_no=1&amp;attribute_id=17&amp;file_no=1" TargetMode="External"/><Relationship Id="rId110" Type="http://schemas.openxmlformats.org/officeDocument/2006/relationships/hyperlink" Target="https://www.facebook.com/profile.php?id=61560256107542" TargetMode="External"/><Relationship Id="rId231" Type="http://schemas.openxmlformats.org/officeDocument/2006/relationships/hyperlink" Target="https://www.youtube.com/watch?v=6AfF_6TG2jE" TargetMode="External"/><Relationship Id="rId230" Type="http://schemas.openxmlformats.org/officeDocument/2006/relationships/hyperlink" Target="https://www.youtube.com/watch?v=J2E9tUJsTVo" TargetMode="External"/><Relationship Id="rId114" Type="http://schemas.openxmlformats.org/officeDocument/2006/relationships/hyperlink" Target="https://pia4b.wordpress.com/2013/01/22/abs-cbn-foundation-pinangasiwaan-ang-paglagay-ng-artificial-reefs-sa-lgu-san-fernando/" TargetMode="External"/><Relationship Id="rId235" Type="http://schemas.openxmlformats.org/officeDocument/2006/relationships/hyperlink" Target="https://www.gmanetwork.com/news/topstories/regions/47043/sun-star-3-500-artificial-reef-domes-set-up-in-sarangani-bay/story/" TargetMode="External"/><Relationship Id="rId113" Type="http://schemas.openxmlformats.org/officeDocument/2006/relationships/hyperlink" Target="mailto:cinzia.alessi01@community.unipa.it" TargetMode="External"/><Relationship Id="rId234" Type="http://schemas.openxmlformats.org/officeDocument/2006/relationships/hyperlink" Target="https://www.pna.gov.ph/articles/1038701" TargetMode="External"/><Relationship Id="rId112" Type="http://schemas.openxmlformats.org/officeDocument/2006/relationships/hyperlink" Target="https://sulubaai-foundation.com/wp-content/uploads/2019/07/Sulu-Reef-Prosthesis-a-new-method-in-restoration.pdf" TargetMode="External"/><Relationship Id="rId233" Type="http://schemas.openxmlformats.org/officeDocument/2006/relationships/hyperlink" Target="https://web.facebook.com/story.php?story_fbid=551153050380292&amp;id=100064568057133&amp;_rdc=1&amp;_rdr" TargetMode="External"/><Relationship Id="rId111" Type="http://schemas.openxmlformats.org/officeDocument/2006/relationships/hyperlink" Target="https://issuu.com/discoveryworldcorp/docs/2020_dwc_annual_report/1" TargetMode="External"/><Relationship Id="rId232" Type="http://schemas.openxmlformats.org/officeDocument/2006/relationships/hyperlink" Target="http://oneocean.org/about_crmp/98search.html" TargetMode="External"/><Relationship Id="rId206" Type="http://schemas.openxmlformats.org/officeDocument/2006/relationships/hyperlink" Target="https://issuu.com/piamindanao1/docs/august_27" TargetMode="External"/><Relationship Id="rId205" Type="http://schemas.openxmlformats.org/officeDocument/2006/relationships/hyperlink" Target="https://www.pna.gov.ph/articles/1124515" TargetMode="External"/><Relationship Id="rId204" Type="http://schemas.openxmlformats.org/officeDocument/2006/relationships/hyperlink" Target="https://psbalita.com/kaligkasan-pro-10-at-lgu-camiguin-nanguna-sa-paglagay-ng-artificial-reefs-sa-mantigue-island/" TargetMode="External"/><Relationship Id="rId203" Type="http://schemas.openxmlformats.org/officeDocument/2006/relationships/hyperlink" Target="https://issuu.com/piamindanao1/docs/august_27" TargetMode="External"/><Relationship Id="rId209" Type="http://schemas.openxmlformats.org/officeDocument/2006/relationships/hyperlink" Target="https://www.psdn.org.ph/sdvillage-ph/coastal/lpnig2.html" TargetMode="External"/><Relationship Id="rId208" Type="http://schemas.openxmlformats.org/officeDocument/2006/relationships/hyperlink" Target="https://www.ustp.edu.ph/bsmb-students-install-artificial-coral-reefs-in-panaon-coastal-waters/" TargetMode="External"/><Relationship Id="rId207" Type="http://schemas.openxmlformats.org/officeDocument/2006/relationships/hyperlink" Target="https://www.lakwatsero.com/dive-report/linamon-coral-transplanation-project-in-iligan-bay/" TargetMode="External"/><Relationship Id="rId202" Type="http://schemas.openxmlformats.org/officeDocument/2006/relationships/hyperlink" Target="mailto:sangkalikasan2016@gmail.com" TargetMode="External"/><Relationship Id="rId201" Type="http://schemas.openxmlformats.org/officeDocument/2006/relationships/hyperlink" Target="https://rpnradio.com/navy-frogmen-laid-artificial-coral-reefs-to-protect-pink-sand-sta-cruz-island-in-zamboanga/" TargetMode="External"/><Relationship Id="rId200" Type="http://schemas.openxmlformats.org/officeDocument/2006/relationships/hyperlink" Target="mailto:sangkalikasan2016@gmail.com" TargetMode="External"/></Relationships>
</file>

<file path=xl/worksheets/_rels/sheet14.xml.rels><?xml version="1.0" encoding="UTF-8" standalone="yes"?><Relationships xmlns="http://schemas.openxmlformats.org/package/2006/relationships"><Relationship Id="rId190" Type="http://schemas.openxmlformats.org/officeDocument/2006/relationships/hyperlink" Target="https://web.facebook.com/sogodbaycoralrestoration/?_rdc=1&amp;_rdr" TargetMode="External"/><Relationship Id="rId194" Type="http://schemas.openxmlformats.org/officeDocument/2006/relationships/hyperlink" Target="http://lagawmindanao.blogspot.com/2012/03/zamboanga-del-sur.html" TargetMode="External"/><Relationship Id="rId193" Type="http://schemas.openxmlformats.org/officeDocument/2006/relationships/hyperlink" Target="https://manilastandard.net/?p=198184" TargetMode="External"/><Relationship Id="rId192" Type="http://schemas.openxmlformats.org/officeDocument/2006/relationships/hyperlink" Target="https://www.facebook.com/media/set/?vanity=154004468006961&amp;set=a.7450109991729669" TargetMode="External"/><Relationship Id="rId191" Type="http://schemas.openxmlformats.org/officeDocument/2006/relationships/hyperlink" Target="https://web.facebook.com/media/set/?set=a.1831074026966655&amp;type=3" TargetMode="External"/><Relationship Id="rId187" Type="http://schemas.openxmlformats.org/officeDocument/2006/relationships/hyperlink" Target="https://www.facebook.com/photo/?fbid=10211996711851597&amp;set=a.10211341284986335" TargetMode="External"/><Relationship Id="rId186" Type="http://schemas.openxmlformats.org/officeDocument/2006/relationships/hyperlink" Target="http://oneocean.org/download/db_files/directory_of_crm_destinations2Ed.pdf" TargetMode="External"/><Relationship Id="rId185" Type="http://schemas.openxmlformats.org/officeDocument/2006/relationships/hyperlink" Target="https://sevenseasmedia.org/biri-initiative-story-on-coral-restoration/" TargetMode="External"/><Relationship Id="rId184" Type="http://schemas.openxmlformats.org/officeDocument/2006/relationships/hyperlink" Target="https://sevenseasmedia.org/biri-initiative-story-on-coral-restoration/" TargetMode="External"/><Relationship Id="rId189" Type="http://schemas.openxmlformats.org/officeDocument/2006/relationships/hyperlink" Target="http://www.cebu-philippines.net/marine-life-in-southern-leyte.html" TargetMode="External"/><Relationship Id="rId188" Type="http://schemas.openxmlformats.org/officeDocument/2006/relationships/hyperlink" Target="mailto:arpee55@yahoo.com" TargetMode="External"/><Relationship Id="rId183" Type="http://schemas.openxmlformats.org/officeDocument/2006/relationships/hyperlink" Target="http://oneocean.org/download/db_files/directory_of_crm_destinations2Ed.pdf" TargetMode="External"/><Relationship Id="rId182" Type="http://schemas.openxmlformats.org/officeDocument/2006/relationships/hyperlink" Target="http://oneocean.org/download/db_files/directory_of_crm_destinations2Ed.pdf" TargetMode="External"/><Relationship Id="rId181" Type="http://schemas.openxmlformats.org/officeDocument/2006/relationships/hyperlink" Target="https://cng-cdn.oxfam.org/philippines.oxfam.org/s3fs-public/file_attachments/Oxfam%20sa%20Pilipinas%20Annual%20Report%202016.pdf" TargetMode="External"/><Relationship Id="rId180" Type="http://schemas.openxmlformats.org/officeDocument/2006/relationships/hyperlink" Target="https://journals.upd.edu.ph/index.php/sciencediliman/article/download/6423/5632" TargetMode="External"/><Relationship Id="rId176" Type="http://schemas.openxmlformats.org/officeDocument/2006/relationships/hyperlink" Target="https://journal.com.ph/community-project-under-dswd-revives-marine-ecosystem-battered-by-typhoons/" TargetMode="External"/><Relationship Id="rId175" Type="http://schemas.openxmlformats.org/officeDocument/2006/relationships/hyperlink" Target="http://www.coralmovement.org/" TargetMode="External"/><Relationship Id="rId174" Type="http://schemas.openxmlformats.org/officeDocument/2006/relationships/hyperlink" Target="https://www.divescotty.com/underwater-blog/blog-february-14-2018.php" TargetMode="External"/><Relationship Id="rId295" Type="http://schemas.openxmlformats.org/officeDocument/2006/relationships/drawing" Target="../drawings/drawing14.xml"/><Relationship Id="rId173"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94" Type="http://schemas.openxmlformats.org/officeDocument/2006/relationships/hyperlink" Target="mailto:shalu002@fiu.edu" TargetMode="External"/><Relationship Id="rId179" Type="http://schemas.openxmlformats.org/officeDocument/2006/relationships/hyperlink" Target="https://www.sunstar.com.ph/article/385473/denr-7-plants-1t-artificial-reefs-" TargetMode="External"/><Relationship Id="rId178" Type="http://schemas.openxmlformats.org/officeDocument/2006/relationships/hyperlink" Target="https://aquadocs.org/bitstream/handle/1834/40478/GomezED2006.pdf?sequence=1&amp;isAllowed=y" TargetMode="External"/><Relationship Id="rId177" Type="http://schemas.openxmlformats.org/officeDocument/2006/relationships/hyperlink" Target="https://www.researchgate.net/publication/305770156_Coral_reef_resource_management_in_the_Philippines_-_with_focus_on_marine_protected_areas_as_a_management_tool" TargetMode="External"/><Relationship Id="rId198" Type="http://schemas.openxmlformats.org/officeDocument/2006/relationships/hyperlink" Target="mailto:sangkalikasan2016@gmail.com" TargetMode="External"/><Relationship Id="rId197" Type="http://schemas.openxmlformats.org/officeDocument/2006/relationships/hyperlink" Target="https://rpnradio.com/navy-frogmen-laid-artificial-coral-reefs-to-protect-pink-sand-sta-cruz-island-in-zamboanga/" TargetMode="External"/><Relationship Id="rId196" Type="http://schemas.openxmlformats.org/officeDocument/2006/relationships/hyperlink" Target="mailto:sangkalikasan2016@gmail.com" TargetMode="External"/><Relationship Id="rId195" Type="http://schemas.openxmlformats.org/officeDocument/2006/relationships/hyperlink" Target="https://web.facebook.com/people/PCGA-312th-Auxiliary-Squadron/100064379604303/?_rdc=1&amp;_rdr" TargetMode="External"/><Relationship Id="rId199" Type="http://schemas.openxmlformats.org/officeDocument/2006/relationships/hyperlink" Target="https://issuu.com/piamindanao1/docs/august_27" TargetMode="External"/><Relationship Id="rId150" Type="http://schemas.openxmlformats.org/officeDocument/2006/relationships/hyperlink" Target="https://admin.concern.net/sites/default/files/media/migrated/_supporting_recovery_of_fishing_livelihoods_mangroves_and_coral_reefs_in_the_philippines_0.pdf" TargetMode="External"/><Relationship Id="rId271" Type="http://schemas.openxmlformats.org/officeDocument/2006/relationships/hyperlink" Target="https://www.sunstar.com.ph/article/385473/denr-7-plants-1t-artificial-reefs-" TargetMode="External"/><Relationship Id="rId270" Type="http://schemas.openxmlformats.org/officeDocument/2006/relationships/hyperlink" Target="https://core.ac.uk/download/pdf/6515223.pdf" TargetMode="External"/><Relationship Id="rId1" Type="http://schemas.openxmlformats.org/officeDocument/2006/relationships/hyperlink" Target="https://web.facebook.com/watch/?v=372900961253018" TargetMode="External"/><Relationship Id="rId2" Type="http://schemas.openxmlformats.org/officeDocument/2006/relationships/hyperlink" Target="https://rpnradio.com/the-corals-of-currimao/" TargetMode="External"/><Relationship Id="rId3" Type="http://schemas.openxmlformats.org/officeDocument/2006/relationships/hyperlink" Target="https://www.ircwash.org/sites/default/files/802-PH90-8920.pdf" TargetMode="External"/><Relationship Id="rId149" Type="http://schemas.openxmlformats.org/officeDocument/2006/relationships/hyperlink" Target="https://www.rappler.com/moveph/145137-iloilo-fishermen-lead-coastal-management/" TargetMode="External"/><Relationship Id="rId4" Type="http://schemas.openxmlformats.org/officeDocument/2006/relationships/hyperlink" Target="http://pubs.iclarm.net/libinfo/Pdf/Pub%20CP6%2049.pdf" TargetMode="External"/><Relationship Id="rId148" Type="http://schemas.openxmlformats.org/officeDocument/2006/relationships/hyperlink" Target="https://www.crc.uri.edu/download/CB_000E.pdf" TargetMode="External"/><Relationship Id="rId269" Type="http://schemas.openxmlformats.org/officeDocument/2006/relationships/hyperlink" Target="https://aquadocs.org/bitstream/handle/1834/40478/GomezED2006.pdf?sequence=1&amp;isAllowed=y" TargetMode="External"/><Relationship Id="rId9" Type="http://schemas.openxmlformats.org/officeDocument/2006/relationships/hyperlink" Target="http://lgucabugao.blogspot.com/2013/06/artificial-reef-naitapog-para-iti-2.html" TargetMode="External"/><Relationship Id="rId143" Type="http://schemas.openxmlformats.org/officeDocument/2006/relationships/hyperlink" Target="https://www.researchgate.net/publication/233680292_The_potential_of_artificial_reefs_as_fisheries_management_tools_in_developing_countries" TargetMode="External"/><Relationship Id="rId264" Type="http://schemas.openxmlformats.org/officeDocument/2006/relationships/hyperlink" Target="https://core.ac.uk/download/pdf/6515223.pdf" TargetMode="External"/><Relationship Id="rId142" Type="http://schemas.openxmlformats.org/officeDocument/2006/relationships/hyperlink" Target="http://roxascity.gov.ph/roxas-city-receives-p1m-for-560-units-jackstone-type-artificial-reefs-project/" TargetMode="External"/><Relationship Id="rId263" Type="http://schemas.openxmlformats.org/officeDocument/2006/relationships/hyperlink" Target="https://www.sunstar.com.ph/article/385473/denr-7-plants-1t-artificial-reefs-" TargetMode="External"/><Relationship Id="rId141" Type="http://schemas.openxmlformats.org/officeDocument/2006/relationships/hyperlink" Target="https://www.panaynews.net/smpc-turns-over-40-fiberglass-bancas-for-fishing-livelihood/" TargetMode="External"/><Relationship Id="rId262" Type="http://schemas.openxmlformats.org/officeDocument/2006/relationships/hyperlink" Target="https://www.youtube.com/watch?v=X-dAZVSGLok" TargetMode="External"/><Relationship Id="rId140" Type="http://schemas.openxmlformats.org/officeDocument/2006/relationships/hyperlink" Target="https://web.facebook.com/WowBarbaza/posts/1465824566934101/?locale=hi_IN&amp;paipv=0&amp;eav=AfZGOrjdBSpfnDByXcj_hdkMBUl2YwXgKC2OTKkQpaMRz9lV5OLoqc7rel_f4h4K1EI&amp;_rdc=1&amp;_rdr" TargetMode="External"/><Relationship Id="rId261" Type="http://schemas.openxmlformats.org/officeDocument/2006/relationships/hyperlink" Target="https://core.ac.uk/download/pdf/6515223.pdf" TargetMode="External"/><Relationship Id="rId5" Type="http://schemas.openxmlformats.org/officeDocument/2006/relationships/hyperlink" Target="http://pubs.iclarm.net/libinfo/Pdf/Pub%20CP6%2049.pdf" TargetMode="External"/><Relationship Id="rId147" Type="http://schemas.openxmlformats.org/officeDocument/2006/relationships/hyperlink" Target="https://www.adb.org/sites/default/files/publication/29878/kalahi-cidss-project-philippines.pdf" TargetMode="External"/><Relationship Id="rId268" Type="http://schemas.openxmlformats.org/officeDocument/2006/relationships/hyperlink" Target="https://core.ac.uk/download/pdf/6515223.pdf" TargetMode="External"/><Relationship Id="rId6" Type="http://schemas.openxmlformats.org/officeDocument/2006/relationships/hyperlink" Target="https://www.ircwash.org/sites/default/files/802-PH90-8920.pdf" TargetMode="External"/><Relationship Id="rId146" Type="http://schemas.openxmlformats.org/officeDocument/2006/relationships/hyperlink" Target="https://nanopdf.com/download/community-based-coastal-resource-management-in-nasidman-island-iloilo-philippine_pdf" TargetMode="External"/><Relationship Id="rId267" Type="http://schemas.openxmlformats.org/officeDocument/2006/relationships/hyperlink" Target="https://www.rotarydistrict3860.org/wp-content/d3860/Dumaguete%20South/21_22/04_ebulletin_2021_09_29_2021-09-29.pdf" TargetMode="External"/><Relationship Id="rId7" Type="http://schemas.openxmlformats.org/officeDocument/2006/relationships/hyperlink" Target="http://pubs.iclarm.net/libinfo/Pdf/Pub%20CP6%2049.pdf" TargetMode="External"/><Relationship Id="rId145" Type="http://schemas.openxmlformats.org/officeDocument/2006/relationships/hyperlink" Target="https://admin.concern.net/sites/default/files/media/migrated/_supporting_recovery_of_fishing_livelihoods_mangroves_and_coral_reefs_in_the_philippines_0.pdf" TargetMode="External"/><Relationship Id="rId266" Type="http://schemas.openxmlformats.org/officeDocument/2006/relationships/hyperlink" Target="https://www.youtube.com/watch?v=X-dAZVSGLok" TargetMode="External"/><Relationship Id="rId8" Type="http://schemas.openxmlformats.org/officeDocument/2006/relationships/hyperlink" Target="http://pubs.iclarm.net/libinfo/Pdf/Pub%20CP6%2049.pdf" TargetMode="External"/><Relationship Id="rId144" Type="http://schemas.openxmlformats.org/officeDocument/2006/relationships/hyperlink" Target="https://kalahi.dswd.gov.ph/press/downloads/category/58-old-iec-materials?download=322:tayo-na-tayo-na-disaster-resiliency-compendium" TargetMode="External"/><Relationship Id="rId265" Type="http://schemas.openxmlformats.org/officeDocument/2006/relationships/hyperlink" Target="https://www.zubludiving.com/articles/zublu-insights/roni-ben-aharon-from-atlantis-dive-resorts-and-liveaboards" TargetMode="External"/><Relationship Id="rId260" Type="http://schemas.openxmlformats.org/officeDocument/2006/relationships/hyperlink" Target="https://www.sunstar.com.ph/article/385473/denr-7-plants-1t-artificial-reefs-" TargetMode="External"/><Relationship Id="rId139" Type="http://schemas.openxmlformats.org/officeDocument/2006/relationships/hyperlink" Target="https://web.facebook.com/watch/?v=220661800165072" TargetMode="External"/><Relationship Id="rId13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59" Type="http://schemas.openxmlformats.org/officeDocument/2006/relationships/hyperlink" Target="https://core.ac.uk/download/pdf/6515223.pdf" TargetMode="External"/><Relationship Id="rId137" Type="http://schemas.openxmlformats.org/officeDocument/2006/relationships/hyperlink" Target="https://www.panaynews.net/aklan-turns-61/" TargetMode="External"/><Relationship Id="rId258" Type="http://schemas.openxmlformats.org/officeDocument/2006/relationships/hyperlink" Target="https://core.ac.uk/download/pdf/6515223.pdf" TargetMode="External"/><Relationship Id="rId132" Type="http://schemas.openxmlformats.org/officeDocument/2006/relationships/hyperlink" Target="https://gadgetsmagazine.com.ph/technology/artificial-reef-dome-deployment-in-boracay" TargetMode="External"/><Relationship Id="rId253" Type="http://schemas.openxmlformats.org/officeDocument/2006/relationships/hyperlink" Target="https://core.ac.uk/download/pdf/6515223.pdf" TargetMode="External"/><Relationship Id="rId131" Type="http://schemas.openxmlformats.org/officeDocument/2006/relationships/hyperlink" Target="https://gadgetsmagazine.com.ph/technology/artificial-reef-dome-deployment-in-boracay" TargetMode="External"/><Relationship Id="rId252" Type="http://schemas.openxmlformats.org/officeDocument/2006/relationships/hyperlink" Target="https://nickelasia.com/bulletin/pangangalaga-sa-karagatan-pinaigting-pa-ng-cmc-hmc" TargetMode="External"/><Relationship Id="rId130" Type="http://schemas.openxmlformats.org/officeDocument/2006/relationships/hyperlink" Target="https://www.manilawater.com/corporate/boracay-water/agos/2022-06-16/boracay-island-water-company-invests-in-marine-life" TargetMode="External"/><Relationship Id="rId251" Type="http://schemas.openxmlformats.org/officeDocument/2006/relationships/hyperlink" Target="https://www.cecphils.org/wp-content/uploads/gbk2020-souvenir-program.pdf" TargetMode="External"/><Relationship Id="rId250" Type="http://schemas.openxmlformats.org/officeDocument/2006/relationships/hyperlink" Target="https://newsinfo.inquirer.net/937981/philippine-tourism-hinatuan-beach-surigao-del-sur-tourist-spot-nickel-asia-corp-michael-arlan-hinatuan-mining-corp-denr-scremp" TargetMode="External"/><Relationship Id="rId136"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57" Type="http://schemas.openxmlformats.org/officeDocument/2006/relationships/hyperlink" Target="https://www.ingentaconnect.com/content/umrsmas/bullmar/2001/00000069/00000002/art00028?crawler=true" TargetMode="External"/><Relationship Id="rId135" Type="http://schemas.openxmlformats.org/officeDocument/2006/relationships/hyperlink" Target="https://www.panaynews.net/aklan-turns-61/" TargetMode="External"/><Relationship Id="rId256" Type="http://schemas.openxmlformats.org/officeDocument/2006/relationships/hyperlink" Target="https://core.ac.uk/download/pdf/6515223.pdf" TargetMode="External"/><Relationship Id="rId134" Type="http://schemas.openxmlformats.org/officeDocument/2006/relationships/hyperlink" Target="https://www.pcaarrd.dost.gov.ph/index.php/quick-information-dispatch-qid-articles/restoring-the-country-s-coral-reefs-through-filipinnovation" TargetMode="External"/><Relationship Id="rId255" Type="http://schemas.openxmlformats.org/officeDocument/2006/relationships/hyperlink" Target="https://core.ac.uk/download/pdf/6515223.pdf" TargetMode="External"/><Relationship Id="rId133" Type="http://schemas.openxmlformats.org/officeDocument/2006/relationships/hyperlink" Target="http://www.reefball.org/album/philippines/boracayreef/index.html" TargetMode="External"/><Relationship Id="rId254" Type="http://schemas.openxmlformats.org/officeDocument/2006/relationships/hyperlink" Target="https://www.ircwash.org/sites/default/files/802-PH90-8920.pdf" TargetMode="External"/><Relationship Id="rId172"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293" Type="http://schemas.openxmlformats.org/officeDocument/2006/relationships/hyperlink" Target="https://piazampenpics.blogspot.com/2012/05/scuba-diving-training-enhances-msu-tawi.html?m=1" TargetMode="External"/><Relationship Id="rId171" Type="http://schemas.openxmlformats.org/officeDocument/2006/relationships/hyperlink" Target="https://aquadocs.org/bitstream/handle/1834/40478/GomezED2006.pdf?sequence=1&amp;isAllowed=y" TargetMode="External"/><Relationship Id="rId292" Type="http://schemas.openxmlformats.org/officeDocument/2006/relationships/hyperlink" Target="https://www.pna.gov.ph/articles/1067574" TargetMode="External"/><Relationship Id="rId170" Type="http://schemas.openxmlformats.org/officeDocument/2006/relationships/hyperlink" Target="mailto:info@peopleandthesea.org" TargetMode="External"/><Relationship Id="rId291" Type="http://schemas.openxmlformats.org/officeDocument/2006/relationships/hyperlink" Target="https://www.pna.gov.ph/articles/1067574" TargetMode="External"/><Relationship Id="rId290" Type="http://schemas.openxmlformats.org/officeDocument/2006/relationships/hyperlink" Target="https://www.bfar.da.gov.ph/wp-content/uploads/2022/05/FishCORAL-Project-Annual-Report-2020.pdf" TargetMode="External"/><Relationship Id="rId165" Type="http://schemas.openxmlformats.org/officeDocument/2006/relationships/hyperlink" Target="https://www.sunstar.com.ph/article/385473/denr-7-plants-1t-artificial-reefs-" TargetMode="External"/><Relationship Id="rId286" Type="http://schemas.openxmlformats.org/officeDocument/2006/relationships/hyperlink" Target="https://www.facebook.com/mafar.bangsamoro/posts/monitoring-of-deployed-coral-nursery-units-cnu-of-fishcoral-mafar-in-maguindanao/1003835920443233/" TargetMode="External"/><Relationship Id="rId164" Type="http://schemas.openxmlformats.org/officeDocument/2006/relationships/hyperlink" Target="https://www.youtube.com/watch?v=TSbFpQUdSAE" TargetMode="External"/><Relationship Id="rId285" Type="http://schemas.openxmlformats.org/officeDocument/2006/relationships/hyperlink" Target="https://philmuslimtoday.com/2022/06/08/mafar-deploys-coral-nursery-units-in-lanao-del-sur/" TargetMode="External"/><Relationship Id="rId163" Type="http://schemas.openxmlformats.org/officeDocument/2006/relationships/hyperlink" Target="https://www.sunstar.com.ph/article/385473/denr-7-plants-1t-artificial-reefs-" TargetMode="External"/><Relationship Id="rId284" Type="http://schemas.openxmlformats.org/officeDocument/2006/relationships/hyperlink" Target="https://www.bfar.da.gov.ph/wp-content/uploads/2022/05/FishCORAL-Project-Annual-Report-2020.pdf" TargetMode="External"/><Relationship Id="rId162" Type="http://schemas.openxmlformats.org/officeDocument/2006/relationships/hyperlink" Target="http://oneocean.org/about_crmp/98search.html" TargetMode="External"/><Relationship Id="rId283" Type="http://schemas.openxmlformats.org/officeDocument/2006/relationships/hyperlink" Target="https://www.bfar.da.gov.ph/wp-content/uploads/2022/05/FishCORAL-Project-Annual-Report-2020.pdf" TargetMode="External"/><Relationship Id="rId169" Type="http://schemas.openxmlformats.org/officeDocument/2006/relationships/hyperlink" Target="https://peopleandthesea.org/" TargetMode="External"/><Relationship Id="rId168" Type="http://schemas.openxmlformats.org/officeDocument/2006/relationships/hyperlink" Target="https://www.sunstar.com.ph/article/385473/denr-7-plants-1t-artificial-reefs-" TargetMode="External"/><Relationship Id="rId289" Type="http://schemas.openxmlformats.org/officeDocument/2006/relationships/hyperlink" Target="https://www.bfar.da.gov.ph/wp-content/uploads/2022/05/FishCORAL-Project-Annual-Report-2020.pdf" TargetMode="External"/><Relationship Id="rId167" Type="http://schemas.openxmlformats.org/officeDocument/2006/relationships/hyperlink" Target="http://oneocean.org/download/db_files/directory_of_crm_destinations2Ed.pdf" TargetMode="External"/><Relationship Id="rId288" Type="http://schemas.openxmlformats.org/officeDocument/2006/relationships/hyperlink" Target="https://core.ac.uk/download/pdf/6515223.pdf" TargetMode="External"/><Relationship Id="rId166" Type="http://schemas.openxmlformats.org/officeDocument/2006/relationships/hyperlink" Target="https://www.sunstar.com.ph/article/385473/denr-7-plants-1t-artificial-reefs-" TargetMode="External"/><Relationship Id="rId287" Type="http://schemas.openxmlformats.org/officeDocument/2006/relationships/hyperlink" Target="https://mafar.bangsamoro.gov.ph/coastal-rehabilitation-takes-center-stage-in-datu-blah-sinsuat/" TargetMode="External"/><Relationship Id="rId161" Type="http://schemas.openxmlformats.org/officeDocument/2006/relationships/hyperlink" Target="https://www.youtube.com/watch?v=jkzZm4QyHDI" TargetMode="External"/><Relationship Id="rId282" Type="http://schemas.openxmlformats.org/officeDocument/2006/relationships/hyperlink" Target="https://www.bfar.da.gov.ph/wp-content/uploads/2022/05/FishCORAL-Project-Annual-Report-2020.pdf" TargetMode="External"/><Relationship Id="rId160" Type="http://schemas.openxmlformats.org/officeDocument/2006/relationships/hyperlink" Target="https://www.sunstar.com.ph/article/385473/denr-7-plants-1t-artificial-reefs-" TargetMode="External"/><Relationship Id="rId281" Type="http://schemas.openxmlformats.org/officeDocument/2006/relationships/hyperlink" Target="http://oneocean.org/download/db_files/directory_of_crm_destinations2Ed.pdf" TargetMode="External"/><Relationship Id="rId280" Type="http://schemas.openxmlformats.org/officeDocument/2006/relationships/hyperlink" Target="https://www.sunstar.com.ph/article/385473/denr-7-plants-1t-artificial-reefs-" TargetMode="External"/><Relationship Id="rId159" Type="http://schemas.openxmlformats.org/officeDocument/2006/relationships/hyperlink" Target="mailto:arpee55@yahoo.com" TargetMode="External"/><Relationship Id="rId154" Type="http://schemas.openxmlformats.org/officeDocument/2006/relationships/hyperlink" Target="https://dergipark.org.tr/en/download/article-file/2047698" TargetMode="External"/><Relationship Id="rId275" Type="http://schemas.openxmlformats.org/officeDocument/2006/relationships/hyperlink" Target="https://www.sunstar.com.ph/article/385473/denr-7-plants-1t-artificial-reefs-" TargetMode="External"/><Relationship Id="rId153" Type="http://schemas.openxmlformats.org/officeDocument/2006/relationships/hyperlink" Target="https://www.sunstar.com.ph/article/267935/artificial-reefs-dropped-into-oton-sea" TargetMode="External"/><Relationship Id="rId274" Type="http://schemas.openxmlformats.org/officeDocument/2006/relationships/hyperlink" Target="https://core.ac.uk/download/pdf/6515223.pdf" TargetMode="External"/><Relationship Id="rId152" Type="http://schemas.openxmlformats.org/officeDocument/2006/relationships/hyperlink" Target="http://oneocean.org/about_crmp/98search.html" TargetMode="External"/><Relationship Id="rId273" Type="http://schemas.openxmlformats.org/officeDocument/2006/relationships/hyperlink" Target="https://core.ac.uk/download/pdf/6515223.pdf" TargetMode="External"/><Relationship Id="rId151" Type="http://schemas.openxmlformats.org/officeDocument/2006/relationships/hyperlink" Target="https://web.facebook.com/jcimanilaseaoflife/posts/pfbid02pDbrLSGU8G89Y6fFseL879wWeu6hoSHsuHNsYRL4JyTrGsnutkfhxQJMKf7vf5dml" TargetMode="External"/><Relationship Id="rId272" Type="http://schemas.openxmlformats.org/officeDocument/2006/relationships/hyperlink" Target="https://core.ac.uk/download/pdf/6515223.pdf" TargetMode="External"/><Relationship Id="rId158" Type="http://schemas.openxmlformats.org/officeDocument/2006/relationships/hyperlink" Target="https://www.sunstar.com.ph/article/385473/denr-7-plants-1t-artificial-reefs-" TargetMode="External"/><Relationship Id="rId279" Type="http://schemas.openxmlformats.org/officeDocument/2006/relationships/hyperlink" Target="https://www.sunstar.com.ph/article/385473/denr-7-plants-1t-artificial-reefs-" TargetMode="External"/><Relationship Id="rId157" Type="http://schemas.openxmlformats.org/officeDocument/2006/relationships/hyperlink" Target="mailto:samgulayan@yahoo.com" TargetMode="External"/><Relationship Id="rId278" Type="http://schemas.openxmlformats.org/officeDocument/2006/relationships/hyperlink" Target="https://www.pna.gov.ph/articles/1049175" TargetMode="External"/><Relationship Id="rId156" Type="http://schemas.openxmlformats.org/officeDocument/2006/relationships/hyperlink" Target="https://www.sunstar.com.ph/article/385473/denr-7-plants-1t-artificial-reefs-" TargetMode="External"/><Relationship Id="rId277" Type="http://schemas.openxmlformats.org/officeDocument/2006/relationships/hyperlink" Target="https://core.ac.uk/download/pdf/6515223.pdf" TargetMode="External"/><Relationship Id="rId155" Type="http://schemas.openxmlformats.org/officeDocument/2006/relationships/hyperlink" Target="mailto:albarist20@gmail.com" TargetMode="External"/><Relationship Id="rId276" Type="http://schemas.openxmlformats.org/officeDocument/2006/relationships/hyperlink" Target="https://core.ac.uk/download/pdf/6515223.pdf" TargetMode="External"/><Relationship Id="rId40" Type="http://schemas.openxmlformats.org/officeDocument/2006/relationships/hyperlink" Target="https://aquadocs.org/bitstream/handle/1834/40478/GomezED2006.pdf?sequence=1&amp;isAllowed=y" TargetMode="External"/><Relationship Id="rId42" Type="http://schemas.openxmlformats.org/officeDocument/2006/relationships/hyperlink" Target="https://www.researchgate.net/publication/320629634_Enhanced_larval_supply_and_recruitment_can_replenish_reef_corals_on_degraded_reefs" TargetMode="External"/><Relationship Id="rId41" Type="http://schemas.openxmlformats.org/officeDocument/2006/relationships/hyperlink" Target="https://www.tandfonline.com/doi/abs/10.1080/17451000.2012.682582" TargetMode="External"/><Relationship Id="rId44" Type="http://schemas.openxmlformats.org/officeDocument/2006/relationships/hyperlink" Target="https://www.sciencedirect.com/science/article/abs/pii/S0044848619332533" TargetMode="External"/><Relationship Id="rId43" Type="http://schemas.openxmlformats.org/officeDocument/2006/relationships/hyperlink" Target="https://www.researchgate.net/publication/356725969_Increased_Coral_Larval_Supply_Enhances_Recruitment_for_Coral_and_Fish_Habitat_Restoration" TargetMode="External"/><Relationship Id="rId46" Type="http://schemas.openxmlformats.org/officeDocument/2006/relationships/hyperlink" Target="https://onlinelibrary.wiley.com/doi/epdf/10.1111/rec.13054" TargetMode="External"/><Relationship Id="rId45"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48" Type="http://schemas.openxmlformats.org/officeDocument/2006/relationships/hyperlink" Target="https://www.sciencedirect.com/science/article/abs/pii/S0022098198000410?via%3Dihub" TargetMode="External"/><Relationship Id="rId47" Type="http://schemas.openxmlformats.org/officeDocument/2006/relationships/hyperlink" Target="https://www.marineconservationphilippines.org/wp-content/uploads/2018/02/an-evaluation-of-coral-reef-restoration-methods.pdf" TargetMode="External"/><Relationship Id="rId49" Type="http://schemas.openxmlformats.org/officeDocument/2006/relationships/hyperlink" Target="https://link.springer.com/article/10.1007/BF00539430" TargetMode="External"/><Relationship Id="rId31" Type="http://schemas.openxmlformats.org/officeDocument/2006/relationships/hyperlink" Target="https://www.pna.gov.ph/articles/1136282" TargetMode="External"/><Relationship Id="rId30" Type="http://schemas.openxmlformats.org/officeDocument/2006/relationships/hyperlink" Target="http://pubs.iclarm.net/libinfo/Pdf/Pub%20CP6%2049.pdf" TargetMode="External"/><Relationship Id="rId33" Type="http://schemas.openxmlformats.org/officeDocument/2006/relationships/hyperlink" Target="http://pubs.iclarm.net/libinfo/Pdf/Pub%20CP6%2049.pdf" TargetMode="External"/><Relationship Id="rId32" Type="http://schemas.openxmlformats.org/officeDocument/2006/relationships/hyperlink" Target="http://pubs.iclarm.net/libinfo/Pdf/Pub%20CP6%2049.pdf" TargetMode="External"/><Relationship Id="rId35" Type="http://schemas.openxmlformats.org/officeDocument/2006/relationships/hyperlink" Target="https://www.sciencedirect.com/science/article/abs/pii/S0022098102000515" TargetMode="External"/><Relationship Id="rId34" Type="http://schemas.openxmlformats.org/officeDocument/2006/relationships/hyperlink" Target="http://pubs.iclarm.net/libinfo/Pdf/Pub%20CP6%2049.pdf" TargetMode="External"/><Relationship Id="rId37" Type="http://schemas.openxmlformats.org/officeDocument/2006/relationships/hyperlink" Target="https://aquadocs.org/bitstream/handle/1834/40478/GomezED2006.pdf?sequence=1&amp;isAllowed=y" TargetMode="External"/><Relationship Id="rId36" Type="http://schemas.openxmlformats.org/officeDocument/2006/relationships/hyperlink" Target="https://newsinfo.inquirer.net/821770/coral-regrowth-is-new-crusade" TargetMode="External"/><Relationship Id="rId39"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s://www.dmmmsu.edu.ph/2021/12/08/7-artificial-reefs-installed-in-coastal-area-along-frti/" TargetMode="External"/><Relationship Id="rId22" Type="http://schemas.openxmlformats.org/officeDocument/2006/relationships/hyperlink" Target="https://m.facebook.com/permalink.php?id=336893718203&amp;story_fbid=10157795137738204" TargetMode="External"/><Relationship Id="rId21" Type="http://schemas.openxmlformats.org/officeDocument/2006/relationships/hyperlink" Target="http://pubs.iclarm.net/libinfo/Pdf/Pub%20CP6%2049.pdf" TargetMode="External"/><Relationship Id="rId24" Type="http://schemas.openxmlformats.org/officeDocument/2006/relationships/hyperlink" Target="http://pubs.iclarm.net/libinfo/Pdf/Pub%20CP6%2049.pdf" TargetMode="External"/><Relationship Id="rId23" Type="http://schemas.openxmlformats.org/officeDocument/2006/relationships/hyperlink" Target="https://www.pna.gov.ph/articles/1195285" TargetMode="External"/><Relationship Id="rId26" Type="http://schemas.openxmlformats.org/officeDocument/2006/relationships/hyperlink" Target="https://pia.gov.ph/news/2022/07/18/jci-manila-installs-artificial-reefs-in-la-union" TargetMode="External"/><Relationship Id="rId25" Type="http://schemas.openxmlformats.org/officeDocument/2006/relationships/hyperlink" Target="https://free.facebook.com/media/set/?set=a.1575816015988174.1073741860.1418721221697655&amp;type=3&amp;_rdc=1&amp;_rdr" TargetMode="External"/><Relationship Id="rId28" Type="http://schemas.openxmlformats.org/officeDocument/2006/relationships/hyperlink" Target="http://pubs.iclarm.net/libinfo/Pdf/Pub%20CP6%2049.pdf" TargetMode="External"/><Relationship Id="rId27" Type="http://schemas.openxmlformats.org/officeDocument/2006/relationships/hyperlink" Target="https://amiananbalitangayon.com/la-union-sustains-living-shorelines-deploys-artificial-reefs/" TargetMode="External"/><Relationship Id="rId29" Type="http://schemas.openxmlformats.org/officeDocument/2006/relationships/hyperlink" Target="http://pubs.iclarm.net/libinfo/Pdf/Pub%20CP6%2049.pdf" TargetMode="External"/><Relationship Id="rId11" Type="http://schemas.openxmlformats.org/officeDocument/2006/relationships/hyperlink" Target="https://web.facebook.com/permalink.php?id=978493562286545&amp;story_fbid=1211788355623730&amp;_rdc=1&amp;_rdr" TargetMode="External"/><Relationship Id="rId10" Type="http://schemas.openxmlformats.org/officeDocument/2006/relationships/hyperlink" Target="http://pubs.iclarm.net/libinfo/Pdf/Pub%20CP6%2049.pdf" TargetMode="External"/><Relationship Id="rId13" Type="http://schemas.openxmlformats.org/officeDocument/2006/relationships/hyperlink" Target="http://pubs.iclarm.net/libinfo/Pdf/Pub%20CP6%2049.pdf" TargetMode="External"/><Relationship Id="rId12" Type="http://schemas.openxmlformats.org/officeDocument/2006/relationships/hyperlink" Target="http://pubs.iclarm.net/libinfo/Pdf/Pub%20CP6%2049.pdf" TargetMode="External"/><Relationship Id="rId15" Type="http://schemas.openxmlformats.org/officeDocument/2006/relationships/hyperlink" Target="http://pubs.iclarm.net/libinfo/Pdf/Pub%20CP6%2049.pdf" TargetMode="External"/><Relationship Id="rId14" Type="http://schemas.openxmlformats.org/officeDocument/2006/relationships/hyperlink" Target="http://pubs.iclarm.net/libinfo/Pdf/Pub%20CP6%2049.pdf"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pubs.iclarm.net/libinfo/Pdf/Pub%20CP6%2049.pdf" TargetMode="External"/><Relationship Id="rId19" Type="http://schemas.openxmlformats.org/officeDocument/2006/relationships/hyperlink" Target="https://amiananbalitangayon.com/la-union-sustains-living-shorelines-deploys-artificial-reefs/" TargetMode="External"/><Relationship Id="rId18" Type="http://schemas.openxmlformats.org/officeDocument/2006/relationships/hyperlink" Target="http://pubs.iclarm.net/libinfo/Pdf/Pub%20CP6%2049.pdf" TargetMode="External"/><Relationship Id="rId84" Type="http://schemas.openxmlformats.org/officeDocument/2006/relationships/hyperlink" Target="https://www.panaynews.net/smpc-turns-over-40-fiberglass-bancas-for-fishing-livelihood/" TargetMode="External"/><Relationship Id="rId83" Type="http://schemas.openxmlformats.org/officeDocument/2006/relationships/hyperlink" Target="https://www.thescubanews.com/2014/08/06/reefbud-technology-downsized-to-broaden-appeal/" TargetMode="External"/><Relationship Id="rId86" Type="http://schemas.openxmlformats.org/officeDocument/2006/relationships/hyperlink" Target="https://www.jgsummit.com.ph/impact/jgspg-s-artificial-reef-project-continues-to-attract-marine-life-20190629" TargetMode="External"/><Relationship Id="rId85" Type="http://schemas.openxmlformats.org/officeDocument/2006/relationships/hyperlink" Target="https://www.jgsummit.com.ph/impact/jgspg-s-artificial-reef-project-continues-to-attract-marine-life-20190629" TargetMode="External"/><Relationship Id="rId88" Type="http://schemas.openxmlformats.org/officeDocument/2006/relationships/hyperlink" Target="http://pubs.iclarm.net/libinfo/Pdf/Pub%20CP6%2049.pdf" TargetMode="External"/><Relationship Id="rId87" Type="http://schemas.openxmlformats.org/officeDocument/2006/relationships/hyperlink" Target="https://www.portulano.com/activities" TargetMode="External"/><Relationship Id="rId89" Type="http://schemas.openxmlformats.org/officeDocument/2006/relationships/hyperlink" Target="http://www.coralmovement.org/" TargetMode="External"/><Relationship Id="rId80" Type="http://schemas.openxmlformats.org/officeDocument/2006/relationships/hyperlink" Target="https://business.inquirer.net/356210/sustainability-as-the-key-to-resiliency" TargetMode="External"/><Relationship Id="rId82" Type="http://schemas.openxmlformats.org/officeDocument/2006/relationships/hyperlink" Target="https://newsinfo.inquirer.net/1416313/beach-resort-in-subic-bay-turns-to-artificial-coral-reefs-to-preserve-marine-ecosystem" TargetMode="External"/><Relationship Id="rId81" Type="http://schemas.openxmlformats.org/officeDocument/2006/relationships/hyperlink" Target="https://punto.com.ph/artificial-reef-itinanim-sa-subic-bay/" TargetMode="External"/><Relationship Id="rId73" Type="http://schemas.openxmlformats.org/officeDocument/2006/relationships/hyperlink" Target="https://www.abs-cbn.com/news/nation/2025/2/5/ilang-device-na-gamit-umano-sa-pang-eespiya-nakuha-mula-sa-hinihinalang-chinese-spy-1912" TargetMode="External"/><Relationship Id="rId72" Type="http://schemas.openxmlformats.org/officeDocument/2006/relationships/hyperlink" Target="https://mb.com.ph/2022/3/7/artificial-reefs-watch-tower-in-coastal-pangasinan-town-launched" TargetMode="External"/><Relationship Id="rId75" Type="http://schemas.openxmlformats.org/officeDocument/2006/relationships/hyperlink" Target="https://punto.com.ph/artificial-reef-itinanim-sa-subic-bay/" TargetMode="External"/><Relationship Id="rId74" Type="http://schemas.openxmlformats.org/officeDocument/2006/relationships/hyperlink" Target="http://pemsea.org/sites/default/files/SOC%20Bataan.pdf" TargetMode="External"/><Relationship Id="rId77" Type="http://schemas.openxmlformats.org/officeDocument/2006/relationships/hyperlink" Target="https://1bataan.com/morong-town-soon-to-be-a-diving-spot/" TargetMode="External"/><Relationship Id="rId76" Type="http://schemas.openxmlformats.org/officeDocument/2006/relationships/hyperlink" Target="https://1bataan.com/morong-town-soon-to-be-a-diving-spot/" TargetMode="External"/><Relationship Id="rId79" Type="http://schemas.openxmlformats.org/officeDocument/2006/relationships/hyperlink" Target="http://oneocean.org/download/db_files/directory_of_crm_destinations2Ed.pdf" TargetMode="External"/><Relationship Id="rId78" Type="http://schemas.openxmlformats.org/officeDocument/2006/relationships/hyperlink" Target="https://mobile.facebook.com/playalacaletabataan/posts/3079682972247006/?_rdc=1&amp;_rdr" TargetMode="External"/><Relationship Id="rId71" Type="http://schemas.openxmlformats.org/officeDocument/2006/relationships/hyperlink" Target="https://www.sciencedirect.com/science/article/abs/pii/S0022098116301873" TargetMode="External"/><Relationship Id="rId70" Type="http://schemas.openxmlformats.org/officeDocument/2006/relationships/hyperlink" Target="https://www.researchgate.net/publication/282149376_Assessing_an_abridged_nursery_phase_for_slow_growing_corals_used_in_coral_restoration" TargetMode="External"/><Relationship Id="rId62" Type="http://schemas.openxmlformats.org/officeDocument/2006/relationships/hyperlink" Target="mailto:gidi.levi@gmail.com" TargetMode="External"/><Relationship Id="rId61" Type="http://schemas.openxmlformats.org/officeDocument/2006/relationships/hyperlink" Target="https://www.sciencedirect.com/science/article/abs/pii/S0925857409003498" TargetMode="External"/><Relationship Id="rId64" Type="http://schemas.openxmlformats.org/officeDocument/2006/relationships/hyperlink" Target="https://www.academia.edu/25026620/How_Quickly_do_Fragments_of_Coral_Self_Attach_after_Transplantation" TargetMode="External"/><Relationship Id="rId63" Type="http://schemas.openxmlformats.org/officeDocument/2006/relationships/hyperlink" Target="https://www.tandfonline.com/doi/abs/10.1080/08920753.2011.600240?journalCode=ucmg20" TargetMode="External"/><Relationship Id="rId66" Type="http://schemas.openxmlformats.org/officeDocument/2006/relationships/hyperlink" Target="https://zoologicalstudies.springeropen.com/articles/10.1186/1810-522X-52-44" TargetMode="External"/><Relationship Id="rId65" Type="http://schemas.openxmlformats.org/officeDocument/2006/relationships/hyperlink" Target="mailto:james.guest@nus.edu.sg" TargetMode="External"/><Relationship Id="rId68" Type="http://schemas.openxmlformats.org/officeDocument/2006/relationships/hyperlink" Target="https://link.springer.com/article/10.1007/s00338-013-1114-1" TargetMode="External"/><Relationship Id="rId67" Type="http://schemas.openxmlformats.org/officeDocument/2006/relationships/hyperlink" Target="https://academic.oup.com/icesjms/article/71/7/1866/664250" TargetMode="External"/><Relationship Id="rId60" Type="http://schemas.openxmlformats.org/officeDocument/2006/relationships/hyperlink" Target="https://www.researchgate.net/publication/223475676_Caging_enhances_post-settlement_survival_of_juveniles_of_the_scleractinian_coral_Acropora_tenuis" TargetMode="External"/><Relationship Id="rId69" Type="http://schemas.openxmlformats.org/officeDocument/2006/relationships/hyperlink" Target="mailto:jrguest@gmail.com" TargetMode="External"/><Relationship Id="rId51" Type="http://schemas.openxmlformats.org/officeDocument/2006/relationships/hyperlink" Target="https://www.sciencedirect.com/science/article/abs/pii/S0025326X0300064X" TargetMode="External"/><Relationship Id="rId50" Type="http://schemas.openxmlformats.org/officeDocument/2006/relationships/hyperlink" Target="https://www.int-res.com/articles/meps/83/m083p091.pdf" TargetMode="External"/><Relationship Id="rId53" Type="http://schemas.openxmlformats.org/officeDocument/2006/relationships/hyperlink" Target="https://www.sciencedirect.com/science/article/abs/pii/S0025326X05001669?via%3Dihub" TargetMode="External"/><Relationship Id="rId52" Type="http://schemas.openxmlformats.org/officeDocument/2006/relationships/hyperlink" Target="https://www.sciencedirect.com/science/article/abs/pii/S0025326X04000712?via%3Dihub" TargetMode="External"/><Relationship Id="rId55" Type="http://schemas.openxmlformats.org/officeDocument/2006/relationships/hyperlink" Target="https://www.researchgate.net/publication/227686360_Comparison_of_three_types_of_adhesive_in_attaching_coral_transplants_to_clam_shell_substrates" TargetMode="External"/><Relationship Id="rId54" Type="http://schemas.openxmlformats.org/officeDocument/2006/relationships/hyperlink" Target="https://pubmed.ncbi.nlm.nih.gov/32275570/" TargetMode="External"/><Relationship Id="rId57" Type="http://schemas.openxmlformats.org/officeDocument/2006/relationships/hyperlink" Target="mailto:lishaish@yahoo.com" TargetMode="External"/><Relationship Id="rId56" Type="http://schemas.openxmlformats.org/officeDocument/2006/relationships/hyperlink" Target="https://www.sciencedirect.com/science/article/abs/pii/S002209810800066X?via%3Dihub" TargetMode="External"/><Relationship Id="rId59" Type="http://schemas.openxmlformats.org/officeDocument/2006/relationships/hyperlink" Target="mailto:lishaish@yahoo.com" TargetMode="External"/><Relationship Id="rId58" Type="http://schemas.openxmlformats.org/officeDocument/2006/relationships/hyperlink" Target="https://www.sciencedirect.com/science/article/abs/pii/S092585741000176X" TargetMode="External"/><Relationship Id="rId107" Type="http://schemas.openxmlformats.org/officeDocument/2006/relationships/hyperlink" Target="https://sevenseasmedia.org/biri-initiative-story-on-coral-restoration/" TargetMode="External"/><Relationship Id="rId228" Type="http://schemas.openxmlformats.org/officeDocument/2006/relationships/hyperlink" Target="https://www.youtube.com/watch?v=6AfF_6TG2jE" TargetMode="External"/><Relationship Id="rId106" Type="http://schemas.openxmlformats.org/officeDocument/2006/relationships/hyperlink" Target="https://savethephilippinecoralreefs.wordpress.com/2013/03/24/rvs-4-star-mariculture-coral-farm-brakes-ground-in-the-philippines/" TargetMode="External"/><Relationship Id="rId227" Type="http://schemas.openxmlformats.org/officeDocument/2006/relationships/hyperlink" Target="https://www.youtube.com/watch?v=J2E9tUJsTVo" TargetMode="External"/><Relationship Id="rId105" Type="http://schemas.openxmlformats.org/officeDocument/2006/relationships/hyperlink" Target="https://mb.com.ph/2021/06/24/filipinnovation-mimaropas-first-large-scale-coral-restoration-project-already-started/" TargetMode="External"/><Relationship Id="rId226" Type="http://schemas.openxmlformats.org/officeDocument/2006/relationships/hyperlink" Target="https://www.phoenixfuels.ph/phoenix-helps-save-marine-life-through-artificial-reefs/" TargetMode="External"/><Relationship Id="rId104" Type="http://schemas.openxmlformats.org/officeDocument/2006/relationships/hyperlink" Target="https://m.facebook.com/dswdfo4a/photos/sa-proyektong-artificial-coral-reefs-ng-kalahi-cidss-naniniwala-ang-mga-mangingi/555459207949192/" TargetMode="External"/><Relationship Id="rId225" Type="http://schemas.openxmlformats.org/officeDocument/2006/relationships/hyperlink" Target="https://mobile.facebook.com/watch/?v=381675062720602&amp;paipv=0&amp;eav=AfYwcIL9NxwTN4aCbErewJy7tTD3nrufxoQ6KHefWVVRdYsV3q7dl44iSGOHSXvUCgs&amp;_rdr" TargetMode="External"/><Relationship Id="rId109" Type="http://schemas.openxmlformats.org/officeDocument/2006/relationships/hyperlink" Target="https://issuu.com/discoveryworldcorp/docs/2020_dwc_annual_report/1" TargetMode="External"/><Relationship Id="rId108" Type="http://schemas.openxmlformats.org/officeDocument/2006/relationships/hyperlink" Target="https://www.facebook.com/profile.php?id=61560256107542" TargetMode="External"/><Relationship Id="rId229" Type="http://schemas.openxmlformats.org/officeDocument/2006/relationships/hyperlink" Target="http://oneocean.org/about_crmp/98search.html" TargetMode="External"/><Relationship Id="rId220" Type="http://schemas.openxmlformats.org/officeDocument/2006/relationships/hyperlink" Target="http://allhonestreviews.blogspot.com/2012/08/launching-of-jci-manila-sea-of-life.html" TargetMode="External"/><Relationship Id="rId103" Type="http://schemas.openxmlformats.org/officeDocument/2006/relationships/hyperlink" Target="https://www.rotary.org/en/giant-rotary-wheel-haven-fish-philippines" TargetMode="External"/><Relationship Id="rId224" Type="http://schemas.openxmlformats.org/officeDocument/2006/relationships/hyperlink" Target="https://philippinemorningpost.com/underwater-experience-in-samal-island/" TargetMode="External"/><Relationship Id="rId102" Type="http://schemas.openxmlformats.org/officeDocument/2006/relationships/hyperlink" Target="https://sites.google.com/a/islandecosystems.org/gics" TargetMode="External"/><Relationship Id="rId223" Type="http://schemas.openxmlformats.org/officeDocument/2006/relationships/hyperlink" Target="https://www.sunstar.com.ph/article/1837913/davao/local-news/denr-rehabilitates-3-hectares-of-coral-reef" TargetMode="External"/><Relationship Id="rId101" Type="http://schemas.openxmlformats.org/officeDocument/2006/relationships/hyperlink" Target="https://www.lemongreenteaph.com/2018/11/jci-manila-and-gold-seas-tuna-chunks.html" TargetMode="External"/><Relationship Id="rId222" Type="http://schemas.openxmlformats.org/officeDocument/2006/relationships/hyperlink" Target="https://savethephilippinecoralreefs.wordpress.com/page/10/?controllername=search&amp;action=search&amp;channel=world&amp;search=1&amp;inlinelink=1&amp;query=-paul%20fong-" TargetMode="External"/><Relationship Id="rId100" Type="http://schemas.openxmlformats.org/officeDocument/2006/relationships/hyperlink" Target="https://www.ircwash.org/sites/default/files/802-PH90-8920.pdf" TargetMode="External"/><Relationship Id="rId221" Type="http://schemas.openxmlformats.org/officeDocument/2006/relationships/hyperlink" Target="https://web.facebook.com/CMOUEM2018/posts/24-august-19-the-naval-forces-eastern-mindanao-nfem-civil-military-operations-un/1349837585154833/?_rdc=1&amp;_rdr" TargetMode="External"/><Relationship Id="rId217"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6" Type="http://schemas.openxmlformats.org/officeDocument/2006/relationships/hyperlink" Target="https://www.eco-business.com/news/sustainable-coral-nurseries-ensure-future-of-philippine-coral-reefs/" TargetMode="External"/><Relationship Id="rId21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4" Type="http://schemas.openxmlformats.org/officeDocument/2006/relationships/hyperlink" Target="https://www.philstar.com/business/business-as-usual/2006/04/24/333050/duka-bay-ecological-business-paradigm" TargetMode="External"/><Relationship Id="rId219" Type="http://schemas.openxmlformats.org/officeDocument/2006/relationships/hyperlink" Target="https://www.xu.edu.ph/images/publication/newsletters/pagtaob/documents/PAGTAOB_V3_I1.pdf" TargetMode="External"/><Relationship Id="rId218" Type="http://schemas.openxmlformats.org/officeDocument/2006/relationships/hyperlink" Target="https://issuu.com/sudaria_publications/docs/cdotimes_april_16-22__2016" TargetMode="External"/><Relationship Id="rId213"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211" Type="http://schemas.openxmlformats.org/officeDocument/2006/relationships/hyperlink" Target="https://www.youtube.com/watch?v=7NBc_NGXqEA" TargetMode="External"/><Relationship Id="rId210" Type="http://schemas.openxmlformats.org/officeDocument/2006/relationships/hyperlink" Target="http://www.pmocdo.ppa.com.ph/pmo-mo-c-expands-initiatives-for-environment-conservation/" TargetMode="External"/><Relationship Id="rId129"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12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49" Type="http://schemas.openxmlformats.org/officeDocument/2006/relationships/hyperlink" Target="https://butuan.bomboradyo.com/artificial-coral-reefs-gimontar-sa-surigao-city/" TargetMode="External"/><Relationship Id="rId127" Type="http://schemas.openxmlformats.org/officeDocument/2006/relationships/hyperlink" Target="https://www.panaynews.net/aklan-turns-61/" TargetMode="External"/><Relationship Id="rId248" Type="http://schemas.openxmlformats.org/officeDocument/2006/relationships/hyperlink" Target="https://caraga.bfar.da.gov.ph/wp-content/uploads/2022/12/Annual-Report-2020.pdf" TargetMode="External"/><Relationship Id="rId126" Type="http://schemas.openxmlformats.org/officeDocument/2006/relationships/hyperlink" Target="https://kalahi.dswd.gov.ph/press/downloads/category/58-old-iec-materials?download=322:tayo-na-tayo-na-disaster-resiliency-compendium" TargetMode="External"/><Relationship Id="rId247" Type="http://schemas.openxmlformats.org/officeDocument/2006/relationships/hyperlink" Target="https://www.visitdelcarmen.com/del-carmen-artificial-coral-reefs/" TargetMode="External"/><Relationship Id="rId121" Type="http://schemas.openxmlformats.org/officeDocument/2006/relationships/hyperlink" Target="https://r5.denr.gov.ph/index.php/news-events/photo-releases/1292-coral-reef-restoration-at-gamban-reef" TargetMode="External"/><Relationship Id="rId242" Type="http://schemas.openxmlformats.org/officeDocument/2006/relationships/hyperlink" Target="https://web.facebook.com/LGUbuenavistaagriculture" TargetMode="External"/><Relationship Id="rId120" Type="http://schemas.openxmlformats.org/officeDocument/2006/relationships/hyperlink" Target="https://web.facebook.com/109393900941452/videos/836922833909809" TargetMode="External"/><Relationship Id="rId241" Type="http://schemas.openxmlformats.org/officeDocument/2006/relationships/hyperlink" Target="https://web.facebook.com/photo/?fbid=434871958676768&amp;set=pcb.434872188676745" TargetMode="External"/><Relationship Id="rId240" Type="http://schemas.openxmlformats.org/officeDocument/2006/relationships/hyperlink" Target="https://caraga.bfar.da.gov.ph/wp-content/uploads/2022/12/Annual-Report-2018.pdf" TargetMode="External"/><Relationship Id="rId125" Type="http://schemas.openxmlformats.org/officeDocument/2006/relationships/hyperlink" Target="https://www.panaynews.net/aklan-turns-61/" TargetMode="External"/><Relationship Id="rId246" Type="http://schemas.openxmlformats.org/officeDocument/2006/relationships/hyperlink" Target="https://www.philippinenickel.org/news-and-updates/press-release/pgmcs-coral-transplantation-in-lambason-millari-island-marine-sanctuary/" TargetMode="External"/><Relationship Id="rId124" Type="http://schemas.openxmlformats.org/officeDocument/2006/relationships/hyperlink" Target="https://www.nzdl.org/cgi-bin/library?e=d-00000-00---off-0hdl--00-0----0-10-0---0---0direct-10---4-------0-1l--11-en-50---20-about---00-0-1-00-0--4----0-0-11-10-0utfZz-8-10&amp;cl=CL2.17.2&amp;d=HASHfc8d613128f6e253a7fd93.6&amp;gc=1" TargetMode="External"/><Relationship Id="rId245" Type="http://schemas.openxmlformats.org/officeDocument/2006/relationships/hyperlink" Target="https://caraga.bfar.da.gov.ph/wp-content/uploads/2022/12/Annual-Report-2019.pdf" TargetMode="External"/><Relationship Id="rId123" Type="http://schemas.openxmlformats.org/officeDocument/2006/relationships/hyperlink" Target="https://kochi.repo.nii.ac.jp/?action=repository_action_common_download&amp;item_id=8640&amp;item_no=1&amp;attribute_id=17&amp;file_no=1" TargetMode="External"/><Relationship Id="rId244" Type="http://schemas.openxmlformats.org/officeDocument/2006/relationships/hyperlink" Target="https://www.philstar.com/other-sections/starweek-magazine/2001/06/17/127209/butuan-waters-live-again" TargetMode="External"/><Relationship Id="rId122" Type="http://schemas.openxmlformats.org/officeDocument/2006/relationships/hyperlink" Target="https://web.facebook.com/nia.buitizon/videos/404223295357898" TargetMode="External"/><Relationship Id="rId243" Type="http://schemas.openxmlformats.org/officeDocument/2006/relationships/hyperlink" Target="https://web.facebook.com/butuancitypioofficial/posts/35-artificial-reefs-gi-instalar-sa-fish-sanctuary-sa-brgy-masao-sa-butuannagtamb/3347562868625222/?_rdc=1&amp;_rdr" TargetMode="External"/><Relationship Id="rId95" Type="http://schemas.openxmlformats.org/officeDocument/2006/relationships/hyperlink" Target="https://www.thescubanews.com/2014/08/06/reefbud-technology-downsized-to-broaden-appeal/" TargetMode="External"/><Relationship Id="rId94" Type="http://schemas.openxmlformats.org/officeDocument/2006/relationships/hyperlink" Target="https://www.sentineltimes.net/2022/09/artificial-coral-reefs-in-town-of-lobo.html" TargetMode="External"/><Relationship Id="rId97" Type="http://schemas.openxmlformats.org/officeDocument/2006/relationships/hyperlink" Target="https://www.bworldonline.com/weekender/environment/2016/07/01/5884/coral-laboratory-grows-in-batangas/" TargetMode="External"/><Relationship Id="rId96" Type="http://schemas.openxmlformats.org/officeDocument/2006/relationships/hyperlink" Target="https://www.shearwater.com/monthly-blog-posts/paradiso-rito-and-redeem-the-reef-project-a-glimmer-of-hope-for-verde-island-passage/" TargetMode="External"/><Relationship Id="rId99" Type="http://schemas.openxmlformats.org/officeDocument/2006/relationships/hyperlink" Target="http://pusod.org/pusod/building-artificial-habitats-in-barangay-calayo/" TargetMode="External"/><Relationship Id="rId98" Type="http://schemas.openxmlformats.org/officeDocument/2006/relationships/hyperlink" Target="https://manilaustimes.wordpress.com/2012/05/17/rotary-club-launches-adopt-a-coral-in-nasugbu/" TargetMode="External"/><Relationship Id="rId91" Type="http://schemas.openxmlformats.org/officeDocument/2006/relationships/hyperlink" Target="https://brigadanews.ph/mga-artificial-reefs-sa-calatagan-batangas-habitat-na-ng-marine-lives/" TargetMode="External"/><Relationship Id="rId90" Type="http://schemas.openxmlformats.org/officeDocument/2006/relationships/hyperlink" Target="https://ptvnews.ph/pcg-mepcom-installs-artificial-reefs-in-calatagan-batangas/" TargetMode="External"/><Relationship Id="rId93" Type="http://schemas.openxmlformats.org/officeDocument/2006/relationships/hyperlink" Target="http://pusod.org/pusod/artificial-habitat-units-fabrication/" TargetMode="External"/><Relationship Id="rId92" Type="http://schemas.openxmlformats.org/officeDocument/2006/relationships/hyperlink" Target="http://oneocean.org/download/db_files/directory_of_crm_destinations2Ed.pdf" TargetMode="External"/><Relationship Id="rId118" Type="http://schemas.openxmlformats.org/officeDocument/2006/relationships/hyperlink" Target="https://kochi.repo.nii.ac.jp/?action=repository_action_common_download&amp;item_id=8640&amp;item_no=1&amp;attribute_id=17&amp;file_no=1" TargetMode="External"/><Relationship Id="rId239" Type="http://schemas.openxmlformats.org/officeDocument/2006/relationships/hyperlink" Target="https://clafi.org/our_work_categories/environment-protection-and-conservation-projects/" TargetMode="External"/><Relationship Id="rId117" Type="http://schemas.openxmlformats.org/officeDocument/2006/relationships/hyperlink" Target="https://newsinfo.inquirer.net/460845/helping-coral-reefs-with-beads-of-faith" TargetMode="External"/><Relationship Id="rId238" Type="http://schemas.openxmlformats.org/officeDocument/2006/relationships/hyperlink" Target="https://www.philstar.com/other-sections/the-good-news/2015/11/23/1524749/saranganis-kamanga-marine-eco-tourism-park-and-sanctuary-cited-one-philippines-best" TargetMode="External"/><Relationship Id="rId116" Type="http://schemas.openxmlformats.org/officeDocument/2006/relationships/hyperlink" Target="https://kochi.repo.nii.ac.jp/?action=repository_action_common_download&amp;item_id=8640&amp;item_no=1&amp;attribute_id=17&amp;file_no=1" TargetMode="External"/><Relationship Id="rId237" Type="http://schemas.openxmlformats.org/officeDocument/2006/relationships/hyperlink" Target="https://www.emecs.or.jp/en/wp-content/uploads/2023/03/129.pdf" TargetMode="External"/><Relationship Id="rId115" Type="http://schemas.openxmlformats.org/officeDocument/2006/relationships/hyperlink" Target="https://web.facebook.com/photo/?fbid=25137872482494016&amp;set=pcb.25137873715827226" TargetMode="External"/><Relationship Id="rId236" Type="http://schemas.openxmlformats.org/officeDocument/2006/relationships/hyperlink" Target="https://www.pna.gov.ph/articles/1116952" TargetMode="External"/><Relationship Id="rId119" Type="http://schemas.openxmlformats.org/officeDocument/2006/relationships/hyperlink" Target="https://ejournals.ph/article.php?id=15657" TargetMode="External"/><Relationship Id="rId110" Type="http://schemas.openxmlformats.org/officeDocument/2006/relationships/hyperlink" Target="https://sulubaai-foundation.com/wp-content/uploads/2019/07/Sulu-Reef-Prosthesis-a-new-method-in-restoration.pdf" TargetMode="External"/><Relationship Id="rId231" Type="http://schemas.openxmlformats.org/officeDocument/2006/relationships/hyperlink" Target="https://www.pna.gov.ph/articles/1038701" TargetMode="External"/><Relationship Id="rId230" Type="http://schemas.openxmlformats.org/officeDocument/2006/relationships/hyperlink" Target="https://web.facebook.com/story.php?story_fbid=551153050380292&amp;id=100064568057133&amp;_rdc=1&amp;_rdr" TargetMode="External"/><Relationship Id="rId114" Type="http://schemas.openxmlformats.org/officeDocument/2006/relationships/hyperlink" Target="https://www.facebook.com/photo.php?fbid=1006552911501040&amp;id=100064390224437&amp;set=a.600940552062280&amp;_rdc=2&amp;_rdr" TargetMode="External"/><Relationship Id="rId235" Type="http://schemas.openxmlformats.org/officeDocument/2006/relationships/hyperlink" Target="https://35.229.131.110/node/60" TargetMode="External"/><Relationship Id="rId113" Type="http://schemas.openxmlformats.org/officeDocument/2006/relationships/hyperlink" Target="https://cbartazo.com/tag/diving-in-bicol/" TargetMode="External"/><Relationship Id="rId234" Type="http://schemas.openxmlformats.org/officeDocument/2006/relationships/hyperlink" Target="https://sgp.undp.org/spacial-itemid-projects-landing-page/spacial-itemid-project-search-results/spacial-itemid-project-detailpage?view=projectdetail&amp;id=3748" TargetMode="External"/><Relationship Id="rId112" Type="http://schemas.openxmlformats.org/officeDocument/2006/relationships/hyperlink" Target="https://pia4b.wordpress.com/2013/01/22/abs-cbn-foundation-pinangasiwaan-ang-paglagay-ng-artificial-reefs-sa-lgu-san-fernando/" TargetMode="External"/><Relationship Id="rId233" Type="http://schemas.openxmlformats.org/officeDocument/2006/relationships/hyperlink" Target="mailto:dvgensan@yahoo.com.ph" TargetMode="External"/><Relationship Id="rId111" Type="http://schemas.openxmlformats.org/officeDocument/2006/relationships/hyperlink" Target="mailto:cinzia.alessi01@community.unipa.it" TargetMode="External"/><Relationship Id="rId232" Type="http://schemas.openxmlformats.org/officeDocument/2006/relationships/hyperlink" Target="https://www.gmanetwork.com/news/topstories/regions/47043/sun-star-3-500-artificial-reef-domes-set-up-in-sarangani-bay/story/" TargetMode="External"/><Relationship Id="rId206" Type="http://schemas.openxmlformats.org/officeDocument/2006/relationships/hyperlink" Target="https://www.psdn.org.ph/sdvillage-ph/coastal/lpnig2.html" TargetMode="External"/><Relationship Id="rId205" Type="http://schemas.openxmlformats.org/officeDocument/2006/relationships/hyperlink" Target="https://www.ustp.edu.ph/bsmb-students-install-artificial-coral-reefs-in-panaon-coastal-waters/" TargetMode="External"/><Relationship Id="rId204" Type="http://schemas.openxmlformats.org/officeDocument/2006/relationships/hyperlink" Target="https://www.lakwatsero.com/dive-report/linamon-coral-transplanation-project-in-iligan-bay/" TargetMode="External"/><Relationship Id="rId203" Type="http://schemas.openxmlformats.org/officeDocument/2006/relationships/hyperlink" Target="https://web.facebook.com/shieldsconservation/?_rdc=1&amp;_rdr" TargetMode="External"/><Relationship Id="rId209" Type="http://schemas.openxmlformats.org/officeDocument/2006/relationships/hyperlink" Target="https://www.pna.gov.ph/articles/1095764" TargetMode="External"/><Relationship Id="rId208" Type="http://schemas.openxmlformats.org/officeDocument/2006/relationships/hyperlink" Target="https://www.pna.gov.ph/articles/1095764" TargetMode="External"/><Relationship Id="rId207" Type="http://schemas.openxmlformats.org/officeDocument/2006/relationships/hyperlink" Target="https://web.facebook.com/CityAgricultureCDO/posts/1818126778356518/?paipv=0&amp;eav=AfZRQmJgGSI0L2g9U65jABSY00S9bkGu4Mij9M1M--6CIMfEuumw-Pv07pQ30DTpugs&amp;_rdc=1&amp;_rdr" TargetMode="External"/><Relationship Id="rId202" Type="http://schemas.openxmlformats.org/officeDocument/2006/relationships/hyperlink" Target="https://issuu.com/piamindanao1/docs/august_27" TargetMode="External"/><Relationship Id="rId201" Type="http://schemas.openxmlformats.org/officeDocument/2006/relationships/hyperlink" Target="https://www.pna.gov.ph/articles/1124515" TargetMode="External"/><Relationship Id="rId200" Type="http://schemas.openxmlformats.org/officeDocument/2006/relationships/hyperlink" Target="https://psbalita.com/kaligkasan-pro-10-at-lgu-camiguin-nanguna-sa-paglagay-ng-artificial-reefs-sa-mantigue-island/" TargetMode="External"/></Relationships>
</file>

<file path=xl/worksheets/_rels/sheet15.xml.rels><?xml version="1.0" encoding="UTF-8" standalone="yes"?><Relationships xmlns="http://schemas.openxmlformats.org/package/2006/relationships"><Relationship Id="rId190" Type="http://schemas.openxmlformats.org/officeDocument/2006/relationships/hyperlink" Target="http://pubs.iclarm.net/libinfo/Pdf/Pub%20CP6%2049.pdf" TargetMode="External"/><Relationship Id="rId194" Type="http://schemas.openxmlformats.org/officeDocument/2006/relationships/hyperlink" Target="https://aquadocs.org/bitstream/handle/1834/40478/GomezED2006.pdf?sequence=1&amp;isAllowed=y" TargetMode="External"/><Relationship Id="rId193" Type="http://schemas.openxmlformats.org/officeDocument/2006/relationships/hyperlink" Target="https://iserd.net/ijerd81/Volume8-1-10.pdf" TargetMode="External"/><Relationship Id="rId192" Type="http://schemas.openxmlformats.org/officeDocument/2006/relationships/hyperlink" Target="http://pubs.iclarm.net/libinfo/Pdf/Pub%20CP6%2049.pdf" TargetMode="External"/><Relationship Id="rId191" Type="http://schemas.openxmlformats.org/officeDocument/2006/relationships/hyperlink" Target="https://aquadocs.org/bitstream/handle/1834/40478/GomezED2006.pdf?sequence=1&amp;isAllowed=y" TargetMode="External"/><Relationship Id="rId187" Type="http://schemas.openxmlformats.org/officeDocument/2006/relationships/hyperlink" Target="https://www.sunstar.com.ph/article/267935/artificial-reefs-dropped-into-oton-sea" TargetMode="External"/><Relationship Id="rId186" Type="http://schemas.openxmlformats.org/officeDocument/2006/relationships/hyperlink" Target="http://pubs.iclarm.net/libinfo/Pdf/Pub%20CP6%2049.pdf" TargetMode="External"/><Relationship Id="rId185" Type="http://schemas.openxmlformats.org/officeDocument/2006/relationships/hyperlink" Target="http://oneocean.org/about_crmp/98search.html" TargetMode="External"/><Relationship Id="rId184" Type="http://schemas.openxmlformats.org/officeDocument/2006/relationships/hyperlink" Target="https://admin.concern.net/sites/default/files/media/migrated/_supporting_recovery_of_fishing_livelihoods_mangroves_and_coral_reefs_in_the_philippines_0.pdf" TargetMode="External"/><Relationship Id="rId189" Type="http://schemas.openxmlformats.org/officeDocument/2006/relationships/hyperlink" Target="https://aquadocs.org/bitstream/handle/1834/40478/GomezED2006.pdf?sequence=1&amp;isAllowed=y" TargetMode="External"/><Relationship Id="rId188" Type="http://schemas.openxmlformats.org/officeDocument/2006/relationships/hyperlink" Target="https://dergipark.org.tr/en/download/article-file/2047698" TargetMode="External"/><Relationship Id="rId183" Type="http://schemas.openxmlformats.org/officeDocument/2006/relationships/hyperlink" Target="https://admin.concern.net/sites/default/files/media/migrated/_supporting_recovery_of_fishing_livelihoods_mangroves_and_coral_reefs_in_the_philippines_0.pdf" TargetMode="External"/><Relationship Id="rId182" Type="http://schemas.openxmlformats.org/officeDocument/2006/relationships/hyperlink" Target="https://www.rappler.com/moveph/145137-iloilo-fishermen-lead-coastal-management/" TargetMode="External"/><Relationship Id="rId181" Type="http://schemas.openxmlformats.org/officeDocument/2006/relationships/hyperlink" Target="https://www.crc.uri.edu/download/CB_000E.pdf" TargetMode="External"/><Relationship Id="rId180" Type="http://schemas.openxmlformats.org/officeDocument/2006/relationships/hyperlink" Target="https://www.adb.org/sites/default/files/publication/29878/kalahi-cidss-project-philippines.pdf" TargetMode="External"/><Relationship Id="rId176" Type="http://schemas.openxmlformats.org/officeDocument/2006/relationships/hyperlink" Target="http://roxascity.gov.ph/roxas-city-receives-p1m-for-560-units-jackstone-type-artificial-reefs-project/" TargetMode="External"/><Relationship Id="rId297" Type="http://schemas.openxmlformats.org/officeDocument/2006/relationships/hyperlink" Target="https://nickelasia.com/bulletin/pangangalaga-sa-karagatan-pinaigting-pa-ng-cmc-hmc" TargetMode="External"/><Relationship Id="rId175" Type="http://schemas.openxmlformats.org/officeDocument/2006/relationships/hyperlink" Target="http://pubs.iclarm.net/libinfo/Pdf/Pub%20CP6%2049.pdf" TargetMode="External"/><Relationship Id="rId296" Type="http://schemas.openxmlformats.org/officeDocument/2006/relationships/hyperlink" Target="https://www.bfar.da.gov.ph/wp-content/uploads/2022/05/FishCORAL-Project-Annual-Report-2017.pdf" TargetMode="External"/><Relationship Id="rId174" Type="http://schemas.openxmlformats.org/officeDocument/2006/relationships/hyperlink" Target="https://web.facebook.com/watch/?v=220661800165072" TargetMode="External"/><Relationship Id="rId295" Type="http://schemas.openxmlformats.org/officeDocument/2006/relationships/hyperlink" Target="https://web.facebook.com/butuancitypioofficial/posts/35-artificial-reefs-gi-instalar-sa-fish-sanctuary-sa-brgy-masao-sa-butuannagtamb/3347562868625222/?_rdc=1&amp;_rdr" TargetMode="External"/><Relationship Id="rId173" Type="http://schemas.openxmlformats.org/officeDocument/2006/relationships/hyperlink" Target="https://noonbreakbalita.com/2016/4993/filipinnovation-to-effectively-restore-coral-reefs-in-the-philippines/" TargetMode="External"/><Relationship Id="rId294" Type="http://schemas.openxmlformats.org/officeDocument/2006/relationships/hyperlink" Target="https://web.facebook.com/photo/?fbid=434871958676768&amp;set=pcb.434872188676745" TargetMode="External"/><Relationship Id="rId179" Type="http://schemas.openxmlformats.org/officeDocument/2006/relationships/hyperlink" Target="https://nanopdf.com/download/community-based-coastal-resource-management-in-nasidman-island-iloilo-philippine_pdf" TargetMode="External"/><Relationship Id="rId178" Type="http://schemas.openxmlformats.org/officeDocument/2006/relationships/hyperlink" Target="https://admin.concern.net/sites/default/files/media/migrated/_supporting_recovery_of_fishing_livelihoods_mangroves_and_coral_reefs_in_the_philippines_0.pdf" TargetMode="External"/><Relationship Id="rId299" Type="http://schemas.openxmlformats.org/officeDocument/2006/relationships/hyperlink" Target="https://www.visitdelcarmen.com/del-carmen-artificial-coral-reefs/" TargetMode="External"/><Relationship Id="rId177" Type="http://schemas.openxmlformats.org/officeDocument/2006/relationships/hyperlink" Target="https://kalahi.dswd.gov.ph/press/downloads/category/58-old-iec-materials?download=322:tayo-na-tayo-na-disaster-resiliency-compendium" TargetMode="External"/><Relationship Id="rId298" Type="http://schemas.openxmlformats.org/officeDocument/2006/relationships/hyperlink" Target="http://www.gfni.com.ph/wp-content/uploads/annualreports/2018%20IR%20061919%20FINAL.pdf" TargetMode="External"/><Relationship Id="rId198" Type="http://schemas.openxmlformats.org/officeDocument/2006/relationships/hyperlink" Target="https://aquadocs.org/bitstream/handle/1834/40478/GomezED2006.pdf?sequence=1&amp;isAllowed=y" TargetMode="External"/><Relationship Id="rId197" Type="http://schemas.openxmlformats.org/officeDocument/2006/relationships/hyperlink" Target="http://pubs.iclarm.net/libinfo/Pdf/Pub%20CP6%2049.pdf" TargetMode="External"/><Relationship Id="rId196" Type="http://schemas.openxmlformats.org/officeDocument/2006/relationships/hyperlink" Target="http://oneocean.org/about_crmp/98search.html" TargetMode="External"/><Relationship Id="rId195" Type="http://schemas.openxmlformats.org/officeDocument/2006/relationships/hyperlink" Target="http://pubs.iclarm.net/libinfo/Pdf/Pub%20CP6%2049.pdf" TargetMode="External"/><Relationship Id="rId199" Type="http://schemas.openxmlformats.org/officeDocument/2006/relationships/hyperlink" Target="https://aquadocs.org/bitstream/handle/1834/40478/GomezED2006.pdf?sequence=1&amp;isAllowed=y" TargetMode="External"/><Relationship Id="rId150" Type="http://schemas.openxmlformats.org/officeDocument/2006/relationships/hyperlink" Target="http://pubs.iclarm.net/libinfo/Pdf/Pub%20CP6%2049.pdf" TargetMode="External"/><Relationship Id="rId271" Type="http://schemas.openxmlformats.org/officeDocument/2006/relationships/hyperlink" Target="http://pubs.iclarm.net/libinfo/Pdf/Pub%20CP6%2049.pdf" TargetMode="External"/><Relationship Id="rId270" Type="http://schemas.openxmlformats.org/officeDocument/2006/relationships/hyperlink" Target="http://pubs.iclarm.net/libinfo/Pdf/Pub%20CP6%2049.pdf" TargetMode="External"/><Relationship Id="rId1" Type="http://schemas.openxmlformats.org/officeDocument/2006/relationships/hyperlink" Target="http://pubs.iclarm.net/libinfo/Pdf/Pub%20CP6%2049.pdf" TargetMode="External"/><Relationship Id="rId2" Type="http://schemas.openxmlformats.org/officeDocument/2006/relationships/hyperlink" Target="http://pubs.iclarm.net/libinfo/Pdf/Pub%20CP6%2049.pdf" TargetMode="External"/><Relationship Id="rId3" Type="http://schemas.openxmlformats.org/officeDocument/2006/relationships/hyperlink" Target="http://pubs.iclarm.net/libinfo/Pdf/Pub%20CP6%2049.pdf" TargetMode="External"/><Relationship Id="rId149" Type="http://schemas.openxmlformats.org/officeDocument/2006/relationships/hyperlink" Target="https://web.facebook.com/CaramoanCoralReefProject/photos/a.3514110111966651/5665048640206110/" TargetMode="External"/><Relationship Id="rId4" Type="http://schemas.openxmlformats.org/officeDocument/2006/relationships/hyperlink" Target="https://www.ircwash.org/sites/default/files/802-PH90-8920.pdf" TargetMode="External"/><Relationship Id="rId148" Type="http://schemas.openxmlformats.org/officeDocument/2006/relationships/hyperlink" Target="https://ejournals.ph/article.php?id=15657" TargetMode="External"/><Relationship Id="rId269" Type="http://schemas.openxmlformats.org/officeDocument/2006/relationships/hyperlink" Target="https://www.lakwatsero.com/dive-report/linamon-coral-transplanation-project-in-iligan-bay/" TargetMode="External"/><Relationship Id="rId9" Type="http://schemas.openxmlformats.org/officeDocument/2006/relationships/hyperlink" Target="http://pubs.iclarm.net/libinfo/Pdf/Pub%20CP6%2049.pdf" TargetMode="External"/><Relationship Id="rId143" Type="http://schemas.openxmlformats.org/officeDocument/2006/relationships/hyperlink" Target="http://pubs.iclarm.net/libinfo/Pdf/Pub%20CP6%2049.pdf" TargetMode="External"/><Relationship Id="rId264" Type="http://schemas.openxmlformats.org/officeDocument/2006/relationships/hyperlink" Target="https://issuu.com/sudaria_publications/docs/cdotimes_april_16-22__2016" TargetMode="External"/><Relationship Id="rId142" Type="http://schemas.openxmlformats.org/officeDocument/2006/relationships/hyperlink" Target="http://pubs.iclarm.net/libinfo/Pdf/Pub%20CP6%2049.pdf" TargetMode="External"/><Relationship Id="rId263" Type="http://schemas.openxmlformats.org/officeDocument/2006/relationships/hyperlink" Target="https://www.eco-business.com/news/sustainable-coral-nurseries-ensure-future-of-philippine-coral-reefs/" TargetMode="External"/><Relationship Id="rId141" Type="http://schemas.openxmlformats.org/officeDocument/2006/relationships/hyperlink" Target="https://kochi.repo.nii.ac.jp/?action=repository_action_common_download&amp;item_id=8640&amp;item_no=1&amp;attribute_id=17&amp;file_no=1" TargetMode="External"/><Relationship Id="rId262" Type="http://schemas.openxmlformats.org/officeDocument/2006/relationships/hyperlink" Target="https://www.philstar.com/business/business-as-usual/2006/04/24/333050/duka-bay-ecological-business-paradigm" TargetMode="External"/><Relationship Id="rId140" Type="http://schemas.openxmlformats.org/officeDocument/2006/relationships/hyperlink" Target="https://www.pna.gov.ph/articles/1171451" TargetMode="External"/><Relationship Id="rId261" Type="http://schemas.openxmlformats.org/officeDocument/2006/relationships/hyperlink" Target="https://www.youtube.com/watch?v=7NBc_NGXqEA" TargetMode="External"/><Relationship Id="rId5" Type="http://schemas.openxmlformats.org/officeDocument/2006/relationships/hyperlink" Target="http://pubs.iclarm.net/libinfo/Pdf/Pub%20CP6%2049.pdf" TargetMode="External"/><Relationship Id="rId147" Type="http://schemas.openxmlformats.org/officeDocument/2006/relationships/hyperlink" Target="http://pubs.iclarm.net/libinfo/Pdf/Pub%20CP6%2049.pdf" TargetMode="External"/><Relationship Id="rId268" Type="http://schemas.openxmlformats.org/officeDocument/2006/relationships/hyperlink" Target="https://web.facebook.com/shieldsconservation/?_rdc=1&amp;_rdr" TargetMode="External"/><Relationship Id="rId6" Type="http://schemas.openxmlformats.org/officeDocument/2006/relationships/hyperlink" Target="http://pubs.iclarm.net/libinfo/Pdf/Pub%20CP6%2049.pdf" TargetMode="External"/><Relationship Id="rId146" Type="http://schemas.openxmlformats.org/officeDocument/2006/relationships/hyperlink" Target="http://pubs.iclarm.net/libinfo/Pdf/Pub%20CP6%2049.pdf" TargetMode="External"/><Relationship Id="rId267" Type="http://schemas.openxmlformats.org/officeDocument/2006/relationships/hyperlink" Target="http://pubs.iclarm.net/libinfo/Pdf/Pub%20CP6%2049.pdf" TargetMode="External"/><Relationship Id="rId7" Type="http://schemas.openxmlformats.org/officeDocument/2006/relationships/hyperlink" Target="http://pubs.iclarm.net/libinfo/Pdf/Pub%20CP6%2049.pdf" TargetMode="External"/><Relationship Id="rId145" Type="http://schemas.openxmlformats.org/officeDocument/2006/relationships/hyperlink" Target="https://brigadanews.ph/artificial-coral-reefs-inilagay-sa-karagatang-sakop-ng-jose-panganiban-bahagi-ng-marine-protected-areas-idedeklarang-fish-santuary-ng-lgu/" TargetMode="External"/><Relationship Id="rId266" Type="http://schemas.openxmlformats.org/officeDocument/2006/relationships/hyperlink" Target="http://pubs.iclarm.net/libinfo/Pdf/Pub%20CP6%2049.pdf" TargetMode="External"/><Relationship Id="rId8" Type="http://schemas.openxmlformats.org/officeDocument/2006/relationships/hyperlink" Target="http://pubs.iclarm.net/libinfo/Pdf/Pub%20CP6%2049.pdf" TargetMode="External"/><Relationship Id="rId144" Type="http://schemas.openxmlformats.org/officeDocument/2006/relationships/hyperlink" Target="http://pubs.iclarm.net/libinfo/Pdf/Pub%20CP6%2049.pdf" TargetMode="External"/><Relationship Id="rId265" Type="http://schemas.openxmlformats.org/officeDocument/2006/relationships/hyperlink" Target="https://www.xu.edu.ph/images/publication/newsletters/pagtaob/documents/PAGTAOB_V3_I1.pdf" TargetMode="External"/><Relationship Id="rId260" Type="http://schemas.openxmlformats.org/officeDocument/2006/relationships/hyperlink" Target="http://www.pmocdo.ppa.com.ph/pmo-mo-c-expands-initiatives-for-environment-conservation/" TargetMode="External"/><Relationship Id="rId139" Type="http://schemas.openxmlformats.org/officeDocument/2006/relationships/hyperlink" Target="http://pubs.iclarm.net/libinfo/Pdf/Pub%20CP6%2049.pdf" TargetMode="External"/><Relationship Id="rId138" Type="http://schemas.openxmlformats.org/officeDocument/2006/relationships/hyperlink" Target="https://sulubaai-foundation.com/wp-content/uploads/2019/07/Sulu-Reef-Prosthesis-a-new-method-in-restoration.pdf" TargetMode="External"/><Relationship Id="rId259" Type="http://schemas.openxmlformats.org/officeDocument/2006/relationships/hyperlink" Target="http://pubs.iclarm.net/libinfo/Pdf/Pub%20CP6%2049.pdf" TargetMode="External"/><Relationship Id="rId137" Type="http://schemas.openxmlformats.org/officeDocument/2006/relationships/hyperlink" Target="http://www.discovery.com.ph/palawan-cove.html" TargetMode="External"/><Relationship Id="rId258" Type="http://schemas.openxmlformats.org/officeDocument/2006/relationships/hyperlink" Target="https://www.pna.gov.ph/articles/1095764" TargetMode="External"/><Relationship Id="rId132" Type="http://schemas.openxmlformats.org/officeDocument/2006/relationships/hyperlink" Target="http://pubs.iclarm.net/libinfo/Pdf/Pub%20CP6%2049.pdf" TargetMode="External"/><Relationship Id="rId253" Type="http://schemas.openxmlformats.org/officeDocument/2006/relationships/hyperlink" Target="https://pro10.pnp.gov.ph/pro10/index.php/56-activities/339-installation-of-artificial-coral-reefs-at-mantigue-island-camiguin" TargetMode="External"/><Relationship Id="rId131" Type="http://schemas.openxmlformats.org/officeDocument/2006/relationships/hyperlink" Target="https://mb.com.ph/2021/06/24/filipinnovation-mimaropas-first-large-scale-coral-restoration-project-already-started/" TargetMode="External"/><Relationship Id="rId252" Type="http://schemas.openxmlformats.org/officeDocument/2006/relationships/hyperlink" Target="http://pubs.iclarm.net/libinfo/Pdf/Pub%20CP6%2049.pdf" TargetMode="External"/><Relationship Id="rId130" Type="http://schemas.openxmlformats.org/officeDocument/2006/relationships/hyperlink" Target="https://mb.com.ph/2021/06/24/filipinnovation-mimaropas-first-large-scale-coral-restoration-project-already-started/" TargetMode="External"/><Relationship Id="rId251" Type="http://schemas.openxmlformats.org/officeDocument/2006/relationships/hyperlink" Target="http://pubs.iclarm.net/libinfo/Pdf/Pub%20CP6%2049.pdf" TargetMode="External"/><Relationship Id="rId250" Type="http://schemas.openxmlformats.org/officeDocument/2006/relationships/hyperlink" Target="http://pubs.iclarm.net/libinfo/Pdf/Pub%20CP6%2049.pdf" TargetMode="External"/><Relationship Id="rId136" Type="http://schemas.openxmlformats.org/officeDocument/2006/relationships/hyperlink" Target="http://pubs.iclarm.net/libinfo/Pdf/Pub%20CP6%2049.pdf" TargetMode="External"/><Relationship Id="rId257" Type="http://schemas.openxmlformats.org/officeDocument/2006/relationships/hyperlink" Target="https://aquadocs.org/bitstream/handle/1834/40478/GomezED2006.pdf?sequence=1&amp;isAllowed=y" TargetMode="External"/><Relationship Id="rId135" Type="http://schemas.openxmlformats.org/officeDocument/2006/relationships/hyperlink" Target="https://sevenseasmedia.org/biri-initiative-story-on-coral-restoration/" TargetMode="External"/><Relationship Id="rId256" Type="http://schemas.openxmlformats.org/officeDocument/2006/relationships/hyperlink" Target="http://pubs.iclarm.net/libinfo/Pdf/Pub%20CP6%2049.pdf" TargetMode="External"/><Relationship Id="rId134" Type="http://schemas.openxmlformats.org/officeDocument/2006/relationships/hyperlink" Target="https://savethephilippinecoralreefs.wordpress.com/2013/03/24/rvs-4-star-mariculture-coral-farm-brakes-ground-in-the-philippines/" TargetMode="External"/><Relationship Id="rId255" Type="http://schemas.openxmlformats.org/officeDocument/2006/relationships/hyperlink" Target="http://pubs.iclarm.net/libinfo/Pdf/Pub%20CP6%2049.pdf" TargetMode="External"/><Relationship Id="rId133" Type="http://schemas.openxmlformats.org/officeDocument/2006/relationships/hyperlink" Target="http://pubs.iclarm.net/libinfo/Pdf/Pub%20CP6%2049.pdf" TargetMode="External"/><Relationship Id="rId254" Type="http://schemas.openxmlformats.org/officeDocument/2006/relationships/hyperlink" Target="https://www.pna.gov.ph/articles/1124515" TargetMode="External"/><Relationship Id="rId172" Type="http://schemas.openxmlformats.org/officeDocument/2006/relationships/hyperlink" Target="http://www.reefball.org/album/philippines/boracayreef/index.html" TargetMode="External"/><Relationship Id="rId293" Type="http://schemas.openxmlformats.org/officeDocument/2006/relationships/hyperlink" Target="https://caraga.bfar.da.gov.ph/wp-content/uploads/2022/12/Annual-Report-2018.pdf" TargetMode="External"/><Relationship Id="rId171" Type="http://schemas.openxmlformats.org/officeDocument/2006/relationships/hyperlink" Target="https://gadgetsmagazine.com.ph/technology/artificial-reef-dome-deployment-in-boracay" TargetMode="External"/><Relationship Id="rId292" Type="http://schemas.openxmlformats.org/officeDocument/2006/relationships/hyperlink" Target="https://www.philstar.com/other-sections/the-good-news/2015/11/23/1524749/saranganis-kamanga-marine-eco-tourism-park-and-sanctuary-cited-one-philippines-best" TargetMode="External"/><Relationship Id="rId170" Type="http://schemas.openxmlformats.org/officeDocument/2006/relationships/hyperlink" Target="https://gadgetsmagazine.com.ph/technology/artificial-reef-dome-deployment-in-boracay" TargetMode="External"/><Relationship Id="rId291" Type="http://schemas.openxmlformats.org/officeDocument/2006/relationships/hyperlink" Target="https://35.229.131.110/node/60" TargetMode="External"/><Relationship Id="rId290" Type="http://schemas.openxmlformats.org/officeDocument/2006/relationships/hyperlink" Target="http://archives.pia.gov.ph/?m=12&amp;fi=p090529.htm&amp;no=A7" TargetMode="External"/><Relationship Id="rId165" Type="http://schemas.openxmlformats.org/officeDocument/2006/relationships/hyperlink" Target="http://pubs.iclarm.net/libinfo/Pdf/Pub%20CP6%2049.pdf" TargetMode="External"/><Relationship Id="rId286" Type="http://schemas.openxmlformats.org/officeDocument/2006/relationships/hyperlink" Target="https://www.pna.gov.ph/articles/1038701" TargetMode="External"/><Relationship Id="rId164" Type="http://schemas.openxmlformats.org/officeDocument/2006/relationships/hyperlink" Target="http://pubs.iclarm.net/libinfo/Pdf/Pub%20CP6%2049.pdf" TargetMode="External"/><Relationship Id="rId285" Type="http://schemas.openxmlformats.org/officeDocument/2006/relationships/hyperlink" Target="http://oneocean.org/about_crmp/98search.html" TargetMode="External"/><Relationship Id="rId163" Type="http://schemas.openxmlformats.org/officeDocument/2006/relationships/hyperlink" Target="http://pubs.iclarm.net/libinfo/Pdf/Pub%20CP6%2049.pdf" TargetMode="External"/><Relationship Id="rId284" Type="http://schemas.openxmlformats.org/officeDocument/2006/relationships/hyperlink" Target="http://archives.pia.gov.ph/?m=12&amp;sec=reader&amp;rp=1&amp;fi=p040320.htm&amp;no=8&amp;date=03/20/2004" TargetMode="External"/><Relationship Id="rId162" Type="http://schemas.openxmlformats.org/officeDocument/2006/relationships/hyperlink" Target="http://pubs.iclarm.net/libinfo/Pdf/Pub%20CP6%2049.pdf" TargetMode="External"/><Relationship Id="rId283" Type="http://schemas.openxmlformats.org/officeDocument/2006/relationships/hyperlink" Target="https://www.youtube.com/watch?v=6AfF_6TG2jE" TargetMode="External"/><Relationship Id="rId169" Type="http://schemas.openxmlformats.org/officeDocument/2006/relationships/hyperlink" Target="https://www.manilawater.com/corporate/boracay-water/agos/2022-06-16/boracay-island-water-company-invests-in-marine-life" TargetMode="External"/><Relationship Id="rId168" Type="http://schemas.openxmlformats.org/officeDocument/2006/relationships/hyperlink" Target="https://kalahi.dswd.gov.ph/press/downloads/category/58-old-iec-materials?download=322:tayo-na-tayo-na-disaster-resiliency-compendium" TargetMode="External"/><Relationship Id="rId289" Type="http://schemas.openxmlformats.org/officeDocument/2006/relationships/hyperlink" Target="https://sgp.undp.org/spacial-itemid-projects-landing-page/spacial-itemid-project-search-results/spacial-itemid-project-detailpage?view=projectdetail&amp;id=3748" TargetMode="External"/><Relationship Id="rId167" Type="http://schemas.openxmlformats.org/officeDocument/2006/relationships/hyperlink" Target="http://pubs.iclarm.net/libinfo/Pdf/Pub%20CP6%2049.pdf" TargetMode="External"/><Relationship Id="rId288" Type="http://schemas.openxmlformats.org/officeDocument/2006/relationships/hyperlink" Target="https://www.phoenixfuels.ph/build-a-reef-project-2018/" TargetMode="External"/><Relationship Id="rId166" Type="http://schemas.openxmlformats.org/officeDocument/2006/relationships/hyperlink" Target="http://pubs.iclarm.net/libinfo/Pdf/Pub%20CP6%2049.pdf" TargetMode="External"/><Relationship Id="rId287" Type="http://schemas.openxmlformats.org/officeDocument/2006/relationships/hyperlink" Target="https://www.gmanetwork.com/news/topstories/regions/47043/sun-star-3-500-artificial-reef-domes-set-up-in-sarangani-bay/story/" TargetMode="External"/><Relationship Id="rId161" Type="http://schemas.openxmlformats.org/officeDocument/2006/relationships/hyperlink" Target="http://pubs.iclarm.net/libinfo/Pdf/Pub%20CP6%2049.pdf" TargetMode="External"/><Relationship Id="rId282" Type="http://schemas.openxmlformats.org/officeDocument/2006/relationships/hyperlink" Target="https://www.phoenixfuels.ph/phoenix-helps-save-marine-life-through-artificial-reefs/" TargetMode="External"/><Relationship Id="rId160" Type="http://schemas.openxmlformats.org/officeDocument/2006/relationships/hyperlink" Target="https://www.nzdl.org/cgi-bin/library?e=d-00000-00---off-0hdl--00-0----0-10-0---0---0direct-10---4-------0-1l--11-en-50---20-about---00-0-1-00-0--4----0-0-11-10-0utfZz-8-10&amp;cl=CL2.17.2&amp;d=HASHfc8d613128f6e253a7fd93.6&amp;gc=1" TargetMode="External"/><Relationship Id="rId281" Type="http://schemas.openxmlformats.org/officeDocument/2006/relationships/hyperlink" Target="http://pubs.iclarm.net/libinfo/Pdf/Pub%20CP6%2049.pdf" TargetMode="External"/><Relationship Id="rId280" Type="http://schemas.openxmlformats.org/officeDocument/2006/relationships/hyperlink" Target="https://mobile.facebook.com/watch/?v=381675062720602&amp;paipv=0&amp;eav=AfYwcIL9NxwTN4aCbErewJy7tTD3nrufxoQ6KHefWVVRdYsV3q7dl44iSGOHSXvUCgs&amp;_rdr" TargetMode="External"/><Relationship Id="rId159" Type="http://schemas.openxmlformats.org/officeDocument/2006/relationships/hyperlink" Target="http://pubs.iclarm.net/libinfo/Pdf/Pub%20CP6%2049.pdf" TargetMode="External"/><Relationship Id="rId154" Type="http://schemas.openxmlformats.org/officeDocument/2006/relationships/hyperlink" Target="http://pubs.iclarm.net/libinfo/Pdf/Pub%20CP6%2049.pdf" TargetMode="External"/><Relationship Id="rId275" Type="http://schemas.openxmlformats.org/officeDocument/2006/relationships/hyperlink" Target="https://web.facebook.com/CMOUEM2018/posts/24-august-19-the-naval-forces-eastern-mindanao-nfem-civil-military-operations-un/1349837585154833/?_rdc=1&amp;_rdr" TargetMode="External"/><Relationship Id="rId153" Type="http://schemas.openxmlformats.org/officeDocument/2006/relationships/hyperlink" Target="https://r5.denr.gov.ph/index.php/news-events/photo-releases/1292-coral-reef-restoration-at-gamban-reef" TargetMode="External"/><Relationship Id="rId274" Type="http://schemas.openxmlformats.org/officeDocument/2006/relationships/hyperlink" Target="http://allhonestreviews.blogspot.com/2012/08/launching-of-jci-manila-sea-of-life.html" TargetMode="External"/><Relationship Id="rId152" Type="http://schemas.openxmlformats.org/officeDocument/2006/relationships/hyperlink" Target="https://www.bfar.da.gov.ph/wp-content/uploads/2022/05/FishCORAL-Project-Annual-Report-2020.pdf" TargetMode="External"/><Relationship Id="rId273" Type="http://schemas.openxmlformats.org/officeDocument/2006/relationships/hyperlink" Target="https://r11.denr.gov.ph/index.php/news-events/regional-releases" TargetMode="External"/><Relationship Id="rId151" Type="http://schemas.openxmlformats.org/officeDocument/2006/relationships/hyperlink" Target="http://pubs.iclarm.net/libinfo/Pdf/Pub%20CP6%2049.pdf" TargetMode="External"/><Relationship Id="rId272" Type="http://schemas.openxmlformats.org/officeDocument/2006/relationships/hyperlink" Target="https://lanaodelnorte.gov.ph/2021/03/15/pgldn-show-support-to-s-a-g-o-p/" TargetMode="External"/><Relationship Id="rId158" Type="http://schemas.openxmlformats.org/officeDocument/2006/relationships/hyperlink" Target="https://kochi.repo.nii.ac.jp/?action=repository_action_common_download&amp;item_id=8640&amp;item_no=1&amp;attribute_id=17&amp;file_no=1" TargetMode="External"/><Relationship Id="rId279" Type="http://schemas.openxmlformats.org/officeDocument/2006/relationships/hyperlink" Target="https://aquadocs.org/bitstream/handle/1834/40478/GomezED2006.pdf?sequence=1&amp;isAllowed=y" TargetMode="External"/><Relationship Id="rId157" Type="http://schemas.openxmlformats.org/officeDocument/2006/relationships/hyperlink" Target="http://www.pemsea.org/sites/default/files/tc-v11n1.pdf" TargetMode="External"/><Relationship Id="rId278" Type="http://schemas.openxmlformats.org/officeDocument/2006/relationships/hyperlink" Target="https://philippinemorningpost.com/underwater-experience-in-samal-island/" TargetMode="External"/><Relationship Id="rId156" Type="http://schemas.openxmlformats.org/officeDocument/2006/relationships/hyperlink" Target="http://pubs.iclarm.net/libinfo/Pdf/Pub%20CP6%2049.pdf" TargetMode="External"/><Relationship Id="rId277" Type="http://schemas.openxmlformats.org/officeDocument/2006/relationships/hyperlink" Target="https://www.sunstar.com.ph/article/1837913/davao/local-news/denr-rehabilitates-3-hectares-of-coral-reef" TargetMode="External"/><Relationship Id="rId155" Type="http://schemas.openxmlformats.org/officeDocument/2006/relationships/hyperlink" Target="http://pubs.iclarm.net/libinfo/Pdf/Pub%20CP6%2049.pdf" TargetMode="External"/><Relationship Id="rId276" Type="http://schemas.openxmlformats.org/officeDocument/2006/relationships/hyperlink" Target="https://savethephilippinecoralreefs.wordpress.com/page/10/?controllername=search&amp;action=search&amp;channel=world&amp;search=1&amp;inlinelink=1&amp;query=-paul%20fong-" TargetMode="External"/><Relationship Id="rId40" Type="http://schemas.openxmlformats.org/officeDocument/2006/relationships/hyperlink" Target="https://pdf.usaid.gov/pdf_docs/pnabx173.pdf" TargetMode="External"/><Relationship Id="rId42" Type="http://schemas.openxmlformats.org/officeDocument/2006/relationships/hyperlink" Target="https://www.marineconservationphilippines.org/wp-content/uploads/2018/02/an-evaluation-of-coral-reef-restoration-methods.pdf" TargetMode="External"/><Relationship Id="rId41" Type="http://schemas.openxmlformats.org/officeDocument/2006/relationships/hyperlink" Target="http://pubs.iclarm.net/libinfo/Pdf/Pub%20CP6%2049.pdf" TargetMode="External"/><Relationship Id="rId44" Type="http://schemas.openxmlformats.org/officeDocument/2006/relationships/hyperlink" Target="https://pubmed.ncbi.nlm.nih.gov/32275570/" TargetMode="External"/><Relationship Id="rId43" Type="http://schemas.openxmlformats.org/officeDocument/2006/relationships/hyperlink" Target="https://www.sciencedirect.com/science/article/abs/pii/S0025326X05001669?via%3Dihub" TargetMode="External"/><Relationship Id="rId46" Type="http://schemas.openxmlformats.org/officeDocument/2006/relationships/hyperlink" Target="https://www.sciencedirect.com/science/article/abs/pii/S002209810800066X?via%3Dihub" TargetMode="External"/><Relationship Id="rId45" Type="http://schemas.openxmlformats.org/officeDocument/2006/relationships/hyperlink" Target="https://www.researchgate.net/publication/227686360_Comparison_of_three_types_of_adhesive_in_attaching_coral_transplants_to_clam_shell_substrates" TargetMode="External"/><Relationship Id="rId48" Type="http://schemas.openxmlformats.org/officeDocument/2006/relationships/hyperlink" Target="https://www.researchgate.net/publication/223475676_Caging_enhances_post-settlement_survival_of_juveniles_of_the_scleractinian_coral_Acropora_tenuis" TargetMode="External"/><Relationship Id="rId47" Type="http://schemas.openxmlformats.org/officeDocument/2006/relationships/hyperlink" Target="https://www.sciencedirect.com/science/article/abs/pii/S092585741000176X" TargetMode="External"/><Relationship Id="rId49" Type="http://schemas.openxmlformats.org/officeDocument/2006/relationships/hyperlink" Target="https://www.sciencedirect.com/science/article/abs/pii/S0925857409003498" TargetMode="External"/><Relationship Id="rId31" Type="http://schemas.openxmlformats.org/officeDocument/2006/relationships/hyperlink" Target="https://aquadocs.org/bitstream/handle/1834/40478/GomezED2006.pdf?sequence=1&amp;isAllowed=y" TargetMode="External"/><Relationship Id="rId30" Type="http://schemas.openxmlformats.org/officeDocument/2006/relationships/hyperlink" Target="https://www.aciar.gov.au/publication/coral-reef-restoration-using-mass-coral-larval-reseeding-final-report" TargetMode="External"/><Relationship Id="rId33" Type="http://schemas.openxmlformats.org/officeDocument/2006/relationships/hyperlink" Target="https://www.tandfonline.com/doi/abs/10.1080/17451000.2012.682582" TargetMode="External"/><Relationship Id="rId32" Type="http://schemas.openxmlformats.org/officeDocument/2006/relationships/hyperlink" Target="https://gefcoral.org/Portals/25/%20Appendix%20C%20-%20Cabaitan,Gomez,Ali%C3%B1o%202008%20JEMBE.pdf" TargetMode="External"/><Relationship Id="rId35" Type="http://schemas.openxmlformats.org/officeDocument/2006/relationships/hyperlink" Target="https://www.sciencedirect.com/science/article/abs/pii/S0044848619332533" TargetMode="External"/><Relationship Id="rId34" Type="http://schemas.openxmlformats.org/officeDocument/2006/relationships/hyperlink" Target="https://www.researchgate.net/publication/356725969_Increased_Coral_Larval_Supply_Enhances_Recruitment_for_Coral_and_Fish_Habitat_Restoration" TargetMode="External"/><Relationship Id="rId37" Type="http://schemas.openxmlformats.org/officeDocument/2006/relationships/hyperlink" Target="https://onlinelibrary.wiley.com/doi/10.1111/rec.13363" TargetMode="External"/><Relationship Id="rId36"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39" Type="http://schemas.openxmlformats.org/officeDocument/2006/relationships/hyperlink" Target="http://pubs.iclarm.net/libinfo/Pdf/Pub%20CP6%2049.pdf"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pubs.iclarm.net/libinfo/Pdf/Pub%20CP6%2049.pdf" TargetMode="External"/><Relationship Id="rId22" Type="http://schemas.openxmlformats.org/officeDocument/2006/relationships/hyperlink" Target="https://www.pna.gov.ph/articles/1136282" TargetMode="External"/><Relationship Id="rId21" Type="http://schemas.openxmlformats.org/officeDocument/2006/relationships/hyperlink" Target="http://pubs.iclarm.net/libinfo/Pdf/Pub%20CP6%2049.pdf" TargetMode="External"/><Relationship Id="rId24" Type="http://schemas.openxmlformats.org/officeDocument/2006/relationships/hyperlink" Target="http://pubs.iclarm.net/libinfo/Pdf/Pub%20CP6%2049.pdf" TargetMode="External"/><Relationship Id="rId23" Type="http://schemas.openxmlformats.org/officeDocument/2006/relationships/hyperlink" Target="http://pubs.iclarm.net/libinfo/Pdf/Pub%20CP6%2049.pdf" TargetMode="External"/><Relationship Id="rId26" Type="http://schemas.openxmlformats.org/officeDocument/2006/relationships/hyperlink" Target="https://www.aciar.gov.au/publication/coral-reef-restoration-using-mass-coral-larval-reseeding-final-report" TargetMode="External"/><Relationship Id="rId25" Type="http://schemas.openxmlformats.org/officeDocument/2006/relationships/hyperlink" Target="http://pubs.iclarm.net/libinfo/Pdf/Pub%20CP6%2049.pdf" TargetMode="External"/><Relationship Id="rId28" Type="http://schemas.openxmlformats.org/officeDocument/2006/relationships/hyperlink" Target="http://pubs.iclarm.net/libinfo/Pdf/Pub%20CP6%2049.pdf" TargetMode="External"/><Relationship Id="rId27" Type="http://schemas.openxmlformats.org/officeDocument/2006/relationships/hyperlink" Target="https://aquadocs.org/bitstream/handle/1834/40478/GomezED2006.pdf?sequence=1&amp;isAllowed=y" TargetMode="External"/><Relationship Id="rId29" Type="http://schemas.openxmlformats.org/officeDocument/2006/relationships/hyperlink" Target="http://pubs.iclarm.net/libinfo/Pdf/Pub%20CP6%2049.pdf" TargetMode="External"/><Relationship Id="rId11" Type="http://schemas.openxmlformats.org/officeDocument/2006/relationships/hyperlink" Target="http://pubs.iclarm.net/libinfo/Pdf/Pub%20CP6%2049.pdf" TargetMode="External"/><Relationship Id="rId10" Type="http://schemas.openxmlformats.org/officeDocument/2006/relationships/hyperlink" Target="http://pubs.iclarm.net/libinfo/Pdf/Pub%20CP6%2049.pdf" TargetMode="External"/><Relationship Id="rId13" Type="http://schemas.openxmlformats.org/officeDocument/2006/relationships/hyperlink" Target="http://pubs.iclarm.net/libinfo/Pdf/Pub%20CP6%2049.pdf" TargetMode="External"/><Relationship Id="rId12" Type="http://schemas.openxmlformats.org/officeDocument/2006/relationships/hyperlink" Target="http://pubs.iclarm.net/libinfo/Pdf/Pub%20CP6%2049.pdf" TargetMode="External"/><Relationship Id="rId15" Type="http://schemas.openxmlformats.org/officeDocument/2006/relationships/hyperlink" Target="https://www.dmmmsu.edu.ph/2021/12/08/7-artificial-reefs-installed-in-coastal-area-along-frti/" TargetMode="External"/><Relationship Id="rId14" Type="http://schemas.openxmlformats.org/officeDocument/2006/relationships/hyperlink" Target="http://pubs.iclarm.net/libinfo/Pdf/Pub%20CP6%2049.pdf"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pubs.iclarm.net/libinfo/Pdf/Pub%20CP6%2049.pdf" TargetMode="External"/><Relationship Id="rId19" Type="http://schemas.openxmlformats.org/officeDocument/2006/relationships/hyperlink" Target="https://pia.gov.ph/news/2022/07/18/jci-manila-installs-artificial-reefs-in-la-union" TargetMode="External"/><Relationship Id="rId18" Type="http://schemas.openxmlformats.org/officeDocument/2006/relationships/hyperlink" Target="http://pubs.iclarm.net/libinfo/Pdf/Pub%20CP6%2049.pdf" TargetMode="External"/><Relationship Id="rId84" Type="http://schemas.openxmlformats.org/officeDocument/2006/relationships/hyperlink" Target="http://pusod.org/pusod/verde-island-passage/" TargetMode="External"/><Relationship Id="rId83" Type="http://schemas.openxmlformats.org/officeDocument/2006/relationships/hyperlink" Target="https://brigadanews.ph/mga-artificial-reefs-sa-calatagan-batangas-habitat-na-ng-marine-lives/" TargetMode="External"/><Relationship Id="rId86" Type="http://schemas.openxmlformats.org/officeDocument/2006/relationships/hyperlink" Target="https://www.sentineltimes.net/2022/09/artificial-coral-reefs-in-town-of-lobo.html" TargetMode="External"/><Relationship Id="rId85" Type="http://schemas.openxmlformats.org/officeDocument/2006/relationships/hyperlink" Target="http://pusod.org/pusod/artificial-habitat-units-fabrication/" TargetMode="External"/><Relationship Id="rId88" Type="http://schemas.openxmlformats.org/officeDocument/2006/relationships/hyperlink" Target="https://www.sentineltimes.net/2022/09/artificial-coral-reefs-in-town-of-lobo.html" TargetMode="External"/><Relationship Id="rId87" Type="http://schemas.openxmlformats.org/officeDocument/2006/relationships/hyperlink" Target="https://www.sentineltimes.net/2022/09/artificial-coral-reefs-in-town-of-lobo.html" TargetMode="External"/><Relationship Id="rId89" Type="http://schemas.openxmlformats.org/officeDocument/2006/relationships/hyperlink" Target="https://www.shearwater.com/monthly-blog-posts/paradiso-rito-and-redeem-the-reef-project-a-glimmer-of-hope-for-verde-island-passage/" TargetMode="External"/><Relationship Id="rId80" Type="http://schemas.openxmlformats.org/officeDocument/2006/relationships/hyperlink" Target="https://www.philstar.com/headlines/2019/08/18/1944305/philippines-us-troops-install-artificial-habitat-reefs" TargetMode="External"/><Relationship Id="rId82" Type="http://schemas.openxmlformats.org/officeDocument/2006/relationships/hyperlink" Target="https://ptvnews.ph/pcg-mepcom-installs-artificial-reefs-in-calatagan-batangas/" TargetMode="External"/><Relationship Id="rId81" Type="http://schemas.openxmlformats.org/officeDocument/2006/relationships/hyperlink" Target="http://www.coralmovement.org/" TargetMode="External"/><Relationship Id="rId73" Type="http://schemas.openxmlformats.org/officeDocument/2006/relationships/hyperlink" Target="http://www.pcaarrd.dost.gov.ph/home/portal/index.php/quick-information-dispatch/2664-restoring-the-country-s-coral-reefs-through-filipinnovation" TargetMode="External"/><Relationship Id="rId72" Type="http://schemas.openxmlformats.org/officeDocument/2006/relationships/hyperlink" Target="https://punto.com.ph/artificial-reef-itinanim-sa-subic-bay/" TargetMode="External"/><Relationship Id="rId75" Type="http://schemas.openxmlformats.org/officeDocument/2006/relationships/hyperlink" Target="https://newsinfo.inquirer.net/1416313/beach-resort-in-subic-bay-turns-to-artificial-coral-reefs-to-preserve-marine-ecosystem" TargetMode="External"/><Relationship Id="rId74" Type="http://schemas.openxmlformats.org/officeDocument/2006/relationships/hyperlink" Target="https://punto.com.ph/artificial-reef-itinanim-sa-subic-bay/" TargetMode="External"/><Relationship Id="rId77" Type="http://schemas.openxmlformats.org/officeDocument/2006/relationships/hyperlink" Target="https://www.jgsummit.com.ph/impact/jgspg-s-artificial-reef-project-continues-to-attract-marine-life-20190629" TargetMode="External"/><Relationship Id="rId76" Type="http://schemas.openxmlformats.org/officeDocument/2006/relationships/hyperlink" Target="http://pubs.iclarm.net/libinfo/Pdf/Pub%20CP6%2049.pdf" TargetMode="External"/><Relationship Id="rId79" Type="http://schemas.openxmlformats.org/officeDocument/2006/relationships/hyperlink" Target="https://www.portulano.com/activities" TargetMode="External"/><Relationship Id="rId78" Type="http://schemas.openxmlformats.org/officeDocument/2006/relationships/hyperlink" Target="https://www.jgsummit.com.ph/impact/jgspg-s-artificial-reef-project-continues-to-attract-marine-life-20190629" TargetMode="External"/><Relationship Id="rId71" Type="http://schemas.openxmlformats.org/officeDocument/2006/relationships/hyperlink" Target="https://aquadocs.org/bitstream/handle/1834/40478/GomezED2006.pdf?sequence=1&amp;isAllowed=y" TargetMode="External"/><Relationship Id="rId70" Type="http://schemas.openxmlformats.org/officeDocument/2006/relationships/hyperlink" Target="http://pubs.iclarm.net/libinfo/Pdf/Pub%20CP6%2049.pdf" TargetMode="External"/><Relationship Id="rId62" Type="http://schemas.openxmlformats.org/officeDocument/2006/relationships/hyperlink" Target="http://pubs.iclarm.net/libinfo/Pdf/Pub%20CP6%2049.pdf" TargetMode="External"/><Relationship Id="rId61" Type="http://schemas.openxmlformats.org/officeDocument/2006/relationships/hyperlink" Target="http://pubs.iclarm.net/libinfo/Pdf/Pub%20CP6%2049.pdf" TargetMode="External"/><Relationship Id="rId64" Type="http://schemas.openxmlformats.org/officeDocument/2006/relationships/hyperlink" Target="http://pemsea.org/sites/default/files/SOC%20Bataan.pdf" TargetMode="External"/><Relationship Id="rId63" Type="http://schemas.openxmlformats.org/officeDocument/2006/relationships/hyperlink" Target="http://pubs.iclarm.net/libinfo/Pdf/Pub%20CP6%2049.pdf" TargetMode="External"/><Relationship Id="rId66" Type="http://schemas.openxmlformats.org/officeDocument/2006/relationships/hyperlink" Target="https://punto.com.ph/artificial-reef-itinanim-sa-subic-bay/" TargetMode="External"/><Relationship Id="rId65" Type="http://schemas.openxmlformats.org/officeDocument/2006/relationships/hyperlink" Target="https://www.philstar.com/business/agriculture/2007/11/18/28085/building-new-home-fish-bataan" TargetMode="External"/><Relationship Id="rId68" Type="http://schemas.openxmlformats.org/officeDocument/2006/relationships/hyperlink" Target="https://1bataan.com/morong-town-soon-to-be-a-diving-spot/" TargetMode="External"/><Relationship Id="rId67" Type="http://schemas.openxmlformats.org/officeDocument/2006/relationships/hyperlink" Target="https://1bataan.com/morong-town-soon-to-be-a-diving-spot/" TargetMode="External"/><Relationship Id="rId60" Type="http://schemas.openxmlformats.org/officeDocument/2006/relationships/hyperlink" Target="http://pubs.iclarm.net/libinfo/Pdf/Pub%20CP6%2049.pdf" TargetMode="External"/><Relationship Id="rId69" Type="http://schemas.openxmlformats.org/officeDocument/2006/relationships/hyperlink" Target="https://mobile.facebook.com/playalacaletabataan/posts/3079682972247006/?_rdc=1&amp;_rdr" TargetMode="External"/><Relationship Id="rId51" Type="http://schemas.openxmlformats.org/officeDocument/2006/relationships/hyperlink" Target="https://www.academia.edu/25026620/How_Quickly_do_Fragments_of_Coral_Self_Attach_after_Transplantation" TargetMode="External"/><Relationship Id="rId50" Type="http://schemas.openxmlformats.org/officeDocument/2006/relationships/hyperlink" Target="https://www.tandfonline.com/doi/abs/10.1080/08920753.2011.600240?journalCode=ucmg20" TargetMode="External"/><Relationship Id="rId53" Type="http://schemas.openxmlformats.org/officeDocument/2006/relationships/hyperlink" Target="https://academic.oup.com/icesjms/article/71/7/1866/664250" TargetMode="External"/><Relationship Id="rId52" Type="http://schemas.openxmlformats.org/officeDocument/2006/relationships/hyperlink" Target="https://zoologicalstudies.springeropen.com/articles/10.1186/1810-522X-52-44" TargetMode="External"/><Relationship Id="rId55" Type="http://schemas.openxmlformats.org/officeDocument/2006/relationships/hyperlink" Target="https://www.researchgate.net/publication/282149376_Assessing_an_abridged_nursery_phase_for_slow_growing_corals_used_in_coral_restoration" TargetMode="External"/><Relationship Id="rId54" Type="http://schemas.openxmlformats.org/officeDocument/2006/relationships/hyperlink" Target="https://link.springer.com/article/10.1007/s00338-013-1114-1" TargetMode="External"/><Relationship Id="rId57" Type="http://schemas.openxmlformats.org/officeDocument/2006/relationships/hyperlink" Target="http://pubs.iclarm.net/libinfo/Pdf/Pub%20CP6%2049.pdf" TargetMode="External"/><Relationship Id="rId56" Type="http://schemas.openxmlformats.org/officeDocument/2006/relationships/hyperlink" Target="https://www.sciencedirect.com/science/article/abs/pii/S0022098116301873" TargetMode="External"/><Relationship Id="rId59" Type="http://schemas.openxmlformats.org/officeDocument/2006/relationships/hyperlink" Target="https://headtopics.com/ph/artificial-reefs-watch-tower-in-coastal-pangasinan-town-launched-24563096" TargetMode="External"/><Relationship Id="rId58" Type="http://schemas.openxmlformats.org/officeDocument/2006/relationships/hyperlink" Target="http://pubs.iclarm.net/libinfo/Pdf/Pub%20CP6%2049.pdf" TargetMode="External"/><Relationship Id="rId107" Type="http://schemas.openxmlformats.org/officeDocument/2006/relationships/hyperlink" Target="http://pubs.iclarm.net/libinfo/Pdf/Pub%20CP6%2049.pdf" TargetMode="External"/><Relationship Id="rId228" Type="http://schemas.openxmlformats.org/officeDocument/2006/relationships/hyperlink" Target="http://pubs.iclarm.net/libinfo/Pdf/Pub%20CP6%2049.pdf" TargetMode="External"/><Relationship Id="rId106" Type="http://schemas.openxmlformats.org/officeDocument/2006/relationships/hyperlink" Target="http://pubs.iclarm.net/libinfo/Pdf/Pub%20CP6%2049.pdf" TargetMode="External"/><Relationship Id="rId227" Type="http://schemas.openxmlformats.org/officeDocument/2006/relationships/hyperlink" Target="http://pubs.iclarm.net/libinfo/Pdf/Pub%20CP6%2049.pdf" TargetMode="External"/><Relationship Id="rId105" Type="http://schemas.openxmlformats.org/officeDocument/2006/relationships/hyperlink" Target="http://pubs.iclarm.net/libinfo/Pdf/Pub%20CP6%2049.pdf" TargetMode="External"/><Relationship Id="rId226" Type="http://schemas.openxmlformats.org/officeDocument/2006/relationships/hyperlink" Target="http://pubs.iclarm.net/libinfo/Pdf/Pub%20CP6%2049.pdf" TargetMode="External"/><Relationship Id="rId104" Type="http://schemas.openxmlformats.org/officeDocument/2006/relationships/hyperlink" Target="https://www.rotary.org/en/giant-rotary-wheel-haven-fish-philippines" TargetMode="External"/><Relationship Id="rId225" Type="http://schemas.openxmlformats.org/officeDocument/2006/relationships/hyperlink" Target="http://pubs.iclarm.net/libinfo/Pdf/Pub%20CP6%2049.pdf" TargetMode="External"/><Relationship Id="rId109" Type="http://schemas.openxmlformats.org/officeDocument/2006/relationships/hyperlink" Target="http://pubs.iclarm.net/libinfo/Pdf/Pub%20CP6%2049.pdf" TargetMode="External"/><Relationship Id="rId108" Type="http://schemas.openxmlformats.org/officeDocument/2006/relationships/hyperlink" Target="http://pubs.iclarm.net/libinfo/Pdf/Pub%20CP6%2049.pdf" TargetMode="External"/><Relationship Id="rId229" Type="http://schemas.openxmlformats.org/officeDocument/2006/relationships/hyperlink" Target="https://aquadocs.org/bitstream/handle/1834/40478/GomezED2006.pdf?sequence=1&amp;isAllowed=y" TargetMode="External"/><Relationship Id="rId220" Type="http://schemas.openxmlformats.org/officeDocument/2006/relationships/hyperlink" Target="http://pubs.iclarm.net/libinfo/Pdf/Pub%20CP6%2049.pdf" TargetMode="External"/><Relationship Id="rId103" Type="http://schemas.openxmlformats.org/officeDocument/2006/relationships/hyperlink" Target="http://pubs.iclarm.net/libinfo/Pdf/Pub%20CP6%2049.pdf" TargetMode="External"/><Relationship Id="rId224" Type="http://schemas.openxmlformats.org/officeDocument/2006/relationships/hyperlink" Target="http://pubs.iclarm.net/libinfo/Pdf/Pub%20CP6%2049.pdf" TargetMode="External"/><Relationship Id="rId102" Type="http://schemas.openxmlformats.org/officeDocument/2006/relationships/hyperlink" Target="http://pubs.iclarm.net/libinfo/Pdf/Pub%20CP6%2049.pdf" TargetMode="External"/><Relationship Id="rId223" Type="http://schemas.openxmlformats.org/officeDocument/2006/relationships/hyperlink" Target="http://pubs.iclarm.net/libinfo/Pdf/Pub%20CP6%2049.pdf" TargetMode="External"/><Relationship Id="rId101" Type="http://schemas.openxmlformats.org/officeDocument/2006/relationships/hyperlink" Target="https://aquadocs.org/bitstream/handle/1834/40478/GomezED2006.pdf?sequence=1&amp;isAllowed=y" TargetMode="External"/><Relationship Id="rId222" Type="http://schemas.openxmlformats.org/officeDocument/2006/relationships/hyperlink" Target="http://pubs.iclarm.net/libinfo/Pdf/Pub%20CP6%2049.pdf" TargetMode="External"/><Relationship Id="rId100" Type="http://schemas.openxmlformats.org/officeDocument/2006/relationships/hyperlink" Target="http://pubs.iclarm.net/libinfo/Pdf/Pub%20CP6%2049.pdf" TargetMode="External"/><Relationship Id="rId221" Type="http://schemas.openxmlformats.org/officeDocument/2006/relationships/hyperlink" Target="http://pubs.iclarm.net/libinfo/Pdf/Pub%20CP6%2049.pdf" TargetMode="External"/><Relationship Id="rId217" Type="http://schemas.openxmlformats.org/officeDocument/2006/relationships/hyperlink" Target="https://www.rotarydistrict3860.org/wp-content/d3860/Dumaguete%20South/21_22/04_ebulletin_2021_09_29_2021-09-29.pdf" TargetMode="External"/><Relationship Id="rId216" Type="http://schemas.openxmlformats.org/officeDocument/2006/relationships/hyperlink" Target="https://atlantishotel.com/travel-specials/coral-restoration-project/" TargetMode="External"/><Relationship Id="rId215" Type="http://schemas.openxmlformats.org/officeDocument/2006/relationships/hyperlink" Target="http://pubs.iclarm.net/libinfo/Pdf/Pub%20CP6%2049.pdf" TargetMode="External"/><Relationship Id="rId214" Type="http://schemas.openxmlformats.org/officeDocument/2006/relationships/hyperlink" Target="http://pubs.iclarm.net/libinfo/Pdf/Pub%20CP6%2049.pdf" TargetMode="External"/><Relationship Id="rId219" Type="http://schemas.openxmlformats.org/officeDocument/2006/relationships/hyperlink" Target="https://aquadocs.org/bitstream/handle/1834/40478/GomezED2006.pdf?sequence=1&amp;isAllowed=y" TargetMode="External"/><Relationship Id="rId218" Type="http://schemas.openxmlformats.org/officeDocument/2006/relationships/hyperlink" Target="http://pubs.iclarm.net/libinfo/Pdf/Pub%20CP6%2049.pdf" TargetMode="External"/><Relationship Id="rId213" Type="http://schemas.openxmlformats.org/officeDocument/2006/relationships/hyperlink" Target="http://pubs.iclarm.net/libinfo/Pdf/Pub%20CP6%2049.pdf" TargetMode="External"/><Relationship Id="rId212" Type="http://schemas.openxmlformats.org/officeDocument/2006/relationships/hyperlink" Target="http://pubs.iclarm.net/libinfo/Pdf/Pub%20CP6%2049.pdf" TargetMode="External"/><Relationship Id="rId211" Type="http://schemas.openxmlformats.org/officeDocument/2006/relationships/hyperlink" Target="http://pubs.iclarm.net/libinfo/Pdf/Pub%20CP6%2049.pdf" TargetMode="External"/><Relationship Id="rId210" Type="http://schemas.openxmlformats.org/officeDocument/2006/relationships/hyperlink" Target="https://www.researchgate.net/publication/305770156_Coral_reef_resource_management_in_the_Philippines_-_with_focus_on_marine_protected_areas_as_a_management_tool" TargetMode="External"/><Relationship Id="rId129" Type="http://schemas.openxmlformats.org/officeDocument/2006/relationships/hyperlink" Target="http://pubs.iclarm.net/libinfo/Pdf/Pub%20CP6%2049.pdf" TargetMode="External"/><Relationship Id="rId128" Type="http://schemas.openxmlformats.org/officeDocument/2006/relationships/hyperlink" Target="http://pubs.iclarm.net/libinfo/Pdf/Pub%20CP6%2049.pdf" TargetMode="External"/><Relationship Id="rId249" Type="http://schemas.openxmlformats.org/officeDocument/2006/relationships/hyperlink" Target="http://pubs.iclarm.net/libinfo/Pdf/Pub%20CP6%2049.pdf" TargetMode="External"/><Relationship Id="rId127" Type="http://schemas.openxmlformats.org/officeDocument/2006/relationships/hyperlink" Target="http://pubs.iclarm.net/libinfo/Pdf/Pub%20CP6%2049.pdf" TargetMode="External"/><Relationship Id="rId248" Type="http://schemas.openxmlformats.org/officeDocument/2006/relationships/hyperlink" Target="https://www.facebook.com/media/set/?vanity=154004468006961&amp;set=a.7450109991729669" TargetMode="External"/><Relationship Id="rId126" Type="http://schemas.openxmlformats.org/officeDocument/2006/relationships/hyperlink" Target="http://pubs.iclarm.net/libinfo/Pdf/Pub%20CP6%2049.pdf" TargetMode="External"/><Relationship Id="rId247" Type="http://schemas.openxmlformats.org/officeDocument/2006/relationships/hyperlink" Target="http://www.cebu-philippines.net/marine-life-in-southern-leyte.html" TargetMode="External"/><Relationship Id="rId121" Type="http://schemas.openxmlformats.org/officeDocument/2006/relationships/hyperlink" Target="http://pubs.iclarm.net/libinfo/Pdf/Pub%20CP6%2049.pdf" TargetMode="External"/><Relationship Id="rId242" Type="http://schemas.openxmlformats.org/officeDocument/2006/relationships/hyperlink" Target="http://pubs.iclarm.net/libinfo/Pdf/Pub%20CP6%2049.pdf" TargetMode="External"/><Relationship Id="rId120" Type="http://schemas.openxmlformats.org/officeDocument/2006/relationships/hyperlink" Target="http://pubs.iclarm.net/libinfo/Pdf/Pub%20CP6%2049.pdf" TargetMode="External"/><Relationship Id="rId241" Type="http://schemas.openxmlformats.org/officeDocument/2006/relationships/hyperlink" Target="http://pubs.iclarm.net/libinfo/Pdf/Pub%20CP6%2049.pdf" TargetMode="External"/><Relationship Id="rId240" Type="http://schemas.openxmlformats.org/officeDocument/2006/relationships/hyperlink" Target="http://pubs.iclarm.net/libinfo/Pdf/Pub%20CP6%2049.pdf" TargetMode="External"/><Relationship Id="rId125" Type="http://schemas.openxmlformats.org/officeDocument/2006/relationships/hyperlink" Target="http://pubs.iclarm.net/libinfo/Pdf/Pub%20CP6%2049.pdf" TargetMode="External"/><Relationship Id="rId246" Type="http://schemas.openxmlformats.org/officeDocument/2006/relationships/hyperlink" Target="http://pubs.iclarm.net/libinfo/Pdf/Pub%20CP6%2049.pdf" TargetMode="External"/><Relationship Id="rId124" Type="http://schemas.openxmlformats.org/officeDocument/2006/relationships/hyperlink" Target="http://pubs.iclarm.net/libinfo/Pdf/Pub%20CP6%2049.pdf" TargetMode="External"/><Relationship Id="rId245" Type="http://schemas.openxmlformats.org/officeDocument/2006/relationships/hyperlink" Target="http://pubs.iclarm.net/libinfo/Pdf/Pub%20CP6%2049.pdf" TargetMode="External"/><Relationship Id="rId123" Type="http://schemas.openxmlformats.org/officeDocument/2006/relationships/hyperlink" Target="http://pubs.iclarm.net/libinfo/Pdf/Pub%20CP6%2049.pdf" TargetMode="External"/><Relationship Id="rId244" Type="http://schemas.openxmlformats.org/officeDocument/2006/relationships/hyperlink" Target="http://pubs.iclarm.net/libinfo/Pdf/Pub%20CP6%2049.pdf" TargetMode="External"/><Relationship Id="rId122" Type="http://schemas.openxmlformats.org/officeDocument/2006/relationships/hyperlink" Target="http://pubs.iclarm.net/libinfo/Pdf/Pub%20CP6%2049.pdf" TargetMode="External"/><Relationship Id="rId243" Type="http://schemas.openxmlformats.org/officeDocument/2006/relationships/hyperlink" Target="http://pubs.iclarm.net/libinfo/Pdf/Pub%20CP6%2049.pdf" TargetMode="External"/><Relationship Id="rId95" Type="http://schemas.openxmlformats.org/officeDocument/2006/relationships/hyperlink" Target="https://www.ircwash.org/sites/default/files/802-PH90-8920.pdf" TargetMode="External"/><Relationship Id="rId94" Type="http://schemas.openxmlformats.org/officeDocument/2006/relationships/hyperlink" Target="https://www.ircwash.org/sites/default/files/802-PH90-8920.pdf" TargetMode="External"/><Relationship Id="rId97" Type="http://schemas.openxmlformats.org/officeDocument/2006/relationships/hyperlink" Target="http://pubs.iclarm.net/libinfo/Pdf/Pub%20CP6%2049.pdf" TargetMode="External"/><Relationship Id="rId96" Type="http://schemas.openxmlformats.org/officeDocument/2006/relationships/hyperlink" Target="http://pubs.iclarm.net/libinfo/Pdf/Pub%20CP6%2049.pdf" TargetMode="External"/><Relationship Id="rId99" Type="http://schemas.openxmlformats.org/officeDocument/2006/relationships/hyperlink" Target="https://sites.google.com/a/islandecosystems.org/gics" TargetMode="External"/><Relationship Id="rId98" Type="http://schemas.openxmlformats.org/officeDocument/2006/relationships/hyperlink" Target="https://www.lemongreenteaph.com/2018/11/jci-manila-and-gold-seas-tuna-chunks.html" TargetMode="External"/><Relationship Id="rId91" Type="http://schemas.openxmlformats.org/officeDocument/2006/relationships/hyperlink" Target="http://pusod.org/pusod/building-artificial-habitats-in-barangay-calayo/" TargetMode="External"/><Relationship Id="rId90" Type="http://schemas.openxmlformats.org/officeDocument/2006/relationships/hyperlink" Target="https://www.bworldonline.com/weekender/environment/2016/07/01/5884/coral-laboratory-grows-in-batangas/" TargetMode="External"/><Relationship Id="rId93" Type="http://schemas.openxmlformats.org/officeDocument/2006/relationships/hyperlink" Target="https://www.ircwash.org/sites/default/files/802-PH90-8920.pdf" TargetMode="External"/><Relationship Id="rId92" Type="http://schemas.openxmlformats.org/officeDocument/2006/relationships/hyperlink" Target="http://pubs.iclarm.net/libinfo/Pdf/Pub%20CP6%2049.pdf" TargetMode="External"/><Relationship Id="rId118" Type="http://schemas.openxmlformats.org/officeDocument/2006/relationships/hyperlink" Target="http://pubs.iclarm.net/libinfo/Pdf/Pub%20CP6%2049.pdf" TargetMode="External"/><Relationship Id="rId239" Type="http://schemas.openxmlformats.org/officeDocument/2006/relationships/hyperlink" Target="http://pubs.iclarm.net/libinfo/Pdf/Pub%20CP6%2049.pdf" TargetMode="External"/><Relationship Id="rId117" Type="http://schemas.openxmlformats.org/officeDocument/2006/relationships/hyperlink" Target="http://pubs.iclarm.net/libinfo/Pdf/Pub%20CP6%2049.pdf" TargetMode="External"/><Relationship Id="rId238" Type="http://schemas.openxmlformats.org/officeDocument/2006/relationships/hyperlink" Target="http://pubs.iclarm.net/libinfo/Pdf/Pub%20CP6%2049.pdf" TargetMode="External"/><Relationship Id="rId116" Type="http://schemas.openxmlformats.org/officeDocument/2006/relationships/hyperlink" Target="http://pubs.iclarm.net/libinfo/Pdf/Pub%20CP6%2049.pdf" TargetMode="External"/><Relationship Id="rId237" Type="http://schemas.openxmlformats.org/officeDocument/2006/relationships/hyperlink" Target="http://pubs.iclarm.net/libinfo/Pdf/Pub%20CP6%2049.pdf" TargetMode="External"/><Relationship Id="rId115" Type="http://schemas.openxmlformats.org/officeDocument/2006/relationships/hyperlink" Target="https://aquadocs.org/bitstream/handle/1834/40478/GomezED2006.pdf?sequence=1&amp;isAllowed=y" TargetMode="External"/><Relationship Id="rId236" Type="http://schemas.openxmlformats.org/officeDocument/2006/relationships/hyperlink" Target="http://pubs.iclarm.net/libinfo/Pdf/Pub%20CP6%2049.pdf" TargetMode="External"/><Relationship Id="rId119" Type="http://schemas.openxmlformats.org/officeDocument/2006/relationships/hyperlink" Target="http://pubs.iclarm.net/libinfo/Pdf/Pub%20CP6%2049.pdf" TargetMode="External"/><Relationship Id="rId110" Type="http://schemas.openxmlformats.org/officeDocument/2006/relationships/hyperlink" Target="http://pubs.iclarm.net/libinfo/Pdf/Pub%20CP6%2049.pdf" TargetMode="External"/><Relationship Id="rId231" Type="http://schemas.openxmlformats.org/officeDocument/2006/relationships/hyperlink" Target="https://journals.upd.edu.ph/index.php/sciencediliman/article/download/6423/5632" TargetMode="External"/><Relationship Id="rId230" Type="http://schemas.openxmlformats.org/officeDocument/2006/relationships/hyperlink" Target="https://journals.upd.edu.ph/index.php/sciencediliman/article/download/6423/5632" TargetMode="External"/><Relationship Id="rId114" Type="http://schemas.openxmlformats.org/officeDocument/2006/relationships/hyperlink" Target="https://m.facebook.com/dswdfo4a/photos/sa-proyektong-artificial-coral-reefs-ng-kalahi-cidss-naniniwala-ang-mga-mangingi/555459207949192/" TargetMode="External"/><Relationship Id="rId235" Type="http://schemas.openxmlformats.org/officeDocument/2006/relationships/hyperlink" Target="https://sevenseasmedia.org/biri-initiative-story-on-coral-restoration/" TargetMode="External"/><Relationship Id="rId113" Type="http://schemas.openxmlformats.org/officeDocument/2006/relationships/hyperlink" Target="http://pubs.iclarm.net/libinfo/Pdf/Pub%20CP6%2049.pdf" TargetMode="External"/><Relationship Id="rId234" Type="http://schemas.openxmlformats.org/officeDocument/2006/relationships/hyperlink" Target="https://sevenseasmedia.org/biri-initiative-story-on-coral-restoration/" TargetMode="External"/><Relationship Id="rId112" Type="http://schemas.openxmlformats.org/officeDocument/2006/relationships/hyperlink" Target="http://pubs.iclarm.net/libinfo/Pdf/Pub%20CP6%2049.pdf" TargetMode="External"/><Relationship Id="rId233" Type="http://schemas.openxmlformats.org/officeDocument/2006/relationships/hyperlink" Target="https://journals.upd.edu.ph/index.php/sciencediliman/article/download/6423/5632" TargetMode="External"/><Relationship Id="rId111" Type="http://schemas.openxmlformats.org/officeDocument/2006/relationships/hyperlink" Target="http://pubs.iclarm.net/libinfo/Pdf/Pub%20CP6%2049.pdf" TargetMode="External"/><Relationship Id="rId232" Type="http://schemas.openxmlformats.org/officeDocument/2006/relationships/hyperlink" Target="https://cng-cdn.oxfam.org/philippines.oxfam.org/s3fs-public/file_attachments/Oxfam%20sa%20Pilipinas%20Annual%20Report%202016.pdf" TargetMode="External"/><Relationship Id="rId305" Type="http://schemas.openxmlformats.org/officeDocument/2006/relationships/hyperlink" Target="https://www.bfar.da.gov.ph/wp-content/uploads/2022/05/FishCORAL-Project-Annual-Report-2020.pdf" TargetMode="External"/><Relationship Id="rId304" Type="http://schemas.openxmlformats.org/officeDocument/2006/relationships/hyperlink" Target="https://www.bfar.da.gov.ph/wp-content/uploads/2022/05/FishCORAL-Project-Annual-Report-2020.pdf" TargetMode="External"/><Relationship Id="rId303" Type="http://schemas.openxmlformats.org/officeDocument/2006/relationships/hyperlink" Target="https://www.bfar.da.gov.ph/wp-content/uploads/2022/05/FishCORAL-Project-Annual-Report-2020.pdf" TargetMode="External"/><Relationship Id="rId302" Type="http://schemas.openxmlformats.org/officeDocument/2006/relationships/hyperlink" Target="https://www.cecphils.org/wp-content/uploads/gbk2020-souvenir-program.pdf" TargetMode="External"/><Relationship Id="rId309" Type="http://schemas.openxmlformats.org/officeDocument/2006/relationships/hyperlink" Target="https://www.bfar.da.gov.ph/wp-content/uploads/2022/05/FishCORAL-Project-Annual-Report-2020.pdf" TargetMode="External"/><Relationship Id="rId308" Type="http://schemas.openxmlformats.org/officeDocument/2006/relationships/hyperlink" Target="http://pubs.iclarm.net/libinfo/Pdf/Pub%20CP6%2049.pdf" TargetMode="External"/><Relationship Id="rId307" Type="http://schemas.openxmlformats.org/officeDocument/2006/relationships/hyperlink" Target="https://mafar.bangsamoro.gov.ph/monitoring-of-deployed-coral-nursery-units-cnu-of-fishcoral-mafar-in-maguindanao/" TargetMode="External"/><Relationship Id="rId306" Type="http://schemas.openxmlformats.org/officeDocument/2006/relationships/hyperlink" Target="https://mafar.bangsamoro.gov.ph/monitoring-of-deployed-coral-nursery-units-cnu-of-fishcoral-mafar-in-maguindanao/" TargetMode="External"/><Relationship Id="rId301" Type="http://schemas.openxmlformats.org/officeDocument/2006/relationships/hyperlink" Target="https://newsinfo.inquirer.net/937981/philippine-tourism-hinatuan-beach-surigao-del-sur-tourist-spot-nickel-asia-corp-michael-arlan-hinatuan-mining-corp-denr-scremp" TargetMode="External"/><Relationship Id="rId300" Type="http://schemas.openxmlformats.org/officeDocument/2006/relationships/hyperlink" Target="http://www.surigaocity.gov.ph/sites/default/files/documents/milestones/2015%20annual%20report_0.pdf" TargetMode="External"/><Relationship Id="rId206" Type="http://schemas.openxmlformats.org/officeDocument/2006/relationships/hyperlink" Target="http://www.coralmovement.org/" TargetMode="External"/><Relationship Id="rId205" Type="http://schemas.openxmlformats.org/officeDocument/2006/relationships/hyperlink" Target="https://www.divescotty.com/underwater-blog/blog-february-14-2018.php" TargetMode="External"/><Relationship Id="rId204" Type="http://schemas.openxmlformats.org/officeDocument/2006/relationships/hyperlink" Target="https://www.researchgate.net/publication/305770156_Coral_reef_resource_management_in_the_Philippines_-_with_focus_on_marine_protected_areas_as_a_management_tool" TargetMode="External"/><Relationship Id="rId203" Type="http://schemas.openxmlformats.org/officeDocument/2006/relationships/hyperlink" Target="https://aquadocs.org/bitstream/handle/1834/40478/GomezED2006.pdf?sequence=1&amp;isAllowed=y" TargetMode="External"/><Relationship Id="rId209" Type="http://schemas.openxmlformats.org/officeDocument/2006/relationships/hyperlink" Target="http://pubs.iclarm.net/libinfo/Pdf/Pub%20CP6%2049.pdf" TargetMode="External"/><Relationship Id="rId208" Type="http://schemas.openxmlformats.org/officeDocument/2006/relationships/hyperlink" Target="http://pubs.iclarm.net/libinfo/Pdf/Pub%20CP6%2049.pdf" TargetMode="External"/><Relationship Id="rId207" Type="http://schemas.openxmlformats.org/officeDocument/2006/relationships/hyperlink" Target="https://aquadocs.org/bitstream/handle/1834/40478/GomezED2006.pdf?sequence=1&amp;isAllowed=y" TargetMode="External"/><Relationship Id="rId202" Type="http://schemas.openxmlformats.org/officeDocument/2006/relationships/hyperlink" Target="http://pubs.iclarm.net/libinfo/Pdf/Pub%20CP6%2049.pdf" TargetMode="External"/><Relationship Id="rId201" Type="http://schemas.openxmlformats.org/officeDocument/2006/relationships/hyperlink" Target="http://pubs.iclarm.net/libinfo/Pdf/Pub%20CP6%2049.pdf" TargetMode="External"/><Relationship Id="rId200" Type="http://schemas.openxmlformats.org/officeDocument/2006/relationships/hyperlink" Target="https://peopleandthesea.org" TargetMode="External"/><Relationship Id="rId315" Type="http://schemas.openxmlformats.org/officeDocument/2006/relationships/drawing" Target="../drawings/drawing15.xml"/><Relationship Id="rId314" Type="http://schemas.openxmlformats.org/officeDocument/2006/relationships/hyperlink" Target="http://pubs.iclarm.net/libinfo/Pdf/Pub%20CP6%2049.pdf" TargetMode="External"/><Relationship Id="rId313" Type="http://schemas.openxmlformats.org/officeDocument/2006/relationships/hyperlink" Target="http://pubs.iclarm.net/libinfo/Pdf/Pub%20CP6%2049.pdf" TargetMode="External"/><Relationship Id="rId312" Type="http://schemas.openxmlformats.org/officeDocument/2006/relationships/hyperlink" Target="https://map.rotary.org/en/project/pages/project_detail.aspx?guid=F5D90E54-B5D2-4032-B523-24B3A8EDD9A4" TargetMode="External"/><Relationship Id="rId311" Type="http://schemas.openxmlformats.org/officeDocument/2006/relationships/hyperlink" Target="https://piazampenpics.blogspot.com/2012/05/scuba-diving-training-enhances-msu-tawi.html?m=1" TargetMode="External"/><Relationship Id="rId310" Type="http://schemas.openxmlformats.org/officeDocument/2006/relationships/hyperlink" Target="https://www.pna.gov.ph/articles/1067574"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pubs.iclarm.net/libinfo/Pdf/Pub%20CP6%2049.pdf" TargetMode="External"/><Relationship Id="rId2" Type="http://schemas.openxmlformats.org/officeDocument/2006/relationships/hyperlink" Target="http://www.pemsea.org/sites/default/files/tc-v11n1.pdf" TargetMode="External"/><Relationship Id="rId3" Type="http://schemas.openxmlformats.org/officeDocument/2006/relationships/hyperlink" Target="https://lanaodelnorte.gov.ph/2021/03/15/pgldn-show-support-to-s-a-g-o-p/" TargetMode="External"/><Relationship Id="rId4" Type="http://schemas.openxmlformats.org/officeDocument/2006/relationships/hyperlink" Target="https://nickelasia.com/bulletin/pangangalaga-sa-karagatan-pinaigting-pa-ng-cmc-hmc" TargetMode="External"/><Relationship Id="rId9" Type="http://schemas.openxmlformats.org/officeDocument/2006/relationships/drawing" Target="../drawings/drawing16.xml"/><Relationship Id="rId5" Type="http://schemas.openxmlformats.org/officeDocument/2006/relationships/hyperlink" Target="about:blank" TargetMode="External"/><Relationship Id="rId6" Type="http://schemas.openxmlformats.org/officeDocument/2006/relationships/hyperlink" Target="mailto:samgulayan@yahoo.com" TargetMode="External"/><Relationship Id="rId7" Type="http://schemas.openxmlformats.org/officeDocument/2006/relationships/hyperlink" Target="https://mafar.bangsamoro.gov.ph/monitoring-of-deployed-coral-nursery-units-cnu-of-fishcoral-mafar-in-maguindanao/" TargetMode="External"/><Relationship Id="rId8" Type="http://schemas.openxmlformats.org/officeDocument/2006/relationships/hyperlink" Target="https://map.rotary.org/en/project/pages/project_detail.aspx?guid=F5D90E54-B5D2-4032-B523-24B3A8EDD9A4" TargetMode="External"/></Relationships>
</file>

<file path=xl/worksheets/_rels/sheet17.xml.rels><?xml version="1.0" encoding="UTF-8" standalone="yes"?><Relationships xmlns="http://schemas.openxmlformats.org/package/2006/relationships"><Relationship Id="rId190" Type="http://schemas.openxmlformats.org/officeDocument/2006/relationships/hyperlink" Target="http://oneocean.org/download/db_files/directory_of_crm_destinations2Ed.pdf" TargetMode="External"/><Relationship Id="rId194" Type="http://schemas.openxmlformats.org/officeDocument/2006/relationships/hyperlink" Target="https://www.portulano.com/activities" TargetMode="External"/><Relationship Id="rId193" Type="http://schemas.openxmlformats.org/officeDocument/2006/relationships/hyperlink" Target="https://www.jgsummit.com.ph/impact/jgspg-s-artificial-reef-project-continues-to-attract-marine-life-20190629" TargetMode="External"/><Relationship Id="rId192" Type="http://schemas.openxmlformats.org/officeDocument/2006/relationships/hyperlink" Target="https://www.sunstar.com.ph/article/385473/denr-7-plants-1t-artificial-reefs-" TargetMode="External"/><Relationship Id="rId191" Type="http://schemas.openxmlformats.org/officeDocument/2006/relationships/hyperlink" Target="https://www.jgsummit.com.ph/impact/jgspg-s-artificial-reef-project-continues-to-attract-marine-life-20190629" TargetMode="External"/><Relationship Id="rId187" Type="http://schemas.openxmlformats.org/officeDocument/2006/relationships/hyperlink" Target="https://www.panaynews.net/smpc-turns-over-40-fiberglass-bancas-for-fishing-livelihood/" TargetMode="External"/><Relationship Id="rId186" Type="http://schemas.openxmlformats.org/officeDocument/2006/relationships/hyperlink" Target="https://www.thescubanews.com/2014/08/06/reefbud-technology-downsized-to-broaden-appeal/" TargetMode="External"/><Relationship Id="rId185" Type="http://schemas.openxmlformats.org/officeDocument/2006/relationships/hyperlink" Target="https://www.sunstar.com.ph/article/385473/denr-7-plants-1t-artificial-reefs-" TargetMode="External"/><Relationship Id="rId184" Type="http://schemas.openxmlformats.org/officeDocument/2006/relationships/hyperlink" Target="https://www.youtube.com/watch?v=TSbFpQUdSAE" TargetMode="External"/><Relationship Id="rId189" Type="http://schemas.openxmlformats.org/officeDocument/2006/relationships/hyperlink" Target="https://www.researchgate.net/publication/305770156_Coral_reef_resource_management_in_the_Philippines_-_with_focus_on_marine_protected_areas_as_a_management_tool" TargetMode="External"/><Relationship Id="rId188" Type="http://schemas.openxmlformats.org/officeDocument/2006/relationships/hyperlink" Target="https://www.sunstar.com.ph/article/385473/denr-7-plants-1t-artificial-reefs-" TargetMode="External"/><Relationship Id="rId183" Type="http://schemas.openxmlformats.org/officeDocument/2006/relationships/hyperlink" Target="https://newsinfo.inquirer.net/1416313/beach-resort-in-subic-bay-turns-to-artificial-coral-reefs-to-preserve-marine-ecosystem" TargetMode="External"/><Relationship Id="rId182" Type="http://schemas.openxmlformats.org/officeDocument/2006/relationships/hyperlink" Target="https://punto.com.ph/artificial-reef-itinanim-sa-subic-bay/" TargetMode="External"/><Relationship Id="rId181" Type="http://schemas.openxmlformats.org/officeDocument/2006/relationships/hyperlink" Target="mailto:info@peopleandthesea.org" TargetMode="External"/><Relationship Id="rId180" Type="http://schemas.openxmlformats.org/officeDocument/2006/relationships/hyperlink" Target="https://peopleandthesea.org/" TargetMode="External"/><Relationship Id="rId176" Type="http://schemas.openxmlformats.org/officeDocument/2006/relationships/hyperlink" Target="https://web.facebook.com/nia.buitizon/videos/404223295357898" TargetMode="External"/><Relationship Id="rId297" Type="http://schemas.openxmlformats.org/officeDocument/2006/relationships/hyperlink" Target="https://m.facebook.com/permalink.php?id=336893718203&amp;story_fbid=10157795137738204" TargetMode="External"/><Relationship Id="rId175" Type="http://schemas.openxmlformats.org/officeDocument/2006/relationships/hyperlink" Target="http://oneocean.org/download/db_files/directory_of_crm_destinations2Ed.pdf" TargetMode="External"/><Relationship Id="rId296" Type="http://schemas.openxmlformats.org/officeDocument/2006/relationships/hyperlink" Target="https://kochi.repo.nii.ac.jp/?action=repository_action_common_download&amp;item_id=8640&amp;item_no=1&amp;attribute_id=17&amp;file_no=1" TargetMode="External"/><Relationship Id="rId174" Type="http://schemas.openxmlformats.org/officeDocument/2006/relationships/hyperlink" Target="https://www.researchgate.net/publication/233680292_The_potential_of_artificial_reefs_as_fisheries_management_tools_in_developing_countries" TargetMode="External"/><Relationship Id="rId295" Type="http://schemas.openxmlformats.org/officeDocument/2006/relationships/hyperlink" Target="http://pubs.iclarm.net/libinfo/Pdf/Pub%20CP6%2049.pdf" TargetMode="External"/><Relationship Id="rId173" Type="http://schemas.openxmlformats.org/officeDocument/2006/relationships/hyperlink" Target="http://roxascity.gov.ph/roxas-city-receives-p1m-for-560-units-jackstone-type-artificial-reefs-project/" TargetMode="External"/><Relationship Id="rId294" Type="http://schemas.openxmlformats.org/officeDocument/2006/relationships/hyperlink" Target="https://web.facebook.com/photo/?fbid=25137872482494016&amp;set=pcb.25137873715827226" TargetMode="External"/><Relationship Id="rId179" Type="http://schemas.openxmlformats.org/officeDocument/2006/relationships/hyperlink" Target="https://www.thescubanews.com/2014/08/06/reefbud-technology-downsized-to-broaden-appeal/" TargetMode="External"/><Relationship Id="rId178" Type="http://schemas.openxmlformats.org/officeDocument/2006/relationships/hyperlink" Target="https://core.ac.uk/download/pdf/6515223.pdf" TargetMode="External"/><Relationship Id="rId299" Type="http://schemas.openxmlformats.org/officeDocument/2006/relationships/hyperlink" Target="https://www.pna.gov.ph/articles/1195285" TargetMode="External"/><Relationship Id="rId177" Type="http://schemas.openxmlformats.org/officeDocument/2006/relationships/hyperlink" Target="https://business.inquirer.net/356210/sustainability-as-the-key-to-resiliency" TargetMode="External"/><Relationship Id="rId298" Type="http://schemas.openxmlformats.org/officeDocument/2006/relationships/hyperlink" Target="https://newsinfo.inquirer.net/460845/helping-coral-reefs-with-beads-of-faith" TargetMode="External"/><Relationship Id="rId198" Type="http://schemas.openxmlformats.org/officeDocument/2006/relationships/hyperlink" Target="https://aquadocs.org/bitstream/handle/1834/40478/GomezED2006.pdf?sequence=1&amp;isAllowed=y" TargetMode="External"/><Relationship Id="rId197" Type="http://schemas.openxmlformats.org/officeDocument/2006/relationships/hyperlink" Target="mailto:info@peopleandthesea.org" TargetMode="External"/><Relationship Id="rId196" Type="http://schemas.openxmlformats.org/officeDocument/2006/relationships/hyperlink" Target="https://peopleandthesea.org/" TargetMode="External"/><Relationship Id="rId195" Type="http://schemas.openxmlformats.org/officeDocument/2006/relationships/hyperlink" Target="http://pubs.iclarm.net/libinfo/Pdf/Pub%20CP6%2049.pdf" TargetMode="External"/><Relationship Id="rId199" Type="http://schemas.openxmlformats.org/officeDocument/2006/relationships/hyperlink" Target="http://www.coralmovement.org/" TargetMode="External"/><Relationship Id="rId150" Type="http://schemas.openxmlformats.org/officeDocument/2006/relationships/hyperlink" Target="https://www.researchgate.net/publication/282149376_Assessing_an_abridged_nursery_phase_for_slow_growing_corals_used_in_coral_restoration" TargetMode="External"/><Relationship Id="rId271" Type="http://schemas.openxmlformats.org/officeDocument/2006/relationships/hyperlink" Target="https://kalahi.dswd.gov.ph/press/downloads/category/58-old-iec-materials?download=322:tayo-na-tayo-na-disaster-resiliency-compendium" TargetMode="External"/><Relationship Id="rId392" Type="http://schemas.openxmlformats.org/officeDocument/2006/relationships/hyperlink" Target="https://core.ac.uk/download/pdf/6515223.pdf" TargetMode="External"/><Relationship Id="rId270" Type="http://schemas.openxmlformats.org/officeDocument/2006/relationships/hyperlink" Target="mailto:albarist20@gmail.com" TargetMode="External"/><Relationship Id="rId391" Type="http://schemas.openxmlformats.org/officeDocument/2006/relationships/hyperlink" Target="mailto:samgulayan@yahoo.com" TargetMode="External"/><Relationship Id="rId390" Type="http://schemas.openxmlformats.org/officeDocument/2006/relationships/hyperlink" Target="https://www.sunstar.com.ph/article/385473/denr-7-plants-1t-artificial-reefs-" TargetMode="External"/><Relationship Id="rId1" Type="http://schemas.openxmlformats.org/officeDocument/2006/relationships/hyperlink" Target="https://web.facebook.com/watch/?v=372900961253018" TargetMode="External"/><Relationship Id="rId2" Type="http://schemas.openxmlformats.org/officeDocument/2006/relationships/hyperlink" Target="https://caraga.bfar.da.gov.ph/wp-content/uploads/2022/12/Annual-Report-2018.pdf" TargetMode="External"/><Relationship Id="rId3" Type="http://schemas.openxmlformats.org/officeDocument/2006/relationships/hyperlink" Target="https://web.facebook.com/photo/?fbid=434871958676768&amp;set=pcb.434872188676745" TargetMode="External"/><Relationship Id="rId149" Type="http://schemas.openxmlformats.org/officeDocument/2006/relationships/hyperlink" Target="mailto:jrguest@gmail.com" TargetMode="External"/><Relationship Id="rId4" Type="http://schemas.openxmlformats.org/officeDocument/2006/relationships/hyperlink" Target="https://rpnradio.com/the-corals-of-currimao/" TargetMode="External"/><Relationship Id="rId148" Type="http://schemas.openxmlformats.org/officeDocument/2006/relationships/hyperlink" Target="https://link.springer.com/article/10.1007/s00338-013-1114-1" TargetMode="External"/><Relationship Id="rId269" Type="http://schemas.openxmlformats.org/officeDocument/2006/relationships/hyperlink" Target="https://dergipark.org.tr/en/download/article-file/2047698" TargetMode="External"/><Relationship Id="rId9" Type="http://schemas.openxmlformats.org/officeDocument/2006/relationships/hyperlink" Target="http://pubs.iclarm.net/libinfo/Pdf/Pub%20CP6%2049.pdf" TargetMode="External"/><Relationship Id="rId143" Type="http://schemas.openxmlformats.org/officeDocument/2006/relationships/hyperlink" Target="https://zoologicalstudies.springeropen.com/articles/10.1186/1810-522X-52-44" TargetMode="External"/><Relationship Id="rId264" Type="http://schemas.openxmlformats.org/officeDocument/2006/relationships/hyperlink" Target="https://www.adb.org/sites/default/files/publication/29878/kalahi-cidss-project-philippines.pdf" TargetMode="External"/><Relationship Id="rId385" Type="http://schemas.openxmlformats.org/officeDocument/2006/relationships/hyperlink" Target="https://atlantishotel.com/travel-specials/coral-restoration-project/" TargetMode="External"/><Relationship Id="rId142" Type="http://schemas.openxmlformats.org/officeDocument/2006/relationships/hyperlink" Target="https://www.sunstar.com.ph/article/385473/denr-7-plants-1t-artificial-reefs-" TargetMode="External"/><Relationship Id="rId263" Type="http://schemas.openxmlformats.org/officeDocument/2006/relationships/hyperlink" Target="https://nanopdf.com/download/community-based-coastal-resource-management-in-nasidman-island-iloilo-philippine_pdf" TargetMode="External"/><Relationship Id="rId384" Type="http://schemas.openxmlformats.org/officeDocument/2006/relationships/hyperlink" Target="http://oneocean.org/about_crmp/98search.html" TargetMode="External"/><Relationship Id="rId141" Type="http://schemas.openxmlformats.org/officeDocument/2006/relationships/hyperlink" Target="mailto:arpee55@yahoo.com" TargetMode="External"/><Relationship Id="rId262" Type="http://schemas.openxmlformats.org/officeDocument/2006/relationships/hyperlink" Target="https://admin.concern.net/sites/default/files/media/migrated/_supporting_recovery_of_fishing_livelihoods_mangroves_and_coral_reefs_in_the_philippines_0.pdf" TargetMode="External"/><Relationship Id="rId383" Type="http://schemas.openxmlformats.org/officeDocument/2006/relationships/hyperlink" Target="https://core.ac.uk/download/pdf/6515223.pdf" TargetMode="External"/><Relationship Id="rId140" Type="http://schemas.openxmlformats.org/officeDocument/2006/relationships/hyperlink" Target="mailto:james.guest@nus.edu.sg" TargetMode="External"/><Relationship Id="rId261" Type="http://schemas.openxmlformats.org/officeDocument/2006/relationships/hyperlink" Target="https://kalahi.dswd.gov.ph/press/downloads/category/58-old-iec-materials?download=322:tayo-na-tayo-na-disaster-resiliency-compendium" TargetMode="External"/><Relationship Id="rId382" Type="http://schemas.openxmlformats.org/officeDocument/2006/relationships/hyperlink" Target="https://web.facebook.com/jcimanilaseaoflife/posts/pfbid02pDbrLSGU8G89Y6fFseL879wWeu6hoSHsuHNsYRL4JyTrGsnutkfhxQJMKf7vf5dml" TargetMode="External"/><Relationship Id="rId5" Type="http://schemas.openxmlformats.org/officeDocument/2006/relationships/hyperlink" Target="https://web.facebook.com/LGUbuenavistaagriculture" TargetMode="External"/><Relationship Id="rId147" Type="http://schemas.openxmlformats.org/officeDocument/2006/relationships/hyperlink" Target="https://www.sunstar.com.ph/article/385473/denr-7-plants-1t-artificial-reefs-" TargetMode="External"/><Relationship Id="rId268" Type="http://schemas.openxmlformats.org/officeDocument/2006/relationships/hyperlink" Target="https://savethephilippinecoralreefs.wordpress.com/2013/03/24/rvs-4-star-mariculture-coral-farm-brakes-ground-in-the-philippines/" TargetMode="External"/><Relationship Id="rId389" Type="http://schemas.openxmlformats.org/officeDocument/2006/relationships/hyperlink" Target="mailto:albarist20@gmail.com" TargetMode="External"/><Relationship Id="rId6" Type="http://schemas.openxmlformats.org/officeDocument/2006/relationships/hyperlink" Target="https://www.ircwash.org/sites/default/files/802-PH90-8920.pdf" TargetMode="External"/><Relationship Id="rId146" Type="http://schemas.openxmlformats.org/officeDocument/2006/relationships/hyperlink" Target="https://academic.oup.com/icesjms/article/71/7/1866/664250" TargetMode="External"/><Relationship Id="rId267" Type="http://schemas.openxmlformats.org/officeDocument/2006/relationships/hyperlink" Target="https://admin.concern.net/sites/default/files/media/migrated/_supporting_recovery_of_fishing_livelihoods_mangroves_and_coral_reefs_in_the_philippines_0.pdf" TargetMode="External"/><Relationship Id="rId388" Type="http://schemas.openxmlformats.org/officeDocument/2006/relationships/hyperlink" Target="https://dergipark.org.tr/en/download/article-file/2047698" TargetMode="External"/><Relationship Id="rId7" Type="http://schemas.openxmlformats.org/officeDocument/2006/relationships/hyperlink" Target="https://web.facebook.com/butuancitypioofficial/posts/35-artificial-reefs-gi-instalar-sa-fish-sanctuary-sa-brgy-masao-sa-butuannagtamb/3347562868625222/?_rdc=1&amp;_rdr" TargetMode="External"/><Relationship Id="rId145" Type="http://schemas.openxmlformats.org/officeDocument/2006/relationships/hyperlink" Target="http://oneocean.org/about_crmp/98search.html" TargetMode="External"/><Relationship Id="rId266" Type="http://schemas.openxmlformats.org/officeDocument/2006/relationships/hyperlink" Target="https://www.crc.uri.edu/download/CB_000E.pdf" TargetMode="External"/><Relationship Id="rId387" Type="http://schemas.openxmlformats.org/officeDocument/2006/relationships/hyperlink" Target="https://www.rotarydistrict3860.org/wp-content/d3860/Dumaguete%20South/21_22/04_ebulletin_2021_09_29_2021-09-29.pdf" TargetMode="External"/><Relationship Id="rId8" Type="http://schemas.openxmlformats.org/officeDocument/2006/relationships/hyperlink" Target="https://www.philstar.com/other-sections/starweek-magazine/2001/06/17/127209/butuan-waters-live-again" TargetMode="External"/><Relationship Id="rId144" Type="http://schemas.openxmlformats.org/officeDocument/2006/relationships/hyperlink" Target="https://www.youtube.com/watch?v=jkzZm4QyHDI" TargetMode="External"/><Relationship Id="rId265" Type="http://schemas.openxmlformats.org/officeDocument/2006/relationships/hyperlink" Target="https://mb.com.ph/2021/06/24/filipinnovation-mimaropas-first-large-scale-coral-restoration-project-already-started/" TargetMode="External"/><Relationship Id="rId386" Type="http://schemas.openxmlformats.org/officeDocument/2006/relationships/hyperlink" Target="https://www.sunstar.com.ph/article/267935/artificial-reefs-dropped-into-oton-sea" TargetMode="External"/><Relationship Id="rId260" Type="http://schemas.openxmlformats.org/officeDocument/2006/relationships/hyperlink" Target="http://pubs.iclarm.net/libinfo/Pdf/Pub%20CP6%2049.pdf" TargetMode="External"/><Relationship Id="rId381" Type="http://schemas.openxmlformats.org/officeDocument/2006/relationships/hyperlink" Target="https://www.ingentaconnect.com/content/umrsmas/bullmar/2001/00000069/00000002/art00028?crawler=true" TargetMode="External"/><Relationship Id="rId380" Type="http://schemas.openxmlformats.org/officeDocument/2006/relationships/hyperlink" Target="https://core.ac.uk/download/pdf/6515223.pdf" TargetMode="External"/><Relationship Id="rId139" Type="http://schemas.openxmlformats.org/officeDocument/2006/relationships/hyperlink" Target="https://www.academia.edu/25026620/How_Quickly_do_Fragments_of_Coral_Self_Attach_after_Transplantation" TargetMode="External"/><Relationship Id="rId138" Type="http://schemas.openxmlformats.org/officeDocument/2006/relationships/hyperlink" Target="https://www.sunstar.com.ph/article/385473/denr-7-plants-1t-artificial-reefs-" TargetMode="External"/><Relationship Id="rId259" Type="http://schemas.openxmlformats.org/officeDocument/2006/relationships/hyperlink" Target="http://pubs.iclarm.net/libinfo/Pdf/Pub%20CP6%2049.pdf" TargetMode="External"/><Relationship Id="rId137" Type="http://schemas.openxmlformats.org/officeDocument/2006/relationships/hyperlink" Target="https://www.tandfonline.com/doi/abs/10.1080/08920753.2011.600240?journalCode=ucmg20" TargetMode="External"/><Relationship Id="rId258" Type="http://schemas.openxmlformats.org/officeDocument/2006/relationships/hyperlink" Target="http://pubs.iclarm.net/libinfo/Pdf/Pub%20CP6%2049.pdf" TargetMode="External"/><Relationship Id="rId379" Type="http://schemas.openxmlformats.org/officeDocument/2006/relationships/hyperlink" Target="https://admin.concern.net/sites/default/files/media/migrated/_supporting_recovery_of_fishing_livelihoods_mangroves_and_coral_reefs_in_the_philippines_0.pdf" TargetMode="External"/><Relationship Id="rId132" Type="http://schemas.openxmlformats.org/officeDocument/2006/relationships/hyperlink" Target="https://www.researchgate.net/publication/223475676_Caging_enhances_post-settlement_survival_of_juveniles_of_the_scleractinian_coral_Acropora_tenuis" TargetMode="External"/><Relationship Id="rId253" Type="http://schemas.openxmlformats.org/officeDocument/2006/relationships/hyperlink" Target="http://lgucabugao.blogspot.com/2013/06/artificial-reef-naitapog-para-iti-2.html" TargetMode="External"/><Relationship Id="rId374" Type="http://schemas.openxmlformats.org/officeDocument/2006/relationships/hyperlink" Target="https://www.eco-business.com/news/sustainable-coral-nurseries-ensure-future-of-philippine-coral-reefs/" TargetMode="External"/><Relationship Id="rId495" Type="http://schemas.openxmlformats.org/officeDocument/2006/relationships/hyperlink" Target="http://www.cebu-philippines.net/marine-life-in-southern-leyte.html" TargetMode="External"/><Relationship Id="rId131" Type="http://schemas.openxmlformats.org/officeDocument/2006/relationships/hyperlink" Target="http://oneocean.org/about_crmp/98search.html" TargetMode="External"/><Relationship Id="rId252" Type="http://schemas.openxmlformats.org/officeDocument/2006/relationships/hyperlink" Target="http://pubs.iclarm.net/libinfo/Pdf/Pub%20CP6%2049.pdf" TargetMode="External"/><Relationship Id="rId373" Type="http://schemas.openxmlformats.org/officeDocument/2006/relationships/hyperlink" Target="https://www.crc.uri.edu/download/CB_000E.pdf" TargetMode="External"/><Relationship Id="rId494" Type="http://schemas.openxmlformats.org/officeDocument/2006/relationships/hyperlink" Target="mailto:lishaish@yahoo.com" TargetMode="External"/><Relationship Id="rId130" Type="http://schemas.openxmlformats.org/officeDocument/2006/relationships/hyperlink" Target="mailto:arpee55@yahoo.com" TargetMode="External"/><Relationship Id="rId251" Type="http://schemas.openxmlformats.org/officeDocument/2006/relationships/hyperlink" Target="http://pubs.iclarm.net/libinfo/Pdf/Pub%20CP6%2049.pdf" TargetMode="External"/><Relationship Id="rId37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93" Type="http://schemas.openxmlformats.org/officeDocument/2006/relationships/hyperlink" Target="https://www.sciencedirect.com/science/article/abs/pii/S092585741000176X" TargetMode="External"/><Relationship Id="rId250" Type="http://schemas.openxmlformats.org/officeDocument/2006/relationships/hyperlink" Target="https://www.ircwash.org/sites/default/files/802-PH90-8920.pdf" TargetMode="External"/><Relationship Id="rId371" Type="http://schemas.openxmlformats.org/officeDocument/2006/relationships/hyperlink" Target="https://www.philstar.com/business/business-as-usual/2006/04/24/333050/duka-bay-ecological-business-paradigm" TargetMode="External"/><Relationship Id="rId492" Type="http://schemas.openxmlformats.org/officeDocument/2006/relationships/hyperlink" Target="mailto:arpee55@yahoo.com" TargetMode="External"/><Relationship Id="rId136" Type="http://schemas.openxmlformats.org/officeDocument/2006/relationships/hyperlink" Target="mailto:samgulayan@yahoo.com" TargetMode="External"/><Relationship Id="rId257" Type="http://schemas.openxmlformats.org/officeDocument/2006/relationships/hyperlink" Target="http://pubs.iclarm.net/libinfo/Pdf/Pub%20CP6%2049.pdf" TargetMode="External"/><Relationship Id="rId378" Type="http://schemas.openxmlformats.org/officeDocument/2006/relationships/hyperlink" Target="https://www.xu.edu.ph/images/publication/newsletters/pagtaob/documents/PAGTAOB_V3_I1.pdf" TargetMode="External"/><Relationship Id="rId499" Type="http://schemas.openxmlformats.org/officeDocument/2006/relationships/hyperlink" Target="https://www.sciencedirect.com/science/article/abs/pii/S0925857409003498" TargetMode="External"/><Relationship Id="rId135" Type="http://schemas.openxmlformats.org/officeDocument/2006/relationships/hyperlink" Target="mailto:gidi.levi@gmail.com" TargetMode="External"/><Relationship Id="rId256" Type="http://schemas.openxmlformats.org/officeDocument/2006/relationships/hyperlink" Target="http://pubs.iclarm.net/libinfo/Pdf/Pub%20CP6%2049.pdf" TargetMode="External"/><Relationship Id="rId377" Type="http://schemas.openxmlformats.org/officeDocument/2006/relationships/hyperlink" Target="https://www.rappler.com/moveph/145137-iloilo-fishermen-lead-coastal-management/" TargetMode="External"/><Relationship Id="rId498" Type="http://schemas.openxmlformats.org/officeDocument/2006/relationships/hyperlink" Target="https://web.facebook.com/sogodbaycoralrestoration/?_rdc=1&amp;_rdr" TargetMode="External"/><Relationship Id="rId134" Type="http://schemas.openxmlformats.org/officeDocument/2006/relationships/hyperlink" Target="https://www.sciencedirect.com/science/article/abs/pii/S0925857409003498" TargetMode="External"/><Relationship Id="rId255" Type="http://schemas.openxmlformats.org/officeDocument/2006/relationships/hyperlink" Target="https://web.facebook.com/permalink.php?id=978493562286545&amp;story_fbid=1211788355623730&amp;_rdc=1&amp;_rdr" TargetMode="External"/><Relationship Id="rId376" Type="http://schemas.openxmlformats.org/officeDocument/2006/relationships/hyperlink" Target="https://issuu.com/sudaria_publications/docs/cdotimes_april_16-22__2016" TargetMode="External"/><Relationship Id="rId497" Type="http://schemas.openxmlformats.org/officeDocument/2006/relationships/hyperlink" Target="https://www.sciencedirect.com/science/article/abs/pii/S0025326X05001669?via%3Dihub" TargetMode="External"/><Relationship Id="rId133" Type="http://schemas.openxmlformats.org/officeDocument/2006/relationships/hyperlink" Target="https://www.sunstar.com.ph/article/385473/denr-7-plants-1t-artificial-reefs-" TargetMode="External"/><Relationship Id="rId254" Type="http://schemas.openxmlformats.org/officeDocument/2006/relationships/hyperlink" Target="http://pubs.iclarm.net/libinfo/Pdf/Pub%20CP6%2049.pdf" TargetMode="External"/><Relationship Id="rId375"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96" Type="http://schemas.openxmlformats.org/officeDocument/2006/relationships/hyperlink" Target="https://www.researchgate.net/publication/223475676_Caging_enhances_post-settlement_survival_of_juveniles_of_the_scleractinian_coral_Acropora_tenuis" TargetMode="External"/><Relationship Id="rId172" Type="http://schemas.openxmlformats.org/officeDocument/2006/relationships/hyperlink" Target="https://mobile.facebook.com/playalacaletabataan/posts/3079682972247006/?_rdc=1&amp;_rdr" TargetMode="External"/><Relationship Id="rId293" Type="http://schemas.openxmlformats.org/officeDocument/2006/relationships/hyperlink" Target="https://cbartazo.com/tag/diving-in-bicol/" TargetMode="External"/><Relationship Id="rId171" Type="http://schemas.openxmlformats.org/officeDocument/2006/relationships/hyperlink" Target="http://roxascity.gov.ph/roxas-city-receives-p1m-for-560-units-jackstone-type-artificial-reefs-project/" TargetMode="External"/><Relationship Id="rId292" Type="http://schemas.openxmlformats.org/officeDocument/2006/relationships/hyperlink" Target="https://www.dmmmsu.edu.ph/2021/12/08/7-artificial-reefs-installed-in-coastal-area-along-frti/" TargetMode="External"/><Relationship Id="rId170" Type="http://schemas.openxmlformats.org/officeDocument/2006/relationships/hyperlink" Target="https://issuu.com/piamindanao1/docs/august_27" TargetMode="External"/><Relationship Id="rId291" Type="http://schemas.openxmlformats.org/officeDocument/2006/relationships/hyperlink" Target="https://pia4b.wordpress.com/2013/01/22/abs-cbn-foundation-pinangasiwaan-ang-paglagay-ng-artificial-reefs-sa-lgu-san-fernando/" TargetMode="External"/><Relationship Id="rId290" Type="http://schemas.openxmlformats.org/officeDocument/2006/relationships/hyperlink" Target="https://amiananbalitangayon.com/la-union-sustains-living-shorelines-deploys-artificial-reefs/" TargetMode="External"/><Relationship Id="rId165" Type="http://schemas.openxmlformats.org/officeDocument/2006/relationships/hyperlink" Target="https://issuu.com/piamindanao1/docs/august_27" TargetMode="External"/><Relationship Id="rId286" Type="http://schemas.openxmlformats.org/officeDocument/2006/relationships/hyperlink" Target="http://pubs.iclarm.net/libinfo/Pdf/Pub%20CP6%2049.pdf" TargetMode="External"/><Relationship Id="rId164" Type="http://schemas.openxmlformats.org/officeDocument/2006/relationships/hyperlink" Target="mailto:sangkalikasan2016@gmail.com" TargetMode="External"/><Relationship Id="rId285" Type="http://schemas.openxmlformats.org/officeDocument/2006/relationships/hyperlink" Target="mailto:albarist20@gmail.com" TargetMode="External"/><Relationship Id="rId163" Type="http://schemas.openxmlformats.org/officeDocument/2006/relationships/hyperlink" Target="https://punto.com.ph/artificial-reef-itinanim-sa-subic-bay/" TargetMode="External"/><Relationship Id="rId284" Type="http://schemas.openxmlformats.org/officeDocument/2006/relationships/hyperlink" Target="https://dergipark.org.tr/en/download/article-file/2047698" TargetMode="External"/><Relationship Id="rId162" Type="http://schemas.openxmlformats.org/officeDocument/2006/relationships/hyperlink" Target="http://pemsea.org/sites/default/files/SOC%20Bataan.pdf" TargetMode="External"/><Relationship Id="rId283" Type="http://schemas.openxmlformats.org/officeDocument/2006/relationships/hyperlink" Target="https://issuu.com/discoveryworldcorp/docs/2020_dwc_annual_report/1" TargetMode="External"/><Relationship Id="rId169" Type="http://schemas.openxmlformats.org/officeDocument/2006/relationships/hyperlink" Target="https://1bataan.com/morong-town-soon-to-be-a-diving-spot/" TargetMode="External"/><Relationship Id="rId168" Type="http://schemas.openxmlformats.org/officeDocument/2006/relationships/hyperlink" Target="https://www.pna.gov.ph/articles/1124515" TargetMode="External"/><Relationship Id="rId289" Type="http://schemas.openxmlformats.org/officeDocument/2006/relationships/hyperlink" Target="http://pubs.iclarm.net/libinfo/Pdf/Pub%20CP6%2049.pdf" TargetMode="External"/><Relationship Id="rId167" Type="http://schemas.openxmlformats.org/officeDocument/2006/relationships/hyperlink" Target="https://psbalita.com/kaligkasan-pro-10-at-lgu-camiguin-nanguna-sa-paglagay-ng-artificial-reefs-sa-mantigue-island/" TargetMode="External"/><Relationship Id="rId288" Type="http://schemas.openxmlformats.org/officeDocument/2006/relationships/hyperlink" Target="mailto:cinzia.alessi01@community.unipa.it" TargetMode="External"/><Relationship Id="rId166" Type="http://schemas.openxmlformats.org/officeDocument/2006/relationships/hyperlink" Target="https://1bataan.com/morong-town-soon-to-be-a-diving-spot/" TargetMode="External"/><Relationship Id="rId287" Type="http://schemas.openxmlformats.org/officeDocument/2006/relationships/hyperlink" Target="https://sulubaai-foundation.com/wp-content/uploads/2019/07/Sulu-Reef-Prosthesis-a-new-method-in-restoration.pdf" TargetMode="External"/><Relationship Id="rId161" Type="http://schemas.openxmlformats.org/officeDocument/2006/relationships/hyperlink" Target="https://pro10.pnp.gov.ph/pro10/index.php/56-activities/339-installation-of-artificial-coral-reefs-at-mantigue-island-camiguin" TargetMode="External"/><Relationship Id="rId282" Type="http://schemas.openxmlformats.org/officeDocument/2006/relationships/hyperlink" Target="https://www.sunstar.com.ph/article/267935/artificial-reefs-dropped-into-oton-sea" TargetMode="External"/><Relationship Id="rId160" Type="http://schemas.openxmlformats.org/officeDocument/2006/relationships/hyperlink" Target="mailto:sangkalikasan2016@gmail.com" TargetMode="External"/><Relationship Id="rId281" Type="http://schemas.openxmlformats.org/officeDocument/2006/relationships/hyperlink" Target="http://oneocean.org/about_crmp/98search.html" TargetMode="External"/><Relationship Id="rId280" Type="http://schemas.openxmlformats.org/officeDocument/2006/relationships/hyperlink" Target="https://web.facebook.com/jcimanilaseaoflife/posts/pfbid02pDbrLSGU8G89Y6fFseL879wWeu6hoSHsuHNsYRL4JyTrGsnutkfhxQJMKf7vf5dml" TargetMode="External"/><Relationship Id="rId159" Type="http://schemas.openxmlformats.org/officeDocument/2006/relationships/hyperlink" Target="https://r5.denr.gov.ph/index.php/news-events/photo-releases/1292-coral-reef-restoration-at-gamban-reef" TargetMode="External"/><Relationship Id="rId154" Type="http://schemas.openxmlformats.org/officeDocument/2006/relationships/hyperlink" Target="https://ejournals.ph/article.php?id=15657" TargetMode="External"/><Relationship Id="rId275" Type="http://schemas.openxmlformats.org/officeDocument/2006/relationships/hyperlink" Target="https://www.adb.org/sites/default/files/publication/29878/kalahi-cidss-project-philippines.pdf" TargetMode="External"/><Relationship Id="rId396" Type="http://schemas.openxmlformats.org/officeDocument/2006/relationships/hyperlink" Target="mailto:arpee55@yahoo.com" TargetMode="External"/><Relationship Id="rId153" Type="http://schemas.openxmlformats.org/officeDocument/2006/relationships/hyperlink" Target="https://ejournals.ph/article.php?id=15657" TargetMode="External"/><Relationship Id="rId274" Type="http://schemas.openxmlformats.org/officeDocument/2006/relationships/hyperlink" Target="https://nanopdf.com/download/community-based-coastal-resource-management-in-nasidman-island-iloilo-philippine_pdf" TargetMode="External"/><Relationship Id="rId395" Type="http://schemas.openxmlformats.org/officeDocument/2006/relationships/hyperlink" Target="https://core.ac.uk/download/pdf/6515223.pdf" TargetMode="External"/><Relationship Id="rId152" Type="http://schemas.openxmlformats.org/officeDocument/2006/relationships/hyperlink" Target="https://www.sciencedirect.com/science/article/abs/pii/S0022098116301873" TargetMode="External"/><Relationship Id="rId273" Type="http://schemas.openxmlformats.org/officeDocument/2006/relationships/hyperlink" Target="https://admin.concern.net/sites/default/files/media/migrated/_supporting_recovery_of_fishing_livelihoods_mangroves_and_coral_reefs_in_the_philippines_0.pdf" TargetMode="External"/><Relationship Id="rId394" Type="http://schemas.openxmlformats.org/officeDocument/2006/relationships/hyperlink" Target="https://www.sunstar.com.ph/article/385473/denr-7-plants-1t-artificial-reefs-" TargetMode="External"/><Relationship Id="rId151" Type="http://schemas.openxmlformats.org/officeDocument/2006/relationships/hyperlink" Target="https://brigadanews.ph/artificial-coral-reefs-inilagay-sa-karagatang-sakop-ng-jose-panganiban-bahagi-ng-marine-protected-areas-idedeklarang-fish-santuary-ng-lgu/" TargetMode="External"/><Relationship Id="rId272" Type="http://schemas.openxmlformats.org/officeDocument/2006/relationships/hyperlink" Target="https://sevenseasmedia.org/biri-initiative-story-on-coral-restoration/" TargetMode="External"/><Relationship Id="rId393" Type="http://schemas.openxmlformats.org/officeDocument/2006/relationships/hyperlink" Target="https://www.sunstar.com.ph/article/385473/denr-7-plants-1t-artificial-reefs-" TargetMode="External"/><Relationship Id="rId158" Type="http://schemas.openxmlformats.org/officeDocument/2006/relationships/hyperlink" Target="https://r5.denr.gov.ph/index.php/news-events/photo-releases/1292-coral-reef-restoration-at-gamban-reef" TargetMode="External"/><Relationship Id="rId279" Type="http://schemas.openxmlformats.org/officeDocument/2006/relationships/hyperlink" Target="https://admin.concern.net/sites/default/files/media/migrated/_supporting_recovery_of_fishing_livelihoods_mangroves_and_coral_reefs_in_the_philippines_0.pdf" TargetMode="External"/><Relationship Id="rId157" Type="http://schemas.openxmlformats.org/officeDocument/2006/relationships/hyperlink" Target="https://www.abs-cbn.com/news/nation/2025/2/5/ilang-device-na-gamit-umano-sa-pang-eespiya-nakuha-mula-sa-hinihinalang-chinese-spy-1912" TargetMode="External"/><Relationship Id="rId278" Type="http://schemas.openxmlformats.org/officeDocument/2006/relationships/hyperlink" Target="https://www.rappler.com/moveph/145137-iloilo-fishermen-lead-coastal-management/" TargetMode="External"/><Relationship Id="rId399" Type="http://schemas.openxmlformats.org/officeDocument/2006/relationships/hyperlink" Target="https://www.sunstar.com.ph/article/385473/denr-7-plants-1t-artificial-reefs-" TargetMode="External"/><Relationship Id="rId156" Type="http://schemas.openxmlformats.org/officeDocument/2006/relationships/hyperlink" Target="https://web.facebook.com/109393900941452/videos/836922833909809" TargetMode="External"/><Relationship Id="rId277" Type="http://schemas.openxmlformats.org/officeDocument/2006/relationships/hyperlink" Target="https://www.crc.uri.edu/download/CB_000E.pdf" TargetMode="External"/><Relationship Id="rId398" Type="http://schemas.openxmlformats.org/officeDocument/2006/relationships/hyperlink" Target="https://www.sunstar.com.ph/article/385473/denr-7-plants-1t-artificial-reefs-" TargetMode="External"/><Relationship Id="rId155" Type="http://schemas.openxmlformats.org/officeDocument/2006/relationships/hyperlink" Target="https://mb.com.ph/2022/3/7/artificial-reefs-watch-tower-in-coastal-pangasinan-town-launched" TargetMode="External"/><Relationship Id="rId276" Type="http://schemas.openxmlformats.org/officeDocument/2006/relationships/hyperlink" Target="https://www.facebook.com/profile.php?id=61560256107542" TargetMode="External"/><Relationship Id="rId397" Type="http://schemas.openxmlformats.org/officeDocument/2006/relationships/hyperlink" Target="https://www.youtube.com/watch?v=X-dAZVSGLok" TargetMode="External"/><Relationship Id="rId40"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2" Type="http://schemas.openxmlformats.org/officeDocument/2006/relationships/hyperlink" Target="https://www.pna.gov.ph/articles/1171451" TargetMode="External"/><Relationship Id="rId41" Type="http://schemas.openxmlformats.org/officeDocument/2006/relationships/hyperlink" Target="http://pubs.iclarm.net/libinfo/Pdf/Pub%20CP6%2049.pdf" TargetMode="External"/><Relationship Id="rId44" Type="http://schemas.openxmlformats.org/officeDocument/2006/relationships/hyperlink" Target="https://cbartazo.com/tag/diving-in-bicol/" TargetMode="External"/><Relationship Id="rId43" Type="http://schemas.openxmlformats.org/officeDocument/2006/relationships/hyperlink" Target="http://pubs.iclarm.net/libinfo/Pdf/Pub%20CP6%2049.pdf" TargetMode="External"/><Relationship Id="rId46" Type="http://schemas.openxmlformats.org/officeDocument/2006/relationships/hyperlink" Target="https://amiananbalitangayon.com/la-union-sustains-living-shorelines-deploys-artificial-reefs/" TargetMode="External"/><Relationship Id="rId45" Type="http://schemas.openxmlformats.org/officeDocument/2006/relationships/hyperlink" Target="https://www.facebook.com/photo.php?fbid=1006552911501040&amp;id=100064390224437&amp;set=a.600940552062280&amp;_rdc=2&amp;_rdr" TargetMode="External"/><Relationship Id="rId509" Type="http://schemas.openxmlformats.org/officeDocument/2006/relationships/hyperlink" Target="mailto:lishaish@yahoo.com" TargetMode="External"/><Relationship Id="rId508" Type="http://schemas.openxmlformats.org/officeDocument/2006/relationships/hyperlink" Target="https://www.sciencedirect.com/science/article/abs/pii/S092585741000176X" TargetMode="External"/><Relationship Id="rId629" Type="http://schemas.openxmlformats.org/officeDocument/2006/relationships/hyperlink" Target="https://www.ingentaconnect.com/content/umrsmas/bullmar/2001/00000069/00000002/art00028?crawler=true" TargetMode="External"/><Relationship Id="rId503" Type="http://schemas.openxmlformats.org/officeDocument/2006/relationships/hyperlink" Target="https://www.academia.edu/25026620/How_Quickly_do_Fragments_of_Coral_Self_Attach_after_Transplantation" TargetMode="External"/><Relationship Id="rId624" Type="http://schemas.openxmlformats.org/officeDocument/2006/relationships/hyperlink" Target="https://core.ac.uk/download/pdf/6515223.pdf" TargetMode="External"/><Relationship Id="rId502" Type="http://schemas.openxmlformats.org/officeDocument/2006/relationships/hyperlink" Target="https://web.facebook.com/media/set/?set=a.1831074026966655&amp;type=3" TargetMode="External"/><Relationship Id="rId623" Type="http://schemas.openxmlformats.org/officeDocument/2006/relationships/hyperlink" Target="https://butuan.bomboradyo.com/artificial-coral-reefs-gimontar-sa-surigao-city/" TargetMode="External"/><Relationship Id="rId501" Type="http://schemas.openxmlformats.org/officeDocument/2006/relationships/hyperlink" Target="https://www.tandfonline.com/doi/abs/10.1080/08920753.2011.600240?journalCode=ucmg20" TargetMode="External"/><Relationship Id="rId622" Type="http://schemas.openxmlformats.org/officeDocument/2006/relationships/hyperlink" Target="https://core.ac.uk/download/pdf/6515223.pdf" TargetMode="External"/><Relationship Id="rId500" Type="http://schemas.openxmlformats.org/officeDocument/2006/relationships/hyperlink" Target="mailto:gidi.levi@gmail.com" TargetMode="External"/><Relationship Id="rId621" Type="http://schemas.openxmlformats.org/officeDocument/2006/relationships/hyperlink" Target="http://www.surigaocity.gov.ph/sites/default/files/documents/milestones/2015%20annual%20report_0.pdf" TargetMode="External"/><Relationship Id="rId507" Type="http://schemas.openxmlformats.org/officeDocument/2006/relationships/hyperlink" Target="https://zoologicalstudies.springeropen.com/articles/10.1186/1810-522X-52-44" TargetMode="External"/><Relationship Id="rId628" Type="http://schemas.openxmlformats.org/officeDocument/2006/relationships/hyperlink" Target="https://www.cecphils.org/wp-content/uploads/gbk2020-souvenir-program.pdf" TargetMode="External"/><Relationship Id="rId506" Type="http://schemas.openxmlformats.org/officeDocument/2006/relationships/hyperlink" Target="https://www.facebook.com/media/set/?vanity=154004468006961&amp;set=a.7450109991729669" TargetMode="External"/><Relationship Id="rId627" Type="http://schemas.openxmlformats.org/officeDocument/2006/relationships/hyperlink" Target="https://core.ac.uk/download/pdf/6515223.pdf" TargetMode="External"/><Relationship Id="rId505" Type="http://schemas.openxmlformats.org/officeDocument/2006/relationships/hyperlink" Target="mailto:lishaish@yahoo.com" TargetMode="External"/><Relationship Id="rId626" Type="http://schemas.openxmlformats.org/officeDocument/2006/relationships/hyperlink" Target="https://www.cecphils.org/wp-content/uploads/gbk2020-souvenir-program.pdf" TargetMode="External"/><Relationship Id="rId504" Type="http://schemas.openxmlformats.org/officeDocument/2006/relationships/hyperlink" Target="mailto:james.guest@nus.edu.sg" TargetMode="External"/><Relationship Id="rId625" Type="http://schemas.openxmlformats.org/officeDocument/2006/relationships/hyperlink" Target="https://newsinfo.inquirer.net/937981/philippine-tourism-hinatuan-beach-surigao-del-sur-tourist-spot-nickel-asia-corp-michael-arlan-hinatuan-mining-corp-denr-scremp" TargetMode="External"/><Relationship Id="rId48" Type="http://schemas.openxmlformats.org/officeDocument/2006/relationships/hyperlink" Target="https://www.dmmmsu.edu.ph/2021/12/08/7-artificial-reefs-installed-in-coastal-area-along-frti/" TargetMode="External"/><Relationship Id="rId47" Type="http://schemas.openxmlformats.org/officeDocument/2006/relationships/hyperlink" Target="https://web.facebook.com/photo/?fbid=25137872482494016&amp;set=pcb.25137873715827226" TargetMode="External"/><Relationship Id="rId49" Type="http://schemas.openxmlformats.org/officeDocument/2006/relationships/hyperlink" Target="https://kochi.repo.nii.ac.jp/?action=repository_action_common_download&amp;item_id=8640&amp;item_no=1&amp;attribute_id=17&amp;file_no=1" TargetMode="External"/><Relationship Id="rId620" Type="http://schemas.openxmlformats.org/officeDocument/2006/relationships/hyperlink" Target="https://nickelasia.com/bulletin/pangangalaga-sa-karagatan-pinaigting-pa-ng-cmc-hmc" TargetMode="External"/><Relationship Id="rId31" Type="http://schemas.openxmlformats.org/officeDocument/2006/relationships/hyperlink" Target="https://gadgetsmagazine.com.ph/technology/artificial-reef-dome-deployment-in-boracay" TargetMode="External"/><Relationship Id="rId30" Type="http://schemas.openxmlformats.org/officeDocument/2006/relationships/hyperlink" Target="http://pubs.iclarm.net/libinfo/Pdf/Pub%20CP6%2049.pdf" TargetMode="External"/><Relationship Id="rId33" Type="http://schemas.openxmlformats.org/officeDocument/2006/relationships/hyperlink" Target="http://pubs.iclarm.net/libinfo/Pdf/Pub%20CP6%2049.pdf" TargetMode="External"/><Relationship Id="rId32" Type="http://schemas.openxmlformats.org/officeDocument/2006/relationships/hyperlink" Target="http://www.reefball.org/album/philippines/boracayreef/index.html" TargetMode="External"/><Relationship Id="rId35" Type="http://schemas.openxmlformats.org/officeDocument/2006/relationships/hyperlink" Target="http://pubs.iclarm.net/libinfo/Pdf/Pub%20CP6%2049.pdf" TargetMode="External"/><Relationship Id="rId34" Type="http://schemas.openxmlformats.org/officeDocument/2006/relationships/hyperlink" Target="https://www.pcaarrd.dost.gov.ph/index.php/quick-information-dispatch-qid-articles/restoring-the-country-s-coral-reefs-through-filipinnovation" TargetMode="External"/><Relationship Id="rId619" Type="http://schemas.openxmlformats.org/officeDocument/2006/relationships/hyperlink" Target="https://www.cecphils.org/wp-content/uploads/gbk2020-souvenir-program.pdf" TargetMode="External"/><Relationship Id="rId618" Type="http://schemas.openxmlformats.org/officeDocument/2006/relationships/hyperlink" Target="https://caraga.bfar.da.gov.ph/wp-content/uploads/2022/12/Annual-Report-2020.pdf" TargetMode="External"/><Relationship Id="rId613" Type="http://schemas.openxmlformats.org/officeDocument/2006/relationships/hyperlink" Target="https://www.visitdelcarmen.com/del-carmen-artificial-coral-reefs/" TargetMode="External"/><Relationship Id="rId612" Type="http://schemas.openxmlformats.org/officeDocument/2006/relationships/hyperlink" Target="http://www.gfni.com.ph/wp-content/uploads/annualreports/2018%20IR%20061919%20FINAL.pdf" TargetMode="External"/><Relationship Id="rId611" Type="http://schemas.openxmlformats.org/officeDocument/2006/relationships/hyperlink" Target="https://caraga.bfar.da.gov.ph/wp-content/uploads/2022/12/Annual-Report-2020.pdf" TargetMode="External"/><Relationship Id="rId610" Type="http://schemas.openxmlformats.org/officeDocument/2006/relationships/hyperlink" Target="https://nickelasia.com/bulletin/pangangalaga-sa-karagatan-pinaigting-pa-ng-cmc-hmc" TargetMode="External"/><Relationship Id="rId617" Type="http://schemas.openxmlformats.org/officeDocument/2006/relationships/hyperlink" Target="https://newsinfo.inquirer.net/937981/philippine-tourism-hinatuan-beach-surigao-del-sur-tourist-spot-nickel-asia-corp-michael-arlan-hinatuan-mining-corp-denr-scremp" TargetMode="External"/><Relationship Id="rId616" Type="http://schemas.openxmlformats.org/officeDocument/2006/relationships/hyperlink" Target="https://www.visitdelcarmen.com/del-carmen-artificial-coral-reefs/" TargetMode="External"/><Relationship Id="rId615" Type="http://schemas.openxmlformats.org/officeDocument/2006/relationships/hyperlink" Target="https://butuan.bomboradyo.com/artificial-coral-reefs-gimontar-sa-surigao-city/" TargetMode="External"/><Relationship Id="rId614" Type="http://schemas.openxmlformats.org/officeDocument/2006/relationships/hyperlink" Target="https://www.philippinenickel.org/news-and-updates/press-release/pgmcs-coral-transplantation-in-lambason-millari-island-marine-sanctuary/" TargetMode="External"/><Relationship Id="rId37"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36" Type="http://schemas.openxmlformats.org/officeDocument/2006/relationships/hyperlink" Target="https://www.panaynews.net/aklan-turns-61/" TargetMode="External"/><Relationship Id="rId39" Type="http://schemas.openxmlformats.org/officeDocument/2006/relationships/hyperlink" Target="https://www.panaynews.net/aklan-turns-61/" TargetMode="External"/><Relationship Id="rId38" Type="http://schemas.openxmlformats.org/officeDocument/2006/relationships/hyperlink" Target="http://pubs.iclarm.net/libinfo/Pdf/Pub%20CP6%2049.pdf" TargetMode="External"/><Relationship Id="rId20" Type="http://schemas.openxmlformats.org/officeDocument/2006/relationships/hyperlink" Target="http://pubs.iclarm.net/libinfo/Pdf/Pub%20CP6%2049.pdf" TargetMode="External"/><Relationship Id="rId2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1" Type="http://schemas.openxmlformats.org/officeDocument/2006/relationships/hyperlink" Target="http://lgucabugao.blogspot.com/2013/06/artificial-reef-naitapog-para-iti-2.html" TargetMode="External"/><Relationship Id="rId2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3" Type="http://schemas.openxmlformats.org/officeDocument/2006/relationships/hyperlink" Target="http://pubs.iclarm.net/libinfo/Pdf/Pub%20CP6%2049.pdf" TargetMode="External"/><Relationship Id="rId409" Type="http://schemas.openxmlformats.org/officeDocument/2006/relationships/hyperlink" Target="https://www.sunstar.com.ph/article/385473/denr-7-plants-1t-artificial-reefs-" TargetMode="External"/><Relationship Id="rId404" Type="http://schemas.openxmlformats.org/officeDocument/2006/relationships/hyperlink" Target="https://www.rotarydistrict3860.org/wp-content/d3860/Dumaguete%20South/21_22/04_ebulletin_2021_09_29_2021-09-29.pdf" TargetMode="External"/><Relationship Id="rId525" Type="http://schemas.openxmlformats.org/officeDocument/2006/relationships/hyperlink" Target="mailto:sangkalikasan2016@gmail.com" TargetMode="External"/><Relationship Id="rId646" Type="http://schemas.openxmlformats.org/officeDocument/2006/relationships/hyperlink" Target="https://aquadocs.org/bitstream/handle/1834/40478/GomezED2006.pdf?sequence=1&amp;isAllowed=y" TargetMode="External"/><Relationship Id="rId403" Type="http://schemas.openxmlformats.org/officeDocument/2006/relationships/hyperlink" Target="https://www.youtube.com/watch?v=X-dAZVSGLok" TargetMode="External"/><Relationship Id="rId524" Type="http://schemas.openxmlformats.org/officeDocument/2006/relationships/hyperlink" Target="https://www.abs-cbn.com/news/nation/2025/2/5/ilang-device-na-gamit-umano-sa-pang-eespiya-nakuha-mula-sa-hinihinalang-chinese-spy-1912" TargetMode="External"/><Relationship Id="rId645" Type="http://schemas.openxmlformats.org/officeDocument/2006/relationships/hyperlink" Target="https://core.ac.uk/download/pdf/6515223.pdf" TargetMode="External"/><Relationship Id="rId402" Type="http://schemas.openxmlformats.org/officeDocument/2006/relationships/hyperlink" Target="https://www.youtube.com/watch?v=jkzZm4QyHDI" TargetMode="External"/><Relationship Id="rId523" Type="http://schemas.openxmlformats.org/officeDocument/2006/relationships/hyperlink" Target="mailto:jrguest@gmail.com" TargetMode="External"/><Relationship Id="rId644" Type="http://schemas.openxmlformats.org/officeDocument/2006/relationships/hyperlink" Target="https://www.rotarydistrict3860.org/wp-content/d3860/Dumaguete%20South/21_22/04_ebulletin_2021_09_29_2021-09-29.pdf" TargetMode="External"/><Relationship Id="rId401" Type="http://schemas.openxmlformats.org/officeDocument/2006/relationships/hyperlink" Target="https://www.zubludiving.com/articles/zublu-insights/roni-ben-aharon-from-atlantis-dive-resorts-and-liveaboards" TargetMode="External"/><Relationship Id="rId522" Type="http://schemas.openxmlformats.org/officeDocument/2006/relationships/hyperlink" Target="https://web.facebook.com/people/PCGA-312th-Auxiliary-Squadron/100064379604303/?_rdc=1&amp;_rdr" TargetMode="External"/><Relationship Id="rId643" Type="http://schemas.openxmlformats.org/officeDocument/2006/relationships/hyperlink" Target="https://www.youtube.com/watch?v=X-dAZVSGLok" TargetMode="External"/><Relationship Id="rId408" Type="http://schemas.openxmlformats.org/officeDocument/2006/relationships/hyperlink" Target="https://core.ac.uk/download/pdf/6515223.pdf" TargetMode="External"/><Relationship Id="rId529" Type="http://schemas.openxmlformats.org/officeDocument/2006/relationships/hyperlink" Target="https://psbalita.com/kaligkasan-pro-10-at-lgu-camiguin-nanguna-sa-paglagay-ng-artificial-reefs-sa-mantigue-island/" TargetMode="External"/><Relationship Id="rId407" Type="http://schemas.openxmlformats.org/officeDocument/2006/relationships/hyperlink" Target="https://aquadocs.org/bitstream/handle/1834/40478/GomezED2006.pdf?sequence=1&amp;isAllowed=y" TargetMode="External"/><Relationship Id="rId528" Type="http://schemas.openxmlformats.org/officeDocument/2006/relationships/hyperlink" Target="https://issuu.com/piamindanao1/docs/august_27" TargetMode="External"/><Relationship Id="rId649" Type="http://schemas.openxmlformats.org/officeDocument/2006/relationships/hyperlink" Target="about:blank" TargetMode="External"/><Relationship Id="rId406" Type="http://schemas.openxmlformats.org/officeDocument/2006/relationships/hyperlink" Target="https://core.ac.uk/download/pdf/6515223.pdf" TargetMode="External"/><Relationship Id="rId527" Type="http://schemas.openxmlformats.org/officeDocument/2006/relationships/hyperlink" Target="mailto:sangkalikasan2016@gmail.com" TargetMode="External"/><Relationship Id="rId648" Type="http://schemas.openxmlformats.org/officeDocument/2006/relationships/hyperlink" Target="https://www.sunstar.com.ph/article/385473/denr-7-plants-1t-artificial-reefs-" TargetMode="External"/><Relationship Id="rId405" Type="http://schemas.openxmlformats.org/officeDocument/2006/relationships/hyperlink" Target="http://oneocean.org/about_crmp/98search.html" TargetMode="External"/><Relationship Id="rId526" Type="http://schemas.openxmlformats.org/officeDocument/2006/relationships/hyperlink" Target="https://rpnradio.com/navy-frogmen-laid-artificial-coral-reefs-to-protect-pink-sand-sta-cruz-island-in-zamboanga/" TargetMode="External"/><Relationship Id="rId647" Type="http://schemas.openxmlformats.org/officeDocument/2006/relationships/hyperlink" Target="https://core.ac.uk/download/pdf/6515223.pdf" TargetMode="External"/><Relationship Id="rId26" Type="http://schemas.openxmlformats.org/officeDocument/2006/relationships/hyperlink" Target="https://web.facebook.com/permalink.php?id=978493562286545&amp;story_fbid=1211788355623730&amp;_rdc=1&amp;_rdr" TargetMode="External"/><Relationship Id="rId25" Type="http://schemas.openxmlformats.org/officeDocument/2006/relationships/hyperlink" Target="https://noonbreakbalita.com/2016/4993/filipinnovation-to-effectively-restore-coral-reefs-in-the-philippines/" TargetMode="External"/><Relationship Id="rId28" Type="http://schemas.openxmlformats.org/officeDocument/2006/relationships/hyperlink" Target="http://pubs.iclarm.net/libinfo/Pdf/Pub%20CP6%2049.pdf" TargetMode="External"/><Relationship Id="rId27" Type="http://schemas.openxmlformats.org/officeDocument/2006/relationships/hyperlink" Target="https://www.manilawater.com/corporate/boracay-water/agos/2022-06-16/boracay-island-water-company-invests-in-marine-life" TargetMode="External"/><Relationship Id="rId400" Type="http://schemas.openxmlformats.org/officeDocument/2006/relationships/hyperlink" Target="https://core.ac.uk/download/pdf/6515223.pdf" TargetMode="External"/><Relationship Id="rId521" Type="http://schemas.openxmlformats.org/officeDocument/2006/relationships/hyperlink" Target="https://mb.com.ph/2022/3/7/artificial-reefs-watch-tower-in-coastal-pangasinan-town-launched" TargetMode="External"/><Relationship Id="rId642" Type="http://schemas.openxmlformats.org/officeDocument/2006/relationships/hyperlink" Target="https://www.zubludiving.com/articles/zublu-insights/roni-ben-aharon-from-atlantis-dive-resorts-and-liveaboards" TargetMode="External"/><Relationship Id="rId29" Type="http://schemas.openxmlformats.org/officeDocument/2006/relationships/hyperlink" Target="https://gadgetsmagazine.com.ph/technology/artificial-reef-dome-deployment-in-boracay" TargetMode="External"/><Relationship Id="rId520" Type="http://schemas.openxmlformats.org/officeDocument/2006/relationships/hyperlink" Target="http://lagawmindanao.blogspot.com/2012/03/zamboanga-del-sur.html" TargetMode="External"/><Relationship Id="rId641" Type="http://schemas.openxmlformats.org/officeDocument/2006/relationships/hyperlink" Target="https://core.ac.uk/download/pdf/6515223.pdf" TargetMode="External"/><Relationship Id="rId640" Type="http://schemas.openxmlformats.org/officeDocument/2006/relationships/hyperlink" Target="https://www.sunstar.com.ph/article/385473/denr-7-plants-1t-artificial-reefs-" TargetMode="External"/><Relationship Id="rId11" Type="http://schemas.openxmlformats.org/officeDocument/2006/relationships/hyperlink" Target="https://kalahi.dswd.gov.ph/press/downloads/category/58-old-iec-materials?download=322:tayo-na-tayo-na-disaster-resiliency-compendium" TargetMode="External"/><Relationship Id="rId10" Type="http://schemas.openxmlformats.org/officeDocument/2006/relationships/hyperlink" Target="https://caraga.bfar.da.gov.ph/wp-content/uploads/2022/12/Annual-Report-2019.pdf" TargetMode="External"/><Relationship Id="rId13" Type="http://schemas.openxmlformats.org/officeDocument/2006/relationships/hyperlink" Target="https://www.panaynews.net/aklan-turns-61/" TargetMode="External"/><Relationship Id="rId12" Type="http://schemas.openxmlformats.org/officeDocument/2006/relationships/hyperlink" Target="http://pubs.iclarm.net/libinfo/Pdf/Pub%20CP6%2049.pdf" TargetMode="External"/><Relationship Id="rId519" Type="http://schemas.openxmlformats.org/officeDocument/2006/relationships/hyperlink" Target="mailto:james.guest@nus.edu.sg" TargetMode="External"/><Relationship Id="rId514" Type="http://schemas.openxmlformats.org/officeDocument/2006/relationships/hyperlink" Target="https://manilastandard.net/?p=198184" TargetMode="External"/><Relationship Id="rId635" Type="http://schemas.openxmlformats.org/officeDocument/2006/relationships/hyperlink" Target="https://core.ac.uk/download/pdf/6515223.pdf" TargetMode="External"/><Relationship Id="rId513" Type="http://schemas.openxmlformats.org/officeDocument/2006/relationships/hyperlink" Target="mailto:jrguest@gmail.com" TargetMode="External"/><Relationship Id="rId634" Type="http://schemas.openxmlformats.org/officeDocument/2006/relationships/hyperlink" Target="https://core.ac.uk/download/pdf/6515223.pdf" TargetMode="External"/><Relationship Id="rId512" Type="http://schemas.openxmlformats.org/officeDocument/2006/relationships/hyperlink" Target="https://link.springer.com/article/10.1007/s00338-013-1114-1" TargetMode="External"/><Relationship Id="rId633" Type="http://schemas.openxmlformats.org/officeDocument/2006/relationships/hyperlink" Target="mailto:shalu002@fiu.edu" TargetMode="External"/><Relationship Id="rId511" Type="http://schemas.openxmlformats.org/officeDocument/2006/relationships/hyperlink" Target="https://www.researchgate.net/publication/223475676_Caging_enhances_post-settlement_survival_of_juveniles_of_the_scleractinian_coral_Acropora_tenuis" TargetMode="External"/><Relationship Id="rId632" Type="http://schemas.openxmlformats.org/officeDocument/2006/relationships/hyperlink" Target="https://piazampenpics.blogspot.com/2012/05/scuba-diving-training-enhances-msu-tawi.html?m=1" TargetMode="External"/><Relationship Id="rId518" Type="http://schemas.openxmlformats.org/officeDocument/2006/relationships/hyperlink" Target="https://www.sciencedirect.com/science/article/abs/pii/S0022098116301873" TargetMode="External"/><Relationship Id="rId639" Type="http://schemas.openxmlformats.org/officeDocument/2006/relationships/hyperlink" Target="https://business.inquirer.net/356210/sustainability-as-the-key-to-resiliency" TargetMode="External"/><Relationship Id="rId517" Type="http://schemas.openxmlformats.org/officeDocument/2006/relationships/hyperlink" Target="https://www.tandfonline.com/doi/abs/10.1080/08920753.2011.600240?journalCode=ucmg20" TargetMode="External"/><Relationship Id="rId638" Type="http://schemas.openxmlformats.org/officeDocument/2006/relationships/hyperlink" Target="https://www.youtube.com/watch?v=X-dAZVSGLok" TargetMode="External"/><Relationship Id="rId516" Type="http://schemas.openxmlformats.org/officeDocument/2006/relationships/hyperlink" Target="https://www.researchgate.net/publication/282149376_Assessing_an_abridged_nursery_phase_for_slow_growing_corals_used_in_coral_restoration" TargetMode="External"/><Relationship Id="rId637" Type="http://schemas.openxmlformats.org/officeDocument/2006/relationships/hyperlink" Target="https://core.ac.uk/download/pdf/6515223.pdf" TargetMode="External"/><Relationship Id="rId515" Type="http://schemas.openxmlformats.org/officeDocument/2006/relationships/hyperlink" Target="mailto:gidi.levi@gmail.com" TargetMode="External"/><Relationship Id="rId636" Type="http://schemas.openxmlformats.org/officeDocument/2006/relationships/hyperlink" Target="https://www.sunstar.com.ph/article/385473/denr-7-plants-1t-artificial-reefs-" TargetMode="External"/><Relationship Id="rId15" Type="http://schemas.openxmlformats.org/officeDocument/2006/relationships/hyperlink" Target="https://www.ircwash.org/sites/default/files/802-PH90-8920.pdf" TargetMode="External"/><Relationship Id="rId14" Type="http://schemas.openxmlformats.org/officeDocument/2006/relationships/hyperlink" Target="https://www.manilawater.com/corporate/boracay-water/agos/2022-06-16/boracay-island-water-company-invests-in-marine-life" TargetMode="External"/><Relationship Id="rId17" Type="http://schemas.openxmlformats.org/officeDocument/2006/relationships/hyperlink" Target="http://pubs.iclarm.net/libinfo/Pdf/Pub%20CP6%2049.pdf" TargetMode="External"/><Relationship Id="rId16" Type="http://schemas.openxmlformats.org/officeDocument/2006/relationships/hyperlink" Target="https://kalahi.dswd.gov.ph/press/downloads/category/58-old-iec-materials?download=322:tayo-na-tayo-na-disaster-resiliency-compendium" TargetMode="External"/><Relationship Id="rId19" Type="http://schemas.openxmlformats.org/officeDocument/2006/relationships/hyperlink" Target="https://gadgetsmagazine.com.ph/technology/artificial-reef-dome-deployment-in-boracay" TargetMode="External"/><Relationship Id="rId510" Type="http://schemas.openxmlformats.org/officeDocument/2006/relationships/hyperlink" Target="https://academic.oup.com/icesjms/article/71/7/1866/664250" TargetMode="External"/><Relationship Id="rId631" Type="http://schemas.openxmlformats.org/officeDocument/2006/relationships/hyperlink" Target="mailto:shalu002@fiu.edu" TargetMode="External"/><Relationship Id="rId18" Type="http://schemas.openxmlformats.org/officeDocument/2006/relationships/hyperlink" Target="https://www.panaynews.net/aklan-turns-61/" TargetMode="External"/><Relationship Id="rId630" Type="http://schemas.openxmlformats.org/officeDocument/2006/relationships/hyperlink" Target="https://map.rotary.org/en/project/pages/project_detail.aspx?guid=F5D90E54-B5D2-4032-B523-24B3A8EDD9A4" TargetMode="External"/><Relationship Id="rId84" Type="http://schemas.openxmlformats.org/officeDocument/2006/relationships/hyperlink" Target="https://www.panaynews.net/smpc-turns-over-40-fiberglass-bancas-for-fishing-livelihood/" TargetMode="External"/><Relationship Id="rId83" Type="http://schemas.openxmlformats.org/officeDocument/2006/relationships/hyperlink" Target="http://pubs.iclarm.net/libinfo/Pdf/Pub%20CP6%2049.pdf" TargetMode="External"/><Relationship Id="rId86" Type="http://schemas.openxmlformats.org/officeDocument/2006/relationships/hyperlink" Target="https://www.jgsummit.com.ph/impact/jgspg-s-artificial-reef-project-continues-to-attract-marine-life-20190629" TargetMode="External"/><Relationship Id="rId85" Type="http://schemas.openxmlformats.org/officeDocument/2006/relationships/hyperlink" Target="https://www.jgsummit.com.ph/impact/jgspg-s-artificial-reef-project-continues-to-attract-marine-life-20190629" TargetMode="External"/><Relationship Id="rId88" Type="http://schemas.openxmlformats.org/officeDocument/2006/relationships/hyperlink" Target="http://pubs.iclarm.net/libinfo/Pdf/Pub%20CP6%2049.pdf" TargetMode="External"/><Relationship Id="rId87" Type="http://schemas.openxmlformats.org/officeDocument/2006/relationships/hyperlink" Target="https://www.portulano.com/activities" TargetMode="External"/><Relationship Id="rId89" Type="http://schemas.openxmlformats.org/officeDocument/2006/relationships/hyperlink" Target="http://www.coralmovement.org/" TargetMode="External"/><Relationship Id="rId80" Type="http://schemas.openxmlformats.org/officeDocument/2006/relationships/hyperlink" Target="https://aquadocs.org/bitstream/handle/1834/40478/GomezED2006.pdf?sequence=1&amp;isAllowed=y" TargetMode="External"/><Relationship Id="rId82" Type="http://schemas.openxmlformats.org/officeDocument/2006/relationships/hyperlink" Target="https://1bataan.com/morong-town-soon-to-be-a-diving-spot/" TargetMode="External"/><Relationship Id="rId81" Type="http://schemas.openxmlformats.org/officeDocument/2006/relationships/hyperlink" Target="http://pubs.iclarm.net/libinfo/Pdf/Pub%20CP6%2049.pdf" TargetMode="External"/><Relationship Id="rId73" Type="http://schemas.openxmlformats.org/officeDocument/2006/relationships/hyperlink" Target="https://punto.com.ph/artificial-reef-itinanim-sa-subic-bay/" TargetMode="External"/><Relationship Id="rId72" Type="http://schemas.openxmlformats.org/officeDocument/2006/relationships/hyperlink" Target="http://pubs.iclarm.net/libinfo/Pdf/Pub%20CP6%2049.pdf" TargetMode="External"/><Relationship Id="rId75" Type="http://schemas.openxmlformats.org/officeDocument/2006/relationships/hyperlink" Target="https://www.sciencedirect.com/science/article/abs/pii/S0022098102000515" TargetMode="External"/><Relationship Id="rId74" Type="http://schemas.openxmlformats.org/officeDocument/2006/relationships/hyperlink" Target="https://1bataan.com/morong-town-soon-to-be-a-diving-spot/" TargetMode="External"/><Relationship Id="rId77" Type="http://schemas.openxmlformats.org/officeDocument/2006/relationships/hyperlink" Target="https://mobile.facebook.com/playalacaletabataan/posts/3079682972247006/?_rdc=1&amp;_rdr" TargetMode="External"/><Relationship Id="rId76" Type="http://schemas.openxmlformats.org/officeDocument/2006/relationships/hyperlink" Target="https://1bataan.com/morong-town-soon-to-be-a-diving-spot/" TargetMode="External"/><Relationship Id="rId79" Type="http://schemas.openxmlformats.org/officeDocument/2006/relationships/hyperlink" Target="http://pemsea.org/sites/default/files/SOC%20Bataan.pdf" TargetMode="External"/><Relationship Id="rId78" Type="http://schemas.openxmlformats.org/officeDocument/2006/relationships/hyperlink" Target="http://oneocean.org/download/db_files/directory_of_crm_destinations2Ed.pdf" TargetMode="External"/><Relationship Id="rId71" Type="http://schemas.openxmlformats.org/officeDocument/2006/relationships/hyperlink" Target="http://pemsea.org/sites/default/files/SOC%20Bataan.pdf" TargetMode="External"/><Relationship Id="rId70" Type="http://schemas.openxmlformats.org/officeDocument/2006/relationships/hyperlink" Target="http://pubs.iclarm.net/libinfo/Pdf/Pub%20CP6%2049.pdf" TargetMode="External"/><Relationship Id="rId62" Type="http://schemas.openxmlformats.org/officeDocument/2006/relationships/hyperlink" Target="https://amiananbalitangayon.com/la-union-sustains-living-shorelines-deploys-artificial-reefs/" TargetMode="External"/><Relationship Id="rId61" Type="http://schemas.openxmlformats.org/officeDocument/2006/relationships/hyperlink" Target="https://pia.gov.ph/news/2022/07/18/jci-manila-installs-artificial-reefs-in-la-union" TargetMode="External"/><Relationship Id="rId64" Type="http://schemas.openxmlformats.org/officeDocument/2006/relationships/hyperlink" Target="https://www.bfar.da.gov.ph/wp-content/uploads/2022/05/FishCORAL-Project-Annual-Report-2020.pdf" TargetMode="External"/><Relationship Id="rId63" Type="http://schemas.openxmlformats.org/officeDocument/2006/relationships/hyperlink" Target="http://pubs.iclarm.net/libinfo/Pdf/Pub%20CP6%2049.pdf" TargetMode="External"/><Relationship Id="rId66" Type="http://schemas.openxmlformats.org/officeDocument/2006/relationships/hyperlink" Target="https://www.bfar.da.gov.ph/wp-content/uploads/2022/05/FishCORAL-Project-Annual-Report-2020.pdf" TargetMode="External"/><Relationship Id="rId65" Type="http://schemas.openxmlformats.org/officeDocument/2006/relationships/hyperlink" Target="http://pubs.iclarm.net/libinfo/Pdf/Pub%20CP6%2049.pdf" TargetMode="External"/><Relationship Id="rId68" Type="http://schemas.openxmlformats.org/officeDocument/2006/relationships/hyperlink" Target="https://www.pna.gov.ph/articles/1136282" TargetMode="External"/><Relationship Id="rId67" Type="http://schemas.openxmlformats.org/officeDocument/2006/relationships/hyperlink" Target="https://www.bfar.da.gov.ph/wp-content/uploads/2022/05/FishCORAL-Project-Annual-Report-2020.pdf" TargetMode="External"/><Relationship Id="rId609" Type="http://schemas.openxmlformats.org/officeDocument/2006/relationships/hyperlink" Target="https://www.pna.gov.ph/articles/1067574" TargetMode="External"/><Relationship Id="rId608" Type="http://schemas.openxmlformats.org/officeDocument/2006/relationships/hyperlink" Target="https://www.visitdelcarmen.com/del-carmen-artificial-coral-reefs/" TargetMode="External"/><Relationship Id="rId607" Type="http://schemas.openxmlformats.org/officeDocument/2006/relationships/hyperlink" Target="https://www.pna.gov.ph/articles/1067574" TargetMode="External"/><Relationship Id="rId60" Type="http://schemas.openxmlformats.org/officeDocument/2006/relationships/hyperlink" Target="https://www.panaynews.net/smpc-turns-over-40-fiberglass-bancas-for-fishing-livelihood/" TargetMode="External"/><Relationship Id="rId602" Type="http://schemas.openxmlformats.org/officeDocument/2006/relationships/hyperlink" Target="https://www.philstar.com/other-sections/starweek-magazine/2001/06/17/127209/butuan-waters-live-again" TargetMode="External"/><Relationship Id="rId601" Type="http://schemas.openxmlformats.org/officeDocument/2006/relationships/hyperlink" Target="https://web.facebook.com/media/set/?set=a.1831074026966655&amp;type=3" TargetMode="External"/><Relationship Id="rId600" Type="http://schemas.openxmlformats.org/officeDocument/2006/relationships/hyperlink" Target="https://web.facebook.com/butuancitypioofficial/posts/35-artificial-reefs-gi-instalar-sa-fish-sanctuary-sa-brgy-masao-sa-butuannagtamb/3347562868625222/?_rdc=1&amp;_rdr" TargetMode="External"/><Relationship Id="rId606" Type="http://schemas.openxmlformats.org/officeDocument/2006/relationships/hyperlink" Target="https://www.philippinenickel.org/news-and-updates/press-release/pgmcs-coral-transplantation-in-lambason-millari-island-marine-sanctuary/" TargetMode="External"/><Relationship Id="rId605" Type="http://schemas.openxmlformats.org/officeDocument/2006/relationships/hyperlink" Target="https://manilastandard.net/?p=198184" TargetMode="External"/><Relationship Id="rId604" Type="http://schemas.openxmlformats.org/officeDocument/2006/relationships/hyperlink" Target="https://caraga.bfar.da.gov.ph/wp-content/uploads/2022/12/Annual-Report-2019.pdf" TargetMode="External"/><Relationship Id="rId603" Type="http://schemas.openxmlformats.org/officeDocument/2006/relationships/hyperlink" Target="https://www.facebook.com/media/set/?vanity=154004468006961&amp;set=a.7450109991729669" TargetMode="External"/><Relationship Id="rId69" Type="http://schemas.openxmlformats.org/officeDocument/2006/relationships/hyperlink" Target="http://pubs.iclarm.net/libinfo/Pdf/Pub%20CP6%2049.pdf" TargetMode="External"/><Relationship Id="rId51" Type="http://schemas.openxmlformats.org/officeDocument/2006/relationships/hyperlink" Target="http://pubs.iclarm.net/libinfo/Pdf/Pub%20CP6%2049.pdf" TargetMode="External"/><Relationship Id="rId50" Type="http://schemas.openxmlformats.org/officeDocument/2006/relationships/hyperlink" Target="https://newsinfo.inquirer.net/460845/helping-coral-reefs-with-beads-of-faith" TargetMode="External"/><Relationship Id="rId53" Type="http://schemas.openxmlformats.org/officeDocument/2006/relationships/hyperlink" Target="https://m.facebook.com/permalink.php?id=336893718203&amp;story_fbid=10157795137738204" TargetMode="External"/><Relationship Id="rId52" Type="http://schemas.openxmlformats.org/officeDocument/2006/relationships/hyperlink" Target="https://kochi.repo.nii.ac.jp/?action=repository_action_common_download&amp;item_id=8640&amp;item_no=1&amp;attribute_id=17&amp;file_no=1" TargetMode="External"/><Relationship Id="rId55" Type="http://schemas.openxmlformats.org/officeDocument/2006/relationships/hyperlink" Target="http://pubs.iclarm.net/libinfo/Pdf/Pub%20CP6%2049.pdf" TargetMode="External"/><Relationship Id="rId54" Type="http://schemas.openxmlformats.org/officeDocument/2006/relationships/hyperlink" Target="https://www.pna.gov.ph/articles/1195285" TargetMode="External"/><Relationship Id="rId57" Type="http://schemas.openxmlformats.org/officeDocument/2006/relationships/hyperlink" Target="https://web.facebook.com/watch/?v=220661800165072" TargetMode="External"/><Relationship Id="rId56" Type="http://schemas.openxmlformats.org/officeDocument/2006/relationships/hyperlink" Target="http://pubs.iclarm.net/libinfo/Pdf/Pub%20CP6%2049.pdf" TargetMode="External"/><Relationship Id="rId59" Type="http://schemas.openxmlformats.org/officeDocument/2006/relationships/hyperlink" Target="https://free.facebook.com/media/set/?set=a.1575816015988174.1073741860.1418721221697655&amp;type=3&amp;_rdc=1&amp;_rdr" TargetMode="External"/><Relationship Id="rId58" Type="http://schemas.openxmlformats.org/officeDocument/2006/relationships/hyperlink" Target="https://web.facebook.com/WowBarbaza/posts/1465824566934101/?locale=hi_IN&amp;paipv=0&amp;eav=AfZGOrjdBSpfnDByXcj_hdkMBUl2YwXgKC2OTKkQpaMRz9lV5OLoqc7rel_f4h4K1EI&amp;_rdc=1&amp;_rdr" TargetMode="External"/><Relationship Id="rId590" Type="http://schemas.openxmlformats.org/officeDocument/2006/relationships/hyperlink" Target="http://www.cebu-philippines.net/marine-life-in-southern-leyte.html" TargetMode="External"/><Relationship Id="rId107" Type="http://schemas.openxmlformats.org/officeDocument/2006/relationships/hyperlink" Target="http://pusod.org/pusod/building-artificial-habitats-in-barangay-calayo/" TargetMode="External"/><Relationship Id="rId228" Type="http://schemas.openxmlformats.org/officeDocument/2006/relationships/hyperlink" Target="https://www.ircwash.org/sites/default/files/802-PH90-8920.pdf" TargetMode="External"/><Relationship Id="rId34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06" Type="http://schemas.openxmlformats.org/officeDocument/2006/relationships/hyperlink" Target="https://manilaustimes.wordpress.com/2012/05/17/rotary-club-launches-adopt-a-coral-in-nasugbu/" TargetMode="External"/><Relationship Id="rId227" Type="http://schemas.openxmlformats.org/officeDocument/2006/relationships/hyperlink" Target="https://philippinemorningpost.com/underwater-experience-in-samal-island/" TargetMode="External"/><Relationship Id="rId348" Type="http://schemas.openxmlformats.org/officeDocument/2006/relationships/hyperlink" Target="https://web.facebook.com/WowBarbaza/posts/1465824566934101/?locale=hi_IN&amp;paipv=0&amp;eav=AfZGOrjdBSpfnDByXcj_hdkMBUl2YwXgKC2OTKkQpaMRz9lV5OLoqc7rel_f4h4K1EI&amp;_rdc=1&amp;_rdr" TargetMode="External"/><Relationship Id="rId469" Type="http://schemas.openxmlformats.org/officeDocument/2006/relationships/hyperlink" Target="https://www.sciencedirect.com/science/article/abs/pii/S0022098198000410?via%3Dihub" TargetMode="External"/><Relationship Id="rId105" Type="http://schemas.openxmlformats.org/officeDocument/2006/relationships/hyperlink" Target="https://www.bworldonline.com/weekender/environment/2016/07/01/5884/coral-laboratory-grows-in-batangas/" TargetMode="External"/><Relationship Id="rId226" Type="http://schemas.openxmlformats.org/officeDocument/2006/relationships/hyperlink" Target="https://www.sunstar.com.ph/article/1837913/davao/local-news/denr-rehabilitates-3-hectares-of-coral-reef" TargetMode="External"/><Relationship Id="rId347" Type="http://schemas.openxmlformats.org/officeDocument/2006/relationships/hyperlink" Target="http://www.pmocdo.ppa.com.ph/pmo-mo-c-expands-initiatives-for-environment-conservation/" TargetMode="External"/><Relationship Id="rId468" Type="http://schemas.openxmlformats.org/officeDocument/2006/relationships/hyperlink" Target="https://www.marineconservationphilippines.org/wp-content/uploads/2018/02/an-evaluation-of-coral-reef-restoration-methods.pdf" TargetMode="External"/><Relationship Id="rId589" Type="http://schemas.openxmlformats.org/officeDocument/2006/relationships/hyperlink" Target="https://www.philstar.com/other-sections/the-good-news/2015/11/23/1524749/saranganis-kamanga-marine-eco-tourism-park-and-sanctuary-cited-one-philippines-best" TargetMode="External"/><Relationship Id="rId104" Type="http://schemas.openxmlformats.org/officeDocument/2006/relationships/hyperlink" Target="http://pusod.org/pusod/artificial-habitat-units-fabrication/" TargetMode="External"/><Relationship Id="rId225" Type="http://schemas.openxmlformats.org/officeDocument/2006/relationships/hyperlink" Target="http://pusod.org/pusod/building-artificial-habitats-in-barangay-calayo/" TargetMode="External"/><Relationship Id="rId346" Type="http://schemas.openxmlformats.org/officeDocument/2006/relationships/hyperlink" Target="https://web.facebook.com/watch/?v=220661800165072" TargetMode="External"/><Relationship Id="rId467" Type="http://schemas.openxmlformats.org/officeDocument/2006/relationships/hyperlink" Target="https://onlinelibrary.wiley.com/doi/epdf/10.1111/rec.13054" TargetMode="External"/><Relationship Id="rId588" Type="http://schemas.openxmlformats.org/officeDocument/2006/relationships/hyperlink" Target="mailto:arpee55@yahoo.com" TargetMode="External"/><Relationship Id="rId109" Type="http://schemas.openxmlformats.org/officeDocument/2006/relationships/hyperlink" Target="https://www.shearwater.com/monthly-blog-posts/paradiso-rito-and-redeem-the-reef-project-a-glimmer-of-hope-for-verde-island-passage/" TargetMode="External"/><Relationship Id="rId108" Type="http://schemas.openxmlformats.org/officeDocument/2006/relationships/hyperlink" Target="https://www.marineconservationphilippines.org/wp-content/uploads/2018/02/an-evaluation-of-coral-reef-restoration-methods.pdf" TargetMode="External"/><Relationship Id="rId229" Type="http://schemas.openxmlformats.org/officeDocument/2006/relationships/hyperlink" Target="https://mobile.facebook.com/watch/?v=381675062720602&amp;paipv=0&amp;eav=AfYwcIL9NxwTN4aCbErewJy7tTD3nrufxoQ6KHefWVVRdYsV3q7dl44iSGOHSXvUCgs&amp;_rdr" TargetMode="External"/><Relationship Id="rId220" Type="http://schemas.openxmlformats.org/officeDocument/2006/relationships/hyperlink" Target="https://www.bworldonline.com/weekender/environment/2016/07/01/5884/coral-laboratory-grows-in-batangas/" TargetMode="External"/><Relationship Id="rId341" Type="http://schemas.openxmlformats.org/officeDocument/2006/relationships/hyperlink" Target="https://core.ac.uk/download/pdf/6515223.pdf" TargetMode="External"/><Relationship Id="rId462" Type="http://schemas.openxmlformats.org/officeDocument/2006/relationships/hyperlink" Target="https://cng-cdn.oxfam.org/philippines.oxfam.org/s3fs-public/file_attachments/Oxfam%20sa%20Pilipinas%20Annual%20Report%202016.pdf" TargetMode="External"/><Relationship Id="rId583" Type="http://schemas.openxmlformats.org/officeDocument/2006/relationships/hyperlink" Target="https://www.pna.gov.ph/articles/1038701" TargetMode="External"/><Relationship Id="rId340" Type="http://schemas.openxmlformats.org/officeDocument/2006/relationships/hyperlink" Target="https://www.panaynews.net/aklan-turns-61/" TargetMode="External"/><Relationship Id="rId461" Type="http://schemas.openxmlformats.org/officeDocument/2006/relationships/hyperlink" Target="https://www.researchgate.net/publication/356725969_Increased_Coral_Larval_Supply_Enhances_Recruitment_for_Coral_and_Fish_Habitat_Restoration" TargetMode="External"/><Relationship Id="rId582" Type="http://schemas.openxmlformats.org/officeDocument/2006/relationships/hyperlink" Target="mailto:dvgensan@yahoo.com.ph" TargetMode="External"/><Relationship Id="rId460" Type="http://schemas.openxmlformats.org/officeDocument/2006/relationships/hyperlink" Target="https://journals.upd.edu.ph/index.php/sciencediliman/article/download/6423/5632" TargetMode="External"/><Relationship Id="rId581" Type="http://schemas.openxmlformats.org/officeDocument/2006/relationships/hyperlink" Target="https://35.229.131.110/node/60" TargetMode="External"/><Relationship Id="rId580" Type="http://schemas.openxmlformats.org/officeDocument/2006/relationships/hyperlink" Target="https://sgp.undp.org/spacial-itemid-projects-landing-page/spacial-itemid-project-search-results/spacial-itemid-project-detailpage?view=projectdetail&amp;id=3748" TargetMode="External"/><Relationship Id="rId103" Type="http://schemas.openxmlformats.org/officeDocument/2006/relationships/hyperlink" Target="https://www.shearwater.com/monthly-blog-posts/paradiso-rito-and-redeem-the-reef-project-a-glimmer-of-hope-for-verde-island-passage/" TargetMode="External"/><Relationship Id="rId224" Type="http://schemas.openxmlformats.org/officeDocument/2006/relationships/hyperlink" Target="https://savethephilippinecoralreefs.wordpress.com/page/10/?controllername=search&amp;action=search&amp;channel=world&amp;search=1&amp;inlinelink=1&amp;query=-paul%20fong-" TargetMode="External"/><Relationship Id="rId345" Type="http://schemas.openxmlformats.org/officeDocument/2006/relationships/hyperlink" Target="https://www.ustp.edu.ph/bsmb-students-install-artificial-coral-reefs-in-panaon-coastal-waters/" TargetMode="External"/><Relationship Id="rId466" Type="http://schemas.openxmlformats.org/officeDocument/2006/relationships/hyperlink" Target="https://www.researchgate.net/publication/320629634_Enhanced_larval_supply_and_recruitment_can_replenish_reef_corals_on_degraded_reefs" TargetMode="External"/><Relationship Id="rId587" Type="http://schemas.openxmlformats.org/officeDocument/2006/relationships/hyperlink" Target="mailto:dvgensan@yahoo.com.ph" TargetMode="External"/><Relationship Id="rId102" Type="http://schemas.openxmlformats.org/officeDocument/2006/relationships/hyperlink" Target="https://www.thescubanews.com/2014/08/06/reefbud-technology-downsized-to-broaden-appeal/" TargetMode="External"/><Relationship Id="rId223" Type="http://schemas.openxmlformats.org/officeDocument/2006/relationships/hyperlink" Target="https://manilaustimes.wordpress.com/2012/05/17/rotary-club-launches-adopt-a-coral-in-nasugbu/" TargetMode="External"/><Relationship Id="rId344"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65"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586" Type="http://schemas.openxmlformats.org/officeDocument/2006/relationships/hyperlink" Target="https://www.gmanetwork.com/news/topstories/regions/47043/sun-star-3-500-artificial-reef-domes-set-up-in-sarangani-bay/story/" TargetMode="External"/><Relationship Id="rId101" Type="http://schemas.openxmlformats.org/officeDocument/2006/relationships/hyperlink" Target="https://onlinelibrary.wiley.com/doi/epdf/10.1111/rec.13054" TargetMode="External"/><Relationship Id="rId222" Type="http://schemas.openxmlformats.org/officeDocument/2006/relationships/hyperlink" Target="https://philippinemorningpost.com/underwater-experience-in-samal-island/" TargetMode="External"/><Relationship Id="rId343" Type="http://schemas.openxmlformats.org/officeDocument/2006/relationships/hyperlink" Target="https://www.panaynews.net/aklan-turns-61/" TargetMode="External"/><Relationship Id="rId464" Type="http://schemas.openxmlformats.org/officeDocument/2006/relationships/hyperlink" Target="http://oneocean.org/download/db_files/directory_of_crm_destinations2Ed.pdf" TargetMode="External"/><Relationship Id="rId585" Type="http://schemas.openxmlformats.org/officeDocument/2006/relationships/hyperlink" Target="https://www.emecs.or.jp/en/wp-content/uploads/2023/03/129.pdf" TargetMode="External"/><Relationship Id="rId100" Type="http://schemas.openxmlformats.org/officeDocument/2006/relationships/hyperlink" Target="https://www.researchgate.net/publication/333481989_Performance_and_cost-effectiveness_of_sexually_produced_Acropora_granulosa_juveniles_compared_with_asexually_generated_coral_fragments_in_restoring_degraded_reef_areas" TargetMode="External"/><Relationship Id="rId221" Type="http://schemas.openxmlformats.org/officeDocument/2006/relationships/hyperlink" Target="https://web.facebook.com/CMOUEM2018/posts/24-august-19-the-naval-forces-eastern-mindanao-nfem-civil-military-operations-un/1349837585154833/?_rdc=1&amp;_rdr" TargetMode="External"/><Relationship Id="rId342"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63" Type="http://schemas.openxmlformats.org/officeDocument/2006/relationships/hyperlink" Target="https://www.sciencedirect.com/science/article/abs/pii/S0044848619332533" TargetMode="External"/><Relationship Id="rId584" Type="http://schemas.openxmlformats.org/officeDocument/2006/relationships/hyperlink" Target="https://www.pna.gov.ph/articles/1116952" TargetMode="External"/><Relationship Id="rId217" Type="http://schemas.openxmlformats.org/officeDocument/2006/relationships/hyperlink" Target="https://www.shearwater.com/monthly-blog-posts/paradiso-rito-and-redeem-the-reef-project-a-glimmer-of-hope-for-verde-island-passage/" TargetMode="External"/><Relationship Id="rId338" Type="http://schemas.openxmlformats.org/officeDocument/2006/relationships/hyperlink" Target="https://www.nzdl.org/cgi-bin/library?e=d-00000-00---off-0hdl--00-0----0-10-0---0---0direct-10---4-------0-1l--11-en-50---20-about---00-0-1-00-0--4----0-0-11-10-0utfZz-8-10&amp;cl=CL2.17.2&amp;d=HASHfc8d613128f6e253a7fd93.6&amp;gc=1" TargetMode="External"/><Relationship Id="rId459" Type="http://schemas.openxmlformats.org/officeDocument/2006/relationships/hyperlink" Target="https://www.researchgate.net/publication/320629634_Enhanced_larval_supply_and_recruitment_can_replenish_reef_corals_on_degraded_reefs" TargetMode="External"/><Relationship Id="rId216" Type="http://schemas.openxmlformats.org/officeDocument/2006/relationships/hyperlink" Target="https://www.thescubanews.com/2014/08/06/reefbud-technology-downsized-to-broaden-appeal/" TargetMode="External"/><Relationship Id="rId337" Type="http://schemas.openxmlformats.org/officeDocument/2006/relationships/hyperlink" Target="https://www.pcaarrd.dost.gov.ph/index.php/quick-information-dispatch-qid-articles/restoring-the-country-s-coral-reefs-through-filipinnovation" TargetMode="External"/><Relationship Id="rId458" Type="http://schemas.openxmlformats.org/officeDocument/2006/relationships/hyperlink" Target="https://www.tandfonline.com/doi/abs/10.1080/17451000.2012.682582" TargetMode="External"/><Relationship Id="rId579" Type="http://schemas.openxmlformats.org/officeDocument/2006/relationships/hyperlink" Target="mailto:dvgensan@yahoo.com.ph" TargetMode="External"/><Relationship Id="rId215" Type="http://schemas.openxmlformats.org/officeDocument/2006/relationships/hyperlink" Target="http://allhonestreviews.blogspot.com/2012/08/launching-of-jci-manila-sea-of-life.html" TargetMode="External"/><Relationship Id="rId336" Type="http://schemas.openxmlformats.org/officeDocument/2006/relationships/hyperlink" Target="https://kochi.repo.nii.ac.jp/?action=repository_action_common_download&amp;item_id=8640&amp;item_no=1&amp;attribute_id=17&amp;file_no=1" TargetMode="External"/><Relationship Id="rId457" Type="http://schemas.openxmlformats.org/officeDocument/2006/relationships/hyperlink" Target="https://aquadocs.org/bitstream/handle/1834/40478/GomezED2006.pdf?sequence=1&amp;isAllowed=y" TargetMode="External"/><Relationship Id="rId578" Type="http://schemas.openxmlformats.org/officeDocument/2006/relationships/hyperlink" Target="https://www.gmanetwork.com/news/topstories/regions/47043/sun-star-3-500-artificial-reef-domes-set-up-in-sarangani-bay/story/" TargetMode="External"/><Relationship Id="rId214" Type="http://schemas.openxmlformats.org/officeDocument/2006/relationships/hyperlink" Target="https://web.facebook.com/story.php?story_fbid=551153050380292&amp;id=100064568057133&amp;_rdc=1&amp;_rdr" TargetMode="External"/><Relationship Id="rId335" Type="http://schemas.openxmlformats.org/officeDocument/2006/relationships/hyperlink" Target="http://www.reefball.org/album/philippines/boracayreef/index.html" TargetMode="External"/><Relationship Id="rId456" Type="http://schemas.openxmlformats.org/officeDocument/2006/relationships/hyperlink" Target="https://www.sunstar.com.ph/article/385473/denr-7-plants-1t-artificial-reefs-" TargetMode="External"/><Relationship Id="rId577" Type="http://schemas.openxmlformats.org/officeDocument/2006/relationships/hyperlink" Target="https://www.pna.gov.ph/articles/1038701" TargetMode="External"/><Relationship Id="rId219" Type="http://schemas.openxmlformats.org/officeDocument/2006/relationships/hyperlink" Target="http://allhonestreviews.blogspot.com/2012/08/launching-of-jci-manila-sea-of-life.html" TargetMode="External"/><Relationship Id="rId218" Type="http://schemas.openxmlformats.org/officeDocument/2006/relationships/hyperlink" Target="https://savethephilippinecoralreefs.wordpress.com/page/10/?controllername=search&amp;action=search&amp;channel=world&amp;search=1&amp;inlinelink=1&amp;query=-paul%20fong-" TargetMode="External"/><Relationship Id="rId339" Type="http://schemas.openxmlformats.org/officeDocument/2006/relationships/hyperlink" Target="https://core.ac.uk/download/pdf/6515223.pdf" TargetMode="External"/><Relationship Id="rId330" Type="http://schemas.openxmlformats.org/officeDocument/2006/relationships/hyperlink" Target="https://www.manilawater.com/corporate/boracay-water/agos/2022-06-16/boracay-island-water-company-invests-in-marine-life" TargetMode="External"/><Relationship Id="rId451" Type="http://schemas.openxmlformats.org/officeDocument/2006/relationships/hyperlink" Target="https://aquadocs.org/bitstream/handle/1834/40478/GomezED2006.pdf?sequence=1&amp;isAllowed=y" TargetMode="External"/><Relationship Id="rId572" Type="http://schemas.openxmlformats.org/officeDocument/2006/relationships/hyperlink" Target="https://www.sunstar.com.ph/article/385473/denr-7-plants-1t-artificial-reefs-" TargetMode="External"/><Relationship Id="rId450" Type="http://schemas.openxmlformats.org/officeDocument/2006/relationships/hyperlink" Target="https://www.sciencedirect.com/science/article/abs/pii/S0022098102000515" TargetMode="External"/><Relationship Id="rId571" Type="http://schemas.openxmlformats.org/officeDocument/2006/relationships/hyperlink" Target="https://www.youtube.com/watch?v=6AfF_6TG2jE" TargetMode="External"/><Relationship Id="rId570" Type="http://schemas.openxmlformats.org/officeDocument/2006/relationships/hyperlink" Target="https://clafi.org/our_work_categories/environment-protection-and-conservation-projects/" TargetMode="External"/><Relationship Id="rId213" Type="http://schemas.openxmlformats.org/officeDocument/2006/relationships/hyperlink" Target="https://r11.denr.gov.ph/index.php/news-events/regional-releases" TargetMode="External"/><Relationship Id="rId334" Type="http://schemas.openxmlformats.org/officeDocument/2006/relationships/hyperlink" Target="https://kochi.repo.nii.ac.jp/?action=repository_action_common_download&amp;item_id=8640&amp;item_no=1&amp;attribute_id=17&amp;file_no=1" TargetMode="External"/><Relationship Id="rId455" Type="http://schemas.openxmlformats.org/officeDocument/2006/relationships/hyperlink" Target="http://pubs.iclarm.net/libinfo/Pdf/Pub%20CP6%2049.pdf" TargetMode="External"/><Relationship Id="rId576" Type="http://schemas.openxmlformats.org/officeDocument/2006/relationships/hyperlink" Target="https://web.facebook.com/story.php?story_fbid=551153050380292&amp;id=100064568057133&amp;_rdc=1&amp;_rdr" TargetMode="External"/><Relationship Id="rId212" Type="http://schemas.openxmlformats.org/officeDocument/2006/relationships/hyperlink" Target="https://www.sunstar.com.ph/article/385473/denr-7-plants-1t-artificial-reefs-" TargetMode="External"/><Relationship Id="rId333" Type="http://schemas.openxmlformats.org/officeDocument/2006/relationships/hyperlink" Target="https://gadgetsmagazine.com.ph/technology/artificial-reef-dome-deployment-in-boracay" TargetMode="External"/><Relationship Id="rId454" Type="http://schemas.openxmlformats.org/officeDocument/2006/relationships/hyperlink" Target="https://aquadocs.org/bitstream/handle/1834/40478/GomezED2006.pdf?sequence=1&amp;isAllowed=y" TargetMode="External"/><Relationship Id="rId575" Type="http://schemas.openxmlformats.org/officeDocument/2006/relationships/hyperlink" Target="http://oneocean.org/about_crmp/98search.html" TargetMode="External"/><Relationship Id="rId211" Type="http://schemas.openxmlformats.org/officeDocument/2006/relationships/hyperlink" Target="https://www.sentineltimes.net/2022/09/artificial-coral-reefs-in-town-of-lobo.html" TargetMode="External"/><Relationship Id="rId332" Type="http://schemas.openxmlformats.org/officeDocument/2006/relationships/hyperlink" Target="http://www.pemsea.org/sites/default/files/tc-v11n1.pdf" TargetMode="External"/><Relationship Id="rId453" Type="http://schemas.openxmlformats.org/officeDocument/2006/relationships/hyperlink" Target="http://pubs.iclarm.net/libinfo/Pdf/Pub%20CP6%2049.pdf" TargetMode="External"/><Relationship Id="rId574" Type="http://schemas.openxmlformats.org/officeDocument/2006/relationships/hyperlink" Target="http://oneocean.org/download/db_files/directory_of_crm_destinations2Ed.pdf" TargetMode="External"/><Relationship Id="rId210" Type="http://schemas.openxmlformats.org/officeDocument/2006/relationships/hyperlink" Target="https://aquadocs.org/bitstream/handle/1834/40478/GomezED2006.pdf?sequence=1&amp;isAllowed=y" TargetMode="External"/><Relationship Id="rId331" Type="http://schemas.openxmlformats.org/officeDocument/2006/relationships/hyperlink" Target="https://gadgetsmagazine.com.ph/technology/artificial-reef-dome-deployment-in-boracay" TargetMode="External"/><Relationship Id="rId452" Type="http://schemas.openxmlformats.org/officeDocument/2006/relationships/hyperlink" Target="https://www.researchgate.net/publication/305770156_Coral_reef_resource_management_in_the_Philippines_-_with_focus_on_marine_protected_areas_as_a_management_tool" TargetMode="External"/><Relationship Id="rId573" Type="http://schemas.openxmlformats.org/officeDocument/2006/relationships/hyperlink" Target="https://www.sunstar.com.ph/article/385473/denr-7-plants-1t-artificial-reefs-" TargetMode="External"/><Relationship Id="rId370" Type="http://schemas.openxmlformats.org/officeDocument/2006/relationships/hyperlink" Target="https://www.adb.org/sites/default/files/publication/29878/kalahi-cidss-project-philippines.pdf" TargetMode="External"/><Relationship Id="rId491" Type="http://schemas.openxmlformats.org/officeDocument/2006/relationships/hyperlink" Target="mailto:lishaish@yahoo.com" TargetMode="External"/><Relationship Id="rId490" Type="http://schemas.openxmlformats.org/officeDocument/2006/relationships/hyperlink" Target="https://www.sciencedirect.com/science/article/abs/pii/S002209810800066X?via%3Dihub" TargetMode="External"/><Relationship Id="rId129" Type="http://schemas.openxmlformats.org/officeDocument/2006/relationships/hyperlink" Target="mailto:lishaish@yahoo.com" TargetMode="External"/><Relationship Id="rId128" Type="http://schemas.openxmlformats.org/officeDocument/2006/relationships/hyperlink" Target="https://www.sciencedirect.com/science/article/abs/pii/S092585741000176X" TargetMode="External"/><Relationship Id="rId249" Type="http://schemas.openxmlformats.org/officeDocument/2006/relationships/hyperlink" Target="https://www.ircwash.org/sites/default/files/802-PH90-8920.pdf" TargetMode="External"/><Relationship Id="rId127" Type="http://schemas.openxmlformats.org/officeDocument/2006/relationships/hyperlink" Target="mailto:lishaish@yahoo.com" TargetMode="External"/><Relationship Id="rId248" Type="http://schemas.openxmlformats.org/officeDocument/2006/relationships/hyperlink" Target="http://pubs.iclarm.net/libinfo/Pdf/Pub%20CP6%2049.pdf" TargetMode="External"/><Relationship Id="rId36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126" Type="http://schemas.openxmlformats.org/officeDocument/2006/relationships/hyperlink" Target="https://www.sciencedirect.com/science/article/abs/pii/S002209810800066X?via%3Dihub" TargetMode="External"/><Relationship Id="rId247" Type="http://schemas.openxmlformats.org/officeDocument/2006/relationships/hyperlink" Target="http://pubs.iclarm.net/libinfo/Pdf/Pub%20CP6%2049.pdf" TargetMode="External"/><Relationship Id="rId368"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89" Type="http://schemas.openxmlformats.org/officeDocument/2006/relationships/hyperlink" Target="https://www.facebook.com/photo/?fbid=10211996711851597&amp;set=a.10211341284986335" TargetMode="External"/><Relationship Id="rId121" Type="http://schemas.openxmlformats.org/officeDocument/2006/relationships/hyperlink" Target="https://www.lemongreenteaph.com/2018/11/jci-manila-and-gold-seas-tuna-chunks.html" TargetMode="External"/><Relationship Id="rId242" Type="http://schemas.openxmlformats.org/officeDocument/2006/relationships/hyperlink" Target="http://oneocean.org/download/db_files/directory_of_crm_destinations2Ed.pdf" TargetMode="External"/><Relationship Id="rId363" Type="http://schemas.openxmlformats.org/officeDocument/2006/relationships/hyperlink" Target="https://admin.concern.net/sites/default/files/media/migrated/_supporting_recovery_of_fishing_livelihoods_mangroves_and_coral_reefs_in_the_philippines_0.pdf" TargetMode="External"/><Relationship Id="rId484" Type="http://schemas.openxmlformats.org/officeDocument/2006/relationships/hyperlink" Target="https://pubmed.ncbi.nlm.nih.gov/32275570/" TargetMode="External"/><Relationship Id="rId120" Type="http://schemas.openxmlformats.org/officeDocument/2006/relationships/hyperlink" Target="https://pubmed.ncbi.nlm.nih.gov/32275570/" TargetMode="External"/><Relationship Id="rId241" Type="http://schemas.openxmlformats.org/officeDocument/2006/relationships/hyperlink" Target="https://cng-cdn.oxfam.org/philippines.oxfam.org/s3fs-public/file_attachments/Oxfam%20sa%20Pilipinas%20Annual%20Report%202016.pdf" TargetMode="External"/><Relationship Id="rId362" Type="http://schemas.openxmlformats.org/officeDocument/2006/relationships/hyperlink" Target="https://kalahi.dswd.gov.ph/press/downloads/category/58-old-iec-materials?download=322:tayo-na-tayo-na-disaster-resiliency-compendium" TargetMode="External"/><Relationship Id="rId483" Type="http://schemas.openxmlformats.org/officeDocument/2006/relationships/hyperlink" Target="https://www.int-res.com/articles/meps/83/m083p091.pdf" TargetMode="External"/><Relationship Id="rId240" Type="http://schemas.openxmlformats.org/officeDocument/2006/relationships/hyperlink" Target="https://journals.upd.edu.ph/index.php/sciencediliman/article/download/6423/5632" TargetMode="External"/><Relationship Id="rId361" Type="http://schemas.openxmlformats.org/officeDocument/2006/relationships/hyperlink" Target="https://www.pna.gov.ph/articles/1095764" TargetMode="External"/><Relationship Id="rId482" Type="http://schemas.openxmlformats.org/officeDocument/2006/relationships/hyperlink" Target="http://oneocean.org/download/db_files/directory_of_crm_destinations2Ed.pdf" TargetMode="External"/><Relationship Id="rId360" Type="http://schemas.openxmlformats.org/officeDocument/2006/relationships/hyperlink" Target="https://web.facebook.com/CityAgricultureCDO/posts/1818126778356518/?paipv=0&amp;eav=AfZRQmJgGSI0L2g9U65jABSY00S9bkGu4Mij9M1M--6CIMfEuumw-Pv07pQ30DTpugs&amp;_rdc=1&amp;_rdr" TargetMode="External"/><Relationship Id="rId481" Type="http://schemas.openxmlformats.org/officeDocument/2006/relationships/hyperlink" Target="https://www.sciencedirect.com/science/article/abs/pii/S0025326X05001669?via%3Dihub" TargetMode="External"/><Relationship Id="rId125" Type="http://schemas.openxmlformats.org/officeDocument/2006/relationships/hyperlink" Target="mailto:samgulayan@yahoo.com" TargetMode="External"/><Relationship Id="rId246" Type="http://schemas.openxmlformats.org/officeDocument/2006/relationships/hyperlink" Target="https://m.facebook.com/dswdfo4a/photos/sa-proyektong-artificial-coral-reefs-ng-kalahi-cidss-naniniwala-ang-mga-mangingi/555459207949192/" TargetMode="External"/><Relationship Id="rId367" Type="http://schemas.openxmlformats.org/officeDocument/2006/relationships/hyperlink" Target="https://www.youtube.com/watch?v=7NBc_NGXqEA" TargetMode="External"/><Relationship Id="rId488" Type="http://schemas.openxmlformats.org/officeDocument/2006/relationships/hyperlink" Target="https://www.sciencedirect.com/science/article/abs/pii/S0025326X04000712?via%3Dihub" TargetMode="External"/><Relationship Id="rId124" Type="http://schemas.openxmlformats.org/officeDocument/2006/relationships/hyperlink" Target="mailto:samgulayan@yahoo.com" TargetMode="External"/><Relationship Id="rId245" Type="http://schemas.openxmlformats.org/officeDocument/2006/relationships/hyperlink" Target="https://www.ircwash.org/sites/default/files/802-PH90-8920.pdf" TargetMode="External"/><Relationship Id="rId366" Type="http://schemas.openxmlformats.org/officeDocument/2006/relationships/hyperlink" Target="https://nanopdf.com/download/community-based-coastal-resource-management-in-nasidman-island-iloilo-philippine_pdf" TargetMode="External"/><Relationship Id="rId487" Type="http://schemas.openxmlformats.org/officeDocument/2006/relationships/hyperlink" Target="https://www.researchgate.net/publication/227686360_Comparison_of_three_types_of_adhesive_in_attaching_coral_transplants_to_clam_shell_substrates" TargetMode="External"/><Relationship Id="rId123" Type="http://schemas.openxmlformats.org/officeDocument/2006/relationships/hyperlink" Target="https://www.researchgate.net/publication/227686360_Comparison_of_three_types_of_adhesive_in_attaching_coral_transplants_to_clam_shell_substrates" TargetMode="External"/><Relationship Id="rId244" Type="http://schemas.openxmlformats.org/officeDocument/2006/relationships/hyperlink" Target="https://rpnradio.com/the-corals-of-currimao/" TargetMode="External"/><Relationship Id="rId365" Type="http://schemas.openxmlformats.org/officeDocument/2006/relationships/hyperlink" Target="http://www.pmocdo.ppa.com.ph/pmo-mo-c-expands-initiatives-for-environment-conservation/" TargetMode="External"/><Relationship Id="rId486" Type="http://schemas.openxmlformats.org/officeDocument/2006/relationships/hyperlink" Target="http://oneocean.org/download/db_files/directory_of_crm_destinations2Ed.pdf" TargetMode="External"/><Relationship Id="rId122" Type="http://schemas.openxmlformats.org/officeDocument/2006/relationships/hyperlink" Target="https://sites.google.com/a/islandecosystems.org/gics" TargetMode="External"/><Relationship Id="rId243" Type="http://schemas.openxmlformats.org/officeDocument/2006/relationships/hyperlink" Target="https://web.facebook.com/watch/?v=372900961253018" TargetMode="External"/><Relationship Id="rId364" Type="http://schemas.openxmlformats.org/officeDocument/2006/relationships/hyperlink" Target="https://www.pna.gov.ph/articles/1095764" TargetMode="External"/><Relationship Id="rId485" Type="http://schemas.openxmlformats.org/officeDocument/2006/relationships/hyperlink" Target="https://www.sciencedirect.com/science/article/abs/pii/S0025326X0300064X" TargetMode="External"/><Relationship Id="rId95" Type="http://schemas.openxmlformats.org/officeDocument/2006/relationships/hyperlink" Target="http://pusod.org/pusod/artificial-habitat-units-fabrication/" TargetMode="External"/><Relationship Id="rId94" Type="http://schemas.openxmlformats.org/officeDocument/2006/relationships/hyperlink" Target="https://www.tandfonline.com/doi/abs/10.1080/17451000.2012.682582" TargetMode="External"/><Relationship Id="rId97" Type="http://schemas.openxmlformats.org/officeDocument/2006/relationships/hyperlink" Target="https://www.sentineltimes.net/2022/09/artificial-coral-reefs-in-town-of-lobo.html" TargetMode="External"/><Relationship Id="rId96" Type="http://schemas.openxmlformats.org/officeDocument/2006/relationships/hyperlink" Target="https://www.researchgate.net/publication/320629634_Enhanced_larval_supply_and_recruitment_can_replenish_reef_corals_on_degraded_reefs" TargetMode="External"/><Relationship Id="rId99" Type="http://schemas.openxmlformats.org/officeDocument/2006/relationships/hyperlink" Target="https://www.sciencedirect.com/science/article/abs/pii/S0044848619332533" TargetMode="External"/><Relationship Id="rId480" Type="http://schemas.openxmlformats.org/officeDocument/2006/relationships/hyperlink" Target="https://link.springer.com/article/10.1007/BF00393119" TargetMode="External"/><Relationship Id="rId98" Type="http://schemas.openxmlformats.org/officeDocument/2006/relationships/hyperlink" Target="https://www.researchgate.net/publication/356725969_Increased_Coral_Larval_Supply_Enhances_Recruitment_for_Coral_and_Fish_Habitat_Restoration" TargetMode="External"/><Relationship Id="rId91" Type="http://schemas.openxmlformats.org/officeDocument/2006/relationships/hyperlink" Target="https://web.facebook.com/watch/?v=2145212505517713" TargetMode="External"/><Relationship Id="rId90" Type="http://schemas.openxmlformats.org/officeDocument/2006/relationships/hyperlink" Target="https://aquadocs.org/bitstream/handle/1834/40478/GomezED2006.pdf?sequence=1&amp;isAllowed=y" TargetMode="External"/><Relationship Id="rId93" Type="http://schemas.openxmlformats.org/officeDocument/2006/relationships/hyperlink" Target="https://www.jgsummit.com.ph/impact/jgspg-s-artificial-reef-project-continues-to-attract-marine-life-20190629" TargetMode="External"/><Relationship Id="rId92" Type="http://schemas.openxmlformats.org/officeDocument/2006/relationships/hyperlink" Target="http://oneocean.org/download/db_files/directory_of_crm_destinations2Ed.pdf" TargetMode="External"/><Relationship Id="rId118" Type="http://schemas.openxmlformats.org/officeDocument/2006/relationships/hyperlink" Target="https://www.lemongreenteaph.com/2018/11/jci-manila-and-gold-seas-tuna-chunks.html" TargetMode="External"/><Relationship Id="rId239" Type="http://schemas.openxmlformats.org/officeDocument/2006/relationships/hyperlink" Target="https://cng-cdn.oxfam.org/philippines.oxfam.org/s3fs-public/file_attachments/Oxfam%20sa%20Pilipinas%20Annual%20Report%202016.pdf" TargetMode="External"/><Relationship Id="rId117" Type="http://schemas.openxmlformats.org/officeDocument/2006/relationships/hyperlink" Target="https://www.sciencedirect.com/science/article/abs/pii/S0025326X04000712?via%3Dihub" TargetMode="External"/><Relationship Id="rId238" Type="http://schemas.openxmlformats.org/officeDocument/2006/relationships/hyperlink" Target="https://www.rotary.org/en/giant-rotary-wheel-haven-fish-philippines" TargetMode="External"/><Relationship Id="rId359" Type="http://schemas.openxmlformats.org/officeDocument/2006/relationships/hyperlink" Target="https://www.researchgate.net/publication/233680292_The_potential_of_artificial_reefs_as_fisheries_management_tools_in_developing_countries" TargetMode="External"/><Relationship Id="rId116" Type="http://schemas.openxmlformats.org/officeDocument/2006/relationships/hyperlink" Target="https://www.sciencedirect.com/science/article/abs/pii/S0025326X0300064X" TargetMode="External"/><Relationship Id="rId237" Type="http://schemas.openxmlformats.org/officeDocument/2006/relationships/hyperlink" Target="https://nickelasia.com/bulletin/pangangalaga-sa-karagatan-pinaigting-pa-ng-cmc-hmc" TargetMode="External"/><Relationship Id="rId358" Type="http://schemas.openxmlformats.org/officeDocument/2006/relationships/hyperlink" Target="https://www.psdn.org.ph/sdvillage-ph/coastal/lpnig2.html" TargetMode="External"/><Relationship Id="rId479" Type="http://schemas.openxmlformats.org/officeDocument/2006/relationships/hyperlink" Target="https://sevenseasmedia.org/biri-initiative-story-on-coral-restoration/" TargetMode="External"/><Relationship Id="rId115" Type="http://schemas.openxmlformats.org/officeDocument/2006/relationships/hyperlink" Target="http://pusod.org/pusod/building-artificial-habitats-in-barangay-calayo/" TargetMode="External"/><Relationship Id="rId236" Type="http://schemas.openxmlformats.org/officeDocument/2006/relationships/hyperlink" Target="http://oneocean.org/about_crmp/98search.html" TargetMode="External"/><Relationship Id="rId357" Type="http://schemas.openxmlformats.org/officeDocument/2006/relationships/hyperlink" Target="https://www.xu.edu.ph/images/publication/newsletters/pagtaob/documents/PAGTAOB_V3_I1.pdf" TargetMode="External"/><Relationship Id="rId478" Type="http://schemas.openxmlformats.org/officeDocument/2006/relationships/hyperlink" Target="https://www.sciencedirect.com/science/article/abs/pii/S0022098198000410?via%3Dihub" TargetMode="External"/><Relationship Id="rId599" Type="http://schemas.openxmlformats.org/officeDocument/2006/relationships/hyperlink" Target="https://web.facebook.com/sogodbaycoralrestoration/?_rdc=1&amp;_rdr" TargetMode="External"/><Relationship Id="rId119" Type="http://schemas.openxmlformats.org/officeDocument/2006/relationships/hyperlink" Target="https://www.sciencedirect.com/science/article/abs/pii/S0025326X05001669?via%3Dihub" TargetMode="External"/><Relationship Id="rId110" Type="http://schemas.openxmlformats.org/officeDocument/2006/relationships/hyperlink" Target="https://www.ircwash.org/sites/default/files/802-PH90-8920.pdf" TargetMode="External"/><Relationship Id="rId231" Type="http://schemas.openxmlformats.org/officeDocument/2006/relationships/hyperlink" Target="https://www.lemongreenteaph.com/2018/11/jci-manila-and-gold-seas-tuna-chunks.html" TargetMode="External"/><Relationship Id="rId352"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73" Type="http://schemas.openxmlformats.org/officeDocument/2006/relationships/hyperlink" Target="http://pubs.iclarm.net/libinfo/Pdf/Pub%20CP6%2049.pdf" TargetMode="External"/><Relationship Id="rId594" Type="http://schemas.openxmlformats.org/officeDocument/2006/relationships/hyperlink" Target="https://web.facebook.com/photo/?fbid=434871958676768&amp;set=pcb.434872188676745" TargetMode="External"/><Relationship Id="rId230" Type="http://schemas.openxmlformats.org/officeDocument/2006/relationships/hyperlink" Target="https://www.phoenixfuels.ph/phoenix-helps-save-marine-life-through-artificial-reefs/" TargetMode="External"/><Relationship Id="rId35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72" Type="http://schemas.openxmlformats.org/officeDocument/2006/relationships/hyperlink" Target="https://www.int-res.com/articles/meps/83/m083p091.pdf" TargetMode="External"/><Relationship Id="rId593" Type="http://schemas.openxmlformats.org/officeDocument/2006/relationships/hyperlink" Target="http://oneocean.org/download/db_files/directory_of_crm_destinations2Ed.pdf" TargetMode="External"/><Relationship Id="rId350" Type="http://schemas.openxmlformats.org/officeDocument/2006/relationships/hyperlink" Target="https://www.panaynews.net/smpc-turns-over-40-fiberglass-bancas-for-fishing-livelihood/" TargetMode="External"/><Relationship Id="rId471" Type="http://schemas.openxmlformats.org/officeDocument/2006/relationships/hyperlink" Target="https://pdf.usaid.gov/pdf_docs/pnabx173.pdf" TargetMode="External"/><Relationship Id="rId592" Type="http://schemas.openxmlformats.org/officeDocument/2006/relationships/hyperlink" Target="https://caraga.bfar.da.gov.ph/wp-content/uploads/2022/12/Annual-Report-2018.pdf" TargetMode="External"/><Relationship Id="rId470" Type="http://schemas.openxmlformats.org/officeDocument/2006/relationships/hyperlink" Target="https://link.springer.com/article/10.1007/BF00539430" TargetMode="External"/><Relationship Id="rId591" Type="http://schemas.openxmlformats.org/officeDocument/2006/relationships/hyperlink" Target="https://clafi.org/our_work_categories/environment-protection-and-conservation-projects/" TargetMode="External"/><Relationship Id="rId114" Type="http://schemas.openxmlformats.org/officeDocument/2006/relationships/hyperlink" Target="https://www.ircwash.org/sites/default/files/802-PH90-8920.pdf" TargetMode="External"/><Relationship Id="rId235" Type="http://schemas.openxmlformats.org/officeDocument/2006/relationships/hyperlink" Target="http://oneocean.org/about_crmp/98search.html" TargetMode="External"/><Relationship Id="rId356" Type="http://schemas.openxmlformats.org/officeDocument/2006/relationships/hyperlink" Target="http://roxascity.gov.ph/roxas-city-receives-p1m-for-560-units-jackstone-type-artificial-reefs-project/" TargetMode="External"/><Relationship Id="rId477" Type="http://schemas.openxmlformats.org/officeDocument/2006/relationships/hyperlink" Target="https://sevenseasmedia.org/biri-initiative-story-on-coral-restoration/" TargetMode="External"/><Relationship Id="rId598" Type="http://schemas.openxmlformats.org/officeDocument/2006/relationships/hyperlink" Target="http://www.cebu-philippines.net/marine-life-in-southern-leyte.html" TargetMode="External"/><Relationship Id="rId113" Type="http://schemas.openxmlformats.org/officeDocument/2006/relationships/hyperlink" Target="https://www.int-res.com/articles/meps/83/m083p091.pdf" TargetMode="External"/><Relationship Id="rId234" Type="http://schemas.openxmlformats.org/officeDocument/2006/relationships/hyperlink" Target="https://www.youtube.com/watch?v=6AfF_6TG2jE" TargetMode="External"/><Relationship Id="rId355" Type="http://schemas.openxmlformats.org/officeDocument/2006/relationships/hyperlink" Target="https://issuu.com/sudaria_publications/docs/cdotimes_april_16-22__2016" TargetMode="External"/><Relationship Id="rId476" Type="http://schemas.openxmlformats.org/officeDocument/2006/relationships/hyperlink" Target="https://www.sciencedirect.com/science/article/abs/pii/S0025326X04000712?via%3Dihub" TargetMode="External"/><Relationship Id="rId597" Type="http://schemas.openxmlformats.org/officeDocument/2006/relationships/hyperlink" Target="https://web.facebook.com/LGUbuenavistaagriculture" TargetMode="External"/><Relationship Id="rId112" Type="http://schemas.openxmlformats.org/officeDocument/2006/relationships/hyperlink" Target="https://link.springer.com/article/10.1007/BF00539430" TargetMode="External"/><Relationship Id="rId233" Type="http://schemas.openxmlformats.org/officeDocument/2006/relationships/hyperlink" Target="https://sites.google.com/a/islandecosystems.org/gics" TargetMode="External"/><Relationship Id="rId354"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475" Type="http://schemas.openxmlformats.org/officeDocument/2006/relationships/hyperlink" Target="https://www.marineconservationphilippines.org/wp-content/uploads/2018/02/an-evaluation-of-coral-reef-restoration-methods.pdf" TargetMode="External"/><Relationship Id="rId596" Type="http://schemas.openxmlformats.org/officeDocument/2006/relationships/hyperlink" Target="mailto:arpee55@yahoo.com" TargetMode="External"/><Relationship Id="rId111" Type="http://schemas.openxmlformats.org/officeDocument/2006/relationships/hyperlink" Target="https://www.sciencedirect.com/science/article/abs/pii/S0022098198000410?via%3Dihub" TargetMode="External"/><Relationship Id="rId232" Type="http://schemas.openxmlformats.org/officeDocument/2006/relationships/hyperlink" Target="https://www.youtube.com/watch?v=J2E9tUJsTVo" TargetMode="External"/><Relationship Id="rId353" Type="http://schemas.openxmlformats.org/officeDocument/2006/relationships/hyperlink" Target="https://www.eco-business.com/news/sustainable-coral-nurseries-ensure-future-of-philippine-coral-reefs/" TargetMode="External"/><Relationship Id="rId474" Type="http://schemas.openxmlformats.org/officeDocument/2006/relationships/hyperlink" Target="https://www.sciencedirect.com/science/article/abs/pii/S0025326X0300064X" TargetMode="External"/><Relationship Id="rId595" Type="http://schemas.openxmlformats.org/officeDocument/2006/relationships/hyperlink" Target="https://www.facebook.com/photo/?fbid=10211996711851597&amp;set=a.10211341284986335" TargetMode="External"/><Relationship Id="rId305" Type="http://schemas.openxmlformats.org/officeDocument/2006/relationships/hyperlink" Target="https://amiananbalitangayon.com/la-union-sustains-living-shorelines-deploys-artificial-reefs/" TargetMode="External"/><Relationship Id="rId426" Type="http://schemas.openxmlformats.org/officeDocument/2006/relationships/hyperlink" Target="https://savethephilippinecoralreefs.wordpress.com/2013/03/24/rvs-4-star-mariculture-coral-farm-brakes-ground-in-the-philippines/" TargetMode="External"/><Relationship Id="rId547"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668" Type="http://schemas.openxmlformats.org/officeDocument/2006/relationships/hyperlink" Target="https://www.bfar.da.gov.ph/wp-content/uploads/2022/05/FishCORAL-Project-Annual-Report-2020.pdf" TargetMode="External"/><Relationship Id="rId304" Type="http://schemas.openxmlformats.org/officeDocument/2006/relationships/hyperlink" Target="https://pia.gov.ph/news/2022/07/18/jci-manila-installs-artificial-reefs-in-la-union" TargetMode="External"/><Relationship Id="rId425" Type="http://schemas.openxmlformats.org/officeDocument/2006/relationships/hyperlink" Target="https://sevenseasmedia.org/biri-initiative-story-on-coral-restoration/" TargetMode="External"/><Relationship Id="rId546"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667" Type="http://schemas.openxmlformats.org/officeDocument/2006/relationships/hyperlink" Target="https://core.ac.uk/download/pdf/6515223.pdf" TargetMode="External"/><Relationship Id="rId303" Type="http://schemas.openxmlformats.org/officeDocument/2006/relationships/hyperlink" Target="https://free.facebook.com/media/set/?set=a.1575816015988174.1073741860.1418721221697655&amp;type=3&amp;_rdc=1&amp;_rdr" TargetMode="External"/><Relationship Id="rId424" Type="http://schemas.openxmlformats.org/officeDocument/2006/relationships/hyperlink" Target="https://sevenseasmedia.org/biri-initiative-story-on-coral-restoration/" TargetMode="External"/><Relationship Id="rId545" Type="http://schemas.openxmlformats.org/officeDocument/2006/relationships/hyperlink" Target="https://www.youtube.com/watch?v=7NBc_NGXqEA" TargetMode="External"/><Relationship Id="rId666" Type="http://schemas.openxmlformats.org/officeDocument/2006/relationships/hyperlink" Target="https://www.facebook.com/mafar.bangsamoro/posts/monitoring-of-deployed-coral-nursery-units-cnu-of-fishcoral-mafar-in-maguindanao/1003835920443233/" TargetMode="External"/><Relationship Id="rId302" Type="http://schemas.openxmlformats.org/officeDocument/2006/relationships/hyperlink" Target="https://m.facebook.com/permalink.php?id=336893718203&amp;story_fbid=10157795137738204" TargetMode="External"/><Relationship Id="rId423" Type="http://schemas.openxmlformats.org/officeDocument/2006/relationships/hyperlink" Target="https://www.sunstar.com.ph/article/385473/denr-7-plants-1t-artificial-reefs-" TargetMode="External"/><Relationship Id="rId544" Type="http://schemas.openxmlformats.org/officeDocument/2006/relationships/hyperlink" Target="http://www.pmocdo.ppa.com.ph/pmo-mo-c-expands-initiatives-for-environment-conservation/" TargetMode="External"/><Relationship Id="rId665" Type="http://schemas.openxmlformats.org/officeDocument/2006/relationships/hyperlink" Target="https://philmuslimtoday.com/2022/06/08/mafar-deploys-coral-nursery-units-in-lanao-del-sur/" TargetMode="External"/><Relationship Id="rId309" Type="http://schemas.openxmlformats.org/officeDocument/2006/relationships/hyperlink" Target="https://web.facebook.com/109393900941452/videos/836922833909809" TargetMode="External"/><Relationship Id="rId308" Type="http://schemas.openxmlformats.org/officeDocument/2006/relationships/hyperlink" Target="https://www.lakwatsero.com/dive-report/linamon-coral-transplanation-project-in-iligan-bay/" TargetMode="External"/><Relationship Id="rId429" Type="http://schemas.openxmlformats.org/officeDocument/2006/relationships/hyperlink" Target="https://peopleandthesea.org/" TargetMode="External"/><Relationship Id="rId307" Type="http://schemas.openxmlformats.org/officeDocument/2006/relationships/hyperlink" Target="https://ejournals.ph/article.php?id=15657" TargetMode="External"/><Relationship Id="rId428" Type="http://schemas.openxmlformats.org/officeDocument/2006/relationships/hyperlink" Target="https://www.facebook.com/profile.php?id=61560256107542" TargetMode="External"/><Relationship Id="rId549"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306" Type="http://schemas.openxmlformats.org/officeDocument/2006/relationships/hyperlink" Target="http://pubs.iclarm.net/libinfo/Pdf/Pub%20CP6%2049.pdf" TargetMode="External"/><Relationship Id="rId427" Type="http://schemas.openxmlformats.org/officeDocument/2006/relationships/hyperlink" Target="https://sevenseasmedia.org/biri-initiative-story-on-coral-restoration/" TargetMode="External"/><Relationship Id="rId548" Type="http://schemas.openxmlformats.org/officeDocument/2006/relationships/hyperlink" Target="https://www.philstar.com/business/business-as-usual/2006/04/24/333050/duka-bay-ecological-business-paradigm" TargetMode="External"/><Relationship Id="rId669" Type="http://schemas.openxmlformats.org/officeDocument/2006/relationships/hyperlink" Target="https://www.pna.gov.ph/articles/1067574" TargetMode="External"/><Relationship Id="rId660" Type="http://schemas.openxmlformats.org/officeDocument/2006/relationships/hyperlink" Target="https://www.sunstar.com.ph/article/385473/denr-7-plants-1t-artificial-reefs-" TargetMode="External"/><Relationship Id="rId301" Type="http://schemas.openxmlformats.org/officeDocument/2006/relationships/hyperlink" Target="http://pubs.iclarm.net/libinfo/Pdf/Pub%20CP6%2049.pdf" TargetMode="External"/><Relationship Id="rId422" Type="http://schemas.openxmlformats.org/officeDocument/2006/relationships/hyperlink" Target="https://sevenseasmedia.org/biri-initiative-story-on-coral-restoration/" TargetMode="External"/><Relationship Id="rId543" Type="http://schemas.openxmlformats.org/officeDocument/2006/relationships/hyperlink" Target="https://core.ac.uk/download/pdf/6515223.pdf;" TargetMode="External"/><Relationship Id="rId664" Type="http://schemas.openxmlformats.org/officeDocument/2006/relationships/hyperlink" Target="https://www.bfar.da.gov.ph/wp-content/uploads/2022/05/FishCORAL-Project-Annual-Report-2020.pdf" TargetMode="External"/><Relationship Id="rId300" Type="http://schemas.openxmlformats.org/officeDocument/2006/relationships/hyperlink" Target="https://kochi.repo.nii.ac.jp/?action=repository_action_common_download&amp;item_id=8640&amp;item_no=1&amp;attribute_id=17&amp;file_no=1" TargetMode="External"/><Relationship Id="rId421" Type="http://schemas.openxmlformats.org/officeDocument/2006/relationships/hyperlink" Target="http://oneocean.org/download/db_files/directory_of_crm_destinations2Ed.pdf" TargetMode="External"/><Relationship Id="rId542" Type="http://schemas.openxmlformats.org/officeDocument/2006/relationships/hyperlink" Target="https://www.pna.gov.ph/articles/1095764" TargetMode="External"/><Relationship Id="rId663" Type="http://schemas.openxmlformats.org/officeDocument/2006/relationships/hyperlink" Target="https://www.bfar.da.gov.ph/wp-content/uploads/2022/05/FishCORAL-Project-Annual-Report-2020.pdf" TargetMode="External"/><Relationship Id="rId420" Type="http://schemas.openxmlformats.org/officeDocument/2006/relationships/hyperlink" Target="https://www.pna.gov.ph/articles/1049175" TargetMode="External"/><Relationship Id="rId541" Type="http://schemas.openxmlformats.org/officeDocument/2006/relationships/hyperlink" Target="https://www.pna.gov.ph/articles/1095764" TargetMode="External"/><Relationship Id="rId662" Type="http://schemas.openxmlformats.org/officeDocument/2006/relationships/hyperlink" Target="http://oneocean.org/download/db_files/directory_of_crm_destinations2Ed.pdf" TargetMode="External"/><Relationship Id="rId540" Type="http://schemas.openxmlformats.org/officeDocument/2006/relationships/hyperlink" Target="https://web.facebook.com/CityAgricultureCDO/posts/1818126778356518/?paipv=0&amp;eav=AfZRQmJgGSI0L2g9U65jABSY00S9bkGu4Mij9M1M--6CIMfEuumw-Pv07pQ30DTpugs&amp;_rdc=1&amp;_rdr" TargetMode="External"/><Relationship Id="rId661" Type="http://schemas.openxmlformats.org/officeDocument/2006/relationships/hyperlink" Target="https://www.sunstar.com.ph/article/385473/denr-7-plants-1t-artificial-reefs-" TargetMode="External"/><Relationship Id="rId415" Type="http://schemas.openxmlformats.org/officeDocument/2006/relationships/hyperlink" Target="https://www.youtube.com/watch?v=TSbFpQUdSAE" TargetMode="External"/><Relationship Id="rId536" Type="http://schemas.openxmlformats.org/officeDocument/2006/relationships/hyperlink" Target="https://www.lakwatsero.com/dive-report/linamon-coral-transplanation-project-in-iligan-bay/" TargetMode="External"/><Relationship Id="rId657" Type="http://schemas.openxmlformats.org/officeDocument/2006/relationships/hyperlink" Target="https://core.ac.uk/download/pdf/6515223.pdf" TargetMode="External"/><Relationship Id="rId414" Type="http://schemas.openxmlformats.org/officeDocument/2006/relationships/hyperlink" Target="https://www.sunstar.com.ph/article/385473/denr-7-plants-1t-artificial-reefs-" TargetMode="External"/><Relationship Id="rId535" Type="http://schemas.openxmlformats.org/officeDocument/2006/relationships/hyperlink" Target="https://web.facebook.com/shieldsconservation/?_rdc=1&amp;_rdr" TargetMode="External"/><Relationship Id="rId656" Type="http://schemas.openxmlformats.org/officeDocument/2006/relationships/hyperlink" Target="https://core.ac.uk/download/pdf/6515223.pdf" TargetMode="External"/><Relationship Id="rId413" Type="http://schemas.openxmlformats.org/officeDocument/2006/relationships/hyperlink" Target="https://core.ac.uk/download/pdf/6515223.pdf" TargetMode="External"/><Relationship Id="rId534" Type="http://schemas.openxmlformats.org/officeDocument/2006/relationships/hyperlink" Target="https://www.rotary.org/en/giant-rotary-wheel-haven-fish-philippines" TargetMode="External"/><Relationship Id="rId655" Type="http://schemas.openxmlformats.org/officeDocument/2006/relationships/hyperlink" Target="https://www.sunstar.com.ph/article/385473/denr-7-plants-1t-artificial-reefs-" TargetMode="External"/><Relationship Id="rId412" Type="http://schemas.openxmlformats.org/officeDocument/2006/relationships/hyperlink" Target="https://core.ac.uk/download/pdf/6515223.pdf" TargetMode="External"/><Relationship Id="rId533" Type="http://schemas.openxmlformats.org/officeDocument/2006/relationships/hyperlink" Target="https://aquadocs.org/bitstream/handle/1834/40478/GomezED2006.pdf?sequence=1&amp;isAllowed=y" TargetMode="External"/><Relationship Id="rId654" Type="http://schemas.openxmlformats.org/officeDocument/2006/relationships/hyperlink" Target="https://newsinfo.inquirer.net/1416313/beach-resort-in-subic-bay-turns-to-artificial-coral-reefs-to-preserve-marine-ecosystem" TargetMode="External"/><Relationship Id="rId419" Type="http://schemas.openxmlformats.org/officeDocument/2006/relationships/hyperlink" Target="https://www.sunstar.com.ph/article/385473/denr-7-plants-1t-artificial-reefs-" TargetMode="External"/><Relationship Id="rId418" Type="http://schemas.openxmlformats.org/officeDocument/2006/relationships/hyperlink" Target="https://core.ac.uk/download/pdf/6515223.pdf" TargetMode="External"/><Relationship Id="rId539" Type="http://schemas.openxmlformats.org/officeDocument/2006/relationships/hyperlink" Target="https://www.psdn.org.ph/sdvillage-ph/coastal/lpnig2.html" TargetMode="External"/><Relationship Id="rId417" Type="http://schemas.openxmlformats.org/officeDocument/2006/relationships/hyperlink" Target="https://www.sunstar.com.ph/article/385473/denr-7-plants-1t-artificial-reefs-" TargetMode="External"/><Relationship Id="rId538" Type="http://schemas.openxmlformats.org/officeDocument/2006/relationships/hyperlink" Target="https://core.ac.uk/download/pdf/6515223.pdf;" TargetMode="External"/><Relationship Id="rId659" Type="http://schemas.openxmlformats.org/officeDocument/2006/relationships/hyperlink" Target="https://www.pna.gov.ph/articles/1049175" TargetMode="External"/><Relationship Id="rId416" Type="http://schemas.openxmlformats.org/officeDocument/2006/relationships/hyperlink" Target="https://core.ac.uk/download/pdf/6515223.pdf" TargetMode="External"/><Relationship Id="rId537" Type="http://schemas.openxmlformats.org/officeDocument/2006/relationships/hyperlink" Target="https://www.rotary.org/en/giant-rotary-wheel-haven-fish-philippines" TargetMode="External"/><Relationship Id="rId658" Type="http://schemas.openxmlformats.org/officeDocument/2006/relationships/hyperlink" Target="https://punto.com.ph/artificial-reef-itinanim-sa-subic-bay/" TargetMode="External"/><Relationship Id="rId411" Type="http://schemas.openxmlformats.org/officeDocument/2006/relationships/hyperlink" Target="https://core.ac.uk/download/pdf/6515223.pdf" TargetMode="External"/><Relationship Id="rId532" Type="http://schemas.openxmlformats.org/officeDocument/2006/relationships/hyperlink" Target="https://issuu.com/piamindanao1/docs/august_27" TargetMode="External"/><Relationship Id="rId653" Type="http://schemas.openxmlformats.org/officeDocument/2006/relationships/hyperlink" Target="https://core.ac.uk/download/pdf/6515223.pdf" TargetMode="External"/><Relationship Id="rId410" Type="http://schemas.openxmlformats.org/officeDocument/2006/relationships/hyperlink" Target="https://www.sunstar.com.ph/article/385473/denr-7-plants-1t-artificial-reefs-" TargetMode="External"/><Relationship Id="rId531" Type="http://schemas.openxmlformats.org/officeDocument/2006/relationships/hyperlink" Target="https://www.pna.gov.ph/articles/1124515" TargetMode="External"/><Relationship Id="rId652" Type="http://schemas.openxmlformats.org/officeDocument/2006/relationships/hyperlink" Target="https://core.ac.uk/download/pdf/6515223.pdf" TargetMode="External"/><Relationship Id="rId530" Type="http://schemas.openxmlformats.org/officeDocument/2006/relationships/hyperlink" Target="https://headtopics.com/ph/artificial-reefs-watch-tower-in-coastal-pangasinan-town-launched-24563096" TargetMode="External"/><Relationship Id="rId651" Type="http://schemas.openxmlformats.org/officeDocument/2006/relationships/hyperlink" Target="https://punto.com.ph/artificial-reef-itinanim-sa-subic-bay/" TargetMode="External"/><Relationship Id="rId650" Type="http://schemas.openxmlformats.org/officeDocument/2006/relationships/hyperlink" Target="https://core.ac.uk/download/pdf/6515223.pdf" TargetMode="External"/><Relationship Id="rId206" Type="http://schemas.openxmlformats.org/officeDocument/2006/relationships/hyperlink" Target="http://oneocean.org/download/db_files/directory_of_crm_destinations2Ed.pdf" TargetMode="External"/><Relationship Id="rId327" Type="http://schemas.openxmlformats.org/officeDocument/2006/relationships/hyperlink" Target="https://mb.com.ph/2021/06/24/filipinnovation-mimaropas-first-large-scale-coral-restoration-project-already-started/" TargetMode="External"/><Relationship Id="rId448" Type="http://schemas.openxmlformats.org/officeDocument/2006/relationships/hyperlink" Target="https://www.sciencedirect.com/science/article/abs/pii/S0022098102000515" TargetMode="External"/><Relationship Id="rId569" Type="http://schemas.openxmlformats.org/officeDocument/2006/relationships/hyperlink" Target="https://www.youtube.com/watch?v=J2E9tUJsTVo" TargetMode="External"/><Relationship Id="rId205" Type="http://schemas.openxmlformats.org/officeDocument/2006/relationships/hyperlink" Target="https://brigadanews.ph/mga-artificial-reefs-sa-calatagan-batangas-habitat-na-ng-marine-lives/" TargetMode="External"/><Relationship Id="rId326" Type="http://schemas.openxmlformats.org/officeDocument/2006/relationships/hyperlink" Target="https://www.panaynews.net/aklan-turns-61/" TargetMode="External"/><Relationship Id="rId447" Type="http://schemas.openxmlformats.org/officeDocument/2006/relationships/hyperlink" Target="http://pubs.iclarm.net/libinfo/Pdf/Pub%20CP6%2049.pdf" TargetMode="External"/><Relationship Id="rId568" Type="http://schemas.openxmlformats.org/officeDocument/2006/relationships/hyperlink" Target="https://www.philstar.com/other-sections/the-good-news/2015/11/23/1524749/saranganis-kamanga-marine-eco-tourism-park-and-sanctuary-cited-one-philippines-best" TargetMode="External"/><Relationship Id="rId204" Type="http://schemas.openxmlformats.org/officeDocument/2006/relationships/hyperlink" Target="http://www.coralmovement.org/" TargetMode="External"/><Relationship Id="rId325" Type="http://schemas.openxmlformats.org/officeDocument/2006/relationships/hyperlink" Target="https://www.bfar.da.gov.ph/wp-content/uploads/2022/05/FishCORAL-Project-Annual-Report-2020.pdf" TargetMode="External"/><Relationship Id="rId446" Type="http://schemas.openxmlformats.org/officeDocument/2006/relationships/hyperlink" Target="http://pubs.iclarm.net/libinfo/Pdf/Pub%20CP6%2049.pdf" TargetMode="External"/><Relationship Id="rId567" Type="http://schemas.openxmlformats.org/officeDocument/2006/relationships/hyperlink" Target="https://www.emecs.or.jp/en/wp-content/uploads/2023/03/129.pdf" TargetMode="External"/><Relationship Id="rId203" Type="http://schemas.openxmlformats.org/officeDocument/2006/relationships/hyperlink" Target="https://www.divescotty.com/underwater-blog/blog-february-14-2018.php" TargetMode="External"/><Relationship Id="rId324" Type="http://schemas.openxmlformats.org/officeDocument/2006/relationships/hyperlink" Target="https://kalahi.dswd.gov.ph/press/downloads/category/58-old-iec-materials?download=322:tayo-na-tayo-na-disaster-resiliency-compendium" TargetMode="External"/><Relationship Id="rId445" Type="http://schemas.openxmlformats.org/officeDocument/2006/relationships/hyperlink" Target="http://pubs.iclarm.net/libinfo/Pdf/Pub%20CP6%2049.pdf" TargetMode="External"/><Relationship Id="rId566" Type="http://schemas.openxmlformats.org/officeDocument/2006/relationships/hyperlink" Target="https://www.phoenixfuels.ph/phoenix-helps-save-marine-life-through-artificial-reefs/" TargetMode="External"/><Relationship Id="rId209" Type="http://schemas.openxmlformats.org/officeDocument/2006/relationships/hyperlink" Target="https://www.researchgate.net/publication/305770156_Coral_reef_resource_management_in_the_Philippines_-_with_focus_on_marine_protected_areas_as_a_management_tool" TargetMode="External"/><Relationship Id="rId208" Type="http://schemas.openxmlformats.org/officeDocument/2006/relationships/hyperlink" Target="http://pusod.org/pusod/artificial-habitat-units-fabrication/" TargetMode="External"/><Relationship Id="rId329"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207" Type="http://schemas.openxmlformats.org/officeDocument/2006/relationships/hyperlink" Target="https://journal.com.ph/community-project-under-dswd-revives-marine-ecosystem-battered-by-typhoons/" TargetMode="External"/><Relationship Id="rId328" Type="http://schemas.openxmlformats.org/officeDocument/2006/relationships/hyperlink" Target="https://www.researchgate.net/publication/267416722_ECOLOGICAL_EVALUATION_OF_NEAR-SHORE_SPOTS_AS_KEY_TO_LEGALIZE_MARINE_PROTECTED_AREAS_AT_THE_COASTLINE_OF_AKLAN_PHILIPPINES" TargetMode="External"/><Relationship Id="rId449" Type="http://schemas.openxmlformats.org/officeDocument/2006/relationships/hyperlink" Target="https://journal.com.ph/community-project-under-dswd-revives-marine-ecosystem-battered-by-typhoons/" TargetMode="External"/><Relationship Id="rId440" Type="http://schemas.openxmlformats.org/officeDocument/2006/relationships/hyperlink" Target="http://pubs.iclarm.net/libinfo/Pdf/Pub%20CP6%2049.pdf" TargetMode="External"/><Relationship Id="rId561" Type="http://schemas.openxmlformats.org/officeDocument/2006/relationships/hyperlink" Target="https://sgp.undp.org/spacial-itemid-projects-landing-page/spacial-itemid-project-search-results/spacial-itemid-project-detailpage?view=projectdetail&amp;id=3748" TargetMode="External"/><Relationship Id="rId682" Type="http://schemas.openxmlformats.org/officeDocument/2006/relationships/hyperlink" Target="https://www.pna.gov.ph/articles/1067574" TargetMode="External"/><Relationship Id="rId560" Type="http://schemas.openxmlformats.org/officeDocument/2006/relationships/hyperlink" Target="https://sgp.undp.org/spacial-itemid-projects-landing-page/spacial-itemid-project-search-results/spacial-itemid-project-detailpage?view=projectdetail&amp;id=3748" TargetMode="External"/><Relationship Id="rId681" Type="http://schemas.openxmlformats.org/officeDocument/2006/relationships/hyperlink" Target="https://www.ustp.edu.ph/bsmb-students-install-artificial-coral-reefs-in-panaon-coastal-waters/" TargetMode="External"/><Relationship Id="rId680" Type="http://schemas.openxmlformats.org/officeDocument/2006/relationships/hyperlink" Target="https://www.bfar.da.gov.ph/wp-content/uploads/2022/05/FishCORAL-Project-Annual-Report-2020.pdf" TargetMode="External"/><Relationship Id="rId202" Type="http://schemas.openxmlformats.org/officeDocument/2006/relationships/hyperlink" Target="https://ptvnews.ph/pcg-mepcom-installs-artificial-reefs-in-calatagan-batangas/" TargetMode="External"/><Relationship Id="rId323" Type="http://schemas.openxmlformats.org/officeDocument/2006/relationships/hyperlink" Target="https://www.bfar.da.gov.ph/wp-content/uploads/2022/05/FishCORAL-Project-Annual-Report-2020.pdf" TargetMode="External"/><Relationship Id="rId444" Type="http://schemas.openxmlformats.org/officeDocument/2006/relationships/hyperlink" Target="http://www.coralmovement.org/" TargetMode="External"/><Relationship Id="rId565" Type="http://schemas.openxmlformats.org/officeDocument/2006/relationships/hyperlink" Target="https://www.pna.gov.ph/articles/1116952" TargetMode="External"/><Relationship Id="rId201"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22" Type="http://schemas.openxmlformats.org/officeDocument/2006/relationships/hyperlink" Target="https://core.ac.uk/download/pdf/6515223.pdf" TargetMode="External"/><Relationship Id="rId443" Type="http://schemas.openxmlformats.org/officeDocument/2006/relationships/hyperlink" Target="http://pubs.iclarm.net/libinfo/Pdf/Pub%20CP6%2049.pdf" TargetMode="External"/><Relationship Id="rId564" Type="http://schemas.openxmlformats.org/officeDocument/2006/relationships/hyperlink" Target="https://mobile.facebook.com/watch/?v=381675062720602&amp;paipv=0&amp;eav=AfYwcIL9NxwTN4aCbErewJy7tTD3nrufxoQ6KHefWVVRdYsV3q7dl44iSGOHSXvUCgs&amp;_rdr" TargetMode="External"/><Relationship Id="rId200"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321" Type="http://schemas.openxmlformats.org/officeDocument/2006/relationships/hyperlink" Target="https://www.panaynews.net/aklan-turns-61/" TargetMode="External"/><Relationship Id="rId442" Type="http://schemas.openxmlformats.org/officeDocument/2006/relationships/hyperlink" Target="https://www.pna.gov.ph/articles/1136282" TargetMode="External"/><Relationship Id="rId563" Type="http://schemas.openxmlformats.org/officeDocument/2006/relationships/hyperlink" Target="https://35.229.131.110/node/60" TargetMode="External"/><Relationship Id="rId320" Type="http://schemas.openxmlformats.org/officeDocument/2006/relationships/hyperlink" Target="https://mafar.bangsamoro.gov.ph/coastal-rehabilitation-takes-center-stage-in-datu-blah-sinsuat/" TargetMode="External"/><Relationship Id="rId441" Type="http://schemas.openxmlformats.org/officeDocument/2006/relationships/hyperlink" Target="https://www.divescotty.com/underwater-blog/blog-february-14-2018.php" TargetMode="External"/><Relationship Id="rId562" Type="http://schemas.openxmlformats.org/officeDocument/2006/relationships/hyperlink" Target="https://35.229.131.110/node/60" TargetMode="External"/><Relationship Id="rId683" Type="http://schemas.openxmlformats.org/officeDocument/2006/relationships/drawing" Target="../drawings/drawing17.xml"/><Relationship Id="rId316" Type="http://schemas.openxmlformats.org/officeDocument/2006/relationships/hyperlink" Target="http://oneocean.org/download/db_files/directory_of_crm_destinations2Ed.pdf" TargetMode="External"/><Relationship Id="rId437" Type="http://schemas.openxmlformats.org/officeDocument/2006/relationships/hyperlink" Target="mailto:cinzia.alessi01@community.unipa.it" TargetMode="External"/><Relationship Id="rId558" Type="http://schemas.openxmlformats.org/officeDocument/2006/relationships/hyperlink" Target="https://philippinemorningpost.com/underwater-experience-in-samal-island/" TargetMode="External"/><Relationship Id="rId679" Type="http://schemas.openxmlformats.org/officeDocument/2006/relationships/hyperlink" Target="https://mafar.bangsamoro.gov.ph/coastal-rehabilitation-takes-center-stage-in-datu-blah-sinsuat/" TargetMode="External"/><Relationship Id="rId315" Type="http://schemas.openxmlformats.org/officeDocument/2006/relationships/hyperlink" Target="https://kochi.repo.nii.ac.jp/?action=repository_action_common_download&amp;item_id=8640&amp;item_no=1&amp;attribute_id=17&amp;file_no=1" TargetMode="External"/><Relationship Id="rId436" Type="http://schemas.openxmlformats.org/officeDocument/2006/relationships/hyperlink" Target="https://sulubaai-foundation.com/wp-content/uploads/2019/07/Sulu-Reef-Prosthesis-a-new-method-in-restoration.pdf" TargetMode="External"/><Relationship Id="rId557" Type="http://schemas.openxmlformats.org/officeDocument/2006/relationships/hyperlink" Target="https://www.sunstar.com.ph/article/1837913/davao/local-news/denr-rehabilitates-3-hectares-of-coral-reef" TargetMode="External"/><Relationship Id="rId678" Type="http://schemas.openxmlformats.org/officeDocument/2006/relationships/hyperlink" Target="https://www.bfar.da.gov.ph/wp-content/uploads/2022/05/FishCORAL-Project-Annual-Report-2020.pdf" TargetMode="External"/><Relationship Id="rId314" Type="http://schemas.openxmlformats.org/officeDocument/2006/relationships/hyperlink" Target="https://web.facebook.com/nia.buitizon/videos/404223295357898" TargetMode="External"/><Relationship Id="rId435"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556" Type="http://schemas.openxmlformats.org/officeDocument/2006/relationships/hyperlink" Target="https://savethephilippinecoralreefs.wordpress.com/page/10/?controllername=search&amp;action=search&amp;channel=world&amp;search=1&amp;inlinelink=1&amp;query=-paul%20fong-" TargetMode="External"/><Relationship Id="rId677" Type="http://schemas.openxmlformats.org/officeDocument/2006/relationships/hyperlink" Target="https://www.facebook.com/photo.php?fbid=1006552911501040&amp;id=100064390224437&amp;set=a.600940552062280&amp;_rdc=2&amp;_rdr" TargetMode="External"/><Relationship Id="rId313" Type="http://schemas.openxmlformats.org/officeDocument/2006/relationships/hyperlink" Target="https://philmuslimtoday.com/2022/06/08/mafar-deploys-coral-nursery-units-in-lanao-del-sur/" TargetMode="External"/><Relationship Id="rId434" Type="http://schemas.openxmlformats.org/officeDocument/2006/relationships/hyperlink" Target="https://aquadocs.org/bitstream/handle/1834/40478/GomezED2006.pdf?sequence=1&amp;isAllowed=y" TargetMode="External"/><Relationship Id="rId555" Type="http://schemas.openxmlformats.org/officeDocument/2006/relationships/hyperlink" Target="https://web.facebook.com/CMOUEM2018/posts/24-august-19-the-naval-forces-eastern-mindanao-nfem-civil-military-operations-un/1349837585154833/?_rdc=1&amp;_rdr" TargetMode="External"/><Relationship Id="rId676" Type="http://schemas.openxmlformats.org/officeDocument/2006/relationships/hyperlink" Target="https://rpnradio.com/navy-frogmen-laid-artificial-coral-reefs-to-protect-pink-sand-sta-cruz-island-in-zamboanga/" TargetMode="External"/><Relationship Id="rId319" Type="http://schemas.openxmlformats.org/officeDocument/2006/relationships/hyperlink" Target="https://www.facebook.com/mafar.bangsamoro/posts/monitoring-of-deployed-coral-nursery-units-cnu-of-fishcoral-mafar-in-maguindanao/1003835920443233/" TargetMode="External"/><Relationship Id="rId318" Type="http://schemas.openxmlformats.org/officeDocument/2006/relationships/hyperlink" Target="https://mafar.bangsamoro.gov.ph/monitoring-of-deployed-coral-nursery-units-cnu-of-fishcoral-mafar-in-maguindanao/" TargetMode="External"/><Relationship Id="rId439" Type="http://schemas.openxmlformats.org/officeDocument/2006/relationships/hyperlink" Target="http://pubs.iclarm.net/libinfo/Pdf/Pub%20CP6%2049.pdf" TargetMode="External"/><Relationship Id="rId317" Type="http://schemas.openxmlformats.org/officeDocument/2006/relationships/hyperlink" Target="https://www.nzdl.org/cgi-bin/library?e=d-00000-00---off-0hdl--00-0----0-10-0---0---0direct-10---4-------0-1l--11-en-50---20-about---00-0-1-00-0--4----0-0-11-10-0utfZz-8-10&amp;cl=CL2.17.2&amp;d=HASHfc8d613128f6e253a7fd93.6&amp;gc=1" TargetMode="External"/><Relationship Id="rId438" Type="http://schemas.openxmlformats.org/officeDocument/2006/relationships/hyperlink" Target="https://www.researchgate.net/publication/334957333_INTEGRATING_CORALS_OF_OPPORTUNITIES_ARTIFICIAL_REEF_SYSTEMS_AND_MARINE_PROTECTED_AREAS_POTENTIALS_FOR_EXPANDING_CORAL_COVER" TargetMode="External"/><Relationship Id="rId559" Type="http://schemas.openxmlformats.org/officeDocument/2006/relationships/hyperlink" Target="https://pia4b.wordpress.com/2013/01/22/abs-cbn-foundation-pinangasiwaan-ang-paglagay-ng-artificial-reefs-sa-lgu-san-fernando/" TargetMode="External"/><Relationship Id="rId550" Type="http://schemas.openxmlformats.org/officeDocument/2006/relationships/hyperlink" Target="https://www.eco-business.com/news/sustainable-coral-nurseries-ensure-future-of-philippine-coral-reefs/" TargetMode="External"/><Relationship Id="rId671" Type="http://schemas.openxmlformats.org/officeDocument/2006/relationships/hyperlink" Target="https://piazampenpics.blogspot.com/2012/05/scuba-diving-training-enhances-msu-tawi.html?m=1" TargetMode="External"/><Relationship Id="rId670" Type="http://schemas.openxmlformats.org/officeDocument/2006/relationships/hyperlink" Target="mailto:sangkalikasan2016@gmail.com" TargetMode="External"/><Relationship Id="rId312" Type="http://schemas.openxmlformats.org/officeDocument/2006/relationships/hyperlink" Target="https://lanaodelnorte.gov.ph/2021/03/15/pgldn-show-support-to-s-a-g-o-p/" TargetMode="External"/><Relationship Id="rId433" Type="http://schemas.openxmlformats.org/officeDocument/2006/relationships/hyperlink" Target="mailto:cinzia.alessi01@community.unipa.it" TargetMode="External"/><Relationship Id="rId554" Type="http://schemas.openxmlformats.org/officeDocument/2006/relationships/hyperlink" Target="http://allhonestreviews.blogspot.com/2012/08/launching-of-jci-manila-sea-of-life.html" TargetMode="External"/><Relationship Id="rId675" Type="http://schemas.openxmlformats.org/officeDocument/2006/relationships/hyperlink" Target="mailto:sangkalikasan2016@gmail.com" TargetMode="External"/><Relationship Id="rId311" Type="http://schemas.openxmlformats.org/officeDocument/2006/relationships/hyperlink" Target="https://r5.denr.gov.ph/index.php/news-events/photo-releases/1292-coral-reef-restoration-at-gamban-reef" TargetMode="External"/><Relationship Id="rId432" Type="http://schemas.openxmlformats.org/officeDocument/2006/relationships/hyperlink" Target="https://sulubaai-foundation.com/wp-content/uploads/2019/07/Sulu-Reef-Prosthesis-a-new-method-in-restoration.pdf" TargetMode="External"/><Relationship Id="rId553" Type="http://schemas.openxmlformats.org/officeDocument/2006/relationships/hyperlink" Target="https://www.xu.edu.ph/images/publication/newsletters/pagtaob/documents/PAGTAOB_V3_I1.pdf" TargetMode="External"/><Relationship Id="rId674" Type="http://schemas.openxmlformats.org/officeDocument/2006/relationships/hyperlink" Target="https://web.facebook.com/people/PCGA-312th-Auxiliary-Squadron/100064379604303/?_rdc=1&amp;_rdr" TargetMode="External"/><Relationship Id="rId310" Type="http://schemas.openxmlformats.org/officeDocument/2006/relationships/hyperlink" Target="https://www.lakwatsero.com/dive-report/linamon-coral-transplanation-project-in-iligan-bay/" TargetMode="External"/><Relationship Id="rId431" Type="http://schemas.openxmlformats.org/officeDocument/2006/relationships/hyperlink" Target="https://issuu.com/discoveryworldcorp/docs/2020_dwc_annual_report/1" TargetMode="External"/><Relationship Id="rId552" Type="http://schemas.openxmlformats.org/officeDocument/2006/relationships/hyperlink" Target="https://issuu.com/sudaria_publications/docs/cdotimes_april_16-22__2016" TargetMode="External"/><Relationship Id="rId673" Type="http://schemas.openxmlformats.org/officeDocument/2006/relationships/hyperlink" Target="mailto:shalu002@fiu.edu" TargetMode="External"/><Relationship Id="rId430" Type="http://schemas.openxmlformats.org/officeDocument/2006/relationships/hyperlink" Target="mailto:info@peopleandthesea.org" TargetMode="External"/><Relationship Id="rId551" Type="http://schemas.openxmlformats.org/officeDocument/2006/relationships/hyperlink" Target="https://www.google.com/search?q=duka+bay+resort+contact&amp;sxsrf=AJOqlzXPyKBkZiUjjBJJ3WdaO3BBrRgCaw%3A1676805608373&amp;ei=6AXyY8K5Frq73LUP9fCqyA0&amp;ved=0ahUKEwjCzZPVu6H9AhW6HbcAHXW4CtkQ4dUDCA8&amp;uact=5&amp;oq=duka+bay+resort+contact&amp;gs_lcp=Cgxnd3Mtd2l6LXNlcnAQAzIFCAAQgAQyBQgAEIYDOgoIABBHENYEELADOgQIIxAnOgsILhCvARDHARCRAjoFCAAQkQI6EAguEBQQrwEQxwEQhwIQgARKBAhBGABQxWpYg40BYJGOAWgCcAB4AIABnwKIAdcikgEGMC4yMC41mAEAoAEByAEIwAEB&amp;sclient=gws-wiz-serp" TargetMode="External"/><Relationship Id="rId672" Type="http://schemas.openxmlformats.org/officeDocument/2006/relationships/hyperlink" Target="http://lagawmindanao.blogspot.com/2012/03/zamboanga-del-sur.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1.22" defaultRowHeight="15.0"/>
  <cols>
    <col customWidth="1" min="1" max="1" width="18.11"/>
    <col customWidth="1" min="2" max="2" width="14.33"/>
  </cols>
  <sheetData>
    <row r="1">
      <c r="A1" s="1" t="s">
        <v>0</v>
      </c>
      <c r="B1" s="1" t="s">
        <v>1</v>
      </c>
    </row>
    <row r="2">
      <c r="A2" s="2" t="s">
        <v>2</v>
      </c>
      <c r="B2" s="3" t="s">
        <v>3</v>
      </c>
    </row>
    <row r="3">
      <c r="A3" s="2" t="s">
        <v>4</v>
      </c>
      <c r="B3" s="3" t="s">
        <v>5</v>
      </c>
    </row>
    <row r="4">
      <c r="A4" s="2" t="s">
        <v>6</v>
      </c>
      <c r="B4" s="3" t="s">
        <v>7</v>
      </c>
    </row>
    <row r="5">
      <c r="A5" s="2" t="s">
        <v>8</v>
      </c>
      <c r="B5" s="3" t="s">
        <v>9</v>
      </c>
    </row>
    <row r="6">
      <c r="A6" s="2" t="s">
        <v>10</v>
      </c>
      <c r="B6" s="3" t="s">
        <v>11</v>
      </c>
    </row>
    <row r="7">
      <c r="A7" s="2" t="s">
        <v>12</v>
      </c>
      <c r="B7" s="3" t="s">
        <v>13</v>
      </c>
    </row>
    <row r="8">
      <c r="A8" s="4" t="s">
        <v>14</v>
      </c>
      <c r="B8" s="3" t="s">
        <v>15</v>
      </c>
    </row>
    <row r="9">
      <c r="A9" s="4" t="s">
        <v>16</v>
      </c>
      <c r="B9" s="3" t="s">
        <v>17</v>
      </c>
    </row>
    <row r="10">
      <c r="A10" s="4" t="s">
        <v>18</v>
      </c>
      <c r="B10" s="3" t="s">
        <v>19</v>
      </c>
    </row>
    <row r="11">
      <c r="A11" s="2" t="s">
        <v>20</v>
      </c>
      <c r="B11" s="3" t="s">
        <v>21</v>
      </c>
    </row>
    <row r="13">
      <c r="A13" s="1" t="s">
        <v>22</v>
      </c>
    </row>
    <row r="14">
      <c r="A14" s="3" t="s">
        <v>23</v>
      </c>
      <c r="B14" s="3" t="s">
        <v>24</v>
      </c>
    </row>
    <row r="15">
      <c r="A15" s="3" t="s">
        <v>25</v>
      </c>
      <c r="B15" s="3" t="s">
        <v>26</v>
      </c>
    </row>
    <row r="16">
      <c r="A16" s="3" t="s">
        <v>27</v>
      </c>
      <c r="B16" s="3" t="s">
        <v>28</v>
      </c>
    </row>
    <row r="17">
      <c r="A17" s="3" t="s">
        <v>29</v>
      </c>
      <c r="B17" s="3" t="s">
        <v>30</v>
      </c>
    </row>
    <row r="18">
      <c r="A18" s="3" t="s">
        <v>31</v>
      </c>
      <c r="B18" s="3" t="s">
        <v>32</v>
      </c>
    </row>
    <row r="19">
      <c r="A19" s="3" t="s">
        <v>33</v>
      </c>
      <c r="B19" s="3" t="s">
        <v>34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1.22" defaultRowHeight="15.0"/>
  <cols>
    <col customWidth="1" min="1" max="1" width="23.56"/>
    <col customWidth="1" min="2" max="2" width="19.56"/>
    <col customWidth="1" min="3" max="3" width="19.78"/>
    <col customWidth="1" min="4" max="7" width="11.22"/>
  </cols>
  <sheetData>
    <row r="1">
      <c r="A1" s="5" t="s">
        <v>35</v>
      </c>
      <c r="B1" s="6" t="s">
        <v>36</v>
      </c>
      <c r="C1" s="6" t="s">
        <v>1</v>
      </c>
    </row>
    <row r="2">
      <c r="A2" s="2" t="s">
        <v>37</v>
      </c>
      <c r="B2" s="2" t="s">
        <v>38</v>
      </c>
      <c r="C2" s="3" t="s">
        <v>39</v>
      </c>
    </row>
    <row r="3">
      <c r="B3" s="2" t="s">
        <v>40</v>
      </c>
      <c r="C3" s="3" t="s">
        <v>41</v>
      </c>
    </row>
    <row r="4">
      <c r="B4" s="2" t="s">
        <v>42</v>
      </c>
      <c r="C4" s="3" t="s">
        <v>43</v>
      </c>
    </row>
    <row r="5">
      <c r="B5" s="2" t="s">
        <v>44</v>
      </c>
      <c r="C5" s="3" t="s">
        <v>45</v>
      </c>
    </row>
    <row r="6">
      <c r="B6" s="2" t="s">
        <v>46</v>
      </c>
      <c r="C6" s="3" t="s">
        <v>47</v>
      </c>
    </row>
    <row r="7">
      <c r="B7" s="2" t="s">
        <v>48</v>
      </c>
      <c r="C7" s="3" t="s">
        <v>49</v>
      </c>
    </row>
    <row r="8">
      <c r="A8" s="2" t="s">
        <v>50</v>
      </c>
      <c r="B8" s="2" t="s">
        <v>51</v>
      </c>
      <c r="C8" s="3" t="s">
        <v>52</v>
      </c>
    </row>
    <row r="9">
      <c r="B9" s="7" t="s">
        <v>53</v>
      </c>
      <c r="C9" s="3" t="s">
        <v>54</v>
      </c>
    </row>
    <row r="10">
      <c r="B10" s="7" t="s">
        <v>10</v>
      </c>
      <c r="C10" s="3" t="s">
        <v>55</v>
      </c>
    </row>
    <row r="11">
      <c r="B11" s="7" t="s">
        <v>56</v>
      </c>
      <c r="C11" s="3" t="s">
        <v>57</v>
      </c>
    </row>
    <row r="12">
      <c r="B12" s="2" t="s">
        <v>58</v>
      </c>
      <c r="C12" s="3" t="s">
        <v>59</v>
      </c>
    </row>
    <row r="13">
      <c r="B13" s="2" t="s">
        <v>60</v>
      </c>
      <c r="C13" s="3" t="s">
        <v>61</v>
      </c>
    </row>
    <row r="14">
      <c r="B14" s="2" t="s">
        <v>62</v>
      </c>
      <c r="C14" s="3" t="s">
        <v>63</v>
      </c>
    </row>
    <row r="15">
      <c r="B15" s="2" t="s">
        <v>64</v>
      </c>
      <c r="C15" s="3" t="s">
        <v>65</v>
      </c>
    </row>
    <row r="16">
      <c r="B16" s="2" t="s">
        <v>66</v>
      </c>
      <c r="C16" s="8" t="s">
        <v>67</v>
      </c>
    </row>
    <row r="17">
      <c r="A17" s="2" t="s">
        <v>68</v>
      </c>
      <c r="B17" s="2" t="s">
        <v>69</v>
      </c>
      <c r="C17" s="3" t="s">
        <v>70</v>
      </c>
    </row>
    <row r="18">
      <c r="B18" s="2" t="s">
        <v>71</v>
      </c>
      <c r="C18" s="3" t="s">
        <v>72</v>
      </c>
    </row>
    <row r="19">
      <c r="B19" s="2" t="s">
        <v>73</v>
      </c>
      <c r="C19" s="3" t="s">
        <v>74</v>
      </c>
    </row>
    <row r="20">
      <c r="B20" s="2" t="s">
        <v>75</v>
      </c>
      <c r="C20" s="3" t="s">
        <v>76</v>
      </c>
    </row>
    <row r="21">
      <c r="B21" s="2" t="s">
        <v>77</v>
      </c>
      <c r="C21" s="3" t="s">
        <v>78</v>
      </c>
    </row>
    <row r="22">
      <c r="B22" s="2" t="s">
        <v>79</v>
      </c>
      <c r="C22" s="3" t="s">
        <v>80</v>
      </c>
    </row>
    <row r="23">
      <c r="B23" s="2" t="s">
        <v>81</v>
      </c>
      <c r="C23" s="3" t="s">
        <v>82</v>
      </c>
    </row>
    <row r="24">
      <c r="A24" s="2" t="s">
        <v>83</v>
      </c>
      <c r="B24" s="2" t="s">
        <v>84</v>
      </c>
      <c r="C24" s="3" t="s">
        <v>85</v>
      </c>
    </row>
    <row r="25">
      <c r="B25" s="2" t="s">
        <v>86</v>
      </c>
      <c r="C25" s="3" t="s">
        <v>87</v>
      </c>
    </row>
    <row r="26">
      <c r="B26" s="2" t="s">
        <v>88</v>
      </c>
      <c r="C26" s="3" t="s">
        <v>89</v>
      </c>
    </row>
    <row r="27">
      <c r="A27" s="2" t="s">
        <v>90</v>
      </c>
      <c r="B27" s="2" t="s">
        <v>91</v>
      </c>
      <c r="C27" s="3" t="s">
        <v>92</v>
      </c>
    </row>
    <row r="28">
      <c r="B28" s="2" t="s">
        <v>93</v>
      </c>
      <c r="C28" s="3" t="s">
        <v>94</v>
      </c>
    </row>
    <row r="29">
      <c r="B29" s="2" t="s">
        <v>95</v>
      </c>
      <c r="C29" s="3" t="s">
        <v>96</v>
      </c>
    </row>
    <row r="30">
      <c r="B30" s="2" t="s">
        <v>97</v>
      </c>
      <c r="C30" s="3" t="s">
        <v>98</v>
      </c>
    </row>
    <row r="31">
      <c r="B31" s="2" t="s">
        <v>99</v>
      </c>
      <c r="C31" s="3" t="s">
        <v>100</v>
      </c>
    </row>
    <row r="32">
      <c r="B32" s="2" t="s">
        <v>101</v>
      </c>
      <c r="C32" s="3" t="s">
        <v>102</v>
      </c>
    </row>
    <row r="33">
      <c r="B33" s="2" t="s">
        <v>103</v>
      </c>
      <c r="C33" s="3" t="s">
        <v>104</v>
      </c>
    </row>
    <row r="34">
      <c r="B34" s="2" t="s">
        <v>105</v>
      </c>
      <c r="C34" s="3" t="s">
        <v>106</v>
      </c>
    </row>
    <row r="35">
      <c r="A35" s="2" t="s">
        <v>107</v>
      </c>
      <c r="B35" s="2" t="s">
        <v>108</v>
      </c>
      <c r="C35" s="3" t="s">
        <v>109</v>
      </c>
    </row>
    <row r="36">
      <c r="B36" s="2" t="s">
        <v>110</v>
      </c>
      <c r="C36" s="3" t="s">
        <v>111</v>
      </c>
    </row>
    <row r="37">
      <c r="B37" s="2" t="s">
        <v>112</v>
      </c>
      <c r="C37" s="3" t="s">
        <v>113</v>
      </c>
    </row>
    <row r="38">
      <c r="B38" s="2" t="s">
        <v>114</v>
      </c>
      <c r="C38" s="3" t="s">
        <v>115</v>
      </c>
    </row>
    <row r="39">
      <c r="B39" s="2" t="s">
        <v>116</v>
      </c>
      <c r="C39" s="3" t="s">
        <v>117</v>
      </c>
    </row>
    <row r="40">
      <c r="B40" s="2" t="s">
        <v>118</v>
      </c>
      <c r="C40" s="3" t="s">
        <v>119</v>
      </c>
    </row>
    <row r="41">
      <c r="A41" s="2" t="s">
        <v>120</v>
      </c>
      <c r="B41" s="2" t="s">
        <v>121</v>
      </c>
      <c r="C41" s="3" t="s">
        <v>122</v>
      </c>
    </row>
    <row r="42">
      <c r="B42" s="2" t="s">
        <v>123</v>
      </c>
      <c r="C42" s="3" t="s">
        <v>124</v>
      </c>
    </row>
    <row r="43">
      <c r="B43" s="7" t="s">
        <v>125</v>
      </c>
      <c r="C43" s="3" t="s">
        <v>126</v>
      </c>
    </row>
    <row r="44">
      <c r="B44" s="2" t="s">
        <v>127</v>
      </c>
      <c r="C44" s="3" t="s">
        <v>128</v>
      </c>
    </row>
    <row r="45">
      <c r="B45" s="7" t="s">
        <v>129</v>
      </c>
      <c r="C45" s="3" t="s">
        <v>130</v>
      </c>
    </row>
    <row r="46">
      <c r="B46" s="7" t="s">
        <v>131</v>
      </c>
      <c r="C46" s="8" t="s">
        <v>132</v>
      </c>
    </row>
    <row r="47">
      <c r="B47" s="9" t="s">
        <v>133</v>
      </c>
      <c r="C47" s="3" t="s">
        <v>134</v>
      </c>
    </row>
  </sheetData>
  <mergeCells count="7">
    <mergeCell ref="A2:A7"/>
    <mergeCell ref="A8:A16"/>
    <mergeCell ref="A17:A23"/>
    <mergeCell ref="A24:A26"/>
    <mergeCell ref="A27:A34"/>
    <mergeCell ref="A35:A40"/>
    <mergeCell ref="A41:A4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1.22" defaultRowHeight="15.0"/>
  <cols>
    <col customWidth="1" min="1" max="1" width="5.0"/>
    <col customWidth="1" min="2" max="2" width="6.56"/>
    <col customWidth="1" min="3" max="3" width="4.56"/>
    <col customWidth="1" min="4" max="4" width="4.89"/>
    <col customWidth="1" min="5" max="5" width="6.11"/>
    <col customWidth="1" min="6" max="6" width="4.78"/>
    <col customWidth="1" min="7" max="7" width="11.89"/>
    <col customWidth="1" min="8" max="10" width="12.56"/>
    <col customWidth="1" min="11" max="11" width="49.89"/>
    <col customWidth="1" min="12" max="15" width="12.56"/>
    <col customWidth="1" min="16" max="16" width="18.56"/>
    <col customWidth="1" min="17" max="17" width="19.56"/>
    <col customWidth="1" min="18" max="18" width="16.67"/>
    <col customWidth="1" min="19" max="19" width="18.56"/>
    <col customWidth="1" min="20" max="20" width="17.67"/>
    <col customWidth="1" min="21" max="21" width="18.22"/>
    <col customWidth="1" min="22" max="22" width="21.0"/>
    <col customWidth="1" min="23" max="23" width="44.67"/>
    <col customWidth="1" min="24" max="24" width="15.78"/>
    <col customWidth="1" min="25" max="25" width="42.33"/>
    <col customWidth="1" min="26" max="26" width="13.78"/>
    <col customWidth="1" min="27" max="27" width="18.11"/>
    <col customWidth="1" min="28" max="28" width="12.33"/>
    <col customWidth="1" min="29" max="29" width="19.67"/>
    <col customWidth="1" min="30" max="31" width="12.44"/>
    <col customWidth="1" min="32" max="32" width="12.22"/>
    <col customWidth="1" min="33" max="33" width="17.44"/>
    <col customWidth="1" min="34" max="34" width="15.33"/>
    <col customWidth="1" min="35" max="35" width="19.11"/>
    <col customWidth="1" min="36" max="36" width="18.33"/>
    <col customWidth="1" min="37" max="37" width="13.0"/>
    <col customWidth="1" min="38" max="38" width="12.78"/>
    <col customWidth="1" min="39" max="39" width="22.0"/>
    <col customWidth="1" min="40" max="40" width="18.0"/>
    <col customWidth="1" min="41" max="41" width="20.33"/>
    <col customWidth="1" min="42" max="42" width="45.44"/>
    <col customWidth="1" min="43" max="43" width="55.56"/>
  </cols>
  <sheetData>
    <row r="1">
      <c r="A1" s="10" t="s">
        <v>38</v>
      </c>
      <c r="B1" s="11" t="s">
        <v>40</v>
      </c>
      <c r="C1" s="12" t="s">
        <v>42</v>
      </c>
      <c r="D1" s="11" t="s">
        <v>44</v>
      </c>
      <c r="E1" s="11" t="s">
        <v>135</v>
      </c>
      <c r="F1" s="11" t="s">
        <v>136</v>
      </c>
      <c r="G1" s="13" t="s">
        <v>51</v>
      </c>
      <c r="H1" s="13" t="s">
        <v>53</v>
      </c>
      <c r="I1" s="13" t="s">
        <v>10</v>
      </c>
      <c r="J1" s="13" t="s">
        <v>56</v>
      </c>
      <c r="K1" s="14" t="s">
        <v>58</v>
      </c>
      <c r="L1" s="14" t="s">
        <v>60</v>
      </c>
      <c r="M1" s="15" t="s">
        <v>62</v>
      </c>
      <c r="N1" s="15" t="s">
        <v>64</v>
      </c>
      <c r="O1" s="15" t="s">
        <v>66</v>
      </c>
      <c r="P1" s="16" t="s">
        <v>69</v>
      </c>
      <c r="Q1" s="16" t="s">
        <v>71</v>
      </c>
      <c r="R1" s="16" t="s">
        <v>73</v>
      </c>
      <c r="S1" s="16" t="s">
        <v>75</v>
      </c>
      <c r="T1" s="16" t="s">
        <v>77</v>
      </c>
      <c r="U1" s="16" t="s">
        <v>79</v>
      </c>
      <c r="V1" s="16" t="s">
        <v>81</v>
      </c>
      <c r="W1" s="17" t="s">
        <v>84</v>
      </c>
      <c r="X1" s="17" t="s">
        <v>86</v>
      </c>
      <c r="Y1" s="17" t="s">
        <v>88</v>
      </c>
      <c r="Z1" s="18" t="s">
        <v>91</v>
      </c>
      <c r="AA1" s="18" t="s">
        <v>93</v>
      </c>
      <c r="AB1" s="18" t="s">
        <v>95</v>
      </c>
      <c r="AC1" s="18" t="s">
        <v>97</v>
      </c>
      <c r="AD1" s="18" t="s">
        <v>99</v>
      </c>
      <c r="AE1" s="19" t="s">
        <v>101</v>
      </c>
      <c r="AF1" s="18" t="s">
        <v>137</v>
      </c>
      <c r="AG1" s="18" t="s">
        <v>105</v>
      </c>
      <c r="AH1" s="20" t="s">
        <v>108</v>
      </c>
      <c r="AI1" s="20" t="s">
        <v>110</v>
      </c>
      <c r="AJ1" s="20" t="s">
        <v>112</v>
      </c>
      <c r="AK1" s="21" t="s">
        <v>114</v>
      </c>
      <c r="AL1" s="21" t="s">
        <v>116</v>
      </c>
      <c r="AM1" s="21" t="s">
        <v>118</v>
      </c>
      <c r="AN1" s="22" t="s">
        <v>121</v>
      </c>
      <c r="AO1" s="22" t="s">
        <v>123</v>
      </c>
      <c r="AP1" s="23" t="s">
        <v>125</v>
      </c>
      <c r="AQ1" s="22" t="s">
        <v>127</v>
      </c>
      <c r="AR1" s="23" t="s">
        <v>129</v>
      </c>
      <c r="AS1" s="23" t="s">
        <v>131</v>
      </c>
      <c r="AT1" s="24" t="s">
        <v>138</v>
      </c>
    </row>
    <row r="2">
      <c r="A2" s="25" t="s">
        <v>139</v>
      </c>
      <c r="B2" s="26" t="str">
        <f t="shared" ref="B2:B471" si="1">CONCATENATE(C2, "-", J2, "-", M2, "-", A2)
</f>
        <v>2023-PH015501000-2021-0034</v>
      </c>
      <c r="C2" s="27">
        <f t="shared" ref="C2:C102" si="2">IF(OR(D2="Published", D2="Unpublished"), 2023, IF(D2="New", 2025, ""))
</f>
        <v>2023</v>
      </c>
      <c r="D2" s="28" t="s">
        <v>140</v>
      </c>
      <c r="E2" s="28" t="s">
        <v>141</v>
      </c>
      <c r="F2" s="28" t="s">
        <v>142</v>
      </c>
      <c r="G2" s="29" t="s">
        <v>143</v>
      </c>
      <c r="H2" s="29" t="s">
        <v>144</v>
      </c>
      <c r="I2" s="29" t="s">
        <v>145</v>
      </c>
      <c r="J2" s="30" t="s">
        <v>146</v>
      </c>
      <c r="K2" s="26" t="s">
        <v>147</v>
      </c>
      <c r="L2" s="28" t="s">
        <v>148</v>
      </c>
      <c r="M2" s="31">
        <v>2021.0</v>
      </c>
      <c r="N2" s="31" t="s">
        <v>149</v>
      </c>
      <c r="O2" s="31" t="s">
        <v>149</v>
      </c>
      <c r="P2" s="28" t="s">
        <v>150</v>
      </c>
      <c r="Q2" s="32" t="s">
        <v>151</v>
      </c>
      <c r="R2" s="28" t="s">
        <v>152</v>
      </c>
      <c r="S2" s="32" t="s">
        <v>153</v>
      </c>
      <c r="T2" s="28" t="s">
        <v>154</v>
      </c>
      <c r="U2" s="28" t="s">
        <v>154</v>
      </c>
      <c r="V2" s="26" t="s">
        <v>153</v>
      </c>
      <c r="W2" s="32" t="s">
        <v>155</v>
      </c>
      <c r="X2" s="32" t="s">
        <v>156</v>
      </c>
      <c r="Y2" s="28" t="s">
        <v>157</v>
      </c>
      <c r="Z2" s="33" t="s">
        <v>158</v>
      </c>
      <c r="AA2" s="26" t="s">
        <v>159</v>
      </c>
      <c r="AB2" s="26" t="s">
        <v>160</v>
      </c>
      <c r="AC2" s="28" t="s">
        <v>161</v>
      </c>
      <c r="AD2" s="28" t="s">
        <v>158</v>
      </c>
      <c r="AE2" s="29" t="s">
        <v>149</v>
      </c>
      <c r="AF2" s="26" t="s">
        <v>149</v>
      </c>
      <c r="AG2" s="26" t="s">
        <v>162</v>
      </c>
      <c r="AH2" s="26" t="s">
        <v>158</v>
      </c>
      <c r="AI2" s="28" t="s">
        <v>161</v>
      </c>
      <c r="AJ2" s="28" t="s">
        <v>158</v>
      </c>
      <c r="AK2" s="28" t="s">
        <v>163</v>
      </c>
      <c r="AL2" s="11" t="s">
        <v>149</v>
      </c>
      <c r="AM2" s="11" t="s">
        <v>164</v>
      </c>
      <c r="AN2" s="28" t="s">
        <v>165</v>
      </c>
      <c r="AO2" s="26" t="s">
        <v>166</v>
      </c>
      <c r="AP2" s="28" t="s">
        <v>167</v>
      </c>
      <c r="AQ2" s="34" t="s">
        <v>168</v>
      </c>
      <c r="AR2" s="35" t="s">
        <v>169</v>
      </c>
      <c r="AS2" s="11" t="s">
        <v>149</v>
      </c>
      <c r="AT2" s="26"/>
    </row>
    <row r="3">
      <c r="A3" s="36" t="s">
        <v>170</v>
      </c>
      <c r="B3" s="26" t="str">
        <f t="shared" si="1"/>
        <v>2023-PH104319000-2000-0362</v>
      </c>
      <c r="C3" s="27">
        <f t="shared" si="2"/>
        <v>2023</v>
      </c>
      <c r="D3" s="37" t="s">
        <v>140</v>
      </c>
      <c r="E3" s="28" t="s">
        <v>141</v>
      </c>
      <c r="F3" s="28" t="s">
        <v>142</v>
      </c>
      <c r="G3" s="29" t="s">
        <v>171</v>
      </c>
      <c r="H3" s="29" t="s">
        <v>172</v>
      </c>
      <c r="I3" s="29" t="s">
        <v>173</v>
      </c>
      <c r="J3" s="30" t="s">
        <v>174</v>
      </c>
      <c r="K3" s="26" t="s">
        <v>175</v>
      </c>
      <c r="L3" s="28" t="s">
        <v>176</v>
      </c>
      <c r="M3" s="31">
        <v>2000.0</v>
      </c>
      <c r="N3" s="31">
        <v>2000.0</v>
      </c>
      <c r="O3" s="31" t="s">
        <v>149</v>
      </c>
      <c r="P3" s="28" t="s">
        <v>177</v>
      </c>
      <c r="Q3" s="32" t="s">
        <v>178</v>
      </c>
      <c r="R3" s="28" t="s">
        <v>154</v>
      </c>
      <c r="S3" s="32" t="s">
        <v>154</v>
      </c>
      <c r="T3" s="28" t="s">
        <v>154</v>
      </c>
      <c r="U3" s="28" t="s">
        <v>154</v>
      </c>
      <c r="V3" s="26" t="s">
        <v>179</v>
      </c>
      <c r="W3" s="32" t="s">
        <v>180</v>
      </c>
      <c r="X3" s="32" t="s">
        <v>181</v>
      </c>
      <c r="Y3" s="28" t="s">
        <v>182</v>
      </c>
      <c r="Z3" s="26" t="s">
        <v>183</v>
      </c>
      <c r="AA3" s="26" t="s">
        <v>159</v>
      </c>
      <c r="AB3" s="26" t="s">
        <v>160</v>
      </c>
      <c r="AC3" s="26" t="s">
        <v>184</v>
      </c>
      <c r="AD3" s="28" t="s">
        <v>184</v>
      </c>
      <c r="AE3" s="29" t="s">
        <v>149</v>
      </c>
      <c r="AF3" s="26" t="s">
        <v>149</v>
      </c>
      <c r="AG3" s="26" t="s">
        <v>149</v>
      </c>
      <c r="AH3" s="26" t="s">
        <v>183</v>
      </c>
      <c r="AI3" s="26" t="s">
        <v>184</v>
      </c>
      <c r="AJ3" s="28" t="s">
        <v>184</v>
      </c>
      <c r="AK3" s="26" t="s">
        <v>149</v>
      </c>
      <c r="AL3" s="26" t="s">
        <v>185</v>
      </c>
      <c r="AM3" s="28" t="s">
        <v>149</v>
      </c>
      <c r="AN3" s="28" t="s">
        <v>165</v>
      </c>
      <c r="AO3" s="26" t="s">
        <v>166</v>
      </c>
      <c r="AP3" s="26" t="s">
        <v>186</v>
      </c>
      <c r="AQ3" s="38" t="s">
        <v>187</v>
      </c>
      <c r="AR3" s="26" t="s">
        <v>188</v>
      </c>
      <c r="AS3" s="28" t="s">
        <v>189</v>
      </c>
      <c r="AT3" s="11"/>
    </row>
    <row r="4">
      <c r="A4" s="36" t="s">
        <v>190</v>
      </c>
      <c r="B4" s="26" t="str">
        <f t="shared" si="1"/>
        <v>2025-PH072220000-2024-0279</v>
      </c>
      <c r="C4" s="27">
        <f t="shared" si="2"/>
        <v>2025</v>
      </c>
      <c r="D4" s="28" t="s">
        <v>191</v>
      </c>
      <c r="E4" s="28" t="s">
        <v>191</v>
      </c>
      <c r="F4" s="28" t="s">
        <v>192</v>
      </c>
      <c r="G4" s="29" t="s">
        <v>193</v>
      </c>
      <c r="H4" s="29" t="s">
        <v>194</v>
      </c>
      <c r="I4" s="29" t="s">
        <v>195</v>
      </c>
      <c r="J4" s="30" t="s">
        <v>196</v>
      </c>
      <c r="K4" s="26" t="s">
        <v>197</v>
      </c>
      <c r="L4" s="26" t="s">
        <v>198</v>
      </c>
      <c r="M4" s="31">
        <v>2024.0</v>
      </c>
      <c r="N4" s="31">
        <v>2021.0</v>
      </c>
      <c r="O4" s="31">
        <v>2025.0</v>
      </c>
      <c r="P4" s="28" t="s">
        <v>199</v>
      </c>
      <c r="Q4" s="32" t="s">
        <v>200</v>
      </c>
      <c r="R4" s="28" t="s">
        <v>154</v>
      </c>
      <c r="S4" s="32" t="s">
        <v>154</v>
      </c>
      <c r="T4" s="28" t="s">
        <v>154</v>
      </c>
      <c r="U4" s="28" t="s">
        <v>154</v>
      </c>
      <c r="V4" s="26" t="s">
        <v>201</v>
      </c>
      <c r="W4" s="32" t="s">
        <v>180</v>
      </c>
      <c r="X4" s="32" t="s">
        <v>181</v>
      </c>
      <c r="Y4" s="26" t="s">
        <v>202</v>
      </c>
      <c r="Z4" s="26" t="s">
        <v>203</v>
      </c>
      <c r="AA4" s="26" t="s">
        <v>204</v>
      </c>
      <c r="AB4" s="28" t="s">
        <v>205</v>
      </c>
      <c r="AC4" s="26" t="s">
        <v>206</v>
      </c>
      <c r="AD4" s="28" t="s">
        <v>207</v>
      </c>
      <c r="AE4" s="29" t="s">
        <v>149</v>
      </c>
      <c r="AF4" s="26" t="s">
        <v>149</v>
      </c>
      <c r="AG4" s="26" t="s">
        <v>149</v>
      </c>
      <c r="AH4" s="26" t="s">
        <v>208</v>
      </c>
      <c r="AI4" s="32" t="s">
        <v>209</v>
      </c>
      <c r="AJ4" s="28" t="s">
        <v>210</v>
      </c>
      <c r="AK4" s="28" t="s">
        <v>211</v>
      </c>
      <c r="AL4" s="26" t="s">
        <v>212</v>
      </c>
      <c r="AM4" s="28" t="s">
        <v>149</v>
      </c>
      <c r="AN4" s="28" t="s">
        <v>213</v>
      </c>
      <c r="AO4" s="26" t="s">
        <v>214</v>
      </c>
      <c r="AP4" s="26" t="s">
        <v>214</v>
      </c>
      <c r="AQ4" s="28" t="s">
        <v>149</v>
      </c>
      <c r="AR4" s="28" t="s">
        <v>149</v>
      </c>
      <c r="AS4" s="39" t="s">
        <v>149</v>
      </c>
      <c r="AT4" s="28"/>
    </row>
    <row r="5">
      <c r="A5" s="36" t="s">
        <v>215</v>
      </c>
      <c r="B5" s="26" t="str">
        <f t="shared" si="1"/>
        <v>2025-PH072226000-2024-0290</v>
      </c>
      <c r="C5" s="27">
        <f t="shared" si="2"/>
        <v>2025</v>
      </c>
      <c r="D5" s="28" t="s">
        <v>191</v>
      </c>
      <c r="E5" s="28" t="s">
        <v>191</v>
      </c>
      <c r="F5" s="28" t="s">
        <v>192</v>
      </c>
      <c r="G5" s="29" t="s">
        <v>193</v>
      </c>
      <c r="H5" s="29" t="s">
        <v>194</v>
      </c>
      <c r="I5" s="40" t="s">
        <v>216</v>
      </c>
      <c r="J5" s="30" t="s">
        <v>217</v>
      </c>
      <c r="K5" s="26" t="s">
        <v>197</v>
      </c>
      <c r="L5" s="26" t="s">
        <v>218</v>
      </c>
      <c r="M5" s="31">
        <v>2024.0</v>
      </c>
      <c r="N5" s="31">
        <v>2021.0</v>
      </c>
      <c r="O5" s="31">
        <v>2025.0</v>
      </c>
      <c r="P5" s="28" t="s">
        <v>199</v>
      </c>
      <c r="Q5" s="32" t="s">
        <v>200</v>
      </c>
      <c r="R5" s="28" t="s">
        <v>154</v>
      </c>
      <c r="S5" s="32" t="s">
        <v>154</v>
      </c>
      <c r="T5" s="28" t="s">
        <v>154</v>
      </c>
      <c r="U5" s="28" t="s">
        <v>154</v>
      </c>
      <c r="V5" s="26" t="s">
        <v>201</v>
      </c>
      <c r="W5" s="32" t="s">
        <v>180</v>
      </c>
      <c r="X5" s="32" t="s">
        <v>181</v>
      </c>
      <c r="Y5" s="26" t="s">
        <v>202</v>
      </c>
      <c r="Z5" s="26" t="s">
        <v>203</v>
      </c>
      <c r="AA5" s="26" t="s">
        <v>204</v>
      </c>
      <c r="AB5" s="28" t="s">
        <v>205</v>
      </c>
      <c r="AC5" s="26" t="s">
        <v>206</v>
      </c>
      <c r="AD5" s="28" t="s">
        <v>207</v>
      </c>
      <c r="AE5" s="29" t="s">
        <v>149</v>
      </c>
      <c r="AF5" s="26" t="s">
        <v>149</v>
      </c>
      <c r="AG5" s="26" t="s">
        <v>149</v>
      </c>
      <c r="AH5" s="26" t="s">
        <v>208</v>
      </c>
      <c r="AI5" s="32" t="s">
        <v>209</v>
      </c>
      <c r="AJ5" s="28" t="s">
        <v>210</v>
      </c>
      <c r="AK5" s="28" t="s">
        <v>219</v>
      </c>
      <c r="AL5" s="26" t="s">
        <v>212</v>
      </c>
      <c r="AM5" s="28" t="s">
        <v>149</v>
      </c>
      <c r="AN5" s="28" t="s">
        <v>213</v>
      </c>
      <c r="AO5" s="26" t="s">
        <v>214</v>
      </c>
      <c r="AP5" s="26" t="s">
        <v>214</v>
      </c>
      <c r="AQ5" s="28" t="s">
        <v>149</v>
      </c>
      <c r="AR5" s="29" t="s">
        <v>149</v>
      </c>
      <c r="AS5" s="29" t="s">
        <v>149</v>
      </c>
      <c r="AT5" s="28"/>
    </row>
    <row r="6" ht="13.5" customHeight="1">
      <c r="A6" s="25" t="s">
        <v>220</v>
      </c>
      <c r="B6" s="26" t="str">
        <f t="shared" si="1"/>
        <v>2023-PH015503000-2018-0041</v>
      </c>
      <c r="C6" s="27">
        <f t="shared" si="2"/>
        <v>2023</v>
      </c>
      <c r="D6" s="28" t="s">
        <v>140</v>
      </c>
      <c r="E6" s="28" t="s">
        <v>141</v>
      </c>
      <c r="F6" s="28" t="s">
        <v>192</v>
      </c>
      <c r="G6" s="29" t="s">
        <v>143</v>
      </c>
      <c r="H6" s="29" t="s">
        <v>144</v>
      </c>
      <c r="I6" s="40" t="s">
        <v>221</v>
      </c>
      <c r="J6" s="30" t="s">
        <v>222</v>
      </c>
      <c r="K6" s="26" t="s">
        <v>197</v>
      </c>
      <c r="L6" s="26" t="s">
        <v>223</v>
      </c>
      <c r="M6" s="31">
        <v>2018.0</v>
      </c>
      <c r="N6" s="31" t="s">
        <v>149</v>
      </c>
      <c r="O6" s="31" t="s">
        <v>149</v>
      </c>
      <c r="P6" s="28" t="s">
        <v>199</v>
      </c>
      <c r="Q6" s="32" t="s">
        <v>200</v>
      </c>
      <c r="R6" s="28" t="s">
        <v>154</v>
      </c>
      <c r="S6" s="32" t="s">
        <v>154</v>
      </c>
      <c r="T6" s="28" t="s">
        <v>154</v>
      </c>
      <c r="U6" s="28" t="s">
        <v>154</v>
      </c>
      <c r="V6" s="26" t="s">
        <v>224</v>
      </c>
      <c r="W6" s="32" t="s">
        <v>180</v>
      </c>
      <c r="X6" s="32" t="s">
        <v>181</v>
      </c>
      <c r="Y6" s="26" t="s">
        <v>225</v>
      </c>
      <c r="Z6" s="26" t="s">
        <v>203</v>
      </c>
      <c r="AA6" s="26" t="s">
        <v>159</v>
      </c>
      <c r="AB6" s="28" t="s">
        <v>205</v>
      </c>
      <c r="AC6" s="26" t="s">
        <v>206</v>
      </c>
      <c r="AD6" s="28" t="s">
        <v>207</v>
      </c>
      <c r="AE6" s="29" t="s">
        <v>149</v>
      </c>
      <c r="AF6" s="26" t="s">
        <v>149</v>
      </c>
      <c r="AG6" s="26" t="s">
        <v>149</v>
      </c>
      <c r="AH6" s="26" t="s">
        <v>226</v>
      </c>
      <c r="AI6" s="32" t="s">
        <v>209</v>
      </c>
      <c r="AJ6" s="28" t="s">
        <v>227</v>
      </c>
      <c r="AK6" s="26" t="s">
        <v>228</v>
      </c>
      <c r="AL6" s="26" t="s">
        <v>208</v>
      </c>
      <c r="AM6" s="3" t="s">
        <v>149</v>
      </c>
      <c r="AN6" s="28" t="s">
        <v>213</v>
      </c>
      <c r="AO6" s="26" t="s">
        <v>214</v>
      </c>
      <c r="AP6" s="26" t="s">
        <v>214</v>
      </c>
      <c r="AQ6" s="11" t="s">
        <v>149</v>
      </c>
      <c r="AR6" s="11" t="s">
        <v>149</v>
      </c>
      <c r="AS6" s="11" t="s">
        <v>149</v>
      </c>
      <c r="AT6" s="28"/>
    </row>
    <row r="7">
      <c r="A7" s="36" t="s">
        <v>229</v>
      </c>
      <c r="B7" s="26" t="str">
        <f t="shared" si="1"/>
        <v>2023-PH015505000-2018-0048</v>
      </c>
      <c r="C7" s="27">
        <f t="shared" si="2"/>
        <v>2023</v>
      </c>
      <c r="D7" s="28" t="s">
        <v>140</v>
      </c>
      <c r="E7" s="28" t="s">
        <v>141</v>
      </c>
      <c r="F7" s="28" t="s">
        <v>192</v>
      </c>
      <c r="G7" s="29" t="s">
        <v>143</v>
      </c>
      <c r="H7" s="29" t="s">
        <v>144</v>
      </c>
      <c r="I7" s="29" t="s">
        <v>230</v>
      </c>
      <c r="J7" s="30" t="s">
        <v>231</v>
      </c>
      <c r="K7" s="26" t="s">
        <v>197</v>
      </c>
      <c r="L7" s="26" t="s">
        <v>232</v>
      </c>
      <c r="M7" s="31">
        <v>2018.0</v>
      </c>
      <c r="N7" s="41" t="s">
        <v>149</v>
      </c>
      <c r="O7" s="41" t="s">
        <v>149</v>
      </c>
      <c r="P7" s="28" t="s">
        <v>199</v>
      </c>
      <c r="Q7" s="32" t="s">
        <v>200</v>
      </c>
      <c r="R7" s="28" t="s">
        <v>154</v>
      </c>
      <c r="S7" s="32" t="s">
        <v>154</v>
      </c>
      <c r="T7" s="28" t="s">
        <v>154</v>
      </c>
      <c r="U7" s="28" t="s">
        <v>154</v>
      </c>
      <c r="V7" s="26" t="s">
        <v>224</v>
      </c>
      <c r="W7" s="32" t="s">
        <v>180</v>
      </c>
      <c r="X7" s="32" t="s">
        <v>181</v>
      </c>
      <c r="Y7" s="26" t="s">
        <v>225</v>
      </c>
      <c r="Z7" s="26" t="s">
        <v>203</v>
      </c>
      <c r="AA7" s="26" t="s">
        <v>159</v>
      </c>
      <c r="AB7" s="28" t="s">
        <v>205</v>
      </c>
      <c r="AC7" s="26" t="s">
        <v>206</v>
      </c>
      <c r="AD7" s="28" t="s">
        <v>207</v>
      </c>
      <c r="AE7" s="29" t="s">
        <v>149</v>
      </c>
      <c r="AF7" s="26" t="s">
        <v>149</v>
      </c>
      <c r="AG7" s="26" t="s">
        <v>149</v>
      </c>
      <c r="AH7" s="26" t="s">
        <v>233</v>
      </c>
      <c r="AI7" s="32" t="s">
        <v>209</v>
      </c>
      <c r="AJ7" s="28" t="s">
        <v>227</v>
      </c>
      <c r="AK7" s="11" t="s">
        <v>149</v>
      </c>
      <c r="AL7" s="26" t="s">
        <v>208</v>
      </c>
      <c r="AM7" s="3" t="s">
        <v>149</v>
      </c>
      <c r="AN7" s="28" t="s">
        <v>213</v>
      </c>
      <c r="AO7" s="26" t="s">
        <v>214</v>
      </c>
      <c r="AP7" s="26" t="s">
        <v>214</v>
      </c>
      <c r="AQ7" s="11" t="s">
        <v>149</v>
      </c>
      <c r="AR7" s="11" t="s">
        <v>149</v>
      </c>
      <c r="AS7" s="11" t="s">
        <v>149</v>
      </c>
      <c r="AT7" s="26"/>
    </row>
    <row r="8">
      <c r="A8" s="36" t="s">
        <v>234</v>
      </c>
      <c r="B8" s="26" t="str">
        <f t="shared" si="1"/>
        <v>2023-PH015505000-2013-0051</v>
      </c>
      <c r="C8" s="27">
        <f t="shared" si="2"/>
        <v>2023</v>
      </c>
      <c r="D8" s="28" t="s">
        <v>140</v>
      </c>
      <c r="E8" s="28" t="s">
        <v>141</v>
      </c>
      <c r="F8" s="28" t="s">
        <v>142</v>
      </c>
      <c r="G8" s="29" t="s">
        <v>143</v>
      </c>
      <c r="H8" s="29" t="s">
        <v>144</v>
      </c>
      <c r="I8" s="29" t="s">
        <v>230</v>
      </c>
      <c r="J8" s="29" t="s">
        <v>231</v>
      </c>
      <c r="K8" s="26" t="s">
        <v>197</v>
      </c>
      <c r="L8" s="28" t="s">
        <v>235</v>
      </c>
      <c r="M8" s="31">
        <v>2013.0</v>
      </c>
      <c r="N8" s="31">
        <v>2013.0</v>
      </c>
      <c r="O8" s="31">
        <v>2015.0</v>
      </c>
      <c r="P8" s="28" t="s">
        <v>199</v>
      </c>
      <c r="Q8" s="32" t="s">
        <v>200</v>
      </c>
      <c r="R8" s="28" t="s">
        <v>154</v>
      </c>
      <c r="S8" s="32" t="s">
        <v>154</v>
      </c>
      <c r="T8" s="28" t="s">
        <v>154</v>
      </c>
      <c r="U8" s="28" t="s">
        <v>154</v>
      </c>
      <c r="V8" s="28" t="s">
        <v>236</v>
      </c>
      <c r="W8" s="32" t="s">
        <v>237</v>
      </c>
      <c r="X8" s="32" t="s">
        <v>238</v>
      </c>
      <c r="Y8" s="28" t="s">
        <v>239</v>
      </c>
      <c r="Z8" s="26" t="s">
        <v>203</v>
      </c>
      <c r="AA8" s="26" t="s">
        <v>159</v>
      </c>
      <c r="AB8" s="28" t="s">
        <v>205</v>
      </c>
      <c r="AC8" s="26" t="s">
        <v>206</v>
      </c>
      <c r="AD8" s="28" t="s">
        <v>207</v>
      </c>
      <c r="AE8" s="29" t="s">
        <v>149</v>
      </c>
      <c r="AF8" s="26" t="s">
        <v>149</v>
      </c>
      <c r="AG8" s="26" t="s">
        <v>149</v>
      </c>
      <c r="AH8" s="26" t="s">
        <v>208</v>
      </c>
      <c r="AI8" s="32" t="s">
        <v>209</v>
      </c>
      <c r="AJ8" s="28" t="s">
        <v>210</v>
      </c>
      <c r="AK8" s="26" t="s">
        <v>240</v>
      </c>
      <c r="AL8" s="11" t="s">
        <v>149</v>
      </c>
      <c r="AM8" s="11" t="s">
        <v>149</v>
      </c>
      <c r="AN8" s="28" t="s">
        <v>241</v>
      </c>
      <c r="AO8" s="28" t="s">
        <v>242</v>
      </c>
      <c r="AP8" s="26" t="s">
        <v>243</v>
      </c>
      <c r="AQ8" s="38" t="s">
        <v>244</v>
      </c>
      <c r="AR8" s="26" t="s">
        <v>245</v>
      </c>
      <c r="AS8" s="11" t="s">
        <v>149</v>
      </c>
      <c r="AT8" s="28"/>
    </row>
    <row r="9">
      <c r="A9" s="36" t="s">
        <v>246</v>
      </c>
      <c r="B9" s="26" t="str">
        <f t="shared" si="1"/>
        <v>2023-PH015505000-2016-0052</v>
      </c>
      <c r="C9" s="27">
        <f t="shared" si="2"/>
        <v>2023</v>
      </c>
      <c r="D9" s="28" t="s">
        <v>140</v>
      </c>
      <c r="E9" s="28" t="s">
        <v>141</v>
      </c>
      <c r="F9" s="28" t="s">
        <v>142</v>
      </c>
      <c r="G9" s="29" t="s">
        <v>143</v>
      </c>
      <c r="H9" s="29" t="s">
        <v>144</v>
      </c>
      <c r="I9" s="29" t="s">
        <v>230</v>
      </c>
      <c r="J9" s="29" t="s">
        <v>231</v>
      </c>
      <c r="K9" s="26" t="s">
        <v>197</v>
      </c>
      <c r="L9" s="26" t="s">
        <v>247</v>
      </c>
      <c r="M9" s="31">
        <v>2016.0</v>
      </c>
      <c r="N9" s="31">
        <v>2016.0</v>
      </c>
      <c r="O9" s="31">
        <v>2019.0</v>
      </c>
      <c r="P9" s="28" t="s">
        <v>199</v>
      </c>
      <c r="Q9" s="32" t="s">
        <v>200</v>
      </c>
      <c r="R9" s="28" t="s">
        <v>154</v>
      </c>
      <c r="S9" s="32" t="s">
        <v>154</v>
      </c>
      <c r="T9" s="28" t="s">
        <v>154</v>
      </c>
      <c r="U9" s="28" t="s">
        <v>154</v>
      </c>
      <c r="V9" s="28" t="s">
        <v>236</v>
      </c>
      <c r="W9" s="32" t="s">
        <v>237</v>
      </c>
      <c r="X9" s="28" t="s">
        <v>238</v>
      </c>
      <c r="Y9" s="26" t="s">
        <v>248</v>
      </c>
      <c r="Z9" s="26" t="s">
        <v>203</v>
      </c>
      <c r="AA9" s="26" t="s">
        <v>159</v>
      </c>
      <c r="AB9" s="28" t="s">
        <v>205</v>
      </c>
      <c r="AC9" s="26" t="s">
        <v>206</v>
      </c>
      <c r="AD9" s="28" t="s">
        <v>207</v>
      </c>
      <c r="AE9" s="29" t="s">
        <v>149</v>
      </c>
      <c r="AF9" s="26" t="s">
        <v>149</v>
      </c>
      <c r="AG9" s="26" t="s">
        <v>149</v>
      </c>
      <c r="AH9" s="26" t="s">
        <v>208</v>
      </c>
      <c r="AI9" s="32" t="s">
        <v>209</v>
      </c>
      <c r="AJ9" s="28" t="s">
        <v>210</v>
      </c>
      <c r="AK9" s="26" t="s">
        <v>249</v>
      </c>
      <c r="AL9" s="11" t="s">
        <v>149</v>
      </c>
      <c r="AM9" s="11" t="s">
        <v>149</v>
      </c>
      <c r="AN9" s="28" t="s">
        <v>241</v>
      </c>
      <c r="AO9" s="28" t="s">
        <v>242</v>
      </c>
      <c r="AP9" s="26" t="s">
        <v>250</v>
      </c>
      <c r="AQ9" s="38" t="s">
        <v>251</v>
      </c>
      <c r="AR9" s="26" t="s">
        <v>252</v>
      </c>
      <c r="AS9" s="11" t="s">
        <v>149</v>
      </c>
      <c r="AT9" s="42"/>
    </row>
    <row r="10">
      <c r="A10" s="36" t="s">
        <v>253</v>
      </c>
      <c r="B10" s="26" t="str">
        <f t="shared" si="1"/>
        <v>2023-PH015505000-2021-0053</v>
      </c>
      <c r="C10" s="27">
        <f t="shared" si="2"/>
        <v>2023</v>
      </c>
      <c r="D10" s="28" t="s">
        <v>140</v>
      </c>
      <c r="E10" s="28" t="s">
        <v>141</v>
      </c>
      <c r="F10" s="28" t="s">
        <v>192</v>
      </c>
      <c r="G10" s="29" t="s">
        <v>143</v>
      </c>
      <c r="H10" s="29" t="s">
        <v>144</v>
      </c>
      <c r="I10" s="29" t="s">
        <v>230</v>
      </c>
      <c r="J10" s="29" t="s">
        <v>231</v>
      </c>
      <c r="K10" s="26" t="s">
        <v>197</v>
      </c>
      <c r="L10" s="43" t="s">
        <v>149</v>
      </c>
      <c r="M10" s="41">
        <v>2021.0</v>
      </c>
      <c r="N10" s="31">
        <v>2021.0</v>
      </c>
      <c r="O10" s="31">
        <v>2025.0</v>
      </c>
      <c r="P10" s="28" t="s">
        <v>199</v>
      </c>
      <c r="Q10" s="32" t="s">
        <v>200</v>
      </c>
      <c r="R10" s="28" t="s">
        <v>154</v>
      </c>
      <c r="S10" s="32" t="s">
        <v>154</v>
      </c>
      <c r="T10" s="28" t="s">
        <v>154</v>
      </c>
      <c r="U10" s="28" t="s">
        <v>154</v>
      </c>
      <c r="V10" s="26" t="s">
        <v>224</v>
      </c>
      <c r="W10" s="32" t="s">
        <v>149</v>
      </c>
      <c r="X10" s="32" t="s">
        <v>254</v>
      </c>
      <c r="Y10" s="26" t="s">
        <v>149</v>
      </c>
      <c r="Z10" s="26" t="s">
        <v>203</v>
      </c>
      <c r="AA10" s="26" t="s">
        <v>159</v>
      </c>
      <c r="AB10" s="28" t="s">
        <v>205</v>
      </c>
      <c r="AC10" s="26" t="s">
        <v>206</v>
      </c>
      <c r="AD10" s="28" t="s">
        <v>207</v>
      </c>
      <c r="AE10" s="29" t="s">
        <v>149</v>
      </c>
      <c r="AF10" s="26" t="s">
        <v>149</v>
      </c>
      <c r="AG10" s="26" t="s">
        <v>149</v>
      </c>
      <c r="AH10" s="26" t="s">
        <v>208</v>
      </c>
      <c r="AI10" s="32" t="s">
        <v>209</v>
      </c>
      <c r="AJ10" s="28" t="s">
        <v>210</v>
      </c>
      <c r="AK10" s="26" t="s">
        <v>255</v>
      </c>
      <c r="AL10" s="11" t="s">
        <v>149</v>
      </c>
      <c r="AM10" s="11" t="s">
        <v>149</v>
      </c>
      <c r="AN10" s="28" t="s">
        <v>213</v>
      </c>
      <c r="AO10" s="26" t="s">
        <v>214</v>
      </c>
      <c r="AP10" s="11" t="s">
        <v>149</v>
      </c>
      <c r="AQ10" s="11" t="s">
        <v>149</v>
      </c>
      <c r="AR10" s="11" t="s">
        <v>149</v>
      </c>
      <c r="AS10" s="11" t="s">
        <v>149</v>
      </c>
      <c r="AT10" s="11"/>
    </row>
    <row r="11">
      <c r="A11" s="36" t="s">
        <v>256</v>
      </c>
      <c r="B11" s="26" t="str">
        <f t="shared" si="1"/>
        <v>2023-PH041019000-2012-0128</v>
      </c>
      <c r="C11" s="27">
        <f t="shared" si="2"/>
        <v>2023</v>
      </c>
      <c r="D11" s="28" t="s">
        <v>140</v>
      </c>
      <c r="E11" s="28" t="s">
        <v>141</v>
      </c>
      <c r="F11" s="28" t="s">
        <v>142</v>
      </c>
      <c r="G11" s="29" t="s">
        <v>257</v>
      </c>
      <c r="H11" s="29" t="s">
        <v>258</v>
      </c>
      <c r="I11" s="29" t="s">
        <v>259</v>
      </c>
      <c r="J11" s="29" t="s">
        <v>260</v>
      </c>
      <c r="K11" s="26" t="s">
        <v>261</v>
      </c>
      <c r="L11" s="26" t="s">
        <v>262</v>
      </c>
      <c r="M11" s="31">
        <v>2012.0</v>
      </c>
      <c r="N11" s="31" t="s">
        <v>149</v>
      </c>
      <c r="O11" s="31" t="s">
        <v>149</v>
      </c>
      <c r="P11" s="28" t="s">
        <v>263</v>
      </c>
      <c r="Q11" s="32" t="s">
        <v>264</v>
      </c>
      <c r="R11" s="28" t="s">
        <v>152</v>
      </c>
      <c r="S11" s="32" t="s">
        <v>265</v>
      </c>
      <c r="T11" s="28" t="s">
        <v>154</v>
      </c>
      <c r="U11" s="28" t="s">
        <v>154</v>
      </c>
      <c r="V11" s="26" t="s">
        <v>266</v>
      </c>
      <c r="W11" s="32" t="s">
        <v>267</v>
      </c>
      <c r="X11" s="32" t="s">
        <v>268</v>
      </c>
      <c r="Y11" s="28" t="s">
        <v>269</v>
      </c>
      <c r="Z11" s="26" t="s">
        <v>270</v>
      </c>
      <c r="AA11" s="26" t="s">
        <v>159</v>
      </c>
      <c r="AB11" s="26" t="s">
        <v>160</v>
      </c>
      <c r="AC11" s="26" t="s">
        <v>271</v>
      </c>
      <c r="AD11" s="28" t="s">
        <v>271</v>
      </c>
      <c r="AE11" s="29" t="s">
        <v>149</v>
      </c>
      <c r="AF11" s="26" t="s">
        <v>149</v>
      </c>
      <c r="AG11" s="28" t="s">
        <v>272</v>
      </c>
      <c r="AH11" s="26" t="s">
        <v>270</v>
      </c>
      <c r="AI11" s="26" t="s">
        <v>271</v>
      </c>
      <c r="AJ11" s="28" t="s">
        <v>271</v>
      </c>
      <c r="AK11" s="44" t="s">
        <v>273</v>
      </c>
      <c r="AL11" s="28" t="s">
        <v>149</v>
      </c>
      <c r="AM11" s="45" t="s">
        <v>149</v>
      </c>
      <c r="AN11" s="28" t="s">
        <v>165</v>
      </c>
      <c r="AO11" s="28" t="s">
        <v>166</v>
      </c>
      <c r="AP11" s="26" t="s">
        <v>274</v>
      </c>
      <c r="AQ11" s="38" t="s">
        <v>275</v>
      </c>
      <c r="AR11" s="28" t="s">
        <v>149</v>
      </c>
      <c r="AS11" s="28" t="s">
        <v>149</v>
      </c>
      <c r="AT11" s="45"/>
    </row>
    <row r="12">
      <c r="A12" s="36" t="s">
        <v>276</v>
      </c>
      <c r="B12" s="26" t="str">
        <f t="shared" si="1"/>
        <v>2023-PH104311000-Unknown-0356</v>
      </c>
      <c r="C12" s="27">
        <f t="shared" si="2"/>
        <v>2023</v>
      </c>
      <c r="D12" s="37" t="s">
        <v>140</v>
      </c>
      <c r="E12" s="28" t="s">
        <v>141</v>
      </c>
      <c r="F12" s="28" t="s">
        <v>192</v>
      </c>
      <c r="G12" s="29" t="s">
        <v>171</v>
      </c>
      <c r="H12" s="29" t="s">
        <v>172</v>
      </c>
      <c r="I12" s="29" t="s">
        <v>277</v>
      </c>
      <c r="J12" s="30" t="s">
        <v>278</v>
      </c>
      <c r="K12" s="26" t="s">
        <v>279</v>
      </c>
      <c r="L12" s="26" t="s">
        <v>280</v>
      </c>
      <c r="M12" s="31" t="s">
        <v>149</v>
      </c>
      <c r="N12" s="31" t="s">
        <v>149</v>
      </c>
      <c r="O12" s="31" t="s">
        <v>149</v>
      </c>
      <c r="P12" s="28" t="s">
        <v>150</v>
      </c>
      <c r="Q12" s="32" t="s">
        <v>151</v>
      </c>
      <c r="R12" s="28" t="s">
        <v>281</v>
      </c>
      <c r="S12" s="32" t="s">
        <v>282</v>
      </c>
      <c r="T12" s="28" t="s">
        <v>154</v>
      </c>
      <c r="U12" s="28" t="s">
        <v>154</v>
      </c>
      <c r="V12" s="26" t="s">
        <v>283</v>
      </c>
      <c r="W12" s="32" t="s">
        <v>284</v>
      </c>
      <c r="X12" s="32" t="s">
        <v>285</v>
      </c>
      <c r="Y12" s="26" t="s">
        <v>286</v>
      </c>
      <c r="Z12" s="26" t="s">
        <v>287</v>
      </c>
      <c r="AA12" s="26" t="s">
        <v>159</v>
      </c>
      <c r="AB12" s="26" t="s">
        <v>160</v>
      </c>
      <c r="AC12" s="26" t="s">
        <v>184</v>
      </c>
      <c r="AD12" s="28" t="s">
        <v>184</v>
      </c>
      <c r="AE12" s="29" t="s">
        <v>149</v>
      </c>
      <c r="AF12" s="26" t="s">
        <v>149</v>
      </c>
      <c r="AG12" s="26" t="s">
        <v>149</v>
      </c>
      <c r="AH12" s="26" t="s">
        <v>287</v>
      </c>
      <c r="AI12" s="26" t="s">
        <v>184</v>
      </c>
      <c r="AJ12" s="28" t="s">
        <v>184</v>
      </c>
      <c r="AK12" s="11" t="s">
        <v>149</v>
      </c>
      <c r="AL12" s="26" t="s">
        <v>288</v>
      </c>
      <c r="AM12" s="11" t="s">
        <v>149</v>
      </c>
      <c r="AN12" s="28" t="s">
        <v>165</v>
      </c>
      <c r="AO12" s="28" t="s">
        <v>289</v>
      </c>
      <c r="AP12" s="34" t="s">
        <v>290</v>
      </c>
      <c r="AQ12" s="34" t="s">
        <v>291</v>
      </c>
      <c r="AR12" s="11" t="s">
        <v>149</v>
      </c>
      <c r="AS12" s="11" t="s">
        <v>149</v>
      </c>
      <c r="AT12" s="11"/>
    </row>
    <row r="13">
      <c r="A13" s="36" t="s">
        <v>292</v>
      </c>
      <c r="B13" s="26" t="str">
        <f t="shared" si="1"/>
        <v>2023-PH037105000-2022-0102</v>
      </c>
      <c r="C13" s="27">
        <f t="shared" si="2"/>
        <v>2023</v>
      </c>
      <c r="D13" s="28" t="s">
        <v>140</v>
      </c>
      <c r="E13" s="28" t="s">
        <v>141</v>
      </c>
      <c r="F13" s="28" t="s">
        <v>192</v>
      </c>
      <c r="G13" s="29" t="s">
        <v>293</v>
      </c>
      <c r="H13" s="29" t="s">
        <v>294</v>
      </c>
      <c r="I13" s="29" t="s">
        <v>295</v>
      </c>
      <c r="J13" s="29" t="s">
        <v>296</v>
      </c>
      <c r="K13" s="28" t="s">
        <v>297</v>
      </c>
      <c r="L13" s="46" t="s">
        <v>149</v>
      </c>
      <c r="M13" s="31">
        <v>2022.0</v>
      </c>
      <c r="N13" s="31">
        <v>2022.0</v>
      </c>
      <c r="O13" s="31">
        <v>2024.0</v>
      </c>
      <c r="P13" s="28" t="s">
        <v>298</v>
      </c>
      <c r="Q13" s="32" t="s">
        <v>299</v>
      </c>
      <c r="R13" s="28" t="s">
        <v>154</v>
      </c>
      <c r="S13" s="32" t="s">
        <v>154</v>
      </c>
      <c r="T13" s="28" t="s">
        <v>300</v>
      </c>
      <c r="U13" s="28" t="s">
        <v>149</v>
      </c>
      <c r="V13" s="26" t="s">
        <v>301</v>
      </c>
      <c r="W13" s="32" t="s">
        <v>302</v>
      </c>
      <c r="X13" s="32" t="s">
        <v>303</v>
      </c>
      <c r="Y13" s="26" t="s">
        <v>304</v>
      </c>
      <c r="Z13" s="26" t="s">
        <v>305</v>
      </c>
      <c r="AA13" s="26" t="s">
        <v>159</v>
      </c>
      <c r="AB13" s="28" t="s">
        <v>205</v>
      </c>
      <c r="AC13" s="26" t="s">
        <v>306</v>
      </c>
      <c r="AD13" s="28" t="s">
        <v>306</v>
      </c>
      <c r="AE13" s="29" t="s">
        <v>149</v>
      </c>
      <c r="AF13" s="26" t="s">
        <v>149</v>
      </c>
      <c r="AG13" s="26" t="s">
        <v>149</v>
      </c>
      <c r="AH13" s="28" t="s">
        <v>307</v>
      </c>
      <c r="AI13" s="26" t="s">
        <v>306</v>
      </c>
      <c r="AJ13" s="28" t="s">
        <v>306</v>
      </c>
      <c r="AK13" s="28" t="s">
        <v>308</v>
      </c>
      <c r="AL13" s="28" t="s">
        <v>309</v>
      </c>
      <c r="AM13" s="26" t="s">
        <v>149</v>
      </c>
      <c r="AN13" s="28" t="s">
        <v>213</v>
      </c>
      <c r="AO13" s="28" t="s">
        <v>310</v>
      </c>
      <c r="AP13" s="26" t="s">
        <v>213</v>
      </c>
      <c r="AQ13" s="26" t="s">
        <v>149</v>
      </c>
      <c r="AR13" s="26" t="s">
        <v>311</v>
      </c>
      <c r="AS13" s="26" t="s">
        <v>312</v>
      </c>
      <c r="AT13" s="45"/>
    </row>
    <row r="14">
      <c r="A14" s="36" t="s">
        <v>313</v>
      </c>
      <c r="B14" s="26" t="str">
        <f t="shared" si="1"/>
        <v>2023-PH060412000-Unknown-0230</v>
      </c>
      <c r="C14" s="27">
        <f t="shared" si="2"/>
        <v>2023</v>
      </c>
      <c r="D14" s="28" t="s">
        <v>140</v>
      </c>
      <c r="E14" s="28" t="s">
        <v>141</v>
      </c>
      <c r="F14" s="28" t="s">
        <v>192</v>
      </c>
      <c r="G14" s="29" t="s">
        <v>314</v>
      </c>
      <c r="H14" s="29" t="s">
        <v>315</v>
      </c>
      <c r="I14" s="29" t="s">
        <v>316</v>
      </c>
      <c r="J14" s="30" t="s">
        <v>317</v>
      </c>
      <c r="K14" s="26" t="s">
        <v>318</v>
      </c>
      <c r="L14" s="47" t="s">
        <v>149</v>
      </c>
      <c r="M14" s="31" t="s">
        <v>149</v>
      </c>
      <c r="N14" s="31" t="s">
        <v>149</v>
      </c>
      <c r="O14" s="31" t="s">
        <v>149</v>
      </c>
      <c r="P14" s="28" t="s">
        <v>177</v>
      </c>
      <c r="Q14" s="32" t="s">
        <v>319</v>
      </c>
      <c r="R14" s="28" t="s">
        <v>154</v>
      </c>
      <c r="S14" s="32" t="s">
        <v>154</v>
      </c>
      <c r="T14" s="28" t="s">
        <v>300</v>
      </c>
      <c r="U14" s="28" t="s">
        <v>320</v>
      </c>
      <c r="V14" s="28" t="s">
        <v>320</v>
      </c>
      <c r="W14" s="32" t="s">
        <v>149</v>
      </c>
      <c r="X14" s="32" t="s">
        <v>254</v>
      </c>
      <c r="Y14" s="26" t="s">
        <v>149</v>
      </c>
      <c r="Z14" s="26" t="s">
        <v>321</v>
      </c>
      <c r="AA14" s="26" t="s">
        <v>159</v>
      </c>
      <c r="AB14" s="26" t="s">
        <v>160</v>
      </c>
      <c r="AC14" s="28" t="s">
        <v>322</v>
      </c>
      <c r="AD14" s="28" t="s">
        <v>323</v>
      </c>
      <c r="AE14" s="29" t="s">
        <v>149</v>
      </c>
      <c r="AF14" s="26" t="s">
        <v>149</v>
      </c>
      <c r="AG14" s="26" t="s">
        <v>149</v>
      </c>
      <c r="AH14" s="26" t="s">
        <v>324</v>
      </c>
      <c r="AI14" s="26" t="s">
        <v>271</v>
      </c>
      <c r="AJ14" s="28" t="s">
        <v>271</v>
      </c>
      <c r="AK14" s="26" t="s">
        <v>325</v>
      </c>
      <c r="AL14" s="26" t="s">
        <v>326</v>
      </c>
      <c r="AM14" s="11" t="s">
        <v>149</v>
      </c>
      <c r="AN14" s="28" t="s">
        <v>165</v>
      </c>
      <c r="AO14" s="26" t="s">
        <v>166</v>
      </c>
      <c r="AP14" s="26" t="s">
        <v>327</v>
      </c>
      <c r="AQ14" s="38" t="s">
        <v>328</v>
      </c>
      <c r="AR14" s="11" t="s">
        <v>149</v>
      </c>
      <c r="AS14" s="11" t="s">
        <v>149</v>
      </c>
      <c r="AT14" s="29"/>
    </row>
    <row r="15">
      <c r="A15" s="36" t="s">
        <v>329</v>
      </c>
      <c r="B15" s="26" t="str">
        <f t="shared" si="1"/>
        <v>2023-PH112319000-2007-0374</v>
      </c>
      <c r="C15" s="27">
        <f t="shared" si="2"/>
        <v>2023</v>
      </c>
      <c r="D15" s="37" t="s">
        <v>140</v>
      </c>
      <c r="E15" s="28" t="s">
        <v>141</v>
      </c>
      <c r="F15" s="28" t="s">
        <v>192</v>
      </c>
      <c r="G15" s="29" t="s">
        <v>330</v>
      </c>
      <c r="H15" s="29" t="s">
        <v>331</v>
      </c>
      <c r="I15" s="40" t="s">
        <v>332</v>
      </c>
      <c r="J15" s="30" t="s">
        <v>333</v>
      </c>
      <c r="K15" s="26" t="s">
        <v>334</v>
      </c>
      <c r="L15" s="28" t="s">
        <v>335</v>
      </c>
      <c r="M15" s="31">
        <v>2007.0</v>
      </c>
      <c r="N15" s="31">
        <v>2007.0</v>
      </c>
      <c r="O15" s="31">
        <v>2016.0</v>
      </c>
      <c r="P15" s="28" t="s">
        <v>150</v>
      </c>
      <c r="Q15" s="32" t="s">
        <v>151</v>
      </c>
      <c r="R15" s="32" t="s">
        <v>336</v>
      </c>
      <c r="S15" s="32" t="s">
        <v>337</v>
      </c>
      <c r="T15" s="28" t="s">
        <v>154</v>
      </c>
      <c r="U15" s="28" t="s">
        <v>154</v>
      </c>
      <c r="V15" s="26" t="s">
        <v>337</v>
      </c>
      <c r="W15" s="32" t="s">
        <v>180</v>
      </c>
      <c r="X15" s="32" t="s">
        <v>181</v>
      </c>
      <c r="Y15" s="26" t="s">
        <v>338</v>
      </c>
      <c r="Z15" s="26" t="s">
        <v>228</v>
      </c>
      <c r="AA15" s="26" t="s">
        <v>159</v>
      </c>
      <c r="AB15" s="26" t="s">
        <v>160</v>
      </c>
      <c r="AC15" s="28" t="s">
        <v>161</v>
      </c>
      <c r="AD15" s="28" t="s">
        <v>228</v>
      </c>
      <c r="AE15" s="29" t="s">
        <v>149</v>
      </c>
      <c r="AF15" s="28" t="s">
        <v>339</v>
      </c>
      <c r="AG15" s="26" t="s">
        <v>340</v>
      </c>
      <c r="AH15" s="26" t="s">
        <v>228</v>
      </c>
      <c r="AI15" s="28" t="s">
        <v>161</v>
      </c>
      <c r="AJ15" s="28" t="s">
        <v>228</v>
      </c>
      <c r="AK15" s="26" t="s">
        <v>341</v>
      </c>
      <c r="AL15" s="11" t="s">
        <v>149</v>
      </c>
      <c r="AM15" s="11" t="s">
        <v>149</v>
      </c>
      <c r="AN15" s="28" t="s">
        <v>165</v>
      </c>
      <c r="AO15" s="26" t="s">
        <v>166</v>
      </c>
      <c r="AP15" s="26" t="s">
        <v>342</v>
      </c>
      <c r="AQ15" s="34" t="s">
        <v>343</v>
      </c>
      <c r="AR15" s="11" t="s">
        <v>149</v>
      </c>
      <c r="AS15" s="11" t="s">
        <v>149</v>
      </c>
      <c r="AT15" s="29"/>
    </row>
    <row r="16">
      <c r="A16" s="36" t="s">
        <v>344</v>
      </c>
      <c r="B16" s="26" t="str">
        <f t="shared" si="1"/>
        <v>2023-PH166724000-2018-0404</v>
      </c>
      <c r="C16" s="27">
        <f t="shared" si="2"/>
        <v>2023</v>
      </c>
      <c r="D16" s="37" t="s">
        <v>140</v>
      </c>
      <c r="E16" s="28" t="s">
        <v>141</v>
      </c>
      <c r="F16" s="28" t="s">
        <v>192</v>
      </c>
      <c r="G16" s="29" t="s">
        <v>345</v>
      </c>
      <c r="H16" s="29" t="s">
        <v>346</v>
      </c>
      <c r="I16" s="40" t="s">
        <v>347</v>
      </c>
      <c r="J16" s="29" t="s">
        <v>348</v>
      </c>
      <c r="K16" s="26" t="s">
        <v>349</v>
      </c>
      <c r="L16" s="48" t="s">
        <v>350</v>
      </c>
      <c r="M16" s="31">
        <v>2018.0</v>
      </c>
      <c r="N16" s="41" t="s">
        <v>149</v>
      </c>
      <c r="O16" s="41" t="s">
        <v>149</v>
      </c>
      <c r="P16" s="28" t="s">
        <v>150</v>
      </c>
      <c r="Q16" s="32" t="s">
        <v>151</v>
      </c>
      <c r="R16" s="28" t="s">
        <v>152</v>
      </c>
      <c r="S16" s="32" t="s">
        <v>351</v>
      </c>
      <c r="T16" s="28" t="s">
        <v>154</v>
      </c>
      <c r="U16" s="28" t="s">
        <v>154</v>
      </c>
      <c r="V16" s="26" t="s">
        <v>152</v>
      </c>
      <c r="W16" s="32" t="s">
        <v>180</v>
      </c>
      <c r="X16" s="32" t="s">
        <v>181</v>
      </c>
      <c r="Y16" s="28" t="s">
        <v>352</v>
      </c>
      <c r="Z16" s="26" t="s">
        <v>149</v>
      </c>
      <c r="AA16" s="26" t="s">
        <v>159</v>
      </c>
      <c r="AB16" s="26" t="s">
        <v>149</v>
      </c>
      <c r="AC16" s="26" t="s">
        <v>149</v>
      </c>
      <c r="AD16" s="28" t="s">
        <v>149</v>
      </c>
      <c r="AE16" s="29" t="s">
        <v>149</v>
      </c>
      <c r="AF16" s="26" t="s">
        <v>149</v>
      </c>
      <c r="AG16" s="26" t="s">
        <v>149</v>
      </c>
      <c r="AH16" s="26" t="s">
        <v>228</v>
      </c>
      <c r="AI16" s="28" t="s">
        <v>161</v>
      </c>
      <c r="AJ16" s="28" t="s">
        <v>228</v>
      </c>
      <c r="AK16" s="11" t="s">
        <v>149</v>
      </c>
      <c r="AL16" s="11" t="s">
        <v>149</v>
      </c>
      <c r="AM16" s="11" t="s">
        <v>149</v>
      </c>
      <c r="AN16" s="28" t="s">
        <v>165</v>
      </c>
      <c r="AO16" s="26" t="s">
        <v>166</v>
      </c>
      <c r="AP16" s="26" t="s">
        <v>353</v>
      </c>
      <c r="AQ16" s="38" t="s">
        <v>354</v>
      </c>
      <c r="AR16" s="11" t="s">
        <v>149</v>
      </c>
      <c r="AS16" s="11" t="s">
        <v>149</v>
      </c>
      <c r="AT16" s="11"/>
    </row>
    <row r="17">
      <c r="A17" s="36" t="s">
        <v>355</v>
      </c>
      <c r="B17" s="26" t="str">
        <f t="shared" si="1"/>
        <v>2023-PH128004000-2009-0391</v>
      </c>
      <c r="C17" s="27">
        <f t="shared" si="2"/>
        <v>2023</v>
      </c>
      <c r="D17" s="37" t="s">
        <v>140</v>
      </c>
      <c r="E17" s="28" t="s">
        <v>141</v>
      </c>
      <c r="F17" s="28" t="s">
        <v>142</v>
      </c>
      <c r="G17" s="29" t="s">
        <v>356</v>
      </c>
      <c r="H17" s="29" t="s">
        <v>357</v>
      </c>
      <c r="I17" s="29" t="s">
        <v>358</v>
      </c>
      <c r="J17" s="29" t="s">
        <v>359</v>
      </c>
      <c r="K17" s="26" t="s">
        <v>360</v>
      </c>
      <c r="L17" s="47" t="s">
        <v>149</v>
      </c>
      <c r="M17" s="31">
        <v>2009.0</v>
      </c>
      <c r="N17" s="31">
        <v>2009.0</v>
      </c>
      <c r="O17" s="49">
        <v>2015.0</v>
      </c>
      <c r="P17" s="28" t="s">
        <v>150</v>
      </c>
      <c r="Q17" s="32" t="s">
        <v>151</v>
      </c>
      <c r="R17" s="50" t="s">
        <v>152</v>
      </c>
      <c r="S17" s="32" t="s">
        <v>361</v>
      </c>
      <c r="T17" s="28" t="s">
        <v>154</v>
      </c>
      <c r="U17" s="28" t="s">
        <v>154</v>
      </c>
      <c r="V17" s="26" t="s">
        <v>362</v>
      </c>
      <c r="W17" s="32" t="s">
        <v>363</v>
      </c>
      <c r="X17" s="32" t="s">
        <v>364</v>
      </c>
      <c r="Y17" s="26" t="s">
        <v>365</v>
      </c>
      <c r="Z17" s="26" t="s">
        <v>366</v>
      </c>
      <c r="AA17" s="26" t="s">
        <v>159</v>
      </c>
      <c r="AB17" s="26" t="s">
        <v>160</v>
      </c>
      <c r="AC17" s="26" t="s">
        <v>306</v>
      </c>
      <c r="AD17" s="28" t="s">
        <v>306</v>
      </c>
      <c r="AE17" s="29" t="s">
        <v>149</v>
      </c>
      <c r="AF17" s="26" t="s">
        <v>149</v>
      </c>
      <c r="AG17" s="26" t="s">
        <v>367</v>
      </c>
      <c r="AH17" s="26" t="s">
        <v>368</v>
      </c>
      <c r="AI17" s="26" t="s">
        <v>306</v>
      </c>
      <c r="AJ17" s="28" t="s">
        <v>306</v>
      </c>
      <c r="AK17" s="26" t="s">
        <v>369</v>
      </c>
      <c r="AL17" s="26" t="s">
        <v>370</v>
      </c>
      <c r="AM17" s="11" t="s">
        <v>149</v>
      </c>
      <c r="AN17" s="28" t="s">
        <v>165</v>
      </c>
      <c r="AO17" s="26" t="s">
        <v>166</v>
      </c>
      <c r="AP17" s="26" t="s">
        <v>371</v>
      </c>
      <c r="AQ17" s="34" t="s">
        <v>372</v>
      </c>
      <c r="AR17" s="11" t="s">
        <v>149</v>
      </c>
      <c r="AS17" s="11" t="s">
        <v>149</v>
      </c>
      <c r="AT17" s="51" t="s">
        <v>373</v>
      </c>
    </row>
    <row r="18">
      <c r="A18" s="36" t="s">
        <v>374</v>
      </c>
      <c r="B18" s="26" t="str">
        <f t="shared" si="1"/>
        <v>2023-PH128006000-2015-0393</v>
      </c>
      <c r="C18" s="27">
        <f t="shared" si="2"/>
        <v>2023</v>
      </c>
      <c r="D18" s="37" t="s">
        <v>140</v>
      </c>
      <c r="E18" s="28" t="s">
        <v>141</v>
      </c>
      <c r="F18" s="28" t="s">
        <v>192</v>
      </c>
      <c r="G18" s="29" t="s">
        <v>356</v>
      </c>
      <c r="H18" s="29" t="s">
        <v>357</v>
      </c>
      <c r="I18" s="29" t="s">
        <v>375</v>
      </c>
      <c r="J18" s="29" t="s">
        <v>376</v>
      </c>
      <c r="K18" s="26" t="s">
        <v>360</v>
      </c>
      <c r="L18" s="28" t="s">
        <v>149</v>
      </c>
      <c r="M18" s="31">
        <v>2015.0</v>
      </c>
      <c r="N18" s="31" t="s">
        <v>149</v>
      </c>
      <c r="O18" s="31" t="s">
        <v>149</v>
      </c>
      <c r="P18" s="28" t="s">
        <v>150</v>
      </c>
      <c r="Q18" s="32" t="s">
        <v>151</v>
      </c>
      <c r="R18" s="50" t="s">
        <v>152</v>
      </c>
      <c r="S18" s="32" t="s">
        <v>361</v>
      </c>
      <c r="T18" s="28" t="s">
        <v>154</v>
      </c>
      <c r="U18" s="28" t="s">
        <v>154</v>
      </c>
      <c r="V18" s="26" t="s">
        <v>362</v>
      </c>
      <c r="W18" s="32" t="s">
        <v>149</v>
      </c>
      <c r="X18" s="32" t="s">
        <v>254</v>
      </c>
      <c r="Y18" s="26" t="s">
        <v>149</v>
      </c>
      <c r="Z18" s="26" t="s">
        <v>368</v>
      </c>
      <c r="AA18" s="26" t="s">
        <v>159</v>
      </c>
      <c r="AB18" s="26" t="s">
        <v>160</v>
      </c>
      <c r="AC18" s="26" t="s">
        <v>306</v>
      </c>
      <c r="AD18" s="28" t="s">
        <v>306</v>
      </c>
      <c r="AE18" s="29" t="s">
        <v>149</v>
      </c>
      <c r="AF18" s="26" t="s">
        <v>149</v>
      </c>
      <c r="AG18" s="28" t="s">
        <v>377</v>
      </c>
      <c r="AH18" s="26" t="s">
        <v>368</v>
      </c>
      <c r="AI18" s="26" t="s">
        <v>306</v>
      </c>
      <c r="AJ18" s="28" t="s">
        <v>306</v>
      </c>
      <c r="AK18" s="28" t="s">
        <v>149</v>
      </c>
      <c r="AL18" s="28" t="s">
        <v>149</v>
      </c>
      <c r="AM18" s="11" t="s">
        <v>149</v>
      </c>
      <c r="AN18" s="28" t="s">
        <v>165</v>
      </c>
      <c r="AO18" s="28" t="s">
        <v>289</v>
      </c>
      <c r="AP18" s="28" t="s">
        <v>378</v>
      </c>
      <c r="AQ18" s="38" t="s">
        <v>379</v>
      </c>
      <c r="AR18" s="11" t="s">
        <v>149</v>
      </c>
      <c r="AS18" s="11" t="s">
        <v>149</v>
      </c>
      <c r="AT18" s="28"/>
    </row>
    <row r="19" ht="15.0" customHeight="1">
      <c r="A19" s="25" t="s">
        <v>380</v>
      </c>
      <c r="B19" s="26" t="str">
        <f t="shared" si="1"/>
        <v>2023-PH012812000-1986-0003</v>
      </c>
      <c r="C19" s="27">
        <f t="shared" si="2"/>
        <v>2023</v>
      </c>
      <c r="D19" s="28" t="s">
        <v>140</v>
      </c>
      <c r="E19" s="28" t="s">
        <v>141</v>
      </c>
      <c r="F19" s="28" t="s">
        <v>142</v>
      </c>
      <c r="G19" s="40" t="s">
        <v>143</v>
      </c>
      <c r="H19" s="29" t="s">
        <v>381</v>
      </c>
      <c r="I19" s="40" t="s">
        <v>382</v>
      </c>
      <c r="J19" s="29" t="s">
        <v>383</v>
      </c>
      <c r="K19" s="26" t="s">
        <v>384</v>
      </c>
      <c r="L19" s="26" t="s">
        <v>385</v>
      </c>
      <c r="M19" s="31">
        <v>1986.0</v>
      </c>
      <c r="N19" s="31">
        <v>1985.0</v>
      </c>
      <c r="O19" s="31">
        <v>1987.0</v>
      </c>
      <c r="P19" s="28" t="s">
        <v>150</v>
      </c>
      <c r="Q19" s="32" t="s">
        <v>151</v>
      </c>
      <c r="R19" s="28" t="s">
        <v>386</v>
      </c>
      <c r="S19" s="28" t="s">
        <v>386</v>
      </c>
      <c r="T19" s="28" t="s">
        <v>154</v>
      </c>
      <c r="U19" s="28" t="s">
        <v>154</v>
      </c>
      <c r="V19" s="28" t="s">
        <v>386</v>
      </c>
      <c r="W19" s="32" t="s">
        <v>387</v>
      </c>
      <c r="X19" s="32" t="s">
        <v>388</v>
      </c>
      <c r="Y19" s="28" t="s">
        <v>389</v>
      </c>
      <c r="Z19" s="26" t="s">
        <v>390</v>
      </c>
      <c r="AA19" s="26" t="s">
        <v>159</v>
      </c>
      <c r="AB19" s="26" t="s">
        <v>160</v>
      </c>
      <c r="AC19" s="28" t="s">
        <v>322</v>
      </c>
      <c r="AD19" s="28" t="s">
        <v>390</v>
      </c>
      <c r="AE19" s="29" t="s">
        <v>149</v>
      </c>
      <c r="AF19" s="26" t="s">
        <v>149</v>
      </c>
      <c r="AG19" s="26" t="s">
        <v>391</v>
      </c>
      <c r="AH19" s="26" t="s">
        <v>390</v>
      </c>
      <c r="AI19" s="28" t="s">
        <v>322</v>
      </c>
      <c r="AJ19" s="28" t="s">
        <v>390</v>
      </c>
      <c r="AK19" s="28" t="s">
        <v>392</v>
      </c>
      <c r="AL19" s="28" t="s">
        <v>393</v>
      </c>
      <c r="AM19" s="28" t="s">
        <v>394</v>
      </c>
      <c r="AN19" s="28" t="s">
        <v>241</v>
      </c>
      <c r="AO19" s="26" t="s">
        <v>395</v>
      </c>
      <c r="AP19" s="28" t="s">
        <v>396</v>
      </c>
      <c r="AQ19" s="34" t="s">
        <v>397</v>
      </c>
      <c r="AR19" s="26" t="s">
        <v>398</v>
      </c>
      <c r="AS19" s="26" t="s">
        <v>149</v>
      </c>
      <c r="AT19" s="26"/>
    </row>
    <row r="20">
      <c r="A20" s="25" t="s">
        <v>399</v>
      </c>
      <c r="B20" s="26" t="str">
        <f t="shared" si="1"/>
        <v>2023-PH012817000-1986-0005</v>
      </c>
      <c r="C20" s="27">
        <f t="shared" si="2"/>
        <v>2023</v>
      </c>
      <c r="D20" s="28" t="s">
        <v>140</v>
      </c>
      <c r="E20" s="28" t="s">
        <v>141</v>
      </c>
      <c r="F20" s="28" t="s">
        <v>142</v>
      </c>
      <c r="G20" s="29" t="s">
        <v>143</v>
      </c>
      <c r="H20" s="29" t="s">
        <v>381</v>
      </c>
      <c r="I20" s="29" t="s">
        <v>400</v>
      </c>
      <c r="J20" s="29" t="s">
        <v>401</v>
      </c>
      <c r="K20" s="26" t="s">
        <v>384</v>
      </c>
      <c r="L20" s="52" t="s">
        <v>402</v>
      </c>
      <c r="M20" s="31">
        <v>1986.0</v>
      </c>
      <c r="N20" s="31">
        <v>1985.0</v>
      </c>
      <c r="O20" s="31">
        <v>1987.0</v>
      </c>
      <c r="P20" s="28" t="s">
        <v>150</v>
      </c>
      <c r="Q20" s="32" t="s">
        <v>151</v>
      </c>
      <c r="R20" s="28" t="s">
        <v>386</v>
      </c>
      <c r="S20" s="28" t="s">
        <v>386</v>
      </c>
      <c r="T20" s="28" t="s">
        <v>154</v>
      </c>
      <c r="U20" s="28" t="s">
        <v>154</v>
      </c>
      <c r="V20" s="28" t="s">
        <v>386</v>
      </c>
      <c r="W20" s="32" t="s">
        <v>387</v>
      </c>
      <c r="X20" s="32" t="s">
        <v>388</v>
      </c>
      <c r="Y20" s="28" t="s">
        <v>389</v>
      </c>
      <c r="Z20" s="26" t="s">
        <v>390</v>
      </c>
      <c r="AA20" s="26" t="s">
        <v>159</v>
      </c>
      <c r="AB20" s="26" t="s">
        <v>160</v>
      </c>
      <c r="AC20" s="28" t="s">
        <v>322</v>
      </c>
      <c r="AD20" s="28" t="s">
        <v>390</v>
      </c>
      <c r="AE20" s="29" t="s">
        <v>149</v>
      </c>
      <c r="AF20" s="26" t="s">
        <v>149</v>
      </c>
      <c r="AG20" s="26" t="s">
        <v>391</v>
      </c>
      <c r="AH20" s="26" t="s">
        <v>390</v>
      </c>
      <c r="AI20" s="28" t="s">
        <v>322</v>
      </c>
      <c r="AJ20" s="28" t="s">
        <v>390</v>
      </c>
      <c r="AK20" s="28" t="s">
        <v>392</v>
      </c>
      <c r="AL20" s="28" t="s">
        <v>393</v>
      </c>
      <c r="AM20" s="28" t="s">
        <v>394</v>
      </c>
      <c r="AN20" s="28" t="s">
        <v>241</v>
      </c>
      <c r="AO20" s="26" t="s">
        <v>395</v>
      </c>
      <c r="AP20" s="28" t="s">
        <v>396</v>
      </c>
      <c r="AQ20" s="38" t="s">
        <v>397</v>
      </c>
      <c r="AR20" s="26" t="s">
        <v>398</v>
      </c>
      <c r="AS20" s="26" t="s">
        <v>149</v>
      </c>
      <c r="AT20" s="11"/>
    </row>
    <row r="21">
      <c r="A21" s="25" t="s">
        <v>403</v>
      </c>
      <c r="B21" s="26" t="str">
        <f t="shared" si="1"/>
        <v>2023-PH012905000-1986-0008</v>
      </c>
      <c r="C21" s="27">
        <f t="shared" si="2"/>
        <v>2023</v>
      </c>
      <c r="D21" s="28" t="s">
        <v>140</v>
      </c>
      <c r="E21" s="28" t="s">
        <v>141</v>
      </c>
      <c r="F21" s="28" t="s">
        <v>142</v>
      </c>
      <c r="G21" s="29" t="s">
        <v>143</v>
      </c>
      <c r="H21" s="29" t="s">
        <v>404</v>
      </c>
      <c r="I21" s="29" t="s">
        <v>405</v>
      </c>
      <c r="J21" s="29" t="s">
        <v>406</v>
      </c>
      <c r="K21" s="26" t="s">
        <v>384</v>
      </c>
      <c r="L21" s="26" t="s">
        <v>407</v>
      </c>
      <c r="M21" s="31">
        <v>1986.0</v>
      </c>
      <c r="N21" s="31">
        <v>1985.0</v>
      </c>
      <c r="O21" s="31">
        <v>1987.0</v>
      </c>
      <c r="P21" s="28" t="s">
        <v>150</v>
      </c>
      <c r="Q21" s="32" t="s">
        <v>151</v>
      </c>
      <c r="R21" s="28" t="s">
        <v>386</v>
      </c>
      <c r="S21" s="28" t="s">
        <v>386</v>
      </c>
      <c r="T21" s="28" t="s">
        <v>154</v>
      </c>
      <c r="U21" s="28" t="s">
        <v>154</v>
      </c>
      <c r="V21" s="28" t="s">
        <v>386</v>
      </c>
      <c r="W21" s="32" t="s">
        <v>387</v>
      </c>
      <c r="X21" s="32" t="s">
        <v>388</v>
      </c>
      <c r="Y21" s="28" t="s">
        <v>389</v>
      </c>
      <c r="Z21" s="26" t="s">
        <v>390</v>
      </c>
      <c r="AA21" s="26" t="s">
        <v>159</v>
      </c>
      <c r="AB21" s="26" t="s">
        <v>160</v>
      </c>
      <c r="AC21" s="28" t="s">
        <v>322</v>
      </c>
      <c r="AD21" s="28" t="s">
        <v>390</v>
      </c>
      <c r="AE21" s="29" t="s">
        <v>149</v>
      </c>
      <c r="AF21" s="26" t="s">
        <v>149</v>
      </c>
      <c r="AG21" s="26" t="s">
        <v>391</v>
      </c>
      <c r="AH21" s="26" t="s">
        <v>390</v>
      </c>
      <c r="AI21" s="28" t="s">
        <v>322</v>
      </c>
      <c r="AJ21" s="28" t="s">
        <v>390</v>
      </c>
      <c r="AK21" s="28" t="s">
        <v>392</v>
      </c>
      <c r="AL21" s="28" t="s">
        <v>393</v>
      </c>
      <c r="AM21" s="28" t="s">
        <v>394</v>
      </c>
      <c r="AN21" s="28" t="s">
        <v>241</v>
      </c>
      <c r="AO21" s="26" t="s">
        <v>395</v>
      </c>
      <c r="AP21" s="28" t="s">
        <v>396</v>
      </c>
      <c r="AQ21" s="38" t="s">
        <v>397</v>
      </c>
      <c r="AR21" s="26" t="s">
        <v>398</v>
      </c>
      <c r="AS21" s="42" t="s">
        <v>149</v>
      </c>
      <c r="AT21" s="11"/>
    </row>
    <row r="22">
      <c r="A22" s="25" t="s">
        <v>408</v>
      </c>
      <c r="B22" s="26" t="str">
        <f t="shared" si="1"/>
        <v>2023-PH012905000-1986-0009</v>
      </c>
      <c r="C22" s="27">
        <f t="shared" si="2"/>
        <v>2023</v>
      </c>
      <c r="D22" s="28" t="s">
        <v>140</v>
      </c>
      <c r="E22" s="28" t="s">
        <v>141</v>
      </c>
      <c r="F22" s="28" t="s">
        <v>142</v>
      </c>
      <c r="G22" s="29" t="s">
        <v>143</v>
      </c>
      <c r="H22" s="29" t="s">
        <v>404</v>
      </c>
      <c r="I22" s="29" t="s">
        <v>405</v>
      </c>
      <c r="J22" s="30" t="s">
        <v>406</v>
      </c>
      <c r="K22" s="26" t="s">
        <v>384</v>
      </c>
      <c r="L22" s="26" t="s">
        <v>409</v>
      </c>
      <c r="M22" s="31">
        <v>1986.0</v>
      </c>
      <c r="N22" s="31">
        <v>1985.0</v>
      </c>
      <c r="O22" s="31">
        <v>1987.0</v>
      </c>
      <c r="P22" s="28" t="s">
        <v>150</v>
      </c>
      <c r="Q22" s="32" t="s">
        <v>151</v>
      </c>
      <c r="R22" s="28" t="s">
        <v>386</v>
      </c>
      <c r="S22" s="28" t="s">
        <v>386</v>
      </c>
      <c r="T22" s="28" t="s">
        <v>154</v>
      </c>
      <c r="U22" s="28" t="s">
        <v>154</v>
      </c>
      <c r="V22" s="28" t="s">
        <v>386</v>
      </c>
      <c r="W22" s="32" t="s">
        <v>387</v>
      </c>
      <c r="X22" s="32" t="s">
        <v>388</v>
      </c>
      <c r="Y22" s="28" t="s">
        <v>389</v>
      </c>
      <c r="Z22" s="26" t="s">
        <v>390</v>
      </c>
      <c r="AA22" s="26" t="s">
        <v>159</v>
      </c>
      <c r="AB22" s="26" t="s">
        <v>160</v>
      </c>
      <c r="AC22" s="28" t="s">
        <v>322</v>
      </c>
      <c r="AD22" s="28" t="s">
        <v>390</v>
      </c>
      <c r="AE22" s="29" t="s">
        <v>149</v>
      </c>
      <c r="AF22" s="26" t="s">
        <v>149</v>
      </c>
      <c r="AG22" s="26" t="s">
        <v>391</v>
      </c>
      <c r="AH22" s="26" t="s">
        <v>390</v>
      </c>
      <c r="AI22" s="28" t="s">
        <v>322</v>
      </c>
      <c r="AJ22" s="28" t="s">
        <v>390</v>
      </c>
      <c r="AK22" s="28" t="s">
        <v>392</v>
      </c>
      <c r="AL22" s="28" t="s">
        <v>393</v>
      </c>
      <c r="AM22" s="28" t="s">
        <v>394</v>
      </c>
      <c r="AN22" s="28" t="s">
        <v>241</v>
      </c>
      <c r="AO22" s="26" t="s">
        <v>395</v>
      </c>
      <c r="AP22" s="28" t="s">
        <v>396</v>
      </c>
      <c r="AQ22" s="38" t="s">
        <v>397</v>
      </c>
      <c r="AR22" s="26" t="s">
        <v>398</v>
      </c>
      <c r="AS22" s="42" t="s">
        <v>149</v>
      </c>
      <c r="AT22" s="11"/>
    </row>
    <row r="23">
      <c r="A23" s="25" t="s">
        <v>410</v>
      </c>
      <c r="B23" s="26" t="str">
        <f t="shared" si="1"/>
        <v>2023-PH012906000-1986-0011</v>
      </c>
      <c r="C23" s="27">
        <f t="shared" si="2"/>
        <v>2023</v>
      </c>
      <c r="D23" s="28" t="s">
        <v>140</v>
      </c>
      <c r="E23" s="28" t="s">
        <v>141</v>
      </c>
      <c r="F23" s="28" t="s">
        <v>142</v>
      </c>
      <c r="G23" s="29" t="s">
        <v>143</v>
      </c>
      <c r="H23" s="29" t="s">
        <v>404</v>
      </c>
      <c r="I23" s="29" t="s">
        <v>411</v>
      </c>
      <c r="J23" s="29" t="s">
        <v>412</v>
      </c>
      <c r="K23" s="26" t="s">
        <v>384</v>
      </c>
      <c r="L23" s="26" t="s">
        <v>413</v>
      </c>
      <c r="M23" s="31">
        <v>1986.0</v>
      </c>
      <c r="N23" s="31">
        <v>1985.0</v>
      </c>
      <c r="O23" s="31">
        <v>1987.0</v>
      </c>
      <c r="P23" s="28" t="s">
        <v>150</v>
      </c>
      <c r="Q23" s="32" t="s">
        <v>151</v>
      </c>
      <c r="R23" s="28" t="s">
        <v>386</v>
      </c>
      <c r="S23" s="28" t="s">
        <v>386</v>
      </c>
      <c r="T23" s="28" t="s">
        <v>154</v>
      </c>
      <c r="U23" s="28" t="s">
        <v>154</v>
      </c>
      <c r="V23" s="28" t="s">
        <v>386</v>
      </c>
      <c r="W23" s="32" t="s">
        <v>387</v>
      </c>
      <c r="X23" s="32" t="s">
        <v>388</v>
      </c>
      <c r="Y23" s="28" t="s">
        <v>389</v>
      </c>
      <c r="Z23" s="26" t="s">
        <v>390</v>
      </c>
      <c r="AA23" s="26" t="s">
        <v>159</v>
      </c>
      <c r="AB23" s="26" t="s">
        <v>160</v>
      </c>
      <c r="AC23" s="28" t="s">
        <v>322</v>
      </c>
      <c r="AD23" s="28" t="s">
        <v>390</v>
      </c>
      <c r="AE23" s="29" t="s">
        <v>149</v>
      </c>
      <c r="AF23" s="26" t="s">
        <v>149</v>
      </c>
      <c r="AG23" s="26" t="s">
        <v>414</v>
      </c>
      <c r="AH23" s="26" t="s">
        <v>390</v>
      </c>
      <c r="AI23" s="28" t="s">
        <v>322</v>
      </c>
      <c r="AJ23" s="28" t="s">
        <v>390</v>
      </c>
      <c r="AK23" s="28" t="s">
        <v>392</v>
      </c>
      <c r="AL23" s="28" t="s">
        <v>393</v>
      </c>
      <c r="AM23" s="28" t="s">
        <v>394</v>
      </c>
      <c r="AN23" s="28" t="s">
        <v>241</v>
      </c>
      <c r="AO23" s="26" t="s">
        <v>395</v>
      </c>
      <c r="AP23" s="28" t="s">
        <v>396</v>
      </c>
      <c r="AQ23" s="38" t="s">
        <v>397</v>
      </c>
      <c r="AR23" s="26" t="s">
        <v>398</v>
      </c>
      <c r="AS23" s="26" t="s">
        <v>149</v>
      </c>
      <c r="AT23" s="26"/>
    </row>
    <row r="24">
      <c r="A24" s="25" t="s">
        <v>415</v>
      </c>
      <c r="B24" s="26" t="str">
        <f t="shared" si="1"/>
        <v>2023-PH012914000-1986-0013</v>
      </c>
      <c r="C24" s="27">
        <f t="shared" si="2"/>
        <v>2023</v>
      </c>
      <c r="D24" s="28" t="s">
        <v>140</v>
      </c>
      <c r="E24" s="28" t="s">
        <v>141</v>
      </c>
      <c r="F24" s="28" t="s">
        <v>142</v>
      </c>
      <c r="G24" s="29" t="s">
        <v>143</v>
      </c>
      <c r="H24" s="29" t="s">
        <v>404</v>
      </c>
      <c r="I24" s="29" t="s">
        <v>416</v>
      </c>
      <c r="J24" s="29" t="s">
        <v>417</v>
      </c>
      <c r="K24" s="26" t="s">
        <v>384</v>
      </c>
      <c r="L24" s="26" t="s">
        <v>418</v>
      </c>
      <c r="M24" s="31">
        <v>1986.0</v>
      </c>
      <c r="N24" s="31">
        <v>1985.0</v>
      </c>
      <c r="O24" s="31">
        <v>1987.0</v>
      </c>
      <c r="P24" s="28" t="s">
        <v>150</v>
      </c>
      <c r="Q24" s="32" t="s">
        <v>151</v>
      </c>
      <c r="R24" s="28" t="s">
        <v>386</v>
      </c>
      <c r="S24" s="28" t="s">
        <v>386</v>
      </c>
      <c r="T24" s="28" t="s">
        <v>154</v>
      </c>
      <c r="U24" s="28" t="s">
        <v>154</v>
      </c>
      <c r="V24" s="28" t="s">
        <v>386</v>
      </c>
      <c r="W24" s="32" t="s">
        <v>387</v>
      </c>
      <c r="X24" s="32" t="s">
        <v>388</v>
      </c>
      <c r="Y24" s="28" t="s">
        <v>389</v>
      </c>
      <c r="Z24" s="26" t="s">
        <v>390</v>
      </c>
      <c r="AA24" s="26" t="s">
        <v>159</v>
      </c>
      <c r="AB24" s="26" t="s">
        <v>160</v>
      </c>
      <c r="AC24" s="28" t="s">
        <v>322</v>
      </c>
      <c r="AD24" s="28" t="s">
        <v>390</v>
      </c>
      <c r="AE24" s="29" t="s">
        <v>149</v>
      </c>
      <c r="AF24" s="26" t="s">
        <v>149</v>
      </c>
      <c r="AG24" s="26" t="s">
        <v>414</v>
      </c>
      <c r="AH24" s="26" t="s">
        <v>390</v>
      </c>
      <c r="AI24" s="28" t="s">
        <v>322</v>
      </c>
      <c r="AJ24" s="28" t="s">
        <v>390</v>
      </c>
      <c r="AK24" s="28" t="s">
        <v>392</v>
      </c>
      <c r="AL24" s="28" t="s">
        <v>393</v>
      </c>
      <c r="AM24" s="28" t="s">
        <v>394</v>
      </c>
      <c r="AN24" s="28" t="s">
        <v>241</v>
      </c>
      <c r="AO24" s="26" t="s">
        <v>395</v>
      </c>
      <c r="AP24" s="28" t="s">
        <v>396</v>
      </c>
      <c r="AQ24" s="38" t="s">
        <v>397</v>
      </c>
      <c r="AR24" s="26" t="s">
        <v>398</v>
      </c>
      <c r="AS24" s="26" t="s">
        <v>149</v>
      </c>
      <c r="AT24" s="11"/>
    </row>
    <row r="25">
      <c r="A25" s="25" t="s">
        <v>419</v>
      </c>
      <c r="B25" s="26" t="str">
        <f t="shared" si="1"/>
        <v>2023-PH012924000-1986-0014</v>
      </c>
      <c r="C25" s="27">
        <f t="shared" si="2"/>
        <v>2023</v>
      </c>
      <c r="D25" s="28" t="s">
        <v>140</v>
      </c>
      <c r="E25" s="28" t="s">
        <v>141</v>
      </c>
      <c r="F25" s="28" t="s">
        <v>142</v>
      </c>
      <c r="G25" s="29" t="s">
        <v>143</v>
      </c>
      <c r="H25" s="29" t="s">
        <v>404</v>
      </c>
      <c r="I25" s="29" t="s">
        <v>420</v>
      </c>
      <c r="J25" s="29" t="s">
        <v>421</v>
      </c>
      <c r="K25" s="26" t="s">
        <v>384</v>
      </c>
      <c r="L25" s="26" t="s">
        <v>422</v>
      </c>
      <c r="M25" s="31">
        <v>1986.0</v>
      </c>
      <c r="N25" s="31">
        <v>1985.0</v>
      </c>
      <c r="O25" s="31">
        <v>1987.0</v>
      </c>
      <c r="P25" s="28" t="s">
        <v>150</v>
      </c>
      <c r="Q25" s="32" t="s">
        <v>151</v>
      </c>
      <c r="R25" s="28" t="s">
        <v>386</v>
      </c>
      <c r="S25" s="28" t="s">
        <v>386</v>
      </c>
      <c r="T25" s="28" t="s">
        <v>154</v>
      </c>
      <c r="U25" s="28" t="s">
        <v>154</v>
      </c>
      <c r="V25" s="28" t="s">
        <v>386</v>
      </c>
      <c r="W25" s="32" t="s">
        <v>387</v>
      </c>
      <c r="X25" s="32" t="s">
        <v>388</v>
      </c>
      <c r="Y25" s="28" t="s">
        <v>389</v>
      </c>
      <c r="Z25" s="26" t="s">
        <v>390</v>
      </c>
      <c r="AA25" s="26" t="s">
        <v>159</v>
      </c>
      <c r="AB25" s="26" t="s">
        <v>160</v>
      </c>
      <c r="AC25" s="28" t="s">
        <v>322</v>
      </c>
      <c r="AD25" s="28" t="s">
        <v>390</v>
      </c>
      <c r="AE25" s="29" t="s">
        <v>149</v>
      </c>
      <c r="AF25" s="26" t="s">
        <v>149</v>
      </c>
      <c r="AG25" s="26" t="s">
        <v>414</v>
      </c>
      <c r="AH25" s="26" t="s">
        <v>390</v>
      </c>
      <c r="AI25" s="28" t="s">
        <v>322</v>
      </c>
      <c r="AJ25" s="28" t="s">
        <v>390</v>
      </c>
      <c r="AK25" s="28" t="s">
        <v>392</v>
      </c>
      <c r="AL25" s="28" t="s">
        <v>393</v>
      </c>
      <c r="AM25" s="28" t="s">
        <v>394</v>
      </c>
      <c r="AN25" s="28" t="s">
        <v>241</v>
      </c>
      <c r="AO25" s="26" t="s">
        <v>395</v>
      </c>
      <c r="AP25" s="28" t="s">
        <v>396</v>
      </c>
      <c r="AQ25" s="38" t="s">
        <v>397</v>
      </c>
      <c r="AR25" s="26" t="s">
        <v>398</v>
      </c>
      <c r="AS25" s="26" t="s">
        <v>149</v>
      </c>
      <c r="AT25" s="11"/>
    </row>
    <row r="26">
      <c r="A26" s="25" t="s">
        <v>423</v>
      </c>
      <c r="B26" s="26" t="str">
        <f t="shared" si="1"/>
        <v>2023-PH012930000-1986-0016</v>
      </c>
      <c r="C26" s="27">
        <f t="shared" si="2"/>
        <v>2023</v>
      </c>
      <c r="D26" s="28" t="s">
        <v>140</v>
      </c>
      <c r="E26" s="28" t="s">
        <v>141</v>
      </c>
      <c r="F26" s="28" t="s">
        <v>142</v>
      </c>
      <c r="G26" s="29" t="s">
        <v>143</v>
      </c>
      <c r="H26" s="29" t="s">
        <v>404</v>
      </c>
      <c r="I26" s="29" t="s">
        <v>424</v>
      </c>
      <c r="J26" s="29" t="s">
        <v>425</v>
      </c>
      <c r="K26" s="26" t="s">
        <v>384</v>
      </c>
      <c r="L26" s="26" t="s">
        <v>426</v>
      </c>
      <c r="M26" s="31">
        <v>1986.0</v>
      </c>
      <c r="N26" s="31">
        <v>1985.0</v>
      </c>
      <c r="O26" s="31">
        <v>1987.0</v>
      </c>
      <c r="P26" s="28" t="s">
        <v>150</v>
      </c>
      <c r="Q26" s="32" t="s">
        <v>151</v>
      </c>
      <c r="R26" s="28" t="s">
        <v>386</v>
      </c>
      <c r="S26" s="28" t="s">
        <v>386</v>
      </c>
      <c r="T26" s="28" t="s">
        <v>154</v>
      </c>
      <c r="U26" s="28" t="s">
        <v>154</v>
      </c>
      <c r="V26" s="28" t="s">
        <v>386</v>
      </c>
      <c r="W26" s="32" t="s">
        <v>387</v>
      </c>
      <c r="X26" s="32" t="s">
        <v>388</v>
      </c>
      <c r="Y26" s="28" t="s">
        <v>389</v>
      </c>
      <c r="Z26" s="26" t="s">
        <v>390</v>
      </c>
      <c r="AA26" s="26" t="s">
        <v>159</v>
      </c>
      <c r="AB26" s="26" t="s">
        <v>160</v>
      </c>
      <c r="AC26" s="28" t="s">
        <v>322</v>
      </c>
      <c r="AD26" s="28" t="s">
        <v>390</v>
      </c>
      <c r="AE26" s="29" t="s">
        <v>149</v>
      </c>
      <c r="AF26" s="26" t="s">
        <v>149</v>
      </c>
      <c r="AG26" s="26" t="s">
        <v>391</v>
      </c>
      <c r="AH26" s="26" t="s">
        <v>390</v>
      </c>
      <c r="AI26" s="28" t="s">
        <v>322</v>
      </c>
      <c r="AJ26" s="28" t="s">
        <v>390</v>
      </c>
      <c r="AK26" s="28" t="s">
        <v>392</v>
      </c>
      <c r="AL26" s="28" t="s">
        <v>393</v>
      </c>
      <c r="AM26" s="28" t="s">
        <v>394</v>
      </c>
      <c r="AN26" s="28" t="s">
        <v>241</v>
      </c>
      <c r="AO26" s="26" t="s">
        <v>395</v>
      </c>
      <c r="AP26" s="28" t="s">
        <v>396</v>
      </c>
      <c r="AQ26" s="38" t="s">
        <v>397</v>
      </c>
      <c r="AR26" s="26" t="s">
        <v>398</v>
      </c>
      <c r="AS26" s="26" t="s">
        <v>149</v>
      </c>
      <c r="AT26" s="11"/>
    </row>
    <row r="27">
      <c r="A27" s="25" t="s">
        <v>427</v>
      </c>
      <c r="B27" s="26" t="str">
        <f t="shared" si="1"/>
        <v>2023-PH012933000-1986-0017</v>
      </c>
      <c r="C27" s="27">
        <f t="shared" si="2"/>
        <v>2023</v>
      </c>
      <c r="D27" s="28" t="s">
        <v>140</v>
      </c>
      <c r="E27" s="28" t="s">
        <v>141</v>
      </c>
      <c r="F27" s="28" t="s">
        <v>142</v>
      </c>
      <c r="G27" s="29" t="s">
        <v>143</v>
      </c>
      <c r="H27" s="29" t="s">
        <v>404</v>
      </c>
      <c r="I27" s="29" t="s">
        <v>428</v>
      </c>
      <c r="J27" s="29" t="s">
        <v>429</v>
      </c>
      <c r="K27" s="26" t="s">
        <v>384</v>
      </c>
      <c r="L27" s="28" t="s">
        <v>430</v>
      </c>
      <c r="M27" s="31">
        <v>1986.0</v>
      </c>
      <c r="N27" s="31">
        <v>1985.0</v>
      </c>
      <c r="O27" s="31">
        <v>1987.0</v>
      </c>
      <c r="P27" s="28" t="s">
        <v>150</v>
      </c>
      <c r="Q27" s="32" t="s">
        <v>151</v>
      </c>
      <c r="R27" s="28" t="s">
        <v>386</v>
      </c>
      <c r="S27" s="28" t="s">
        <v>386</v>
      </c>
      <c r="T27" s="28" t="s">
        <v>154</v>
      </c>
      <c r="U27" s="28" t="s">
        <v>154</v>
      </c>
      <c r="V27" s="28" t="s">
        <v>386</v>
      </c>
      <c r="W27" s="32" t="s">
        <v>387</v>
      </c>
      <c r="X27" s="32" t="s">
        <v>388</v>
      </c>
      <c r="Y27" s="28" t="s">
        <v>389</v>
      </c>
      <c r="Z27" s="26" t="s">
        <v>390</v>
      </c>
      <c r="AA27" s="26" t="s">
        <v>159</v>
      </c>
      <c r="AB27" s="26" t="s">
        <v>160</v>
      </c>
      <c r="AC27" s="28" t="s">
        <v>322</v>
      </c>
      <c r="AD27" s="28" t="s">
        <v>390</v>
      </c>
      <c r="AE27" s="29" t="s">
        <v>149</v>
      </c>
      <c r="AF27" s="26" t="s">
        <v>149</v>
      </c>
      <c r="AG27" s="26" t="s">
        <v>431</v>
      </c>
      <c r="AH27" s="26" t="s">
        <v>390</v>
      </c>
      <c r="AI27" s="28" t="s">
        <v>322</v>
      </c>
      <c r="AJ27" s="28" t="s">
        <v>390</v>
      </c>
      <c r="AK27" s="28" t="s">
        <v>392</v>
      </c>
      <c r="AL27" s="28" t="s">
        <v>393</v>
      </c>
      <c r="AM27" s="28" t="s">
        <v>394</v>
      </c>
      <c r="AN27" s="28" t="s">
        <v>241</v>
      </c>
      <c r="AO27" s="26" t="s">
        <v>395</v>
      </c>
      <c r="AP27" s="28" t="s">
        <v>396</v>
      </c>
      <c r="AQ27" s="38" t="s">
        <v>397</v>
      </c>
      <c r="AR27" s="26" t="s">
        <v>398</v>
      </c>
      <c r="AS27" s="26" t="s">
        <v>149</v>
      </c>
      <c r="AT27" s="11"/>
    </row>
    <row r="28">
      <c r="A28" s="25" t="s">
        <v>432</v>
      </c>
      <c r="B28" s="26" t="str">
        <f t="shared" si="1"/>
        <v>2023-PH012934000-1986-0018</v>
      </c>
      <c r="C28" s="27">
        <f t="shared" si="2"/>
        <v>2023</v>
      </c>
      <c r="D28" s="28" t="s">
        <v>140</v>
      </c>
      <c r="E28" s="28" t="s">
        <v>141</v>
      </c>
      <c r="F28" s="28" t="s">
        <v>142</v>
      </c>
      <c r="G28" s="29" t="s">
        <v>143</v>
      </c>
      <c r="H28" s="29" t="s">
        <v>404</v>
      </c>
      <c r="I28" s="29" t="s">
        <v>433</v>
      </c>
      <c r="J28" s="29" t="s">
        <v>434</v>
      </c>
      <c r="K28" s="26" t="s">
        <v>384</v>
      </c>
      <c r="L28" s="26" t="s">
        <v>435</v>
      </c>
      <c r="M28" s="31">
        <v>1986.0</v>
      </c>
      <c r="N28" s="31">
        <v>1985.0</v>
      </c>
      <c r="O28" s="31">
        <v>1987.0</v>
      </c>
      <c r="P28" s="28" t="s">
        <v>150</v>
      </c>
      <c r="Q28" s="32" t="s">
        <v>151</v>
      </c>
      <c r="R28" s="28" t="s">
        <v>386</v>
      </c>
      <c r="S28" s="28" t="s">
        <v>386</v>
      </c>
      <c r="T28" s="28" t="s">
        <v>154</v>
      </c>
      <c r="U28" s="28" t="s">
        <v>154</v>
      </c>
      <c r="V28" s="28" t="s">
        <v>386</v>
      </c>
      <c r="W28" s="32" t="s">
        <v>387</v>
      </c>
      <c r="X28" s="32" t="s">
        <v>388</v>
      </c>
      <c r="Y28" s="28" t="s">
        <v>389</v>
      </c>
      <c r="Z28" s="26" t="s">
        <v>390</v>
      </c>
      <c r="AA28" s="26" t="s">
        <v>159</v>
      </c>
      <c r="AB28" s="26" t="s">
        <v>160</v>
      </c>
      <c r="AC28" s="28" t="s">
        <v>322</v>
      </c>
      <c r="AD28" s="28" t="s">
        <v>390</v>
      </c>
      <c r="AE28" s="29" t="s">
        <v>149</v>
      </c>
      <c r="AF28" s="26" t="s">
        <v>149</v>
      </c>
      <c r="AG28" s="26" t="s">
        <v>436</v>
      </c>
      <c r="AH28" s="26" t="s">
        <v>390</v>
      </c>
      <c r="AI28" s="28" t="s">
        <v>322</v>
      </c>
      <c r="AJ28" s="28" t="s">
        <v>390</v>
      </c>
      <c r="AK28" s="28" t="s">
        <v>392</v>
      </c>
      <c r="AL28" s="28" t="s">
        <v>393</v>
      </c>
      <c r="AM28" s="28" t="s">
        <v>394</v>
      </c>
      <c r="AN28" s="28" t="s">
        <v>241</v>
      </c>
      <c r="AO28" s="26" t="s">
        <v>395</v>
      </c>
      <c r="AP28" s="28" t="s">
        <v>396</v>
      </c>
      <c r="AQ28" s="38" t="s">
        <v>397</v>
      </c>
      <c r="AR28" s="26" t="s">
        <v>398</v>
      </c>
      <c r="AS28" s="26" t="s">
        <v>149</v>
      </c>
      <c r="AT28" s="11"/>
    </row>
    <row r="29">
      <c r="A29" s="25" t="s">
        <v>437</v>
      </c>
      <c r="B29" s="26" t="str">
        <f t="shared" si="1"/>
        <v>2023-PH013302000-1986-0020</v>
      </c>
      <c r="C29" s="27">
        <f t="shared" si="2"/>
        <v>2023</v>
      </c>
      <c r="D29" s="28" t="s">
        <v>140</v>
      </c>
      <c r="E29" s="28" t="s">
        <v>141</v>
      </c>
      <c r="F29" s="28" t="s">
        <v>142</v>
      </c>
      <c r="G29" s="29" t="s">
        <v>143</v>
      </c>
      <c r="H29" s="29" t="s">
        <v>438</v>
      </c>
      <c r="I29" s="29" t="s">
        <v>439</v>
      </c>
      <c r="J29" s="29" t="s">
        <v>440</v>
      </c>
      <c r="K29" s="26" t="s">
        <v>384</v>
      </c>
      <c r="L29" s="26" t="s">
        <v>441</v>
      </c>
      <c r="M29" s="31">
        <v>1986.0</v>
      </c>
      <c r="N29" s="31">
        <v>1985.0</v>
      </c>
      <c r="O29" s="31">
        <v>1987.0</v>
      </c>
      <c r="P29" s="28" t="s">
        <v>150</v>
      </c>
      <c r="Q29" s="32" t="s">
        <v>151</v>
      </c>
      <c r="R29" s="28" t="s">
        <v>386</v>
      </c>
      <c r="S29" s="28" t="s">
        <v>386</v>
      </c>
      <c r="T29" s="28" t="s">
        <v>154</v>
      </c>
      <c r="U29" s="28" t="s">
        <v>154</v>
      </c>
      <c r="V29" s="28" t="s">
        <v>386</v>
      </c>
      <c r="W29" s="32" t="s">
        <v>387</v>
      </c>
      <c r="X29" s="32" t="s">
        <v>388</v>
      </c>
      <c r="Y29" s="28" t="s">
        <v>389</v>
      </c>
      <c r="Z29" s="26" t="s">
        <v>390</v>
      </c>
      <c r="AA29" s="26" t="s">
        <v>159</v>
      </c>
      <c r="AB29" s="26" t="s">
        <v>160</v>
      </c>
      <c r="AC29" s="28" t="s">
        <v>322</v>
      </c>
      <c r="AD29" s="28" t="s">
        <v>390</v>
      </c>
      <c r="AE29" s="29" t="s">
        <v>149</v>
      </c>
      <c r="AF29" s="26" t="s">
        <v>149</v>
      </c>
      <c r="AG29" s="26" t="s">
        <v>391</v>
      </c>
      <c r="AH29" s="26" t="s">
        <v>390</v>
      </c>
      <c r="AI29" s="28" t="s">
        <v>322</v>
      </c>
      <c r="AJ29" s="28" t="s">
        <v>390</v>
      </c>
      <c r="AK29" s="28" t="s">
        <v>392</v>
      </c>
      <c r="AL29" s="28" t="s">
        <v>393</v>
      </c>
      <c r="AM29" s="28" t="s">
        <v>394</v>
      </c>
      <c r="AN29" s="28" t="s">
        <v>241</v>
      </c>
      <c r="AO29" s="26" t="s">
        <v>395</v>
      </c>
      <c r="AP29" s="28" t="s">
        <v>396</v>
      </c>
      <c r="AQ29" s="38" t="s">
        <v>397</v>
      </c>
      <c r="AR29" s="26" t="s">
        <v>398</v>
      </c>
      <c r="AS29" s="26" t="s">
        <v>149</v>
      </c>
      <c r="AT29" s="11"/>
    </row>
    <row r="30">
      <c r="A30" s="25" t="s">
        <v>442</v>
      </c>
      <c r="B30" s="26" t="str">
        <f t="shared" si="1"/>
        <v>2023-PH013306000-1986-0024</v>
      </c>
      <c r="C30" s="27">
        <f t="shared" si="2"/>
        <v>2023</v>
      </c>
      <c r="D30" s="28" t="s">
        <v>140</v>
      </c>
      <c r="E30" s="28" t="s">
        <v>141</v>
      </c>
      <c r="F30" s="28" t="s">
        <v>142</v>
      </c>
      <c r="G30" s="29" t="s">
        <v>143</v>
      </c>
      <c r="H30" s="29" t="s">
        <v>438</v>
      </c>
      <c r="I30" s="29" t="s">
        <v>443</v>
      </c>
      <c r="J30" s="29" t="s">
        <v>444</v>
      </c>
      <c r="K30" s="26" t="s">
        <v>384</v>
      </c>
      <c r="L30" s="26" t="s">
        <v>445</v>
      </c>
      <c r="M30" s="31">
        <v>1986.0</v>
      </c>
      <c r="N30" s="31">
        <v>1985.0</v>
      </c>
      <c r="O30" s="31">
        <v>1987.0</v>
      </c>
      <c r="P30" s="28" t="s">
        <v>150</v>
      </c>
      <c r="Q30" s="32" t="s">
        <v>151</v>
      </c>
      <c r="R30" s="28" t="s">
        <v>149</v>
      </c>
      <c r="S30" s="32" t="s">
        <v>149</v>
      </c>
      <c r="T30" s="28" t="s">
        <v>154</v>
      </c>
      <c r="U30" s="28" t="s">
        <v>154</v>
      </c>
      <c r="V30" s="26" t="s">
        <v>149</v>
      </c>
      <c r="W30" s="32" t="s">
        <v>387</v>
      </c>
      <c r="X30" s="32" t="s">
        <v>388</v>
      </c>
      <c r="Y30" s="28" t="s">
        <v>389</v>
      </c>
      <c r="Z30" s="26" t="s">
        <v>390</v>
      </c>
      <c r="AA30" s="26" t="s">
        <v>159</v>
      </c>
      <c r="AB30" s="26" t="s">
        <v>160</v>
      </c>
      <c r="AC30" s="28" t="s">
        <v>322</v>
      </c>
      <c r="AD30" s="28" t="s">
        <v>390</v>
      </c>
      <c r="AE30" s="29" t="s">
        <v>149</v>
      </c>
      <c r="AF30" s="26" t="s">
        <v>149</v>
      </c>
      <c r="AG30" s="26" t="s">
        <v>149</v>
      </c>
      <c r="AH30" s="26" t="s">
        <v>390</v>
      </c>
      <c r="AI30" s="28" t="s">
        <v>322</v>
      </c>
      <c r="AJ30" s="28" t="s">
        <v>390</v>
      </c>
      <c r="AK30" s="28" t="s">
        <v>392</v>
      </c>
      <c r="AL30" s="28" t="s">
        <v>393</v>
      </c>
      <c r="AM30" s="28" t="s">
        <v>394</v>
      </c>
      <c r="AN30" s="28" t="s">
        <v>241</v>
      </c>
      <c r="AO30" s="26" t="s">
        <v>395</v>
      </c>
      <c r="AP30" s="28" t="s">
        <v>396</v>
      </c>
      <c r="AQ30" s="38" t="s">
        <v>397</v>
      </c>
      <c r="AR30" s="26" t="s">
        <v>398</v>
      </c>
      <c r="AS30" s="26" t="s">
        <v>149</v>
      </c>
      <c r="AT30" s="26"/>
    </row>
    <row r="31">
      <c r="A31" s="25" t="s">
        <v>446</v>
      </c>
      <c r="B31" s="26" t="str">
        <f t="shared" si="1"/>
        <v>2023-PH013313000-1985-0031</v>
      </c>
      <c r="C31" s="27">
        <f t="shared" si="2"/>
        <v>2023</v>
      </c>
      <c r="D31" s="28" t="s">
        <v>140</v>
      </c>
      <c r="E31" s="28" t="s">
        <v>141</v>
      </c>
      <c r="F31" s="28" t="s">
        <v>142</v>
      </c>
      <c r="G31" s="29" t="s">
        <v>143</v>
      </c>
      <c r="H31" s="29" t="s">
        <v>438</v>
      </c>
      <c r="I31" s="29" t="s">
        <v>447</v>
      </c>
      <c r="J31" s="29" t="s">
        <v>448</v>
      </c>
      <c r="K31" s="26" t="s">
        <v>384</v>
      </c>
      <c r="L31" s="26" t="s">
        <v>449</v>
      </c>
      <c r="M31" s="31">
        <v>1985.0</v>
      </c>
      <c r="N31" s="31">
        <v>1985.0</v>
      </c>
      <c r="O31" s="31">
        <v>1987.0</v>
      </c>
      <c r="P31" s="28" t="s">
        <v>150</v>
      </c>
      <c r="Q31" s="32" t="s">
        <v>151</v>
      </c>
      <c r="R31" s="28" t="s">
        <v>386</v>
      </c>
      <c r="S31" s="28" t="s">
        <v>386</v>
      </c>
      <c r="T31" s="28" t="s">
        <v>154</v>
      </c>
      <c r="U31" s="28" t="s">
        <v>154</v>
      </c>
      <c r="V31" s="28" t="s">
        <v>386</v>
      </c>
      <c r="W31" s="32" t="s">
        <v>387</v>
      </c>
      <c r="X31" s="32" t="s">
        <v>388</v>
      </c>
      <c r="Y31" s="28" t="s">
        <v>389</v>
      </c>
      <c r="Z31" s="26" t="s">
        <v>390</v>
      </c>
      <c r="AA31" s="26" t="s">
        <v>159</v>
      </c>
      <c r="AB31" s="26" t="s">
        <v>160</v>
      </c>
      <c r="AC31" s="28" t="s">
        <v>322</v>
      </c>
      <c r="AD31" s="28" t="s">
        <v>390</v>
      </c>
      <c r="AE31" s="29" t="s">
        <v>149</v>
      </c>
      <c r="AF31" s="26" t="s">
        <v>149</v>
      </c>
      <c r="AG31" s="26" t="s">
        <v>450</v>
      </c>
      <c r="AH31" s="26" t="s">
        <v>390</v>
      </c>
      <c r="AI31" s="28" t="s">
        <v>322</v>
      </c>
      <c r="AJ31" s="28" t="s">
        <v>390</v>
      </c>
      <c r="AK31" s="28" t="s">
        <v>392</v>
      </c>
      <c r="AL31" s="28" t="s">
        <v>393</v>
      </c>
      <c r="AM31" s="28" t="s">
        <v>394</v>
      </c>
      <c r="AN31" s="28" t="s">
        <v>241</v>
      </c>
      <c r="AO31" s="26" t="s">
        <v>395</v>
      </c>
      <c r="AP31" s="28" t="s">
        <v>396</v>
      </c>
      <c r="AQ31" s="38" t="s">
        <v>397</v>
      </c>
      <c r="AR31" s="26" t="s">
        <v>398</v>
      </c>
      <c r="AS31" s="26" t="s">
        <v>149</v>
      </c>
      <c r="AT31" s="11"/>
    </row>
    <row r="32">
      <c r="A32" s="25" t="s">
        <v>451</v>
      </c>
      <c r="B32" s="26" t="str">
        <f t="shared" si="1"/>
        <v>2023-PH015501000-1985-0032</v>
      </c>
      <c r="C32" s="27">
        <f t="shared" si="2"/>
        <v>2023</v>
      </c>
      <c r="D32" s="28" t="s">
        <v>140</v>
      </c>
      <c r="E32" s="28" t="s">
        <v>141</v>
      </c>
      <c r="F32" s="28" t="s">
        <v>142</v>
      </c>
      <c r="G32" s="29" t="s">
        <v>143</v>
      </c>
      <c r="H32" s="29" t="s">
        <v>144</v>
      </c>
      <c r="I32" s="29" t="s">
        <v>145</v>
      </c>
      <c r="J32" s="30" t="s">
        <v>146</v>
      </c>
      <c r="K32" s="26" t="s">
        <v>384</v>
      </c>
      <c r="L32" s="26" t="s">
        <v>452</v>
      </c>
      <c r="M32" s="53">
        <v>1985.0</v>
      </c>
      <c r="N32" s="31">
        <v>1985.0</v>
      </c>
      <c r="O32" s="31">
        <v>1987.0</v>
      </c>
      <c r="P32" s="28" t="s">
        <v>150</v>
      </c>
      <c r="Q32" s="32" t="s">
        <v>151</v>
      </c>
      <c r="R32" s="28" t="s">
        <v>386</v>
      </c>
      <c r="S32" s="28" t="s">
        <v>386</v>
      </c>
      <c r="T32" s="28" t="s">
        <v>154</v>
      </c>
      <c r="U32" s="28" t="s">
        <v>154</v>
      </c>
      <c r="V32" s="28" t="s">
        <v>386</v>
      </c>
      <c r="W32" s="32" t="s">
        <v>387</v>
      </c>
      <c r="X32" s="32" t="s">
        <v>388</v>
      </c>
      <c r="Y32" s="28" t="s">
        <v>389</v>
      </c>
      <c r="Z32" s="26" t="s">
        <v>390</v>
      </c>
      <c r="AA32" s="26" t="s">
        <v>159</v>
      </c>
      <c r="AB32" s="26" t="s">
        <v>160</v>
      </c>
      <c r="AC32" s="28" t="s">
        <v>322</v>
      </c>
      <c r="AD32" s="28" t="s">
        <v>390</v>
      </c>
      <c r="AE32" s="29" t="s">
        <v>149</v>
      </c>
      <c r="AF32" s="26" t="s">
        <v>149</v>
      </c>
      <c r="AG32" s="26" t="s">
        <v>453</v>
      </c>
      <c r="AH32" s="26" t="s">
        <v>390</v>
      </c>
      <c r="AI32" s="28" t="s">
        <v>322</v>
      </c>
      <c r="AJ32" s="28" t="s">
        <v>390</v>
      </c>
      <c r="AK32" s="28" t="s">
        <v>392</v>
      </c>
      <c r="AL32" s="28" t="s">
        <v>393</v>
      </c>
      <c r="AM32" s="28" t="s">
        <v>394</v>
      </c>
      <c r="AN32" s="28" t="s">
        <v>241</v>
      </c>
      <c r="AO32" s="26" t="s">
        <v>395</v>
      </c>
      <c r="AP32" s="28" t="s">
        <v>396</v>
      </c>
      <c r="AQ32" s="38" t="s">
        <v>397</v>
      </c>
      <c r="AR32" s="26" t="s">
        <v>398</v>
      </c>
      <c r="AS32" s="26" t="s">
        <v>149</v>
      </c>
      <c r="AT32" s="11"/>
    </row>
    <row r="33">
      <c r="A33" s="25" t="s">
        <v>454</v>
      </c>
      <c r="B33" s="26" t="str">
        <f t="shared" si="1"/>
        <v>2023-PH015503000-1985-0036</v>
      </c>
      <c r="C33" s="27">
        <f t="shared" si="2"/>
        <v>2023</v>
      </c>
      <c r="D33" s="28" t="s">
        <v>140</v>
      </c>
      <c r="E33" s="28" t="s">
        <v>141</v>
      </c>
      <c r="F33" s="28" t="s">
        <v>142</v>
      </c>
      <c r="G33" s="29" t="s">
        <v>143</v>
      </c>
      <c r="H33" s="29" t="s">
        <v>144</v>
      </c>
      <c r="I33" s="40" t="s">
        <v>221</v>
      </c>
      <c r="J33" s="29" t="s">
        <v>222</v>
      </c>
      <c r="K33" s="26" t="s">
        <v>384</v>
      </c>
      <c r="L33" s="26" t="s">
        <v>455</v>
      </c>
      <c r="M33" s="31">
        <v>1985.0</v>
      </c>
      <c r="N33" s="31">
        <v>1985.0</v>
      </c>
      <c r="O33" s="31">
        <v>1987.0</v>
      </c>
      <c r="P33" s="28" t="s">
        <v>150</v>
      </c>
      <c r="Q33" s="32" t="s">
        <v>151</v>
      </c>
      <c r="R33" s="28" t="s">
        <v>386</v>
      </c>
      <c r="S33" s="28" t="s">
        <v>386</v>
      </c>
      <c r="T33" s="28" t="s">
        <v>154</v>
      </c>
      <c r="U33" s="28" t="s">
        <v>154</v>
      </c>
      <c r="V33" s="28" t="s">
        <v>386</v>
      </c>
      <c r="W33" s="32" t="s">
        <v>387</v>
      </c>
      <c r="X33" s="32" t="s">
        <v>388</v>
      </c>
      <c r="Y33" s="28" t="s">
        <v>389</v>
      </c>
      <c r="Z33" s="26" t="s">
        <v>390</v>
      </c>
      <c r="AA33" s="26" t="s">
        <v>159</v>
      </c>
      <c r="AB33" s="26" t="s">
        <v>160</v>
      </c>
      <c r="AC33" s="28" t="s">
        <v>322</v>
      </c>
      <c r="AD33" s="28" t="s">
        <v>390</v>
      </c>
      <c r="AE33" s="29" t="s">
        <v>149</v>
      </c>
      <c r="AF33" s="26" t="s">
        <v>149</v>
      </c>
      <c r="AG33" s="26" t="s">
        <v>453</v>
      </c>
      <c r="AH33" s="26" t="s">
        <v>390</v>
      </c>
      <c r="AI33" s="28" t="s">
        <v>322</v>
      </c>
      <c r="AJ33" s="28" t="s">
        <v>390</v>
      </c>
      <c r="AK33" s="28" t="s">
        <v>392</v>
      </c>
      <c r="AL33" s="28" t="s">
        <v>393</v>
      </c>
      <c r="AM33" s="28" t="s">
        <v>394</v>
      </c>
      <c r="AN33" s="28" t="s">
        <v>241</v>
      </c>
      <c r="AO33" s="26" t="s">
        <v>395</v>
      </c>
      <c r="AP33" s="28" t="s">
        <v>396</v>
      </c>
      <c r="AQ33" s="38" t="s">
        <v>397</v>
      </c>
      <c r="AR33" s="26" t="s">
        <v>398</v>
      </c>
      <c r="AS33" s="11" t="s">
        <v>149</v>
      </c>
      <c r="AT33" s="26"/>
    </row>
    <row r="34">
      <c r="A34" s="25" t="s">
        <v>456</v>
      </c>
      <c r="B34" s="26" t="str">
        <f t="shared" si="1"/>
        <v>2023-PH015503000-1987-0037</v>
      </c>
      <c r="C34" s="27">
        <f t="shared" si="2"/>
        <v>2023</v>
      </c>
      <c r="D34" s="28" t="s">
        <v>140</v>
      </c>
      <c r="E34" s="28" t="s">
        <v>141</v>
      </c>
      <c r="F34" s="28" t="s">
        <v>142</v>
      </c>
      <c r="G34" s="29" t="s">
        <v>143</v>
      </c>
      <c r="H34" s="29" t="s">
        <v>144</v>
      </c>
      <c r="I34" s="40" t="s">
        <v>221</v>
      </c>
      <c r="J34" s="29" t="s">
        <v>222</v>
      </c>
      <c r="K34" s="26" t="s">
        <v>384</v>
      </c>
      <c r="L34" s="26" t="s">
        <v>457</v>
      </c>
      <c r="M34" s="31">
        <v>1987.0</v>
      </c>
      <c r="N34" s="31">
        <v>1985.0</v>
      </c>
      <c r="O34" s="31">
        <v>1987.0</v>
      </c>
      <c r="P34" s="28" t="s">
        <v>150</v>
      </c>
      <c r="Q34" s="32" t="s">
        <v>151</v>
      </c>
      <c r="R34" s="28" t="s">
        <v>386</v>
      </c>
      <c r="S34" s="28" t="s">
        <v>386</v>
      </c>
      <c r="T34" s="28" t="s">
        <v>154</v>
      </c>
      <c r="U34" s="28" t="s">
        <v>154</v>
      </c>
      <c r="V34" s="28" t="s">
        <v>386</v>
      </c>
      <c r="W34" s="32" t="s">
        <v>387</v>
      </c>
      <c r="X34" s="32" t="s">
        <v>388</v>
      </c>
      <c r="Y34" s="28" t="s">
        <v>389</v>
      </c>
      <c r="Z34" s="26" t="s">
        <v>390</v>
      </c>
      <c r="AA34" s="26" t="s">
        <v>159</v>
      </c>
      <c r="AB34" s="26" t="s">
        <v>160</v>
      </c>
      <c r="AC34" s="28" t="s">
        <v>322</v>
      </c>
      <c r="AD34" s="28" t="s">
        <v>390</v>
      </c>
      <c r="AE34" s="29" t="s">
        <v>149</v>
      </c>
      <c r="AF34" s="26" t="s">
        <v>149</v>
      </c>
      <c r="AG34" s="26" t="s">
        <v>391</v>
      </c>
      <c r="AH34" s="26" t="s">
        <v>390</v>
      </c>
      <c r="AI34" s="28" t="s">
        <v>322</v>
      </c>
      <c r="AJ34" s="28" t="s">
        <v>390</v>
      </c>
      <c r="AK34" s="28" t="s">
        <v>392</v>
      </c>
      <c r="AL34" s="28" t="s">
        <v>393</v>
      </c>
      <c r="AM34" s="28" t="s">
        <v>394</v>
      </c>
      <c r="AN34" s="28" t="s">
        <v>241</v>
      </c>
      <c r="AO34" s="26" t="s">
        <v>395</v>
      </c>
      <c r="AP34" s="28" t="s">
        <v>396</v>
      </c>
      <c r="AQ34" s="38" t="s">
        <v>397</v>
      </c>
      <c r="AR34" s="26" t="s">
        <v>398</v>
      </c>
      <c r="AS34" s="11" t="s">
        <v>149</v>
      </c>
      <c r="AT34" s="26"/>
    </row>
    <row r="35">
      <c r="A35" s="25" t="s">
        <v>458</v>
      </c>
      <c r="B35" s="26" t="str">
        <f t="shared" si="1"/>
        <v>2023-PH015505000-1986-0044</v>
      </c>
      <c r="C35" s="27">
        <f t="shared" si="2"/>
        <v>2023</v>
      </c>
      <c r="D35" s="28" t="s">
        <v>140</v>
      </c>
      <c r="E35" s="28" t="s">
        <v>141</v>
      </c>
      <c r="F35" s="28" t="s">
        <v>142</v>
      </c>
      <c r="G35" s="29" t="s">
        <v>143</v>
      </c>
      <c r="H35" s="29" t="s">
        <v>144</v>
      </c>
      <c r="I35" s="29" t="s">
        <v>230</v>
      </c>
      <c r="J35" s="29" t="s">
        <v>231</v>
      </c>
      <c r="K35" s="26" t="s">
        <v>384</v>
      </c>
      <c r="L35" s="26" t="s">
        <v>459</v>
      </c>
      <c r="M35" s="31">
        <v>1986.0</v>
      </c>
      <c r="N35" s="31">
        <v>1985.0</v>
      </c>
      <c r="O35" s="31">
        <v>1987.0</v>
      </c>
      <c r="P35" s="28" t="s">
        <v>150</v>
      </c>
      <c r="Q35" s="32" t="s">
        <v>151</v>
      </c>
      <c r="R35" s="28" t="s">
        <v>386</v>
      </c>
      <c r="S35" s="28" t="s">
        <v>386</v>
      </c>
      <c r="T35" s="28" t="s">
        <v>154</v>
      </c>
      <c r="U35" s="28" t="s">
        <v>154</v>
      </c>
      <c r="V35" s="28" t="s">
        <v>386</v>
      </c>
      <c r="W35" s="32" t="s">
        <v>387</v>
      </c>
      <c r="X35" s="32" t="s">
        <v>388</v>
      </c>
      <c r="Y35" s="28" t="s">
        <v>389</v>
      </c>
      <c r="Z35" s="26" t="s">
        <v>390</v>
      </c>
      <c r="AA35" s="26" t="s">
        <v>159</v>
      </c>
      <c r="AB35" s="26" t="s">
        <v>160</v>
      </c>
      <c r="AC35" s="28" t="s">
        <v>322</v>
      </c>
      <c r="AD35" s="28" t="s">
        <v>390</v>
      </c>
      <c r="AE35" s="29" t="s">
        <v>149</v>
      </c>
      <c r="AF35" s="26" t="s">
        <v>149</v>
      </c>
      <c r="AG35" s="26" t="s">
        <v>391</v>
      </c>
      <c r="AH35" s="26" t="s">
        <v>390</v>
      </c>
      <c r="AI35" s="28" t="s">
        <v>322</v>
      </c>
      <c r="AJ35" s="28" t="s">
        <v>390</v>
      </c>
      <c r="AK35" s="28" t="s">
        <v>392</v>
      </c>
      <c r="AL35" s="28" t="s">
        <v>393</v>
      </c>
      <c r="AM35" s="28" t="s">
        <v>394</v>
      </c>
      <c r="AN35" s="28" t="s">
        <v>241</v>
      </c>
      <c r="AO35" s="26" t="s">
        <v>395</v>
      </c>
      <c r="AP35" s="28" t="s">
        <v>396</v>
      </c>
      <c r="AQ35" s="38" t="s">
        <v>397</v>
      </c>
      <c r="AR35" s="26" t="s">
        <v>398</v>
      </c>
      <c r="AS35" s="11" t="s">
        <v>149</v>
      </c>
      <c r="AT35" s="11"/>
    </row>
    <row r="36">
      <c r="A36" s="25" t="s">
        <v>460</v>
      </c>
      <c r="B36" s="26" t="str">
        <f t="shared" si="1"/>
        <v>2023-PH015505000-1986-0045</v>
      </c>
      <c r="C36" s="27">
        <f t="shared" si="2"/>
        <v>2023</v>
      </c>
      <c r="D36" s="28" t="s">
        <v>140</v>
      </c>
      <c r="E36" s="28" t="s">
        <v>141</v>
      </c>
      <c r="F36" s="28" t="s">
        <v>142</v>
      </c>
      <c r="G36" s="29" t="s">
        <v>143</v>
      </c>
      <c r="H36" s="29" t="s">
        <v>144</v>
      </c>
      <c r="I36" s="29" t="s">
        <v>230</v>
      </c>
      <c r="J36" s="29" t="s">
        <v>231</v>
      </c>
      <c r="K36" s="26" t="s">
        <v>384</v>
      </c>
      <c r="L36" s="26" t="s">
        <v>461</v>
      </c>
      <c r="M36" s="31">
        <v>1986.0</v>
      </c>
      <c r="N36" s="31">
        <v>1985.0</v>
      </c>
      <c r="O36" s="31">
        <v>1987.0</v>
      </c>
      <c r="P36" s="28" t="s">
        <v>150</v>
      </c>
      <c r="Q36" s="32" t="s">
        <v>151</v>
      </c>
      <c r="R36" s="28" t="s">
        <v>386</v>
      </c>
      <c r="S36" s="28" t="s">
        <v>386</v>
      </c>
      <c r="T36" s="28" t="s">
        <v>154</v>
      </c>
      <c r="U36" s="28" t="s">
        <v>154</v>
      </c>
      <c r="V36" s="28" t="s">
        <v>386</v>
      </c>
      <c r="W36" s="32" t="s">
        <v>387</v>
      </c>
      <c r="X36" s="32" t="s">
        <v>388</v>
      </c>
      <c r="Y36" s="28" t="s">
        <v>389</v>
      </c>
      <c r="Z36" s="26" t="s">
        <v>390</v>
      </c>
      <c r="AA36" s="26" t="s">
        <v>159</v>
      </c>
      <c r="AB36" s="26" t="s">
        <v>160</v>
      </c>
      <c r="AC36" s="28" t="s">
        <v>322</v>
      </c>
      <c r="AD36" s="28" t="s">
        <v>390</v>
      </c>
      <c r="AE36" s="29" t="s">
        <v>149</v>
      </c>
      <c r="AF36" s="26" t="s">
        <v>149</v>
      </c>
      <c r="AG36" s="26" t="s">
        <v>391</v>
      </c>
      <c r="AH36" s="26" t="s">
        <v>390</v>
      </c>
      <c r="AI36" s="28" t="s">
        <v>322</v>
      </c>
      <c r="AJ36" s="28" t="s">
        <v>390</v>
      </c>
      <c r="AK36" s="28" t="s">
        <v>392</v>
      </c>
      <c r="AL36" s="28" t="s">
        <v>393</v>
      </c>
      <c r="AM36" s="28" t="s">
        <v>394</v>
      </c>
      <c r="AN36" s="28" t="s">
        <v>241</v>
      </c>
      <c r="AO36" s="26" t="s">
        <v>395</v>
      </c>
      <c r="AP36" s="28" t="s">
        <v>396</v>
      </c>
      <c r="AQ36" s="38" t="s">
        <v>397</v>
      </c>
      <c r="AR36" s="26" t="s">
        <v>398</v>
      </c>
      <c r="AS36" s="11" t="s">
        <v>149</v>
      </c>
      <c r="AT36" s="11"/>
    </row>
    <row r="37">
      <c r="A37" s="36" t="s">
        <v>462</v>
      </c>
      <c r="B37" s="26" t="str">
        <f t="shared" si="1"/>
        <v>2023-PH015508000-1985-0057</v>
      </c>
      <c r="C37" s="27">
        <f t="shared" si="2"/>
        <v>2023</v>
      </c>
      <c r="D37" s="28" t="s">
        <v>140</v>
      </c>
      <c r="E37" s="28" t="s">
        <v>141</v>
      </c>
      <c r="F37" s="28" t="s">
        <v>142</v>
      </c>
      <c r="G37" s="29" t="s">
        <v>143</v>
      </c>
      <c r="H37" s="29" t="s">
        <v>144</v>
      </c>
      <c r="I37" s="29" t="s">
        <v>463</v>
      </c>
      <c r="J37" s="29" t="s">
        <v>464</v>
      </c>
      <c r="K37" s="26" t="s">
        <v>384</v>
      </c>
      <c r="L37" s="26" t="s">
        <v>465</v>
      </c>
      <c r="M37" s="31">
        <v>1985.0</v>
      </c>
      <c r="N37" s="31">
        <v>1985.0</v>
      </c>
      <c r="O37" s="31">
        <v>1987.0</v>
      </c>
      <c r="P37" s="28" t="s">
        <v>150</v>
      </c>
      <c r="Q37" s="32" t="s">
        <v>151</v>
      </c>
      <c r="R37" s="28" t="s">
        <v>386</v>
      </c>
      <c r="S37" s="28" t="s">
        <v>386</v>
      </c>
      <c r="T37" s="28" t="s">
        <v>154</v>
      </c>
      <c r="U37" s="28" t="s">
        <v>154</v>
      </c>
      <c r="V37" s="28" t="s">
        <v>386</v>
      </c>
      <c r="W37" s="32" t="s">
        <v>387</v>
      </c>
      <c r="X37" s="32" t="s">
        <v>388</v>
      </c>
      <c r="Y37" s="28" t="s">
        <v>389</v>
      </c>
      <c r="Z37" s="26" t="s">
        <v>390</v>
      </c>
      <c r="AA37" s="26" t="s">
        <v>159</v>
      </c>
      <c r="AB37" s="26" t="s">
        <v>160</v>
      </c>
      <c r="AC37" s="28" t="s">
        <v>322</v>
      </c>
      <c r="AD37" s="28" t="s">
        <v>390</v>
      </c>
      <c r="AE37" s="29" t="s">
        <v>149</v>
      </c>
      <c r="AF37" s="26" t="s">
        <v>149</v>
      </c>
      <c r="AG37" s="26" t="s">
        <v>450</v>
      </c>
      <c r="AH37" s="26" t="s">
        <v>390</v>
      </c>
      <c r="AI37" s="28" t="s">
        <v>322</v>
      </c>
      <c r="AJ37" s="28" t="s">
        <v>390</v>
      </c>
      <c r="AK37" s="28" t="s">
        <v>392</v>
      </c>
      <c r="AL37" s="28" t="s">
        <v>393</v>
      </c>
      <c r="AM37" s="28" t="s">
        <v>394</v>
      </c>
      <c r="AN37" s="28" t="s">
        <v>241</v>
      </c>
      <c r="AO37" s="26" t="s">
        <v>395</v>
      </c>
      <c r="AP37" s="28" t="s">
        <v>396</v>
      </c>
      <c r="AQ37" s="26" t="s">
        <v>397</v>
      </c>
      <c r="AR37" s="26" t="s">
        <v>398</v>
      </c>
      <c r="AS37" s="11" t="s">
        <v>149</v>
      </c>
      <c r="AT37" s="26"/>
    </row>
    <row r="38">
      <c r="A38" s="36" t="s">
        <v>466</v>
      </c>
      <c r="B38" s="26" t="str">
        <f t="shared" si="1"/>
        <v>2023-PH015508000-1985-0058</v>
      </c>
      <c r="C38" s="27">
        <f t="shared" si="2"/>
        <v>2023</v>
      </c>
      <c r="D38" s="28" t="s">
        <v>140</v>
      </c>
      <c r="E38" s="28" t="s">
        <v>141</v>
      </c>
      <c r="F38" s="28" t="s">
        <v>142</v>
      </c>
      <c r="G38" s="29" t="s">
        <v>143</v>
      </c>
      <c r="H38" s="40" t="s">
        <v>144</v>
      </c>
      <c r="I38" s="29" t="s">
        <v>463</v>
      </c>
      <c r="J38" s="29" t="s">
        <v>464</v>
      </c>
      <c r="K38" s="26" t="s">
        <v>384</v>
      </c>
      <c r="L38" s="26" t="s">
        <v>467</v>
      </c>
      <c r="M38" s="31">
        <v>1985.0</v>
      </c>
      <c r="N38" s="31">
        <v>1985.0</v>
      </c>
      <c r="O38" s="31">
        <v>1987.0</v>
      </c>
      <c r="P38" s="28" t="s">
        <v>150</v>
      </c>
      <c r="Q38" s="32" t="s">
        <v>151</v>
      </c>
      <c r="R38" s="28" t="s">
        <v>281</v>
      </c>
      <c r="S38" s="32" t="s">
        <v>468</v>
      </c>
      <c r="T38" s="28" t="s">
        <v>154</v>
      </c>
      <c r="U38" s="28" t="s">
        <v>154</v>
      </c>
      <c r="V38" s="26" t="s">
        <v>469</v>
      </c>
      <c r="W38" s="32" t="s">
        <v>387</v>
      </c>
      <c r="X38" s="32" t="s">
        <v>388</v>
      </c>
      <c r="Y38" s="28" t="s">
        <v>389</v>
      </c>
      <c r="Z38" s="26" t="s">
        <v>390</v>
      </c>
      <c r="AA38" s="26" t="s">
        <v>159</v>
      </c>
      <c r="AB38" s="26" t="s">
        <v>160</v>
      </c>
      <c r="AC38" s="28" t="s">
        <v>322</v>
      </c>
      <c r="AD38" s="28" t="s">
        <v>390</v>
      </c>
      <c r="AE38" s="29" t="s">
        <v>149</v>
      </c>
      <c r="AF38" s="26" t="s">
        <v>149</v>
      </c>
      <c r="AG38" s="28" t="s">
        <v>470</v>
      </c>
      <c r="AH38" s="26" t="s">
        <v>390</v>
      </c>
      <c r="AI38" s="28" t="s">
        <v>322</v>
      </c>
      <c r="AJ38" s="28" t="s">
        <v>390</v>
      </c>
      <c r="AK38" s="28" t="s">
        <v>392</v>
      </c>
      <c r="AL38" s="28" t="s">
        <v>393</v>
      </c>
      <c r="AM38" s="28" t="s">
        <v>394</v>
      </c>
      <c r="AN38" s="28" t="s">
        <v>241</v>
      </c>
      <c r="AO38" s="26" t="s">
        <v>395</v>
      </c>
      <c r="AP38" s="28" t="s">
        <v>396</v>
      </c>
      <c r="AQ38" s="26" t="s">
        <v>397</v>
      </c>
      <c r="AR38" s="26" t="s">
        <v>398</v>
      </c>
      <c r="AS38" s="11" t="s">
        <v>149</v>
      </c>
      <c r="AT38" s="11"/>
    </row>
    <row r="39">
      <c r="A39" s="36" t="s">
        <v>471</v>
      </c>
      <c r="B39" s="26" t="str">
        <f t="shared" si="1"/>
        <v>2023-PH015520000-1986-0083</v>
      </c>
      <c r="C39" s="27">
        <f t="shared" si="2"/>
        <v>2023</v>
      </c>
      <c r="D39" s="28" t="s">
        <v>140</v>
      </c>
      <c r="E39" s="28" t="s">
        <v>141</v>
      </c>
      <c r="F39" s="28" t="s">
        <v>142</v>
      </c>
      <c r="G39" s="29" t="s">
        <v>143</v>
      </c>
      <c r="H39" s="29" t="s">
        <v>144</v>
      </c>
      <c r="I39" s="29" t="s">
        <v>472</v>
      </c>
      <c r="J39" s="29" t="s">
        <v>473</v>
      </c>
      <c r="K39" s="26" t="s">
        <v>384</v>
      </c>
      <c r="L39" s="26" t="s">
        <v>474</v>
      </c>
      <c r="M39" s="31">
        <v>1986.0</v>
      </c>
      <c r="N39" s="31">
        <v>1985.0</v>
      </c>
      <c r="O39" s="31">
        <v>1987.0</v>
      </c>
      <c r="P39" s="28" t="s">
        <v>150</v>
      </c>
      <c r="Q39" s="32" t="s">
        <v>151</v>
      </c>
      <c r="R39" s="28" t="s">
        <v>386</v>
      </c>
      <c r="S39" s="28" t="s">
        <v>386</v>
      </c>
      <c r="T39" s="28" t="s">
        <v>154</v>
      </c>
      <c r="U39" s="28" t="s">
        <v>154</v>
      </c>
      <c r="V39" s="28" t="s">
        <v>386</v>
      </c>
      <c r="W39" s="32" t="s">
        <v>387</v>
      </c>
      <c r="X39" s="32" t="s">
        <v>388</v>
      </c>
      <c r="Y39" s="28" t="s">
        <v>389</v>
      </c>
      <c r="Z39" s="26" t="s">
        <v>390</v>
      </c>
      <c r="AA39" s="26" t="s">
        <v>159</v>
      </c>
      <c r="AB39" s="26" t="s">
        <v>160</v>
      </c>
      <c r="AC39" s="28" t="s">
        <v>322</v>
      </c>
      <c r="AD39" s="28" t="s">
        <v>390</v>
      </c>
      <c r="AE39" s="29" t="s">
        <v>149</v>
      </c>
      <c r="AF39" s="26" t="s">
        <v>149</v>
      </c>
      <c r="AG39" s="26" t="s">
        <v>475</v>
      </c>
      <c r="AH39" s="26" t="s">
        <v>390</v>
      </c>
      <c r="AI39" s="28" t="s">
        <v>322</v>
      </c>
      <c r="AJ39" s="28" t="s">
        <v>390</v>
      </c>
      <c r="AK39" s="28" t="s">
        <v>392</v>
      </c>
      <c r="AL39" s="28" t="s">
        <v>393</v>
      </c>
      <c r="AM39" s="28" t="s">
        <v>394</v>
      </c>
      <c r="AN39" s="28" t="s">
        <v>241</v>
      </c>
      <c r="AO39" s="26" t="s">
        <v>395</v>
      </c>
      <c r="AP39" s="28" t="s">
        <v>396</v>
      </c>
      <c r="AQ39" s="26" t="s">
        <v>397</v>
      </c>
      <c r="AR39" s="26" t="s">
        <v>398</v>
      </c>
      <c r="AS39" s="11" t="s">
        <v>149</v>
      </c>
      <c r="AT39" s="11"/>
    </row>
    <row r="40">
      <c r="A40" s="36" t="s">
        <v>476</v>
      </c>
      <c r="B40" s="26" t="str">
        <f t="shared" si="1"/>
        <v>2023-PH015542000-1985-0087</v>
      </c>
      <c r="C40" s="27">
        <f t="shared" si="2"/>
        <v>2023</v>
      </c>
      <c r="D40" s="28" t="s">
        <v>140</v>
      </c>
      <c r="E40" s="28" t="s">
        <v>141</v>
      </c>
      <c r="F40" s="28" t="s">
        <v>142</v>
      </c>
      <c r="G40" s="29" t="s">
        <v>143</v>
      </c>
      <c r="H40" s="29" t="s">
        <v>144</v>
      </c>
      <c r="I40" s="29" t="s">
        <v>477</v>
      </c>
      <c r="J40" s="29" t="s">
        <v>478</v>
      </c>
      <c r="K40" s="26" t="s">
        <v>384</v>
      </c>
      <c r="L40" s="26" t="s">
        <v>479</v>
      </c>
      <c r="M40" s="31">
        <v>1985.0</v>
      </c>
      <c r="N40" s="31">
        <v>1985.0</v>
      </c>
      <c r="O40" s="31">
        <v>1987.0</v>
      </c>
      <c r="P40" s="28" t="s">
        <v>150</v>
      </c>
      <c r="Q40" s="32" t="s">
        <v>151</v>
      </c>
      <c r="R40" s="28" t="s">
        <v>386</v>
      </c>
      <c r="S40" s="28" t="s">
        <v>386</v>
      </c>
      <c r="T40" s="28" t="s">
        <v>154</v>
      </c>
      <c r="U40" s="28" t="s">
        <v>154</v>
      </c>
      <c r="V40" s="28" t="s">
        <v>386</v>
      </c>
      <c r="W40" s="32" t="s">
        <v>387</v>
      </c>
      <c r="X40" s="32" t="s">
        <v>388</v>
      </c>
      <c r="Y40" s="28" t="s">
        <v>389</v>
      </c>
      <c r="Z40" s="26" t="s">
        <v>390</v>
      </c>
      <c r="AA40" s="26" t="s">
        <v>159</v>
      </c>
      <c r="AB40" s="26" t="s">
        <v>160</v>
      </c>
      <c r="AC40" s="28" t="s">
        <v>322</v>
      </c>
      <c r="AD40" s="28" t="s">
        <v>390</v>
      </c>
      <c r="AE40" s="29" t="s">
        <v>149</v>
      </c>
      <c r="AF40" s="26" t="s">
        <v>149</v>
      </c>
      <c r="AG40" s="26" t="s">
        <v>391</v>
      </c>
      <c r="AH40" s="26" t="s">
        <v>390</v>
      </c>
      <c r="AI40" s="28" t="s">
        <v>322</v>
      </c>
      <c r="AJ40" s="28" t="s">
        <v>390</v>
      </c>
      <c r="AK40" s="28" t="s">
        <v>392</v>
      </c>
      <c r="AL40" s="28" t="s">
        <v>393</v>
      </c>
      <c r="AM40" s="28" t="s">
        <v>394</v>
      </c>
      <c r="AN40" s="28" t="s">
        <v>241</v>
      </c>
      <c r="AO40" s="26" t="s">
        <v>395</v>
      </c>
      <c r="AP40" s="28" t="s">
        <v>396</v>
      </c>
      <c r="AQ40" s="26" t="s">
        <v>397</v>
      </c>
      <c r="AR40" s="26" t="s">
        <v>398</v>
      </c>
      <c r="AS40" s="11" t="s">
        <v>149</v>
      </c>
      <c r="AT40" s="26"/>
    </row>
    <row r="41">
      <c r="A41" s="36" t="s">
        <v>480</v>
      </c>
      <c r="B41" s="26" t="str">
        <f t="shared" si="1"/>
        <v>2023-PH021523000-1986-0088</v>
      </c>
      <c r="C41" s="27">
        <f t="shared" si="2"/>
        <v>2023</v>
      </c>
      <c r="D41" s="28" t="s">
        <v>140</v>
      </c>
      <c r="E41" s="28" t="s">
        <v>141</v>
      </c>
      <c r="F41" s="28" t="s">
        <v>142</v>
      </c>
      <c r="G41" s="29" t="s">
        <v>481</v>
      </c>
      <c r="H41" s="29" t="s">
        <v>482</v>
      </c>
      <c r="I41" s="29" t="s">
        <v>483</v>
      </c>
      <c r="J41" s="30" t="s">
        <v>484</v>
      </c>
      <c r="K41" s="26" t="s">
        <v>384</v>
      </c>
      <c r="L41" s="43" t="s">
        <v>149</v>
      </c>
      <c r="M41" s="31">
        <v>1986.0</v>
      </c>
      <c r="N41" s="31">
        <v>1985.0</v>
      </c>
      <c r="O41" s="31">
        <v>1987.0</v>
      </c>
      <c r="P41" s="28" t="s">
        <v>150</v>
      </c>
      <c r="Q41" s="32" t="s">
        <v>151</v>
      </c>
      <c r="R41" s="28" t="s">
        <v>386</v>
      </c>
      <c r="S41" s="28" t="s">
        <v>386</v>
      </c>
      <c r="T41" s="28" t="s">
        <v>154</v>
      </c>
      <c r="U41" s="28" t="s">
        <v>154</v>
      </c>
      <c r="V41" s="28" t="s">
        <v>386</v>
      </c>
      <c r="W41" s="32" t="s">
        <v>387</v>
      </c>
      <c r="X41" s="32" t="s">
        <v>388</v>
      </c>
      <c r="Y41" s="28" t="s">
        <v>389</v>
      </c>
      <c r="Z41" s="26" t="s">
        <v>390</v>
      </c>
      <c r="AA41" s="26" t="s">
        <v>159</v>
      </c>
      <c r="AB41" s="26" t="s">
        <v>160</v>
      </c>
      <c r="AC41" s="28" t="s">
        <v>322</v>
      </c>
      <c r="AD41" s="28" t="s">
        <v>390</v>
      </c>
      <c r="AE41" s="29" t="s">
        <v>149</v>
      </c>
      <c r="AF41" s="26" t="s">
        <v>149</v>
      </c>
      <c r="AG41" s="26" t="s">
        <v>391</v>
      </c>
      <c r="AH41" s="26" t="s">
        <v>390</v>
      </c>
      <c r="AI41" s="28" t="s">
        <v>322</v>
      </c>
      <c r="AJ41" s="28" t="s">
        <v>390</v>
      </c>
      <c r="AK41" s="28" t="s">
        <v>392</v>
      </c>
      <c r="AL41" s="28" t="s">
        <v>393</v>
      </c>
      <c r="AM41" s="28" t="s">
        <v>394</v>
      </c>
      <c r="AN41" s="28" t="s">
        <v>241</v>
      </c>
      <c r="AO41" s="26" t="s">
        <v>395</v>
      </c>
      <c r="AP41" s="28" t="s">
        <v>396</v>
      </c>
      <c r="AQ41" s="26" t="s">
        <v>397</v>
      </c>
      <c r="AR41" s="26" t="s">
        <v>398</v>
      </c>
      <c r="AS41" s="26" t="s">
        <v>149</v>
      </c>
      <c r="AT41" s="26"/>
    </row>
    <row r="42">
      <c r="A42" s="36" t="s">
        <v>485</v>
      </c>
      <c r="B42" s="26" t="str">
        <f t="shared" si="1"/>
        <v>2023-PH037103000-1985-0101</v>
      </c>
      <c r="C42" s="27">
        <f t="shared" si="2"/>
        <v>2023</v>
      </c>
      <c r="D42" s="28" t="s">
        <v>140</v>
      </c>
      <c r="E42" s="28" t="s">
        <v>141</v>
      </c>
      <c r="F42" s="28" t="s">
        <v>142</v>
      </c>
      <c r="G42" s="29" t="s">
        <v>293</v>
      </c>
      <c r="H42" s="29" t="s">
        <v>294</v>
      </c>
      <c r="I42" s="29" t="s">
        <v>486</v>
      </c>
      <c r="J42" s="29" t="s">
        <v>487</v>
      </c>
      <c r="K42" s="26" t="s">
        <v>384</v>
      </c>
      <c r="L42" s="26" t="s">
        <v>488</v>
      </c>
      <c r="M42" s="31">
        <v>1985.0</v>
      </c>
      <c r="N42" s="31">
        <v>1985.0</v>
      </c>
      <c r="O42" s="31">
        <v>1987.0</v>
      </c>
      <c r="P42" s="28" t="s">
        <v>150</v>
      </c>
      <c r="Q42" s="32" t="s">
        <v>151</v>
      </c>
      <c r="R42" s="28" t="s">
        <v>386</v>
      </c>
      <c r="S42" s="28" t="s">
        <v>386</v>
      </c>
      <c r="T42" s="28" t="s">
        <v>154</v>
      </c>
      <c r="U42" s="28" t="s">
        <v>154</v>
      </c>
      <c r="V42" s="28" t="s">
        <v>386</v>
      </c>
      <c r="W42" s="32" t="s">
        <v>387</v>
      </c>
      <c r="X42" s="32" t="s">
        <v>388</v>
      </c>
      <c r="Y42" s="28" t="s">
        <v>389</v>
      </c>
      <c r="Z42" s="26" t="s">
        <v>390</v>
      </c>
      <c r="AA42" s="26" t="s">
        <v>159</v>
      </c>
      <c r="AB42" s="26" t="s">
        <v>160</v>
      </c>
      <c r="AC42" s="28" t="s">
        <v>322</v>
      </c>
      <c r="AD42" s="28" t="s">
        <v>390</v>
      </c>
      <c r="AE42" s="29" t="s">
        <v>149</v>
      </c>
      <c r="AF42" s="26" t="s">
        <v>149</v>
      </c>
      <c r="AG42" s="26" t="s">
        <v>489</v>
      </c>
      <c r="AH42" s="26" t="s">
        <v>390</v>
      </c>
      <c r="AI42" s="28" t="s">
        <v>322</v>
      </c>
      <c r="AJ42" s="28" t="s">
        <v>390</v>
      </c>
      <c r="AK42" s="28" t="s">
        <v>392</v>
      </c>
      <c r="AL42" s="28" t="s">
        <v>393</v>
      </c>
      <c r="AM42" s="28" t="s">
        <v>394</v>
      </c>
      <c r="AN42" s="28" t="s">
        <v>241</v>
      </c>
      <c r="AO42" s="26" t="s">
        <v>395</v>
      </c>
      <c r="AP42" s="28" t="s">
        <v>396</v>
      </c>
      <c r="AQ42" s="26" t="s">
        <v>397</v>
      </c>
      <c r="AR42" s="26" t="s">
        <v>398</v>
      </c>
      <c r="AS42" s="26" t="s">
        <v>149</v>
      </c>
      <c r="AT42" s="26"/>
    </row>
    <row r="43">
      <c r="A43" s="36" t="s">
        <v>490</v>
      </c>
      <c r="B43" s="26" t="str">
        <f t="shared" si="1"/>
        <v>2023-PH041023000-1985-0134</v>
      </c>
      <c r="C43" s="27">
        <f t="shared" si="2"/>
        <v>2023</v>
      </c>
      <c r="D43" s="28" t="s">
        <v>140</v>
      </c>
      <c r="E43" s="28" t="s">
        <v>141</v>
      </c>
      <c r="F43" s="28" t="s">
        <v>142</v>
      </c>
      <c r="G43" s="29" t="s">
        <v>257</v>
      </c>
      <c r="H43" s="29" t="s">
        <v>258</v>
      </c>
      <c r="I43" s="29" t="s">
        <v>491</v>
      </c>
      <c r="J43" s="29" t="s">
        <v>492</v>
      </c>
      <c r="K43" s="26" t="s">
        <v>384</v>
      </c>
      <c r="L43" s="26" t="s">
        <v>493</v>
      </c>
      <c r="M43" s="31">
        <v>1985.0</v>
      </c>
      <c r="N43" s="49">
        <v>1985.0</v>
      </c>
      <c r="O43" s="49">
        <v>1987.0</v>
      </c>
      <c r="P43" s="28" t="s">
        <v>150</v>
      </c>
      <c r="Q43" s="32" t="s">
        <v>151</v>
      </c>
      <c r="R43" s="28" t="s">
        <v>281</v>
      </c>
      <c r="S43" s="28" t="s">
        <v>468</v>
      </c>
      <c r="T43" s="28" t="s">
        <v>154</v>
      </c>
      <c r="U43" s="28" t="s">
        <v>154</v>
      </c>
      <c r="V43" s="28" t="s">
        <v>494</v>
      </c>
      <c r="W43" s="32" t="s">
        <v>387</v>
      </c>
      <c r="X43" s="32" t="s">
        <v>388</v>
      </c>
      <c r="Y43" s="28" t="s">
        <v>389</v>
      </c>
      <c r="Z43" s="26" t="s">
        <v>390</v>
      </c>
      <c r="AA43" s="32" t="s">
        <v>159</v>
      </c>
      <c r="AB43" s="26" t="s">
        <v>160</v>
      </c>
      <c r="AC43" s="28" t="s">
        <v>322</v>
      </c>
      <c r="AD43" s="28" t="s">
        <v>390</v>
      </c>
      <c r="AE43" s="29" t="s">
        <v>149</v>
      </c>
      <c r="AF43" s="26" t="s">
        <v>149</v>
      </c>
      <c r="AG43" s="33" t="s">
        <v>495</v>
      </c>
      <c r="AH43" s="26" t="s">
        <v>390</v>
      </c>
      <c r="AI43" s="28" t="s">
        <v>322</v>
      </c>
      <c r="AJ43" s="28" t="s">
        <v>390</v>
      </c>
      <c r="AK43" s="28" t="s">
        <v>392</v>
      </c>
      <c r="AL43" s="28" t="s">
        <v>393</v>
      </c>
      <c r="AM43" s="28" t="s">
        <v>394</v>
      </c>
      <c r="AN43" s="28" t="s">
        <v>241</v>
      </c>
      <c r="AO43" s="26" t="s">
        <v>395</v>
      </c>
      <c r="AP43" s="28" t="s">
        <v>396</v>
      </c>
      <c r="AQ43" s="26" t="s">
        <v>397</v>
      </c>
      <c r="AR43" s="26" t="s">
        <v>398</v>
      </c>
      <c r="AS43" s="45" t="s">
        <v>149</v>
      </c>
      <c r="AT43" s="26"/>
    </row>
    <row r="44">
      <c r="A44" s="36" t="s">
        <v>496</v>
      </c>
      <c r="B44" s="26" t="str">
        <f t="shared" si="1"/>
        <v>2023-PH045603000-1986-0142</v>
      </c>
      <c r="C44" s="27">
        <f t="shared" si="2"/>
        <v>2023</v>
      </c>
      <c r="D44" s="28" t="s">
        <v>140</v>
      </c>
      <c r="E44" s="28" t="s">
        <v>141</v>
      </c>
      <c r="F44" s="28" t="s">
        <v>142</v>
      </c>
      <c r="G44" s="29" t="s">
        <v>257</v>
      </c>
      <c r="H44" s="29" t="s">
        <v>497</v>
      </c>
      <c r="I44" s="29" t="s">
        <v>498</v>
      </c>
      <c r="J44" s="29" t="s">
        <v>499</v>
      </c>
      <c r="K44" s="26" t="s">
        <v>384</v>
      </c>
      <c r="L44" s="26" t="s">
        <v>500</v>
      </c>
      <c r="M44" s="31">
        <v>1986.0</v>
      </c>
      <c r="N44" s="31">
        <v>1985.0</v>
      </c>
      <c r="O44" s="31">
        <v>1987.0</v>
      </c>
      <c r="P44" s="28" t="s">
        <v>150</v>
      </c>
      <c r="Q44" s="32" t="s">
        <v>151</v>
      </c>
      <c r="R44" s="28" t="s">
        <v>386</v>
      </c>
      <c r="S44" s="28" t="s">
        <v>386</v>
      </c>
      <c r="T44" s="28" t="s">
        <v>154</v>
      </c>
      <c r="U44" s="28" t="s">
        <v>154</v>
      </c>
      <c r="V44" s="28" t="s">
        <v>386</v>
      </c>
      <c r="W44" s="32" t="s">
        <v>387</v>
      </c>
      <c r="X44" s="32" t="s">
        <v>388</v>
      </c>
      <c r="Y44" s="28" t="s">
        <v>389</v>
      </c>
      <c r="Z44" s="26" t="s">
        <v>390</v>
      </c>
      <c r="AA44" s="26" t="s">
        <v>159</v>
      </c>
      <c r="AB44" s="26" t="s">
        <v>160</v>
      </c>
      <c r="AC44" s="28" t="s">
        <v>322</v>
      </c>
      <c r="AD44" s="28" t="s">
        <v>390</v>
      </c>
      <c r="AE44" s="29" t="s">
        <v>149</v>
      </c>
      <c r="AF44" s="26" t="s">
        <v>149</v>
      </c>
      <c r="AG44" s="26" t="s">
        <v>391</v>
      </c>
      <c r="AH44" s="26" t="s">
        <v>390</v>
      </c>
      <c r="AI44" s="28" t="s">
        <v>322</v>
      </c>
      <c r="AJ44" s="28" t="s">
        <v>390</v>
      </c>
      <c r="AK44" s="28" t="s">
        <v>392</v>
      </c>
      <c r="AL44" s="28" t="s">
        <v>393</v>
      </c>
      <c r="AM44" s="28" t="s">
        <v>394</v>
      </c>
      <c r="AN44" s="28" t="s">
        <v>241</v>
      </c>
      <c r="AO44" s="26" t="s">
        <v>395</v>
      </c>
      <c r="AP44" s="28" t="s">
        <v>396</v>
      </c>
      <c r="AQ44" s="26" t="s">
        <v>397</v>
      </c>
      <c r="AR44" s="26" t="s">
        <v>398</v>
      </c>
      <c r="AS44" s="26" t="s">
        <v>149</v>
      </c>
      <c r="AT44" s="26"/>
    </row>
    <row r="45">
      <c r="A45" s="36" t="s">
        <v>501</v>
      </c>
      <c r="B45" s="26" t="str">
        <f t="shared" si="1"/>
        <v>2023-PH045603000-1986-0143</v>
      </c>
      <c r="C45" s="27">
        <f t="shared" si="2"/>
        <v>2023</v>
      </c>
      <c r="D45" s="28" t="s">
        <v>140</v>
      </c>
      <c r="E45" s="28" t="s">
        <v>141</v>
      </c>
      <c r="F45" s="28" t="s">
        <v>142</v>
      </c>
      <c r="G45" s="29" t="s">
        <v>257</v>
      </c>
      <c r="H45" s="29" t="s">
        <v>497</v>
      </c>
      <c r="I45" s="29" t="s">
        <v>498</v>
      </c>
      <c r="J45" s="29" t="s">
        <v>499</v>
      </c>
      <c r="K45" s="26" t="s">
        <v>384</v>
      </c>
      <c r="L45" s="26" t="s">
        <v>502</v>
      </c>
      <c r="M45" s="31">
        <v>1986.0</v>
      </c>
      <c r="N45" s="31">
        <v>1985.0</v>
      </c>
      <c r="O45" s="31">
        <v>1987.0</v>
      </c>
      <c r="P45" s="28" t="s">
        <v>150</v>
      </c>
      <c r="Q45" s="32" t="s">
        <v>151</v>
      </c>
      <c r="R45" s="28" t="s">
        <v>386</v>
      </c>
      <c r="S45" s="28" t="s">
        <v>386</v>
      </c>
      <c r="T45" s="28" t="s">
        <v>154</v>
      </c>
      <c r="U45" s="28" t="s">
        <v>154</v>
      </c>
      <c r="V45" s="28" t="s">
        <v>386</v>
      </c>
      <c r="W45" s="32" t="s">
        <v>387</v>
      </c>
      <c r="X45" s="32" t="s">
        <v>388</v>
      </c>
      <c r="Y45" s="28" t="s">
        <v>389</v>
      </c>
      <c r="Z45" s="26" t="s">
        <v>390</v>
      </c>
      <c r="AA45" s="26" t="s">
        <v>159</v>
      </c>
      <c r="AB45" s="26" t="s">
        <v>160</v>
      </c>
      <c r="AC45" s="28" t="s">
        <v>322</v>
      </c>
      <c r="AD45" s="28" t="s">
        <v>390</v>
      </c>
      <c r="AE45" s="29" t="s">
        <v>149</v>
      </c>
      <c r="AF45" s="26" t="s">
        <v>149</v>
      </c>
      <c r="AG45" s="26" t="s">
        <v>503</v>
      </c>
      <c r="AH45" s="26" t="s">
        <v>390</v>
      </c>
      <c r="AI45" s="28" t="s">
        <v>322</v>
      </c>
      <c r="AJ45" s="28" t="s">
        <v>390</v>
      </c>
      <c r="AK45" s="28" t="s">
        <v>392</v>
      </c>
      <c r="AL45" s="28" t="s">
        <v>393</v>
      </c>
      <c r="AM45" s="28" t="s">
        <v>394</v>
      </c>
      <c r="AN45" s="28" t="s">
        <v>241</v>
      </c>
      <c r="AO45" s="26" t="s">
        <v>395</v>
      </c>
      <c r="AP45" s="28" t="s">
        <v>396</v>
      </c>
      <c r="AQ45" s="26" t="s">
        <v>397</v>
      </c>
      <c r="AR45" s="26" t="s">
        <v>398</v>
      </c>
      <c r="AS45" s="26" t="s">
        <v>149</v>
      </c>
      <c r="AT45" s="26"/>
    </row>
    <row r="46">
      <c r="A46" s="36" t="s">
        <v>504</v>
      </c>
      <c r="B46" s="26" t="str">
        <f t="shared" si="1"/>
        <v>2023-PH045607000-1986-0145</v>
      </c>
      <c r="C46" s="27">
        <f t="shared" si="2"/>
        <v>2023</v>
      </c>
      <c r="D46" s="28" t="s">
        <v>140</v>
      </c>
      <c r="E46" s="28" t="s">
        <v>141</v>
      </c>
      <c r="F46" s="28" t="s">
        <v>142</v>
      </c>
      <c r="G46" s="29" t="s">
        <v>257</v>
      </c>
      <c r="H46" s="29" t="s">
        <v>497</v>
      </c>
      <c r="I46" s="29" t="s">
        <v>505</v>
      </c>
      <c r="J46" s="29" t="s">
        <v>506</v>
      </c>
      <c r="K46" s="26" t="s">
        <v>384</v>
      </c>
      <c r="L46" s="26" t="s">
        <v>507</v>
      </c>
      <c r="M46" s="31">
        <v>1986.0</v>
      </c>
      <c r="N46" s="31">
        <v>1985.0</v>
      </c>
      <c r="O46" s="31">
        <v>1987.0</v>
      </c>
      <c r="P46" s="28" t="s">
        <v>150</v>
      </c>
      <c r="Q46" s="32" t="s">
        <v>151</v>
      </c>
      <c r="R46" s="28" t="s">
        <v>386</v>
      </c>
      <c r="S46" s="28" t="s">
        <v>386</v>
      </c>
      <c r="T46" s="28" t="s">
        <v>154</v>
      </c>
      <c r="U46" s="28" t="s">
        <v>154</v>
      </c>
      <c r="V46" s="28" t="s">
        <v>386</v>
      </c>
      <c r="W46" s="32" t="s">
        <v>387</v>
      </c>
      <c r="X46" s="32" t="s">
        <v>388</v>
      </c>
      <c r="Y46" s="28" t="s">
        <v>389</v>
      </c>
      <c r="Z46" s="26" t="s">
        <v>390</v>
      </c>
      <c r="AA46" s="26" t="s">
        <v>159</v>
      </c>
      <c r="AB46" s="26" t="s">
        <v>160</v>
      </c>
      <c r="AC46" s="28" t="s">
        <v>322</v>
      </c>
      <c r="AD46" s="28" t="s">
        <v>390</v>
      </c>
      <c r="AE46" s="29" t="s">
        <v>149</v>
      </c>
      <c r="AF46" s="26" t="s">
        <v>149</v>
      </c>
      <c r="AG46" s="26" t="s">
        <v>508</v>
      </c>
      <c r="AH46" s="26" t="s">
        <v>390</v>
      </c>
      <c r="AI46" s="28" t="s">
        <v>322</v>
      </c>
      <c r="AJ46" s="28" t="s">
        <v>390</v>
      </c>
      <c r="AK46" s="28" t="s">
        <v>392</v>
      </c>
      <c r="AL46" s="28" t="s">
        <v>393</v>
      </c>
      <c r="AM46" s="28" t="s">
        <v>394</v>
      </c>
      <c r="AN46" s="28" t="s">
        <v>241</v>
      </c>
      <c r="AO46" s="26" t="s">
        <v>395</v>
      </c>
      <c r="AP46" s="28" t="s">
        <v>396</v>
      </c>
      <c r="AQ46" s="26" t="s">
        <v>397</v>
      </c>
      <c r="AR46" s="26" t="s">
        <v>398</v>
      </c>
      <c r="AS46" s="26" t="s">
        <v>149</v>
      </c>
      <c r="AT46" s="26"/>
    </row>
    <row r="47">
      <c r="A47" s="36" t="s">
        <v>509</v>
      </c>
      <c r="B47" s="26" t="str">
        <f t="shared" si="1"/>
        <v>2023-PH045619000-1986-0153</v>
      </c>
      <c r="C47" s="27">
        <f t="shared" si="2"/>
        <v>2023</v>
      </c>
      <c r="D47" s="28" t="s">
        <v>140</v>
      </c>
      <c r="E47" s="28" t="s">
        <v>141</v>
      </c>
      <c r="F47" s="28" t="s">
        <v>142</v>
      </c>
      <c r="G47" s="29" t="s">
        <v>257</v>
      </c>
      <c r="H47" s="29" t="s">
        <v>497</v>
      </c>
      <c r="I47" s="29" t="s">
        <v>510</v>
      </c>
      <c r="J47" s="29" t="s">
        <v>511</v>
      </c>
      <c r="K47" s="26" t="s">
        <v>384</v>
      </c>
      <c r="L47" s="26" t="s">
        <v>512</v>
      </c>
      <c r="M47" s="31">
        <v>1986.0</v>
      </c>
      <c r="N47" s="31">
        <v>1985.0</v>
      </c>
      <c r="O47" s="31">
        <v>1987.0</v>
      </c>
      <c r="P47" s="28" t="s">
        <v>150</v>
      </c>
      <c r="Q47" s="32" t="s">
        <v>151</v>
      </c>
      <c r="R47" s="28" t="s">
        <v>386</v>
      </c>
      <c r="S47" s="28" t="s">
        <v>386</v>
      </c>
      <c r="T47" s="28" t="s">
        <v>154</v>
      </c>
      <c r="U47" s="28" t="s">
        <v>154</v>
      </c>
      <c r="V47" s="28" t="s">
        <v>386</v>
      </c>
      <c r="W47" s="32" t="s">
        <v>387</v>
      </c>
      <c r="X47" s="32" t="s">
        <v>388</v>
      </c>
      <c r="Y47" s="28" t="s">
        <v>389</v>
      </c>
      <c r="Z47" s="26" t="s">
        <v>390</v>
      </c>
      <c r="AA47" s="26" t="s">
        <v>159</v>
      </c>
      <c r="AB47" s="26" t="s">
        <v>160</v>
      </c>
      <c r="AC47" s="28" t="s">
        <v>322</v>
      </c>
      <c r="AD47" s="28" t="s">
        <v>390</v>
      </c>
      <c r="AE47" s="29" t="s">
        <v>149</v>
      </c>
      <c r="AF47" s="26" t="s">
        <v>149</v>
      </c>
      <c r="AG47" s="26" t="s">
        <v>503</v>
      </c>
      <c r="AH47" s="26" t="s">
        <v>390</v>
      </c>
      <c r="AI47" s="28" t="s">
        <v>322</v>
      </c>
      <c r="AJ47" s="28" t="s">
        <v>390</v>
      </c>
      <c r="AK47" s="28" t="s">
        <v>392</v>
      </c>
      <c r="AL47" s="28" t="s">
        <v>393</v>
      </c>
      <c r="AM47" s="28" t="s">
        <v>394</v>
      </c>
      <c r="AN47" s="28" t="s">
        <v>241</v>
      </c>
      <c r="AO47" s="26" t="s">
        <v>395</v>
      </c>
      <c r="AP47" s="28" t="s">
        <v>396</v>
      </c>
      <c r="AQ47" s="26" t="s">
        <v>397</v>
      </c>
      <c r="AR47" s="26" t="s">
        <v>398</v>
      </c>
      <c r="AS47" s="26" t="s">
        <v>149</v>
      </c>
      <c r="AT47" s="45"/>
    </row>
    <row r="48">
      <c r="A48" s="36" t="s">
        <v>513</v>
      </c>
      <c r="B48" s="26" t="str">
        <f t="shared" si="1"/>
        <v>2023-PH045622000-1986-0155</v>
      </c>
      <c r="C48" s="27">
        <f t="shared" si="2"/>
        <v>2023</v>
      </c>
      <c r="D48" s="37" t="s">
        <v>140</v>
      </c>
      <c r="E48" s="28" t="s">
        <v>141</v>
      </c>
      <c r="F48" s="28" t="s">
        <v>142</v>
      </c>
      <c r="G48" s="29" t="s">
        <v>257</v>
      </c>
      <c r="H48" s="29" t="s">
        <v>497</v>
      </c>
      <c r="I48" s="29" t="s">
        <v>514</v>
      </c>
      <c r="J48" s="30" t="s">
        <v>515</v>
      </c>
      <c r="K48" s="26" t="s">
        <v>384</v>
      </c>
      <c r="L48" s="26" t="s">
        <v>516</v>
      </c>
      <c r="M48" s="53">
        <v>1986.0</v>
      </c>
      <c r="N48" s="31">
        <v>1985.0</v>
      </c>
      <c r="O48" s="31">
        <v>1987.0</v>
      </c>
      <c r="P48" s="28" t="s">
        <v>150</v>
      </c>
      <c r="Q48" s="32" t="s">
        <v>151</v>
      </c>
      <c r="R48" s="28" t="s">
        <v>386</v>
      </c>
      <c r="S48" s="28" t="s">
        <v>386</v>
      </c>
      <c r="T48" s="28" t="s">
        <v>154</v>
      </c>
      <c r="U48" s="28" t="s">
        <v>154</v>
      </c>
      <c r="V48" s="28" t="s">
        <v>386</v>
      </c>
      <c r="W48" s="32" t="s">
        <v>387</v>
      </c>
      <c r="X48" s="32" t="s">
        <v>388</v>
      </c>
      <c r="Y48" s="28" t="s">
        <v>389</v>
      </c>
      <c r="Z48" s="26" t="s">
        <v>390</v>
      </c>
      <c r="AA48" s="26" t="s">
        <v>159</v>
      </c>
      <c r="AB48" s="26" t="s">
        <v>160</v>
      </c>
      <c r="AC48" s="28" t="s">
        <v>322</v>
      </c>
      <c r="AD48" s="28" t="s">
        <v>390</v>
      </c>
      <c r="AE48" s="29" t="s">
        <v>149</v>
      </c>
      <c r="AF48" s="26" t="s">
        <v>149</v>
      </c>
      <c r="AG48" s="26" t="s">
        <v>453</v>
      </c>
      <c r="AH48" s="26" t="s">
        <v>390</v>
      </c>
      <c r="AI48" s="28" t="s">
        <v>322</v>
      </c>
      <c r="AJ48" s="28" t="s">
        <v>390</v>
      </c>
      <c r="AK48" s="28" t="s">
        <v>392</v>
      </c>
      <c r="AL48" s="28" t="s">
        <v>393</v>
      </c>
      <c r="AM48" s="28" t="s">
        <v>394</v>
      </c>
      <c r="AN48" s="28" t="s">
        <v>241</v>
      </c>
      <c r="AO48" s="26" t="s">
        <v>395</v>
      </c>
      <c r="AP48" s="28" t="s">
        <v>396</v>
      </c>
      <c r="AQ48" s="26" t="s">
        <v>397</v>
      </c>
      <c r="AR48" s="26" t="s">
        <v>398</v>
      </c>
      <c r="AS48" s="45" t="s">
        <v>149</v>
      </c>
      <c r="AT48" s="45"/>
    </row>
    <row r="49">
      <c r="A49" s="36" t="s">
        <v>517</v>
      </c>
      <c r="B49" s="26" t="str">
        <f t="shared" si="1"/>
        <v>2023-PH045635000-1986-0164</v>
      </c>
      <c r="C49" s="27">
        <f t="shared" si="2"/>
        <v>2023</v>
      </c>
      <c r="D49" s="28" t="s">
        <v>140</v>
      </c>
      <c r="E49" s="28" t="s">
        <v>141</v>
      </c>
      <c r="F49" s="28" t="s">
        <v>142</v>
      </c>
      <c r="G49" s="29" t="s">
        <v>257</v>
      </c>
      <c r="H49" s="29" t="s">
        <v>497</v>
      </c>
      <c r="I49" s="29" t="s">
        <v>518</v>
      </c>
      <c r="J49" s="30" t="s">
        <v>519</v>
      </c>
      <c r="K49" s="26" t="s">
        <v>384</v>
      </c>
      <c r="L49" s="26" t="s">
        <v>520</v>
      </c>
      <c r="M49" s="31">
        <v>1986.0</v>
      </c>
      <c r="N49" s="31">
        <v>1985.0</v>
      </c>
      <c r="O49" s="31">
        <v>1987.0</v>
      </c>
      <c r="P49" s="28" t="s">
        <v>150</v>
      </c>
      <c r="Q49" s="32" t="s">
        <v>151</v>
      </c>
      <c r="R49" s="28" t="s">
        <v>386</v>
      </c>
      <c r="S49" s="28" t="s">
        <v>386</v>
      </c>
      <c r="T49" s="28" t="s">
        <v>154</v>
      </c>
      <c r="U49" s="28" t="s">
        <v>154</v>
      </c>
      <c r="V49" s="28" t="s">
        <v>386</v>
      </c>
      <c r="W49" s="32" t="s">
        <v>387</v>
      </c>
      <c r="X49" s="32" t="s">
        <v>388</v>
      </c>
      <c r="Y49" s="28" t="s">
        <v>389</v>
      </c>
      <c r="Z49" s="26" t="s">
        <v>390</v>
      </c>
      <c r="AA49" s="26" t="s">
        <v>159</v>
      </c>
      <c r="AB49" s="26" t="s">
        <v>160</v>
      </c>
      <c r="AC49" s="28" t="s">
        <v>322</v>
      </c>
      <c r="AD49" s="28" t="s">
        <v>390</v>
      </c>
      <c r="AE49" s="29" t="s">
        <v>149</v>
      </c>
      <c r="AF49" s="26" t="s">
        <v>149</v>
      </c>
      <c r="AG49" s="26" t="s">
        <v>503</v>
      </c>
      <c r="AH49" s="26" t="s">
        <v>390</v>
      </c>
      <c r="AI49" s="28" t="s">
        <v>322</v>
      </c>
      <c r="AJ49" s="28" t="s">
        <v>390</v>
      </c>
      <c r="AK49" s="28" t="s">
        <v>392</v>
      </c>
      <c r="AL49" s="28" t="s">
        <v>393</v>
      </c>
      <c r="AM49" s="28" t="s">
        <v>394</v>
      </c>
      <c r="AN49" s="28" t="s">
        <v>241</v>
      </c>
      <c r="AO49" s="26" t="s">
        <v>395</v>
      </c>
      <c r="AP49" s="28" t="s">
        <v>396</v>
      </c>
      <c r="AQ49" s="26" t="s">
        <v>397</v>
      </c>
      <c r="AR49" s="26" t="s">
        <v>398</v>
      </c>
      <c r="AS49" s="45" t="s">
        <v>149</v>
      </c>
      <c r="AT49" s="26"/>
    </row>
    <row r="50">
      <c r="A50" s="36" t="s">
        <v>521</v>
      </c>
      <c r="B50" s="26" t="str">
        <f t="shared" si="1"/>
        <v>2023-PH175316000-1985-0177</v>
      </c>
      <c r="C50" s="27">
        <f t="shared" si="2"/>
        <v>2023</v>
      </c>
      <c r="D50" s="28" t="s">
        <v>140</v>
      </c>
      <c r="E50" s="28" t="s">
        <v>141</v>
      </c>
      <c r="F50" s="28" t="s">
        <v>142</v>
      </c>
      <c r="G50" s="29" t="s">
        <v>522</v>
      </c>
      <c r="H50" s="29" t="s">
        <v>523</v>
      </c>
      <c r="I50" s="40" t="s">
        <v>524</v>
      </c>
      <c r="J50" s="29" t="s">
        <v>525</v>
      </c>
      <c r="K50" s="26" t="s">
        <v>384</v>
      </c>
      <c r="L50" s="26" t="s">
        <v>526</v>
      </c>
      <c r="M50" s="31">
        <v>1985.0</v>
      </c>
      <c r="N50" s="31">
        <v>1985.0</v>
      </c>
      <c r="O50" s="31">
        <v>1987.0</v>
      </c>
      <c r="P50" s="28" t="s">
        <v>150</v>
      </c>
      <c r="Q50" s="32" t="s">
        <v>151</v>
      </c>
      <c r="R50" s="28" t="s">
        <v>386</v>
      </c>
      <c r="S50" s="28" t="s">
        <v>386</v>
      </c>
      <c r="T50" s="28" t="s">
        <v>154</v>
      </c>
      <c r="U50" s="28" t="s">
        <v>154</v>
      </c>
      <c r="V50" s="28" t="s">
        <v>527</v>
      </c>
      <c r="W50" s="32" t="s">
        <v>387</v>
      </c>
      <c r="X50" s="32" t="s">
        <v>388</v>
      </c>
      <c r="Y50" s="28" t="s">
        <v>389</v>
      </c>
      <c r="Z50" s="26" t="s">
        <v>390</v>
      </c>
      <c r="AA50" s="26" t="s">
        <v>159</v>
      </c>
      <c r="AB50" s="26" t="s">
        <v>160</v>
      </c>
      <c r="AC50" s="28" t="s">
        <v>322</v>
      </c>
      <c r="AD50" s="28" t="s">
        <v>390</v>
      </c>
      <c r="AE50" s="29" t="s">
        <v>149</v>
      </c>
      <c r="AF50" s="26" t="s">
        <v>149</v>
      </c>
      <c r="AG50" s="26" t="s">
        <v>149</v>
      </c>
      <c r="AH50" s="26" t="s">
        <v>390</v>
      </c>
      <c r="AI50" s="28" t="s">
        <v>322</v>
      </c>
      <c r="AJ50" s="28" t="s">
        <v>390</v>
      </c>
      <c r="AK50" s="28" t="s">
        <v>392</v>
      </c>
      <c r="AL50" s="28" t="s">
        <v>393</v>
      </c>
      <c r="AM50" s="28" t="s">
        <v>394</v>
      </c>
      <c r="AN50" s="28" t="s">
        <v>241</v>
      </c>
      <c r="AO50" s="26" t="s">
        <v>395</v>
      </c>
      <c r="AP50" s="28" t="s">
        <v>396</v>
      </c>
      <c r="AQ50" s="26" t="s">
        <v>397</v>
      </c>
      <c r="AR50" s="26" t="s">
        <v>398</v>
      </c>
      <c r="AS50" s="26" t="s">
        <v>149</v>
      </c>
      <c r="AT50" s="26"/>
    </row>
    <row r="51">
      <c r="A51" s="36" t="s">
        <v>528</v>
      </c>
      <c r="B51" s="26" t="str">
        <f t="shared" si="1"/>
        <v>2023-PH175909000-1985-0182</v>
      </c>
      <c r="C51" s="27">
        <f t="shared" si="2"/>
        <v>2023</v>
      </c>
      <c r="D51" s="28" t="s">
        <v>140</v>
      </c>
      <c r="E51" s="28" t="s">
        <v>141</v>
      </c>
      <c r="F51" s="28" t="s">
        <v>142</v>
      </c>
      <c r="G51" s="29" t="s">
        <v>522</v>
      </c>
      <c r="H51" s="29" t="s">
        <v>529</v>
      </c>
      <c r="I51" s="29" t="s">
        <v>530</v>
      </c>
      <c r="J51" s="30" t="s">
        <v>531</v>
      </c>
      <c r="K51" s="26" t="s">
        <v>384</v>
      </c>
      <c r="L51" s="26" t="s">
        <v>532</v>
      </c>
      <c r="M51" s="31">
        <v>1985.0</v>
      </c>
      <c r="N51" s="31">
        <v>1985.0</v>
      </c>
      <c r="O51" s="31">
        <v>1987.0</v>
      </c>
      <c r="P51" s="28" t="s">
        <v>150</v>
      </c>
      <c r="Q51" s="32" t="s">
        <v>151</v>
      </c>
      <c r="R51" s="28" t="s">
        <v>281</v>
      </c>
      <c r="S51" s="32" t="s">
        <v>468</v>
      </c>
      <c r="T51" s="28" t="s">
        <v>154</v>
      </c>
      <c r="U51" s="28" t="s">
        <v>154</v>
      </c>
      <c r="V51" s="26" t="s">
        <v>469</v>
      </c>
      <c r="W51" s="32" t="s">
        <v>387</v>
      </c>
      <c r="X51" s="32" t="s">
        <v>388</v>
      </c>
      <c r="Y51" s="28" t="s">
        <v>389</v>
      </c>
      <c r="Z51" s="26" t="s">
        <v>390</v>
      </c>
      <c r="AA51" s="26" t="s">
        <v>159</v>
      </c>
      <c r="AB51" s="26" t="s">
        <v>160</v>
      </c>
      <c r="AC51" s="28" t="s">
        <v>322</v>
      </c>
      <c r="AD51" s="28" t="s">
        <v>390</v>
      </c>
      <c r="AE51" s="29" t="s">
        <v>149</v>
      </c>
      <c r="AF51" s="26" t="s">
        <v>149</v>
      </c>
      <c r="AG51" s="26" t="s">
        <v>533</v>
      </c>
      <c r="AH51" s="26" t="s">
        <v>390</v>
      </c>
      <c r="AI51" s="28" t="s">
        <v>322</v>
      </c>
      <c r="AJ51" s="28" t="s">
        <v>390</v>
      </c>
      <c r="AK51" s="28" t="s">
        <v>392</v>
      </c>
      <c r="AL51" s="28" t="s">
        <v>393</v>
      </c>
      <c r="AM51" s="28" t="s">
        <v>394</v>
      </c>
      <c r="AN51" s="28" t="s">
        <v>241</v>
      </c>
      <c r="AO51" s="26" t="s">
        <v>395</v>
      </c>
      <c r="AP51" s="28" t="s">
        <v>396</v>
      </c>
      <c r="AQ51" s="26" t="s">
        <v>397</v>
      </c>
      <c r="AR51" s="26" t="s">
        <v>398</v>
      </c>
      <c r="AS51" s="26" t="s">
        <v>149</v>
      </c>
      <c r="AT51" s="26"/>
    </row>
    <row r="52">
      <c r="A52" s="36" t="s">
        <v>534</v>
      </c>
      <c r="B52" s="26" t="str">
        <f t="shared" si="1"/>
        <v>2023-PH056216000-1985-0213</v>
      </c>
      <c r="C52" s="27">
        <f t="shared" si="2"/>
        <v>2023</v>
      </c>
      <c r="D52" s="37" t="s">
        <v>140</v>
      </c>
      <c r="E52" s="28" t="s">
        <v>141</v>
      </c>
      <c r="F52" s="28" t="s">
        <v>142</v>
      </c>
      <c r="G52" s="29" t="s">
        <v>535</v>
      </c>
      <c r="H52" s="29" t="s">
        <v>536</v>
      </c>
      <c r="I52" s="40" t="s">
        <v>537</v>
      </c>
      <c r="J52" s="30" t="s">
        <v>538</v>
      </c>
      <c r="K52" s="26" t="s">
        <v>384</v>
      </c>
      <c r="L52" s="28" t="s">
        <v>539</v>
      </c>
      <c r="M52" s="31">
        <v>1985.0</v>
      </c>
      <c r="N52" s="31">
        <v>1985.0</v>
      </c>
      <c r="O52" s="31">
        <v>1987.0</v>
      </c>
      <c r="P52" s="28" t="s">
        <v>150</v>
      </c>
      <c r="Q52" s="32" t="s">
        <v>151</v>
      </c>
      <c r="R52" s="28" t="s">
        <v>281</v>
      </c>
      <c r="S52" s="32" t="s">
        <v>468</v>
      </c>
      <c r="T52" s="28" t="s">
        <v>154</v>
      </c>
      <c r="U52" s="28" t="s">
        <v>154</v>
      </c>
      <c r="V52" s="28" t="s">
        <v>540</v>
      </c>
      <c r="W52" s="32" t="s">
        <v>387</v>
      </c>
      <c r="X52" s="32" t="s">
        <v>388</v>
      </c>
      <c r="Y52" s="28" t="s">
        <v>389</v>
      </c>
      <c r="Z52" s="26" t="s">
        <v>390</v>
      </c>
      <c r="AA52" s="26" t="s">
        <v>159</v>
      </c>
      <c r="AB52" s="26" t="s">
        <v>160</v>
      </c>
      <c r="AC52" s="28" t="s">
        <v>322</v>
      </c>
      <c r="AD52" s="28" t="s">
        <v>390</v>
      </c>
      <c r="AE52" s="29" t="s">
        <v>149</v>
      </c>
      <c r="AF52" s="26" t="s">
        <v>149</v>
      </c>
      <c r="AG52" s="26" t="s">
        <v>149</v>
      </c>
      <c r="AH52" s="26" t="s">
        <v>390</v>
      </c>
      <c r="AI52" s="28" t="s">
        <v>322</v>
      </c>
      <c r="AJ52" s="28" t="s">
        <v>390</v>
      </c>
      <c r="AK52" s="28" t="s">
        <v>392</v>
      </c>
      <c r="AL52" s="28" t="s">
        <v>393</v>
      </c>
      <c r="AM52" s="28" t="s">
        <v>394</v>
      </c>
      <c r="AN52" s="28" t="s">
        <v>241</v>
      </c>
      <c r="AO52" s="26" t="s">
        <v>395</v>
      </c>
      <c r="AP52" s="28" t="s">
        <v>396</v>
      </c>
      <c r="AQ52" s="38" t="s">
        <v>541</v>
      </c>
      <c r="AR52" s="26" t="s">
        <v>398</v>
      </c>
      <c r="AS52" s="26" t="s">
        <v>149</v>
      </c>
      <c r="AT52" s="39"/>
    </row>
    <row r="53">
      <c r="A53" s="36" t="s">
        <v>542</v>
      </c>
      <c r="B53" s="26" t="str">
        <f t="shared" si="1"/>
        <v>2023-PH056216000-1985-0214</v>
      </c>
      <c r="C53" s="27">
        <f t="shared" si="2"/>
        <v>2023</v>
      </c>
      <c r="D53" s="37" t="s">
        <v>140</v>
      </c>
      <c r="E53" s="28" t="s">
        <v>141</v>
      </c>
      <c r="F53" s="28" t="s">
        <v>142</v>
      </c>
      <c r="G53" s="29" t="s">
        <v>535</v>
      </c>
      <c r="H53" s="29" t="s">
        <v>536</v>
      </c>
      <c r="I53" s="40" t="s">
        <v>537</v>
      </c>
      <c r="J53" s="30" t="s">
        <v>538</v>
      </c>
      <c r="K53" s="26" t="s">
        <v>384</v>
      </c>
      <c r="L53" s="28" t="s">
        <v>543</v>
      </c>
      <c r="M53" s="31">
        <v>1985.0</v>
      </c>
      <c r="N53" s="31">
        <v>1985.0</v>
      </c>
      <c r="O53" s="31">
        <v>1987.0</v>
      </c>
      <c r="P53" s="28" t="s">
        <v>150</v>
      </c>
      <c r="Q53" s="32" t="s">
        <v>151</v>
      </c>
      <c r="R53" s="28" t="s">
        <v>386</v>
      </c>
      <c r="S53" s="28" t="s">
        <v>386</v>
      </c>
      <c r="T53" s="28" t="s">
        <v>154</v>
      </c>
      <c r="U53" s="28" t="s">
        <v>154</v>
      </c>
      <c r="V53" s="28" t="s">
        <v>386</v>
      </c>
      <c r="W53" s="32" t="s">
        <v>387</v>
      </c>
      <c r="X53" s="32" t="s">
        <v>388</v>
      </c>
      <c r="Y53" s="28" t="s">
        <v>389</v>
      </c>
      <c r="Z53" s="26" t="s">
        <v>390</v>
      </c>
      <c r="AA53" s="26" t="s">
        <v>159</v>
      </c>
      <c r="AB53" s="26" t="s">
        <v>160</v>
      </c>
      <c r="AC53" s="28" t="s">
        <v>322</v>
      </c>
      <c r="AD53" s="28" t="s">
        <v>390</v>
      </c>
      <c r="AE53" s="29" t="s">
        <v>149</v>
      </c>
      <c r="AF53" s="26" t="s">
        <v>149</v>
      </c>
      <c r="AG53" s="26" t="s">
        <v>391</v>
      </c>
      <c r="AH53" s="26" t="s">
        <v>390</v>
      </c>
      <c r="AI53" s="28" t="s">
        <v>322</v>
      </c>
      <c r="AJ53" s="28" t="s">
        <v>390</v>
      </c>
      <c r="AK53" s="28" t="s">
        <v>392</v>
      </c>
      <c r="AL53" s="28" t="s">
        <v>393</v>
      </c>
      <c r="AM53" s="28" t="s">
        <v>394</v>
      </c>
      <c r="AN53" s="28" t="s">
        <v>241</v>
      </c>
      <c r="AO53" s="26" t="s">
        <v>395</v>
      </c>
      <c r="AP53" s="28" t="s">
        <v>396</v>
      </c>
      <c r="AQ53" s="38" t="s">
        <v>541</v>
      </c>
      <c r="AR53" s="26" t="s">
        <v>398</v>
      </c>
      <c r="AS53" s="26" t="s">
        <v>149</v>
      </c>
      <c r="AT53" s="45"/>
    </row>
    <row r="54">
      <c r="A54" s="36" t="s">
        <v>544</v>
      </c>
      <c r="B54" s="26" t="str">
        <f t="shared" si="1"/>
        <v>2023-PH056216000-1986-0215</v>
      </c>
      <c r="C54" s="27">
        <f t="shared" si="2"/>
        <v>2023</v>
      </c>
      <c r="D54" s="37" t="s">
        <v>140</v>
      </c>
      <c r="E54" s="28" t="s">
        <v>141</v>
      </c>
      <c r="F54" s="28" t="s">
        <v>142</v>
      </c>
      <c r="G54" s="29" t="s">
        <v>535</v>
      </c>
      <c r="H54" s="29" t="s">
        <v>536</v>
      </c>
      <c r="I54" s="40" t="s">
        <v>537</v>
      </c>
      <c r="J54" s="30" t="s">
        <v>538</v>
      </c>
      <c r="K54" s="26" t="s">
        <v>384</v>
      </c>
      <c r="L54" s="28" t="s">
        <v>545</v>
      </c>
      <c r="M54" s="31">
        <v>1986.0</v>
      </c>
      <c r="N54" s="31">
        <v>1985.0</v>
      </c>
      <c r="O54" s="31">
        <v>1987.0</v>
      </c>
      <c r="P54" s="28" t="s">
        <v>150</v>
      </c>
      <c r="Q54" s="32" t="s">
        <v>151</v>
      </c>
      <c r="R54" s="28" t="s">
        <v>386</v>
      </c>
      <c r="S54" s="28" t="s">
        <v>386</v>
      </c>
      <c r="T54" s="28" t="s">
        <v>154</v>
      </c>
      <c r="U54" s="28" t="s">
        <v>154</v>
      </c>
      <c r="V54" s="28" t="s">
        <v>386</v>
      </c>
      <c r="W54" s="32" t="s">
        <v>387</v>
      </c>
      <c r="X54" s="32" t="s">
        <v>388</v>
      </c>
      <c r="Y54" s="28" t="s">
        <v>389</v>
      </c>
      <c r="Z54" s="26" t="s">
        <v>390</v>
      </c>
      <c r="AA54" s="26" t="s">
        <v>159</v>
      </c>
      <c r="AB54" s="26" t="s">
        <v>160</v>
      </c>
      <c r="AC54" s="28" t="s">
        <v>322</v>
      </c>
      <c r="AD54" s="28" t="s">
        <v>390</v>
      </c>
      <c r="AE54" s="29" t="s">
        <v>149</v>
      </c>
      <c r="AF54" s="26" t="s">
        <v>149</v>
      </c>
      <c r="AG54" s="26" t="s">
        <v>414</v>
      </c>
      <c r="AH54" s="26" t="s">
        <v>390</v>
      </c>
      <c r="AI54" s="28" t="s">
        <v>322</v>
      </c>
      <c r="AJ54" s="28" t="s">
        <v>390</v>
      </c>
      <c r="AK54" s="28" t="s">
        <v>392</v>
      </c>
      <c r="AL54" s="28" t="s">
        <v>393</v>
      </c>
      <c r="AM54" s="28" t="s">
        <v>394</v>
      </c>
      <c r="AN54" s="28" t="s">
        <v>241</v>
      </c>
      <c r="AO54" s="26" t="s">
        <v>395</v>
      </c>
      <c r="AP54" s="28" t="s">
        <v>396</v>
      </c>
      <c r="AQ54" s="38" t="s">
        <v>541</v>
      </c>
      <c r="AR54" s="26" t="s">
        <v>398</v>
      </c>
      <c r="AS54" s="26" t="s">
        <v>149</v>
      </c>
      <c r="AT54" s="45"/>
    </row>
    <row r="55">
      <c r="A55" s="36" t="s">
        <v>546</v>
      </c>
      <c r="B55" s="26" t="str">
        <f t="shared" si="1"/>
        <v>2023-PH056216000-1986-0216</v>
      </c>
      <c r="C55" s="27">
        <f t="shared" si="2"/>
        <v>2023</v>
      </c>
      <c r="D55" s="37" t="s">
        <v>140</v>
      </c>
      <c r="E55" s="28" t="s">
        <v>141</v>
      </c>
      <c r="F55" s="28" t="s">
        <v>142</v>
      </c>
      <c r="G55" s="29" t="s">
        <v>535</v>
      </c>
      <c r="H55" s="29" t="s">
        <v>536</v>
      </c>
      <c r="I55" s="40" t="s">
        <v>537</v>
      </c>
      <c r="J55" s="30" t="s">
        <v>538</v>
      </c>
      <c r="K55" s="26" t="s">
        <v>384</v>
      </c>
      <c r="L55" s="28" t="s">
        <v>547</v>
      </c>
      <c r="M55" s="31">
        <v>1986.0</v>
      </c>
      <c r="N55" s="31">
        <v>1985.0</v>
      </c>
      <c r="O55" s="31">
        <v>1987.0</v>
      </c>
      <c r="P55" s="28" t="s">
        <v>150</v>
      </c>
      <c r="Q55" s="32" t="s">
        <v>151</v>
      </c>
      <c r="R55" s="28" t="s">
        <v>386</v>
      </c>
      <c r="S55" s="28" t="s">
        <v>386</v>
      </c>
      <c r="T55" s="28" t="s">
        <v>154</v>
      </c>
      <c r="U55" s="28" t="s">
        <v>154</v>
      </c>
      <c r="V55" s="28" t="s">
        <v>386</v>
      </c>
      <c r="W55" s="32" t="s">
        <v>387</v>
      </c>
      <c r="X55" s="32" t="s">
        <v>388</v>
      </c>
      <c r="Y55" s="28" t="s">
        <v>389</v>
      </c>
      <c r="Z55" s="26" t="s">
        <v>390</v>
      </c>
      <c r="AA55" s="26" t="s">
        <v>159</v>
      </c>
      <c r="AB55" s="26" t="s">
        <v>160</v>
      </c>
      <c r="AC55" s="28" t="s">
        <v>322</v>
      </c>
      <c r="AD55" s="28" t="s">
        <v>390</v>
      </c>
      <c r="AE55" s="29" t="s">
        <v>149</v>
      </c>
      <c r="AF55" s="26" t="s">
        <v>149</v>
      </c>
      <c r="AG55" s="26" t="s">
        <v>548</v>
      </c>
      <c r="AH55" s="26" t="s">
        <v>390</v>
      </c>
      <c r="AI55" s="28" t="s">
        <v>322</v>
      </c>
      <c r="AJ55" s="28" t="s">
        <v>390</v>
      </c>
      <c r="AK55" s="28" t="s">
        <v>392</v>
      </c>
      <c r="AL55" s="28" t="s">
        <v>393</v>
      </c>
      <c r="AM55" s="28" t="s">
        <v>394</v>
      </c>
      <c r="AN55" s="28" t="s">
        <v>241</v>
      </c>
      <c r="AO55" s="26" t="s">
        <v>395</v>
      </c>
      <c r="AP55" s="28" t="s">
        <v>396</v>
      </c>
      <c r="AQ55" s="38" t="s">
        <v>541</v>
      </c>
      <c r="AR55" s="26" t="s">
        <v>398</v>
      </c>
      <c r="AS55" s="26" t="s">
        <v>149</v>
      </c>
      <c r="AT55" s="11"/>
    </row>
    <row r="56">
      <c r="A56" s="36" t="s">
        <v>549</v>
      </c>
      <c r="B56" s="26" t="str">
        <f t="shared" si="1"/>
        <v>2023-PH056216000-1986-0217</v>
      </c>
      <c r="C56" s="27">
        <f t="shared" si="2"/>
        <v>2023</v>
      </c>
      <c r="D56" s="37" t="s">
        <v>140</v>
      </c>
      <c r="E56" s="28" t="s">
        <v>141</v>
      </c>
      <c r="F56" s="28" t="s">
        <v>142</v>
      </c>
      <c r="G56" s="29" t="s">
        <v>535</v>
      </c>
      <c r="H56" s="29" t="s">
        <v>536</v>
      </c>
      <c r="I56" s="40" t="s">
        <v>537</v>
      </c>
      <c r="J56" s="30" t="s">
        <v>538</v>
      </c>
      <c r="K56" s="26" t="s">
        <v>384</v>
      </c>
      <c r="L56" s="28" t="s">
        <v>550</v>
      </c>
      <c r="M56" s="31">
        <v>1986.0</v>
      </c>
      <c r="N56" s="31">
        <v>1985.0</v>
      </c>
      <c r="O56" s="31">
        <v>1987.0</v>
      </c>
      <c r="P56" s="28" t="s">
        <v>150</v>
      </c>
      <c r="Q56" s="32" t="s">
        <v>151</v>
      </c>
      <c r="R56" s="28" t="s">
        <v>386</v>
      </c>
      <c r="S56" s="28" t="s">
        <v>386</v>
      </c>
      <c r="T56" s="28" t="s">
        <v>154</v>
      </c>
      <c r="U56" s="28" t="s">
        <v>154</v>
      </c>
      <c r="V56" s="28" t="s">
        <v>386</v>
      </c>
      <c r="W56" s="32" t="s">
        <v>387</v>
      </c>
      <c r="X56" s="32" t="s">
        <v>388</v>
      </c>
      <c r="Y56" s="28" t="s">
        <v>389</v>
      </c>
      <c r="Z56" s="26" t="s">
        <v>390</v>
      </c>
      <c r="AA56" s="26" t="s">
        <v>159</v>
      </c>
      <c r="AB56" s="26" t="s">
        <v>160</v>
      </c>
      <c r="AC56" s="28" t="s">
        <v>322</v>
      </c>
      <c r="AD56" s="28" t="s">
        <v>390</v>
      </c>
      <c r="AE56" s="29" t="s">
        <v>149</v>
      </c>
      <c r="AF56" s="26" t="s">
        <v>149</v>
      </c>
      <c r="AG56" s="26" t="s">
        <v>391</v>
      </c>
      <c r="AH56" s="26" t="s">
        <v>390</v>
      </c>
      <c r="AI56" s="28" t="s">
        <v>322</v>
      </c>
      <c r="AJ56" s="28" t="s">
        <v>390</v>
      </c>
      <c r="AK56" s="28" t="s">
        <v>392</v>
      </c>
      <c r="AL56" s="28" t="s">
        <v>393</v>
      </c>
      <c r="AM56" s="28" t="s">
        <v>394</v>
      </c>
      <c r="AN56" s="28" t="s">
        <v>241</v>
      </c>
      <c r="AO56" s="26" t="s">
        <v>395</v>
      </c>
      <c r="AP56" s="28" t="s">
        <v>396</v>
      </c>
      <c r="AQ56" s="38" t="s">
        <v>541</v>
      </c>
      <c r="AR56" s="26" t="s">
        <v>398</v>
      </c>
      <c r="AS56" s="26" t="s">
        <v>149</v>
      </c>
      <c r="AT56" s="29"/>
    </row>
    <row r="57" ht="16.5" customHeight="1">
      <c r="A57" s="36" t="s">
        <v>551</v>
      </c>
      <c r="B57" s="26" t="str">
        <f t="shared" si="1"/>
        <v>2023-PH056216000-1986-0218</v>
      </c>
      <c r="C57" s="27">
        <f t="shared" si="2"/>
        <v>2023</v>
      </c>
      <c r="D57" s="37" t="s">
        <v>140</v>
      </c>
      <c r="E57" s="28" t="s">
        <v>141</v>
      </c>
      <c r="F57" s="28" t="s">
        <v>142</v>
      </c>
      <c r="G57" s="29" t="s">
        <v>535</v>
      </c>
      <c r="H57" s="29" t="s">
        <v>536</v>
      </c>
      <c r="I57" s="40" t="s">
        <v>537</v>
      </c>
      <c r="J57" s="30" t="s">
        <v>538</v>
      </c>
      <c r="K57" s="26" t="s">
        <v>384</v>
      </c>
      <c r="L57" s="28" t="s">
        <v>552</v>
      </c>
      <c r="M57" s="31">
        <v>1986.0</v>
      </c>
      <c r="N57" s="31">
        <v>1985.0</v>
      </c>
      <c r="O57" s="31">
        <v>1987.0</v>
      </c>
      <c r="P57" s="28" t="s">
        <v>150</v>
      </c>
      <c r="Q57" s="32" t="s">
        <v>151</v>
      </c>
      <c r="R57" s="28" t="s">
        <v>386</v>
      </c>
      <c r="S57" s="28" t="s">
        <v>386</v>
      </c>
      <c r="T57" s="28" t="s">
        <v>154</v>
      </c>
      <c r="U57" s="28" t="s">
        <v>154</v>
      </c>
      <c r="V57" s="28" t="s">
        <v>386</v>
      </c>
      <c r="W57" s="32" t="s">
        <v>387</v>
      </c>
      <c r="X57" s="32" t="s">
        <v>388</v>
      </c>
      <c r="Y57" s="28" t="s">
        <v>389</v>
      </c>
      <c r="Z57" s="26" t="s">
        <v>390</v>
      </c>
      <c r="AA57" s="26" t="s">
        <v>159</v>
      </c>
      <c r="AB57" s="26" t="s">
        <v>160</v>
      </c>
      <c r="AC57" s="28" t="s">
        <v>322</v>
      </c>
      <c r="AD57" s="28" t="s">
        <v>390</v>
      </c>
      <c r="AE57" s="29" t="s">
        <v>149</v>
      </c>
      <c r="AF57" s="26" t="s">
        <v>149</v>
      </c>
      <c r="AG57" s="26" t="s">
        <v>548</v>
      </c>
      <c r="AH57" s="26" t="s">
        <v>390</v>
      </c>
      <c r="AI57" s="28" t="s">
        <v>322</v>
      </c>
      <c r="AJ57" s="28" t="s">
        <v>390</v>
      </c>
      <c r="AK57" s="28" t="s">
        <v>392</v>
      </c>
      <c r="AL57" s="28" t="s">
        <v>393</v>
      </c>
      <c r="AM57" s="28" t="s">
        <v>394</v>
      </c>
      <c r="AN57" s="28" t="s">
        <v>241</v>
      </c>
      <c r="AO57" s="26" t="s">
        <v>395</v>
      </c>
      <c r="AP57" s="28" t="s">
        <v>396</v>
      </c>
      <c r="AQ57" s="38" t="s">
        <v>541</v>
      </c>
      <c r="AR57" s="26" t="s">
        <v>398</v>
      </c>
      <c r="AS57" s="26" t="s">
        <v>149</v>
      </c>
      <c r="AT57" s="28"/>
    </row>
    <row r="58">
      <c r="A58" s="36" t="s">
        <v>553</v>
      </c>
      <c r="B58" s="26" t="str">
        <f t="shared" si="1"/>
        <v>2023-PH056205000-1986-0219</v>
      </c>
      <c r="C58" s="27">
        <f t="shared" si="2"/>
        <v>2023</v>
      </c>
      <c r="D58" s="37" t="s">
        <v>140</v>
      </c>
      <c r="E58" s="28" t="s">
        <v>141</v>
      </c>
      <c r="F58" s="28" t="s">
        <v>142</v>
      </c>
      <c r="G58" s="29" t="s">
        <v>535</v>
      </c>
      <c r="H58" s="29" t="s">
        <v>536</v>
      </c>
      <c r="I58" s="29" t="s">
        <v>554</v>
      </c>
      <c r="J58" s="30" t="s">
        <v>555</v>
      </c>
      <c r="K58" s="26" t="s">
        <v>384</v>
      </c>
      <c r="L58" s="26" t="s">
        <v>556</v>
      </c>
      <c r="M58" s="31">
        <v>1986.0</v>
      </c>
      <c r="N58" s="31">
        <v>1985.0</v>
      </c>
      <c r="O58" s="31">
        <v>1987.0</v>
      </c>
      <c r="P58" s="28" t="s">
        <v>150</v>
      </c>
      <c r="Q58" s="32" t="s">
        <v>151</v>
      </c>
      <c r="R58" s="28" t="s">
        <v>386</v>
      </c>
      <c r="S58" s="28" t="s">
        <v>386</v>
      </c>
      <c r="T58" s="28" t="s">
        <v>154</v>
      </c>
      <c r="U58" s="28" t="s">
        <v>154</v>
      </c>
      <c r="V58" s="28" t="s">
        <v>386</v>
      </c>
      <c r="W58" s="32" t="s">
        <v>387</v>
      </c>
      <c r="X58" s="32" t="s">
        <v>388</v>
      </c>
      <c r="Y58" s="28" t="s">
        <v>389</v>
      </c>
      <c r="Z58" s="26" t="s">
        <v>390</v>
      </c>
      <c r="AA58" s="26" t="s">
        <v>159</v>
      </c>
      <c r="AB58" s="26" t="s">
        <v>160</v>
      </c>
      <c r="AC58" s="28" t="s">
        <v>322</v>
      </c>
      <c r="AD58" s="28" t="s">
        <v>390</v>
      </c>
      <c r="AE58" s="29" t="s">
        <v>149</v>
      </c>
      <c r="AF58" s="26" t="s">
        <v>149</v>
      </c>
      <c r="AG58" s="26" t="s">
        <v>548</v>
      </c>
      <c r="AH58" s="26" t="s">
        <v>390</v>
      </c>
      <c r="AI58" s="28" t="s">
        <v>322</v>
      </c>
      <c r="AJ58" s="28" t="s">
        <v>390</v>
      </c>
      <c r="AK58" s="28" t="s">
        <v>392</v>
      </c>
      <c r="AL58" s="28" t="s">
        <v>393</v>
      </c>
      <c r="AM58" s="28" t="s">
        <v>394</v>
      </c>
      <c r="AN58" s="28" t="s">
        <v>241</v>
      </c>
      <c r="AO58" s="26" t="s">
        <v>395</v>
      </c>
      <c r="AP58" s="28" t="s">
        <v>396</v>
      </c>
      <c r="AQ58" s="38" t="s">
        <v>541</v>
      </c>
      <c r="AR58" s="26" t="s">
        <v>398</v>
      </c>
      <c r="AS58" s="26" t="s">
        <v>149</v>
      </c>
      <c r="AT58" s="28"/>
    </row>
    <row r="59">
      <c r="A59" s="36" t="s">
        <v>557</v>
      </c>
      <c r="B59" s="26" t="str">
        <f t="shared" si="1"/>
        <v>2023-PH063020000-1985-0256</v>
      </c>
      <c r="C59" s="27">
        <f t="shared" si="2"/>
        <v>2023</v>
      </c>
      <c r="D59" s="37" t="s">
        <v>140</v>
      </c>
      <c r="E59" s="28" t="s">
        <v>141</v>
      </c>
      <c r="F59" s="28" t="s">
        <v>142</v>
      </c>
      <c r="G59" s="29" t="s">
        <v>314</v>
      </c>
      <c r="H59" s="29" t="s">
        <v>558</v>
      </c>
      <c r="I59" s="29" t="s">
        <v>559</v>
      </c>
      <c r="J59" s="30" t="s">
        <v>560</v>
      </c>
      <c r="K59" s="26" t="s">
        <v>384</v>
      </c>
      <c r="L59" s="26" t="s">
        <v>561</v>
      </c>
      <c r="M59" s="31">
        <v>1985.0</v>
      </c>
      <c r="N59" s="31">
        <v>1985.0</v>
      </c>
      <c r="O59" s="31">
        <v>1987.0</v>
      </c>
      <c r="P59" s="28" t="s">
        <v>150</v>
      </c>
      <c r="Q59" s="32" t="s">
        <v>151</v>
      </c>
      <c r="R59" s="28" t="s">
        <v>386</v>
      </c>
      <c r="S59" s="28" t="s">
        <v>386</v>
      </c>
      <c r="T59" s="28" t="s">
        <v>154</v>
      </c>
      <c r="U59" s="28" t="s">
        <v>154</v>
      </c>
      <c r="V59" s="28" t="s">
        <v>386</v>
      </c>
      <c r="W59" s="32" t="s">
        <v>387</v>
      </c>
      <c r="X59" s="32" t="s">
        <v>388</v>
      </c>
      <c r="Y59" s="28" t="s">
        <v>389</v>
      </c>
      <c r="Z59" s="26" t="s">
        <v>390</v>
      </c>
      <c r="AA59" s="26" t="s">
        <v>149</v>
      </c>
      <c r="AB59" s="26" t="s">
        <v>160</v>
      </c>
      <c r="AC59" s="28" t="s">
        <v>322</v>
      </c>
      <c r="AD59" s="28" t="s">
        <v>390</v>
      </c>
      <c r="AE59" s="29" t="s">
        <v>149</v>
      </c>
      <c r="AF59" s="26" t="s">
        <v>149</v>
      </c>
      <c r="AG59" s="26" t="s">
        <v>149</v>
      </c>
      <c r="AH59" s="26" t="s">
        <v>390</v>
      </c>
      <c r="AI59" s="28" t="s">
        <v>322</v>
      </c>
      <c r="AJ59" s="28" t="s">
        <v>390</v>
      </c>
      <c r="AK59" s="28" t="s">
        <v>392</v>
      </c>
      <c r="AL59" s="28" t="s">
        <v>393</v>
      </c>
      <c r="AM59" s="28" t="s">
        <v>394</v>
      </c>
      <c r="AN59" s="28" t="s">
        <v>241</v>
      </c>
      <c r="AO59" s="26" t="s">
        <v>395</v>
      </c>
      <c r="AP59" s="28" t="s">
        <v>396</v>
      </c>
      <c r="AQ59" s="38" t="s">
        <v>541</v>
      </c>
      <c r="AR59" s="26" t="s">
        <v>398</v>
      </c>
      <c r="AS59" s="11" t="s">
        <v>149</v>
      </c>
      <c r="AT59" s="45"/>
    </row>
    <row r="60">
      <c r="A60" s="36" t="s">
        <v>562</v>
      </c>
      <c r="B60" s="26" t="str">
        <f t="shared" si="1"/>
        <v>2023-PH071211000-1986-0263</v>
      </c>
      <c r="C60" s="27">
        <f t="shared" si="2"/>
        <v>2023</v>
      </c>
      <c r="D60" s="37" t="s">
        <v>140</v>
      </c>
      <c r="E60" s="28" t="s">
        <v>141</v>
      </c>
      <c r="F60" s="28" t="s">
        <v>142</v>
      </c>
      <c r="G60" s="29" t="s">
        <v>193</v>
      </c>
      <c r="H60" s="29" t="s">
        <v>563</v>
      </c>
      <c r="I60" s="29" t="s">
        <v>564</v>
      </c>
      <c r="J60" s="30" t="s">
        <v>565</v>
      </c>
      <c r="K60" s="26" t="s">
        <v>384</v>
      </c>
      <c r="L60" s="26" t="s">
        <v>566</v>
      </c>
      <c r="M60" s="31">
        <v>1986.0</v>
      </c>
      <c r="N60" s="31">
        <v>1985.0</v>
      </c>
      <c r="O60" s="31">
        <v>1987.0</v>
      </c>
      <c r="P60" s="28" t="s">
        <v>150</v>
      </c>
      <c r="Q60" s="32" t="s">
        <v>151</v>
      </c>
      <c r="R60" s="28" t="s">
        <v>386</v>
      </c>
      <c r="S60" s="28" t="s">
        <v>386</v>
      </c>
      <c r="T60" s="28" t="s">
        <v>154</v>
      </c>
      <c r="U60" s="28" t="s">
        <v>154</v>
      </c>
      <c r="V60" s="28" t="s">
        <v>386</v>
      </c>
      <c r="W60" s="32" t="s">
        <v>387</v>
      </c>
      <c r="X60" s="32" t="s">
        <v>388</v>
      </c>
      <c r="Y60" s="28" t="s">
        <v>389</v>
      </c>
      <c r="Z60" s="26" t="s">
        <v>390</v>
      </c>
      <c r="AA60" s="26" t="s">
        <v>159</v>
      </c>
      <c r="AB60" s="26" t="s">
        <v>160</v>
      </c>
      <c r="AC60" s="28" t="s">
        <v>322</v>
      </c>
      <c r="AD60" s="28" t="s">
        <v>390</v>
      </c>
      <c r="AE60" s="29" t="s">
        <v>149</v>
      </c>
      <c r="AF60" s="26" t="s">
        <v>149</v>
      </c>
      <c r="AG60" s="26" t="s">
        <v>475</v>
      </c>
      <c r="AH60" s="26" t="s">
        <v>390</v>
      </c>
      <c r="AI60" s="28" t="s">
        <v>322</v>
      </c>
      <c r="AJ60" s="28" t="s">
        <v>390</v>
      </c>
      <c r="AK60" s="28" t="s">
        <v>392</v>
      </c>
      <c r="AL60" s="28" t="s">
        <v>393</v>
      </c>
      <c r="AM60" s="28" t="s">
        <v>394</v>
      </c>
      <c r="AN60" s="28" t="s">
        <v>241</v>
      </c>
      <c r="AO60" s="26" t="s">
        <v>395</v>
      </c>
      <c r="AP60" s="28" t="s">
        <v>396</v>
      </c>
      <c r="AQ60" s="38" t="s">
        <v>541</v>
      </c>
      <c r="AR60" s="26" t="s">
        <v>398</v>
      </c>
      <c r="AS60" s="29" t="s">
        <v>149</v>
      </c>
      <c r="AT60" s="39"/>
    </row>
    <row r="61">
      <c r="A61" s="36" t="s">
        <v>567</v>
      </c>
      <c r="B61" s="26" t="str">
        <f t="shared" si="1"/>
        <v>2023-PH072232000-1986-0291</v>
      </c>
      <c r="C61" s="27">
        <f t="shared" si="2"/>
        <v>2023</v>
      </c>
      <c r="D61" s="28" t="s">
        <v>140</v>
      </c>
      <c r="E61" s="28" t="s">
        <v>141</v>
      </c>
      <c r="F61" s="28" t="s">
        <v>142</v>
      </c>
      <c r="G61" s="29" t="s">
        <v>193</v>
      </c>
      <c r="H61" s="29" t="s">
        <v>194</v>
      </c>
      <c r="I61" s="29" t="s">
        <v>568</v>
      </c>
      <c r="J61" s="29" t="s">
        <v>569</v>
      </c>
      <c r="K61" s="26" t="s">
        <v>384</v>
      </c>
      <c r="L61" s="26" t="s">
        <v>570</v>
      </c>
      <c r="M61" s="31">
        <v>1986.0</v>
      </c>
      <c r="N61" s="31">
        <v>1985.0</v>
      </c>
      <c r="O61" s="31">
        <v>1987.0</v>
      </c>
      <c r="P61" s="28" t="s">
        <v>150</v>
      </c>
      <c r="Q61" s="32" t="s">
        <v>151</v>
      </c>
      <c r="R61" s="28" t="s">
        <v>149</v>
      </c>
      <c r="S61" s="28" t="s">
        <v>149</v>
      </c>
      <c r="T61" s="28" t="s">
        <v>154</v>
      </c>
      <c r="U61" s="28" t="s">
        <v>154</v>
      </c>
      <c r="V61" s="26" t="s">
        <v>149</v>
      </c>
      <c r="W61" s="32" t="s">
        <v>387</v>
      </c>
      <c r="X61" s="32" t="s">
        <v>388</v>
      </c>
      <c r="Y61" s="28" t="s">
        <v>389</v>
      </c>
      <c r="Z61" s="26" t="s">
        <v>390</v>
      </c>
      <c r="AA61" s="26" t="s">
        <v>159</v>
      </c>
      <c r="AB61" s="26" t="s">
        <v>160</v>
      </c>
      <c r="AC61" s="28" t="s">
        <v>322</v>
      </c>
      <c r="AD61" s="28" t="s">
        <v>390</v>
      </c>
      <c r="AE61" s="29" t="s">
        <v>149</v>
      </c>
      <c r="AF61" s="26" t="s">
        <v>149</v>
      </c>
      <c r="AG61" s="26" t="s">
        <v>571</v>
      </c>
      <c r="AH61" s="26" t="s">
        <v>390</v>
      </c>
      <c r="AI61" s="28" t="s">
        <v>322</v>
      </c>
      <c r="AJ61" s="28" t="s">
        <v>390</v>
      </c>
      <c r="AK61" s="28" t="s">
        <v>392</v>
      </c>
      <c r="AL61" s="28" t="s">
        <v>393</v>
      </c>
      <c r="AM61" s="28" t="s">
        <v>394</v>
      </c>
      <c r="AN61" s="28" t="s">
        <v>241</v>
      </c>
      <c r="AO61" s="26" t="s">
        <v>395</v>
      </c>
      <c r="AP61" s="28" t="s">
        <v>396</v>
      </c>
      <c r="AQ61" s="38" t="s">
        <v>541</v>
      </c>
      <c r="AR61" s="26" t="s">
        <v>398</v>
      </c>
      <c r="AS61" s="29" t="s">
        <v>149</v>
      </c>
      <c r="AT61" s="11"/>
    </row>
    <row r="62" ht="15.75" customHeight="1">
      <c r="A62" s="25" t="s">
        <v>572</v>
      </c>
      <c r="B62" s="26" t="str">
        <f t="shared" si="1"/>
        <v>2023-PH072249000-1986-0296</v>
      </c>
      <c r="C62" s="27">
        <f t="shared" si="2"/>
        <v>2023</v>
      </c>
      <c r="D62" s="28" t="s">
        <v>140</v>
      </c>
      <c r="E62" s="28" t="s">
        <v>141</v>
      </c>
      <c r="F62" s="28" t="s">
        <v>142</v>
      </c>
      <c r="G62" s="29" t="s">
        <v>193</v>
      </c>
      <c r="H62" s="29" t="s">
        <v>194</v>
      </c>
      <c r="I62" s="29" t="s">
        <v>573</v>
      </c>
      <c r="J62" s="29" t="s">
        <v>574</v>
      </c>
      <c r="K62" s="26" t="s">
        <v>384</v>
      </c>
      <c r="L62" s="26" t="s">
        <v>575</v>
      </c>
      <c r="M62" s="31">
        <v>1986.0</v>
      </c>
      <c r="N62" s="31">
        <v>1985.0</v>
      </c>
      <c r="O62" s="31">
        <v>1987.0</v>
      </c>
      <c r="P62" s="28" t="s">
        <v>150</v>
      </c>
      <c r="Q62" s="32" t="s">
        <v>151</v>
      </c>
      <c r="R62" s="28" t="s">
        <v>149</v>
      </c>
      <c r="S62" s="32" t="s">
        <v>149</v>
      </c>
      <c r="T62" s="28" t="s">
        <v>154</v>
      </c>
      <c r="U62" s="28" t="s">
        <v>154</v>
      </c>
      <c r="V62" s="26" t="s">
        <v>149</v>
      </c>
      <c r="W62" s="32" t="s">
        <v>387</v>
      </c>
      <c r="X62" s="32" t="s">
        <v>388</v>
      </c>
      <c r="Y62" s="28" t="s">
        <v>389</v>
      </c>
      <c r="Z62" s="26" t="s">
        <v>390</v>
      </c>
      <c r="AA62" s="26" t="s">
        <v>159</v>
      </c>
      <c r="AB62" s="26" t="s">
        <v>160</v>
      </c>
      <c r="AC62" s="28" t="s">
        <v>322</v>
      </c>
      <c r="AD62" s="28" t="s">
        <v>390</v>
      </c>
      <c r="AE62" s="29" t="s">
        <v>149</v>
      </c>
      <c r="AF62" s="26" t="s">
        <v>149</v>
      </c>
      <c r="AG62" s="26" t="s">
        <v>571</v>
      </c>
      <c r="AH62" s="26" t="s">
        <v>390</v>
      </c>
      <c r="AI62" s="28" t="s">
        <v>322</v>
      </c>
      <c r="AJ62" s="28" t="s">
        <v>390</v>
      </c>
      <c r="AK62" s="28" t="s">
        <v>392</v>
      </c>
      <c r="AL62" s="28" t="s">
        <v>393</v>
      </c>
      <c r="AM62" s="28" t="s">
        <v>394</v>
      </c>
      <c r="AN62" s="28" t="s">
        <v>241</v>
      </c>
      <c r="AO62" s="26" t="s">
        <v>395</v>
      </c>
      <c r="AP62" s="28" t="s">
        <v>396</v>
      </c>
      <c r="AQ62" s="38" t="s">
        <v>541</v>
      </c>
      <c r="AR62" s="26" t="s">
        <v>398</v>
      </c>
      <c r="AS62" s="45" t="s">
        <v>149</v>
      </c>
      <c r="AT62" s="11"/>
    </row>
    <row r="63">
      <c r="A63" s="25" t="s">
        <v>576</v>
      </c>
      <c r="B63" s="26" t="str">
        <f t="shared" si="1"/>
        <v>2023-PH072249000-1986-0297</v>
      </c>
      <c r="C63" s="27">
        <f t="shared" si="2"/>
        <v>2023</v>
      </c>
      <c r="D63" s="28" t="s">
        <v>140</v>
      </c>
      <c r="E63" s="28" t="s">
        <v>141</v>
      </c>
      <c r="F63" s="28" t="s">
        <v>142</v>
      </c>
      <c r="G63" s="29" t="s">
        <v>193</v>
      </c>
      <c r="H63" s="29" t="s">
        <v>194</v>
      </c>
      <c r="I63" s="29" t="s">
        <v>573</v>
      </c>
      <c r="J63" s="29" t="s">
        <v>574</v>
      </c>
      <c r="K63" s="26" t="s">
        <v>384</v>
      </c>
      <c r="L63" s="26" t="s">
        <v>577</v>
      </c>
      <c r="M63" s="31">
        <v>1986.0</v>
      </c>
      <c r="N63" s="31">
        <v>1985.0</v>
      </c>
      <c r="O63" s="31">
        <v>1987.0</v>
      </c>
      <c r="P63" s="28" t="s">
        <v>150</v>
      </c>
      <c r="Q63" s="32" t="s">
        <v>151</v>
      </c>
      <c r="R63" s="28" t="s">
        <v>149</v>
      </c>
      <c r="S63" s="32" t="s">
        <v>149</v>
      </c>
      <c r="T63" s="28" t="s">
        <v>154</v>
      </c>
      <c r="U63" s="28" t="s">
        <v>154</v>
      </c>
      <c r="V63" s="26" t="s">
        <v>149</v>
      </c>
      <c r="W63" s="32" t="s">
        <v>387</v>
      </c>
      <c r="X63" s="32" t="s">
        <v>388</v>
      </c>
      <c r="Y63" s="28" t="s">
        <v>389</v>
      </c>
      <c r="Z63" s="26" t="s">
        <v>390</v>
      </c>
      <c r="AA63" s="26" t="s">
        <v>159</v>
      </c>
      <c r="AB63" s="26" t="s">
        <v>160</v>
      </c>
      <c r="AC63" s="28" t="s">
        <v>322</v>
      </c>
      <c r="AD63" s="28" t="s">
        <v>390</v>
      </c>
      <c r="AE63" s="29" t="s">
        <v>149</v>
      </c>
      <c r="AF63" s="26" t="s">
        <v>149</v>
      </c>
      <c r="AG63" s="26" t="s">
        <v>571</v>
      </c>
      <c r="AH63" s="26" t="s">
        <v>390</v>
      </c>
      <c r="AI63" s="28" t="s">
        <v>322</v>
      </c>
      <c r="AJ63" s="28" t="s">
        <v>390</v>
      </c>
      <c r="AK63" s="28" t="s">
        <v>392</v>
      </c>
      <c r="AL63" s="28" t="s">
        <v>393</v>
      </c>
      <c r="AM63" s="28" t="s">
        <v>394</v>
      </c>
      <c r="AN63" s="28" t="s">
        <v>241</v>
      </c>
      <c r="AO63" s="26" t="s">
        <v>395</v>
      </c>
      <c r="AP63" s="28" t="s">
        <v>396</v>
      </c>
      <c r="AQ63" s="38" t="s">
        <v>541</v>
      </c>
      <c r="AR63" s="26" t="s">
        <v>398</v>
      </c>
      <c r="AS63" s="45" t="s">
        <v>149</v>
      </c>
      <c r="AT63" s="11"/>
    </row>
    <row r="64">
      <c r="A64" s="36" t="s">
        <v>578</v>
      </c>
      <c r="B64" s="26" t="str">
        <f t="shared" si="1"/>
        <v>2023-PH082604000-1986-0299</v>
      </c>
      <c r="C64" s="27">
        <f t="shared" si="2"/>
        <v>2023</v>
      </c>
      <c r="D64" s="37" t="s">
        <v>140</v>
      </c>
      <c r="E64" s="28" t="s">
        <v>141</v>
      </c>
      <c r="F64" s="28" t="s">
        <v>142</v>
      </c>
      <c r="G64" s="29" t="s">
        <v>579</v>
      </c>
      <c r="H64" s="29" t="s">
        <v>580</v>
      </c>
      <c r="I64" s="29" t="s">
        <v>581</v>
      </c>
      <c r="J64" s="29" t="s">
        <v>582</v>
      </c>
      <c r="K64" s="26" t="s">
        <v>384</v>
      </c>
      <c r="L64" s="26" t="s">
        <v>583</v>
      </c>
      <c r="M64" s="31">
        <v>1986.0</v>
      </c>
      <c r="N64" s="31">
        <v>1985.0</v>
      </c>
      <c r="O64" s="31">
        <v>1987.0</v>
      </c>
      <c r="P64" s="28" t="s">
        <v>150</v>
      </c>
      <c r="Q64" s="32" t="s">
        <v>151</v>
      </c>
      <c r="R64" s="28" t="s">
        <v>386</v>
      </c>
      <c r="S64" s="28" t="s">
        <v>386</v>
      </c>
      <c r="T64" s="28" t="s">
        <v>154</v>
      </c>
      <c r="U64" s="28" t="s">
        <v>154</v>
      </c>
      <c r="V64" s="28" t="s">
        <v>386</v>
      </c>
      <c r="W64" s="32" t="s">
        <v>387</v>
      </c>
      <c r="X64" s="32" t="s">
        <v>388</v>
      </c>
      <c r="Y64" s="28" t="s">
        <v>389</v>
      </c>
      <c r="Z64" s="26" t="s">
        <v>390</v>
      </c>
      <c r="AA64" s="26" t="s">
        <v>159</v>
      </c>
      <c r="AB64" s="26" t="s">
        <v>160</v>
      </c>
      <c r="AC64" s="28" t="s">
        <v>322</v>
      </c>
      <c r="AD64" s="28" t="s">
        <v>390</v>
      </c>
      <c r="AE64" s="29" t="s">
        <v>149</v>
      </c>
      <c r="AF64" s="26" t="s">
        <v>149</v>
      </c>
      <c r="AG64" s="26" t="s">
        <v>450</v>
      </c>
      <c r="AH64" s="26" t="s">
        <v>390</v>
      </c>
      <c r="AI64" s="28" t="s">
        <v>322</v>
      </c>
      <c r="AJ64" s="28" t="s">
        <v>390</v>
      </c>
      <c r="AK64" s="28" t="s">
        <v>392</v>
      </c>
      <c r="AL64" s="28" t="s">
        <v>393</v>
      </c>
      <c r="AM64" s="28" t="s">
        <v>394</v>
      </c>
      <c r="AN64" s="28" t="s">
        <v>241</v>
      </c>
      <c r="AO64" s="26" t="s">
        <v>395</v>
      </c>
      <c r="AP64" s="28" t="s">
        <v>396</v>
      </c>
      <c r="AQ64" s="38" t="s">
        <v>541</v>
      </c>
      <c r="AR64" s="26" t="s">
        <v>398</v>
      </c>
      <c r="AS64" s="28" t="s">
        <v>149</v>
      </c>
      <c r="AT64" s="28"/>
    </row>
    <row r="65">
      <c r="A65" s="36" t="s">
        <v>584</v>
      </c>
      <c r="B65" s="26" t="str">
        <f t="shared" si="1"/>
        <v>2023-PH083715000-1986-0312</v>
      </c>
      <c r="C65" s="27">
        <f t="shared" si="2"/>
        <v>2023</v>
      </c>
      <c r="D65" s="37" t="s">
        <v>140</v>
      </c>
      <c r="E65" s="28" t="s">
        <v>141</v>
      </c>
      <c r="F65" s="28" t="s">
        <v>142</v>
      </c>
      <c r="G65" s="29" t="s">
        <v>579</v>
      </c>
      <c r="H65" s="29" t="s">
        <v>585</v>
      </c>
      <c r="I65" s="29" t="s">
        <v>586</v>
      </c>
      <c r="J65" s="30" t="s">
        <v>587</v>
      </c>
      <c r="K65" s="26" t="s">
        <v>384</v>
      </c>
      <c r="L65" s="48" t="s">
        <v>588</v>
      </c>
      <c r="M65" s="31">
        <v>1986.0</v>
      </c>
      <c r="N65" s="31">
        <v>1985.0</v>
      </c>
      <c r="O65" s="31">
        <v>1987.0</v>
      </c>
      <c r="P65" s="28" t="s">
        <v>150</v>
      </c>
      <c r="Q65" s="32" t="s">
        <v>151</v>
      </c>
      <c r="R65" s="28" t="s">
        <v>386</v>
      </c>
      <c r="S65" s="28" t="s">
        <v>386</v>
      </c>
      <c r="T65" s="28" t="s">
        <v>154</v>
      </c>
      <c r="U65" s="28" t="s">
        <v>154</v>
      </c>
      <c r="V65" s="28" t="s">
        <v>386</v>
      </c>
      <c r="W65" s="32" t="s">
        <v>387</v>
      </c>
      <c r="X65" s="32" t="s">
        <v>388</v>
      </c>
      <c r="Y65" s="28" t="s">
        <v>389</v>
      </c>
      <c r="Z65" s="26" t="s">
        <v>390</v>
      </c>
      <c r="AA65" s="26" t="s">
        <v>159</v>
      </c>
      <c r="AB65" s="26" t="s">
        <v>160</v>
      </c>
      <c r="AC65" s="28" t="s">
        <v>322</v>
      </c>
      <c r="AD65" s="28" t="s">
        <v>390</v>
      </c>
      <c r="AE65" s="29" t="s">
        <v>149</v>
      </c>
      <c r="AF65" s="26" t="s">
        <v>149</v>
      </c>
      <c r="AG65" s="26" t="s">
        <v>450</v>
      </c>
      <c r="AH65" s="26" t="s">
        <v>390</v>
      </c>
      <c r="AI65" s="28" t="s">
        <v>322</v>
      </c>
      <c r="AJ65" s="28" t="s">
        <v>390</v>
      </c>
      <c r="AK65" s="28" t="s">
        <v>392</v>
      </c>
      <c r="AL65" s="28" t="s">
        <v>393</v>
      </c>
      <c r="AM65" s="28" t="s">
        <v>394</v>
      </c>
      <c r="AN65" s="28" t="s">
        <v>241</v>
      </c>
      <c r="AO65" s="26" t="s">
        <v>395</v>
      </c>
      <c r="AP65" s="28" t="s">
        <v>396</v>
      </c>
      <c r="AQ65" s="38" t="s">
        <v>541</v>
      </c>
      <c r="AR65" s="26" t="s">
        <v>398</v>
      </c>
      <c r="AS65" s="28" t="s">
        <v>149</v>
      </c>
      <c r="AT65" s="11"/>
    </row>
    <row r="66">
      <c r="A66" s="36" t="s">
        <v>589</v>
      </c>
      <c r="B66" s="26" t="str">
        <f t="shared" si="1"/>
        <v>2023-PH097201000-1987-0331</v>
      </c>
      <c r="C66" s="27">
        <f t="shared" si="2"/>
        <v>2023</v>
      </c>
      <c r="D66" s="37" t="s">
        <v>140</v>
      </c>
      <c r="E66" s="28" t="s">
        <v>141</v>
      </c>
      <c r="F66" s="28" t="s">
        <v>142</v>
      </c>
      <c r="G66" s="29" t="s">
        <v>590</v>
      </c>
      <c r="H66" s="29" t="s">
        <v>591</v>
      </c>
      <c r="I66" s="40" t="s">
        <v>592</v>
      </c>
      <c r="J66" s="29" t="s">
        <v>593</v>
      </c>
      <c r="K66" s="26" t="s">
        <v>384</v>
      </c>
      <c r="L66" s="26" t="s">
        <v>435</v>
      </c>
      <c r="M66" s="31">
        <v>1987.0</v>
      </c>
      <c r="N66" s="31">
        <v>1985.0</v>
      </c>
      <c r="O66" s="49">
        <v>1987.0</v>
      </c>
      <c r="P66" s="28" t="s">
        <v>150</v>
      </c>
      <c r="Q66" s="32" t="s">
        <v>151</v>
      </c>
      <c r="R66" s="28" t="s">
        <v>281</v>
      </c>
      <c r="S66" s="32" t="s">
        <v>468</v>
      </c>
      <c r="T66" s="28" t="s">
        <v>154</v>
      </c>
      <c r="U66" s="28" t="s">
        <v>154</v>
      </c>
      <c r="V66" s="28" t="s">
        <v>594</v>
      </c>
      <c r="W66" s="32" t="s">
        <v>387</v>
      </c>
      <c r="X66" s="32" t="s">
        <v>388</v>
      </c>
      <c r="Y66" s="28" t="s">
        <v>389</v>
      </c>
      <c r="Z66" s="26" t="s">
        <v>390</v>
      </c>
      <c r="AA66" s="26" t="s">
        <v>159</v>
      </c>
      <c r="AB66" s="26" t="s">
        <v>160</v>
      </c>
      <c r="AC66" s="28" t="s">
        <v>322</v>
      </c>
      <c r="AD66" s="28" t="s">
        <v>390</v>
      </c>
      <c r="AE66" s="29" t="s">
        <v>149</v>
      </c>
      <c r="AF66" s="26" t="s">
        <v>149</v>
      </c>
      <c r="AG66" s="26" t="s">
        <v>149</v>
      </c>
      <c r="AH66" s="26" t="s">
        <v>390</v>
      </c>
      <c r="AI66" s="28" t="s">
        <v>322</v>
      </c>
      <c r="AJ66" s="28" t="s">
        <v>390</v>
      </c>
      <c r="AK66" s="28" t="s">
        <v>392</v>
      </c>
      <c r="AL66" s="28" t="s">
        <v>393</v>
      </c>
      <c r="AM66" s="28" t="s">
        <v>394</v>
      </c>
      <c r="AN66" s="28" t="s">
        <v>241</v>
      </c>
      <c r="AO66" s="26" t="s">
        <v>395</v>
      </c>
      <c r="AP66" s="28" t="s">
        <v>396</v>
      </c>
      <c r="AQ66" s="38" t="s">
        <v>541</v>
      </c>
      <c r="AR66" s="26" t="s">
        <v>398</v>
      </c>
      <c r="AS66" s="26" t="s">
        <v>149</v>
      </c>
      <c r="AT66" s="26"/>
    </row>
    <row r="67">
      <c r="A67" s="36" t="s">
        <v>595</v>
      </c>
      <c r="B67" s="26" t="str">
        <f t="shared" si="1"/>
        <v>2023-PH097201000-1987-0332</v>
      </c>
      <c r="C67" s="27">
        <f t="shared" si="2"/>
        <v>2023</v>
      </c>
      <c r="D67" s="37" t="s">
        <v>140</v>
      </c>
      <c r="E67" s="28" t="s">
        <v>141</v>
      </c>
      <c r="F67" s="28" t="s">
        <v>142</v>
      </c>
      <c r="G67" s="29" t="s">
        <v>590</v>
      </c>
      <c r="H67" s="29" t="s">
        <v>591</v>
      </c>
      <c r="I67" s="40" t="s">
        <v>592</v>
      </c>
      <c r="J67" s="30" t="s">
        <v>593</v>
      </c>
      <c r="K67" s="26" t="s">
        <v>384</v>
      </c>
      <c r="L67" s="26" t="s">
        <v>596</v>
      </c>
      <c r="M67" s="31">
        <v>1987.0</v>
      </c>
      <c r="N67" s="31">
        <v>1985.0</v>
      </c>
      <c r="O67" s="31">
        <v>1987.0</v>
      </c>
      <c r="P67" s="28" t="s">
        <v>150</v>
      </c>
      <c r="Q67" s="32" t="s">
        <v>151</v>
      </c>
      <c r="R67" s="28" t="s">
        <v>281</v>
      </c>
      <c r="S67" s="32" t="s">
        <v>468</v>
      </c>
      <c r="T67" s="28" t="s">
        <v>154</v>
      </c>
      <c r="U67" s="28" t="s">
        <v>154</v>
      </c>
      <c r="V67" s="28" t="s">
        <v>594</v>
      </c>
      <c r="W67" s="32" t="s">
        <v>387</v>
      </c>
      <c r="X67" s="32" t="s">
        <v>388</v>
      </c>
      <c r="Y67" s="28" t="s">
        <v>389</v>
      </c>
      <c r="Z67" s="26" t="s">
        <v>390</v>
      </c>
      <c r="AA67" s="26" t="s">
        <v>159</v>
      </c>
      <c r="AB67" s="26" t="s">
        <v>160</v>
      </c>
      <c r="AC67" s="28" t="s">
        <v>322</v>
      </c>
      <c r="AD67" s="28" t="s">
        <v>390</v>
      </c>
      <c r="AE67" s="29" t="s">
        <v>149</v>
      </c>
      <c r="AF67" s="26" t="s">
        <v>149</v>
      </c>
      <c r="AG67" s="26" t="s">
        <v>149</v>
      </c>
      <c r="AH67" s="26" t="s">
        <v>390</v>
      </c>
      <c r="AI67" s="28" t="s">
        <v>322</v>
      </c>
      <c r="AJ67" s="28" t="s">
        <v>390</v>
      </c>
      <c r="AK67" s="28" t="s">
        <v>392</v>
      </c>
      <c r="AL67" s="28" t="s">
        <v>393</v>
      </c>
      <c r="AM67" s="28" t="s">
        <v>394</v>
      </c>
      <c r="AN67" s="28" t="s">
        <v>241</v>
      </c>
      <c r="AO67" s="26" t="s">
        <v>395</v>
      </c>
      <c r="AP67" s="28" t="s">
        <v>396</v>
      </c>
      <c r="AQ67" s="38" t="s">
        <v>541</v>
      </c>
      <c r="AR67" s="26" t="s">
        <v>398</v>
      </c>
      <c r="AS67" s="26" t="s">
        <v>149</v>
      </c>
      <c r="AT67" s="26"/>
    </row>
    <row r="68">
      <c r="A68" s="36" t="s">
        <v>597</v>
      </c>
      <c r="B68" s="26" t="str">
        <f t="shared" si="1"/>
        <v>2023-PH097201000-1987-0333</v>
      </c>
      <c r="C68" s="27">
        <f t="shared" si="2"/>
        <v>2023</v>
      </c>
      <c r="D68" s="37" t="s">
        <v>140</v>
      </c>
      <c r="E68" s="28" t="s">
        <v>141</v>
      </c>
      <c r="F68" s="28" t="s">
        <v>142</v>
      </c>
      <c r="G68" s="29" t="s">
        <v>590</v>
      </c>
      <c r="H68" s="29" t="s">
        <v>591</v>
      </c>
      <c r="I68" s="40" t="s">
        <v>592</v>
      </c>
      <c r="J68" s="30" t="s">
        <v>593</v>
      </c>
      <c r="K68" s="26" t="s">
        <v>384</v>
      </c>
      <c r="L68" s="26" t="s">
        <v>598</v>
      </c>
      <c r="M68" s="31">
        <v>1987.0</v>
      </c>
      <c r="N68" s="31">
        <v>1985.0</v>
      </c>
      <c r="O68" s="31">
        <v>1987.0</v>
      </c>
      <c r="P68" s="28" t="s">
        <v>150</v>
      </c>
      <c r="Q68" s="32" t="s">
        <v>151</v>
      </c>
      <c r="R68" s="28" t="s">
        <v>281</v>
      </c>
      <c r="S68" s="32" t="s">
        <v>468</v>
      </c>
      <c r="T68" s="28" t="s">
        <v>154</v>
      </c>
      <c r="U68" s="28" t="s">
        <v>154</v>
      </c>
      <c r="V68" s="28" t="s">
        <v>594</v>
      </c>
      <c r="W68" s="32" t="s">
        <v>387</v>
      </c>
      <c r="X68" s="32" t="s">
        <v>388</v>
      </c>
      <c r="Y68" s="28" t="s">
        <v>389</v>
      </c>
      <c r="Z68" s="26" t="s">
        <v>390</v>
      </c>
      <c r="AA68" s="26" t="s">
        <v>159</v>
      </c>
      <c r="AB68" s="26" t="s">
        <v>160</v>
      </c>
      <c r="AC68" s="28" t="s">
        <v>322</v>
      </c>
      <c r="AD68" s="28" t="s">
        <v>390</v>
      </c>
      <c r="AE68" s="29" t="s">
        <v>149</v>
      </c>
      <c r="AF68" s="26" t="s">
        <v>149</v>
      </c>
      <c r="AG68" s="26" t="s">
        <v>149</v>
      </c>
      <c r="AH68" s="26" t="s">
        <v>390</v>
      </c>
      <c r="AI68" s="28" t="s">
        <v>322</v>
      </c>
      <c r="AJ68" s="28" t="s">
        <v>390</v>
      </c>
      <c r="AK68" s="28" t="s">
        <v>392</v>
      </c>
      <c r="AL68" s="28" t="s">
        <v>393</v>
      </c>
      <c r="AM68" s="28" t="s">
        <v>394</v>
      </c>
      <c r="AN68" s="28" t="s">
        <v>241</v>
      </c>
      <c r="AO68" s="26" t="s">
        <v>395</v>
      </c>
      <c r="AP68" s="28" t="s">
        <v>396</v>
      </c>
      <c r="AQ68" s="38" t="s">
        <v>541</v>
      </c>
      <c r="AR68" s="26" t="s">
        <v>398</v>
      </c>
      <c r="AS68" s="26" t="s">
        <v>149</v>
      </c>
      <c r="AT68" s="26"/>
    </row>
    <row r="69">
      <c r="A69" s="36" t="s">
        <v>599</v>
      </c>
      <c r="B69" s="26" t="str">
        <f t="shared" si="1"/>
        <v>2023-PH103507000-1986-0343</v>
      </c>
      <c r="C69" s="27">
        <f t="shared" si="2"/>
        <v>2023</v>
      </c>
      <c r="D69" s="37" t="s">
        <v>140</v>
      </c>
      <c r="E69" s="28" t="s">
        <v>141</v>
      </c>
      <c r="F69" s="28" t="s">
        <v>142</v>
      </c>
      <c r="G69" s="29" t="s">
        <v>171</v>
      </c>
      <c r="H69" s="29" t="s">
        <v>600</v>
      </c>
      <c r="I69" s="29" t="s">
        <v>601</v>
      </c>
      <c r="J69" s="29" t="s">
        <v>602</v>
      </c>
      <c r="K69" s="26" t="s">
        <v>384</v>
      </c>
      <c r="L69" s="26" t="s">
        <v>603</v>
      </c>
      <c r="M69" s="31">
        <v>1986.0</v>
      </c>
      <c r="N69" s="31">
        <v>1985.0</v>
      </c>
      <c r="O69" s="31">
        <v>1987.0</v>
      </c>
      <c r="P69" s="28" t="s">
        <v>150</v>
      </c>
      <c r="Q69" s="32" t="s">
        <v>151</v>
      </c>
      <c r="R69" s="28" t="s">
        <v>604</v>
      </c>
      <c r="S69" s="28" t="s">
        <v>605</v>
      </c>
      <c r="T69" s="28" t="s">
        <v>154</v>
      </c>
      <c r="U69" s="28" t="s">
        <v>154</v>
      </c>
      <c r="V69" s="28" t="s">
        <v>605</v>
      </c>
      <c r="W69" s="32" t="s">
        <v>387</v>
      </c>
      <c r="X69" s="32" t="s">
        <v>388</v>
      </c>
      <c r="Y69" s="28" t="s">
        <v>389</v>
      </c>
      <c r="Z69" s="26" t="s">
        <v>390</v>
      </c>
      <c r="AA69" s="26" t="s">
        <v>159</v>
      </c>
      <c r="AB69" s="26" t="s">
        <v>160</v>
      </c>
      <c r="AC69" s="28" t="s">
        <v>322</v>
      </c>
      <c r="AD69" s="28" t="s">
        <v>390</v>
      </c>
      <c r="AE69" s="29" t="s">
        <v>149</v>
      </c>
      <c r="AF69" s="26" t="s">
        <v>149</v>
      </c>
      <c r="AG69" s="26" t="s">
        <v>606</v>
      </c>
      <c r="AH69" s="26" t="s">
        <v>390</v>
      </c>
      <c r="AI69" s="28" t="s">
        <v>322</v>
      </c>
      <c r="AJ69" s="28" t="s">
        <v>390</v>
      </c>
      <c r="AK69" s="28" t="s">
        <v>392</v>
      </c>
      <c r="AL69" s="28" t="s">
        <v>393</v>
      </c>
      <c r="AM69" s="28" t="s">
        <v>394</v>
      </c>
      <c r="AN69" s="28" t="s">
        <v>241</v>
      </c>
      <c r="AO69" s="26" t="s">
        <v>395</v>
      </c>
      <c r="AP69" s="28" t="s">
        <v>396</v>
      </c>
      <c r="AQ69" s="38" t="s">
        <v>541</v>
      </c>
      <c r="AR69" s="26" t="s">
        <v>398</v>
      </c>
      <c r="AS69" s="11" t="s">
        <v>149</v>
      </c>
      <c r="AT69" s="11"/>
    </row>
    <row r="70">
      <c r="A70" s="36" t="s">
        <v>607</v>
      </c>
      <c r="B70" s="26" t="str">
        <f t="shared" si="1"/>
        <v>2023-PH103507000-1986-0344</v>
      </c>
      <c r="C70" s="27">
        <f t="shared" si="2"/>
        <v>2023</v>
      </c>
      <c r="D70" s="37" t="s">
        <v>140</v>
      </c>
      <c r="E70" s="28" t="s">
        <v>141</v>
      </c>
      <c r="F70" s="28" t="s">
        <v>142</v>
      </c>
      <c r="G70" s="29" t="s">
        <v>171</v>
      </c>
      <c r="H70" s="29" t="s">
        <v>600</v>
      </c>
      <c r="I70" s="29" t="s">
        <v>601</v>
      </c>
      <c r="J70" s="29" t="s">
        <v>602</v>
      </c>
      <c r="K70" s="26" t="s">
        <v>384</v>
      </c>
      <c r="L70" s="26" t="s">
        <v>608</v>
      </c>
      <c r="M70" s="31">
        <v>1986.0</v>
      </c>
      <c r="N70" s="31">
        <v>1985.0</v>
      </c>
      <c r="O70" s="31">
        <v>1987.0</v>
      </c>
      <c r="P70" s="28" t="s">
        <v>150</v>
      </c>
      <c r="Q70" s="32" t="s">
        <v>151</v>
      </c>
      <c r="R70" s="28" t="s">
        <v>281</v>
      </c>
      <c r="S70" s="32" t="s">
        <v>468</v>
      </c>
      <c r="T70" s="28" t="s">
        <v>154</v>
      </c>
      <c r="U70" s="28" t="s">
        <v>154</v>
      </c>
      <c r="V70" s="26" t="s">
        <v>469</v>
      </c>
      <c r="W70" s="32" t="s">
        <v>387</v>
      </c>
      <c r="X70" s="32" t="s">
        <v>388</v>
      </c>
      <c r="Y70" s="28" t="s">
        <v>389</v>
      </c>
      <c r="Z70" s="26" t="s">
        <v>390</v>
      </c>
      <c r="AA70" s="26" t="s">
        <v>159</v>
      </c>
      <c r="AB70" s="26" t="s">
        <v>160</v>
      </c>
      <c r="AC70" s="28" t="s">
        <v>322</v>
      </c>
      <c r="AD70" s="28" t="s">
        <v>390</v>
      </c>
      <c r="AE70" s="29" t="s">
        <v>149</v>
      </c>
      <c r="AF70" s="26" t="s">
        <v>149</v>
      </c>
      <c r="AG70" s="26" t="s">
        <v>609</v>
      </c>
      <c r="AH70" s="26" t="s">
        <v>390</v>
      </c>
      <c r="AI70" s="28" t="s">
        <v>322</v>
      </c>
      <c r="AJ70" s="28" t="s">
        <v>390</v>
      </c>
      <c r="AK70" s="28" t="s">
        <v>392</v>
      </c>
      <c r="AL70" s="28" t="s">
        <v>393</v>
      </c>
      <c r="AM70" s="28" t="s">
        <v>394</v>
      </c>
      <c r="AN70" s="28" t="s">
        <v>241</v>
      </c>
      <c r="AO70" s="26" t="s">
        <v>395</v>
      </c>
      <c r="AP70" s="28" t="s">
        <v>396</v>
      </c>
      <c r="AQ70" s="38" t="s">
        <v>541</v>
      </c>
      <c r="AR70" s="26" t="s">
        <v>398</v>
      </c>
      <c r="AS70" s="11" t="s">
        <v>149</v>
      </c>
      <c r="AT70" s="11"/>
    </row>
    <row r="71">
      <c r="A71" s="36" t="s">
        <v>610</v>
      </c>
      <c r="B71" s="26" t="str">
        <f t="shared" si="1"/>
        <v>2023-PH104310000-1986-0355</v>
      </c>
      <c r="C71" s="27">
        <f t="shared" si="2"/>
        <v>2023</v>
      </c>
      <c r="D71" s="37" t="s">
        <v>140</v>
      </c>
      <c r="E71" s="28" t="s">
        <v>141</v>
      </c>
      <c r="F71" s="28" t="s">
        <v>142</v>
      </c>
      <c r="G71" s="29" t="s">
        <v>171</v>
      </c>
      <c r="H71" s="29" t="s">
        <v>172</v>
      </c>
      <c r="I71" s="29" t="s">
        <v>611</v>
      </c>
      <c r="J71" s="30" t="s">
        <v>612</v>
      </c>
      <c r="K71" s="26" t="s">
        <v>384</v>
      </c>
      <c r="L71" s="43" t="s">
        <v>149</v>
      </c>
      <c r="M71" s="31">
        <v>1986.0</v>
      </c>
      <c r="N71" s="31">
        <v>1985.0</v>
      </c>
      <c r="O71" s="31">
        <v>1987.0</v>
      </c>
      <c r="P71" s="28" t="s">
        <v>150</v>
      </c>
      <c r="Q71" s="32" t="s">
        <v>151</v>
      </c>
      <c r="R71" s="28" t="s">
        <v>386</v>
      </c>
      <c r="S71" s="28" t="s">
        <v>386</v>
      </c>
      <c r="T71" s="28" t="s">
        <v>154</v>
      </c>
      <c r="U71" s="28" t="s">
        <v>154</v>
      </c>
      <c r="V71" s="28" t="s">
        <v>613</v>
      </c>
      <c r="W71" s="32" t="s">
        <v>387</v>
      </c>
      <c r="X71" s="32" t="s">
        <v>388</v>
      </c>
      <c r="Y71" s="28" t="s">
        <v>389</v>
      </c>
      <c r="Z71" s="26" t="s">
        <v>390</v>
      </c>
      <c r="AA71" s="26" t="s">
        <v>159</v>
      </c>
      <c r="AB71" s="26" t="s">
        <v>160</v>
      </c>
      <c r="AC71" s="28" t="s">
        <v>322</v>
      </c>
      <c r="AD71" s="28" t="s">
        <v>390</v>
      </c>
      <c r="AE71" s="29" t="s">
        <v>149</v>
      </c>
      <c r="AF71" s="26" t="s">
        <v>149</v>
      </c>
      <c r="AG71" s="26" t="s">
        <v>149</v>
      </c>
      <c r="AH71" s="26" t="s">
        <v>390</v>
      </c>
      <c r="AI71" s="28" t="s">
        <v>322</v>
      </c>
      <c r="AJ71" s="28" t="s">
        <v>390</v>
      </c>
      <c r="AK71" s="28" t="s">
        <v>392</v>
      </c>
      <c r="AL71" s="28" t="s">
        <v>393</v>
      </c>
      <c r="AM71" s="28" t="s">
        <v>394</v>
      </c>
      <c r="AN71" s="28" t="s">
        <v>241</v>
      </c>
      <c r="AO71" s="26" t="s">
        <v>395</v>
      </c>
      <c r="AP71" s="28" t="s">
        <v>396</v>
      </c>
      <c r="AQ71" s="38" t="s">
        <v>541</v>
      </c>
      <c r="AR71" s="26" t="s">
        <v>398</v>
      </c>
      <c r="AS71" s="11" t="s">
        <v>149</v>
      </c>
      <c r="AT71" s="11"/>
    </row>
    <row r="72">
      <c r="A72" s="36" t="s">
        <v>614</v>
      </c>
      <c r="B72" s="26" t="str">
        <f t="shared" si="1"/>
        <v>2023-PH112402000-1986-0376</v>
      </c>
      <c r="C72" s="27">
        <f t="shared" si="2"/>
        <v>2023</v>
      </c>
      <c r="D72" s="37" t="s">
        <v>140</v>
      </c>
      <c r="E72" s="28" t="s">
        <v>141</v>
      </c>
      <c r="F72" s="28" t="s">
        <v>142</v>
      </c>
      <c r="G72" s="29" t="s">
        <v>330</v>
      </c>
      <c r="H72" s="29" t="s">
        <v>615</v>
      </c>
      <c r="I72" s="40" t="s">
        <v>616</v>
      </c>
      <c r="J72" s="29" t="s">
        <v>617</v>
      </c>
      <c r="K72" s="26" t="s">
        <v>384</v>
      </c>
      <c r="L72" s="43" t="s">
        <v>149</v>
      </c>
      <c r="M72" s="31">
        <v>1986.0</v>
      </c>
      <c r="N72" s="31">
        <v>1985.0</v>
      </c>
      <c r="O72" s="31">
        <v>1987.0</v>
      </c>
      <c r="P72" s="28" t="s">
        <v>150</v>
      </c>
      <c r="Q72" s="32" t="s">
        <v>151</v>
      </c>
      <c r="R72" s="28" t="s">
        <v>386</v>
      </c>
      <c r="S72" s="28" t="s">
        <v>386</v>
      </c>
      <c r="T72" s="28" t="s">
        <v>154</v>
      </c>
      <c r="U72" s="28" t="s">
        <v>154</v>
      </c>
      <c r="V72" s="28" t="s">
        <v>613</v>
      </c>
      <c r="W72" s="32" t="s">
        <v>387</v>
      </c>
      <c r="X72" s="32" t="s">
        <v>388</v>
      </c>
      <c r="Y72" s="28" t="s">
        <v>389</v>
      </c>
      <c r="Z72" s="26" t="s">
        <v>390</v>
      </c>
      <c r="AA72" s="26" t="s">
        <v>159</v>
      </c>
      <c r="AB72" s="26" t="s">
        <v>160</v>
      </c>
      <c r="AC72" s="28" t="s">
        <v>322</v>
      </c>
      <c r="AD72" s="28" t="s">
        <v>390</v>
      </c>
      <c r="AE72" s="29" t="s">
        <v>149</v>
      </c>
      <c r="AF72" s="26" t="s">
        <v>149</v>
      </c>
      <c r="AG72" s="26" t="s">
        <v>149</v>
      </c>
      <c r="AH72" s="26" t="s">
        <v>390</v>
      </c>
      <c r="AI72" s="28" t="s">
        <v>322</v>
      </c>
      <c r="AJ72" s="28" t="s">
        <v>390</v>
      </c>
      <c r="AK72" s="28" t="s">
        <v>392</v>
      </c>
      <c r="AL72" s="28" t="s">
        <v>393</v>
      </c>
      <c r="AM72" s="28" t="s">
        <v>394</v>
      </c>
      <c r="AN72" s="28" t="s">
        <v>241</v>
      </c>
      <c r="AO72" s="26" t="s">
        <v>395</v>
      </c>
      <c r="AP72" s="28" t="s">
        <v>396</v>
      </c>
      <c r="AQ72" s="38" t="s">
        <v>541</v>
      </c>
      <c r="AR72" s="26" t="s">
        <v>398</v>
      </c>
      <c r="AS72" s="11" t="s">
        <v>149</v>
      </c>
      <c r="AT72" s="45"/>
    </row>
    <row r="73">
      <c r="A73" s="36" t="s">
        <v>618</v>
      </c>
      <c r="B73" s="26" t="str">
        <f t="shared" si="1"/>
        <v>2023-PH133900000-1985-0409</v>
      </c>
      <c r="C73" s="27">
        <f t="shared" si="2"/>
        <v>2023</v>
      </c>
      <c r="D73" s="28" t="s">
        <v>140</v>
      </c>
      <c r="E73" s="28" t="s">
        <v>141</v>
      </c>
      <c r="F73" s="28" t="s">
        <v>142</v>
      </c>
      <c r="G73" s="29" t="s">
        <v>619</v>
      </c>
      <c r="H73" s="29" t="s">
        <v>620</v>
      </c>
      <c r="I73" s="54" t="s">
        <v>621</v>
      </c>
      <c r="J73" s="55" t="s">
        <v>622</v>
      </c>
      <c r="K73" s="26" t="s">
        <v>384</v>
      </c>
      <c r="L73" s="28" t="s">
        <v>623</v>
      </c>
      <c r="M73" s="53">
        <v>1985.0</v>
      </c>
      <c r="N73" s="31">
        <v>1985.0</v>
      </c>
      <c r="O73" s="31">
        <v>1987.0</v>
      </c>
      <c r="P73" s="28" t="s">
        <v>150</v>
      </c>
      <c r="Q73" s="32" t="s">
        <v>151</v>
      </c>
      <c r="R73" s="28" t="s">
        <v>386</v>
      </c>
      <c r="S73" s="28" t="s">
        <v>386</v>
      </c>
      <c r="T73" s="28" t="s">
        <v>154</v>
      </c>
      <c r="U73" s="28" t="s">
        <v>154</v>
      </c>
      <c r="V73" s="28" t="s">
        <v>386</v>
      </c>
      <c r="W73" s="32" t="s">
        <v>387</v>
      </c>
      <c r="X73" s="32" t="s">
        <v>388</v>
      </c>
      <c r="Y73" s="28" t="s">
        <v>389</v>
      </c>
      <c r="Z73" s="26" t="s">
        <v>390</v>
      </c>
      <c r="AA73" s="26" t="s">
        <v>159</v>
      </c>
      <c r="AB73" s="26" t="s">
        <v>160</v>
      </c>
      <c r="AC73" s="28" t="s">
        <v>322</v>
      </c>
      <c r="AD73" s="28" t="s">
        <v>390</v>
      </c>
      <c r="AE73" s="29" t="s">
        <v>149</v>
      </c>
      <c r="AF73" s="26" t="s">
        <v>149</v>
      </c>
      <c r="AG73" s="26" t="s">
        <v>414</v>
      </c>
      <c r="AH73" s="26" t="s">
        <v>390</v>
      </c>
      <c r="AI73" s="28" t="s">
        <v>322</v>
      </c>
      <c r="AJ73" s="28" t="s">
        <v>390</v>
      </c>
      <c r="AK73" s="28" t="s">
        <v>392</v>
      </c>
      <c r="AL73" s="28" t="s">
        <v>393</v>
      </c>
      <c r="AM73" s="28" t="s">
        <v>394</v>
      </c>
      <c r="AN73" s="28" t="s">
        <v>241</v>
      </c>
      <c r="AO73" s="26" t="s">
        <v>395</v>
      </c>
      <c r="AP73" s="28" t="s">
        <v>396</v>
      </c>
      <c r="AQ73" s="38" t="s">
        <v>541</v>
      </c>
      <c r="AR73" s="26" t="s">
        <v>398</v>
      </c>
      <c r="AS73" s="11" t="s">
        <v>149</v>
      </c>
      <c r="AT73" s="26"/>
    </row>
    <row r="74">
      <c r="A74" s="36" t="s">
        <v>624</v>
      </c>
      <c r="B74" s="26" t="str">
        <f t="shared" si="1"/>
        <v>2023-PH064501000-1986-0410</v>
      </c>
      <c r="C74" s="27">
        <f t="shared" si="2"/>
        <v>2023</v>
      </c>
      <c r="D74" s="28" t="s">
        <v>140</v>
      </c>
      <c r="E74" s="28" t="s">
        <v>141</v>
      </c>
      <c r="F74" s="28" t="s">
        <v>142</v>
      </c>
      <c r="G74" s="29" t="s">
        <v>625</v>
      </c>
      <c r="H74" s="29" t="s">
        <v>626</v>
      </c>
      <c r="I74" s="56" t="s">
        <v>627</v>
      </c>
      <c r="J74" s="57" t="s">
        <v>628</v>
      </c>
      <c r="K74" s="26" t="s">
        <v>384</v>
      </c>
      <c r="L74" s="26" t="s">
        <v>629</v>
      </c>
      <c r="M74" s="31">
        <v>1986.0</v>
      </c>
      <c r="N74" s="31">
        <v>1985.0</v>
      </c>
      <c r="O74" s="31">
        <v>1987.0</v>
      </c>
      <c r="P74" s="28" t="s">
        <v>150</v>
      </c>
      <c r="Q74" s="32" t="s">
        <v>151</v>
      </c>
      <c r="R74" s="28" t="s">
        <v>386</v>
      </c>
      <c r="S74" s="28" t="s">
        <v>386</v>
      </c>
      <c r="T74" s="28" t="s">
        <v>154</v>
      </c>
      <c r="U74" s="28" t="s">
        <v>154</v>
      </c>
      <c r="V74" s="28" t="s">
        <v>386</v>
      </c>
      <c r="W74" s="32" t="s">
        <v>387</v>
      </c>
      <c r="X74" s="32" t="s">
        <v>388</v>
      </c>
      <c r="Y74" s="28" t="s">
        <v>389</v>
      </c>
      <c r="Z74" s="26" t="s">
        <v>390</v>
      </c>
      <c r="AA74" s="26" t="s">
        <v>159</v>
      </c>
      <c r="AB74" s="26" t="s">
        <v>160</v>
      </c>
      <c r="AC74" s="28" t="s">
        <v>322</v>
      </c>
      <c r="AD74" s="28" t="s">
        <v>390</v>
      </c>
      <c r="AE74" s="29" t="s">
        <v>149</v>
      </c>
      <c r="AF74" s="26" t="s">
        <v>149</v>
      </c>
      <c r="AG74" s="26" t="s">
        <v>391</v>
      </c>
      <c r="AH74" s="26" t="s">
        <v>390</v>
      </c>
      <c r="AI74" s="28" t="s">
        <v>322</v>
      </c>
      <c r="AJ74" s="28" t="s">
        <v>390</v>
      </c>
      <c r="AK74" s="28" t="s">
        <v>392</v>
      </c>
      <c r="AL74" s="28" t="s">
        <v>393</v>
      </c>
      <c r="AM74" s="28" t="s">
        <v>394</v>
      </c>
      <c r="AN74" s="28" t="s">
        <v>241</v>
      </c>
      <c r="AO74" s="26" t="s">
        <v>395</v>
      </c>
      <c r="AP74" s="28" t="s">
        <v>396</v>
      </c>
      <c r="AQ74" s="38" t="s">
        <v>541</v>
      </c>
      <c r="AR74" s="26" t="s">
        <v>398</v>
      </c>
      <c r="AS74" s="26" t="s">
        <v>149</v>
      </c>
      <c r="AT74" s="11" t="s">
        <v>630</v>
      </c>
    </row>
    <row r="75">
      <c r="A75" s="36" t="s">
        <v>631</v>
      </c>
      <c r="B75" s="26" t="str">
        <f t="shared" si="1"/>
        <v>2023-PH074619000-1986-0428</v>
      </c>
      <c r="C75" s="27">
        <f t="shared" si="2"/>
        <v>2023</v>
      </c>
      <c r="D75" s="28" t="s">
        <v>140</v>
      </c>
      <c r="E75" s="28" t="s">
        <v>141</v>
      </c>
      <c r="F75" s="28" t="s">
        <v>142</v>
      </c>
      <c r="G75" s="29" t="s">
        <v>625</v>
      </c>
      <c r="H75" s="29" t="s">
        <v>632</v>
      </c>
      <c r="I75" s="56" t="s">
        <v>633</v>
      </c>
      <c r="J75" s="57" t="s">
        <v>634</v>
      </c>
      <c r="K75" s="26" t="s">
        <v>384</v>
      </c>
      <c r="L75" s="26" t="s">
        <v>635</v>
      </c>
      <c r="M75" s="31">
        <v>1986.0</v>
      </c>
      <c r="N75" s="31">
        <v>1985.0</v>
      </c>
      <c r="O75" s="31">
        <v>1987.0</v>
      </c>
      <c r="P75" s="28" t="s">
        <v>150</v>
      </c>
      <c r="Q75" s="32" t="s">
        <v>151</v>
      </c>
      <c r="R75" s="28" t="s">
        <v>386</v>
      </c>
      <c r="S75" s="28" t="s">
        <v>386</v>
      </c>
      <c r="T75" s="28" t="s">
        <v>154</v>
      </c>
      <c r="U75" s="28" t="s">
        <v>154</v>
      </c>
      <c r="V75" s="28" t="s">
        <v>386</v>
      </c>
      <c r="W75" s="32" t="s">
        <v>387</v>
      </c>
      <c r="X75" s="32" t="s">
        <v>388</v>
      </c>
      <c r="Y75" s="28" t="s">
        <v>389</v>
      </c>
      <c r="Z75" s="26" t="s">
        <v>390</v>
      </c>
      <c r="AA75" s="26" t="s">
        <v>159</v>
      </c>
      <c r="AB75" s="26" t="s">
        <v>160</v>
      </c>
      <c r="AC75" s="28" t="s">
        <v>322</v>
      </c>
      <c r="AD75" s="28" t="s">
        <v>390</v>
      </c>
      <c r="AE75" s="29" t="s">
        <v>149</v>
      </c>
      <c r="AF75" s="26" t="s">
        <v>149</v>
      </c>
      <c r="AG75" s="26" t="s">
        <v>162</v>
      </c>
      <c r="AH75" s="26" t="s">
        <v>390</v>
      </c>
      <c r="AI75" s="28" t="s">
        <v>322</v>
      </c>
      <c r="AJ75" s="28" t="s">
        <v>390</v>
      </c>
      <c r="AK75" s="28" t="s">
        <v>392</v>
      </c>
      <c r="AL75" s="28" t="s">
        <v>393</v>
      </c>
      <c r="AM75" s="28" t="s">
        <v>394</v>
      </c>
      <c r="AN75" s="28" t="s">
        <v>241</v>
      </c>
      <c r="AO75" s="26" t="s">
        <v>395</v>
      </c>
      <c r="AP75" s="28" t="s">
        <v>396</v>
      </c>
      <c r="AQ75" s="38" t="s">
        <v>541</v>
      </c>
      <c r="AR75" s="26" t="s">
        <v>398</v>
      </c>
      <c r="AS75" s="45" t="s">
        <v>149</v>
      </c>
      <c r="AT75" s="11"/>
    </row>
    <row r="76">
      <c r="A76" s="36" t="s">
        <v>636</v>
      </c>
      <c r="B76" s="26" t="str">
        <f t="shared" si="1"/>
        <v>2023-PH074625000-1986-0431</v>
      </c>
      <c r="C76" s="27">
        <f t="shared" si="2"/>
        <v>2023</v>
      </c>
      <c r="D76" s="28" t="s">
        <v>140</v>
      </c>
      <c r="E76" s="28" t="s">
        <v>141</v>
      </c>
      <c r="F76" s="28" t="s">
        <v>142</v>
      </c>
      <c r="G76" s="29" t="s">
        <v>625</v>
      </c>
      <c r="H76" s="29" t="s">
        <v>632</v>
      </c>
      <c r="I76" s="56" t="s">
        <v>637</v>
      </c>
      <c r="J76" s="55" t="s">
        <v>638</v>
      </c>
      <c r="K76" s="26" t="s">
        <v>384</v>
      </c>
      <c r="L76" s="26" t="s">
        <v>639</v>
      </c>
      <c r="M76" s="31">
        <v>1986.0</v>
      </c>
      <c r="N76" s="31">
        <v>1985.0</v>
      </c>
      <c r="O76" s="31">
        <v>1987.0</v>
      </c>
      <c r="P76" s="28" t="s">
        <v>150</v>
      </c>
      <c r="Q76" s="32" t="s">
        <v>151</v>
      </c>
      <c r="R76" s="28" t="s">
        <v>386</v>
      </c>
      <c r="S76" s="28" t="s">
        <v>386</v>
      </c>
      <c r="T76" s="28" t="s">
        <v>154</v>
      </c>
      <c r="U76" s="28" t="s">
        <v>154</v>
      </c>
      <c r="V76" s="28" t="s">
        <v>386</v>
      </c>
      <c r="W76" s="32" t="s">
        <v>387</v>
      </c>
      <c r="X76" s="32" t="s">
        <v>388</v>
      </c>
      <c r="Y76" s="28" t="s">
        <v>389</v>
      </c>
      <c r="Z76" s="26" t="s">
        <v>390</v>
      </c>
      <c r="AA76" s="26" t="s">
        <v>159</v>
      </c>
      <c r="AB76" s="26" t="s">
        <v>160</v>
      </c>
      <c r="AC76" s="28" t="s">
        <v>322</v>
      </c>
      <c r="AD76" s="28" t="s">
        <v>390</v>
      </c>
      <c r="AE76" s="29" t="s">
        <v>149</v>
      </c>
      <c r="AF76" s="26" t="s">
        <v>149</v>
      </c>
      <c r="AG76" s="26" t="s">
        <v>640</v>
      </c>
      <c r="AH76" s="26" t="s">
        <v>390</v>
      </c>
      <c r="AI76" s="28" t="s">
        <v>322</v>
      </c>
      <c r="AJ76" s="28" t="s">
        <v>390</v>
      </c>
      <c r="AK76" s="28" t="s">
        <v>392</v>
      </c>
      <c r="AL76" s="28" t="s">
        <v>393</v>
      </c>
      <c r="AM76" s="28" t="s">
        <v>394</v>
      </c>
      <c r="AN76" s="28" t="s">
        <v>241</v>
      </c>
      <c r="AO76" s="26" t="s">
        <v>395</v>
      </c>
      <c r="AP76" s="28" t="s">
        <v>396</v>
      </c>
      <c r="AQ76" s="38" t="s">
        <v>541</v>
      </c>
      <c r="AR76" s="26" t="s">
        <v>398</v>
      </c>
      <c r="AS76" s="45" t="s">
        <v>149</v>
      </c>
      <c r="AT76" s="28"/>
    </row>
    <row r="77">
      <c r="A77" s="36" t="s">
        <v>641</v>
      </c>
      <c r="B77" s="26" t="str">
        <f t="shared" si="1"/>
        <v>2023-PH153809000-1986-0448</v>
      </c>
      <c r="C77" s="27">
        <f t="shared" si="2"/>
        <v>2023</v>
      </c>
      <c r="D77" s="37" t="s">
        <v>140</v>
      </c>
      <c r="E77" s="28" t="s">
        <v>141</v>
      </c>
      <c r="F77" s="28" t="s">
        <v>142</v>
      </c>
      <c r="G77" s="29" t="s">
        <v>642</v>
      </c>
      <c r="H77" s="29" t="s">
        <v>643</v>
      </c>
      <c r="I77" s="29" t="s">
        <v>644</v>
      </c>
      <c r="J77" s="29" t="s">
        <v>645</v>
      </c>
      <c r="K77" s="26" t="s">
        <v>384</v>
      </c>
      <c r="L77" s="26" t="s">
        <v>646</v>
      </c>
      <c r="M77" s="49">
        <v>1986.0</v>
      </c>
      <c r="N77" s="31">
        <v>1985.0</v>
      </c>
      <c r="O77" s="31">
        <v>1987.0</v>
      </c>
      <c r="P77" s="28" t="s">
        <v>150</v>
      </c>
      <c r="Q77" s="32" t="s">
        <v>151</v>
      </c>
      <c r="R77" s="28" t="s">
        <v>386</v>
      </c>
      <c r="S77" s="28" t="s">
        <v>386</v>
      </c>
      <c r="T77" s="28" t="s">
        <v>154</v>
      </c>
      <c r="U77" s="28" t="s">
        <v>154</v>
      </c>
      <c r="V77" s="28" t="s">
        <v>386</v>
      </c>
      <c r="W77" s="32" t="s">
        <v>387</v>
      </c>
      <c r="X77" s="32" t="s">
        <v>388</v>
      </c>
      <c r="Y77" s="28" t="s">
        <v>389</v>
      </c>
      <c r="Z77" s="26" t="s">
        <v>390</v>
      </c>
      <c r="AA77" s="26" t="s">
        <v>159</v>
      </c>
      <c r="AB77" s="26" t="s">
        <v>160</v>
      </c>
      <c r="AC77" s="28" t="s">
        <v>322</v>
      </c>
      <c r="AD77" s="28" t="s">
        <v>390</v>
      </c>
      <c r="AE77" s="29" t="s">
        <v>149</v>
      </c>
      <c r="AF77" s="26" t="s">
        <v>149</v>
      </c>
      <c r="AG77" s="26" t="s">
        <v>149</v>
      </c>
      <c r="AH77" s="26" t="s">
        <v>390</v>
      </c>
      <c r="AI77" s="28" t="s">
        <v>322</v>
      </c>
      <c r="AJ77" s="28" t="s">
        <v>390</v>
      </c>
      <c r="AK77" s="28" t="s">
        <v>392</v>
      </c>
      <c r="AL77" s="28" t="s">
        <v>393</v>
      </c>
      <c r="AM77" s="28" t="s">
        <v>394</v>
      </c>
      <c r="AN77" s="28" t="s">
        <v>241</v>
      </c>
      <c r="AO77" s="26" t="s">
        <v>395</v>
      </c>
      <c r="AP77" s="28" t="s">
        <v>396</v>
      </c>
      <c r="AQ77" s="34" t="s">
        <v>397</v>
      </c>
      <c r="AR77" s="26" t="s">
        <v>398</v>
      </c>
      <c r="AS77" s="11" t="s">
        <v>149</v>
      </c>
      <c r="AT77" s="26"/>
    </row>
    <row r="78">
      <c r="A78" s="36" t="s">
        <v>647</v>
      </c>
      <c r="B78" s="26" t="str">
        <f t="shared" si="1"/>
        <v>2023-PH160203000-1987-0398</v>
      </c>
      <c r="C78" s="27">
        <f t="shared" si="2"/>
        <v>2023</v>
      </c>
      <c r="D78" s="28" t="s">
        <v>648</v>
      </c>
      <c r="E78" s="28" t="s">
        <v>141</v>
      </c>
      <c r="F78" s="28" t="s">
        <v>142</v>
      </c>
      <c r="G78" s="29" t="s">
        <v>345</v>
      </c>
      <c r="H78" s="29" t="s">
        <v>649</v>
      </c>
      <c r="I78" s="40" t="s">
        <v>650</v>
      </c>
      <c r="J78" s="29" t="s">
        <v>651</v>
      </c>
      <c r="K78" s="26" t="s">
        <v>652</v>
      </c>
      <c r="L78" s="26" t="s">
        <v>653</v>
      </c>
      <c r="M78" s="31">
        <v>1987.0</v>
      </c>
      <c r="N78" s="41" t="s">
        <v>149</v>
      </c>
      <c r="O78" s="41" t="s">
        <v>149</v>
      </c>
      <c r="P78" s="28" t="s">
        <v>150</v>
      </c>
      <c r="Q78" s="32" t="s">
        <v>151</v>
      </c>
      <c r="R78" s="50" t="s">
        <v>152</v>
      </c>
      <c r="S78" s="58" t="s">
        <v>654</v>
      </c>
      <c r="T78" s="28" t="s">
        <v>154</v>
      </c>
      <c r="U78" s="28" t="s">
        <v>154</v>
      </c>
      <c r="V78" s="28" t="s">
        <v>655</v>
      </c>
      <c r="W78" s="32" t="s">
        <v>656</v>
      </c>
      <c r="X78" s="32" t="s">
        <v>657</v>
      </c>
      <c r="Y78" s="28" t="s">
        <v>658</v>
      </c>
      <c r="Z78" s="26" t="s">
        <v>659</v>
      </c>
      <c r="AA78" s="26" t="s">
        <v>159</v>
      </c>
      <c r="AB78" s="26" t="s">
        <v>160</v>
      </c>
      <c r="AC78" s="28" t="s">
        <v>322</v>
      </c>
      <c r="AD78" s="28" t="s">
        <v>660</v>
      </c>
      <c r="AE78" s="29" t="s">
        <v>149</v>
      </c>
      <c r="AF78" s="26" t="s">
        <v>149</v>
      </c>
      <c r="AG78" s="26" t="s">
        <v>149</v>
      </c>
      <c r="AH78" s="26" t="s">
        <v>661</v>
      </c>
      <c r="AI78" s="26" t="s">
        <v>662</v>
      </c>
      <c r="AJ78" s="28" t="s">
        <v>662</v>
      </c>
      <c r="AK78" s="28" t="s">
        <v>663</v>
      </c>
      <c r="AL78" s="11" t="s">
        <v>149</v>
      </c>
      <c r="AM78" s="11" t="s">
        <v>149</v>
      </c>
      <c r="AN78" s="28" t="s">
        <v>165</v>
      </c>
      <c r="AO78" s="28" t="s">
        <v>166</v>
      </c>
      <c r="AP78" s="26" t="s">
        <v>664</v>
      </c>
      <c r="AQ78" s="38" t="s">
        <v>665</v>
      </c>
      <c r="AR78" s="11" t="s">
        <v>149</v>
      </c>
      <c r="AS78" s="11" t="s">
        <v>149</v>
      </c>
      <c r="AT78" s="28" t="s">
        <v>666</v>
      </c>
    </row>
    <row r="79">
      <c r="A79" s="36" t="s">
        <v>667</v>
      </c>
      <c r="B79" s="26" t="str">
        <f t="shared" si="1"/>
        <v>2023-PH112402000-2017-0378</v>
      </c>
      <c r="C79" s="27">
        <f t="shared" si="2"/>
        <v>2023</v>
      </c>
      <c r="D79" s="37" t="s">
        <v>140</v>
      </c>
      <c r="E79" s="28" t="s">
        <v>141</v>
      </c>
      <c r="F79" s="28" t="s">
        <v>192</v>
      </c>
      <c r="G79" s="29" t="s">
        <v>330</v>
      </c>
      <c r="H79" s="29" t="s">
        <v>615</v>
      </c>
      <c r="I79" s="40" t="s">
        <v>616</v>
      </c>
      <c r="J79" s="29" t="s">
        <v>617</v>
      </c>
      <c r="K79" s="26" t="s">
        <v>668</v>
      </c>
      <c r="L79" s="26" t="s">
        <v>669</v>
      </c>
      <c r="M79" s="31">
        <v>2017.0</v>
      </c>
      <c r="N79" s="31" t="s">
        <v>149</v>
      </c>
      <c r="O79" s="31" t="s">
        <v>149</v>
      </c>
      <c r="P79" s="28" t="s">
        <v>150</v>
      </c>
      <c r="Q79" s="32" t="s">
        <v>151</v>
      </c>
      <c r="R79" s="50" t="s">
        <v>152</v>
      </c>
      <c r="S79" s="32" t="s">
        <v>361</v>
      </c>
      <c r="T79" s="28" t="s">
        <v>154</v>
      </c>
      <c r="U79" s="28" t="s">
        <v>154</v>
      </c>
      <c r="V79" s="26" t="s">
        <v>670</v>
      </c>
      <c r="W79" s="32" t="s">
        <v>671</v>
      </c>
      <c r="X79" s="32" t="s">
        <v>672</v>
      </c>
      <c r="Y79" s="26" t="s">
        <v>673</v>
      </c>
      <c r="Z79" s="26" t="s">
        <v>674</v>
      </c>
      <c r="AA79" s="26" t="s">
        <v>159</v>
      </c>
      <c r="AB79" s="26" t="s">
        <v>160</v>
      </c>
      <c r="AC79" s="28" t="s">
        <v>161</v>
      </c>
      <c r="AD79" s="28" t="s">
        <v>228</v>
      </c>
      <c r="AE79" s="29" t="s">
        <v>149</v>
      </c>
      <c r="AF79" s="26" t="s">
        <v>149</v>
      </c>
      <c r="AG79" s="26" t="s">
        <v>675</v>
      </c>
      <c r="AH79" s="26" t="s">
        <v>674</v>
      </c>
      <c r="AI79" s="28" t="s">
        <v>161</v>
      </c>
      <c r="AJ79" s="28" t="s">
        <v>228</v>
      </c>
      <c r="AK79" s="26" t="s">
        <v>676</v>
      </c>
      <c r="AL79" s="28" t="s">
        <v>149</v>
      </c>
      <c r="AM79" s="26" t="s">
        <v>677</v>
      </c>
      <c r="AN79" s="28" t="s">
        <v>165</v>
      </c>
      <c r="AO79" s="28" t="s">
        <v>166</v>
      </c>
      <c r="AP79" s="28" t="s">
        <v>678</v>
      </c>
      <c r="AQ79" s="26" t="s">
        <v>679</v>
      </c>
      <c r="AR79" s="11" t="s">
        <v>149</v>
      </c>
      <c r="AS79" s="11" t="s">
        <v>149</v>
      </c>
      <c r="AT79" s="45"/>
    </row>
    <row r="80">
      <c r="A80" s="36" t="s">
        <v>680</v>
      </c>
      <c r="B80" s="26" t="str">
        <f t="shared" si="1"/>
        <v>2025-PH112402000-2017-0379</v>
      </c>
      <c r="C80" s="27">
        <f t="shared" si="2"/>
        <v>2025</v>
      </c>
      <c r="D80" s="28" t="s">
        <v>191</v>
      </c>
      <c r="E80" s="28" t="s">
        <v>191</v>
      </c>
      <c r="F80" s="28" t="s">
        <v>192</v>
      </c>
      <c r="G80" s="29" t="s">
        <v>330</v>
      </c>
      <c r="H80" s="29" t="s">
        <v>615</v>
      </c>
      <c r="I80" s="40" t="s">
        <v>616</v>
      </c>
      <c r="J80" s="29" t="s">
        <v>617</v>
      </c>
      <c r="K80" s="26" t="s">
        <v>668</v>
      </c>
      <c r="L80" s="26" t="s">
        <v>681</v>
      </c>
      <c r="M80" s="31">
        <v>2017.0</v>
      </c>
      <c r="N80" s="31" t="s">
        <v>149</v>
      </c>
      <c r="O80" s="31" t="s">
        <v>149</v>
      </c>
      <c r="P80" s="28" t="s">
        <v>150</v>
      </c>
      <c r="Q80" s="32" t="s">
        <v>151</v>
      </c>
      <c r="R80" s="50" t="s">
        <v>152</v>
      </c>
      <c r="S80" s="32" t="s">
        <v>361</v>
      </c>
      <c r="T80" s="28" t="s">
        <v>154</v>
      </c>
      <c r="U80" s="28" t="s">
        <v>154</v>
      </c>
      <c r="V80" s="26" t="s">
        <v>670</v>
      </c>
      <c r="W80" s="32" t="s">
        <v>682</v>
      </c>
      <c r="X80" s="32" t="s">
        <v>683</v>
      </c>
      <c r="Y80" s="26" t="s">
        <v>684</v>
      </c>
      <c r="Z80" s="26" t="s">
        <v>685</v>
      </c>
      <c r="AA80" s="26" t="s">
        <v>159</v>
      </c>
      <c r="AB80" s="26" t="s">
        <v>160</v>
      </c>
      <c r="AC80" s="28" t="s">
        <v>322</v>
      </c>
      <c r="AD80" s="28" t="s">
        <v>686</v>
      </c>
      <c r="AE80" s="29" t="s">
        <v>149</v>
      </c>
      <c r="AF80" s="26" t="s">
        <v>149</v>
      </c>
      <c r="AG80" s="26" t="s">
        <v>687</v>
      </c>
      <c r="AH80" s="26" t="s">
        <v>685</v>
      </c>
      <c r="AI80" s="28" t="s">
        <v>322</v>
      </c>
      <c r="AJ80" s="28" t="s">
        <v>686</v>
      </c>
      <c r="AK80" s="26" t="s">
        <v>688</v>
      </c>
      <c r="AL80" s="26" t="s">
        <v>674</v>
      </c>
      <c r="AM80" s="28" t="s">
        <v>149</v>
      </c>
      <c r="AN80" s="28" t="s">
        <v>165</v>
      </c>
      <c r="AO80" s="28" t="s">
        <v>689</v>
      </c>
      <c r="AP80" s="28" t="s">
        <v>690</v>
      </c>
      <c r="AQ80" s="28" t="s">
        <v>691</v>
      </c>
      <c r="AR80" s="11" t="s">
        <v>149</v>
      </c>
      <c r="AS80" s="11" t="s">
        <v>149</v>
      </c>
      <c r="AT80" s="29"/>
    </row>
    <row r="81">
      <c r="A81" s="36" t="s">
        <v>692</v>
      </c>
      <c r="B81" s="26" t="str">
        <f t="shared" si="1"/>
        <v>2023-PH015514000-1991-0061</v>
      </c>
      <c r="C81" s="27">
        <f t="shared" si="2"/>
        <v>2023</v>
      </c>
      <c r="D81" s="28" t="s">
        <v>140</v>
      </c>
      <c r="E81" s="28" t="s">
        <v>141</v>
      </c>
      <c r="F81" s="28" t="s">
        <v>142</v>
      </c>
      <c r="G81" s="29" t="s">
        <v>143</v>
      </c>
      <c r="H81" s="29" t="s">
        <v>144</v>
      </c>
      <c r="I81" s="29" t="s">
        <v>693</v>
      </c>
      <c r="J81" s="29" t="s">
        <v>694</v>
      </c>
      <c r="K81" s="26" t="s">
        <v>695</v>
      </c>
      <c r="L81" s="28" t="s">
        <v>696</v>
      </c>
      <c r="M81" s="31">
        <v>1991.0</v>
      </c>
      <c r="N81" s="31">
        <v>1991.0</v>
      </c>
      <c r="O81" s="31">
        <v>1991.0</v>
      </c>
      <c r="P81" s="28" t="s">
        <v>150</v>
      </c>
      <c r="Q81" s="32" t="s">
        <v>151</v>
      </c>
      <c r="R81" s="28" t="s">
        <v>152</v>
      </c>
      <c r="S81" s="32" t="s">
        <v>697</v>
      </c>
      <c r="T81" s="28" t="s">
        <v>154</v>
      </c>
      <c r="U81" s="28" t="s">
        <v>154</v>
      </c>
      <c r="V81" s="28" t="s">
        <v>698</v>
      </c>
      <c r="W81" s="28" t="s">
        <v>237</v>
      </c>
      <c r="X81" s="32" t="s">
        <v>238</v>
      </c>
      <c r="Y81" s="26" t="s">
        <v>699</v>
      </c>
      <c r="Z81" s="26" t="s">
        <v>695</v>
      </c>
      <c r="AA81" s="26" t="s">
        <v>204</v>
      </c>
      <c r="AB81" s="28" t="s">
        <v>205</v>
      </c>
      <c r="AC81" s="26" t="s">
        <v>206</v>
      </c>
      <c r="AD81" s="28" t="s">
        <v>207</v>
      </c>
      <c r="AE81" s="29" t="s">
        <v>149</v>
      </c>
      <c r="AF81" s="26" t="s">
        <v>149</v>
      </c>
      <c r="AG81" s="26" t="s">
        <v>700</v>
      </c>
      <c r="AH81" s="26" t="s">
        <v>233</v>
      </c>
      <c r="AI81" s="32" t="s">
        <v>209</v>
      </c>
      <c r="AJ81" s="28" t="s">
        <v>227</v>
      </c>
      <c r="AK81" s="11" t="s">
        <v>149</v>
      </c>
      <c r="AL81" s="11" t="s">
        <v>149</v>
      </c>
      <c r="AM81" s="11" t="s">
        <v>149</v>
      </c>
      <c r="AN81" s="28" t="s">
        <v>241</v>
      </c>
      <c r="AO81" s="28" t="s">
        <v>242</v>
      </c>
      <c r="AP81" s="26" t="s">
        <v>701</v>
      </c>
      <c r="AQ81" s="59" t="s">
        <v>702</v>
      </c>
      <c r="AR81" s="26" t="s">
        <v>703</v>
      </c>
      <c r="AS81" s="11" t="s">
        <v>149</v>
      </c>
      <c r="AT81" s="26"/>
    </row>
    <row r="82">
      <c r="A82" s="60" t="s">
        <v>704</v>
      </c>
      <c r="B82" s="26" t="str">
        <f t="shared" si="1"/>
        <v>2025-PH015514000-1991-0469</v>
      </c>
      <c r="C82" s="61">
        <f t="shared" si="2"/>
        <v>2025</v>
      </c>
      <c r="D82" s="50" t="s">
        <v>191</v>
      </c>
      <c r="E82" s="50" t="s">
        <v>191</v>
      </c>
      <c r="F82" s="62" t="s">
        <v>142</v>
      </c>
      <c r="G82" s="63" t="s">
        <v>143</v>
      </c>
      <c r="H82" s="63" t="s">
        <v>144</v>
      </c>
      <c r="I82" s="63" t="s">
        <v>693</v>
      </c>
      <c r="J82" s="63" t="s">
        <v>694</v>
      </c>
      <c r="K82" s="62" t="s">
        <v>695</v>
      </c>
      <c r="L82" s="64" t="s">
        <v>705</v>
      </c>
      <c r="M82" s="65">
        <v>1991.0</v>
      </c>
      <c r="N82" s="65">
        <v>1991.0</v>
      </c>
      <c r="O82" s="65">
        <v>1991.0</v>
      </c>
      <c r="P82" s="62" t="s">
        <v>150</v>
      </c>
      <c r="Q82" s="66" t="s">
        <v>151</v>
      </c>
      <c r="R82" s="28" t="s">
        <v>152</v>
      </c>
      <c r="S82" s="67" t="s">
        <v>697</v>
      </c>
      <c r="T82" s="62" t="s">
        <v>154</v>
      </c>
      <c r="U82" s="62" t="s">
        <v>154</v>
      </c>
      <c r="V82" s="62" t="s">
        <v>698</v>
      </c>
      <c r="W82" s="67" t="s">
        <v>237</v>
      </c>
      <c r="X82" s="62" t="s">
        <v>238</v>
      </c>
      <c r="Y82" s="67" t="s">
        <v>699</v>
      </c>
      <c r="Z82" s="62" t="s">
        <v>695</v>
      </c>
      <c r="AA82" s="67" t="s">
        <v>204</v>
      </c>
      <c r="AB82" s="62" t="s">
        <v>205</v>
      </c>
      <c r="AC82" s="67" t="s">
        <v>206</v>
      </c>
      <c r="AD82" s="28" t="s">
        <v>207</v>
      </c>
      <c r="AE82" s="63" t="s">
        <v>149</v>
      </c>
      <c r="AF82" s="67" t="s">
        <v>149</v>
      </c>
      <c r="AG82" s="62" t="s">
        <v>700</v>
      </c>
      <c r="AH82" s="62" t="s">
        <v>233</v>
      </c>
      <c r="AI82" s="67" t="s">
        <v>209</v>
      </c>
      <c r="AJ82" s="28" t="s">
        <v>227</v>
      </c>
      <c r="AK82" s="62" t="s">
        <v>149</v>
      </c>
      <c r="AL82" s="62" t="s">
        <v>149</v>
      </c>
      <c r="AM82" s="62" t="s">
        <v>149</v>
      </c>
      <c r="AN82" s="28" t="s">
        <v>241</v>
      </c>
      <c r="AO82" s="28" t="s">
        <v>242</v>
      </c>
      <c r="AP82" s="67" t="s">
        <v>701</v>
      </c>
      <c r="AQ82" s="68" t="s">
        <v>702</v>
      </c>
      <c r="AR82" s="62" t="s">
        <v>703</v>
      </c>
      <c r="AS82" s="62" t="s">
        <v>149</v>
      </c>
      <c r="AT82" s="62"/>
    </row>
    <row r="83" ht="14.25" customHeight="1">
      <c r="A83" s="36" t="s">
        <v>706</v>
      </c>
      <c r="B83" s="26" t="str">
        <f t="shared" si="1"/>
        <v>2023-PH037113000-2012-0105</v>
      </c>
      <c r="C83" s="27">
        <f t="shared" si="2"/>
        <v>2023</v>
      </c>
      <c r="D83" s="28" t="s">
        <v>140</v>
      </c>
      <c r="E83" s="28" t="s">
        <v>707</v>
      </c>
      <c r="F83" s="28" t="s">
        <v>192</v>
      </c>
      <c r="G83" s="29" t="s">
        <v>293</v>
      </c>
      <c r="H83" s="29" t="s">
        <v>294</v>
      </c>
      <c r="I83" s="29" t="s">
        <v>420</v>
      </c>
      <c r="J83" s="29" t="s">
        <v>708</v>
      </c>
      <c r="K83" s="26" t="s">
        <v>709</v>
      </c>
      <c r="L83" s="47" t="s">
        <v>149</v>
      </c>
      <c r="M83" s="31">
        <v>2012.0</v>
      </c>
      <c r="N83" s="31" t="s">
        <v>149</v>
      </c>
      <c r="O83" s="31" t="s">
        <v>149</v>
      </c>
      <c r="P83" s="28" t="s">
        <v>150</v>
      </c>
      <c r="Q83" s="32" t="s">
        <v>151</v>
      </c>
      <c r="R83" s="28" t="s">
        <v>149</v>
      </c>
      <c r="S83" s="32" t="s">
        <v>149</v>
      </c>
      <c r="T83" s="28" t="s">
        <v>154</v>
      </c>
      <c r="U83" s="28" t="s">
        <v>154</v>
      </c>
      <c r="V83" s="26" t="s">
        <v>149</v>
      </c>
      <c r="W83" s="32" t="s">
        <v>180</v>
      </c>
      <c r="X83" s="32" t="s">
        <v>181</v>
      </c>
      <c r="Y83" s="26" t="s">
        <v>710</v>
      </c>
      <c r="Z83" s="26" t="s">
        <v>369</v>
      </c>
      <c r="AA83" s="26" t="s">
        <v>159</v>
      </c>
      <c r="AB83" s="26" t="s">
        <v>160</v>
      </c>
      <c r="AC83" s="28" t="s">
        <v>161</v>
      </c>
      <c r="AD83" s="28" t="s">
        <v>369</v>
      </c>
      <c r="AE83" s="29" t="s">
        <v>149</v>
      </c>
      <c r="AF83" s="26" t="s">
        <v>149</v>
      </c>
      <c r="AG83" s="26" t="s">
        <v>149</v>
      </c>
      <c r="AH83" s="26" t="s">
        <v>369</v>
      </c>
      <c r="AI83" s="28" t="s">
        <v>161</v>
      </c>
      <c r="AJ83" s="28" t="s">
        <v>369</v>
      </c>
      <c r="AK83" s="26" t="s">
        <v>711</v>
      </c>
      <c r="AL83" s="26" t="s">
        <v>149</v>
      </c>
      <c r="AM83" s="26" t="s">
        <v>149</v>
      </c>
      <c r="AN83" s="28" t="s">
        <v>213</v>
      </c>
      <c r="AO83" s="28" t="s">
        <v>310</v>
      </c>
      <c r="AP83" s="26" t="s">
        <v>213</v>
      </c>
      <c r="AQ83" s="26" t="s">
        <v>149</v>
      </c>
      <c r="AR83" s="26" t="s">
        <v>712</v>
      </c>
      <c r="AS83" s="69">
        <v>9.50341767E9</v>
      </c>
      <c r="AT83" s="26"/>
    </row>
    <row r="84">
      <c r="A84" s="36" t="s">
        <v>713</v>
      </c>
      <c r="B84" s="26" t="str">
        <f t="shared" si="1"/>
        <v>2023-PH084802000-2013-0319</v>
      </c>
      <c r="C84" s="27">
        <f t="shared" si="2"/>
        <v>2023</v>
      </c>
      <c r="D84" s="37" t="s">
        <v>140</v>
      </c>
      <c r="E84" s="28" t="s">
        <v>141</v>
      </c>
      <c r="F84" s="28" t="s">
        <v>192</v>
      </c>
      <c r="G84" s="29" t="s">
        <v>579</v>
      </c>
      <c r="H84" s="29" t="s">
        <v>714</v>
      </c>
      <c r="I84" s="29" t="s">
        <v>715</v>
      </c>
      <c r="J84" s="29" t="s">
        <v>716</v>
      </c>
      <c r="K84" s="26" t="s">
        <v>717</v>
      </c>
      <c r="L84" s="47" t="s">
        <v>149</v>
      </c>
      <c r="M84" s="31">
        <v>2013.0</v>
      </c>
      <c r="N84" s="31" t="s">
        <v>149</v>
      </c>
      <c r="O84" s="31" t="s">
        <v>149</v>
      </c>
      <c r="P84" s="28" t="s">
        <v>150</v>
      </c>
      <c r="Q84" s="32" t="s">
        <v>151</v>
      </c>
      <c r="R84" s="50" t="s">
        <v>718</v>
      </c>
      <c r="S84" s="32" t="s">
        <v>719</v>
      </c>
      <c r="T84" s="28" t="s">
        <v>154</v>
      </c>
      <c r="U84" s="28" t="s">
        <v>154</v>
      </c>
      <c r="V84" s="26" t="s">
        <v>720</v>
      </c>
      <c r="W84" s="32" t="s">
        <v>721</v>
      </c>
      <c r="X84" s="32" t="s">
        <v>722</v>
      </c>
      <c r="Y84" s="26" t="s">
        <v>723</v>
      </c>
      <c r="Z84" s="26" t="s">
        <v>149</v>
      </c>
      <c r="AA84" s="26" t="s">
        <v>149</v>
      </c>
      <c r="AB84" s="26" t="s">
        <v>149</v>
      </c>
      <c r="AC84" s="26" t="s">
        <v>149</v>
      </c>
      <c r="AD84" s="28" t="s">
        <v>149</v>
      </c>
      <c r="AE84" s="29" t="s">
        <v>149</v>
      </c>
      <c r="AF84" s="26" t="s">
        <v>149</v>
      </c>
      <c r="AG84" s="26" t="s">
        <v>149</v>
      </c>
      <c r="AH84" s="26" t="s">
        <v>724</v>
      </c>
      <c r="AI84" s="26" t="s">
        <v>184</v>
      </c>
      <c r="AJ84" s="28" t="s">
        <v>184</v>
      </c>
      <c r="AK84" s="28" t="s">
        <v>149</v>
      </c>
      <c r="AL84" s="26" t="s">
        <v>725</v>
      </c>
      <c r="AM84" s="28" t="s">
        <v>149</v>
      </c>
      <c r="AN84" s="28" t="s">
        <v>165</v>
      </c>
      <c r="AO84" s="28" t="s">
        <v>289</v>
      </c>
      <c r="AP84" s="26" t="s">
        <v>726</v>
      </c>
      <c r="AQ84" s="38" t="s">
        <v>727</v>
      </c>
      <c r="AR84" s="28" t="s">
        <v>149</v>
      </c>
      <c r="AS84" s="28" t="s">
        <v>149</v>
      </c>
      <c r="AT84" s="29"/>
    </row>
    <row r="85">
      <c r="A85" s="36" t="s">
        <v>728</v>
      </c>
      <c r="B85" s="26" t="str">
        <f t="shared" si="1"/>
        <v>2023-PH015514000-2004-0060</v>
      </c>
      <c r="C85" s="27">
        <f t="shared" si="2"/>
        <v>2023</v>
      </c>
      <c r="D85" s="28" t="s">
        <v>140</v>
      </c>
      <c r="E85" s="28" t="s">
        <v>141</v>
      </c>
      <c r="F85" s="28" t="s">
        <v>192</v>
      </c>
      <c r="G85" s="29" t="s">
        <v>143</v>
      </c>
      <c r="H85" s="29" t="s">
        <v>144</v>
      </c>
      <c r="I85" s="29" t="s">
        <v>693</v>
      </c>
      <c r="J85" s="29" t="s">
        <v>694</v>
      </c>
      <c r="K85" s="26" t="s">
        <v>729</v>
      </c>
      <c r="L85" s="47" t="s">
        <v>149</v>
      </c>
      <c r="M85" s="31">
        <v>2004.0</v>
      </c>
      <c r="N85" s="31">
        <v>2004.0</v>
      </c>
      <c r="O85" s="31">
        <v>2009.0</v>
      </c>
      <c r="P85" s="28" t="s">
        <v>177</v>
      </c>
      <c r="Q85" s="32" t="s">
        <v>319</v>
      </c>
      <c r="R85" s="28" t="s">
        <v>154</v>
      </c>
      <c r="S85" s="32" t="s">
        <v>154</v>
      </c>
      <c r="T85" s="28" t="s">
        <v>300</v>
      </c>
      <c r="U85" s="28" t="s">
        <v>320</v>
      </c>
      <c r="V85" s="26" t="s">
        <v>730</v>
      </c>
      <c r="W85" s="32" t="s">
        <v>149</v>
      </c>
      <c r="X85" s="32" t="s">
        <v>254</v>
      </c>
      <c r="Y85" s="26" t="s">
        <v>149</v>
      </c>
      <c r="Z85" s="26" t="s">
        <v>149</v>
      </c>
      <c r="AA85" s="26" t="s">
        <v>149</v>
      </c>
      <c r="AB85" s="26" t="s">
        <v>149</v>
      </c>
      <c r="AC85" s="26" t="s">
        <v>149</v>
      </c>
      <c r="AD85" s="28" t="s">
        <v>149</v>
      </c>
      <c r="AE85" s="29" t="s">
        <v>149</v>
      </c>
      <c r="AF85" s="26" t="s">
        <v>149</v>
      </c>
      <c r="AG85" s="26" t="s">
        <v>149</v>
      </c>
      <c r="AH85" s="26" t="s">
        <v>149</v>
      </c>
      <c r="AI85" s="26" t="s">
        <v>149</v>
      </c>
      <c r="AJ85" s="28" t="s">
        <v>149</v>
      </c>
      <c r="AK85" s="11" t="s">
        <v>149</v>
      </c>
      <c r="AL85" s="11" t="s">
        <v>149</v>
      </c>
      <c r="AM85" s="11" t="s">
        <v>149</v>
      </c>
      <c r="AN85" s="28" t="s">
        <v>165</v>
      </c>
      <c r="AO85" s="28" t="s">
        <v>731</v>
      </c>
      <c r="AP85" s="26" t="s">
        <v>732</v>
      </c>
      <c r="AQ85" s="38" t="s">
        <v>733</v>
      </c>
      <c r="AR85" s="26" t="s">
        <v>734</v>
      </c>
      <c r="AS85" s="11" t="s">
        <v>149</v>
      </c>
      <c r="AT85" s="28"/>
    </row>
    <row r="86">
      <c r="A86" s="36" t="s">
        <v>735</v>
      </c>
      <c r="B86" s="26" t="str">
        <f t="shared" si="1"/>
        <v>2023-PH060412000-2010-0227</v>
      </c>
      <c r="C86" s="27">
        <f t="shared" si="2"/>
        <v>2023</v>
      </c>
      <c r="D86" s="28" t="s">
        <v>140</v>
      </c>
      <c r="E86" s="28" t="s">
        <v>141</v>
      </c>
      <c r="F86" s="28" t="s">
        <v>192</v>
      </c>
      <c r="G86" s="29" t="s">
        <v>314</v>
      </c>
      <c r="H86" s="29" t="s">
        <v>315</v>
      </c>
      <c r="I86" s="29" t="s">
        <v>316</v>
      </c>
      <c r="J86" s="29" t="s">
        <v>317</v>
      </c>
      <c r="K86" s="26" t="s">
        <v>736</v>
      </c>
      <c r="L86" s="28" t="s">
        <v>737</v>
      </c>
      <c r="M86" s="31">
        <v>2010.0</v>
      </c>
      <c r="N86" s="31" t="s">
        <v>149</v>
      </c>
      <c r="O86" s="31" t="s">
        <v>149</v>
      </c>
      <c r="P86" s="28" t="s">
        <v>177</v>
      </c>
      <c r="Q86" s="32" t="s">
        <v>319</v>
      </c>
      <c r="R86" s="28" t="s">
        <v>154</v>
      </c>
      <c r="S86" s="32" t="s">
        <v>154</v>
      </c>
      <c r="T86" s="28" t="s">
        <v>300</v>
      </c>
      <c r="U86" s="28" t="s">
        <v>320</v>
      </c>
      <c r="V86" s="26" t="s">
        <v>730</v>
      </c>
      <c r="W86" s="32" t="s">
        <v>149</v>
      </c>
      <c r="X86" s="32" t="s">
        <v>254</v>
      </c>
      <c r="Y86" s="26" t="s">
        <v>149</v>
      </c>
      <c r="Z86" s="26" t="s">
        <v>738</v>
      </c>
      <c r="AA86" s="26" t="s">
        <v>159</v>
      </c>
      <c r="AB86" s="26" t="s">
        <v>160</v>
      </c>
      <c r="AC86" s="26" t="s">
        <v>184</v>
      </c>
      <c r="AD86" s="28" t="s">
        <v>184</v>
      </c>
      <c r="AE86" s="29" t="s">
        <v>149</v>
      </c>
      <c r="AF86" s="26" t="s">
        <v>149</v>
      </c>
      <c r="AG86" s="26" t="s">
        <v>149</v>
      </c>
      <c r="AH86" s="26" t="s">
        <v>739</v>
      </c>
      <c r="AI86" s="26" t="s">
        <v>306</v>
      </c>
      <c r="AJ86" s="28" t="s">
        <v>306</v>
      </c>
      <c r="AK86" s="26" t="s">
        <v>369</v>
      </c>
      <c r="AL86" s="26" t="s">
        <v>738</v>
      </c>
      <c r="AM86" s="11" t="s">
        <v>149</v>
      </c>
      <c r="AN86" s="28" t="s">
        <v>165</v>
      </c>
      <c r="AO86" s="26" t="s">
        <v>166</v>
      </c>
      <c r="AP86" s="28" t="s">
        <v>740</v>
      </c>
      <c r="AQ86" s="38" t="s">
        <v>741</v>
      </c>
      <c r="AR86" s="11" t="s">
        <v>149</v>
      </c>
      <c r="AS86" s="11" t="s">
        <v>149</v>
      </c>
      <c r="AT86" s="28" t="s">
        <v>742</v>
      </c>
    </row>
    <row r="87">
      <c r="A87" s="36" t="s">
        <v>743</v>
      </c>
      <c r="B87" s="26" t="str">
        <f t="shared" si="1"/>
        <v>2023-PH060412000-2011-0228</v>
      </c>
      <c r="C87" s="27">
        <f t="shared" si="2"/>
        <v>2023</v>
      </c>
      <c r="D87" s="28" t="s">
        <v>140</v>
      </c>
      <c r="E87" s="28" t="s">
        <v>141</v>
      </c>
      <c r="F87" s="28" t="s">
        <v>192</v>
      </c>
      <c r="G87" s="29" t="s">
        <v>314</v>
      </c>
      <c r="H87" s="29" t="s">
        <v>315</v>
      </c>
      <c r="I87" s="29" t="s">
        <v>316</v>
      </c>
      <c r="J87" s="29" t="s">
        <v>317</v>
      </c>
      <c r="K87" s="26" t="s">
        <v>736</v>
      </c>
      <c r="L87" s="70" t="s">
        <v>744</v>
      </c>
      <c r="M87" s="31">
        <v>2011.0</v>
      </c>
      <c r="N87" s="31" t="s">
        <v>149</v>
      </c>
      <c r="O87" s="31" t="s">
        <v>149</v>
      </c>
      <c r="P87" s="28" t="s">
        <v>150</v>
      </c>
      <c r="Q87" s="32" t="s">
        <v>151</v>
      </c>
      <c r="R87" s="28" t="s">
        <v>149</v>
      </c>
      <c r="S87" s="32" t="s">
        <v>149</v>
      </c>
      <c r="T87" s="28" t="s">
        <v>154</v>
      </c>
      <c r="U87" s="28" t="s">
        <v>154</v>
      </c>
      <c r="V87" s="26" t="s">
        <v>149</v>
      </c>
      <c r="W87" s="32" t="s">
        <v>149</v>
      </c>
      <c r="X87" s="32" t="s">
        <v>254</v>
      </c>
      <c r="Y87" s="26" t="s">
        <v>149</v>
      </c>
      <c r="Z87" s="26" t="s">
        <v>745</v>
      </c>
      <c r="AA87" s="26" t="s">
        <v>159</v>
      </c>
      <c r="AB87" s="26" t="s">
        <v>160</v>
      </c>
      <c r="AC87" s="26" t="s">
        <v>184</v>
      </c>
      <c r="AD87" s="28" t="s">
        <v>184</v>
      </c>
      <c r="AE87" s="29" t="s">
        <v>149</v>
      </c>
      <c r="AF87" s="26" t="s">
        <v>149</v>
      </c>
      <c r="AG87" s="26" t="s">
        <v>149</v>
      </c>
      <c r="AH87" s="26" t="s">
        <v>739</v>
      </c>
      <c r="AI87" s="26" t="s">
        <v>306</v>
      </c>
      <c r="AJ87" s="28" t="s">
        <v>306</v>
      </c>
      <c r="AK87" s="26" t="s">
        <v>369</v>
      </c>
      <c r="AL87" s="11" t="s">
        <v>149</v>
      </c>
      <c r="AM87" s="11" t="s">
        <v>149</v>
      </c>
      <c r="AN87" s="28" t="s">
        <v>165</v>
      </c>
      <c r="AO87" s="26" t="s">
        <v>166</v>
      </c>
      <c r="AP87" s="28" t="s">
        <v>740</v>
      </c>
      <c r="AQ87" s="38" t="s">
        <v>741</v>
      </c>
      <c r="AR87" s="11" t="s">
        <v>149</v>
      </c>
      <c r="AS87" s="11" t="s">
        <v>149</v>
      </c>
      <c r="AT87" s="28" t="s">
        <v>742</v>
      </c>
    </row>
    <row r="88">
      <c r="A88" s="36" t="s">
        <v>746</v>
      </c>
      <c r="B88" s="26" t="str">
        <f t="shared" si="1"/>
        <v>2023-PH060406000-2022-0223</v>
      </c>
      <c r="C88" s="27">
        <f t="shared" si="2"/>
        <v>2023</v>
      </c>
      <c r="D88" s="28" t="s">
        <v>140</v>
      </c>
      <c r="E88" s="28" t="s">
        <v>707</v>
      </c>
      <c r="F88" s="28" t="s">
        <v>192</v>
      </c>
      <c r="G88" s="29" t="s">
        <v>314</v>
      </c>
      <c r="H88" s="29" t="s">
        <v>315</v>
      </c>
      <c r="I88" s="29" t="s">
        <v>747</v>
      </c>
      <c r="J88" s="30" t="s">
        <v>748</v>
      </c>
      <c r="K88" s="26" t="s">
        <v>749</v>
      </c>
      <c r="L88" s="43" t="s">
        <v>149</v>
      </c>
      <c r="M88" s="31">
        <v>2022.0</v>
      </c>
      <c r="N88" s="31">
        <v>2022.0</v>
      </c>
      <c r="O88" s="31">
        <v>2025.0</v>
      </c>
      <c r="P88" s="28" t="s">
        <v>150</v>
      </c>
      <c r="Q88" s="32" t="s">
        <v>151</v>
      </c>
      <c r="R88" s="28" t="s">
        <v>149</v>
      </c>
      <c r="S88" s="32" t="s">
        <v>149</v>
      </c>
      <c r="T88" s="28" t="s">
        <v>154</v>
      </c>
      <c r="U88" s="28" t="s">
        <v>154</v>
      </c>
      <c r="V88" s="26" t="s">
        <v>149</v>
      </c>
      <c r="W88" s="32" t="s">
        <v>750</v>
      </c>
      <c r="X88" s="32" t="s">
        <v>751</v>
      </c>
      <c r="Y88" s="26" t="s">
        <v>752</v>
      </c>
      <c r="Z88" s="26" t="s">
        <v>369</v>
      </c>
      <c r="AA88" s="26" t="s">
        <v>159</v>
      </c>
      <c r="AB88" s="26" t="s">
        <v>160</v>
      </c>
      <c r="AC88" s="28" t="s">
        <v>161</v>
      </c>
      <c r="AD88" s="28" t="s">
        <v>369</v>
      </c>
      <c r="AE88" s="29" t="s">
        <v>149</v>
      </c>
      <c r="AF88" s="26" t="s">
        <v>149</v>
      </c>
      <c r="AG88" s="26" t="s">
        <v>149</v>
      </c>
      <c r="AH88" s="26" t="s">
        <v>369</v>
      </c>
      <c r="AI88" s="28" t="s">
        <v>161</v>
      </c>
      <c r="AJ88" s="28" t="s">
        <v>369</v>
      </c>
      <c r="AK88" s="11" t="s">
        <v>149</v>
      </c>
      <c r="AL88" s="11" t="s">
        <v>149</v>
      </c>
      <c r="AM88" s="11" t="s">
        <v>149</v>
      </c>
      <c r="AN88" s="28" t="s">
        <v>213</v>
      </c>
      <c r="AO88" s="28" t="s">
        <v>310</v>
      </c>
      <c r="AP88" s="26" t="s">
        <v>213</v>
      </c>
      <c r="AQ88" s="11" t="s">
        <v>149</v>
      </c>
      <c r="AR88" s="26" t="s">
        <v>753</v>
      </c>
      <c r="AS88" s="26" t="s">
        <v>754</v>
      </c>
      <c r="AT88" s="11"/>
    </row>
    <row r="89">
      <c r="A89" s="36" t="s">
        <v>755</v>
      </c>
      <c r="B89" s="26" t="str">
        <f t="shared" si="1"/>
        <v>2025-PH074625000-2016-0435</v>
      </c>
      <c r="C89" s="27">
        <f t="shared" si="2"/>
        <v>2025</v>
      </c>
      <c r="D89" s="28" t="s">
        <v>191</v>
      </c>
      <c r="E89" s="28" t="s">
        <v>191</v>
      </c>
      <c r="F89" s="28" t="s">
        <v>142</v>
      </c>
      <c r="G89" s="29" t="s">
        <v>625</v>
      </c>
      <c r="H89" s="29" t="s">
        <v>632</v>
      </c>
      <c r="I89" s="56" t="s">
        <v>637</v>
      </c>
      <c r="J89" s="55" t="s">
        <v>638</v>
      </c>
      <c r="K89" s="26" t="s">
        <v>756</v>
      </c>
      <c r="L89" s="28" t="s">
        <v>757</v>
      </c>
      <c r="M89" s="31">
        <v>2016.0</v>
      </c>
      <c r="N89" s="31">
        <v>2016.0</v>
      </c>
      <c r="O89" s="31" t="s">
        <v>149</v>
      </c>
      <c r="P89" s="28" t="s">
        <v>150</v>
      </c>
      <c r="Q89" s="32" t="s">
        <v>151</v>
      </c>
      <c r="R89" s="28" t="s">
        <v>152</v>
      </c>
      <c r="S89" s="32" t="s">
        <v>265</v>
      </c>
      <c r="T89" s="28" t="s">
        <v>154</v>
      </c>
      <c r="U89" s="28" t="s">
        <v>154</v>
      </c>
      <c r="V89" s="28" t="s">
        <v>758</v>
      </c>
      <c r="W89" s="32" t="s">
        <v>180</v>
      </c>
      <c r="X89" s="32" t="s">
        <v>181</v>
      </c>
      <c r="Y89" s="26" t="s">
        <v>759</v>
      </c>
      <c r="Z89" s="26" t="s">
        <v>760</v>
      </c>
      <c r="AA89" s="26" t="s">
        <v>159</v>
      </c>
      <c r="AB89" s="26" t="s">
        <v>160</v>
      </c>
      <c r="AC89" s="28" t="s">
        <v>322</v>
      </c>
      <c r="AD89" s="28" t="s">
        <v>761</v>
      </c>
      <c r="AE89" s="29" t="s">
        <v>149</v>
      </c>
      <c r="AF89" s="26" t="s">
        <v>149</v>
      </c>
      <c r="AG89" s="28" t="s">
        <v>762</v>
      </c>
      <c r="AH89" s="28" t="s">
        <v>763</v>
      </c>
      <c r="AI89" s="28" t="s">
        <v>322</v>
      </c>
      <c r="AJ89" s="28" t="s">
        <v>761</v>
      </c>
      <c r="AK89" s="26" t="s">
        <v>764</v>
      </c>
      <c r="AL89" s="26" t="s">
        <v>765</v>
      </c>
      <c r="AM89" s="28" t="s">
        <v>149</v>
      </c>
      <c r="AN89" s="28" t="s">
        <v>165</v>
      </c>
      <c r="AO89" s="26" t="s">
        <v>166</v>
      </c>
      <c r="AP89" s="26" t="s">
        <v>766</v>
      </c>
      <c r="AQ89" s="38" t="s">
        <v>767</v>
      </c>
      <c r="AR89" s="45" t="s">
        <v>149</v>
      </c>
      <c r="AS89" s="45" t="s">
        <v>149</v>
      </c>
      <c r="AT89" s="11"/>
    </row>
    <row r="90">
      <c r="A90" s="36" t="s">
        <v>768</v>
      </c>
      <c r="B90" s="26" t="str">
        <f t="shared" si="1"/>
        <v>2023-PH097322000-2021-0335</v>
      </c>
      <c r="C90" s="27">
        <f t="shared" si="2"/>
        <v>2023</v>
      </c>
      <c r="D90" s="37" t="s">
        <v>140</v>
      </c>
      <c r="E90" s="28" t="s">
        <v>141</v>
      </c>
      <c r="F90" s="28" t="s">
        <v>192</v>
      </c>
      <c r="G90" s="29" t="s">
        <v>590</v>
      </c>
      <c r="H90" s="29" t="s">
        <v>769</v>
      </c>
      <c r="I90" s="40" t="s">
        <v>770</v>
      </c>
      <c r="J90" s="30" t="s">
        <v>771</v>
      </c>
      <c r="K90" s="26" t="s">
        <v>772</v>
      </c>
      <c r="L90" s="47" t="s">
        <v>149</v>
      </c>
      <c r="M90" s="31">
        <v>2021.0</v>
      </c>
      <c r="N90" s="31" t="s">
        <v>149</v>
      </c>
      <c r="O90" s="31" t="s">
        <v>149</v>
      </c>
      <c r="P90" s="28" t="s">
        <v>150</v>
      </c>
      <c r="Q90" s="32" t="s">
        <v>151</v>
      </c>
      <c r="R90" s="28" t="s">
        <v>149</v>
      </c>
      <c r="S90" s="32" t="s">
        <v>149</v>
      </c>
      <c r="T90" s="28" t="s">
        <v>154</v>
      </c>
      <c r="U90" s="28" t="s">
        <v>154</v>
      </c>
      <c r="V90" s="26" t="s">
        <v>149</v>
      </c>
      <c r="W90" s="32" t="s">
        <v>149</v>
      </c>
      <c r="X90" s="32" t="s">
        <v>254</v>
      </c>
      <c r="Y90" s="26" t="s">
        <v>149</v>
      </c>
      <c r="Z90" s="26" t="s">
        <v>149</v>
      </c>
      <c r="AA90" s="26" t="s">
        <v>149</v>
      </c>
      <c r="AB90" s="26" t="s">
        <v>149</v>
      </c>
      <c r="AC90" s="26" t="s">
        <v>149</v>
      </c>
      <c r="AD90" s="28" t="s">
        <v>149</v>
      </c>
      <c r="AE90" s="29" t="s">
        <v>149</v>
      </c>
      <c r="AF90" s="26" t="s">
        <v>149</v>
      </c>
      <c r="AG90" s="26" t="s">
        <v>149</v>
      </c>
      <c r="AH90" s="26" t="s">
        <v>760</v>
      </c>
      <c r="AI90" s="28" t="s">
        <v>322</v>
      </c>
      <c r="AJ90" s="28" t="s">
        <v>761</v>
      </c>
      <c r="AK90" s="26" t="s">
        <v>149</v>
      </c>
      <c r="AL90" s="26" t="s">
        <v>773</v>
      </c>
      <c r="AM90" s="26" t="s">
        <v>149</v>
      </c>
      <c r="AN90" s="28" t="s">
        <v>165</v>
      </c>
      <c r="AO90" s="28" t="s">
        <v>689</v>
      </c>
      <c r="AP90" s="26" t="s">
        <v>774</v>
      </c>
      <c r="AQ90" s="38" t="s">
        <v>775</v>
      </c>
      <c r="AR90" s="26" t="s">
        <v>149</v>
      </c>
      <c r="AS90" s="26" t="s">
        <v>149</v>
      </c>
      <c r="AT90" s="26"/>
    </row>
    <row r="91">
      <c r="A91" s="36" t="s">
        <v>776</v>
      </c>
      <c r="B91" s="26" t="str">
        <f t="shared" si="1"/>
        <v>2023-PH112402000-2017-0377</v>
      </c>
      <c r="C91" s="27">
        <f t="shared" si="2"/>
        <v>2023</v>
      </c>
      <c r="D91" s="37" t="s">
        <v>140</v>
      </c>
      <c r="E91" s="28" t="s">
        <v>141</v>
      </c>
      <c r="F91" s="28" t="s">
        <v>192</v>
      </c>
      <c r="G91" s="29" t="s">
        <v>330</v>
      </c>
      <c r="H91" s="29" t="s">
        <v>615</v>
      </c>
      <c r="I91" s="40" t="s">
        <v>616</v>
      </c>
      <c r="J91" s="29" t="s">
        <v>617</v>
      </c>
      <c r="K91" s="26" t="s">
        <v>777</v>
      </c>
      <c r="L91" s="70" t="s">
        <v>778</v>
      </c>
      <c r="M91" s="31">
        <v>2017.0</v>
      </c>
      <c r="N91" s="31" t="s">
        <v>149</v>
      </c>
      <c r="O91" s="31" t="s">
        <v>149</v>
      </c>
      <c r="P91" s="28" t="s">
        <v>150</v>
      </c>
      <c r="Q91" s="32" t="s">
        <v>151</v>
      </c>
      <c r="R91" s="50" t="s">
        <v>152</v>
      </c>
      <c r="S91" s="32" t="s">
        <v>361</v>
      </c>
      <c r="T91" s="28" t="s">
        <v>154</v>
      </c>
      <c r="U91" s="28" t="s">
        <v>154</v>
      </c>
      <c r="V91" s="26" t="s">
        <v>670</v>
      </c>
      <c r="W91" s="32" t="s">
        <v>656</v>
      </c>
      <c r="X91" s="32" t="s">
        <v>657</v>
      </c>
      <c r="Y91" s="26" t="s">
        <v>779</v>
      </c>
      <c r="Z91" s="26" t="s">
        <v>780</v>
      </c>
      <c r="AA91" s="26" t="s">
        <v>159</v>
      </c>
      <c r="AB91" s="26" t="s">
        <v>160</v>
      </c>
      <c r="AC91" s="26" t="s">
        <v>184</v>
      </c>
      <c r="AD91" s="28" t="s">
        <v>184</v>
      </c>
      <c r="AE91" s="29" t="s">
        <v>149</v>
      </c>
      <c r="AF91" s="3" t="s">
        <v>781</v>
      </c>
      <c r="AG91" s="26" t="s">
        <v>782</v>
      </c>
      <c r="AH91" s="26" t="s">
        <v>780</v>
      </c>
      <c r="AI91" s="26" t="s">
        <v>184</v>
      </c>
      <c r="AJ91" s="28" t="s">
        <v>184</v>
      </c>
      <c r="AK91" s="26" t="s">
        <v>760</v>
      </c>
      <c r="AL91" s="26" t="s">
        <v>765</v>
      </c>
      <c r="AM91" s="11" t="s">
        <v>149</v>
      </c>
      <c r="AN91" s="28" t="s">
        <v>165</v>
      </c>
      <c r="AO91" s="28" t="s">
        <v>289</v>
      </c>
      <c r="AP91" s="26" t="s">
        <v>783</v>
      </c>
      <c r="AQ91" s="38" t="s">
        <v>784</v>
      </c>
      <c r="AR91" s="11" t="s">
        <v>149</v>
      </c>
      <c r="AS91" s="11" t="s">
        <v>149</v>
      </c>
      <c r="AT91" s="45"/>
    </row>
    <row r="92">
      <c r="A92" s="36" t="s">
        <v>785</v>
      </c>
      <c r="B92" s="26" t="str">
        <f t="shared" si="1"/>
        <v>2023-PH063014000-2015-0251</v>
      </c>
      <c r="C92" s="27">
        <f t="shared" si="2"/>
        <v>2023</v>
      </c>
      <c r="D92" s="37" t="s">
        <v>140</v>
      </c>
      <c r="E92" s="28" t="s">
        <v>141</v>
      </c>
      <c r="F92" s="28" t="s">
        <v>192</v>
      </c>
      <c r="G92" s="29" t="s">
        <v>314</v>
      </c>
      <c r="H92" s="29" t="s">
        <v>558</v>
      </c>
      <c r="I92" s="29" t="s">
        <v>786</v>
      </c>
      <c r="J92" s="29" t="s">
        <v>787</v>
      </c>
      <c r="K92" s="26" t="s">
        <v>788</v>
      </c>
      <c r="L92" s="47" t="s">
        <v>149</v>
      </c>
      <c r="M92" s="31">
        <v>2015.0</v>
      </c>
      <c r="N92" s="31" t="s">
        <v>149</v>
      </c>
      <c r="O92" s="31" t="s">
        <v>149</v>
      </c>
      <c r="P92" s="28" t="s">
        <v>150</v>
      </c>
      <c r="Q92" s="32" t="s">
        <v>151</v>
      </c>
      <c r="R92" s="28" t="s">
        <v>152</v>
      </c>
      <c r="S92" s="32" t="s">
        <v>789</v>
      </c>
      <c r="T92" s="28" t="s">
        <v>154</v>
      </c>
      <c r="U92" s="28" t="s">
        <v>154</v>
      </c>
      <c r="V92" s="26" t="s">
        <v>790</v>
      </c>
      <c r="W92" s="32" t="s">
        <v>791</v>
      </c>
      <c r="X92" s="32" t="s">
        <v>792</v>
      </c>
      <c r="Y92" s="26" t="s">
        <v>793</v>
      </c>
      <c r="Z92" s="26" t="s">
        <v>794</v>
      </c>
      <c r="AA92" s="26" t="s">
        <v>159</v>
      </c>
      <c r="AB92" s="28" t="s">
        <v>205</v>
      </c>
      <c r="AC92" s="26" t="s">
        <v>306</v>
      </c>
      <c r="AD92" s="28" t="s">
        <v>306</v>
      </c>
      <c r="AE92" s="29" t="s">
        <v>149</v>
      </c>
      <c r="AF92" s="26" t="s">
        <v>149</v>
      </c>
      <c r="AG92" s="26" t="s">
        <v>795</v>
      </c>
      <c r="AH92" s="26" t="s">
        <v>796</v>
      </c>
      <c r="AI92" s="26" t="s">
        <v>306</v>
      </c>
      <c r="AJ92" s="28" t="s">
        <v>306</v>
      </c>
      <c r="AK92" s="11" t="s">
        <v>149</v>
      </c>
      <c r="AL92" s="11" t="s">
        <v>149</v>
      </c>
      <c r="AM92" s="26" t="s">
        <v>797</v>
      </c>
      <c r="AN92" s="28" t="s">
        <v>165</v>
      </c>
      <c r="AO92" s="26" t="s">
        <v>166</v>
      </c>
      <c r="AP92" s="26" t="s">
        <v>798</v>
      </c>
      <c r="AQ92" s="38" t="s">
        <v>799</v>
      </c>
      <c r="AR92" s="11" t="s">
        <v>149</v>
      </c>
      <c r="AS92" s="26" t="s">
        <v>800</v>
      </c>
      <c r="AT92" s="42"/>
    </row>
    <row r="93" ht="15.0" customHeight="1">
      <c r="A93" s="36" t="s">
        <v>801</v>
      </c>
      <c r="B93" s="26" t="str">
        <f t="shared" si="1"/>
        <v>2023-PH174005000-1989-0171</v>
      </c>
      <c r="C93" s="27">
        <f t="shared" si="2"/>
        <v>2023</v>
      </c>
      <c r="D93" s="37" t="s">
        <v>140</v>
      </c>
      <c r="E93" s="28" t="s">
        <v>141</v>
      </c>
      <c r="F93" s="28" t="s">
        <v>142</v>
      </c>
      <c r="G93" s="29" t="s">
        <v>522</v>
      </c>
      <c r="H93" s="29" t="s">
        <v>802</v>
      </c>
      <c r="I93" s="40" t="s">
        <v>420</v>
      </c>
      <c r="J93" s="29" t="s">
        <v>803</v>
      </c>
      <c r="K93" s="26" t="s">
        <v>804</v>
      </c>
      <c r="L93" s="28" t="s">
        <v>805</v>
      </c>
      <c r="M93" s="49">
        <v>1989.0</v>
      </c>
      <c r="N93" s="31">
        <v>1989.0</v>
      </c>
      <c r="O93" s="31">
        <v>1994.0</v>
      </c>
      <c r="P93" s="28" t="s">
        <v>150</v>
      </c>
      <c r="Q93" s="32" t="s">
        <v>151</v>
      </c>
      <c r="R93" s="28" t="s">
        <v>281</v>
      </c>
      <c r="S93" s="32" t="s">
        <v>806</v>
      </c>
      <c r="T93" s="28" t="s">
        <v>154</v>
      </c>
      <c r="U93" s="28" t="s">
        <v>154</v>
      </c>
      <c r="V93" s="28" t="s">
        <v>807</v>
      </c>
      <c r="W93" s="32" t="s">
        <v>808</v>
      </c>
      <c r="X93" s="32" t="s">
        <v>809</v>
      </c>
      <c r="Y93" s="26" t="s">
        <v>810</v>
      </c>
      <c r="Z93" s="28" t="s">
        <v>811</v>
      </c>
      <c r="AA93" s="32" t="s">
        <v>159</v>
      </c>
      <c r="AB93" s="28" t="s">
        <v>160</v>
      </c>
      <c r="AC93" s="32" t="s">
        <v>184</v>
      </c>
      <c r="AD93" s="28" t="s">
        <v>184</v>
      </c>
      <c r="AE93" s="29" t="s">
        <v>149</v>
      </c>
      <c r="AF93" s="26" t="s">
        <v>149</v>
      </c>
      <c r="AG93" s="51" t="s">
        <v>812</v>
      </c>
      <c r="AH93" s="26" t="s">
        <v>341</v>
      </c>
      <c r="AI93" s="28" t="s">
        <v>322</v>
      </c>
      <c r="AJ93" s="28" t="s">
        <v>341</v>
      </c>
      <c r="AK93" s="26" t="s">
        <v>149</v>
      </c>
      <c r="AL93" s="26" t="s">
        <v>149</v>
      </c>
      <c r="AM93" s="26" t="s">
        <v>149</v>
      </c>
      <c r="AN93" s="28" t="s">
        <v>241</v>
      </c>
      <c r="AO93" s="26" t="s">
        <v>395</v>
      </c>
      <c r="AP93" s="28" t="s">
        <v>396</v>
      </c>
      <c r="AQ93" s="38" t="s">
        <v>541</v>
      </c>
      <c r="AR93" s="26" t="s">
        <v>398</v>
      </c>
      <c r="AS93" s="26" t="s">
        <v>149</v>
      </c>
      <c r="AT93" s="26"/>
    </row>
    <row r="94">
      <c r="A94" s="36" t="s">
        <v>813</v>
      </c>
      <c r="B94" s="26" t="str">
        <f t="shared" si="1"/>
        <v>2025-PH072207000-1985-0275</v>
      </c>
      <c r="C94" s="27">
        <f t="shared" si="2"/>
        <v>2025</v>
      </c>
      <c r="D94" s="28" t="s">
        <v>191</v>
      </c>
      <c r="E94" s="28" t="s">
        <v>191</v>
      </c>
      <c r="F94" s="28" t="s">
        <v>142</v>
      </c>
      <c r="G94" s="29" t="s">
        <v>193</v>
      </c>
      <c r="H94" s="29" t="s">
        <v>194</v>
      </c>
      <c r="I94" s="29" t="s">
        <v>814</v>
      </c>
      <c r="J94" s="30" t="s">
        <v>815</v>
      </c>
      <c r="K94" s="26" t="s">
        <v>816</v>
      </c>
      <c r="L94" s="71" t="s">
        <v>817</v>
      </c>
      <c r="M94" s="49">
        <v>1985.0</v>
      </c>
      <c r="N94" s="49">
        <v>1985.0</v>
      </c>
      <c r="O94" s="49">
        <v>1988.0</v>
      </c>
      <c r="P94" s="28" t="s">
        <v>150</v>
      </c>
      <c r="Q94" s="32" t="s">
        <v>151</v>
      </c>
      <c r="R94" s="28" t="s">
        <v>604</v>
      </c>
      <c r="S94" s="32" t="s">
        <v>605</v>
      </c>
      <c r="T94" s="28" t="s">
        <v>154</v>
      </c>
      <c r="U94" s="28" t="s">
        <v>154</v>
      </c>
      <c r="V94" s="28" t="s">
        <v>818</v>
      </c>
      <c r="W94" s="32" t="s">
        <v>284</v>
      </c>
      <c r="X94" s="32" t="s">
        <v>285</v>
      </c>
      <c r="Y94" s="26" t="s">
        <v>819</v>
      </c>
      <c r="Z94" s="26" t="s">
        <v>820</v>
      </c>
      <c r="AA94" s="26" t="s">
        <v>159</v>
      </c>
      <c r="AB94" s="28" t="s">
        <v>205</v>
      </c>
      <c r="AC94" s="26" t="s">
        <v>206</v>
      </c>
      <c r="AD94" s="28" t="s">
        <v>207</v>
      </c>
      <c r="AE94" s="29" t="s">
        <v>149</v>
      </c>
      <c r="AF94" s="26" t="s">
        <v>149</v>
      </c>
      <c r="AG94" s="26" t="s">
        <v>149</v>
      </c>
      <c r="AH94" s="26" t="s">
        <v>821</v>
      </c>
      <c r="AI94" s="28" t="s">
        <v>322</v>
      </c>
      <c r="AJ94" s="58" t="s">
        <v>821</v>
      </c>
      <c r="AK94" s="26" t="s">
        <v>822</v>
      </c>
      <c r="AL94" s="28" t="s">
        <v>149</v>
      </c>
      <c r="AM94" s="28" t="s">
        <v>149</v>
      </c>
      <c r="AN94" s="28" t="s">
        <v>165</v>
      </c>
      <c r="AO94" s="28" t="s">
        <v>731</v>
      </c>
      <c r="AP94" s="26" t="s">
        <v>823</v>
      </c>
      <c r="AQ94" s="34" t="s">
        <v>824</v>
      </c>
      <c r="AR94" s="28" t="s">
        <v>149</v>
      </c>
      <c r="AS94" s="28" t="s">
        <v>149</v>
      </c>
      <c r="AT94" s="26"/>
    </row>
    <row r="95">
      <c r="A95" s="36" t="s">
        <v>825</v>
      </c>
      <c r="B95" s="26" t="str">
        <f t="shared" si="1"/>
        <v>2025-PH076104000-1988-0438</v>
      </c>
      <c r="C95" s="27">
        <f t="shared" si="2"/>
        <v>2025</v>
      </c>
      <c r="D95" s="28" t="s">
        <v>191</v>
      </c>
      <c r="E95" s="28" t="s">
        <v>191</v>
      </c>
      <c r="F95" s="28" t="s">
        <v>142</v>
      </c>
      <c r="G95" s="29" t="s">
        <v>625</v>
      </c>
      <c r="H95" s="29" t="s">
        <v>826</v>
      </c>
      <c r="I95" s="29" t="s">
        <v>827</v>
      </c>
      <c r="J95" s="30" t="s">
        <v>828</v>
      </c>
      <c r="K95" s="26" t="s">
        <v>816</v>
      </c>
      <c r="L95" s="26" t="s">
        <v>829</v>
      </c>
      <c r="M95" s="31">
        <v>1988.0</v>
      </c>
      <c r="N95" s="31">
        <v>1984.0</v>
      </c>
      <c r="O95" s="31">
        <v>1992.0</v>
      </c>
      <c r="P95" s="28" t="s">
        <v>150</v>
      </c>
      <c r="Q95" s="32" t="s">
        <v>151</v>
      </c>
      <c r="R95" s="28" t="s">
        <v>152</v>
      </c>
      <c r="S95" s="32" t="s">
        <v>351</v>
      </c>
      <c r="T95" s="28" t="s">
        <v>154</v>
      </c>
      <c r="U95" s="28" t="s">
        <v>154</v>
      </c>
      <c r="V95" s="26" t="s">
        <v>152</v>
      </c>
      <c r="W95" s="32" t="s">
        <v>284</v>
      </c>
      <c r="X95" s="32" t="s">
        <v>285</v>
      </c>
      <c r="Y95" s="26" t="s">
        <v>819</v>
      </c>
      <c r="Z95" s="26" t="s">
        <v>820</v>
      </c>
      <c r="AA95" s="26" t="s">
        <v>159</v>
      </c>
      <c r="AB95" s="28" t="s">
        <v>205</v>
      </c>
      <c r="AC95" s="26" t="s">
        <v>206</v>
      </c>
      <c r="AD95" s="28" t="s">
        <v>207</v>
      </c>
      <c r="AE95" s="29" t="s">
        <v>149</v>
      </c>
      <c r="AF95" s="26" t="s">
        <v>149</v>
      </c>
      <c r="AG95" s="26" t="s">
        <v>149</v>
      </c>
      <c r="AH95" s="26" t="s">
        <v>830</v>
      </c>
      <c r="AI95" s="28" t="s">
        <v>322</v>
      </c>
      <c r="AJ95" s="58" t="s">
        <v>821</v>
      </c>
      <c r="AK95" s="26" t="s">
        <v>822</v>
      </c>
      <c r="AL95" s="28" t="s">
        <v>149</v>
      </c>
      <c r="AM95" s="28" t="s">
        <v>149</v>
      </c>
      <c r="AN95" s="28" t="s">
        <v>165</v>
      </c>
      <c r="AO95" s="28" t="s">
        <v>731</v>
      </c>
      <c r="AP95" s="26" t="s">
        <v>823</v>
      </c>
      <c r="AQ95" s="34" t="s">
        <v>824</v>
      </c>
      <c r="AR95" s="28" t="s">
        <v>149</v>
      </c>
      <c r="AS95" s="28" t="s">
        <v>149</v>
      </c>
      <c r="AT95" s="11"/>
    </row>
    <row r="96">
      <c r="A96" s="72" t="s">
        <v>831</v>
      </c>
      <c r="B96" s="26" t="str">
        <f t="shared" si="1"/>
        <v>2025-PH072207000-1985-0461</v>
      </c>
      <c r="C96" s="73">
        <f t="shared" si="2"/>
        <v>2025</v>
      </c>
      <c r="D96" s="74" t="s">
        <v>191</v>
      </c>
      <c r="E96" s="74" t="s">
        <v>191</v>
      </c>
      <c r="F96" s="75" t="s">
        <v>142</v>
      </c>
      <c r="G96" s="76" t="s">
        <v>193</v>
      </c>
      <c r="H96" s="76" t="s">
        <v>194</v>
      </c>
      <c r="I96" s="76" t="s">
        <v>814</v>
      </c>
      <c r="J96" s="76" t="s">
        <v>815</v>
      </c>
      <c r="K96" s="74" t="s">
        <v>816</v>
      </c>
      <c r="L96" s="77" t="s">
        <v>832</v>
      </c>
      <c r="M96" s="78">
        <v>1985.0</v>
      </c>
      <c r="N96" s="78">
        <v>1985.0</v>
      </c>
      <c r="O96" s="78">
        <v>1988.0</v>
      </c>
      <c r="P96" s="74" t="s">
        <v>150</v>
      </c>
      <c r="Q96" s="79" t="s">
        <v>151</v>
      </c>
      <c r="R96" s="28" t="s">
        <v>604</v>
      </c>
      <c r="S96" s="80" t="s">
        <v>605</v>
      </c>
      <c r="T96" s="74" t="s">
        <v>154</v>
      </c>
      <c r="U96" s="74" t="s">
        <v>154</v>
      </c>
      <c r="V96" s="74" t="s">
        <v>818</v>
      </c>
      <c r="W96" s="80" t="s">
        <v>284</v>
      </c>
      <c r="X96" s="74" t="s">
        <v>285</v>
      </c>
      <c r="Y96" s="80" t="s">
        <v>819</v>
      </c>
      <c r="Z96" s="80" t="s">
        <v>820</v>
      </c>
      <c r="AA96" s="80" t="s">
        <v>159</v>
      </c>
      <c r="AB96" s="80" t="s">
        <v>205</v>
      </c>
      <c r="AC96" s="80" t="s">
        <v>206</v>
      </c>
      <c r="AD96" s="28" t="s">
        <v>207</v>
      </c>
      <c r="AE96" s="76" t="s">
        <v>149</v>
      </c>
      <c r="AF96" s="80" t="s">
        <v>149</v>
      </c>
      <c r="AG96" s="74" t="s">
        <v>149</v>
      </c>
      <c r="AH96" s="80" t="s">
        <v>821</v>
      </c>
      <c r="AI96" s="28" t="s">
        <v>322</v>
      </c>
      <c r="AJ96" s="58" t="s">
        <v>821</v>
      </c>
      <c r="AK96" s="74" t="s">
        <v>822</v>
      </c>
      <c r="AL96" s="74" t="s">
        <v>149</v>
      </c>
      <c r="AM96" s="74" t="s">
        <v>149</v>
      </c>
      <c r="AN96" s="28" t="s">
        <v>165</v>
      </c>
      <c r="AO96" s="28" t="s">
        <v>731</v>
      </c>
      <c r="AP96" s="81" t="s">
        <v>833</v>
      </c>
      <c r="AQ96" s="34" t="s">
        <v>824</v>
      </c>
      <c r="AR96" s="74" t="s">
        <v>149</v>
      </c>
      <c r="AS96" s="74" t="s">
        <v>149</v>
      </c>
      <c r="AT96" s="74"/>
    </row>
    <row r="97">
      <c r="A97" s="72" t="s">
        <v>834</v>
      </c>
      <c r="B97" s="26" t="str">
        <f t="shared" si="1"/>
        <v>2025-PH072207000-1985-0462</v>
      </c>
      <c r="C97" s="73">
        <f t="shared" si="2"/>
        <v>2025</v>
      </c>
      <c r="D97" s="74" t="s">
        <v>191</v>
      </c>
      <c r="E97" s="74" t="s">
        <v>191</v>
      </c>
      <c r="F97" s="75" t="s">
        <v>142</v>
      </c>
      <c r="G97" s="76" t="s">
        <v>193</v>
      </c>
      <c r="H97" s="76" t="s">
        <v>194</v>
      </c>
      <c r="I97" s="76" t="s">
        <v>814</v>
      </c>
      <c r="J97" s="76" t="s">
        <v>815</v>
      </c>
      <c r="K97" s="74" t="s">
        <v>816</v>
      </c>
      <c r="L97" s="77" t="s">
        <v>835</v>
      </c>
      <c r="M97" s="78">
        <v>1985.0</v>
      </c>
      <c r="N97" s="78">
        <v>1985.0</v>
      </c>
      <c r="O97" s="78">
        <v>1988.0</v>
      </c>
      <c r="P97" s="74" t="s">
        <v>150</v>
      </c>
      <c r="Q97" s="79" t="s">
        <v>151</v>
      </c>
      <c r="R97" s="28" t="s">
        <v>604</v>
      </c>
      <c r="S97" s="80" t="s">
        <v>605</v>
      </c>
      <c r="T97" s="74" t="s">
        <v>154</v>
      </c>
      <c r="U97" s="74" t="s">
        <v>154</v>
      </c>
      <c r="V97" s="74" t="s">
        <v>818</v>
      </c>
      <c r="W97" s="80" t="s">
        <v>284</v>
      </c>
      <c r="X97" s="74" t="s">
        <v>285</v>
      </c>
      <c r="Y97" s="80" t="s">
        <v>819</v>
      </c>
      <c r="Z97" s="80" t="s">
        <v>820</v>
      </c>
      <c r="AA97" s="80" t="s">
        <v>159</v>
      </c>
      <c r="AB97" s="80" t="s">
        <v>205</v>
      </c>
      <c r="AC97" s="80" t="s">
        <v>206</v>
      </c>
      <c r="AD97" s="28" t="s">
        <v>207</v>
      </c>
      <c r="AE97" s="76" t="s">
        <v>149</v>
      </c>
      <c r="AF97" s="80" t="s">
        <v>149</v>
      </c>
      <c r="AG97" s="74" t="s">
        <v>149</v>
      </c>
      <c r="AH97" s="80" t="s">
        <v>821</v>
      </c>
      <c r="AI97" s="28" t="s">
        <v>322</v>
      </c>
      <c r="AJ97" s="58" t="s">
        <v>821</v>
      </c>
      <c r="AK97" s="74" t="s">
        <v>822</v>
      </c>
      <c r="AL97" s="74" t="s">
        <v>149</v>
      </c>
      <c r="AM97" s="74" t="s">
        <v>149</v>
      </c>
      <c r="AN97" s="28" t="s">
        <v>165</v>
      </c>
      <c r="AO97" s="28" t="s">
        <v>731</v>
      </c>
      <c r="AP97" s="82" t="s">
        <v>823</v>
      </c>
      <c r="AQ97" s="34" t="s">
        <v>824</v>
      </c>
      <c r="AR97" s="74" t="s">
        <v>149</v>
      </c>
      <c r="AS97" s="74" t="s">
        <v>149</v>
      </c>
      <c r="AT97" s="74"/>
    </row>
    <row r="98">
      <c r="A98" s="72" t="s">
        <v>836</v>
      </c>
      <c r="B98" s="26" t="str">
        <f t="shared" si="1"/>
        <v>2025-PH072207000-1985-0463</v>
      </c>
      <c r="C98" s="73">
        <f t="shared" si="2"/>
        <v>2025</v>
      </c>
      <c r="D98" s="74" t="s">
        <v>191</v>
      </c>
      <c r="E98" s="74" t="s">
        <v>191</v>
      </c>
      <c r="F98" s="75" t="s">
        <v>142</v>
      </c>
      <c r="G98" s="76" t="s">
        <v>193</v>
      </c>
      <c r="H98" s="76" t="s">
        <v>194</v>
      </c>
      <c r="I98" s="76" t="s">
        <v>814</v>
      </c>
      <c r="J98" s="76" t="s">
        <v>815</v>
      </c>
      <c r="K98" s="74" t="s">
        <v>816</v>
      </c>
      <c r="L98" s="77" t="s">
        <v>837</v>
      </c>
      <c r="M98" s="78">
        <v>1985.0</v>
      </c>
      <c r="N98" s="78">
        <v>1985.0</v>
      </c>
      <c r="O98" s="78">
        <v>1988.0</v>
      </c>
      <c r="P98" s="74" t="s">
        <v>150</v>
      </c>
      <c r="Q98" s="79" t="s">
        <v>151</v>
      </c>
      <c r="R98" s="28" t="s">
        <v>604</v>
      </c>
      <c r="S98" s="80" t="s">
        <v>605</v>
      </c>
      <c r="T98" s="74" t="s">
        <v>154</v>
      </c>
      <c r="U98" s="74" t="s">
        <v>154</v>
      </c>
      <c r="V98" s="74" t="s">
        <v>818</v>
      </c>
      <c r="W98" s="80" t="s">
        <v>284</v>
      </c>
      <c r="X98" s="74" t="s">
        <v>285</v>
      </c>
      <c r="Y98" s="80" t="s">
        <v>819</v>
      </c>
      <c r="Z98" s="80" t="s">
        <v>820</v>
      </c>
      <c r="AA98" s="80" t="s">
        <v>159</v>
      </c>
      <c r="AB98" s="80" t="s">
        <v>205</v>
      </c>
      <c r="AC98" s="80" t="s">
        <v>206</v>
      </c>
      <c r="AD98" s="28" t="s">
        <v>207</v>
      </c>
      <c r="AE98" s="76" t="s">
        <v>149</v>
      </c>
      <c r="AF98" s="80" t="s">
        <v>149</v>
      </c>
      <c r="AG98" s="74" t="s">
        <v>149</v>
      </c>
      <c r="AH98" s="80" t="s">
        <v>821</v>
      </c>
      <c r="AI98" s="28" t="s">
        <v>322</v>
      </c>
      <c r="AJ98" s="58" t="s">
        <v>821</v>
      </c>
      <c r="AK98" s="74" t="s">
        <v>822</v>
      </c>
      <c r="AL98" s="74" t="s">
        <v>149</v>
      </c>
      <c r="AM98" s="74" t="s">
        <v>149</v>
      </c>
      <c r="AN98" s="28" t="s">
        <v>165</v>
      </c>
      <c r="AO98" s="28" t="s">
        <v>731</v>
      </c>
      <c r="AP98" s="82" t="s">
        <v>823</v>
      </c>
      <c r="AQ98" s="34" t="s">
        <v>824</v>
      </c>
      <c r="AR98" s="74" t="s">
        <v>149</v>
      </c>
      <c r="AS98" s="74" t="s">
        <v>149</v>
      </c>
      <c r="AT98" s="74"/>
    </row>
    <row r="99">
      <c r="A99" s="72" t="s">
        <v>838</v>
      </c>
      <c r="B99" s="26" t="str">
        <f t="shared" si="1"/>
        <v>2025-PH072207000-1985-0464</v>
      </c>
      <c r="C99" s="73">
        <f t="shared" si="2"/>
        <v>2025</v>
      </c>
      <c r="D99" s="74" t="s">
        <v>191</v>
      </c>
      <c r="E99" s="74" t="s">
        <v>191</v>
      </c>
      <c r="F99" s="75" t="s">
        <v>142</v>
      </c>
      <c r="G99" s="76" t="s">
        <v>193</v>
      </c>
      <c r="H99" s="76" t="s">
        <v>194</v>
      </c>
      <c r="I99" s="76" t="s">
        <v>814</v>
      </c>
      <c r="J99" s="76" t="s">
        <v>815</v>
      </c>
      <c r="K99" s="74" t="s">
        <v>816</v>
      </c>
      <c r="L99" s="77" t="s">
        <v>839</v>
      </c>
      <c r="M99" s="78">
        <v>1985.0</v>
      </c>
      <c r="N99" s="78">
        <v>1985.0</v>
      </c>
      <c r="O99" s="78">
        <v>1988.0</v>
      </c>
      <c r="P99" s="74" t="s">
        <v>150</v>
      </c>
      <c r="Q99" s="79" t="s">
        <v>151</v>
      </c>
      <c r="R99" s="28" t="s">
        <v>604</v>
      </c>
      <c r="S99" s="80" t="s">
        <v>605</v>
      </c>
      <c r="T99" s="74" t="s">
        <v>154</v>
      </c>
      <c r="U99" s="74" t="s">
        <v>154</v>
      </c>
      <c r="V99" s="74" t="s">
        <v>818</v>
      </c>
      <c r="W99" s="80" t="s">
        <v>284</v>
      </c>
      <c r="X99" s="74" t="s">
        <v>285</v>
      </c>
      <c r="Y99" s="80" t="s">
        <v>819</v>
      </c>
      <c r="Z99" s="80" t="s">
        <v>820</v>
      </c>
      <c r="AA99" s="80" t="s">
        <v>159</v>
      </c>
      <c r="AB99" s="80" t="s">
        <v>205</v>
      </c>
      <c r="AC99" s="80" t="s">
        <v>206</v>
      </c>
      <c r="AD99" s="28" t="s">
        <v>207</v>
      </c>
      <c r="AE99" s="76" t="s">
        <v>149</v>
      </c>
      <c r="AF99" s="80" t="s">
        <v>149</v>
      </c>
      <c r="AG99" s="74" t="s">
        <v>149</v>
      </c>
      <c r="AH99" s="80" t="s">
        <v>821</v>
      </c>
      <c r="AI99" s="28" t="s">
        <v>322</v>
      </c>
      <c r="AJ99" s="58" t="s">
        <v>821</v>
      </c>
      <c r="AK99" s="74" t="s">
        <v>822</v>
      </c>
      <c r="AL99" s="74" t="s">
        <v>149</v>
      </c>
      <c r="AM99" s="74" t="s">
        <v>149</v>
      </c>
      <c r="AN99" s="28" t="s">
        <v>165</v>
      </c>
      <c r="AO99" s="28" t="s">
        <v>731</v>
      </c>
      <c r="AP99" s="82" t="s">
        <v>823</v>
      </c>
      <c r="AQ99" s="34" t="s">
        <v>824</v>
      </c>
      <c r="AR99" s="74" t="s">
        <v>149</v>
      </c>
      <c r="AS99" s="74" t="s">
        <v>149</v>
      </c>
      <c r="AT99" s="74"/>
    </row>
    <row r="100">
      <c r="A100" s="72" t="s">
        <v>840</v>
      </c>
      <c r="B100" s="26" t="str">
        <f t="shared" si="1"/>
        <v>2025-PH072207000-1985-0465</v>
      </c>
      <c r="C100" s="73">
        <f t="shared" si="2"/>
        <v>2025</v>
      </c>
      <c r="D100" s="74" t="s">
        <v>191</v>
      </c>
      <c r="E100" s="74" t="s">
        <v>191</v>
      </c>
      <c r="F100" s="75" t="s">
        <v>142</v>
      </c>
      <c r="G100" s="76" t="s">
        <v>193</v>
      </c>
      <c r="H100" s="76" t="s">
        <v>194</v>
      </c>
      <c r="I100" s="76" t="s">
        <v>814</v>
      </c>
      <c r="J100" s="76" t="s">
        <v>815</v>
      </c>
      <c r="K100" s="74" t="s">
        <v>816</v>
      </c>
      <c r="L100" s="77" t="s">
        <v>841</v>
      </c>
      <c r="M100" s="78">
        <v>1985.0</v>
      </c>
      <c r="N100" s="78">
        <v>1985.0</v>
      </c>
      <c r="O100" s="78">
        <v>1988.0</v>
      </c>
      <c r="P100" s="74" t="s">
        <v>150</v>
      </c>
      <c r="Q100" s="79" t="s">
        <v>151</v>
      </c>
      <c r="R100" s="28" t="s">
        <v>604</v>
      </c>
      <c r="S100" s="80" t="s">
        <v>605</v>
      </c>
      <c r="T100" s="74" t="s">
        <v>154</v>
      </c>
      <c r="U100" s="74" t="s">
        <v>154</v>
      </c>
      <c r="V100" s="74" t="s">
        <v>818</v>
      </c>
      <c r="W100" s="80" t="s">
        <v>284</v>
      </c>
      <c r="X100" s="74" t="s">
        <v>285</v>
      </c>
      <c r="Y100" s="80" t="s">
        <v>819</v>
      </c>
      <c r="Z100" s="80" t="s">
        <v>820</v>
      </c>
      <c r="AA100" s="80" t="s">
        <v>159</v>
      </c>
      <c r="AB100" s="80" t="s">
        <v>205</v>
      </c>
      <c r="AC100" s="80" t="s">
        <v>206</v>
      </c>
      <c r="AD100" s="28" t="s">
        <v>207</v>
      </c>
      <c r="AE100" s="76" t="s">
        <v>149</v>
      </c>
      <c r="AF100" s="80" t="s">
        <v>149</v>
      </c>
      <c r="AG100" s="74" t="s">
        <v>149</v>
      </c>
      <c r="AH100" s="80" t="s">
        <v>821</v>
      </c>
      <c r="AI100" s="28" t="s">
        <v>322</v>
      </c>
      <c r="AJ100" s="58" t="s">
        <v>821</v>
      </c>
      <c r="AK100" s="74" t="s">
        <v>822</v>
      </c>
      <c r="AL100" s="74" t="s">
        <v>149</v>
      </c>
      <c r="AM100" s="74" t="s">
        <v>149</v>
      </c>
      <c r="AN100" s="28" t="s">
        <v>165</v>
      </c>
      <c r="AO100" s="28" t="s">
        <v>731</v>
      </c>
      <c r="AP100" s="82" t="s">
        <v>823</v>
      </c>
      <c r="AQ100" s="34" t="s">
        <v>824</v>
      </c>
      <c r="AR100" s="74" t="s">
        <v>149</v>
      </c>
      <c r="AS100" s="74" t="s">
        <v>149</v>
      </c>
      <c r="AT100" s="74"/>
    </row>
    <row r="101">
      <c r="A101" s="72" t="s">
        <v>842</v>
      </c>
      <c r="B101" s="26" t="str">
        <f t="shared" si="1"/>
        <v>2025-PH072207000-1985-0466</v>
      </c>
      <c r="C101" s="73">
        <f t="shared" si="2"/>
        <v>2025</v>
      </c>
      <c r="D101" s="74" t="s">
        <v>191</v>
      </c>
      <c r="E101" s="74" t="s">
        <v>191</v>
      </c>
      <c r="F101" s="75" t="s">
        <v>142</v>
      </c>
      <c r="G101" s="76" t="s">
        <v>193</v>
      </c>
      <c r="H101" s="76" t="s">
        <v>194</v>
      </c>
      <c r="I101" s="76" t="s">
        <v>814</v>
      </c>
      <c r="J101" s="76" t="s">
        <v>815</v>
      </c>
      <c r="K101" s="74" t="s">
        <v>816</v>
      </c>
      <c r="L101" s="77" t="s">
        <v>843</v>
      </c>
      <c r="M101" s="78">
        <v>1985.0</v>
      </c>
      <c r="N101" s="78">
        <v>1985.0</v>
      </c>
      <c r="O101" s="78">
        <v>1988.0</v>
      </c>
      <c r="P101" s="74" t="s">
        <v>150</v>
      </c>
      <c r="Q101" s="79" t="s">
        <v>151</v>
      </c>
      <c r="R101" s="28" t="s">
        <v>604</v>
      </c>
      <c r="S101" s="80" t="s">
        <v>605</v>
      </c>
      <c r="T101" s="74" t="s">
        <v>154</v>
      </c>
      <c r="U101" s="74" t="s">
        <v>154</v>
      </c>
      <c r="V101" s="74" t="s">
        <v>818</v>
      </c>
      <c r="W101" s="80" t="s">
        <v>284</v>
      </c>
      <c r="X101" s="74" t="s">
        <v>285</v>
      </c>
      <c r="Y101" s="80" t="s">
        <v>819</v>
      </c>
      <c r="Z101" s="80" t="s">
        <v>820</v>
      </c>
      <c r="AA101" s="80" t="s">
        <v>159</v>
      </c>
      <c r="AB101" s="80" t="s">
        <v>205</v>
      </c>
      <c r="AC101" s="80" t="s">
        <v>206</v>
      </c>
      <c r="AD101" s="28" t="s">
        <v>207</v>
      </c>
      <c r="AE101" s="76" t="s">
        <v>149</v>
      </c>
      <c r="AF101" s="80" t="s">
        <v>149</v>
      </c>
      <c r="AG101" s="74" t="s">
        <v>149</v>
      </c>
      <c r="AH101" s="80" t="s">
        <v>821</v>
      </c>
      <c r="AI101" s="28" t="s">
        <v>322</v>
      </c>
      <c r="AJ101" s="58" t="s">
        <v>821</v>
      </c>
      <c r="AK101" s="74" t="s">
        <v>822</v>
      </c>
      <c r="AL101" s="74" t="s">
        <v>149</v>
      </c>
      <c r="AM101" s="74" t="s">
        <v>149</v>
      </c>
      <c r="AN101" s="28" t="s">
        <v>165</v>
      </c>
      <c r="AO101" s="28" t="s">
        <v>731</v>
      </c>
      <c r="AP101" s="82" t="s">
        <v>823</v>
      </c>
      <c r="AQ101" s="34" t="s">
        <v>824</v>
      </c>
      <c r="AR101" s="74" t="s">
        <v>149</v>
      </c>
      <c r="AS101" s="74" t="s">
        <v>149</v>
      </c>
      <c r="AT101" s="74"/>
    </row>
    <row r="102">
      <c r="A102" s="72" t="s">
        <v>844</v>
      </c>
      <c r="B102" s="26" t="str">
        <f t="shared" si="1"/>
        <v>2025-PH072207000-1985-0467</v>
      </c>
      <c r="C102" s="73">
        <f t="shared" si="2"/>
        <v>2025</v>
      </c>
      <c r="D102" s="74" t="s">
        <v>191</v>
      </c>
      <c r="E102" s="74" t="s">
        <v>191</v>
      </c>
      <c r="F102" s="75" t="s">
        <v>142</v>
      </c>
      <c r="G102" s="76" t="s">
        <v>193</v>
      </c>
      <c r="H102" s="76" t="s">
        <v>194</v>
      </c>
      <c r="I102" s="76" t="s">
        <v>814</v>
      </c>
      <c r="J102" s="76" t="s">
        <v>815</v>
      </c>
      <c r="K102" s="74" t="s">
        <v>816</v>
      </c>
      <c r="L102" s="77" t="s">
        <v>845</v>
      </c>
      <c r="M102" s="78">
        <v>1985.0</v>
      </c>
      <c r="N102" s="78">
        <v>1985.0</v>
      </c>
      <c r="O102" s="78">
        <v>1988.0</v>
      </c>
      <c r="P102" s="74" t="s">
        <v>150</v>
      </c>
      <c r="Q102" s="79" t="s">
        <v>151</v>
      </c>
      <c r="R102" s="28" t="s">
        <v>604</v>
      </c>
      <c r="S102" s="80" t="s">
        <v>605</v>
      </c>
      <c r="T102" s="74" t="s">
        <v>154</v>
      </c>
      <c r="U102" s="74" t="s">
        <v>154</v>
      </c>
      <c r="V102" s="74" t="s">
        <v>818</v>
      </c>
      <c r="W102" s="80" t="s">
        <v>284</v>
      </c>
      <c r="X102" s="74" t="s">
        <v>285</v>
      </c>
      <c r="Y102" s="80" t="s">
        <v>819</v>
      </c>
      <c r="Z102" s="80" t="s">
        <v>820</v>
      </c>
      <c r="AA102" s="80" t="s">
        <v>159</v>
      </c>
      <c r="AB102" s="80" t="s">
        <v>205</v>
      </c>
      <c r="AC102" s="80" t="s">
        <v>206</v>
      </c>
      <c r="AD102" s="28" t="s">
        <v>207</v>
      </c>
      <c r="AE102" s="76" t="s">
        <v>149</v>
      </c>
      <c r="AF102" s="80" t="s">
        <v>149</v>
      </c>
      <c r="AG102" s="74" t="s">
        <v>149</v>
      </c>
      <c r="AH102" s="80" t="s">
        <v>821</v>
      </c>
      <c r="AI102" s="28" t="s">
        <v>322</v>
      </c>
      <c r="AJ102" s="58" t="s">
        <v>821</v>
      </c>
      <c r="AK102" s="74" t="s">
        <v>822</v>
      </c>
      <c r="AL102" s="74" t="s">
        <v>149</v>
      </c>
      <c r="AM102" s="74" t="s">
        <v>149</v>
      </c>
      <c r="AN102" s="28" t="s">
        <v>165</v>
      </c>
      <c r="AO102" s="28" t="s">
        <v>731</v>
      </c>
      <c r="AP102" s="82" t="s">
        <v>823</v>
      </c>
      <c r="AQ102" s="34" t="s">
        <v>824</v>
      </c>
      <c r="AR102" s="74" t="s">
        <v>149</v>
      </c>
      <c r="AS102" s="74" t="s">
        <v>149</v>
      </c>
      <c r="AT102" s="74"/>
    </row>
    <row r="103">
      <c r="A103" s="72" t="s">
        <v>846</v>
      </c>
      <c r="B103" s="26" t="str">
        <f t="shared" si="1"/>
        <v>2025-PH074609000-1988-0468</v>
      </c>
      <c r="C103" s="83">
        <v>2025.0</v>
      </c>
      <c r="D103" s="75" t="s">
        <v>191</v>
      </c>
      <c r="E103" s="75" t="s">
        <v>191</v>
      </c>
      <c r="F103" s="75" t="s">
        <v>142</v>
      </c>
      <c r="G103" s="77" t="s">
        <v>625</v>
      </c>
      <c r="H103" s="77" t="s">
        <v>632</v>
      </c>
      <c r="I103" s="84" t="s">
        <v>847</v>
      </c>
      <c r="J103" s="55" t="s">
        <v>848</v>
      </c>
      <c r="K103" s="75" t="s">
        <v>816</v>
      </c>
      <c r="L103" s="77" t="s">
        <v>149</v>
      </c>
      <c r="M103" s="85">
        <v>1988.0</v>
      </c>
      <c r="N103" s="78">
        <v>1985.0</v>
      </c>
      <c r="O103" s="78">
        <v>1988.0</v>
      </c>
      <c r="P103" s="75" t="s">
        <v>150</v>
      </c>
      <c r="Q103" s="79" t="s">
        <v>151</v>
      </c>
      <c r="R103" s="28" t="s">
        <v>149</v>
      </c>
      <c r="S103" s="79" t="s">
        <v>149</v>
      </c>
      <c r="T103" s="75" t="s">
        <v>154</v>
      </c>
      <c r="U103" s="75" t="s">
        <v>154</v>
      </c>
      <c r="V103" s="75" t="s">
        <v>149</v>
      </c>
      <c r="W103" s="79" t="s">
        <v>284</v>
      </c>
      <c r="X103" s="75" t="s">
        <v>285</v>
      </c>
      <c r="Y103" s="80" t="s">
        <v>819</v>
      </c>
      <c r="Z103" s="75" t="s">
        <v>149</v>
      </c>
      <c r="AA103" s="80" t="s">
        <v>159</v>
      </c>
      <c r="AB103" s="75" t="s">
        <v>149</v>
      </c>
      <c r="AC103" s="79" t="s">
        <v>149</v>
      </c>
      <c r="AD103" s="75" t="s">
        <v>149</v>
      </c>
      <c r="AE103" s="76" t="s">
        <v>149</v>
      </c>
      <c r="AF103" s="80" t="s">
        <v>149</v>
      </c>
      <c r="AG103" s="74" t="s">
        <v>149</v>
      </c>
      <c r="AH103" s="75" t="s">
        <v>149</v>
      </c>
      <c r="AI103" s="79" t="s">
        <v>149</v>
      </c>
      <c r="AJ103" s="86" t="s">
        <v>149</v>
      </c>
      <c r="AK103" s="75" t="s">
        <v>149</v>
      </c>
      <c r="AL103" s="74" t="s">
        <v>149</v>
      </c>
      <c r="AM103" s="74" t="s">
        <v>149</v>
      </c>
      <c r="AN103" s="28" t="s">
        <v>165</v>
      </c>
      <c r="AO103" s="28" t="s">
        <v>731</v>
      </c>
      <c r="AP103" s="82" t="s">
        <v>823</v>
      </c>
      <c r="AQ103" s="34" t="s">
        <v>824</v>
      </c>
      <c r="AR103" s="74" t="s">
        <v>149</v>
      </c>
      <c r="AS103" s="74" t="s">
        <v>149</v>
      </c>
      <c r="AT103" s="74"/>
    </row>
    <row r="104">
      <c r="A104" s="36" t="s">
        <v>849</v>
      </c>
      <c r="B104" s="26" t="str">
        <f t="shared" si="1"/>
        <v>2023-PH060412000-2012-0231</v>
      </c>
      <c r="C104" s="27">
        <f t="shared" ref="C104:C171" si="3">IF(OR(D104="Published", D104="Unpublished"), 2023, IF(D104="New", 2025, ""))
</f>
        <v>2023</v>
      </c>
      <c r="D104" s="37" t="s">
        <v>140</v>
      </c>
      <c r="E104" s="28" t="s">
        <v>141</v>
      </c>
      <c r="F104" s="28" t="s">
        <v>192</v>
      </c>
      <c r="G104" s="29" t="s">
        <v>314</v>
      </c>
      <c r="H104" s="29" t="s">
        <v>315</v>
      </c>
      <c r="I104" s="29" t="s">
        <v>316</v>
      </c>
      <c r="J104" s="30" t="s">
        <v>317</v>
      </c>
      <c r="K104" s="26" t="s">
        <v>850</v>
      </c>
      <c r="L104" s="47" t="s">
        <v>149</v>
      </c>
      <c r="M104" s="31">
        <v>2012.0</v>
      </c>
      <c r="N104" s="31" t="s">
        <v>149</v>
      </c>
      <c r="O104" s="31" t="s">
        <v>149</v>
      </c>
      <c r="P104" s="28" t="s">
        <v>150</v>
      </c>
      <c r="Q104" s="32" t="s">
        <v>151</v>
      </c>
      <c r="R104" s="87" t="s">
        <v>336</v>
      </c>
      <c r="S104" s="32" t="s">
        <v>851</v>
      </c>
      <c r="T104" s="28" t="s">
        <v>154</v>
      </c>
      <c r="U104" s="28" t="s">
        <v>154</v>
      </c>
      <c r="V104" s="26" t="s">
        <v>851</v>
      </c>
      <c r="W104" s="32" t="s">
        <v>149</v>
      </c>
      <c r="X104" s="32" t="s">
        <v>254</v>
      </c>
      <c r="Y104" s="26" t="s">
        <v>149</v>
      </c>
      <c r="Z104" s="26" t="s">
        <v>852</v>
      </c>
      <c r="AA104" s="26" t="s">
        <v>159</v>
      </c>
      <c r="AB104" s="26" t="s">
        <v>160</v>
      </c>
      <c r="AC104" s="26" t="s">
        <v>306</v>
      </c>
      <c r="AD104" s="28" t="s">
        <v>306</v>
      </c>
      <c r="AE104" s="29" t="s">
        <v>149</v>
      </c>
      <c r="AF104" s="26" t="s">
        <v>149</v>
      </c>
      <c r="AG104" s="88" t="s">
        <v>853</v>
      </c>
      <c r="AH104" s="26" t="s">
        <v>326</v>
      </c>
      <c r="AI104" s="26" t="s">
        <v>271</v>
      </c>
      <c r="AJ104" s="28" t="s">
        <v>271</v>
      </c>
      <c r="AK104" s="11" t="s">
        <v>149</v>
      </c>
      <c r="AL104" s="26" t="s">
        <v>854</v>
      </c>
      <c r="AM104" s="11" t="s">
        <v>149</v>
      </c>
      <c r="AN104" s="28" t="s">
        <v>165</v>
      </c>
      <c r="AO104" s="26" t="s">
        <v>166</v>
      </c>
      <c r="AP104" s="26" t="s">
        <v>855</v>
      </c>
      <c r="AQ104" s="26" t="s">
        <v>856</v>
      </c>
      <c r="AR104" s="11" t="s">
        <v>149</v>
      </c>
      <c r="AS104" s="11" t="s">
        <v>149</v>
      </c>
      <c r="AT104" s="29"/>
    </row>
    <row r="105">
      <c r="A105" s="36" t="s">
        <v>857</v>
      </c>
      <c r="B105" s="26" t="str">
        <f t="shared" si="1"/>
        <v>2023-PH060606000-1994-0243</v>
      </c>
      <c r="C105" s="27">
        <f t="shared" si="3"/>
        <v>2023</v>
      </c>
      <c r="D105" s="37" t="s">
        <v>140</v>
      </c>
      <c r="E105" s="28" t="s">
        <v>141</v>
      </c>
      <c r="F105" s="28" t="s">
        <v>142</v>
      </c>
      <c r="G105" s="29" t="s">
        <v>314</v>
      </c>
      <c r="H105" s="29" t="s">
        <v>858</v>
      </c>
      <c r="I105" s="29" t="s">
        <v>859</v>
      </c>
      <c r="J105" s="30" t="s">
        <v>860</v>
      </c>
      <c r="K105" s="26" t="s">
        <v>861</v>
      </c>
      <c r="L105" s="89" t="s">
        <v>862</v>
      </c>
      <c r="M105" s="49">
        <v>1994.0</v>
      </c>
      <c r="N105" s="49">
        <v>1991.0</v>
      </c>
      <c r="O105" s="31" t="s">
        <v>149</v>
      </c>
      <c r="P105" s="28" t="s">
        <v>150</v>
      </c>
      <c r="Q105" s="32" t="s">
        <v>151</v>
      </c>
      <c r="R105" s="28" t="s">
        <v>152</v>
      </c>
      <c r="S105" s="32" t="s">
        <v>351</v>
      </c>
      <c r="T105" s="28" t="s">
        <v>154</v>
      </c>
      <c r="U105" s="28" t="s">
        <v>154</v>
      </c>
      <c r="V105" s="28" t="s">
        <v>863</v>
      </c>
      <c r="W105" s="28" t="s">
        <v>864</v>
      </c>
      <c r="X105" s="32" t="s">
        <v>865</v>
      </c>
      <c r="Y105" s="26" t="s">
        <v>866</v>
      </c>
      <c r="Z105" s="26" t="s">
        <v>149</v>
      </c>
      <c r="AA105" s="26" t="s">
        <v>149</v>
      </c>
      <c r="AB105" s="26" t="s">
        <v>149</v>
      </c>
      <c r="AC105" s="26" t="s">
        <v>149</v>
      </c>
      <c r="AD105" s="28" t="s">
        <v>149</v>
      </c>
      <c r="AE105" s="29" t="s">
        <v>149</v>
      </c>
      <c r="AF105" s="26" t="s">
        <v>149</v>
      </c>
      <c r="AG105" s="26" t="s">
        <v>867</v>
      </c>
      <c r="AH105" s="26" t="s">
        <v>868</v>
      </c>
      <c r="AI105" s="26" t="s">
        <v>869</v>
      </c>
      <c r="AJ105" s="28" t="s">
        <v>869</v>
      </c>
      <c r="AK105" s="11" t="s">
        <v>149</v>
      </c>
      <c r="AL105" s="11" t="s">
        <v>149</v>
      </c>
      <c r="AM105" s="11" t="s">
        <v>870</v>
      </c>
      <c r="AN105" s="28" t="s">
        <v>241</v>
      </c>
      <c r="AO105" s="26" t="s">
        <v>395</v>
      </c>
      <c r="AP105" s="28" t="s">
        <v>396</v>
      </c>
      <c r="AQ105" s="38" t="s">
        <v>541</v>
      </c>
      <c r="AR105" s="26" t="s">
        <v>398</v>
      </c>
      <c r="AS105" s="11" t="s">
        <v>149</v>
      </c>
      <c r="AT105" s="28"/>
    </row>
    <row r="106">
      <c r="A106" s="36" t="s">
        <v>871</v>
      </c>
      <c r="B106" s="26" t="str">
        <f t="shared" si="1"/>
        <v>2023-PH072226000-2010-0287</v>
      </c>
      <c r="C106" s="27">
        <f t="shared" si="3"/>
        <v>2023</v>
      </c>
      <c r="D106" s="37" t="s">
        <v>140</v>
      </c>
      <c r="E106" s="28" t="s">
        <v>141</v>
      </c>
      <c r="F106" s="28" t="s">
        <v>192</v>
      </c>
      <c r="G106" s="29" t="s">
        <v>193</v>
      </c>
      <c r="H106" s="29" t="s">
        <v>194</v>
      </c>
      <c r="I106" s="40" t="s">
        <v>216</v>
      </c>
      <c r="J106" s="30" t="s">
        <v>217</v>
      </c>
      <c r="K106" s="26" t="s">
        <v>872</v>
      </c>
      <c r="L106" s="28" t="s">
        <v>873</v>
      </c>
      <c r="M106" s="31">
        <v>2010.0</v>
      </c>
      <c r="N106" s="31" t="s">
        <v>149</v>
      </c>
      <c r="O106" s="31" t="s">
        <v>149</v>
      </c>
      <c r="P106" s="28" t="s">
        <v>177</v>
      </c>
      <c r="Q106" s="32" t="s">
        <v>319</v>
      </c>
      <c r="R106" s="28" t="s">
        <v>154</v>
      </c>
      <c r="S106" s="32" t="s">
        <v>154</v>
      </c>
      <c r="T106" s="28" t="s">
        <v>300</v>
      </c>
      <c r="U106" s="28" t="s">
        <v>320</v>
      </c>
      <c r="V106" s="26" t="s">
        <v>320</v>
      </c>
      <c r="W106" s="32" t="s">
        <v>149</v>
      </c>
      <c r="X106" s="32" t="s">
        <v>254</v>
      </c>
      <c r="Y106" s="26" t="s">
        <v>149</v>
      </c>
      <c r="Z106" s="26" t="s">
        <v>872</v>
      </c>
      <c r="AA106" s="26" t="s">
        <v>159</v>
      </c>
      <c r="AB106" s="26" t="s">
        <v>160</v>
      </c>
      <c r="AC106" s="26" t="s">
        <v>306</v>
      </c>
      <c r="AD106" s="28" t="s">
        <v>306</v>
      </c>
      <c r="AE106" s="29" t="s">
        <v>149</v>
      </c>
      <c r="AF106" s="26" t="s">
        <v>149</v>
      </c>
      <c r="AG106" s="26" t="s">
        <v>149</v>
      </c>
      <c r="AH106" s="26" t="s">
        <v>872</v>
      </c>
      <c r="AI106" s="26" t="s">
        <v>306</v>
      </c>
      <c r="AJ106" s="28" t="s">
        <v>306</v>
      </c>
      <c r="AK106" s="29" t="s">
        <v>149</v>
      </c>
      <c r="AL106" s="29" t="s">
        <v>149</v>
      </c>
      <c r="AM106" s="29" t="s">
        <v>149</v>
      </c>
      <c r="AN106" s="28" t="s">
        <v>165</v>
      </c>
      <c r="AO106" s="28" t="s">
        <v>289</v>
      </c>
      <c r="AP106" s="26" t="s">
        <v>874</v>
      </c>
      <c r="AQ106" s="38" t="s">
        <v>875</v>
      </c>
      <c r="AR106" s="29" t="s">
        <v>149</v>
      </c>
      <c r="AS106" s="29" t="s">
        <v>149</v>
      </c>
      <c r="AT106" s="11"/>
    </row>
    <row r="107">
      <c r="A107" s="36" t="s">
        <v>876</v>
      </c>
      <c r="B107" s="26" t="str">
        <f t="shared" si="1"/>
        <v>2023-PH072226000-1997-0283</v>
      </c>
      <c r="C107" s="27">
        <f t="shared" si="3"/>
        <v>2023</v>
      </c>
      <c r="D107" s="28" t="s">
        <v>140</v>
      </c>
      <c r="E107" s="28" t="s">
        <v>141</v>
      </c>
      <c r="F107" s="28" t="s">
        <v>142</v>
      </c>
      <c r="G107" s="29" t="s">
        <v>193</v>
      </c>
      <c r="H107" s="29" t="s">
        <v>194</v>
      </c>
      <c r="I107" s="40" t="s">
        <v>216</v>
      </c>
      <c r="J107" s="30" t="s">
        <v>217</v>
      </c>
      <c r="K107" s="26" t="s">
        <v>877</v>
      </c>
      <c r="L107" s="26" t="s">
        <v>878</v>
      </c>
      <c r="M107" s="31">
        <v>1997.0</v>
      </c>
      <c r="N107" s="31">
        <v>1997.0</v>
      </c>
      <c r="O107" s="31">
        <v>2000.0</v>
      </c>
      <c r="P107" s="28" t="s">
        <v>177</v>
      </c>
      <c r="Q107" s="32" t="s">
        <v>319</v>
      </c>
      <c r="R107" s="28" t="s">
        <v>154</v>
      </c>
      <c r="S107" s="32" t="s">
        <v>154</v>
      </c>
      <c r="T107" s="28" t="s">
        <v>300</v>
      </c>
      <c r="U107" s="28" t="s">
        <v>879</v>
      </c>
      <c r="V107" s="28" t="s">
        <v>880</v>
      </c>
      <c r="W107" s="32" t="s">
        <v>750</v>
      </c>
      <c r="X107" s="32" t="s">
        <v>751</v>
      </c>
      <c r="Y107" s="26" t="s">
        <v>881</v>
      </c>
      <c r="Z107" s="28" t="s">
        <v>882</v>
      </c>
      <c r="AA107" s="26" t="s">
        <v>159</v>
      </c>
      <c r="AB107" s="28" t="s">
        <v>205</v>
      </c>
      <c r="AC107" s="26" t="s">
        <v>206</v>
      </c>
      <c r="AD107" s="28" t="s">
        <v>207</v>
      </c>
      <c r="AE107" s="29" t="s">
        <v>149</v>
      </c>
      <c r="AF107" s="28" t="s">
        <v>883</v>
      </c>
      <c r="AG107" s="88" t="s">
        <v>884</v>
      </c>
      <c r="AH107" s="26" t="s">
        <v>885</v>
      </c>
      <c r="AI107" s="32" t="s">
        <v>209</v>
      </c>
      <c r="AJ107" s="28" t="s">
        <v>886</v>
      </c>
      <c r="AK107" s="26" t="s">
        <v>887</v>
      </c>
      <c r="AL107" s="29" t="s">
        <v>149</v>
      </c>
      <c r="AM107" s="26" t="s">
        <v>888</v>
      </c>
      <c r="AN107" s="28" t="s">
        <v>241</v>
      </c>
      <c r="AO107" s="28" t="s">
        <v>889</v>
      </c>
      <c r="AP107" s="3" t="s">
        <v>890</v>
      </c>
      <c r="AQ107" s="39" t="s">
        <v>891</v>
      </c>
      <c r="AR107" s="29" t="s">
        <v>149</v>
      </c>
      <c r="AS107" s="29" t="s">
        <v>149</v>
      </c>
      <c r="AT107" s="28"/>
    </row>
    <row r="108">
      <c r="A108" s="36" t="s">
        <v>892</v>
      </c>
      <c r="B108" s="26" t="str">
        <f t="shared" si="1"/>
        <v>2025-PH050516000-2013-0190</v>
      </c>
      <c r="C108" s="27">
        <f t="shared" si="3"/>
        <v>2025</v>
      </c>
      <c r="D108" s="28" t="s">
        <v>191</v>
      </c>
      <c r="E108" s="28" t="s">
        <v>191</v>
      </c>
      <c r="F108" s="28" t="s">
        <v>192</v>
      </c>
      <c r="G108" s="29" t="s">
        <v>535</v>
      </c>
      <c r="H108" s="29" t="s">
        <v>893</v>
      </c>
      <c r="I108" s="29" t="s">
        <v>894</v>
      </c>
      <c r="J108" s="29" t="s">
        <v>895</v>
      </c>
      <c r="K108" s="26" t="s">
        <v>896</v>
      </c>
      <c r="L108" s="70" t="s">
        <v>897</v>
      </c>
      <c r="M108" s="31">
        <v>2013.0</v>
      </c>
      <c r="N108" s="31" t="s">
        <v>149</v>
      </c>
      <c r="O108" s="31" t="s">
        <v>149</v>
      </c>
      <c r="P108" s="28" t="s">
        <v>150</v>
      </c>
      <c r="Q108" s="32" t="s">
        <v>898</v>
      </c>
      <c r="R108" s="28" t="s">
        <v>152</v>
      </c>
      <c r="S108" s="32" t="s">
        <v>351</v>
      </c>
      <c r="T108" s="28" t="s">
        <v>154</v>
      </c>
      <c r="U108" s="28" t="s">
        <v>154</v>
      </c>
      <c r="V108" s="26" t="s">
        <v>899</v>
      </c>
      <c r="W108" s="32" t="s">
        <v>750</v>
      </c>
      <c r="X108" s="32" t="s">
        <v>751</v>
      </c>
      <c r="Y108" s="28" t="s">
        <v>900</v>
      </c>
      <c r="Z108" s="26" t="s">
        <v>901</v>
      </c>
      <c r="AA108" s="26" t="s">
        <v>159</v>
      </c>
      <c r="AB108" s="26" t="s">
        <v>160</v>
      </c>
      <c r="AC108" s="26" t="s">
        <v>271</v>
      </c>
      <c r="AD108" s="28" t="s">
        <v>271</v>
      </c>
      <c r="AE108" s="29" t="s">
        <v>149</v>
      </c>
      <c r="AF108" s="48" t="s">
        <v>902</v>
      </c>
      <c r="AG108" s="26" t="s">
        <v>149</v>
      </c>
      <c r="AH108" s="26" t="s">
        <v>901</v>
      </c>
      <c r="AI108" s="26" t="s">
        <v>271</v>
      </c>
      <c r="AJ108" s="28" t="s">
        <v>271</v>
      </c>
      <c r="AK108" s="28" t="s">
        <v>903</v>
      </c>
      <c r="AL108" s="26" t="s">
        <v>904</v>
      </c>
      <c r="AM108" s="28" t="s">
        <v>149</v>
      </c>
      <c r="AN108" s="28" t="s">
        <v>165</v>
      </c>
      <c r="AO108" s="26" t="s">
        <v>166</v>
      </c>
      <c r="AP108" s="28" t="s">
        <v>905</v>
      </c>
      <c r="AQ108" s="38" t="s">
        <v>906</v>
      </c>
      <c r="AR108" s="28" t="s">
        <v>149</v>
      </c>
      <c r="AS108" s="28" t="s">
        <v>149</v>
      </c>
      <c r="AT108" s="26"/>
    </row>
    <row r="109">
      <c r="A109" s="36" t="s">
        <v>907</v>
      </c>
      <c r="B109" s="26" t="str">
        <f t="shared" si="1"/>
        <v>2023-PH166724000-2021-0403</v>
      </c>
      <c r="C109" s="27">
        <f t="shared" si="3"/>
        <v>2023</v>
      </c>
      <c r="D109" s="37" t="s">
        <v>140</v>
      </c>
      <c r="E109" s="28" t="s">
        <v>141</v>
      </c>
      <c r="F109" s="28" t="s">
        <v>192</v>
      </c>
      <c r="G109" s="29" t="s">
        <v>345</v>
      </c>
      <c r="H109" s="29" t="s">
        <v>346</v>
      </c>
      <c r="I109" s="40" t="s">
        <v>347</v>
      </c>
      <c r="J109" s="29" t="s">
        <v>348</v>
      </c>
      <c r="K109" s="26" t="s">
        <v>908</v>
      </c>
      <c r="L109" s="70" t="s">
        <v>909</v>
      </c>
      <c r="M109" s="31">
        <v>2021.0</v>
      </c>
      <c r="N109" s="41" t="s">
        <v>149</v>
      </c>
      <c r="O109" s="41" t="s">
        <v>149</v>
      </c>
      <c r="P109" s="28" t="s">
        <v>150</v>
      </c>
      <c r="Q109" s="32" t="s">
        <v>910</v>
      </c>
      <c r="R109" s="28" t="s">
        <v>152</v>
      </c>
      <c r="S109" s="32" t="s">
        <v>911</v>
      </c>
      <c r="T109" s="28" t="s">
        <v>154</v>
      </c>
      <c r="U109" s="28" t="s">
        <v>154</v>
      </c>
      <c r="V109" s="26" t="s">
        <v>912</v>
      </c>
      <c r="W109" s="32" t="s">
        <v>913</v>
      </c>
      <c r="X109" s="32" t="s">
        <v>914</v>
      </c>
      <c r="Y109" s="26" t="s">
        <v>915</v>
      </c>
      <c r="Z109" s="26" t="s">
        <v>916</v>
      </c>
      <c r="AA109" s="26" t="s">
        <v>159</v>
      </c>
      <c r="AB109" s="26" t="s">
        <v>160</v>
      </c>
      <c r="AC109" s="26" t="s">
        <v>271</v>
      </c>
      <c r="AD109" s="28" t="s">
        <v>271</v>
      </c>
      <c r="AE109" s="29" t="s">
        <v>149</v>
      </c>
      <c r="AF109" s="26" t="s">
        <v>149</v>
      </c>
      <c r="AG109" s="26" t="s">
        <v>917</v>
      </c>
      <c r="AH109" s="26" t="s">
        <v>916</v>
      </c>
      <c r="AI109" s="26" t="s">
        <v>271</v>
      </c>
      <c r="AJ109" s="28" t="s">
        <v>271</v>
      </c>
      <c r="AK109" s="26" t="s">
        <v>918</v>
      </c>
      <c r="AL109" s="11" t="s">
        <v>149</v>
      </c>
      <c r="AM109" s="11" t="s">
        <v>149</v>
      </c>
      <c r="AN109" s="28" t="s">
        <v>165</v>
      </c>
      <c r="AO109" s="26" t="s">
        <v>166</v>
      </c>
      <c r="AP109" s="26" t="s">
        <v>919</v>
      </c>
      <c r="AQ109" s="34" t="s">
        <v>920</v>
      </c>
      <c r="AR109" s="11" t="s">
        <v>149</v>
      </c>
      <c r="AS109" s="11" t="s">
        <v>149</v>
      </c>
      <c r="AT109" s="28"/>
    </row>
    <row r="110">
      <c r="A110" s="36" t="s">
        <v>921</v>
      </c>
      <c r="B110" s="26" t="str">
        <f t="shared" si="1"/>
        <v>2025-PH175301000-2023-0175</v>
      </c>
      <c r="C110" s="27">
        <f t="shared" si="3"/>
        <v>2025</v>
      </c>
      <c r="D110" s="28" t="s">
        <v>191</v>
      </c>
      <c r="E110" s="28" t="s">
        <v>191</v>
      </c>
      <c r="F110" s="28" t="s">
        <v>192</v>
      </c>
      <c r="G110" s="29" t="s">
        <v>522</v>
      </c>
      <c r="H110" s="29" t="s">
        <v>523</v>
      </c>
      <c r="I110" s="29" t="s">
        <v>922</v>
      </c>
      <c r="J110" s="30" t="s">
        <v>923</v>
      </c>
      <c r="K110" s="26" t="s">
        <v>924</v>
      </c>
      <c r="L110" s="26" t="s">
        <v>925</v>
      </c>
      <c r="M110" s="31">
        <v>2023.0</v>
      </c>
      <c r="N110" s="31">
        <v>2023.0</v>
      </c>
      <c r="O110" s="31" t="s">
        <v>149</v>
      </c>
      <c r="P110" s="28" t="s">
        <v>263</v>
      </c>
      <c r="Q110" s="32" t="s">
        <v>926</v>
      </c>
      <c r="R110" s="28" t="s">
        <v>152</v>
      </c>
      <c r="S110" s="32" t="s">
        <v>361</v>
      </c>
      <c r="T110" s="28" t="s">
        <v>300</v>
      </c>
      <c r="U110" s="28" t="s">
        <v>320</v>
      </c>
      <c r="V110" s="26" t="s">
        <v>927</v>
      </c>
      <c r="W110" s="32" t="s">
        <v>149</v>
      </c>
      <c r="X110" s="32" t="s">
        <v>254</v>
      </c>
      <c r="Y110" s="26" t="s">
        <v>149</v>
      </c>
      <c r="Z110" s="26" t="s">
        <v>928</v>
      </c>
      <c r="AA110" s="26" t="s">
        <v>159</v>
      </c>
      <c r="AB110" s="26" t="s">
        <v>160</v>
      </c>
      <c r="AC110" s="26" t="s">
        <v>184</v>
      </c>
      <c r="AD110" s="28" t="s">
        <v>184</v>
      </c>
      <c r="AE110" s="29" t="s">
        <v>149</v>
      </c>
      <c r="AF110" s="26" t="s">
        <v>149</v>
      </c>
      <c r="AG110" s="26" t="s">
        <v>149</v>
      </c>
      <c r="AH110" s="26" t="s">
        <v>928</v>
      </c>
      <c r="AI110" s="32" t="s">
        <v>929</v>
      </c>
      <c r="AJ110" s="28" t="s">
        <v>929</v>
      </c>
      <c r="AK110" s="26" t="s">
        <v>369</v>
      </c>
      <c r="AL110" s="26" t="s">
        <v>930</v>
      </c>
      <c r="AM110" s="28" t="s">
        <v>149</v>
      </c>
      <c r="AN110" s="28" t="s">
        <v>165</v>
      </c>
      <c r="AO110" s="28" t="s">
        <v>689</v>
      </c>
      <c r="AP110" s="28" t="s">
        <v>931</v>
      </c>
      <c r="AQ110" s="38" t="s">
        <v>932</v>
      </c>
      <c r="AR110" s="28" t="s">
        <v>149</v>
      </c>
      <c r="AS110" s="28" t="s">
        <v>149</v>
      </c>
      <c r="AT110" s="26"/>
    </row>
    <row r="111">
      <c r="A111" s="25" t="s">
        <v>933</v>
      </c>
      <c r="B111" s="26" t="str">
        <f t="shared" si="1"/>
        <v>2023-PH015503000-2001-0043</v>
      </c>
      <c r="C111" s="27">
        <f t="shared" si="3"/>
        <v>2023</v>
      </c>
      <c r="D111" s="28" t="s">
        <v>140</v>
      </c>
      <c r="E111" s="28" t="s">
        <v>141</v>
      </c>
      <c r="F111" s="28" t="s">
        <v>142</v>
      </c>
      <c r="G111" s="29" t="s">
        <v>143</v>
      </c>
      <c r="H111" s="29" t="s">
        <v>144</v>
      </c>
      <c r="I111" s="40" t="s">
        <v>221</v>
      </c>
      <c r="J111" s="30" t="s">
        <v>222</v>
      </c>
      <c r="K111" s="26" t="s">
        <v>934</v>
      </c>
      <c r="L111" s="43" t="s">
        <v>149</v>
      </c>
      <c r="M111" s="31">
        <v>2001.0</v>
      </c>
      <c r="N111" s="31">
        <v>2001.0</v>
      </c>
      <c r="O111" s="31">
        <v>2005.0</v>
      </c>
      <c r="P111" s="28" t="s">
        <v>263</v>
      </c>
      <c r="Q111" s="28" t="s">
        <v>935</v>
      </c>
      <c r="R111" s="28" t="s">
        <v>604</v>
      </c>
      <c r="S111" s="32" t="s">
        <v>936</v>
      </c>
      <c r="T111" s="28" t="s">
        <v>154</v>
      </c>
      <c r="U111" s="28" t="s">
        <v>154</v>
      </c>
      <c r="V111" s="28" t="s">
        <v>937</v>
      </c>
      <c r="W111" s="32" t="s">
        <v>938</v>
      </c>
      <c r="X111" s="32" t="s">
        <v>865</v>
      </c>
      <c r="Y111" s="26" t="s">
        <v>939</v>
      </c>
      <c r="Z111" s="26" t="s">
        <v>940</v>
      </c>
      <c r="AA111" s="32" t="s">
        <v>204</v>
      </c>
      <c r="AB111" s="28" t="s">
        <v>205</v>
      </c>
      <c r="AC111" s="26" t="s">
        <v>206</v>
      </c>
      <c r="AD111" s="28" t="s">
        <v>207</v>
      </c>
      <c r="AE111" s="29" t="s">
        <v>149</v>
      </c>
      <c r="AF111" s="26" t="s">
        <v>149</v>
      </c>
      <c r="AG111" s="26" t="s">
        <v>149</v>
      </c>
      <c r="AH111" s="26" t="s">
        <v>233</v>
      </c>
      <c r="AI111" s="32" t="s">
        <v>209</v>
      </c>
      <c r="AJ111" s="28" t="s">
        <v>227</v>
      </c>
      <c r="AK111" s="11" t="s">
        <v>149</v>
      </c>
      <c r="AL111" s="11" t="s">
        <v>149</v>
      </c>
      <c r="AM111" s="11" t="s">
        <v>149</v>
      </c>
      <c r="AN111" s="28" t="s">
        <v>241</v>
      </c>
      <c r="AO111" s="28" t="s">
        <v>242</v>
      </c>
      <c r="AP111" s="26" t="s">
        <v>941</v>
      </c>
      <c r="AQ111" s="38" t="s">
        <v>942</v>
      </c>
      <c r="AR111" s="26" t="s">
        <v>943</v>
      </c>
      <c r="AS111" s="11" t="s">
        <v>149</v>
      </c>
      <c r="AT111" s="11"/>
    </row>
    <row r="112">
      <c r="A112" s="36" t="s">
        <v>944</v>
      </c>
      <c r="B112" s="26" t="str">
        <f t="shared" si="1"/>
        <v>2023-PH015505000-2001-0049</v>
      </c>
      <c r="C112" s="27">
        <f t="shared" si="3"/>
        <v>2023</v>
      </c>
      <c r="D112" s="28" t="s">
        <v>140</v>
      </c>
      <c r="E112" s="28" t="s">
        <v>141</v>
      </c>
      <c r="F112" s="28" t="s">
        <v>142</v>
      </c>
      <c r="G112" s="29" t="s">
        <v>143</v>
      </c>
      <c r="H112" s="29" t="s">
        <v>144</v>
      </c>
      <c r="I112" s="29" t="s">
        <v>230</v>
      </c>
      <c r="J112" s="29" t="s">
        <v>231</v>
      </c>
      <c r="K112" s="28" t="s">
        <v>934</v>
      </c>
      <c r="L112" s="28" t="s">
        <v>945</v>
      </c>
      <c r="M112" s="31">
        <v>2001.0</v>
      </c>
      <c r="N112" s="31">
        <v>2001.0</v>
      </c>
      <c r="O112" s="31">
        <v>2005.0</v>
      </c>
      <c r="P112" s="28" t="s">
        <v>263</v>
      </c>
      <c r="Q112" s="32" t="s">
        <v>946</v>
      </c>
      <c r="R112" s="28" t="s">
        <v>604</v>
      </c>
      <c r="S112" s="32" t="s">
        <v>936</v>
      </c>
      <c r="T112" s="28" t="s">
        <v>154</v>
      </c>
      <c r="U112" s="28" t="s">
        <v>154</v>
      </c>
      <c r="V112" s="28" t="s">
        <v>947</v>
      </c>
      <c r="W112" s="32" t="s">
        <v>938</v>
      </c>
      <c r="X112" s="32" t="s">
        <v>865</v>
      </c>
      <c r="Y112" s="26" t="s">
        <v>939</v>
      </c>
      <c r="Z112" s="26" t="s">
        <v>940</v>
      </c>
      <c r="AA112" s="32" t="s">
        <v>204</v>
      </c>
      <c r="AB112" s="28" t="s">
        <v>205</v>
      </c>
      <c r="AC112" s="26" t="s">
        <v>206</v>
      </c>
      <c r="AD112" s="28" t="s">
        <v>207</v>
      </c>
      <c r="AE112" s="29" t="s">
        <v>149</v>
      </c>
      <c r="AF112" s="26" t="s">
        <v>149</v>
      </c>
      <c r="AG112" s="26" t="s">
        <v>149</v>
      </c>
      <c r="AH112" s="26" t="s">
        <v>233</v>
      </c>
      <c r="AI112" s="32" t="s">
        <v>209</v>
      </c>
      <c r="AJ112" s="28" t="s">
        <v>227</v>
      </c>
      <c r="AK112" s="11" t="s">
        <v>149</v>
      </c>
      <c r="AL112" s="11" t="s">
        <v>149</v>
      </c>
      <c r="AM112" s="11" t="s">
        <v>149</v>
      </c>
      <c r="AN112" s="28" t="s">
        <v>241</v>
      </c>
      <c r="AO112" s="28" t="s">
        <v>242</v>
      </c>
      <c r="AP112" s="26" t="s">
        <v>941</v>
      </c>
      <c r="AQ112" s="38" t="s">
        <v>948</v>
      </c>
      <c r="AR112" s="26" t="s">
        <v>943</v>
      </c>
      <c r="AS112" s="11" t="s">
        <v>149</v>
      </c>
      <c r="AT112" s="26"/>
    </row>
    <row r="113">
      <c r="A113" s="36" t="s">
        <v>949</v>
      </c>
      <c r="B113" s="26" t="str">
        <f t="shared" si="1"/>
        <v>2023-PH037106000-2001-0103</v>
      </c>
      <c r="C113" s="27">
        <f t="shared" si="3"/>
        <v>2023</v>
      </c>
      <c r="D113" s="28" t="s">
        <v>140</v>
      </c>
      <c r="E113" s="28" t="s">
        <v>141</v>
      </c>
      <c r="F113" s="28" t="s">
        <v>142</v>
      </c>
      <c r="G113" s="29" t="s">
        <v>293</v>
      </c>
      <c r="H113" s="29" t="s">
        <v>294</v>
      </c>
      <c r="I113" s="29" t="s">
        <v>950</v>
      </c>
      <c r="J113" s="29" t="s">
        <v>951</v>
      </c>
      <c r="K113" s="26" t="s">
        <v>934</v>
      </c>
      <c r="L113" s="47" t="s">
        <v>149</v>
      </c>
      <c r="M113" s="31">
        <v>2001.0</v>
      </c>
      <c r="N113" s="31">
        <v>2001.0</v>
      </c>
      <c r="O113" s="31">
        <v>2005.0</v>
      </c>
      <c r="P113" s="28" t="s">
        <v>263</v>
      </c>
      <c r="Q113" s="32" t="s">
        <v>946</v>
      </c>
      <c r="R113" s="28" t="s">
        <v>604</v>
      </c>
      <c r="S113" s="32" t="s">
        <v>936</v>
      </c>
      <c r="T113" s="28" t="s">
        <v>154</v>
      </c>
      <c r="U113" s="28" t="s">
        <v>154</v>
      </c>
      <c r="V113" s="28" t="s">
        <v>947</v>
      </c>
      <c r="W113" s="32" t="s">
        <v>938</v>
      </c>
      <c r="X113" s="32" t="s">
        <v>865</v>
      </c>
      <c r="Y113" s="26" t="s">
        <v>939</v>
      </c>
      <c r="Z113" s="26" t="s">
        <v>940</v>
      </c>
      <c r="AA113" s="32" t="s">
        <v>204</v>
      </c>
      <c r="AB113" s="28" t="s">
        <v>205</v>
      </c>
      <c r="AC113" s="26" t="s">
        <v>206</v>
      </c>
      <c r="AD113" s="28" t="s">
        <v>207</v>
      </c>
      <c r="AE113" s="29" t="s">
        <v>149</v>
      </c>
      <c r="AF113" s="26" t="s">
        <v>149</v>
      </c>
      <c r="AG113" s="26" t="s">
        <v>149</v>
      </c>
      <c r="AH113" s="26" t="s">
        <v>233</v>
      </c>
      <c r="AI113" s="32" t="s">
        <v>209</v>
      </c>
      <c r="AJ113" s="28" t="s">
        <v>227</v>
      </c>
      <c r="AK113" s="26" t="s">
        <v>149</v>
      </c>
      <c r="AL113" s="26" t="s">
        <v>149</v>
      </c>
      <c r="AM113" s="26" t="s">
        <v>149</v>
      </c>
      <c r="AN113" s="28" t="s">
        <v>241</v>
      </c>
      <c r="AO113" s="28" t="s">
        <v>242</v>
      </c>
      <c r="AP113" s="26" t="s">
        <v>941</v>
      </c>
      <c r="AQ113" s="26" t="s">
        <v>942</v>
      </c>
      <c r="AR113" s="26" t="s">
        <v>943</v>
      </c>
      <c r="AS113" s="26" t="s">
        <v>149</v>
      </c>
      <c r="AT113" s="28"/>
    </row>
    <row r="114">
      <c r="A114" s="36" t="s">
        <v>952</v>
      </c>
      <c r="B114" s="26" t="str">
        <f t="shared" si="1"/>
        <v>2023-PH045602000-2001-0141</v>
      </c>
      <c r="C114" s="27">
        <f t="shared" si="3"/>
        <v>2023</v>
      </c>
      <c r="D114" s="28" t="s">
        <v>140</v>
      </c>
      <c r="E114" s="28" t="s">
        <v>141</v>
      </c>
      <c r="F114" s="28" t="s">
        <v>142</v>
      </c>
      <c r="G114" s="29" t="s">
        <v>257</v>
      </c>
      <c r="H114" s="29" t="s">
        <v>497</v>
      </c>
      <c r="I114" s="29" t="s">
        <v>953</v>
      </c>
      <c r="J114" s="29" t="s">
        <v>954</v>
      </c>
      <c r="K114" s="26" t="s">
        <v>934</v>
      </c>
      <c r="L114" s="47" t="s">
        <v>149</v>
      </c>
      <c r="M114" s="31">
        <v>2001.0</v>
      </c>
      <c r="N114" s="31">
        <v>2001.0</v>
      </c>
      <c r="O114" s="31">
        <v>2005.0</v>
      </c>
      <c r="P114" s="28" t="s">
        <v>263</v>
      </c>
      <c r="Q114" s="32" t="s">
        <v>946</v>
      </c>
      <c r="R114" s="28" t="s">
        <v>604</v>
      </c>
      <c r="S114" s="32" t="s">
        <v>936</v>
      </c>
      <c r="T114" s="28" t="s">
        <v>154</v>
      </c>
      <c r="U114" s="28" t="s">
        <v>154</v>
      </c>
      <c r="V114" s="28" t="s">
        <v>947</v>
      </c>
      <c r="W114" s="32" t="s">
        <v>938</v>
      </c>
      <c r="X114" s="32" t="s">
        <v>865</v>
      </c>
      <c r="Y114" s="26" t="s">
        <v>939</v>
      </c>
      <c r="Z114" s="26" t="s">
        <v>940</v>
      </c>
      <c r="AA114" s="32" t="s">
        <v>204</v>
      </c>
      <c r="AB114" s="28" t="s">
        <v>205</v>
      </c>
      <c r="AC114" s="26" t="s">
        <v>206</v>
      </c>
      <c r="AD114" s="28" t="s">
        <v>207</v>
      </c>
      <c r="AE114" s="29" t="s">
        <v>149</v>
      </c>
      <c r="AF114" s="26" t="s">
        <v>149</v>
      </c>
      <c r="AG114" s="26" t="s">
        <v>149</v>
      </c>
      <c r="AH114" s="26" t="s">
        <v>233</v>
      </c>
      <c r="AI114" s="32" t="s">
        <v>209</v>
      </c>
      <c r="AJ114" s="28" t="s">
        <v>227</v>
      </c>
      <c r="AK114" s="26" t="s">
        <v>149</v>
      </c>
      <c r="AL114" s="26" t="s">
        <v>149</v>
      </c>
      <c r="AM114" s="26" t="s">
        <v>149</v>
      </c>
      <c r="AN114" s="28" t="s">
        <v>241</v>
      </c>
      <c r="AO114" s="28" t="s">
        <v>242</v>
      </c>
      <c r="AP114" s="26" t="s">
        <v>941</v>
      </c>
      <c r="AQ114" s="38" t="s">
        <v>942</v>
      </c>
      <c r="AR114" s="26" t="s">
        <v>943</v>
      </c>
      <c r="AS114" s="26" t="s">
        <v>149</v>
      </c>
      <c r="AT114" s="45"/>
    </row>
    <row r="115">
      <c r="A115" s="36" t="s">
        <v>955</v>
      </c>
      <c r="B115" s="26" t="str">
        <f t="shared" si="1"/>
        <v>2023-PH045620000-2001-0154</v>
      </c>
      <c r="C115" s="27">
        <f t="shared" si="3"/>
        <v>2023</v>
      </c>
      <c r="D115" s="28" t="s">
        <v>140</v>
      </c>
      <c r="E115" s="28" t="s">
        <v>141</v>
      </c>
      <c r="F115" s="28" t="s">
        <v>142</v>
      </c>
      <c r="G115" s="29" t="s">
        <v>257</v>
      </c>
      <c r="H115" s="29" t="s">
        <v>497</v>
      </c>
      <c r="I115" s="29" t="s">
        <v>472</v>
      </c>
      <c r="J115" s="29" t="s">
        <v>956</v>
      </c>
      <c r="K115" s="26" t="s">
        <v>934</v>
      </c>
      <c r="L115" s="47" t="s">
        <v>149</v>
      </c>
      <c r="M115" s="31">
        <v>2001.0</v>
      </c>
      <c r="N115" s="31">
        <v>2001.0</v>
      </c>
      <c r="O115" s="31">
        <v>2005.0</v>
      </c>
      <c r="P115" s="28" t="s">
        <v>263</v>
      </c>
      <c r="Q115" s="32" t="s">
        <v>946</v>
      </c>
      <c r="R115" s="28" t="s">
        <v>604</v>
      </c>
      <c r="S115" s="32" t="s">
        <v>936</v>
      </c>
      <c r="T115" s="28" t="s">
        <v>154</v>
      </c>
      <c r="U115" s="28" t="s">
        <v>154</v>
      </c>
      <c r="V115" s="28" t="s">
        <v>957</v>
      </c>
      <c r="W115" s="32" t="s">
        <v>938</v>
      </c>
      <c r="X115" s="32" t="s">
        <v>865</v>
      </c>
      <c r="Y115" s="26" t="s">
        <v>939</v>
      </c>
      <c r="Z115" s="26" t="s">
        <v>940</v>
      </c>
      <c r="AA115" s="32" t="s">
        <v>204</v>
      </c>
      <c r="AB115" s="28" t="s">
        <v>205</v>
      </c>
      <c r="AC115" s="26" t="s">
        <v>206</v>
      </c>
      <c r="AD115" s="28" t="s">
        <v>207</v>
      </c>
      <c r="AE115" s="29" t="s">
        <v>149</v>
      </c>
      <c r="AF115" s="26" t="s">
        <v>149</v>
      </c>
      <c r="AG115" s="26" t="s">
        <v>149</v>
      </c>
      <c r="AH115" s="26" t="s">
        <v>233</v>
      </c>
      <c r="AI115" s="32" t="s">
        <v>209</v>
      </c>
      <c r="AJ115" s="28" t="s">
        <v>227</v>
      </c>
      <c r="AK115" s="26" t="s">
        <v>149</v>
      </c>
      <c r="AL115" s="26" t="s">
        <v>149</v>
      </c>
      <c r="AM115" s="26" t="s">
        <v>149</v>
      </c>
      <c r="AN115" s="28" t="s">
        <v>241</v>
      </c>
      <c r="AO115" s="28" t="s">
        <v>242</v>
      </c>
      <c r="AP115" s="26" t="s">
        <v>941</v>
      </c>
      <c r="AQ115" s="26" t="s">
        <v>942</v>
      </c>
      <c r="AR115" s="26" t="s">
        <v>943</v>
      </c>
      <c r="AS115" s="26" t="s">
        <v>149</v>
      </c>
      <c r="AT115" s="45"/>
    </row>
    <row r="116">
      <c r="A116" s="36" t="s">
        <v>958</v>
      </c>
      <c r="B116" s="26" t="str">
        <f t="shared" si="1"/>
        <v>2023-PH063045000-2001-0259</v>
      </c>
      <c r="C116" s="27">
        <f t="shared" si="3"/>
        <v>2023</v>
      </c>
      <c r="D116" s="28" t="s">
        <v>140</v>
      </c>
      <c r="E116" s="28" t="s">
        <v>141</v>
      </c>
      <c r="F116" s="28" t="s">
        <v>142</v>
      </c>
      <c r="G116" s="29" t="s">
        <v>314</v>
      </c>
      <c r="H116" s="29" t="s">
        <v>558</v>
      </c>
      <c r="I116" s="29" t="s">
        <v>959</v>
      </c>
      <c r="J116" s="29" t="s">
        <v>960</v>
      </c>
      <c r="K116" s="26" t="s">
        <v>934</v>
      </c>
      <c r="L116" s="47" t="s">
        <v>149</v>
      </c>
      <c r="M116" s="31">
        <v>2001.0</v>
      </c>
      <c r="N116" s="31">
        <v>2001.0</v>
      </c>
      <c r="O116" s="31">
        <v>2005.0</v>
      </c>
      <c r="P116" s="28" t="s">
        <v>263</v>
      </c>
      <c r="Q116" s="32" t="s">
        <v>946</v>
      </c>
      <c r="R116" s="28" t="s">
        <v>604</v>
      </c>
      <c r="S116" s="32" t="s">
        <v>936</v>
      </c>
      <c r="T116" s="28" t="s">
        <v>154</v>
      </c>
      <c r="U116" s="28" t="s">
        <v>154</v>
      </c>
      <c r="V116" s="28" t="s">
        <v>947</v>
      </c>
      <c r="W116" s="32" t="s">
        <v>938</v>
      </c>
      <c r="X116" s="32" t="s">
        <v>865</v>
      </c>
      <c r="Y116" s="26" t="s">
        <v>939</v>
      </c>
      <c r="Z116" s="26" t="s">
        <v>940</v>
      </c>
      <c r="AA116" s="32" t="s">
        <v>204</v>
      </c>
      <c r="AB116" s="28" t="s">
        <v>205</v>
      </c>
      <c r="AC116" s="26" t="s">
        <v>206</v>
      </c>
      <c r="AD116" s="28" t="s">
        <v>207</v>
      </c>
      <c r="AE116" s="29" t="s">
        <v>149</v>
      </c>
      <c r="AF116" s="26" t="s">
        <v>149</v>
      </c>
      <c r="AG116" s="26" t="s">
        <v>149</v>
      </c>
      <c r="AH116" s="26" t="s">
        <v>233</v>
      </c>
      <c r="AI116" s="32" t="s">
        <v>209</v>
      </c>
      <c r="AJ116" s="28" t="s">
        <v>227</v>
      </c>
      <c r="AK116" s="11" t="s">
        <v>149</v>
      </c>
      <c r="AL116" s="11" t="s">
        <v>149</v>
      </c>
      <c r="AM116" s="11" t="s">
        <v>149</v>
      </c>
      <c r="AN116" s="28" t="s">
        <v>241</v>
      </c>
      <c r="AO116" s="28" t="s">
        <v>242</v>
      </c>
      <c r="AP116" s="26" t="s">
        <v>941</v>
      </c>
      <c r="AQ116" s="26" t="s">
        <v>942</v>
      </c>
      <c r="AR116" s="26" t="s">
        <v>943</v>
      </c>
      <c r="AS116" s="11" t="s">
        <v>149</v>
      </c>
      <c r="AT116" s="39"/>
    </row>
    <row r="117">
      <c r="A117" s="36" t="s">
        <v>961</v>
      </c>
      <c r="B117" s="26" t="str">
        <f t="shared" si="1"/>
        <v>2023-PH071210000-2001-0262</v>
      </c>
      <c r="C117" s="27">
        <f t="shared" si="3"/>
        <v>2023</v>
      </c>
      <c r="D117" s="37" t="s">
        <v>140</v>
      </c>
      <c r="E117" s="28" t="s">
        <v>141</v>
      </c>
      <c r="F117" s="28" t="s">
        <v>142</v>
      </c>
      <c r="G117" s="29" t="s">
        <v>193</v>
      </c>
      <c r="H117" s="29" t="s">
        <v>563</v>
      </c>
      <c r="I117" s="29" t="s">
        <v>962</v>
      </c>
      <c r="J117" s="30" t="s">
        <v>963</v>
      </c>
      <c r="K117" s="26" t="s">
        <v>934</v>
      </c>
      <c r="L117" s="47" t="s">
        <v>149</v>
      </c>
      <c r="M117" s="31">
        <v>2001.0</v>
      </c>
      <c r="N117" s="31">
        <v>2001.0</v>
      </c>
      <c r="O117" s="31">
        <v>2005.0</v>
      </c>
      <c r="P117" s="28" t="s">
        <v>263</v>
      </c>
      <c r="Q117" s="32" t="s">
        <v>946</v>
      </c>
      <c r="R117" s="28" t="s">
        <v>604</v>
      </c>
      <c r="S117" s="32" t="s">
        <v>936</v>
      </c>
      <c r="T117" s="28" t="s">
        <v>154</v>
      </c>
      <c r="U117" s="28" t="s">
        <v>154</v>
      </c>
      <c r="V117" s="28" t="s">
        <v>947</v>
      </c>
      <c r="W117" s="32" t="s">
        <v>938</v>
      </c>
      <c r="X117" s="32" t="s">
        <v>865</v>
      </c>
      <c r="Y117" s="26" t="s">
        <v>939</v>
      </c>
      <c r="Z117" s="26" t="s">
        <v>940</v>
      </c>
      <c r="AA117" s="32" t="s">
        <v>204</v>
      </c>
      <c r="AB117" s="28" t="s">
        <v>205</v>
      </c>
      <c r="AC117" s="26" t="s">
        <v>206</v>
      </c>
      <c r="AD117" s="28" t="s">
        <v>207</v>
      </c>
      <c r="AE117" s="29" t="s">
        <v>149</v>
      </c>
      <c r="AF117" s="26" t="s">
        <v>149</v>
      </c>
      <c r="AG117" s="26" t="s">
        <v>149</v>
      </c>
      <c r="AH117" s="26" t="s">
        <v>233</v>
      </c>
      <c r="AI117" s="32" t="s">
        <v>209</v>
      </c>
      <c r="AJ117" s="28" t="s">
        <v>227</v>
      </c>
      <c r="AK117" s="29" t="s">
        <v>149</v>
      </c>
      <c r="AL117" s="29" t="s">
        <v>149</v>
      </c>
      <c r="AM117" s="29" t="s">
        <v>149</v>
      </c>
      <c r="AN117" s="28" t="s">
        <v>241</v>
      </c>
      <c r="AO117" s="28" t="s">
        <v>242</v>
      </c>
      <c r="AP117" s="26" t="s">
        <v>941</v>
      </c>
      <c r="AQ117" s="26" t="s">
        <v>942</v>
      </c>
      <c r="AR117" s="26" t="s">
        <v>943</v>
      </c>
      <c r="AS117" s="29" t="s">
        <v>149</v>
      </c>
      <c r="AT117" s="28"/>
    </row>
    <row r="118">
      <c r="A118" s="36" t="s">
        <v>964</v>
      </c>
      <c r="B118" s="26" t="str">
        <f t="shared" si="1"/>
        <v>2023-PH072202000-2001-0271</v>
      </c>
      <c r="C118" s="27">
        <f t="shared" si="3"/>
        <v>2023</v>
      </c>
      <c r="D118" s="37" t="s">
        <v>140</v>
      </c>
      <c r="E118" s="28" t="s">
        <v>141</v>
      </c>
      <c r="F118" s="28" t="s">
        <v>142</v>
      </c>
      <c r="G118" s="29" t="s">
        <v>193</v>
      </c>
      <c r="H118" s="29" t="s">
        <v>194</v>
      </c>
      <c r="I118" s="29" t="s">
        <v>965</v>
      </c>
      <c r="J118" s="29" t="s">
        <v>966</v>
      </c>
      <c r="K118" s="26" t="s">
        <v>934</v>
      </c>
      <c r="L118" s="47" t="s">
        <v>149</v>
      </c>
      <c r="M118" s="31">
        <v>2001.0</v>
      </c>
      <c r="N118" s="31">
        <v>2001.0</v>
      </c>
      <c r="O118" s="31">
        <v>2005.0</v>
      </c>
      <c r="P118" s="28" t="s">
        <v>263</v>
      </c>
      <c r="Q118" s="32" t="s">
        <v>946</v>
      </c>
      <c r="R118" s="28" t="s">
        <v>604</v>
      </c>
      <c r="S118" s="32" t="s">
        <v>936</v>
      </c>
      <c r="T118" s="28" t="s">
        <v>154</v>
      </c>
      <c r="U118" s="28" t="s">
        <v>154</v>
      </c>
      <c r="V118" s="28" t="s">
        <v>947</v>
      </c>
      <c r="W118" s="32" t="s">
        <v>938</v>
      </c>
      <c r="X118" s="32" t="s">
        <v>865</v>
      </c>
      <c r="Y118" s="26" t="s">
        <v>939</v>
      </c>
      <c r="Z118" s="26" t="s">
        <v>940</v>
      </c>
      <c r="AA118" s="32" t="s">
        <v>204</v>
      </c>
      <c r="AB118" s="28" t="s">
        <v>205</v>
      </c>
      <c r="AC118" s="26" t="s">
        <v>206</v>
      </c>
      <c r="AD118" s="28" t="s">
        <v>207</v>
      </c>
      <c r="AE118" s="29" t="s">
        <v>149</v>
      </c>
      <c r="AF118" s="26" t="s">
        <v>149</v>
      </c>
      <c r="AG118" s="26" t="s">
        <v>149</v>
      </c>
      <c r="AH118" s="26" t="s">
        <v>233</v>
      </c>
      <c r="AI118" s="32" t="s">
        <v>209</v>
      </c>
      <c r="AJ118" s="28" t="s">
        <v>227</v>
      </c>
      <c r="AK118" s="29" t="s">
        <v>149</v>
      </c>
      <c r="AL118" s="29" t="s">
        <v>149</v>
      </c>
      <c r="AM118" s="29" t="s">
        <v>149</v>
      </c>
      <c r="AN118" s="28" t="s">
        <v>241</v>
      </c>
      <c r="AO118" s="28" t="s">
        <v>242</v>
      </c>
      <c r="AP118" s="26" t="s">
        <v>941</v>
      </c>
      <c r="AQ118" s="26" t="s">
        <v>942</v>
      </c>
      <c r="AR118" s="26" t="s">
        <v>943</v>
      </c>
      <c r="AS118" s="29" t="s">
        <v>149</v>
      </c>
      <c r="AT118" s="11"/>
    </row>
    <row r="119">
      <c r="A119" s="36" t="s">
        <v>967</v>
      </c>
      <c r="B119" s="26" t="str">
        <f t="shared" si="1"/>
        <v>2023-PH072226000-2001-0289</v>
      </c>
      <c r="C119" s="27">
        <f t="shared" si="3"/>
        <v>2023</v>
      </c>
      <c r="D119" s="37" t="s">
        <v>140</v>
      </c>
      <c r="E119" s="28" t="s">
        <v>141</v>
      </c>
      <c r="F119" s="28" t="s">
        <v>142</v>
      </c>
      <c r="G119" s="29" t="s">
        <v>193</v>
      </c>
      <c r="H119" s="29" t="s">
        <v>194</v>
      </c>
      <c r="I119" s="40" t="s">
        <v>216</v>
      </c>
      <c r="J119" s="29" t="s">
        <v>217</v>
      </c>
      <c r="K119" s="26" t="s">
        <v>934</v>
      </c>
      <c r="L119" s="47" t="s">
        <v>149</v>
      </c>
      <c r="M119" s="31">
        <v>2001.0</v>
      </c>
      <c r="N119" s="31">
        <v>2001.0</v>
      </c>
      <c r="O119" s="31">
        <v>2005.0</v>
      </c>
      <c r="P119" s="28" t="s">
        <v>263</v>
      </c>
      <c r="Q119" s="32" t="s">
        <v>946</v>
      </c>
      <c r="R119" s="28" t="s">
        <v>604</v>
      </c>
      <c r="S119" s="32" t="s">
        <v>936</v>
      </c>
      <c r="T119" s="28" t="s">
        <v>154</v>
      </c>
      <c r="U119" s="28" t="s">
        <v>154</v>
      </c>
      <c r="V119" s="28" t="s">
        <v>947</v>
      </c>
      <c r="W119" s="32" t="s">
        <v>938</v>
      </c>
      <c r="X119" s="32" t="s">
        <v>865</v>
      </c>
      <c r="Y119" s="26" t="s">
        <v>939</v>
      </c>
      <c r="Z119" s="26" t="s">
        <v>940</v>
      </c>
      <c r="AA119" s="32" t="s">
        <v>204</v>
      </c>
      <c r="AB119" s="28" t="s">
        <v>205</v>
      </c>
      <c r="AC119" s="26" t="s">
        <v>206</v>
      </c>
      <c r="AD119" s="28" t="s">
        <v>207</v>
      </c>
      <c r="AE119" s="29" t="s">
        <v>149</v>
      </c>
      <c r="AF119" s="26" t="s">
        <v>149</v>
      </c>
      <c r="AG119" s="26" t="s">
        <v>149</v>
      </c>
      <c r="AH119" s="26" t="s">
        <v>233</v>
      </c>
      <c r="AI119" s="32" t="s">
        <v>209</v>
      </c>
      <c r="AJ119" s="28" t="s">
        <v>227</v>
      </c>
      <c r="AK119" s="29" t="s">
        <v>149</v>
      </c>
      <c r="AL119" s="29" t="s">
        <v>149</v>
      </c>
      <c r="AM119" s="29" t="s">
        <v>149</v>
      </c>
      <c r="AN119" s="28" t="s">
        <v>241</v>
      </c>
      <c r="AO119" s="28" t="s">
        <v>242</v>
      </c>
      <c r="AP119" s="26" t="s">
        <v>941</v>
      </c>
      <c r="AQ119" s="26" t="s">
        <v>942</v>
      </c>
      <c r="AR119" s="26" t="s">
        <v>943</v>
      </c>
      <c r="AS119" s="29" t="s">
        <v>149</v>
      </c>
      <c r="AT119" s="26"/>
    </row>
    <row r="120">
      <c r="A120" s="36" t="s">
        <v>968</v>
      </c>
      <c r="B120" s="26" t="str">
        <f t="shared" si="1"/>
        <v>2023-PH072242000-2001-0295</v>
      </c>
      <c r="C120" s="27">
        <f t="shared" si="3"/>
        <v>2023</v>
      </c>
      <c r="D120" s="28" t="s">
        <v>140</v>
      </c>
      <c r="E120" s="28" t="s">
        <v>141</v>
      </c>
      <c r="F120" s="28" t="s">
        <v>142</v>
      </c>
      <c r="G120" s="29" t="s">
        <v>193</v>
      </c>
      <c r="H120" s="29" t="s">
        <v>194</v>
      </c>
      <c r="I120" s="29" t="s">
        <v>969</v>
      </c>
      <c r="J120" s="29" t="s">
        <v>970</v>
      </c>
      <c r="K120" s="26" t="s">
        <v>934</v>
      </c>
      <c r="L120" s="28" t="s">
        <v>971</v>
      </c>
      <c r="M120" s="31">
        <v>2001.0</v>
      </c>
      <c r="N120" s="31">
        <v>2001.0</v>
      </c>
      <c r="O120" s="31">
        <v>2005.0</v>
      </c>
      <c r="P120" s="28" t="s">
        <v>263</v>
      </c>
      <c r="Q120" s="32" t="s">
        <v>946</v>
      </c>
      <c r="R120" s="28" t="s">
        <v>604</v>
      </c>
      <c r="S120" s="32" t="s">
        <v>936</v>
      </c>
      <c r="T120" s="28" t="s">
        <v>154</v>
      </c>
      <c r="U120" s="28" t="s">
        <v>154</v>
      </c>
      <c r="V120" s="28" t="s">
        <v>947</v>
      </c>
      <c r="W120" s="32" t="s">
        <v>938</v>
      </c>
      <c r="X120" s="32" t="s">
        <v>865</v>
      </c>
      <c r="Y120" s="26" t="s">
        <v>939</v>
      </c>
      <c r="Z120" s="26" t="s">
        <v>940</v>
      </c>
      <c r="AA120" s="32" t="s">
        <v>204</v>
      </c>
      <c r="AB120" s="28" t="s">
        <v>205</v>
      </c>
      <c r="AC120" s="26" t="s">
        <v>206</v>
      </c>
      <c r="AD120" s="28" t="s">
        <v>207</v>
      </c>
      <c r="AE120" s="29" t="s">
        <v>149</v>
      </c>
      <c r="AF120" s="26" t="s">
        <v>149</v>
      </c>
      <c r="AG120" s="26" t="s">
        <v>149</v>
      </c>
      <c r="AH120" s="26" t="s">
        <v>233</v>
      </c>
      <c r="AI120" s="32" t="s">
        <v>209</v>
      </c>
      <c r="AJ120" s="28" t="s">
        <v>227</v>
      </c>
      <c r="AK120" s="11" t="s">
        <v>149</v>
      </c>
      <c r="AL120" s="11" t="s">
        <v>149</v>
      </c>
      <c r="AM120" s="11" t="s">
        <v>149</v>
      </c>
      <c r="AN120" s="28" t="s">
        <v>241</v>
      </c>
      <c r="AO120" s="28" t="s">
        <v>242</v>
      </c>
      <c r="AP120" s="26" t="s">
        <v>941</v>
      </c>
      <c r="AQ120" s="38" t="s">
        <v>942</v>
      </c>
      <c r="AR120" s="26" t="s">
        <v>943</v>
      </c>
      <c r="AS120" s="11" t="s">
        <v>149</v>
      </c>
      <c r="AT120" s="26"/>
    </row>
    <row r="121">
      <c r="A121" s="36" t="s">
        <v>972</v>
      </c>
      <c r="B121" s="26" t="str">
        <f t="shared" si="1"/>
        <v>2023-PH082612000-2001-0301</v>
      </c>
      <c r="C121" s="27">
        <f t="shared" si="3"/>
        <v>2023</v>
      </c>
      <c r="D121" s="28" t="s">
        <v>140</v>
      </c>
      <c r="E121" s="28" t="s">
        <v>141</v>
      </c>
      <c r="F121" s="28" t="s">
        <v>142</v>
      </c>
      <c r="G121" s="29" t="s">
        <v>579</v>
      </c>
      <c r="H121" s="29" t="s">
        <v>580</v>
      </c>
      <c r="I121" s="29" t="s">
        <v>973</v>
      </c>
      <c r="J121" s="30" t="s">
        <v>974</v>
      </c>
      <c r="K121" s="26" t="s">
        <v>934</v>
      </c>
      <c r="L121" s="43" t="s">
        <v>149</v>
      </c>
      <c r="M121" s="31">
        <v>2001.0</v>
      </c>
      <c r="N121" s="31">
        <v>2001.0</v>
      </c>
      <c r="O121" s="31">
        <v>2005.0</v>
      </c>
      <c r="P121" s="28" t="s">
        <v>263</v>
      </c>
      <c r="Q121" s="32" t="s">
        <v>946</v>
      </c>
      <c r="R121" s="28" t="s">
        <v>604</v>
      </c>
      <c r="S121" s="32" t="s">
        <v>936</v>
      </c>
      <c r="T121" s="28" t="s">
        <v>154</v>
      </c>
      <c r="U121" s="28" t="s">
        <v>154</v>
      </c>
      <c r="V121" s="28" t="s">
        <v>947</v>
      </c>
      <c r="W121" s="32" t="s">
        <v>938</v>
      </c>
      <c r="X121" s="32" t="s">
        <v>865</v>
      </c>
      <c r="Y121" s="26" t="s">
        <v>939</v>
      </c>
      <c r="Z121" s="26" t="s">
        <v>940</v>
      </c>
      <c r="AA121" s="32" t="s">
        <v>204</v>
      </c>
      <c r="AB121" s="28" t="s">
        <v>205</v>
      </c>
      <c r="AC121" s="26" t="s">
        <v>206</v>
      </c>
      <c r="AD121" s="28" t="s">
        <v>207</v>
      </c>
      <c r="AE121" s="29" t="s">
        <v>149</v>
      </c>
      <c r="AF121" s="26" t="s">
        <v>149</v>
      </c>
      <c r="AG121" s="26" t="s">
        <v>149</v>
      </c>
      <c r="AH121" s="26" t="s">
        <v>233</v>
      </c>
      <c r="AI121" s="32" t="s">
        <v>209</v>
      </c>
      <c r="AJ121" s="28" t="s">
        <v>227</v>
      </c>
      <c r="AK121" s="28" t="s">
        <v>149</v>
      </c>
      <c r="AL121" s="28" t="s">
        <v>149</v>
      </c>
      <c r="AM121" s="28" t="s">
        <v>149</v>
      </c>
      <c r="AN121" s="28" t="s">
        <v>241</v>
      </c>
      <c r="AO121" s="28" t="s">
        <v>242</v>
      </c>
      <c r="AP121" s="26" t="s">
        <v>941</v>
      </c>
      <c r="AQ121" s="26" t="s">
        <v>942</v>
      </c>
      <c r="AR121" s="26" t="s">
        <v>943</v>
      </c>
      <c r="AS121" s="28" t="s">
        <v>149</v>
      </c>
      <c r="AT121" s="28"/>
    </row>
    <row r="122">
      <c r="A122" s="36" t="s">
        <v>975</v>
      </c>
      <c r="B122" s="26" t="str">
        <f t="shared" si="1"/>
        <v>2023-PH104214000-2001-0351</v>
      </c>
      <c r="C122" s="27">
        <f t="shared" si="3"/>
        <v>2023</v>
      </c>
      <c r="D122" s="28" t="s">
        <v>140</v>
      </c>
      <c r="E122" s="28" t="s">
        <v>141</v>
      </c>
      <c r="F122" s="28" t="s">
        <v>142</v>
      </c>
      <c r="G122" s="29" t="s">
        <v>171</v>
      </c>
      <c r="H122" s="29" t="s">
        <v>976</v>
      </c>
      <c r="I122" s="29" t="s">
        <v>977</v>
      </c>
      <c r="J122" s="30" t="s">
        <v>978</v>
      </c>
      <c r="K122" s="26" t="s">
        <v>934</v>
      </c>
      <c r="L122" s="46" t="s">
        <v>149</v>
      </c>
      <c r="M122" s="31">
        <v>2001.0</v>
      </c>
      <c r="N122" s="31">
        <v>2001.0</v>
      </c>
      <c r="O122" s="31">
        <v>2005.0</v>
      </c>
      <c r="P122" s="28" t="s">
        <v>263</v>
      </c>
      <c r="Q122" s="32" t="s">
        <v>946</v>
      </c>
      <c r="R122" s="28" t="s">
        <v>604</v>
      </c>
      <c r="S122" s="32" t="s">
        <v>936</v>
      </c>
      <c r="T122" s="28" t="s">
        <v>154</v>
      </c>
      <c r="U122" s="28" t="s">
        <v>154</v>
      </c>
      <c r="V122" s="28" t="s">
        <v>947</v>
      </c>
      <c r="W122" s="32" t="s">
        <v>938</v>
      </c>
      <c r="X122" s="32" t="s">
        <v>865</v>
      </c>
      <c r="Y122" s="26" t="s">
        <v>939</v>
      </c>
      <c r="Z122" s="26" t="s">
        <v>940</v>
      </c>
      <c r="AA122" s="32" t="s">
        <v>204</v>
      </c>
      <c r="AB122" s="28" t="s">
        <v>205</v>
      </c>
      <c r="AC122" s="26" t="s">
        <v>206</v>
      </c>
      <c r="AD122" s="28" t="s">
        <v>207</v>
      </c>
      <c r="AE122" s="29" t="s">
        <v>149</v>
      </c>
      <c r="AF122" s="26" t="s">
        <v>149</v>
      </c>
      <c r="AG122" s="26" t="s">
        <v>149</v>
      </c>
      <c r="AH122" s="26" t="s">
        <v>233</v>
      </c>
      <c r="AI122" s="32" t="s">
        <v>209</v>
      </c>
      <c r="AJ122" s="28" t="s">
        <v>227</v>
      </c>
      <c r="AK122" s="26" t="s">
        <v>149</v>
      </c>
      <c r="AL122" s="26" t="s">
        <v>149</v>
      </c>
      <c r="AM122" s="26" t="s">
        <v>149</v>
      </c>
      <c r="AN122" s="28" t="s">
        <v>241</v>
      </c>
      <c r="AO122" s="28" t="s">
        <v>242</v>
      </c>
      <c r="AP122" s="26" t="s">
        <v>941</v>
      </c>
      <c r="AQ122" s="26" t="s">
        <v>942</v>
      </c>
      <c r="AR122" s="26" t="s">
        <v>943</v>
      </c>
      <c r="AS122" s="26" t="s">
        <v>149</v>
      </c>
      <c r="AT122" s="26"/>
    </row>
    <row r="123">
      <c r="A123" s="36" t="s">
        <v>979</v>
      </c>
      <c r="B123" s="26" t="str">
        <f t="shared" si="1"/>
        <v>2023-PH112317000-2001-0373</v>
      </c>
      <c r="C123" s="27">
        <f t="shared" si="3"/>
        <v>2023</v>
      </c>
      <c r="D123" s="28" t="s">
        <v>140</v>
      </c>
      <c r="E123" s="28" t="s">
        <v>141</v>
      </c>
      <c r="F123" s="28" t="s">
        <v>142</v>
      </c>
      <c r="G123" s="29" t="s">
        <v>330</v>
      </c>
      <c r="H123" s="29" t="s">
        <v>331</v>
      </c>
      <c r="I123" s="40" t="s">
        <v>980</v>
      </c>
      <c r="J123" s="29" t="s">
        <v>981</v>
      </c>
      <c r="K123" s="26" t="s">
        <v>934</v>
      </c>
      <c r="L123" s="47" t="s">
        <v>149</v>
      </c>
      <c r="M123" s="31">
        <v>2001.0</v>
      </c>
      <c r="N123" s="31">
        <v>2001.0</v>
      </c>
      <c r="O123" s="31">
        <v>2005.0</v>
      </c>
      <c r="P123" s="28" t="s">
        <v>263</v>
      </c>
      <c r="Q123" s="32" t="s">
        <v>946</v>
      </c>
      <c r="R123" s="28" t="s">
        <v>604</v>
      </c>
      <c r="S123" s="32" t="s">
        <v>936</v>
      </c>
      <c r="T123" s="28" t="s">
        <v>154</v>
      </c>
      <c r="U123" s="28" t="s">
        <v>154</v>
      </c>
      <c r="V123" s="28" t="s">
        <v>947</v>
      </c>
      <c r="W123" s="32" t="s">
        <v>938</v>
      </c>
      <c r="X123" s="32" t="s">
        <v>865</v>
      </c>
      <c r="Y123" s="26" t="s">
        <v>939</v>
      </c>
      <c r="Z123" s="26" t="s">
        <v>940</v>
      </c>
      <c r="AA123" s="32" t="s">
        <v>204</v>
      </c>
      <c r="AB123" s="28" t="s">
        <v>205</v>
      </c>
      <c r="AC123" s="26" t="s">
        <v>206</v>
      </c>
      <c r="AD123" s="28" t="s">
        <v>207</v>
      </c>
      <c r="AE123" s="29" t="s">
        <v>149</v>
      </c>
      <c r="AF123" s="26" t="s">
        <v>149</v>
      </c>
      <c r="AG123" s="26" t="s">
        <v>149</v>
      </c>
      <c r="AH123" s="26" t="s">
        <v>233</v>
      </c>
      <c r="AI123" s="32" t="s">
        <v>209</v>
      </c>
      <c r="AJ123" s="28" t="s">
        <v>227</v>
      </c>
      <c r="AK123" s="11" t="s">
        <v>149</v>
      </c>
      <c r="AL123" s="11" t="s">
        <v>149</v>
      </c>
      <c r="AM123" s="11" t="s">
        <v>149</v>
      </c>
      <c r="AN123" s="28" t="s">
        <v>241</v>
      </c>
      <c r="AO123" s="28" t="s">
        <v>242</v>
      </c>
      <c r="AP123" s="26" t="s">
        <v>941</v>
      </c>
      <c r="AQ123" s="26" t="s">
        <v>942</v>
      </c>
      <c r="AR123" s="26" t="s">
        <v>943</v>
      </c>
      <c r="AS123" s="11" t="s">
        <v>149</v>
      </c>
      <c r="AT123" s="29"/>
    </row>
    <row r="124">
      <c r="A124" s="36" t="s">
        <v>982</v>
      </c>
      <c r="B124" s="26" t="str">
        <f t="shared" si="1"/>
        <v>2023-PH064507000-2001-0412</v>
      </c>
      <c r="C124" s="27">
        <f t="shared" si="3"/>
        <v>2023</v>
      </c>
      <c r="D124" s="28" t="s">
        <v>140</v>
      </c>
      <c r="E124" s="28" t="s">
        <v>141</v>
      </c>
      <c r="F124" s="28" t="s">
        <v>142</v>
      </c>
      <c r="G124" s="29" t="s">
        <v>625</v>
      </c>
      <c r="H124" s="29" t="s">
        <v>626</v>
      </c>
      <c r="I124" s="56" t="s">
        <v>983</v>
      </c>
      <c r="J124" s="55" t="s">
        <v>984</v>
      </c>
      <c r="K124" s="26" t="s">
        <v>934</v>
      </c>
      <c r="L124" s="47" t="s">
        <v>149</v>
      </c>
      <c r="M124" s="31">
        <v>2001.0</v>
      </c>
      <c r="N124" s="31">
        <v>2001.0</v>
      </c>
      <c r="O124" s="31">
        <v>2005.0</v>
      </c>
      <c r="P124" s="28" t="s">
        <v>263</v>
      </c>
      <c r="Q124" s="32" t="s">
        <v>946</v>
      </c>
      <c r="R124" s="28" t="s">
        <v>604</v>
      </c>
      <c r="S124" s="32" t="s">
        <v>936</v>
      </c>
      <c r="T124" s="28" t="s">
        <v>154</v>
      </c>
      <c r="U124" s="28" t="s">
        <v>154</v>
      </c>
      <c r="V124" s="28" t="s">
        <v>947</v>
      </c>
      <c r="W124" s="32" t="s">
        <v>938</v>
      </c>
      <c r="X124" s="32" t="s">
        <v>865</v>
      </c>
      <c r="Y124" s="26" t="s">
        <v>939</v>
      </c>
      <c r="Z124" s="26" t="s">
        <v>940</v>
      </c>
      <c r="AA124" s="32" t="s">
        <v>204</v>
      </c>
      <c r="AB124" s="28" t="s">
        <v>205</v>
      </c>
      <c r="AC124" s="26" t="s">
        <v>206</v>
      </c>
      <c r="AD124" s="28" t="s">
        <v>207</v>
      </c>
      <c r="AE124" s="29" t="s">
        <v>149</v>
      </c>
      <c r="AF124" s="26" t="s">
        <v>149</v>
      </c>
      <c r="AG124" s="26" t="s">
        <v>149</v>
      </c>
      <c r="AH124" s="26" t="s">
        <v>233</v>
      </c>
      <c r="AI124" s="32" t="s">
        <v>209</v>
      </c>
      <c r="AJ124" s="28" t="s">
        <v>227</v>
      </c>
      <c r="AK124" s="11" t="s">
        <v>149</v>
      </c>
      <c r="AL124" s="11" t="s">
        <v>149</v>
      </c>
      <c r="AM124" s="11" t="s">
        <v>149</v>
      </c>
      <c r="AN124" s="28" t="s">
        <v>241</v>
      </c>
      <c r="AO124" s="28" t="s">
        <v>242</v>
      </c>
      <c r="AP124" s="26" t="s">
        <v>941</v>
      </c>
      <c r="AQ124" s="26" t="s">
        <v>942</v>
      </c>
      <c r="AR124" s="26" t="s">
        <v>943</v>
      </c>
      <c r="AS124" s="11" t="s">
        <v>149</v>
      </c>
      <c r="AT124" s="26"/>
    </row>
    <row r="125">
      <c r="A125" s="36" t="s">
        <v>985</v>
      </c>
      <c r="B125" s="26" t="str">
        <f t="shared" si="1"/>
        <v>2023-PH074610000-2001-0424</v>
      </c>
      <c r="C125" s="27">
        <f t="shared" si="3"/>
        <v>2023</v>
      </c>
      <c r="D125" s="28" t="s">
        <v>140</v>
      </c>
      <c r="E125" s="28" t="s">
        <v>141</v>
      </c>
      <c r="F125" s="28" t="s">
        <v>142</v>
      </c>
      <c r="G125" s="29" t="s">
        <v>625</v>
      </c>
      <c r="H125" s="29" t="s">
        <v>632</v>
      </c>
      <c r="I125" s="55" t="s">
        <v>986</v>
      </c>
      <c r="J125" s="55" t="s">
        <v>987</v>
      </c>
      <c r="K125" s="26" t="s">
        <v>934</v>
      </c>
      <c r="L125" s="47" t="s">
        <v>149</v>
      </c>
      <c r="M125" s="31">
        <v>2001.0</v>
      </c>
      <c r="N125" s="31">
        <v>2001.0</v>
      </c>
      <c r="O125" s="31">
        <v>2005.0</v>
      </c>
      <c r="P125" s="28" t="s">
        <v>263</v>
      </c>
      <c r="Q125" s="32" t="s">
        <v>946</v>
      </c>
      <c r="R125" s="28" t="s">
        <v>604</v>
      </c>
      <c r="S125" s="32" t="s">
        <v>936</v>
      </c>
      <c r="T125" s="28" t="s">
        <v>154</v>
      </c>
      <c r="U125" s="28" t="s">
        <v>154</v>
      </c>
      <c r="V125" s="28" t="s">
        <v>947</v>
      </c>
      <c r="W125" s="32" t="s">
        <v>864</v>
      </c>
      <c r="X125" s="32" t="s">
        <v>865</v>
      </c>
      <c r="Y125" s="26" t="s">
        <v>939</v>
      </c>
      <c r="Z125" s="26" t="s">
        <v>940</v>
      </c>
      <c r="AA125" s="32" t="s">
        <v>204</v>
      </c>
      <c r="AB125" s="28" t="s">
        <v>205</v>
      </c>
      <c r="AC125" s="26" t="s">
        <v>206</v>
      </c>
      <c r="AD125" s="28" t="s">
        <v>207</v>
      </c>
      <c r="AE125" s="29" t="s">
        <v>149</v>
      </c>
      <c r="AF125" s="26" t="s">
        <v>149</v>
      </c>
      <c r="AG125" s="26" t="s">
        <v>149</v>
      </c>
      <c r="AH125" s="26" t="s">
        <v>233</v>
      </c>
      <c r="AI125" s="32" t="s">
        <v>209</v>
      </c>
      <c r="AJ125" s="28" t="s">
        <v>227</v>
      </c>
      <c r="AK125" s="29" t="s">
        <v>149</v>
      </c>
      <c r="AL125" s="29" t="s">
        <v>149</v>
      </c>
      <c r="AM125" s="29" t="s">
        <v>149</v>
      </c>
      <c r="AN125" s="28" t="s">
        <v>241</v>
      </c>
      <c r="AO125" s="28" t="s">
        <v>242</v>
      </c>
      <c r="AP125" s="26" t="s">
        <v>941</v>
      </c>
      <c r="AQ125" s="38" t="s">
        <v>942</v>
      </c>
      <c r="AR125" s="26" t="s">
        <v>943</v>
      </c>
      <c r="AS125" s="29" t="s">
        <v>149</v>
      </c>
      <c r="AT125" s="26"/>
    </row>
    <row r="126">
      <c r="A126" s="36" t="s">
        <v>988</v>
      </c>
      <c r="B126" s="26" t="str">
        <f t="shared" si="1"/>
        <v>2023-PH112317000-2019-0368</v>
      </c>
      <c r="C126" s="27">
        <f t="shared" si="3"/>
        <v>2023</v>
      </c>
      <c r="D126" s="37" t="s">
        <v>140</v>
      </c>
      <c r="E126" s="28" t="s">
        <v>141</v>
      </c>
      <c r="F126" s="28" t="s">
        <v>192</v>
      </c>
      <c r="G126" s="29" t="s">
        <v>330</v>
      </c>
      <c r="H126" s="29" t="s">
        <v>331</v>
      </c>
      <c r="I126" s="40" t="s">
        <v>980</v>
      </c>
      <c r="J126" s="29" t="s">
        <v>981</v>
      </c>
      <c r="K126" s="26" t="s">
        <v>989</v>
      </c>
      <c r="L126" s="26" t="s">
        <v>990</v>
      </c>
      <c r="M126" s="31">
        <v>2019.0</v>
      </c>
      <c r="N126" s="31" t="s">
        <v>149</v>
      </c>
      <c r="O126" s="31" t="s">
        <v>149</v>
      </c>
      <c r="P126" s="28" t="s">
        <v>150</v>
      </c>
      <c r="Q126" s="32" t="s">
        <v>151</v>
      </c>
      <c r="R126" s="28" t="s">
        <v>152</v>
      </c>
      <c r="S126" s="32" t="s">
        <v>351</v>
      </c>
      <c r="T126" s="28" t="s">
        <v>154</v>
      </c>
      <c r="U126" s="28" t="s">
        <v>154</v>
      </c>
      <c r="V126" s="26" t="s">
        <v>991</v>
      </c>
      <c r="W126" s="32" t="s">
        <v>180</v>
      </c>
      <c r="X126" s="32" t="s">
        <v>181</v>
      </c>
      <c r="Y126" s="26" t="s">
        <v>992</v>
      </c>
      <c r="Z126" s="26" t="s">
        <v>993</v>
      </c>
      <c r="AA126" s="26" t="s">
        <v>159</v>
      </c>
      <c r="AB126" s="26" t="s">
        <v>160</v>
      </c>
      <c r="AC126" s="28" t="s">
        <v>322</v>
      </c>
      <c r="AD126" s="28" t="s">
        <v>686</v>
      </c>
      <c r="AE126" s="29" t="s">
        <v>149</v>
      </c>
      <c r="AF126" s="26" t="s">
        <v>149</v>
      </c>
      <c r="AG126" s="26" t="s">
        <v>149</v>
      </c>
      <c r="AH126" s="26" t="s">
        <v>994</v>
      </c>
      <c r="AI126" s="28" t="s">
        <v>322</v>
      </c>
      <c r="AJ126" s="28" t="s">
        <v>686</v>
      </c>
      <c r="AK126" s="26" t="s">
        <v>995</v>
      </c>
      <c r="AL126" s="11" t="s">
        <v>149</v>
      </c>
      <c r="AM126" s="11" t="s">
        <v>149</v>
      </c>
      <c r="AN126" s="28" t="s">
        <v>165</v>
      </c>
      <c r="AO126" s="28" t="s">
        <v>689</v>
      </c>
      <c r="AP126" s="34" t="s">
        <v>996</v>
      </c>
      <c r="AQ126" s="38" t="s">
        <v>997</v>
      </c>
      <c r="AR126" s="11" t="s">
        <v>149</v>
      </c>
      <c r="AS126" s="11" t="s">
        <v>149</v>
      </c>
      <c r="AT126" s="29"/>
    </row>
    <row r="127">
      <c r="A127" s="36" t="s">
        <v>998</v>
      </c>
      <c r="B127" s="26" t="str">
        <f t="shared" si="1"/>
        <v>2023-PH112509000-2024-0381</v>
      </c>
      <c r="C127" s="27">
        <f t="shared" si="3"/>
        <v>2023</v>
      </c>
      <c r="D127" s="28" t="s">
        <v>140</v>
      </c>
      <c r="E127" s="28" t="s">
        <v>141</v>
      </c>
      <c r="F127" s="28" t="s">
        <v>192</v>
      </c>
      <c r="G127" s="29" t="s">
        <v>330</v>
      </c>
      <c r="H127" s="29" t="s">
        <v>999</v>
      </c>
      <c r="I127" s="40" t="s">
        <v>1000</v>
      </c>
      <c r="J127" s="29" t="s">
        <v>1001</v>
      </c>
      <c r="K127" s="26" t="s">
        <v>1002</v>
      </c>
      <c r="L127" s="26" t="s">
        <v>1003</v>
      </c>
      <c r="M127" s="31">
        <v>2024.0</v>
      </c>
      <c r="N127" s="31">
        <v>2024.0</v>
      </c>
      <c r="O127" s="31" t="s">
        <v>149</v>
      </c>
      <c r="P127" s="28" t="s">
        <v>150</v>
      </c>
      <c r="Q127" s="32" t="s">
        <v>151</v>
      </c>
      <c r="R127" s="28" t="s">
        <v>718</v>
      </c>
      <c r="S127" s="32" t="s">
        <v>1004</v>
      </c>
      <c r="T127" s="28" t="s">
        <v>154</v>
      </c>
      <c r="U127" s="28" t="s">
        <v>154</v>
      </c>
      <c r="V127" s="26" t="s">
        <v>1005</v>
      </c>
      <c r="W127" s="32" t="s">
        <v>180</v>
      </c>
      <c r="X127" s="32" t="s">
        <v>181</v>
      </c>
      <c r="Y127" s="26" t="s">
        <v>1006</v>
      </c>
      <c r="Z127" s="26" t="s">
        <v>1007</v>
      </c>
      <c r="AA127" s="26" t="s">
        <v>159</v>
      </c>
      <c r="AB127" s="28" t="s">
        <v>205</v>
      </c>
      <c r="AC127" s="26" t="s">
        <v>184</v>
      </c>
      <c r="AD127" s="28" t="s">
        <v>184</v>
      </c>
      <c r="AE127" s="29" t="s">
        <v>149</v>
      </c>
      <c r="AF127" s="28" t="s">
        <v>1008</v>
      </c>
      <c r="AG127" s="33" t="s">
        <v>1009</v>
      </c>
      <c r="AH127" s="26" t="s">
        <v>1010</v>
      </c>
      <c r="AI127" s="32" t="s">
        <v>209</v>
      </c>
      <c r="AJ127" s="28" t="s">
        <v>227</v>
      </c>
      <c r="AK127" s="11" t="s">
        <v>149</v>
      </c>
      <c r="AL127" s="26" t="s">
        <v>1011</v>
      </c>
      <c r="AM127" s="11" t="s">
        <v>149</v>
      </c>
      <c r="AN127" s="28" t="s">
        <v>165</v>
      </c>
      <c r="AO127" s="26" t="s">
        <v>166</v>
      </c>
      <c r="AP127" s="26" t="s">
        <v>1012</v>
      </c>
      <c r="AQ127" s="38" t="s">
        <v>1013</v>
      </c>
      <c r="AR127" s="11" t="s">
        <v>149</v>
      </c>
      <c r="AS127" s="11" t="s">
        <v>149</v>
      </c>
      <c r="AT127" s="26"/>
    </row>
    <row r="128">
      <c r="A128" s="36" t="s">
        <v>1014</v>
      </c>
      <c r="B128" s="26" t="str">
        <f t="shared" si="1"/>
        <v>2023-PH015514000-2005-0072</v>
      </c>
      <c r="C128" s="27">
        <f t="shared" si="3"/>
        <v>2023</v>
      </c>
      <c r="D128" s="28" t="s">
        <v>140</v>
      </c>
      <c r="E128" s="28" t="s">
        <v>141</v>
      </c>
      <c r="F128" s="28" t="s">
        <v>192</v>
      </c>
      <c r="G128" s="29" t="s">
        <v>143</v>
      </c>
      <c r="H128" s="29" t="s">
        <v>144</v>
      </c>
      <c r="I128" s="29" t="s">
        <v>693</v>
      </c>
      <c r="J128" s="29" t="s">
        <v>694</v>
      </c>
      <c r="K128" s="28" t="s">
        <v>1015</v>
      </c>
      <c r="L128" s="28" t="s">
        <v>1016</v>
      </c>
      <c r="M128" s="31">
        <v>2005.0</v>
      </c>
      <c r="N128" s="31">
        <v>2005.0</v>
      </c>
      <c r="O128" s="31" t="s">
        <v>149</v>
      </c>
      <c r="P128" s="28" t="s">
        <v>177</v>
      </c>
      <c r="Q128" s="32" t="s">
        <v>319</v>
      </c>
      <c r="R128" s="28" t="s">
        <v>154</v>
      </c>
      <c r="S128" s="32" t="s">
        <v>154</v>
      </c>
      <c r="T128" s="28" t="s">
        <v>300</v>
      </c>
      <c r="U128" s="28" t="s">
        <v>1017</v>
      </c>
      <c r="V128" s="26" t="s">
        <v>1018</v>
      </c>
      <c r="W128" s="28" t="s">
        <v>237</v>
      </c>
      <c r="X128" s="28" t="s">
        <v>238</v>
      </c>
      <c r="Y128" s="26" t="s">
        <v>1019</v>
      </c>
      <c r="Z128" s="26" t="s">
        <v>1020</v>
      </c>
      <c r="AA128" s="26" t="s">
        <v>204</v>
      </c>
      <c r="AB128" s="28" t="s">
        <v>205</v>
      </c>
      <c r="AC128" s="26" t="s">
        <v>206</v>
      </c>
      <c r="AD128" s="28" t="s">
        <v>207</v>
      </c>
      <c r="AE128" s="29" t="s">
        <v>149</v>
      </c>
      <c r="AF128" s="26" t="s">
        <v>149</v>
      </c>
      <c r="AG128" s="26" t="s">
        <v>1021</v>
      </c>
      <c r="AH128" s="26" t="s">
        <v>233</v>
      </c>
      <c r="AI128" s="32" t="s">
        <v>209</v>
      </c>
      <c r="AJ128" s="28" t="s">
        <v>227</v>
      </c>
      <c r="AK128" s="11" t="s">
        <v>149</v>
      </c>
      <c r="AL128" s="26" t="s">
        <v>1022</v>
      </c>
      <c r="AM128" s="11" t="s">
        <v>149</v>
      </c>
      <c r="AN128" s="28" t="s">
        <v>241</v>
      </c>
      <c r="AO128" s="28" t="s">
        <v>242</v>
      </c>
      <c r="AP128" s="26" t="s">
        <v>1023</v>
      </c>
      <c r="AQ128" s="38" t="s">
        <v>1024</v>
      </c>
      <c r="AR128" s="26" t="s">
        <v>1025</v>
      </c>
      <c r="AS128" s="38" t="s">
        <v>1026</v>
      </c>
      <c r="AT128" s="26"/>
    </row>
    <row r="129">
      <c r="A129" s="36" t="s">
        <v>1027</v>
      </c>
      <c r="B129" s="26" t="str">
        <f t="shared" si="1"/>
        <v>2023-PH015514000-2005-0073</v>
      </c>
      <c r="C129" s="27">
        <f t="shared" si="3"/>
        <v>2023</v>
      </c>
      <c r="D129" s="28" t="s">
        <v>140</v>
      </c>
      <c r="E129" s="28" t="s">
        <v>141</v>
      </c>
      <c r="F129" s="28" t="s">
        <v>192</v>
      </c>
      <c r="G129" s="29" t="s">
        <v>143</v>
      </c>
      <c r="H129" s="29" t="s">
        <v>144</v>
      </c>
      <c r="I129" s="29" t="s">
        <v>693</v>
      </c>
      <c r="J129" s="29" t="s">
        <v>694</v>
      </c>
      <c r="K129" s="28" t="s">
        <v>1015</v>
      </c>
      <c r="L129" s="28" t="s">
        <v>1028</v>
      </c>
      <c r="M129" s="31">
        <v>2005.0</v>
      </c>
      <c r="N129" s="31">
        <v>2005.0</v>
      </c>
      <c r="O129" s="31">
        <v>2007.0</v>
      </c>
      <c r="P129" s="28" t="s">
        <v>177</v>
      </c>
      <c r="Q129" s="32" t="s">
        <v>319</v>
      </c>
      <c r="R129" s="28" t="s">
        <v>154</v>
      </c>
      <c r="S129" s="32" t="s">
        <v>154</v>
      </c>
      <c r="T129" s="28" t="s">
        <v>300</v>
      </c>
      <c r="U129" s="28" t="s">
        <v>320</v>
      </c>
      <c r="V129" s="26" t="s">
        <v>1029</v>
      </c>
      <c r="W129" s="28" t="s">
        <v>237</v>
      </c>
      <c r="X129" s="32" t="s">
        <v>238</v>
      </c>
      <c r="Y129" s="26" t="s">
        <v>1030</v>
      </c>
      <c r="Z129" s="26" t="s">
        <v>1020</v>
      </c>
      <c r="AA129" s="26" t="s">
        <v>204</v>
      </c>
      <c r="AB129" s="28" t="s">
        <v>205</v>
      </c>
      <c r="AC129" s="26" t="s">
        <v>206</v>
      </c>
      <c r="AD129" s="28" t="s">
        <v>207</v>
      </c>
      <c r="AE129" s="29" t="s">
        <v>149</v>
      </c>
      <c r="AF129" s="26" t="s">
        <v>149</v>
      </c>
      <c r="AG129" s="26" t="s">
        <v>1031</v>
      </c>
      <c r="AH129" s="26" t="s">
        <v>1032</v>
      </c>
      <c r="AI129" s="32" t="s">
        <v>209</v>
      </c>
      <c r="AJ129" s="28" t="s">
        <v>210</v>
      </c>
      <c r="AK129" s="26" t="s">
        <v>233</v>
      </c>
      <c r="AL129" s="26" t="s">
        <v>1022</v>
      </c>
      <c r="AM129" s="11" t="s">
        <v>149</v>
      </c>
      <c r="AN129" s="28" t="s">
        <v>241</v>
      </c>
      <c r="AO129" s="28" t="s">
        <v>242</v>
      </c>
      <c r="AP129" s="26" t="s">
        <v>1033</v>
      </c>
      <c r="AQ129" s="38" t="s">
        <v>1034</v>
      </c>
      <c r="AR129" s="26" t="s">
        <v>1025</v>
      </c>
      <c r="AS129" s="38" t="s">
        <v>1026</v>
      </c>
      <c r="AT129" s="11"/>
    </row>
    <row r="130">
      <c r="A130" s="36" t="s">
        <v>1035</v>
      </c>
      <c r="B130" s="26" t="str">
        <f t="shared" si="1"/>
        <v>2023-PH015514000-2007-0075</v>
      </c>
      <c r="C130" s="27">
        <f t="shared" si="3"/>
        <v>2023</v>
      </c>
      <c r="D130" s="28" t="s">
        <v>140</v>
      </c>
      <c r="E130" s="28" t="s">
        <v>141</v>
      </c>
      <c r="F130" s="28" t="s">
        <v>192</v>
      </c>
      <c r="G130" s="29" t="s">
        <v>143</v>
      </c>
      <c r="H130" s="29" t="s">
        <v>144</v>
      </c>
      <c r="I130" s="29" t="s">
        <v>693</v>
      </c>
      <c r="J130" s="29" t="s">
        <v>694</v>
      </c>
      <c r="K130" s="28" t="s">
        <v>1015</v>
      </c>
      <c r="L130" s="70" t="s">
        <v>1036</v>
      </c>
      <c r="M130" s="31">
        <v>2007.0</v>
      </c>
      <c r="N130" s="31">
        <v>2007.0</v>
      </c>
      <c r="O130" s="31">
        <v>2008.0</v>
      </c>
      <c r="P130" s="28" t="s">
        <v>177</v>
      </c>
      <c r="Q130" s="32" t="s">
        <v>319</v>
      </c>
      <c r="R130" s="28" t="s">
        <v>154</v>
      </c>
      <c r="S130" s="32" t="s">
        <v>154</v>
      </c>
      <c r="T130" s="28" t="s">
        <v>300</v>
      </c>
      <c r="U130" s="28" t="s">
        <v>1037</v>
      </c>
      <c r="V130" s="26" t="s">
        <v>1038</v>
      </c>
      <c r="W130" s="28" t="s">
        <v>237</v>
      </c>
      <c r="X130" s="32" t="s">
        <v>238</v>
      </c>
      <c r="Y130" s="26" t="s">
        <v>1039</v>
      </c>
      <c r="Z130" s="26" t="s">
        <v>1020</v>
      </c>
      <c r="AA130" s="26" t="s">
        <v>204</v>
      </c>
      <c r="AB130" s="28" t="s">
        <v>205</v>
      </c>
      <c r="AC130" s="26" t="s">
        <v>206</v>
      </c>
      <c r="AD130" s="28" t="s">
        <v>207</v>
      </c>
      <c r="AE130" s="29" t="s">
        <v>149</v>
      </c>
      <c r="AF130" s="26" t="s">
        <v>149</v>
      </c>
      <c r="AG130" s="28" t="s">
        <v>1040</v>
      </c>
      <c r="AH130" s="26" t="s">
        <v>1032</v>
      </c>
      <c r="AI130" s="32" t="s">
        <v>209</v>
      </c>
      <c r="AJ130" s="28" t="s">
        <v>210</v>
      </c>
      <c r="AK130" s="26" t="s">
        <v>233</v>
      </c>
      <c r="AL130" s="26" t="s">
        <v>1022</v>
      </c>
      <c r="AM130" s="11" t="s">
        <v>149</v>
      </c>
      <c r="AN130" s="28" t="s">
        <v>241</v>
      </c>
      <c r="AO130" s="28" t="s">
        <v>242</v>
      </c>
      <c r="AP130" s="26" t="s">
        <v>1041</v>
      </c>
      <c r="AQ130" s="38" t="s">
        <v>1042</v>
      </c>
      <c r="AR130" s="26" t="s">
        <v>1043</v>
      </c>
      <c r="AS130" s="38" t="s">
        <v>1044</v>
      </c>
      <c r="AT130" s="11"/>
    </row>
    <row r="131">
      <c r="A131" s="36" t="s">
        <v>1045</v>
      </c>
      <c r="B131" s="26" t="str">
        <f t="shared" si="1"/>
        <v>2023-PH015514000-2006-0081</v>
      </c>
      <c r="C131" s="27">
        <f t="shared" si="3"/>
        <v>2023</v>
      </c>
      <c r="D131" s="28" t="s">
        <v>140</v>
      </c>
      <c r="E131" s="28" t="s">
        <v>141</v>
      </c>
      <c r="F131" s="28" t="s">
        <v>192</v>
      </c>
      <c r="G131" s="29" t="s">
        <v>143</v>
      </c>
      <c r="H131" s="29" t="s">
        <v>144</v>
      </c>
      <c r="I131" s="29" t="s">
        <v>693</v>
      </c>
      <c r="J131" s="29" t="s">
        <v>694</v>
      </c>
      <c r="K131" s="28" t="s">
        <v>1015</v>
      </c>
      <c r="L131" s="70" t="s">
        <v>1046</v>
      </c>
      <c r="M131" s="31">
        <v>2006.0</v>
      </c>
      <c r="N131" s="31">
        <v>2006.0</v>
      </c>
      <c r="O131" s="31">
        <v>2007.0</v>
      </c>
      <c r="P131" s="28" t="s">
        <v>177</v>
      </c>
      <c r="Q131" s="32" t="s">
        <v>1047</v>
      </c>
      <c r="R131" s="28" t="s">
        <v>154</v>
      </c>
      <c r="S131" s="32" t="s">
        <v>154</v>
      </c>
      <c r="T131" s="28" t="s">
        <v>300</v>
      </c>
      <c r="U131" s="28" t="s">
        <v>154</v>
      </c>
      <c r="V131" s="26" t="s">
        <v>1048</v>
      </c>
      <c r="W131" s="28" t="s">
        <v>237</v>
      </c>
      <c r="X131" s="28" t="s">
        <v>238</v>
      </c>
      <c r="Y131" s="26" t="s">
        <v>1049</v>
      </c>
      <c r="Z131" s="26" t="s">
        <v>1020</v>
      </c>
      <c r="AA131" s="26" t="s">
        <v>204</v>
      </c>
      <c r="AB131" s="28" t="s">
        <v>205</v>
      </c>
      <c r="AC131" s="26" t="s">
        <v>206</v>
      </c>
      <c r="AD131" s="28" t="s">
        <v>207</v>
      </c>
      <c r="AE131" s="29" t="s">
        <v>149</v>
      </c>
      <c r="AF131" s="26" t="s">
        <v>149</v>
      </c>
      <c r="AG131" s="26" t="s">
        <v>1050</v>
      </c>
      <c r="AH131" s="26" t="s">
        <v>233</v>
      </c>
      <c r="AI131" s="32" t="s">
        <v>209</v>
      </c>
      <c r="AJ131" s="28" t="s">
        <v>227</v>
      </c>
      <c r="AK131" s="11" t="s">
        <v>149</v>
      </c>
      <c r="AL131" s="26" t="s">
        <v>1022</v>
      </c>
      <c r="AM131" s="11" t="s">
        <v>149</v>
      </c>
      <c r="AN131" s="28" t="s">
        <v>241</v>
      </c>
      <c r="AO131" s="28" t="s">
        <v>242</v>
      </c>
      <c r="AP131" s="26" t="s">
        <v>1051</v>
      </c>
      <c r="AQ131" s="38" t="s">
        <v>1052</v>
      </c>
      <c r="AR131" s="26" t="s">
        <v>245</v>
      </c>
      <c r="AS131" s="11" t="s">
        <v>149</v>
      </c>
      <c r="AT131" s="11"/>
    </row>
    <row r="132">
      <c r="A132" s="36" t="s">
        <v>1053</v>
      </c>
      <c r="B132" s="26" t="str">
        <f t="shared" si="1"/>
        <v>2023-PH015514000-2007-0074</v>
      </c>
      <c r="C132" s="27">
        <f t="shared" si="3"/>
        <v>2023</v>
      </c>
      <c r="D132" s="28" t="s">
        <v>140</v>
      </c>
      <c r="E132" s="28" t="s">
        <v>141</v>
      </c>
      <c r="F132" s="28" t="s">
        <v>142</v>
      </c>
      <c r="G132" s="29" t="s">
        <v>143</v>
      </c>
      <c r="H132" s="29" t="s">
        <v>144</v>
      </c>
      <c r="I132" s="29" t="s">
        <v>693</v>
      </c>
      <c r="J132" s="29" t="s">
        <v>694</v>
      </c>
      <c r="K132" s="28" t="s">
        <v>1015</v>
      </c>
      <c r="L132" s="3" t="s">
        <v>1054</v>
      </c>
      <c r="M132" s="31">
        <v>2007.0</v>
      </c>
      <c r="N132" s="31">
        <v>2007.0</v>
      </c>
      <c r="O132" s="31">
        <v>2007.0</v>
      </c>
      <c r="P132" s="28" t="s">
        <v>199</v>
      </c>
      <c r="Q132" s="32" t="s">
        <v>200</v>
      </c>
      <c r="R132" s="28" t="s">
        <v>154</v>
      </c>
      <c r="S132" s="32" t="s">
        <v>154</v>
      </c>
      <c r="T132" s="28" t="s">
        <v>154</v>
      </c>
      <c r="U132" s="28" t="s">
        <v>154</v>
      </c>
      <c r="V132" s="26" t="s">
        <v>1055</v>
      </c>
      <c r="W132" s="28" t="s">
        <v>237</v>
      </c>
      <c r="X132" s="28" t="s">
        <v>238</v>
      </c>
      <c r="Y132" s="26" t="s">
        <v>1056</v>
      </c>
      <c r="Z132" s="26" t="s">
        <v>1020</v>
      </c>
      <c r="AA132" s="26" t="s">
        <v>204</v>
      </c>
      <c r="AB132" s="28" t="s">
        <v>205</v>
      </c>
      <c r="AC132" s="26" t="s">
        <v>206</v>
      </c>
      <c r="AD132" s="28" t="s">
        <v>207</v>
      </c>
      <c r="AE132" s="29" t="s">
        <v>149</v>
      </c>
      <c r="AF132" s="26" t="s">
        <v>149</v>
      </c>
      <c r="AG132" s="33" t="s">
        <v>1057</v>
      </c>
      <c r="AH132" s="26" t="s">
        <v>233</v>
      </c>
      <c r="AI132" s="32" t="s">
        <v>209</v>
      </c>
      <c r="AJ132" s="28" t="s">
        <v>227</v>
      </c>
      <c r="AK132" s="11" t="s">
        <v>149</v>
      </c>
      <c r="AL132" s="26" t="s">
        <v>1058</v>
      </c>
      <c r="AM132" s="11" t="s">
        <v>149</v>
      </c>
      <c r="AN132" s="28" t="s">
        <v>241</v>
      </c>
      <c r="AO132" s="28" t="s">
        <v>242</v>
      </c>
      <c r="AP132" s="26" t="s">
        <v>1059</v>
      </c>
      <c r="AQ132" s="38" t="s">
        <v>1060</v>
      </c>
      <c r="AR132" s="26" t="s">
        <v>1061</v>
      </c>
      <c r="AS132" s="11" t="s">
        <v>149</v>
      </c>
      <c r="AT132" s="11"/>
    </row>
    <row r="133">
      <c r="A133" s="36" t="s">
        <v>1062</v>
      </c>
      <c r="B133" s="26" t="str">
        <f t="shared" si="1"/>
        <v>2023-PH015514000-2006-0076</v>
      </c>
      <c r="C133" s="27">
        <f t="shared" si="3"/>
        <v>2023</v>
      </c>
      <c r="D133" s="28" t="s">
        <v>140</v>
      </c>
      <c r="E133" s="28" t="s">
        <v>141</v>
      </c>
      <c r="F133" s="28" t="s">
        <v>192</v>
      </c>
      <c r="G133" s="29" t="s">
        <v>143</v>
      </c>
      <c r="H133" s="29" t="s">
        <v>144</v>
      </c>
      <c r="I133" s="29" t="s">
        <v>693</v>
      </c>
      <c r="J133" s="29" t="s">
        <v>694</v>
      </c>
      <c r="K133" s="28" t="s">
        <v>1015</v>
      </c>
      <c r="L133" s="70" t="s">
        <v>1063</v>
      </c>
      <c r="M133" s="31">
        <v>2006.0</v>
      </c>
      <c r="N133" s="31">
        <v>2007.0</v>
      </c>
      <c r="O133" s="31">
        <v>2007.0</v>
      </c>
      <c r="P133" s="28" t="s">
        <v>177</v>
      </c>
      <c r="Q133" s="32" t="s">
        <v>178</v>
      </c>
      <c r="R133" s="28" t="s">
        <v>154</v>
      </c>
      <c r="S133" s="32" t="s">
        <v>154</v>
      </c>
      <c r="T133" s="28" t="s">
        <v>154</v>
      </c>
      <c r="U133" s="28" t="s">
        <v>154</v>
      </c>
      <c r="V133" s="26" t="s">
        <v>1064</v>
      </c>
      <c r="W133" s="28" t="s">
        <v>237</v>
      </c>
      <c r="X133" s="28" t="s">
        <v>238</v>
      </c>
      <c r="Y133" s="26" t="s">
        <v>1065</v>
      </c>
      <c r="Z133" s="26" t="s">
        <v>1020</v>
      </c>
      <c r="AA133" s="26" t="s">
        <v>204</v>
      </c>
      <c r="AB133" s="28" t="s">
        <v>205</v>
      </c>
      <c r="AC133" s="26" t="s">
        <v>206</v>
      </c>
      <c r="AD133" s="28" t="s">
        <v>207</v>
      </c>
      <c r="AE133" s="29" t="s">
        <v>149</v>
      </c>
      <c r="AF133" s="26" t="s">
        <v>149</v>
      </c>
      <c r="AG133" s="26" t="s">
        <v>149</v>
      </c>
      <c r="AH133" s="26" t="s">
        <v>233</v>
      </c>
      <c r="AI133" s="32" t="s">
        <v>209</v>
      </c>
      <c r="AJ133" s="28" t="s">
        <v>227</v>
      </c>
      <c r="AK133" s="11" t="s">
        <v>149</v>
      </c>
      <c r="AL133" s="11" t="s">
        <v>149</v>
      </c>
      <c r="AM133" s="11" t="s">
        <v>149</v>
      </c>
      <c r="AN133" s="28" t="s">
        <v>241</v>
      </c>
      <c r="AO133" s="28" t="s">
        <v>242</v>
      </c>
      <c r="AP133" s="26" t="s">
        <v>1066</v>
      </c>
      <c r="AQ133" s="38" t="s">
        <v>1067</v>
      </c>
      <c r="AR133" s="26" t="s">
        <v>1068</v>
      </c>
      <c r="AS133" s="11" t="s">
        <v>149</v>
      </c>
      <c r="AT133" s="11"/>
    </row>
    <row r="134">
      <c r="A134" s="36" t="s">
        <v>1069</v>
      </c>
      <c r="B134" s="26" t="str">
        <f t="shared" si="1"/>
        <v>2023-PH015514000-2008-0080</v>
      </c>
      <c r="C134" s="27">
        <f t="shared" si="3"/>
        <v>2023</v>
      </c>
      <c r="D134" s="28" t="s">
        <v>140</v>
      </c>
      <c r="E134" s="28" t="s">
        <v>141</v>
      </c>
      <c r="F134" s="28" t="s">
        <v>142</v>
      </c>
      <c r="G134" s="29" t="s">
        <v>143</v>
      </c>
      <c r="H134" s="29" t="s">
        <v>144</v>
      </c>
      <c r="I134" s="29" t="s">
        <v>693</v>
      </c>
      <c r="J134" s="29" t="s">
        <v>694</v>
      </c>
      <c r="K134" s="28" t="s">
        <v>1015</v>
      </c>
      <c r="L134" s="28" t="s">
        <v>1070</v>
      </c>
      <c r="M134" s="31">
        <v>2008.0</v>
      </c>
      <c r="N134" s="31">
        <v>2008.0</v>
      </c>
      <c r="O134" s="31">
        <v>2010.0</v>
      </c>
      <c r="P134" s="28" t="s">
        <v>298</v>
      </c>
      <c r="Q134" s="32" t="s">
        <v>299</v>
      </c>
      <c r="R134" s="28" t="s">
        <v>154</v>
      </c>
      <c r="S134" s="32" t="s">
        <v>154</v>
      </c>
      <c r="T134" s="28" t="s">
        <v>300</v>
      </c>
      <c r="U134" s="28" t="s">
        <v>1071</v>
      </c>
      <c r="V134" s="26" t="s">
        <v>1072</v>
      </c>
      <c r="W134" s="28" t="s">
        <v>237</v>
      </c>
      <c r="X134" s="28" t="s">
        <v>238</v>
      </c>
      <c r="Y134" s="26" t="s">
        <v>1073</v>
      </c>
      <c r="Z134" s="26" t="s">
        <v>1020</v>
      </c>
      <c r="AA134" s="26" t="s">
        <v>204</v>
      </c>
      <c r="AB134" s="28" t="s">
        <v>205</v>
      </c>
      <c r="AC134" s="26" t="s">
        <v>206</v>
      </c>
      <c r="AD134" s="28" t="s">
        <v>207</v>
      </c>
      <c r="AE134" s="29" t="s">
        <v>149</v>
      </c>
      <c r="AF134" s="26" t="s">
        <v>149</v>
      </c>
      <c r="AG134" s="26" t="s">
        <v>1074</v>
      </c>
      <c r="AH134" s="26" t="s">
        <v>233</v>
      </c>
      <c r="AI134" s="32" t="s">
        <v>209</v>
      </c>
      <c r="AJ134" s="28" t="s">
        <v>227</v>
      </c>
      <c r="AK134" s="11" t="s">
        <v>149</v>
      </c>
      <c r="AL134" s="11" t="s">
        <v>149</v>
      </c>
      <c r="AM134" s="11" t="s">
        <v>149</v>
      </c>
      <c r="AN134" s="28" t="s">
        <v>241</v>
      </c>
      <c r="AO134" s="28" t="s">
        <v>242</v>
      </c>
      <c r="AP134" s="26" t="s">
        <v>1075</v>
      </c>
      <c r="AQ134" s="38" t="s">
        <v>1076</v>
      </c>
      <c r="AR134" s="26" t="s">
        <v>1077</v>
      </c>
      <c r="AS134" s="38" t="s">
        <v>1078</v>
      </c>
      <c r="AT134" s="11"/>
    </row>
    <row r="135">
      <c r="A135" s="36" t="s">
        <v>1079</v>
      </c>
      <c r="B135" s="26" t="str">
        <f t="shared" si="1"/>
        <v>2023-PH060412000-2022-0226</v>
      </c>
      <c r="C135" s="27">
        <f t="shared" si="3"/>
        <v>2023</v>
      </c>
      <c r="D135" s="28" t="s">
        <v>140</v>
      </c>
      <c r="E135" s="28" t="s">
        <v>141</v>
      </c>
      <c r="F135" s="28" t="s">
        <v>142</v>
      </c>
      <c r="G135" s="29" t="s">
        <v>314</v>
      </c>
      <c r="H135" s="29" t="s">
        <v>315</v>
      </c>
      <c r="I135" s="29" t="s">
        <v>316</v>
      </c>
      <c r="J135" s="29" t="s">
        <v>317</v>
      </c>
      <c r="K135" s="26" t="s">
        <v>1080</v>
      </c>
      <c r="L135" s="43" t="s">
        <v>149</v>
      </c>
      <c r="M135" s="31">
        <v>2022.0</v>
      </c>
      <c r="N135" s="31" t="s">
        <v>149</v>
      </c>
      <c r="O135" s="31" t="s">
        <v>149</v>
      </c>
      <c r="P135" s="28" t="s">
        <v>177</v>
      </c>
      <c r="Q135" s="32" t="s">
        <v>319</v>
      </c>
      <c r="R135" s="28" t="s">
        <v>154</v>
      </c>
      <c r="S135" s="32" t="s">
        <v>154</v>
      </c>
      <c r="T135" s="28" t="s">
        <v>300</v>
      </c>
      <c r="U135" s="28" t="s">
        <v>1081</v>
      </c>
      <c r="V135" s="28" t="s">
        <v>1082</v>
      </c>
      <c r="W135" s="32" t="s">
        <v>180</v>
      </c>
      <c r="X135" s="32" t="s">
        <v>181</v>
      </c>
      <c r="Y135" s="28" t="s">
        <v>1083</v>
      </c>
      <c r="Z135" s="26" t="s">
        <v>1084</v>
      </c>
      <c r="AA135" s="26" t="s">
        <v>159</v>
      </c>
      <c r="AB135" s="26" t="s">
        <v>160</v>
      </c>
      <c r="AC135" s="26" t="s">
        <v>184</v>
      </c>
      <c r="AD135" s="28" t="s">
        <v>184</v>
      </c>
      <c r="AE135" s="29" t="s">
        <v>149</v>
      </c>
      <c r="AF135" s="26" t="s">
        <v>149</v>
      </c>
      <c r="AG135" s="26" t="s">
        <v>149</v>
      </c>
      <c r="AH135" s="33" t="s">
        <v>739</v>
      </c>
      <c r="AI135" s="33" t="s">
        <v>306</v>
      </c>
      <c r="AJ135" s="28" t="s">
        <v>306</v>
      </c>
      <c r="AK135" s="26" t="s">
        <v>369</v>
      </c>
      <c r="AL135" s="26" t="s">
        <v>1085</v>
      </c>
      <c r="AM135" s="11" t="s">
        <v>149</v>
      </c>
      <c r="AN135" s="28" t="s">
        <v>165</v>
      </c>
      <c r="AO135" s="26" t="s">
        <v>166</v>
      </c>
      <c r="AP135" s="26" t="s">
        <v>1086</v>
      </c>
      <c r="AQ135" s="34" t="s">
        <v>1087</v>
      </c>
      <c r="AR135" s="11" t="s">
        <v>149</v>
      </c>
      <c r="AS135" s="11" t="s">
        <v>149</v>
      </c>
      <c r="AT135" s="28"/>
    </row>
    <row r="136">
      <c r="A136" s="36" t="s">
        <v>1088</v>
      </c>
      <c r="B136" s="26" t="str">
        <f t="shared" si="1"/>
        <v>2025-PH051712000-2021-0198</v>
      </c>
      <c r="C136" s="27">
        <f t="shared" si="3"/>
        <v>2025</v>
      </c>
      <c r="D136" s="28" t="s">
        <v>191</v>
      </c>
      <c r="E136" s="28" t="s">
        <v>191</v>
      </c>
      <c r="F136" s="28" t="s">
        <v>192</v>
      </c>
      <c r="G136" s="29" t="s">
        <v>535</v>
      </c>
      <c r="H136" s="29" t="s">
        <v>1089</v>
      </c>
      <c r="I136" s="29" t="s">
        <v>1090</v>
      </c>
      <c r="J136" s="29" t="s">
        <v>1091</v>
      </c>
      <c r="K136" s="26" t="s">
        <v>1092</v>
      </c>
      <c r="L136" s="43" t="s">
        <v>149</v>
      </c>
      <c r="M136" s="31">
        <v>2021.0</v>
      </c>
      <c r="N136" s="31" t="s">
        <v>149</v>
      </c>
      <c r="O136" s="31" t="s">
        <v>149</v>
      </c>
      <c r="P136" s="28" t="s">
        <v>177</v>
      </c>
      <c r="Q136" s="32" t="s">
        <v>178</v>
      </c>
      <c r="R136" s="28" t="s">
        <v>154</v>
      </c>
      <c r="S136" s="32" t="s">
        <v>154</v>
      </c>
      <c r="T136" s="28" t="s">
        <v>154</v>
      </c>
      <c r="U136" s="28" t="s">
        <v>154</v>
      </c>
      <c r="V136" s="26" t="s">
        <v>149</v>
      </c>
      <c r="W136" s="32" t="s">
        <v>149</v>
      </c>
      <c r="X136" s="32" t="s">
        <v>254</v>
      </c>
      <c r="Y136" s="26" t="s">
        <v>149</v>
      </c>
      <c r="Z136" s="26" t="s">
        <v>369</v>
      </c>
      <c r="AA136" s="26" t="s">
        <v>159</v>
      </c>
      <c r="AB136" s="26" t="s">
        <v>160</v>
      </c>
      <c r="AC136" s="28" t="s">
        <v>161</v>
      </c>
      <c r="AD136" s="28" t="s">
        <v>369</v>
      </c>
      <c r="AE136" s="29" t="s">
        <v>149</v>
      </c>
      <c r="AF136" s="26" t="s">
        <v>149</v>
      </c>
      <c r="AG136" s="26" t="s">
        <v>149</v>
      </c>
      <c r="AH136" s="26" t="s">
        <v>369</v>
      </c>
      <c r="AI136" s="28" t="s">
        <v>161</v>
      </c>
      <c r="AJ136" s="28" t="s">
        <v>369</v>
      </c>
      <c r="AK136" s="26" t="s">
        <v>1093</v>
      </c>
      <c r="AL136" s="28" t="s">
        <v>149</v>
      </c>
      <c r="AM136" s="28" t="s">
        <v>149</v>
      </c>
      <c r="AN136" s="28" t="s">
        <v>165</v>
      </c>
      <c r="AO136" s="28" t="s">
        <v>689</v>
      </c>
      <c r="AP136" s="33" t="s">
        <v>1094</v>
      </c>
      <c r="AQ136" s="38" t="s">
        <v>1095</v>
      </c>
      <c r="AR136" s="28" t="s">
        <v>149</v>
      </c>
      <c r="AS136" s="28" t="s">
        <v>149</v>
      </c>
      <c r="AT136" s="28"/>
    </row>
    <row r="137">
      <c r="A137" s="36" t="s">
        <v>1096</v>
      </c>
      <c r="B137" s="26" t="str">
        <f t="shared" si="1"/>
        <v>2023-PH074609000-2022-0420</v>
      </c>
      <c r="C137" s="27">
        <f t="shared" si="3"/>
        <v>2023</v>
      </c>
      <c r="D137" s="28" t="s">
        <v>140</v>
      </c>
      <c r="E137" s="28" t="s">
        <v>141</v>
      </c>
      <c r="F137" s="28" t="s">
        <v>142</v>
      </c>
      <c r="G137" s="29" t="s">
        <v>625</v>
      </c>
      <c r="H137" s="29" t="s">
        <v>632</v>
      </c>
      <c r="I137" s="56" t="s">
        <v>847</v>
      </c>
      <c r="J137" s="55" t="s">
        <v>848</v>
      </c>
      <c r="K137" s="26" t="s">
        <v>1097</v>
      </c>
      <c r="L137" s="26" t="s">
        <v>1098</v>
      </c>
      <c r="M137" s="31">
        <v>2022.0</v>
      </c>
      <c r="N137" s="31" t="s">
        <v>149</v>
      </c>
      <c r="O137" s="31" t="s">
        <v>149</v>
      </c>
      <c r="P137" s="28" t="s">
        <v>177</v>
      </c>
      <c r="Q137" s="32" t="s">
        <v>319</v>
      </c>
      <c r="R137" s="28" t="s">
        <v>154</v>
      </c>
      <c r="S137" s="32" t="s">
        <v>154</v>
      </c>
      <c r="T137" s="28" t="s">
        <v>300</v>
      </c>
      <c r="U137" s="28" t="s">
        <v>1099</v>
      </c>
      <c r="V137" s="26" t="s">
        <v>1100</v>
      </c>
      <c r="W137" s="32" t="s">
        <v>1101</v>
      </c>
      <c r="X137" s="32" t="s">
        <v>268</v>
      </c>
      <c r="Y137" s="28" t="s">
        <v>1102</v>
      </c>
      <c r="Z137" s="26" t="s">
        <v>1103</v>
      </c>
      <c r="AA137" s="26" t="s">
        <v>159</v>
      </c>
      <c r="AB137" s="26" t="s">
        <v>160</v>
      </c>
      <c r="AC137" s="26" t="s">
        <v>184</v>
      </c>
      <c r="AD137" s="28" t="s">
        <v>184</v>
      </c>
      <c r="AE137" s="29" t="s">
        <v>149</v>
      </c>
      <c r="AF137" s="26" t="s">
        <v>149</v>
      </c>
      <c r="AG137" s="26" t="s">
        <v>149</v>
      </c>
      <c r="AH137" s="26" t="s">
        <v>1103</v>
      </c>
      <c r="AI137" s="26" t="s">
        <v>184</v>
      </c>
      <c r="AJ137" s="28" t="s">
        <v>184</v>
      </c>
      <c r="AK137" s="29" t="s">
        <v>149</v>
      </c>
      <c r="AL137" s="26" t="s">
        <v>1104</v>
      </c>
      <c r="AM137" s="29" t="s">
        <v>149</v>
      </c>
      <c r="AN137" s="28" t="s">
        <v>165</v>
      </c>
      <c r="AO137" s="28" t="s">
        <v>289</v>
      </c>
      <c r="AP137" s="26" t="s">
        <v>1105</v>
      </c>
      <c r="AQ137" s="39" t="s">
        <v>1106</v>
      </c>
      <c r="AR137" s="29" t="s">
        <v>149</v>
      </c>
      <c r="AS137" s="29" t="s">
        <v>149</v>
      </c>
      <c r="AT137" s="11"/>
    </row>
    <row r="138">
      <c r="A138" s="36" t="s">
        <v>1107</v>
      </c>
      <c r="B138" s="26" t="str">
        <f t="shared" si="1"/>
        <v>2025-PH071233000-Unknown-0267</v>
      </c>
      <c r="C138" s="27">
        <f t="shared" si="3"/>
        <v>2025</v>
      </c>
      <c r="D138" s="28" t="s">
        <v>191</v>
      </c>
      <c r="E138" s="28" t="s">
        <v>191</v>
      </c>
      <c r="F138" s="28" t="s">
        <v>192</v>
      </c>
      <c r="G138" s="29" t="s">
        <v>193</v>
      </c>
      <c r="H138" s="29" t="s">
        <v>563</v>
      </c>
      <c r="I138" s="29" t="s">
        <v>1108</v>
      </c>
      <c r="J138" s="29" t="s">
        <v>1109</v>
      </c>
      <c r="K138" s="26" t="s">
        <v>1110</v>
      </c>
      <c r="L138" s="26" t="s">
        <v>1111</v>
      </c>
      <c r="M138" s="31" t="s">
        <v>149</v>
      </c>
      <c r="N138" s="31" t="s">
        <v>149</v>
      </c>
      <c r="O138" s="31" t="s">
        <v>149</v>
      </c>
      <c r="P138" s="28" t="s">
        <v>177</v>
      </c>
      <c r="Q138" s="32" t="s">
        <v>319</v>
      </c>
      <c r="R138" s="28" t="s">
        <v>154</v>
      </c>
      <c r="S138" s="32" t="s">
        <v>154</v>
      </c>
      <c r="T138" s="28" t="s">
        <v>300</v>
      </c>
      <c r="U138" s="28" t="s">
        <v>1099</v>
      </c>
      <c r="V138" s="26" t="s">
        <v>1112</v>
      </c>
      <c r="W138" s="32" t="s">
        <v>180</v>
      </c>
      <c r="X138" s="32" t="s">
        <v>181</v>
      </c>
      <c r="Y138" s="26" t="s">
        <v>1113</v>
      </c>
      <c r="Z138" s="26" t="s">
        <v>149</v>
      </c>
      <c r="AA138" s="26" t="s">
        <v>149</v>
      </c>
      <c r="AB138" s="26" t="s">
        <v>149</v>
      </c>
      <c r="AC138" s="26" t="s">
        <v>149</v>
      </c>
      <c r="AD138" s="28" t="s">
        <v>149</v>
      </c>
      <c r="AE138" s="29" t="s">
        <v>149</v>
      </c>
      <c r="AF138" s="26" t="s">
        <v>149</v>
      </c>
      <c r="AG138" s="26" t="s">
        <v>149</v>
      </c>
      <c r="AH138" s="26" t="s">
        <v>1114</v>
      </c>
      <c r="AI138" s="26" t="s">
        <v>184</v>
      </c>
      <c r="AJ138" s="28" t="s">
        <v>184</v>
      </c>
      <c r="AK138" s="26" t="s">
        <v>1115</v>
      </c>
      <c r="AL138" s="26" t="s">
        <v>1116</v>
      </c>
      <c r="AM138" s="28" t="s">
        <v>149</v>
      </c>
      <c r="AN138" s="28" t="s">
        <v>165</v>
      </c>
      <c r="AO138" s="28" t="s">
        <v>689</v>
      </c>
      <c r="AP138" s="26" t="s">
        <v>1117</v>
      </c>
      <c r="AQ138" s="38" t="s">
        <v>1118</v>
      </c>
      <c r="AR138" s="28" t="s">
        <v>149</v>
      </c>
      <c r="AS138" s="39" t="s">
        <v>149</v>
      </c>
      <c r="AT138" s="11"/>
    </row>
    <row r="139">
      <c r="A139" s="36" t="s">
        <v>1119</v>
      </c>
      <c r="B139" s="26" t="str">
        <f t="shared" si="1"/>
        <v>2025-PH175913000-2013-0183</v>
      </c>
      <c r="C139" s="27">
        <f t="shared" si="3"/>
        <v>2025</v>
      </c>
      <c r="D139" s="28" t="s">
        <v>191</v>
      </c>
      <c r="E139" s="28" t="s">
        <v>191</v>
      </c>
      <c r="F139" s="28" t="s">
        <v>142</v>
      </c>
      <c r="G139" s="29" t="s">
        <v>522</v>
      </c>
      <c r="H139" s="29" t="s">
        <v>529</v>
      </c>
      <c r="I139" s="29" t="s">
        <v>1120</v>
      </c>
      <c r="J139" s="29" t="s">
        <v>1121</v>
      </c>
      <c r="K139" s="26" t="s">
        <v>1122</v>
      </c>
      <c r="L139" s="71" t="s">
        <v>1123</v>
      </c>
      <c r="M139" s="31">
        <v>2013.0</v>
      </c>
      <c r="N139" s="31" t="s">
        <v>149</v>
      </c>
      <c r="O139" s="31" t="s">
        <v>149</v>
      </c>
      <c r="P139" s="28" t="s">
        <v>150</v>
      </c>
      <c r="Q139" s="32" t="s">
        <v>151</v>
      </c>
      <c r="R139" s="28" t="s">
        <v>604</v>
      </c>
      <c r="S139" s="28" t="s">
        <v>605</v>
      </c>
      <c r="T139" s="28" t="s">
        <v>154</v>
      </c>
      <c r="U139" s="28" t="s">
        <v>154</v>
      </c>
      <c r="V139" s="28" t="s">
        <v>1124</v>
      </c>
      <c r="W139" s="32" t="s">
        <v>180</v>
      </c>
      <c r="X139" s="32" t="s">
        <v>181</v>
      </c>
      <c r="Y139" s="28" t="s">
        <v>1125</v>
      </c>
      <c r="Z139" s="26" t="s">
        <v>369</v>
      </c>
      <c r="AA139" s="26" t="s">
        <v>159</v>
      </c>
      <c r="AB139" s="26" t="s">
        <v>160</v>
      </c>
      <c r="AC139" s="28" t="s">
        <v>161</v>
      </c>
      <c r="AD139" s="28" t="s">
        <v>369</v>
      </c>
      <c r="AE139" s="44" t="s">
        <v>1126</v>
      </c>
      <c r="AF139" s="26" t="s">
        <v>149</v>
      </c>
      <c r="AG139" s="26" t="s">
        <v>795</v>
      </c>
      <c r="AH139" s="26" t="s">
        <v>1127</v>
      </c>
      <c r="AI139" s="26" t="s">
        <v>306</v>
      </c>
      <c r="AJ139" s="28" t="s">
        <v>306</v>
      </c>
      <c r="AK139" s="26" t="s">
        <v>369</v>
      </c>
      <c r="AL139" s="28" t="s">
        <v>149</v>
      </c>
      <c r="AM139" s="28" t="s">
        <v>149</v>
      </c>
      <c r="AN139" s="28" t="s">
        <v>165</v>
      </c>
      <c r="AO139" s="26" t="s">
        <v>166</v>
      </c>
      <c r="AP139" s="26" t="s">
        <v>1128</v>
      </c>
      <c r="AQ139" s="38" t="s">
        <v>1129</v>
      </c>
      <c r="AR139" s="90" t="s">
        <v>1130</v>
      </c>
      <c r="AS139" s="39" t="s">
        <v>149</v>
      </c>
      <c r="AT139" s="26"/>
    </row>
    <row r="140">
      <c r="A140" s="36" t="s">
        <v>1131</v>
      </c>
      <c r="B140" s="26" t="str">
        <f t="shared" si="1"/>
        <v>2023-PH104319000-Unknown-0363</v>
      </c>
      <c r="C140" s="27">
        <f t="shared" si="3"/>
        <v>2023</v>
      </c>
      <c r="D140" s="37" t="s">
        <v>140</v>
      </c>
      <c r="E140" s="28" t="s">
        <v>141</v>
      </c>
      <c r="F140" s="28" t="s">
        <v>192</v>
      </c>
      <c r="G140" s="29" t="s">
        <v>171</v>
      </c>
      <c r="H140" s="29" t="s">
        <v>172</v>
      </c>
      <c r="I140" s="29" t="s">
        <v>173</v>
      </c>
      <c r="J140" s="29" t="s">
        <v>174</v>
      </c>
      <c r="K140" s="26" t="s">
        <v>1132</v>
      </c>
      <c r="L140" s="28" t="s">
        <v>1133</v>
      </c>
      <c r="M140" s="31" t="s">
        <v>149</v>
      </c>
      <c r="N140" s="31" t="s">
        <v>149</v>
      </c>
      <c r="O140" s="31" t="s">
        <v>149</v>
      </c>
      <c r="P140" s="28" t="s">
        <v>263</v>
      </c>
      <c r="Q140" s="32" t="s">
        <v>264</v>
      </c>
      <c r="R140" s="28" t="s">
        <v>149</v>
      </c>
      <c r="S140" s="32" t="s">
        <v>149</v>
      </c>
      <c r="T140" s="28" t="s">
        <v>154</v>
      </c>
      <c r="U140" s="28" t="s">
        <v>154</v>
      </c>
      <c r="V140" s="26" t="s">
        <v>1134</v>
      </c>
      <c r="W140" s="32" t="s">
        <v>1135</v>
      </c>
      <c r="X140" s="32" t="s">
        <v>1136</v>
      </c>
      <c r="Y140" s="26" t="s">
        <v>1137</v>
      </c>
      <c r="Z140" s="26" t="s">
        <v>183</v>
      </c>
      <c r="AA140" s="26" t="s">
        <v>204</v>
      </c>
      <c r="AB140" s="26" t="s">
        <v>160</v>
      </c>
      <c r="AC140" s="26" t="s">
        <v>184</v>
      </c>
      <c r="AD140" s="28" t="s">
        <v>184</v>
      </c>
      <c r="AE140" s="29" t="s">
        <v>149</v>
      </c>
      <c r="AF140" s="26" t="s">
        <v>149</v>
      </c>
      <c r="AG140" s="26" t="s">
        <v>149</v>
      </c>
      <c r="AH140" s="26" t="s">
        <v>183</v>
      </c>
      <c r="AI140" s="26" t="s">
        <v>184</v>
      </c>
      <c r="AJ140" s="28" t="s">
        <v>184</v>
      </c>
      <c r="AK140" s="26" t="s">
        <v>149</v>
      </c>
      <c r="AL140" s="26" t="s">
        <v>185</v>
      </c>
      <c r="AM140" s="28" t="s">
        <v>149</v>
      </c>
      <c r="AN140" s="28" t="s">
        <v>165</v>
      </c>
      <c r="AO140" s="28" t="s">
        <v>166</v>
      </c>
      <c r="AP140" s="26" t="s">
        <v>1138</v>
      </c>
      <c r="AQ140" s="38" t="s">
        <v>1139</v>
      </c>
      <c r="AR140" s="26" t="s">
        <v>188</v>
      </c>
      <c r="AS140" s="38" t="s">
        <v>1140</v>
      </c>
      <c r="AT140" s="29"/>
    </row>
    <row r="141">
      <c r="A141" s="25" t="s">
        <v>1141</v>
      </c>
      <c r="B141" s="26" t="str">
        <f t="shared" si="1"/>
        <v>2023-PH013309000-2014-0026</v>
      </c>
      <c r="C141" s="27">
        <f t="shared" si="3"/>
        <v>2023</v>
      </c>
      <c r="D141" s="28" t="s">
        <v>140</v>
      </c>
      <c r="E141" s="28" t="s">
        <v>141</v>
      </c>
      <c r="F141" s="28" t="s">
        <v>192</v>
      </c>
      <c r="G141" s="29" t="s">
        <v>143</v>
      </c>
      <c r="H141" s="29" t="s">
        <v>438</v>
      </c>
      <c r="I141" s="29" t="s">
        <v>1142</v>
      </c>
      <c r="J141" s="29" t="s">
        <v>1143</v>
      </c>
      <c r="K141" s="26" t="s">
        <v>1144</v>
      </c>
      <c r="L141" s="47" t="s">
        <v>149</v>
      </c>
      <c r="M141" s="31">
        <v>2014.0</v>
      </c>
      <c r="N141" s="31">
        <v>2012.0</v>
      </c>
      <c r="O141" s="31">
        <v>2017.0</v>
      </c>
      <c r="P141" s="28" t="s">
        <v>150</v>
      </c>
      <c r="Q141" s="32" t="s">
        <v>151</v>
      </c>
      <c r="R141" s="28" t="s">
        <v>149</v>
      </c>
      <c r="S141" s="32" t="s">
        <v>149</v>
      </c>
      <c r="T141" s="28" t="s">
        <v>154</v>
      </c>
      <c r="U141" s="28" t="s">
        <v>154</v>
      </c>
      <c r="V141" s="26" t="s">
        <v>149</v>
      </c>
      <c r="W141" s="32" t="s">
        <v>791</v>
      </c>
      <c r="X141" s="32" t="s">
        <v>792</v>
      </c>
      <c r="Y141" s="28" t="s">
        <v>1145</v>
      </c>
      <c r="Z141" s="26" t="s">
        <v>1146</v>
      </c>
      <c r="AA141" s="26" t="s">
        <v>159</v>
      </c>
      <c r="AB141" s="28" t="s">
        <v>205</v>
      </c>
      <c r="AC141" s="26" t="s">
        <v>206</v>
      </c>
      <c r="AD141" s="28" t="s">
        <v>207</v>
      </c>
      <c r="AE141" s="29" t="s">
        <v>149</v>
      </c>
      <c r="AF141" s="26" t="s">
        <v>149</v>
      </c>
      <c r="AG141" s="26" t="s">
        <v>149</v>
      </c>
      <c r="AH141" s="26" t="s">
        <v>369</v>
      </c>
      <c r="AI141" s="28" t="s">
        <v>161</v>
      </c>
      <c r="AJ141" s="28" t="s">
        <v>369</v>
      </c>
      <c r="AK141" s="26" t="s">
        <v>149</v>
      </c>
      <c r="AL141" s="26" t="s">
        <v>149</v>
      </c>
      <c r="AM141" s="26" t="s">
        <v>149</v>
      </c>
      <c r="AN141" s="28" t="s">
        <v>165</v>
      </c>
      <c r="AO141" s="28" t="s">
        <v>1147</v>
      </c>
      <c r="AP141" s="26" t="s">
        <v>1148</v>
      </c>
      <c r="AQ141" s="26" t="s">
        <v>1149</v>
      </c>
      <c r="AR141" s="26" t="s">
        <v>149</v>
      </c>
      <c r="AS141" s="26" t="s">
        <v>149</v>
      </c>
      <c r="AT141" s="26"/>
    </row>
    <row r="142">
      <c r="A142" s="36" t="s">
        <v>1150</v>
      </c>
      <c r="B142" s="26" t="str">
        <f t="shared" si="1"/>
        <v>2023-PH050517000-2016-0191</v>
      </c>
      <c r="C142" s="27">
        <f t="shared" si="3"/>
        <v>2023</v>
      </c>
      <c r="D142" s="37" t="s">
        <v>140</v>
      </c>
      <c r="E142" s="28" t="s">
        <v>141</v>
      </c>
      <c r="F142" s="28" t="s">
        <v>192</v>
      </c>
      <c r="G142" s="29" t="s">
        <v>535</v>
      </c>
      <c r="H142" s="29" t="s">
        <v>893</v>
      </c>
      <c r="I142" s="40" t="s">
        <v>1151</v>
      </c>
      <c r="J142" s="29" t="s">
        <v>1152</v>
      </c>
      <c r="K142" s="26" t="s">
        <v>1153</v>
      </c>
      <c r="L142" s="26" t="s">
        <v>1154</v>
      </c>
      <c r="M142" s="31">
        <v>2016.0</v>
      </c>
      <c r="N142" s="31" t="s">
        <v>149</v>
      </c>
      <c r="O142" s="31" t="s">
        <v>149</v>
      </c>
      <c r="P142" s="28" t="s">
        <v>177</v>
      </c>
      <c r="Q142" s="32" t="s">
        <v>319</v>
      </c>
      <c r="R142" s="28" t="s">
        <v>154</v>
      </c>
      <c r="S142" s="32" t="s">
        <v>154</v>
      </c>
      <c r="T142" s="28" t="s">
        <v>300</v>
      </c>
      <c r="U142" s="28" t="s">
        <v>1155</v>
      </c>
      <c r="V142" s="26" t="s">
        <v>1156</v>
      </c>
      <c r="W142" s="28" t="s">
        <v>237</v>
      </c>
      <c r="X142" s="28" t="s">
        <v>238</v>
      </c>
      <c r="Y142" s="26" t="s">
        <v>1157</v>
      </c>
      <c r="Z142" s="26" t="s">
        <v>1158</v>
      </c>
      <c r="AA142" s="26" t="s">
        <v>204</v>
      </c>
      <c r="AB142" s="26" t="s">
        <v>160</v>
      </c>
      <c r="AC142" s="26" t="s">
        <v>209</v>
      </c>
      <c r="AD142" s="28" t="s">
        <v>227</v>
      </c>
      <c r="AE142" s="29" t="s">
        <v>149</v>
      </c>
      <c r="AF142" s="26" t="s">
        <v>149</v>
      </c>
      <c r="AG142" s="26" t="s">
        <v>149</v>
      </c>
      <c r="AH142" s="26" t="s">
        <v>1158</v>
      </c>
      <c r="AI142" s="32" t="s">
        <v>209</v>
      </c>
      <c r="AJ142" s="28" t="s">
        <v>227</v>
      </c>
      <c r="AK142" s="26" t="s">
        <v>149</v>
      </c>
      <c r="AL142" s="26" t="s">
        <v>149</v>
      </c>
      <c r="AM142" s="26" t="s">
        <v>149</v>
      </c>
      <c r="AN142" s="28" t="s">
        <v>165</v>
      </c>
      <c r="AO142" s="28" t="s">
        <v>1159</v>
      </c>
      <c r="AP142" s="26" t="s">
        <v>1160</v>
      </c>
      <c r="AQ142" s="38" t="s">
        <v>1161</v>
      </c>
      <c r="AR142" s="26" t="s">
        <v>149</v>
      </c>
      <c r="AS142" s="26" t="s">
        <v>149</v>
      </c>
      <c r="AT142" s="11"/>
    </row>
    <row r="143">
      <c r="A143" s="36" t="s">
        <v>1162</v>
      </c>
      <c r="B143" s="26" t="str">
        <f t="shared" si="1"/>
        <v>2023-PH015514000-2005-0077</v>
      </c>
      <c r="C143" s="27">
        <f t="shared" si="3"/>
        <v>2023</v>
      </c>
      <c r="D143" s="28" t="s">
        <v>140</v>
      </c>
      <c r="E143" s="28" t="s">
        <v>141</v>
      </c>
      <c r="F143" s="28" t="s">
        <v>192</v>
      </c>
      <c r="G143" s="29" t="s">
        <v>143</v>
      </c>
      <c r="H143" s="29" t="s">
        <v>144</v>
      </c>
      <c r="I143" s="29" t="s">
        <v>693</v>
      </c>
      <c r="J143" s="29" t="s">
        <v>694</v>
      </c>
      <c r="K143" s="26" t="s">
        <v>1022</v>
      </c>
      <c r="L143" s="28" t="s">
        <v>1163</v>
      </c>
      <c r="M143" s="31">
        <v>2005.0</v>
      </c>
      <c r="N143" s="31">
        <v>2005.0</v>
      </c>
      <c r="O143" s="31">
        <v>2007.0</v>
      </c>
      <c r="P143" s="28" t="s">
        <v>177</v>
      </c>
      <c r="Q143" s="32" t="s">
        <v>178</v>
      </c>
      <c r="R143" s="28" t="s">
        <v>154</v>
      </c>
      <c r="S143" s="32" t="s">
        <v>154</v>
      </c>
      <c r="T143" s="28" t="s">
        <v>154</v>
      </c>
      <c r="U143" s="28" t="s">
        <v>154</v>
      </c>
      <c r="V143" s="28" t="s">
        <v>1164</v>
      </c>
      <c r="W143" s="28" t="s">
        <v>237</v>
      </c>
      <c r="X143" s="32" t="s">
        <v>238</v>
      </c>
      <c r="Y143" s="26" t="s">
        <v>1165</v>
      </c>
      <c r="Z143" s="26" t="s">
        <v>1022</v>
      </c>
      <c r="AA143" s="26" t="s">
        <v>204</v>
      </c>
      <c r="AB143" s="28" t="s">
        <v>205</v>
      </c>
      <c r="AC143" s="26" t="s">
        <v>206</v>
      </c>
      <c r="AD143" s="28" t="s">
        <v>207</v>
      </c>
      <c r="AE143" s="29" t="s">
        <v>149</v>
      </c>
      <c r="AF143" s="26" t="s">
        <v>149</v>
      </c>
      <c r="AG143" s="26" t="s">
        <v>149</v>
      </c>
      <c r="AH143" s="26" t="s">
        <v>1166</v>
      </c>
      <c r="AI143" s="32" t="s">
        <v>209</v>
      </c>
      <c r="AJ143" s="28" t="s">
        <v>210</v>
      </c>
      <c r="AK143" s="26" t="s">
        <v>233</v>
      </c>
      <c r="AL143" s="26" t="s">
        <v>1167</v>
      </c>
      <c r="AM143" s="11" t="s">
        <v>149</v>
      </c>
      <c r="AN143" s="28" t="s">
        <v>241</v>
      </c>
      <c r="AO143" s="28" t="s">
        <v>242</v>
      </c>
      <c r="AP143" s="26" t="s">
        <v>1168</v>
      </c>
      <c r="AQ143" s="38" t="s">
        <v>1169</v>
      </c>
      <c r="AR143" s="26" t="s">
        <v>1077</v>
      </c>
      <c r="AS143" s="38" t="s">
        <v>1170</v>
      </c>
      <c r="AT143" s="11"/>
    </row>
    <row r="144">
      <c r="A144" s="36" t="s">
        <v>1171</v>
      </c>
      <c r="B144" s="26" t="str">
        <f t="shared" si="1"/>
        <v>2023-PH174002000-2021-0169</v>
      </c>
      <c r="C144" s="27">
        <f t="shared" si="3"/>
        <v>2023</v>
      </c>
      <c r="D144" s="28" t="s">
        <v>140</v>
      </c>
      <c r="E144" s="28" t="s">
        <v>141</v>
      </c>
      <c r="F144" s="28" t="s">
        <v>142</v>
      </c>
      <c r="G144" s="29" t="s">
        <v>522</v>
      </c>
      <c r="H144" s="29" t="s">
        <v>802</v>
      </c>
      <c r="I144" s="29" t="s">
        <v>1172</v>
      </c>
      <c r="J144" s="29" t="s">
        <v>1173</v>
      </c>
      <c r="K144" s="28" t="s">
        <v>1174</v>
      </c>
      <c r="L144" s="26" t="s">
        <v>1175</v>
      </c>
      <c r="M144" s="31">
        <v>2021.0</v>
      </c>
      <c r="N144" s="31" t="s">
        <v>149</v>
      </c>
      <c r="O144" s="31" t="s">
        <v>149</v>
      </c>
      <c r="P144" s="28" t="s">
        <v>177</v>
      </c>
      <c r="Q144" s="32" t="s">
        <v>319</v>
      </c>
      <c r="R144" s="28" t="s">
        <v>154</v>
      </c>
      <c r="S144" s="32" t="s">
        <v>154</v>
      </c>
      <c r="T144" s="28" t="s">
        <v>300</v>
      </c>
      <c r="U144" s="28" t="s">
        <v>1081</v>
      </c>
      <c r="V144" s="28" t="s">
        <v>1176</v>
      </c>
      <c r="W144" s="32" t="s">
        <v>1177</v>
      </c>
      <c r="X144" s="32" t="s">
        <v>1178</v>
      </c>
      <c r="Y144" s="28" t="s">
        <v>1179</v>
      </c>
      <c r="Z144" s="26" t="s">
        <v>1180</v>
      </c>
      <c r="AA144" s="26" t="s">
        <v>159</v>
      </c>
      <c r="AB144" s="26" t="s">
        <v>160</v>
      </c>
      <c r="AC144" s="28" t="s">
        <v>322</v>
      </c>
      <c r="AD144" s="28" t="s">
        <v>323</v>
      </c>
      <c r="AE144" s="29" t="s">
        <v>149</v>
      </c>
      <c r="AF144" s="26" t="s">
        <v>149</v>
      </c>
      <c r="AG144" s="26" t="s">
        <v>1181</v>
      </c>
      <c r="AH144" s="26" t="s">
        <v>1180</v>
      </c>
      <c r="AI144" s="28" t="s">
        <v>322</v>
      </c>
      <c r="AJ144" s="28" t="s">
        <v>323</v>
      </c>
      <c r="AK144" s="26" t="s">
        <v>1182</v>
      </c>
      <c r="AL144" s="26" t="s">
        <v>149</v>
      </c>
      <c r="AM144" s="28" t="s">
        <v>1183</v>
      </c>
      <c r="AN144" s="28" t="s">
        <v>165</v>
      </c>
      <c r="AO144" s="26" t="s">
        <v>166</v>
      </c>
      <c r="AP144" s="26" t="s">
        <v>1184</v>
      </c>
      <c r="AQ144" s="38" t="s">
        <v>1185</v>
      </c>
      <c r="AR144" s="26" t="s">
        <v>149</v>
      </c>
      <c r="AS144" s="26" t="s">
        <v>149</v>
      </c>
      <c r="AT144" s="26"/>
    </row>
    <row r="145">
      <c r="A145" s="36" t="s">
        <v>1186</v>
      </c>
      <c r="B145" s="26" t="str">
        <f t="shared" si="1"/>
        <v>2023-PH174006000-2021-0172</v>
      </c>
      <c r="C145" s="27">
        <f t="shared" si="3"/>
        <v>2023</v>
      </c>
      <c r="D145" s="37" t="s">
        <v>140</v>
      </c>
      <c r="E145" s="28" t="s">
        <v>141</v>
      </c>
      <c r="F145" s="28" t="s">
        <v>142</v>
      </c>
      <c r="G145" s="29" t="s">
        <v>522</v>
      </c>
      <c r="H145" s="29" t="s">
        <v>802</v>
      </c>
      <c r="I145" s="29" t="s">
        <v>1187</v>
      </c>
      <c r="J145" s="29" t="s">
        <v>1188</v>
      </c>
      <c r="K145" s="28" t="s">
        <v>1174</v>
      </c>
      <c r="L145" s="26" t="s">
        <v>1189</v>
      </c>
      <c r="M145" s="31">
        <v>2021.0</v>
      </c>
      <c r="N145" s="31" t="s">
        <v>149</v>
      </c>
      <c r="O145" s="31" t="s">
        <v>149</v>
      </c>
      <c r="P145" s="28" t="s">
        <v>177</v>
      </c>
      <c r="Q145" s="32" t="s">
        <v>319</v>
      </c>
      <c r="R145" s="28" t="s">
        <v>154</v>
      </c>
      <c r="S145" s="32" t="s">
        <v>154</v>
      </c>
      <c r="T145" s="28" t="s">
        <v>300</v>
      </c>
      <c r="U145" s="28" t="s">
        <v>1081</v>
      </c>
      <c r="V145" s="28" t="s">
        <v>1176</v>
      </c>
      <c r="W145" s="32" t="s">
        <v>1177</v>
      </c>
      <c r="X145" s="32" t="s">
        <v>1178</v>
      </c>
      <c r="Y145" s="28" t="s">
        <v>1179</v>
      </c>
      <c r="Z145" s="26" t="s">
        <v>1180</v>
      </c>
      <c r="AA145" s="26" t="s">
        <v>159</v>
      </c>
      <c r="AB145" s="26" t="s">
        <v>160</v>
      </c>
      <c r="AC145" s="28" t="s">
        <v>322</v>
      </c>
      <c r="AD145" s="28" t="s">
        <v>323</v>
      </c>
      <c r="AE145" s="29" t="s">
        <v>149</v>
      </c>
      <c r="AF145" s="26" t="s">
        <v>149</v>
      </c>
      <c r="AG145" s="26" t="s">
        <v>1181</v>
      </c>
      <c r="AH145" s="26" t="s">
        <v>1180</v>
      </c>
      <c r="AI145" s="28" t="s">
        <v>322</v>
      </c>
      <c r="AJ145" s="28" t="s">
        <v>323</v>
      </c>
      <c r="AK145" s="26" t="s">
        <v>1182</v>
      </c>
      <c r="AL145" s="26" t="s">
        <v>149</v>
      </c>
      <c r="AM145" s="28" t="s">
        <v>1183</v>
      </c>
      <c r="AN145" s="28" t="s">
        <v>165</v>
      </c>
      <c r="AO145" s="26" t="s">
        <v>166</v>
      </c>
      <c r="AP145" s="26" t="s">
        <v>1184</v>
      </c>
      <c r="AQ145" s="26" t="s">
        <v>1185</v>
      </c>
      <c r="AR145" s="26" t="s">
        <v>149</v>
      </c>
      <c r="AS145" s="26" t="s">
        <v>149</v>
      </c>
      <c r="AT145" s="26"/>
    </row>
    <row r="146">
      <c r="A146" s="36" t="s">
        <v>1190</v>
      </c>
      <c r="B146" s="26" t="str">
        <f t="shared" si="1"/>
        <v>2023-PH054118000-2013-0212</v>
      </c>
      <c r="C146" s="27">
        <f t="shared" si="3"/>
        <v>2023</v>
      </c>
      <c r="D146" s="37" t="s">
        <v>140</v>
      </c>
      <c r="E146" s="28" t="s">
        <v>141</v>
      </c>
      <c r="F146" s="28" t="s">
        <v>192</v>
      </c>
      <c r="G146" s="29" t="s">
        <v>535</v>
      </c>
      <c r="H146" s="29" t="s">
        <v>1191</v>
      </c>
      <c r="I146" s="29" t="s">
        <v>1120</v>
      </c>
      <c r="J146" s="29" t="s">
        <v>1192</v>
      </c>
      <c r="K146" s="26" t="s">
        <v>1174</v>
      </c>
      <c r="L146" s="47" t="s">
        <v>149</v>
      </c>
      <c r="M146" s="31">
        <v>2013.0</v>
      </c>
      <c r="N146" s="31">
        <v>2012.0</v>
      </c>
      <c r="O146" s="31">
        <v>2013.0</v>
      </c>
      <c r="P146" s="28" t="s">
        <v>177</v>
      </c>
      <c r="Q146" s="32" t="s">
        <v>319</v>
      </c>
      <c r="R146" s="28" t="s">
        <v>154</v>
      </c>
      <c r="S146" s="32" t="s">
        <v>154</v>
      </c>
      <c r="T146" s="28" t="s">
        <v>300</v>
      </c>
      <c r="U146" s="28" t="s">
        <v>320</v>
      </c>
      <c r="V146" s="26" t="s">
        <v>320</v>
      </c>
      <c r="W146" s="28" t="s">
        <v>864</v>
      </c>
      <c r="X146" s="32" t="s">
        <v>865</v>
      </c>
      <c r="Y146" s="26" t="s">
        <v>1193</v>
      </c>
      <c r="Z146" s="26" t="s">
        <v>321</v>
      </c>
      <c r="AA146" s="26" t="s">
        <v>204</v>
      </c>
      <c r="AB146" s="26" t="s">
        <v>160</v>
      </c>
      <c r="AC146" s="28" t="s">
        <v>322</v>
      </c>
      <c r="AD146" s="28" t="s">
        <v>323</v>
      </c>
      <c r="AE146" s="29" t="s">
        <v>149</v>
      </c>
      <c r="AF146" s="26" t="s">
        <v>149</v>
      </c>
      <c r="AG146" s="26" t="s">
        <v>1194</v>
      </c>
      <c r="AH146" s="26" t="s">
        <v>1158</v>
      </c>
      <c r="AI146" s="32" t="s">
        <v>209</v>
      </c>
      <c r="AJ146" s="28" t="s">
        <v>227</v>
      </c>
      <c r="AK146" s="26" t="s">
        <v>149</v>
      </c>
      <c r="AL146" s="26" t="s">
        <v>149</v>
      </c>
      <c r="AM146" s="26" t="s">
        <v>1195</v>
      </c>
      <c r="AN146" s="28" t="s">
        <v>165</v>
      </c>
      <c r="AO146" s="28" t="s">
        <v>1147</v>
      </c>
      <c r="AP146" s="26" t="s">
        <v>1196</v>
      </c>
      <c r="AQ146" s="34" t="s">
        <v>1197</v>
      </c>
      <c r="AR146" s="26" t="s">
        <v>149</v>
      </c>
      <c r="AS146" s="26" t="s">
        <v>149</v>
      </c>
      <c r="AT146" s="28"/>
    </row>
    <row r="147">
      <c r="A147" s="36" t="s">
        <v>1198</v>
      </c>
      <c r="B147" s="26" t="str">
        <f t="shared" si="1"/>
        <v>2023-PH060417000-2013-0238</v>
      </c>
      <c r="C147" s="27">
        <f t="shared" si="3"/>
        <v>2023</v>
      </c>
      <c r="D147" s="28" t="s">
        <v>140</v>
      </c>
      <c r="E147" s="28" t="s">
        <v>141</v>
      </c>
      <c r="F147" s="28" t="s">
        <v>192</v>
      </c>
      <c r="G147" s="29" t="s">
        <v>314</v>
      </c>
      <c r="H147" s="29" t="s">
        <v>315</v>
      </c>
      <c r="I147" s="29" t="s">
        <v>1199</v>
      </c>
      <c r="J147" s="29" t="s">
        <v>1200</v>
      </c>
      <c r="K147" s="26" t="s">
        <v>1174</v>
      </c>
      <c r="L147" s="47" t="s">
        <v>149</v>
      </c>
      <c r="M147" s="31">
        <v>2013.0</v>
      </c>
      <c r="N147" s="31">
        <v>2012.0</v>
      </c>
      <c r="O147" s="31">
        <v>2013.0</v>
      </c>
      <c r="P147" s="28" t="s">
        <v>177</v>
      </c>
      <c r="Q147" s="32" t="s">
        <v>319</v>
      </c>
      <c r="R147" s="28" t="s">
        <v>154</v>
      </c>
      <c r="S147" s="32" t="s">
        <v>154</v>
      </c>
      <c r="T147" s="28" t="s">
        <v>300</v>
      </c>
      <c r="U147" s="28" t="s">
        <v>320</v>
      </c>
      <c r="V147" s="26" t="s">
        <v>1201</v>
      </c>
      <c r="W147" s="28" t="s">
        <v>864</v>
      </c>
      <c r="X147" s="32" t="s">
        <v>865</v>
      </c>
      <c r="Y147" s="26" t="s">
        <v>1202</v>
      </c>
      <c r="Z147" s="26" t="s">
        <v>321</v>
      </c>
      <c r="AA147" s="26" t="s">
        <v>204</v>
      </c>
      <c r="AB147" s="26" t="s">
        <v>160</v>
      </c>
      <c r="AC147" s="28" t="s">
        <v>322</v>
      </c>
      <c r="AD147" s="28" t="s">
        <v>323</v>
      </c>
      <c r="AE147" s="29" t="s">
        <v>149</v>
      </c>
      <c r="AF147" s="26" t="s">
        <v>149</v>
      </c>
      <c r="AG147" s="26" t="s">
        <v>1203</v>
      </c>
      <c r="AH147" s="26" t="s">
        <v>885</v>
      </c>
      <c r="AI147" s="32" t="s">
        <v>209</v>
      </c>
      <c r="AJ147" s="28" t="s">
        <v>886</v>
      </c>
      <c r="AK147" s="26" t="s">
        <v>1204</v>
      </c>
      <c r="AL147" s="11" t="s">
        <v>149</v>
      </c>
      <c r="AM147" s="11" t="s">
        <v>149</v>
      </c>
      <c r="AN147" s="28" t="s">
        <v>165</v>
      </c>
      <c r="AO147" s="28" t="s">
        <v>1147</v>
      </c>
      <c r="AP147" s="26" t="s">
        <v>1205</v>
      </c>
      <c r="AQ147" s="34" t="s">
        <v>1206</v>
      </c>
      <c r="AR147" s="11" t="s">
        <v>149</v>
      </c>
      <c r="AS147" s="11" t="s">
        <v>149</v>
      </c>
      <c r="AT147" s="26"/>
    </row>
    <row r="148">
      <c r="A148" s="25" t="s">
        <v>1207</v>
      </c>
      <c r="B148" s="26" t="str">
        <f t="shared" si="1"/>
        <v>2023-PH037701000-2013-0089</v>
      </c>
      <c r="C148" s="27">
        <f t="shared" si="3"/>
        <v>2023</v>
      </c>
      <c r="D148" s="28" t="s">
        <v>140</v>
      </c>
      <c r="E148" s="28" t="s">
        <v>141</v>
      </c>
      <c r="F148" s="28" t="s">
        <v>192</v>
      </c>
      <c r="G148" s="29" t="s">
        <v>293</v>
      </c>
      <c r="H148" s="29" t="s">
        <v>1208</v>
      </c>
      <c r="I148" s="29" t="s">
        <v>1209</v>
      </c>
      <c r="J148" s="29" t="s">
        <v>1210</v>
      </c>
      <c r="K148" s="26" t="s">
        <v>1174</v>
      </c>
      <c r="L148" s="46" t="s">
        <v>149</v>
      </c>
      <c r="M148" s="31">
        <v>2013.0</v>
      </c>
      <c r="N148" s="31">
        <v>2012.0</v>
      </c>
      <c r="O148" s="31">
        <v>2013.0</v>
      </c>
      <c r="P148" s="28" t="s">
        <v>177</v>
      </c>
      <c r="Q148" s="32" t="s">
        <v>319</v>
      </c>
      <c r="R148" s="28" t="s">
        <v>154</v>
      </c>
      <c r="S148" s="32" t="s">
        <v>154</v>
      </c>
      <c r="T148" s="28" t="s">
        <v>300</v>
      </c>
      <c r="U148" s="28" t="s">
        <v>149</v>
      </c>
      <c r="V148" s="26" t="s">
        <v>179</v>
      </c>
      <c r="W148" s="32" t="s">
        <v>237</v>
      </c>
      <c r="X148" s="28" t="s">
        <v>238</v>
      </c>
      <c r="Y148" s="26" t="s">
        <v>1211</v>
      </c>
      <c r="Z148" s="26" t="s">
        <v>321</v>
      </c>
      <c r="AA148" s="26" t="s">
        <v>159</v>
      </c>
      <c r="AB148" s="26" t="s">
        <v>160</v>
      </c>
      <c r="AC148" s="28" t="s">
        <v>322</v>
      </c>
      <c r="AD148" s="28" t="s">
        <v>323</v>
      </c>
      <c r="AE148" s="29" t="s">
        <v>149</v>
      </c>
      <c r="AF148" s="26" t="s">
        <v>149</v>
      </c>
      <c r="AG148" s="28" t="s">
        <v>1212</v>
      </c>
      <c r="AH148" s="26" t="s">
        <v>885</v>
      </c>
      <c r="AI148" s="32" t="s">
        <v>209</v>
      </c>
      <c r="AJ148" s="28" t="s">
        <v>886</v>
      </c>
      <c r="AK148" s="26" t="s">
        <v>1213</v>
      </c>
      <c r="AL148" s="26" t="s">
        <v>149</v>
      </c>
      <c r="AM148" s="26" t="s">
        <v>149</v>
      </c>
      <c r="AN148" s="28" t="s">
        <v>165</v>
      </c>
      <c r="AO148" s="28" t="s">
        <v>1147</v>
      </c>
      <c r="AP148" s="26" t="s">
        <v>1214</v>
      </c>
      <c r="AQ148" s="34" t="s">
        <v>1215</v>
      </c>
      <c r="AR148" s="26" t="s">
        <v>149</v>
      </c>
      <c r="AS148" s="26" t="s">
        <v>149</v>
      </c>
      <c r="AT148" s="26"/>
    </row>
    <row r="149">
      <c r="A149" s="36" t="s">
        <v>1216</v>
      </c>
      <c r="B149" s="26" t="str">
        <f t="shared" si="1"/>
        <v>2023-PH157002000-2012-0455</v>
      </c>
      <c r="C149" s="27">
        <f t="shared" si="3"/>
        <v>2023</v>
      </c>
      <c r="D149" s="37" t="s">
        <v>140</v>
      </c>
      <c r="E149" s="28" t="s">
        <v>141</v>
      </c>
      <c r="F149" s="28" t="s">
        <v>192</v>
      </c>
      <c r="G149" s="29" t="s">
        <v>642</v>
      </c>
      <c r="H149" s="29" t="s">
        <v>1217</v>
      </c>
      <c r="I149" s="29" t="s">
        <v>1218</v>
      </c>
      <c r="J149" s="29" t="s">
        <v>1219</v>
      </c>
      <c r="K149" s="26" t="s">
        <v>1174</v>
      </c>
      <c r="L149" s="26" t="s">
        <v>1220</v>
      </c>
      <c r="M149" s="31">
        <v>2012.0</v>
      </c>
      <c r="N149" s="31">
        <v>2012.0</v>
      </c>
      <c r="O149" s="31">
        <v>2013.0</v>
      </c>
      <c r="P149" s="28" t="s">
        <v>177</v>
      </c>
      <c r="Q149" s="32" t="s">
        <v>319</v>
      </c>
      <c r="R149" s="28" t="s">
        <v>154</v>
      </c>
      <c r="S149" s="32" t="s">
        <v>154</v>
      </c>
      <c r="T149" s="28" t="s">
        <v>300</v>
      </c>
      <c r="U149" s="28" t="s">
        <v>320</v>
      </c>
      <c r="V149" s="28" t="s">
        <v>1221</v>
      </c>
      <c r="W149" s="32" t="s">
        <v>1135</v>
      </c>
      <c r="X149" s="32" t="s">
        <v>1136</v>
      </c>
      <c r="Y149" s="26" t="s">
        <v>1222</v>
      </c>
      <c r="Z149" s="26" t="s">
        <v>321</v>
      </c>
      <c r="AA149" s="26" t="s">
        <v>159</v>
      </c>
      <c r="AB149" s="26" t="s">
        <v>160</v>
      </c>
      <c r="AC149" s="28" t="s">
        <v>322</v>
      </c>
      <c r="AD149" s="28" t="s">
        <v>323</v>
      </c>
      <c r="AE149" s="29" t="s">
        <v>149</v>
      </c>
      <c r="AF149" s="26" t="s">
        <v>149</v>
      </c>
      <c r="AG149" s="26" t="s">
        <v>1223</v>
      </c>
      <c r="AH149" s="26" t="s">
        <v>1224</v>
      </c>
      <c r="AI149" s="32" t="s">
        <v>209</v>
      </c>
      <c r="AJ149" s="28" t="s">
        <v>227</v>
      </c>
      <c r="AK149" s="26" t="s">
        <v>1225</v>
      </c>
      <c r="AL149" s="26" t="s">
        <v>1226</v>
      </c>
      <c r="AM149" s="11" t="s">
        <v>149</v>
      </c>
      <c r="AN149" s="28" t="s">
        <v>165</v>
      </c>
      <c r="AO149" s="28" t="s">
        <v>1147</v>
      </c>
      <c r="AP149" s="26" t="s">
        <v>1227</v>
      </c>
      <c r="AQ149" s="34" t="s">
        <v>1228</v>
      </c>
      <c r="AR149" s="11" t="s">
        <v>149</v>
      </c>
      <c r="AS149" s="11" t="s">
        <v>149</v>
      </c>
      <c r="AT149" s="26"/>
    </row>
    <row r="150">
      <c r="A150" s="36" t="s">
        <v>1229</v>
      </c>
      <c r="B150" s="26" t="str">
        <f t="shared" si="1"/>
        <v>2025-PH157001000-2012-0456</v>
      </c>
      <c r="C150" s="27">
        <f t="shared" si="3"/>
        <v>2025</v>
      </c>
      <c r="D150" s="28" t="s">
        <v>191</v>
      </c>
      <c r="E150" s="28" t="s">
        <v>191</v>
      </c>
      <c r="F150" s="28" t="s">
        <v>192</v>
      </c>
      <c r="G150" s="29" t="s">
        <v>642</v>
      </c>
      <c r="H150" s="29" t="s">
        <v>1217</v>
      </c>
      <c r="I150" s="29" t="s">
        <v>1230</v>
      </c>
      <c r="J150" s="29" t="s">
        <v>1231</v>
      </c>
      <c r="K150" s="26" t="s">
        <v>1174</v>
      </c>
      <c r="L150" s="48" t="s">
        <v>1232</v>
      </c>
      <c r="M150" s="31">
        <v>2012.0</v>
      </c>
      <c r="N150" s="31">
        <v>2012.0</v>
      </c>
      <c r="O150" s="31">
        <v>2013.0</v>
      </c>
      <c r="P150" s="28" t="s">
        <v>177</v>
      </c>
      <c r="Q150" s="32" t="s">
        <v>319</v>
      </c>
      <c r="R150" s="28" t="s">
        <v>154</v>
      </c>
      <c r="S150" s="32" t="s">
        <v>154</v>
      </c>
      <c r="T150" s="28" t="s">
        <v>300</v>
      </c>
      <c r="U150" s="28" t="s">
        <v>320</v>
      </c>
      <c r="V150" s="28" t="s">
        <v>1221</v>
      </c>
      <c r="W150" s="32" t="s">
        <v>1135</v>
      </c>
      <c r="X150" s="32" t="s">
        <v>1136</v>
      </c>
      <c r="Y150" s="26" t="s">
        <v>1222</v>
      </c>
      <c r="Z150" s="26" t="s">
        <v>321</v>
      </c>
      <c r="AA150" s="26" t="s">
        <v>159</v>
      </c>
      <c r="AB150" s="26" t="s">
        <v>160</v>
      </c>
      <c r="AC150" s="28" t="s">
        <v>322</v>
      </c>
      <c r="AD150" s="28" t="s">
        <v>323</v>
      </c>
      <c r="AE150" s="29" t="s">
        <v>149</v>
      </c>
      <c r="AF150" s="26" t="s">
        <v>149</v>
      </c>
      <c r="AG150" s="26" t="s">
        <v>1233</v>
      </c>
      <c r="AH150" s="26" t="s">
        <v>1224</v>
      </c>
      <c r="AI150" s="32" t="s">
        <v>209</v>
      </c>
      <c r="AJ150" s="28" t="s">
        <v>227</v>
      </c>
      <c r="AK150" s="26" t="s">
        <v>1225</v>
      </c>
      <c r="AL150" s="26" t="s">
        <v>1226</v>
      </c>
      <c r="AM150" s="28" t="s">
        <v>149</v>
      </c>
      <c r="AN150" s="28" t="s">
        <v>165</v>
      </c>
      <c r="AO150" s="28" t="s">
        <v>1147</v>
      </c>
      <c r="AP150" s="26" t="s">
        <v>1227</v>
      </c>
      <c r="AQ150" s="34" t="s">
        <v>1234</v>
      </c>
      <c r="AR150" s="28" t="s">
        <v>149</v>
      </c>
      <c r="AS150" s="39" t="s">
        <v>149</v>
      </c>
      <c r="AT150" s="26"/>
    </row>
    <row r="151">
      <c r="A151" s="36" t="s">
        <v>1235</v>
      </c>
      <c r="B151" s="26" t="str">
        <f t="shared" si="1"/>
        <v>2025-PH157011000-2012-0457</v>
      </c>
      <c r="C151" s="27">
        <f t="shared" si="3"/>
        <v>2025</v>
      </c>
      <c r="D151" s="28" t="s">
        <v>191</v>
      </c>
      <c r="E151" s="28" t="s">
        <v>191</v>
      </c>
      <c r="F151" s="28" t="s">
        <v>192</v>
      </c>
      <c r="G151" s="29" t="s">
        <v>642</v>
      </c>
      <c r="H151" s="29" t="s">
        <v>1217</v>
      </c>
      <c r="I151" s="29" t="s">
        <v>1236</v>
      </c>
      <c r="J151" s="29" t="s">
        <v>1237</v>
      </c>
      <c r="K151" s="26" t="s">
        <v>1174</v>
      </c>
      <c r="L151" s="26" t="s">
        <v>1238</v>
      </c>
      <c r="M151" s="31">
        <v>2012.0</v>
      </c>
      <c r="N151" s="31">
        <v>2012.0</v>
      </c>
      <c r="O151" s="31">
        <v>2013.0</v>
      </c>
      <c r="P151" s="28" t="s">
        <v>177</v>
      </c>
      <c r="Q151" s="32" t="s">
        <v>319</v>
      </c>
      <c r="R151" s="28" t="s">
        <v>154</v>
      </c>
      <c r="S151" s="32" t="s">
        <v>154</v>
      </c>
      <c r="T151" s="28" t="s">
        <v>300</v>
      </c>
      <c r="U151" s="28" t="s">
        <v>320</v>
      </c>
      <c r="V151" s="28" t="s">
        <v>1221</v>
      </c>
      <c r="W151" s="32" t="s">
        <v>1135</v>
      </c>
      <c r="X151" s="32" t="s">
        <v>1136</v>
      </c>
      <c r="Y151" s="26" t="s">
        <v>1222</v>
      </c>
      <c r="Z151" s="26" t="s">
        <v>321</v>
      </c>
      <c r="AA151" s="26" t="s">
        <v>159</v>
      </c>
      <c r="AB151" s="26" t="s">
        <v>160</v>
      </c>
      <c r="AC151" s="28" t="s">
        <v>322</v>
      </c>
      <c r="AD151" s="28" t="s">
        <v>323</v>
      </c>
      <c r="AE151" s="29" t="s">
        <v>149</v>
      </c>
      <c r="AF151" s="26" t="s">
        <v>149</v>
      </c>
      <c r="AG151" s="26" t="s">
        <v>1239</v>
      </c>
      <c r="AH151" s="26" t="s">
        <v>1224</v>
      </c>
      <c r="AI151" s="32" t="s">
        <v>209</v>
      </c>
      <c r="AJ151" s="28" t="s">
        <v>227</v>
      </c>
      <c r="AK151" s="26" t="s">
        <v>1225</v>
      </c>
      <c r="AL151" s="26" t="s">
        <v>1226</v>
      </c>
      <c r="AM151" s="28" t="s">
        <v>149</v>
      </c>
      <c r="AN151" s="28" t="s">
        <v>165</v>
      </c>
      <c r="AO151" s="28" t="s">
        <v>1147</v>
      </c>
      <c r="AP151" s="26" t="s">
        <v>1227</v>
      </c>
      <c r="AQ151" s="34" t="s">
        <v>1240</v>
      </c>
      <c r="AR151" s="28" t="s">
        <v>149</v>
      </c>
      <c r="AS151" s="39" t="s">
        <v>149</v>
      </c>
      <c r="AT151" s="26"/>
    </row>
    <row r="152">
      <c r="A152" s="36" t="s">
        <v>1241</v>
      </c>
      <c r="B152" s="26" t="str">
        <f t="shared" si="1"/>
        <v>2025-PH157004000-2012-0458</v>
      </c>
      <c r="C152" s="27">
        <f t="shared" si="3"/>
        <v>2025</v>
      </c>
      <c r="D152" s="28" t="s">
        <v>191</v>
      </c>
      <c r="E152" s="28" t="s">
        <v>191</v>
      </c>
      <c r="F152" s="28" t="s">
        <v>192</v>
      </c>
      <c r="G152" s="29" t="s">
        <v>642</v>
      </c>
      <c r="H152" s="29" t="s">
        <v>1217</v>
      </c>
      <c r="I152" s="29" t="s">
        <v>1242</v>
      </c>
      <c r="J152" s="29" t="s">
        <v>1243</v>
      </c>
      <c r="K152" s="26" t="s">
        <v>1174</v>
      </c>
      <c r="L152" s="26" t="s">
        <v>1244</v>
      </c>
      <c r="M152" s="31">
        <v>2012.0</v>
      </c>
      <c r="N152" s="31">
        <v>2012.0</v>
      </c>
      <c r="O152" s="31">
        <v>2013.0</v>
      </c>
      <c r="P152" s="28" t="s">
        <v>177</v>
      </c>
      <c r="Q152" s="32" t="s">
        <v>319</v>
      </c>
      <c r="R152" s="28" t="s">
        <v>154</v>
      </c>
      <c r="S152" s="32" t="s">
        <v>154</v>
      </c>
      <c r="T152" s="28" t="s">
        <v>300</v>
      </c>
      <c r="U152" s="28" t="s">
        <v>320</v>
      </c>
      <c r="V152" s="28" t="s">
        <v>1221</v>
      </c>
      <c r="W152" s="32" t="s">
        <v>1135</v>
      </c>
      <c r="X152" s="32" t="s">
        <v>1136</v>
      </c>
      <c r="Y152" s="26" t="s">
        <v>1222</v>
      </c>
      <c r="Z152" s="26" t="s">
        <v>321</v>
      </c>
      <c r="AA152" s="26" t="s">
        <v>159</v>
      </c>
      <c r="AB152" s="26" t="s">
        <v>160</v>
      </c>
      <c r="AC152" s="28" t="s">
        <v>322</v>
      </c>
      <c r="AD152" s="28" t="s">
        <v>323</v>
      </c>
      <c r="AE152" s="29" t="s">
        <v>149</v>
      </c>
      <c r="AF152" s="26" t="s">
        <v>149</v>
      </c>
      <c r="AG152" s="26" t="s">
        <v>1245</v>
      </c>
      <c r="AH152" s="26" t="s">
        <v>1224</v>
      </c>
      <c r="AI152" s="32" t="s">
        <v>209</v>
      </c>
      <c r="AJ152" s="28" t="s">
        <v>227</v>
      </c>
      <c r="AK152" s="26" t="s">
        <v>1225</v>
      </c>
      <c r="AL152" s="26" t="s">
        <v>1226</v>
      </c>
      <c r="AM152" s="28" t="s">
        <v>149</v>
      </c>
      <c r="AN152" s="28" t="s">
        <v>165</v>
      </c>
      <c r="AO152" s="28" t="s">
        <v>1147</v>
      </c>
      <c r="AP152" s="26" t="s">
        <v>1227</v>
      </c>
      <c r="AQ152" s="34" t="s">
        <v>1246</v>
      </c>
      <c r="AR152" s="28" t="s">
        <v>149</v>
      </c>
      <c r="AS152" s="39" t="s">
        <v>149</v>
      </c>
      <c r="AT152" s="26"/>
    </row>
    <row r="153">
      <c r="A153" s="36" t="s">
        <v>1247</v>
      </c>
      <c r="B153" s="26" t="str">
        <f t="shared" si="1"/>
        <v>2025-PH157005000-2012-0459</v>
      </c>
      <c r="C153" s="27">
        <f t="shared" si="3"/>
        <v>2025</v>
      </c>
      <c r="D153" s="28" t="s">
        <v>191</v>
      </c>
      <c r="E153" s="28" t="s">
        <v>191</v>
      </c>
      <c r="F153" s="28" t="s">
        <v>192</v>
      </c>
      <c r="G153" s="29" t="s">
        <v>642</v>
      </c>
      <c r="H153" s="29" t="s">
        <v>1217</v>
      </c>
      <c r="I153" s="29" t="s">
        <v>1248</v>
      </c>
      <c r="J153" s="29" t="s">
        <v>1249</v>
      </c>
      <c r="K153" s="26" t="s">
        <v>1174</v>
      </c>
      <c r="L153" s="26" t="s">
        <v>1250</v>
      </c>
      <c r="M153" s="31">
        <v>2012.0</v>
      </c>
      <c r="N153" s="31">
        <v>2012.0</v>
      </c>
      <c r="O153" s="31">
        <v>2013.0</v>
      </c>
      <c r="P153" s="28" t="s">
        <v>177</v>
      </c>
      <c r="Q153" s="32" t="s">
        <v>319</v>
      </c>
      <c r="R153" s="28" t="s">
        <v>154</v>
      </c>
      <c r="S153" s="32" t="s">
        <v>154</v>
      </c>
      <c r="T153" s="28" t="s">
        <v>300</v>
      </c>
      <c r="U153" s="28" t="s">
        <v>320</v>
      </c>
      <c r="V153" s="28" t="s">
        <v>1221</v>
      </c>
      <c r="W153" s="32" t="s">
        <v>1251</v>
      </c>
      <c r="X153" s="32" t="s">
        <v>1136</v>
      </c>
      <c r="Y153" s="26" t="s">
        <v>1222</v>
      </c>
      <c r="Z153" s="26" t="s">
        <v>321</v>
      </c>
      <c r="AA153" s="26" t="s">
        <v>159</v>
      </c>
      <c r="AB153" s="26" t="s">
        <v>160</v>
      </c>
      <c r="AC153" s="28" t="s">
        <v>322</v>
      </c>
      <c r="AD153" s="28" t="s">
        <v>323</v>
      </c>
      <c r="AE153" s="29" t="s">
        <v>149</v>
      </c>
      <c r="AF153" s="26" t="s">
        <v>149</v>
      </c>
      <c r="AG153" s="26" t="s">
        <v>1252</v>
      </c>
      <c r="AH153" s="26" t="s">
        <v>1224</v>
      </c>
      <c r="AI153" s="32" t="s">
        <v>209</v>
      </c>
      <c r="AJ153" s="28" t="s">
        <v>227</v>
      </c>
      <c r="AK153" s="26" t="s">
        <v>1225</v>
      </c>
      <c r="AL153" s="26" t="s">
        <v>1226</v>
      </c>
      <c r="AM153" s="28" t="s">
        <v>149</v>
      </c>
      <c r="AN153" s="28" t="s">
        <v>165</v>
      </c>
      <c r="AO153" s="28" t="s">
        <v>1147</v>
      </c>
      <c r="AP153" s="26" t="s">
        <v>1227</v>
      </c>
      <c r="AQ153" s="34" t="s">
        <v>1253</v>
      </c>
      <c r="AR153" s="28" t="s">
        <v>149</v>
      </c>
      <c r="AS153" s="28" t="s">
        <v>149</v>
      </c>
      <c r="AT153" s="26"/>
    </row>
    <row r="154">
      <c r="A154" s="36" t="s">
        <v>1254</v>
      </c>
      <c r="B154" s="26" t="str">
        <f t="shared" si="1"/>
        <v>2023-PH041016000-2012-0126</v>
      </c>
      <c r="C154" s="27">
        <f t="shared" si="3"/>
        <v>2023</v>
      </c>
      <c r="D154" s="28" t="s">
        <v>140</v>
      </c>
      <c r="E154" s="28" t="s">
        <v>141</v>
      </c>
      <c r="F154" s="28" t="s">
        <v>192</v>
      </c>
      <c r="G154" s="29" t="s">
        <v>257</v>
      </c>
      <c r="H154" s="29" t="s">
        <v>258</v>
      </c>
      <c r="I154" s="29" t="s">
        <v>1255</v>
      </c>
      <c r="J154" s="29" t="s">
        <v>1256</v>
      </c>
      <c r="K154" s="26" t="s">
        <v>1174</v>
      </c>
      <c r="L154" s="26" t="s">
        <v>1257</v>
      </c>
      <c r="M154" s="31">
        <v>2012.0</v>
      </c>
      <c r="N154" s="31">
        <v>2012.0</v>
      </c>
      <c r="O154" s="31">
        <v>2013.0</v>
      </c>
      <c r="P154" s="28" t="s">
        <v>177</v>
      </c>
      <c r="Q154" s="32" t="s">
        <v>319</v>
      </c>
      <c r="R154" s="28" t="s">
        <v>154</v>
      </c>
      <c r="S154" s="32" t="s">
        <v>154</v>
      </c>
      <c r="T154" s="28" t="s">
        <v>300</v>
      </c>
      <c r="U154" s="28" t="s">
        <v>149</v>
      </c>
      <c r="V154" s="26" t="s">
        <v>179</v>
      </c>
      <c r="W154" s="32" t="s">
        <v>1135</v>
      </c>
      <c r="X154" s="32" t="s">
        <v>1136</v>
      </c>
      <c r="Y154" s="26" t="s">
        <v>1222</v>
      </c>
      <c r="Z154" s="26" t="s">
        <v>321</v>
      </c>
      <c r="AA154" s="26" t="s">
        <v>159</v>
      </c>
      <c r="AB154" s="26" t="s">
        <v>160</v>
      </c>
      <c r="AC154" s="28" t="s">
        <v>322</v>
      </c>
      <c r="AD154" s="28" t="s">
        <v>323</v>
      </c>
      <c r="AE154" s="29" t="s">
        <v>149</v>
      </c>
      <c r="AF154" s="26" t="s">
        <v>149</v>
      </c>
      <c r="AG154" s="26" t="s">
        <v>1258</v>
      </c>
      <c r="AH154" s="26" t="s">
        <v>885</v>
      </c>
      <c r="AI154" s="32" t="s">
        <v>209</v>
      </c>
      <c r="AJ154" s="28" t="s">
        <v>886</v>
      </c>
      <c r="AK154" s="26" t="s">
        <v>1259</v>
      </c>
      <c r="AL154" s="45" t="s">
        <v>149</v>
      </c>
      <c r="AM154" s="45" t="s">
        <v>149</v>
      </c>
      <c r="AN154" s="28" t="s">
        <v>165</v>
      </c>
      <c r="AO154" s="28" t="s">
        <v>1147</v>
      </c>
      <c r="AP154" s="26" t="s">
        <v>1260</v>
      </c>
      <c r="AQ154" s="34" t="s">
        <v>1261</v>
      </c>
      <c r="AR154" s="45" t="s">
        <v>149</v>
      </c>
      <c r="AS154" s="45" t="s">
        <v>149</v>
      </c>
      <c r="AT154" s="45"/>
    </row>
    <row r="155">
      <c r="A155" s="36" t="s">
        <v>1262</v>
      </c>
      <c r="B155" s="26" t="str">
        <f t="shared" si="1"/>
        <v>2023-PH041023000-2012-0136</v>
      </c>
      <c r="C155" s="27">
        <f t="shared" si="3"/>
        <v>2023</v>
      </c>
      <c r="D155" s="28" t="s">
        <v>140</v>
      </c>
      <c r="E155" s="28" t="s">
        <v>141</v>
      </c>
      <c r="F155" s="28" t="s">
        <v>192</v>
      </c>
      <c r="G155" s="29" t="s">
        <v>257</v>
      </c>
      <c r="H155" s="29" t="s">
        <v>258</v>
      </c>
      <c r="I155" s="29" t="s">
        <v>491</v>
      </c>
      <c r="J155" s="29" t="s">
        <v>492</v>
      </c>
      <c r="K155" s="26" t="s">
        <v>1174</v>
      </c>
      <c r="L155" s="26" t="s">
        <v>1263</v>
      </c>
      <c r="M155" s="31">
        <v>2012.0</v>
      </c>
      <c r="N155" s="31">
        <v>2012.0</v>
      </c>
      <c r="O155" s="31">
        <v>2013.0</v>
      </c>
      <c r="P155" s="28" t="s">
        <v>177</v>
      </c>
      <c r="Q155" s="32" t="s">
        <v>319</v>
      </c>
      <c r="R155" s="28" t="s">
        <v>154</v>
      </c>
      <c r="S155" s="32" t="s">
        <v>154</v>
      </c>
      <c r="T155" s="28" t="s">
        <v>300</v>
      </c>
      <c r="U155" s="28" t="s">
        <v>149</v>
      </c>
      <c r="V155" s="26" t="s">
        <v>179</v>
      </c>
      <c r="W155" s="32" t="s">
        <v>1135</v>
      </c>
      <c r="X155" s="32" t="s">
        <v>1136</v>
      </c>
      <c r="Y155" s="26" t="s">
        <v>1222</v>
      </c>
      <c r="Z155" s="26" t="s">
        <v>321</v>
      </c>
      <c r="AA155" s="26" t="s">
        <v>159</v>
      </c>
      <c r="AB155" s="26" t="s">
        <v>160</v>
      </c>
      <c r="AC155" s="28" t="s">
        <v>322</v>
      </c>
      <c r="AD155" s="28" t="s">
        <v>323</v>
      </c>
      <c r="AE155" s="29" t="s">
        <v>149</v>
      </c>
      <c r="AF155" s="26" t="s">
        <v>149</v>
      </c>
      <c r="AG155" s="26" t="s">
        <v>1264</v>
      </c>
      <c r="AH155" s="26" t="s">
        <v>885</v>
      </c>
      <c r="AI155" s="32" t="s">
        <v>209</v>
      </c>
      <c r="AJ155" s="28" t="s">
        <v>886</v>
      </c>
      <c r="AK155" s="26" t="s">
        <v>1259</v>
      </c>
      <c r="AL155" s="45" t="s">
        <v>149</v>
      </c>
      <c r="AM155" s="45" t="s">
        <v>149</v>
      </c>
      <c r="AN155" s="28" t="s">
        <v>165</v>
      </c>
      <c r="AO155" s="28" t="s">
        <v>1147</v>
      </c>
      <c r="AP155" s="26" t="s">
        <v>1260</v>
      </c>
      <c r="AQ155" s="34" t="s">
        <v>1265</v>
      </c>
      <c r="AR155" s="45" t="s">
        <v>149</v>
      </c>
      <c r="AS155" s="45" t="s">
        <v>149</v>
      </c>
      <c r="AT155" s="45"/>
    </row>
    <row r="156">
      <c r="A156" s="36" t="s">
        <v>1266</v>
      </c>
      <c r="B156" s="26" t="str">
        <f t="shared" si="1"/>
        <v>2023-PH060412000-2012-0232</v>
      </c>
      <c r="C156" s="27">
        <f t="shared" si="3"/>
        <v>2023</v>
      </c>
      <c r="D156" s="28" t="s">
        <v>140</v>
      </c>
      <c r="E156" s="28" t="s">
        <v>141</v>
      </c>
      <c r="F156" s="28" t="s">
        <v>192</v>
      </c>
      <c r="G156" s="29" t="s">
        <v>314</v>
      </c>
      <c r="H156" s="29" t="s">
        <v>315</v>
      </c>
      <c r="I156" s="29" t="s">
        <v>316</v>
      </c>
      <c r="J156" s="29" t="s">
        <v>317</v>
      </c>
      <c r="K156" s="26" t="s">
        <v>1174</v>
      </c>
      <c r="L156" s="47" t="s">
        <v>149</v>
      </c>
      <c r="M156" s="49">
        <v>2012.0</v>
      </c>
      <c r="N156" s="31">
        <v>2012.0</v>
      </c>
      <c r="O156" s="31">
        <v>2013.0</v>
      </c>
      <c r="P156" s="28" t="s">
        <v>177</v>
      </c>
      <c r="Q156" s="32" t="s">
        <v>319</v>
      </c>
      <c r="R156" s="28" t="s">
        <v>154</v>
      </c>
      <c r="S156" s="32" t="s">
        <v>154</v>
      </c>
      <c r="T156" s="28" t="s">
        <v>300</v>
      </c>
      <c r="U156" s="28" t="s">
        <v>149</v>
      </c>
      <c r="V156" s="26" t="s">
        <v>179</v>
      </c>
      <c r="W156" s="32" t="s">
        <v>149</v>
      </c>
      <c r="X156" s="32" t="s">
        <v>254</v>
      </c>
      <c r="Y156" s="26" t="s">
        <v>149</v>
      </c>
      <c r="Z156" s="26" t="s">
        <v>321</v>
      </c>
      <c r="AA156" s="26" t="s">
        <v>159</v>
      </c>
      <c r="AB156" s="26" t="s">
        <v>160</v>
      </c>
      <c r="AC156" s="28" t="s">
        <v>322</v>
      </c>
      <c r="AD156" s="28" t="s">
        <v>323</v>
      </c>
      <c r="AE156" s="29" t="s">
        <v>149</v>
      </c>
      <c r="AF156" s="26" t="s">
        <v>149</v>
      </c>
      <c r="AG156" s="26" t="s">
        <v>1267</v>
      </c>
      <c r="AH156" s="26" t="s">
        <v>885</v>
      </c>
      <c r="AI156" s="32" t="s">
        <v>209</v>
      </c>
      <c r="AJ156" s="28" t="s">
        <v>886</v>
      </c>
      <c r="AK156" s="11" t="s">
        <v>149</v>
      </c>
      <c r="AL156" s="26" t="s">
        <v>1204</v>
      </c>
      <c r="AM156" s="11" t="s">
        <v>149</v>
      </c>
      <c r="AN156" s="28" t="s">
        <v>165</v>
      </c>
      <c r="AO156" s="28" t="s">
        <v>1147</v>
      </c>
      <c r="AP156" s="26" t="s">
        <v>1268</v>
      </c>
      <c r="AQ156" s="34" t="s">
        <v>1269</v>
      </c>
      <c r="AR156" s="11" t="s">
        <v>149</v>
      </c>
      <c r="AS156" s="11" t="s">
        <v>149</v>
      </c>
      <c r="AT156" s="28"/>
    </row>
    <row r="157">
      <c r="A157" s="36" t="s">
        <v>1270</v>
      </c>
      <c r="B157" s="26" t="str">
        <f t="shared" si="1"/>
        <v>2023-PH086410000-2013-0323</v>
      </c>
      <c r="C157" s="27">
        <f t="shared" si="3"/>
        <v>2023</v>
      </c>
      <c r="D157" s="37" t="s">
        <v>140</v>
      </c>
      <c r="E157" s="28" t="s">
        <v>141</v>
      </c>
      <c r="F157" s="28" t="s">
        <v>192</v>
      </c>
      <c r="G157" s="29" t="s">
        <v>579</v>
      </c>
      <c r="H157" s="29" t="s">
        <v>1271</v>
      </c>
      <c r="I157" s="29" t="s">
        <v>1272</v>
      </c>
      <c r="J157" s="29" t="s">
        <v>1273</v>
      </c>
      <c r="K157" s="26" t="s">
        <v>1174</v>
      </c>
      <c r="L157" s="47" t="s">
        <v>149</v>
      </c>
      <c r="M157" s="31">
        <v>2013.0</v>
      </c>
      <c r="N157" s="31">
        <v>2012.0</v>
      </c>
      <c r="O157" s="31">
        <v>2013.0</v>
      </c>
      <c r="P157" s="28" t="s">
        <v>177</v>
      </c>
      <c r="Q157" s="32" t="s">
        <v>319</v>
      </c>
      <c r="R157" s="28" t="s">
        <v>154</v>
      </c>
      <c r="S157" s="32" t="s">
        <v>154</v>
      </c>
      <c r="T157" s="28" t="s">
        <v>300</v>
      </c>
      <c r="U157" s="28" t="s">
        <v>320</v>
      </c>
      <c r="V157" s="26" t="s">
        <v>1274</v>
      </c>
      <c r="W157" s="32" t="s">
        <v>149</v>
      </c>
      <c r="X157" s="32" t="s">
        <v>254</v>
      </c>
      <c r="Y157" s="26" t="s">
        <v>149</v>
      </c>
      <c r="Z157" s="26" t="s">
        <v>321</v>
      </c>
      <c r="AA157" s="26" t="s">
        <v>204</v>
      </c>
      <c r="AB157" s="26" t="s">
        <v>160</v>
      </c>
      <c r="AC157" s="28" t="s">
        <v>322</v>
      </c>
      <c r="AD157" s="28" t="s">
        <v>323</v>
      </c>
      <c r="AE157" s="29" t="s">
        <v>149</v>
      </c>
      <c r="AF157" s="26" t="s">
        <v>149</v>
      </c>
      <c r="AG157" s="26" t="s">
        <v>1275</v>
      </c>
      <c r="AH157" s="26" t="s">
        <v>885</v>
      </c>
      <c r="AI157" s="32" t="s">
        <v>209</v>
      </c>
      <c r="AJ157" s="28" t="s">
        <v>886</v>
      </c>
      <c r="AK157" s="26" t="s">
        <v>1276</v>
      </c>
      <c r="AL157" s="26" t="s">
        <v>1277</v>
      </c>
      <c r="AM157" s="42" t="s">
        <v>149</v>
      </c>
      <c r="AN157" s="28" t="s">
        <v>165</v>
      </c>
      <c r="AO157" s="28" t="s">
        <v>1147</v>
      </c>
      <c r="AP157" s="26" t="s">
        <v>1278</v>
      </c>
      <c r="AQ157" s="34" t="s">
        <v>1279</v>
      </c>
      <c r="AR157" s="26" t="s">
        <v>1280</v>
      </c>
      <c r="AS157" s="38" t="s">
        <v>1281</v>
      </c>
      <c r="AT157" s="26"/>
    </row>
    <row r="158">
      <c r="A158" s="36" t="s">
        <v>1282</v>
      </c>
      <c r="B158" s="26" t="str">
        <f t="shared" si="1"/>
        <v>2023-PH030802000-2013-0090</v>
      </c>
      <c r="C158" s="27">
        <f t="shared" si="3"/>
        <v>2023</v>
      </c>
      <c r="D158" s="28" t="s">
        <v>140</v>
      </c>
      <c r="E158" s="28" t="s">
        <v>141</v>
      </c>
      <c r="F158" s="28" t="s">
        <v>192</v>
      </c>
      <c r="G158" s="29" t="s">
        <v>293</v>
      </c>
      <c r="H158" s="29" t="s">
        <v>1283</v>
      </c>
      <c r="I158" s="29" t="s">
        <v>1284</v>
      </c>
      <c r="J158" s="29" t="s">
        <v>1285</v>
      </c>
      <c r="K158" s="26" t="s">
        <v>1174</v>
      </c>
      <c r="L158" s="46" t="s">
        <v>149</v>
      </c>
      <c r="M158" s="31">
        <v>2013.0</v>
      </c>
      <c r="N158" s="31">
        <v>2012.0</v>
      </c>
      <c r="O158" s="31">
        <v>2013.0</v>
      </c>
      <c r="P158" s="28" t="s">
        <v>177</v>
      </c>
      <c r="Q158" s="32" t="s">
        <v>319</v>
      </c>
      <c r="R158" s="28" t="s">
        <v>154</v>
      </c>
      <c r="S158" s="32" t="s">
        <v>154</v>
      </c>
      <c r="T158" s="28" t="s">
        <v>300</v>
      </c>
      <c r="U158" s="28" t="s">
        <v>149</v>
      </c>
      <c r="V158" s="26" t="s">
        <v>179</v>
      </c>
      <c r="W158" s="32" t="s">
        <v>149</v>
      </c>
      <c r="X158" s="32" t="s">
        <v>254</v>
      </c>
      <c r="Y158" s="26" t="s">
        <v>149</v>
      </c>
      <c r="Z158" s="26" t="s">
        <v>321</v>
      </c>
      <c r="AA158" s="26" t="s">
        <v>159</v>
      </c>
      <c r="AB158" s="26" t="s">
        <v>160</v>
      </c>
      <c r="AC158" s="28" t="s">
        <v>322</v>
      </c>
      <c r="AD158" s="28" t="s">
        <v>323</v>
      </c>
      <c r="AE158" s="29" t="s">
        <v>149</v>
      </c>
      <c r="AF158" s="26" t="s">
        <v>149</v>
      </c>
      <c r="AG158" s="28" t="s">
        <v>1286</v>
      </c>
      <c r="AH158" s="26" t="s">
        <v>885</v>
      </c>
      <c r="AI158" s="32" t="s">
        <v>209</v>
      </c>
      <c r="AJ158" s="28" t="s">
        <v>886</v>
      </c>
      <c r="AK158" s="26" t="s">
        <v>1287</v>
      </c>
      <c r="AL158" s="26" t="s">
        <v>149</v>
      </c>
      <c r="AM158" s="26" t="s">
        <v>149</v>
      </c>
      <c r="AN158" s="28" t="s">
        <v>165</v>
      </c>
      <c r="AO158" s="28" t="s">
        <v>1147</v>
      </c>
      <c r="AP158" s="26" t="s">
        <v>1288</v>
      </c>
      <c r="AQ158" s="34" t="s">
        <v>1289</v>
      </c>
      <c r="AR158" s="26" t="s">
        <v>149</v>
      </c>
      <c r="AS158" s="26" t="s">
        <v>149</v>
      </c>
      <c r="AT158" s="28"/>
    </row>
    <row r="159">
      <c r="A159" s="36" t="s">
        <v>1290</v>
      </c>
      <c r="B159" s="26" t="str">
        <f t="shared" si="1"/>
        <v>2023-PH037114000-2013-0106</v>
      </c>
      <c r="C159" s="27">
        <f t="shared" si="3"/>
        <v>2023</v>
      </c>
      <c r="D159" s="28" t="s">
        <v>140</v>
      </c>
      <c r="E159" s="28" t="s">
        <v>141</v>
      </c>
      <c r="F159" s="28" t="s">
        <v>192</v>
      </c>
      <c r="G159" s="29" t="s">
        <v>293</v>
      </c>
      <c r="H159" s="29" t="s">
        <v>294</v>
      </c>
      <c r="I159" s="29" t="s">
        <v>1291</v>
      </c>
      <c r="J159" s="29" t="s">
        <v>1292</v>
      </c>
      <c r="K159" s="26" t="s">
        <v>1174</v>
      </c>
      <c r="L159" s="47" t="s">
        <v>149</v>
      </c>
      <c r="M159" s="31">
        <v>2013.0</v>
      </c>
      <c r="N159" s="31">
        <v>2012.0</v>
      </c>
      <c r="O159" s="31">
        <v>2013.0</v>
      </c>
      <c r="P159" s="28" t="s">
        <v>177</v>
      </c>
      <c r="Q159" s="32" t="s">
        <v>319</v>
      </c>
      <c r="R159" s="28" t="s">
        <v>154</v>
      </c>
      <c r="S159" s="32" t="s">
        <v>154</v>
      </c>
      <c r="T159" s="28" t="s">
        <v>300</v>
      </c>
      <c r="U159" s="28" t="s">
        <v>149</v>
      </c>
      <c r="V159" s="26" t="s">
        <v>179</v>
      </c>
      <c r="W159" s="32" t="s">
        <v>149</v>
      </c>
      <c r="X159" s="32" t="s">
        <v>254</v>
      </c>
      <c r="Y159" s="26" t="s">
        <v>149</v>
      </c>
      <c r="Z159" s="26" t="s">
        <v>321</v>
      </c>
      <c r="AA159" s="26" t="s">
        <v>159</v>
      </c>
      <c r="AB159" s="26" t="s">
        <v>160</v>
      </c>
      <c r="AC159" s="28" t="s">
        <v>322</v>
      </c>
      <c r="AD159" s="28" t="s">
        <v>323</v>
      </c>
      <c r="AE159" s="29" t="s">
        <v>149</v>
      </c>
      <c r="AF159" s="26" t="s">
        <v>149</v>
      </c>
      <c r="AG159" s="26" t="s">
        <v>149</v>
      </c>
      <c r="AH159" s="26" t="s">
        <v>885</v>
      </c>
      <c r="AI159" s="32" t="s">
        <v>209</v>
      </c>
      <c r="AJ159" s="28" t="s">
        <v>886</v>
      </c>
      <c r="AK159" s="26" t="s">
        <v>1287</v>
      </c>
      <c r="AL159" s="26" t="s">
        <v>149</v>
      </c>
      <c r="AM159" s="26" t="s">
        <v>149</v>
      </c>
      <c r="AN159" s="28" t="s">
        <v>165</v>
      </c>
      <c r="AO159" s="28" t="s">
        <v>1147</v>
      </c>
      <c r="AP159" s="91" t="s">
        <v>1293</v>
      </c>
      <c r="AQ159" s="34" t="s">
        <v>1294</v>
      </c>
      <c r="AR159" s="26" t="s">
        <v>149</v>
      </c>
      <c r="AS159" s="26" t="s">
        <v>149</v>
      </c>
      <c r="AT159" s="26"/>
    </row>
    <row r="160">
      <c r="A160" s="36" t="s">
        <v>1295</v>
      </c>
      <c r="B160" s="26" t="str">
        <f t="shared" si="1"/>
        <v>2023-PH060601000-2013-0239</v>
      </c>
      <c r="C160" s="27">
        <f t="shared" si="3"/>
        <v>2023</v>
      </c>
      <c r="D160" s="37" t="s">
        <v>140</v>
      </c>
      <c r="E160" s="28" t="s">
        <v>141</v>
      </c>
      <c r="F160" s="28" t="s">
        <v>192</v>
      </c>
      <c r="G160" s="29" t="s">
        <v>314</v>
      </c>
      <c r="H160" s="29" t="s">
        <v>858</v>
      </c>
      <c r="I160" s="29" t="s">
        <v>1296</v>
      </c>
      <c r="J160" s="29" t="s">
        <v>1297</v>
      </c>
      <c r="K160" s="26" t="s">
        <v>1174</v>
      </c>
      <c r="L160" s="43" t="s">
        <v>149</v>
      </c>
      <c r="M160" s="31">
        <v>2013.0</v>
      </c>
      <c r="N160" s="31">
        <v>2012.0</v>
      </c>
      <c r="O160" s="31">
        <v>2013.0</v>
      </c>
      <c r="P160" s="28" t="s">
        <v>177</v>
      </c>
      <c r="Q160" s="32" t="s">
        <v>319</v>
      </c>
      <c r="R160" s="28" t="s">
        <v>154</v>
      </c>
      <c r="S160" s="32" t="s">
        <v>154</v>
      </c>
      <c r="T160" s="28" t="s">
        <v>300</v>
      </c>
      <c r="U160" s="28" t="s">
        <v>320</v>
      </c>
      <c r="V160" s="26" t="s">
        <v>1201</v>
      </c>
      <c r="W160" s="32" t="s">
        <v>149</v>
      </c>
      <c r="X160" s="32" t="s">
        <v>254</v>
      </c>
      <c r="Y160" s="26" t="s">
        <v>149</v>
      </c>
      <c r="Z160" s="26" t="s">
        <v>321</v>
      </c>
      <c r="AA160" s="26" t="s">
        <v>204</v>
      </c>
      <c r="AB160" s="26" t="s">
        <v>160</v>
      </c>
      <c r="AC160" s="28" t="s">
        <v>322</v>
      </c>
      <c r="AD160" s="28" t="s">
        <v>323</v>
      </c>
      <c r="AE160" s="29" t="s">
        <v>149</v>
      </c>
      <c r="AF160" s="26" t="s">
        <v>149</v>
      </c>
      <c r="AG160" s="26" t="s">
        <v>1298</v>
      </c>
      <c r="AH160" s="26" t="s">
        <v>885</v>
      </c>
      <c r="AI160" s="32" t="s">
        <v>209</v>
      </c>
      <c r="AJ160" s="28" t="s">
        <v>886</v>
      </c>
      <c r="AK160" s="26" t="s">
        <v>1299</v>
      </c>
      <c r="AL160" s="11" t="s">
        <v>149</v>
      </c>
      <c r="AM160" s="11" t="s">
        <v>149</v>
      </c>
      <c r="AN160" s="28" t="s">
        <v>165</v>
      </c>
      <c r="AO160" s="28" t="s">
        <v>1147</v>
      </c>
      <c r="AP160" s="26" t="s">
        <v>1300</v>
      </c>
      <c r="AQ160" s="34" t="s">
        <v>1301</v>
      </c>
      <c r="AR160" s="11" t="s">
        <v>149</v>
      </c>
      <c r="AS160" s="11" t="s">
        <v>149</v>
      </c>
      <c r="AT160" s="11"/>
    </row>
    <row r="161">
      <c r="A161" s="36" t="s">
        <v>1302</v>
      </c>
      <c r="B161" s="26" t="str">
        <f t="shared" si="1"/>
        <v>2023-PH071233000-2013-0265</v>
      </c>
      <c r="C161" s="27">
        <f t="shared" si="3"/>
        <v>2023</v>
      </c>
      <c r="D161" s="28" t="s">
        <v>140</v>
      </c>
      <c r="E161" s="28" t="s">
        <v>141</v>
      </c>
      <c r="F161" s="28" t="s">
        <v>192</v>
      </c>
      <c r="G161" s="29" t="s">
        <v>193</v>
      </c>
      <c r="H161" s="29" t="s">
        <v>563</v>
      </c>
      <c r="I161" s="29" t="s">
        <v>1108</v>
      </c>
      <c r="J161" s="29" t="s">
        <v>1109</v>
      </c>
      <c r="K161" s="26" t="s">
        <v>1174</v>
      </c>
      <c r="L161" s="47" t="s">
        <v>149</v>
      </c>
      <c r="M161" s="31">
        <v>2013.0</v>
      </c>
      <c r="N161" s="31">
        <v>2012.0</v>
      </c>
      <c r="O161" s="31">
        <v>2013.0</v>
      </c>
      <c r="P161" s="28" t="s">
        <v>177</v>
      </c>
      <c r="Q161" s="32" t="s">
        <v>319</v>
      </c>
      <c r="R161" s="28" t="s">
        <v>154</v>
      </c>
      <c r="S161" s="32" t="s">
        <v>154</v>
      </c>
      <c r="T161" s="28" t="s">
        <v>300</v>
      </c>
      <c r="U161" s="28" t="s">
        <v>320</v>
      </c>
      <c r="V161" s="26" t="s">
        <v>320</v>
      </c>
      <c r="W161" s="32" t="s">
        <v>149</v>
      </c>
      <c r="X161" s="32" t="s">
        <v>254</v>
      </c>
      <c r="Y161" s="26" t="s">
        <v>149</v>
      </c>
      <c r="Z161" s="26" t="s">
        <v>321</v>
      </c>
      <c r="AA161" s="26" t="s">
        <v>159</v>
      </c>
      <c r="AB161" s="26" t="s">
        <v>160</v>
      </c>
      <c r="AC161" s="28" t="s">
        <v>322</v>
      </c>
      <c r="AD161" s="28" t="s">
        <v>323</v>
      </c>
      <c r="AE161" s="29" t="s">
        <v>149</v>
      </c>
      <c r="AF161" s="26" t="s">
        <v>149</v>
      </c>
      <c r="AG161" s="26" t="s">
        <v>1303</v>
      </c>
      <c r="AH161" s="26" t="s">
        <v>885</v>
      </c>
      <c r="AI161" s="32" t="s">
        <v>209</v>
      </c>
      <c r="AJ161" s="28" t="s">
        <v>886</v>
      </c>
      <c r="AK161" s="29" t="s">
        <v>149</v>
      </c>
      <c r="AL161" s="29" t="s">
        <v>149</v>
      </c>
      <c r="AM161" s="29" t="s">
        <v>149</v>
      </c>
      <c r="AN161" s="28" t="s">
        <v>165</v>
      </c>
      <c r="AO161" s="28" t="s">
        <v>1147</v>
      </c>
      <c r="AP161" s="26" t="s">
        <v>1304</v>
      </c>
      <c r="AQ161" s="34" t="s">
        <v>1305</v>
      </c>
      <c r="AR161" s="26" t="s">
        <v>1280</v>
      </c>
      <c r="AS161" s="38" t="s">
        <v>1281</v>
      </c>
      <c r="AT161" s="28"/>
    </row>
    <row r="162">
      <c r="A162" s="36" t="s">
        <v>1306</v>
      </c>
      <c r="B162" s="26" t="str">
        <f t="shared" si="1"/>
        <v>2025-PH153830000-2021-0444</v>
      </c>
      <c r="C162" s="27">
        <f t="shared" si="3"/>
        <v>2025</v>
      </c>
      <c r="D162" s="28" t="s">
        <v>191</v>
      </c>
      <c r="E162" s="28" t="s">
        <v>191</v>
      </c>
      <c r="F162" s="28" t="s">
        <v>142</v>
      </c>
      <c r="G162" s="29" t="s">
        <v>642</v>
      </c>
      <c r="H162" s="29" t="s">
        <v>643</v>
      </c>
      <c r="I162" s="40" t="s">
        <v>1307</v>
      </c>
      <c r="J162" s="29" t="s">
        <v>1308</v>
      </c>
      <c r="K162" s="26" t="s">
        <v>1309</v>
      </c>
      <c r="L162" s="26" t="s">
        <v>1310</v>
      </c>
      <c r="M162" s="31">
        <v>2021.0</v>
      </c>
      <c r="N162" s="49">
        <v>2021.0</v>
      </c>
      <c r="O162" s="49" t="s">
        <v>149</v>
      </c>
      <c r="P162" s="28" t="s">
        <v>177</v>
      </c>
      <c r="Q162" s="32" t="s">
        <v>319</v>
      </c>
      <c r="R162" s="28" t="s">
        <v>154</v>
      </c>
      <c r="S162" s="32" t="s">
        <v>154</v>
      </c>
      <c r="T162" s="28" t="s">
        <v>300</v>
      </c>
      <c r="U162" s="28" t="s">
        <v>1081</v>
      </c>
      <c r="V162" s="26" t="s">
        <v>320</v>
      </c>
      <c r="W162" s="32" t="s">
        <v>656</v>
      </c>
      <c r="X162" s="32" t="s">
        <v>657</v>
      </c>
      <c r="Y162" s="26" t="s">
        <v>1311</v>
      </c>
      <c r="Z162" s="28" t="s">
        <v>1312</v>
      </c>
      <c r="AA162" s="26" t="s">
        <v>159</v>
      </c>
      <c r="AB162" s="28" t="s">
        <v>160</v>
      </c>
      <c r="AC162" s="28" t="s">
        <v>1313</v>
      </c>
      <c r="AD162" s="28" t="s">
        <v>1312</v>
      </c>
      <c r="AE162" s="29" t="s">
        <v>149</v>
      </c>
      <c r="AF162" s="26" t="s">
        <v>149</v>
      </c>
      <c r="AG162" s="26" t="s">
        <v>149</v>
      </c>
      <c r="AH162" s="26" t="s">
        <v>1314</v>
      </c>
      <c r="AI162" s="28" t="s">
        <v>1313</v>
      </c>
      <c r="AJ162" s="28" t="s">
        <v>1312</v>
      </c>
      <c r="AK162" s="28" t="s">
        <v>1315</v>
      </c>
      <c r="AL162" s="28" t="s">
        <v>149</v>
      </c>
      <c r="AM162" s="28" t="s">
        <v>149</v>
      </c>
      <c r="AN162" s="28" t="s">
        <v>165</v>
      </c>
      <c r="AO162" s="28" t="s">
        <v>689</v>
      </c>
      <c r="AP162" s="26" t="s">
        <v>1316</v>
      </c>
      <c r="AQ162" s="38" t="s">
        <v>1317</v>
      </c>
      <c r="AR162" s="28" t="s">
        <v>149</v>
      </c>
      <c r="AS162" s="28" t="s">
        <v>149</v>
      </c>
      <c r="AT162" s="26"/>
    </row>
    <row r="163">
      <c r="A163" s="36" t="s">
        <v>1318</v>
      </c>
      <c r="B163" s="26" t="str">
        <f t="shared" si="1"/>
        <v>2025-PH153830000-2021-0445</v>
      </c>
      <c r="C163" s="27">
        <f t="shared" si="3"/>
        <v>2025</v>
      </c>
      <c r="D163" s="28" t="s">
        <v>191</v>
      </c>
      <c r="E163" s="28" t="s">
        <v>191</v>
      </c>
      <c r="F163" s="28" t="s">
        <v>142</v>
      </c>
      <c r="G163" s="29" t="s">
        <v>642</v>
      </c>
      <c r="H163" s="29" t="s">
        <v>643</v>
      </c>
      <c r="I163" s="40" t="s">
        <v>1307</v>
      </c>
      <c r="J163" s="29" t="s">
        <v>1308</v>
      </c>
      <c r="K163" s="26" t="s">
        <v>1309</v>
      </c>
      <c r="L163" s="26" t="s">
        <v>1319</v>
      </c>
      <c r="M163" s="31">
        <v>2021.0</v>
      </c>
      <c r="N163" s="49">
        <v>2021.0</v>
      </c>
      <c r="O163" s="49" t="s">
        <v>149</v>
      </c>
      <c r="P163" s="28" t="s">
        <v>177</v>
      </c>
      <c r="Q163" s="32" t="s">
        <v>319</v>
      </c>
      <c r="R163" s="28" t="s">
        <v>154</v>
      </c>
      <c r="S163" s="32" t="s">
        <v>154</v>
      </c>
      <c r="T163" s="28" t="s">
        <v>300</v>
      </c>
      <c r="U163" s="28" t="s">
        <v>1081</v>
      </c>
      <c r="V163" s="26" t="s">
        <v>320</v>
      </c>
      <c r="W163" s="32" t="s">
        <v>656</v>
      </c>
      <c r="X163" s="32" t="s">
        <v>657</v>
      </c>
      <c r="Y163" s="26" t="s">
        <v>1311</v>
      </c>
      <c r="Z163" s="28" t="s">
        <v>1312</v>
      </c>
      <c r="AA163" s="26" t="s">
        <v>159</v>
      </c>
      <c r="AB163" s="28" t="s">
        <v>160</v>
      </c>
      <c r="AC163" s="28" t="s">
        <v>1313</v>
      </c>
      <c r="AD163" s="28" t="s">
        <v>1312</v>
      </c>
      <c r="AE163" s="29" t="s">
        <v>149</v>
      </c>
      <c r="AF163" s="26" t="s">
        <v>149</v>
      </c>
      <c r="AG163" s="26" t="s">
        <v>149</v>
      </c>
      <c r="AH163" s="26" t="s">
        <v>1314</v>
      </c>
      <c r="AI163" s="28" t="s">
        <v>1313</v>
      </c>
      <c r="AJ163" s="28" t="s">
        <v>1312</v>
      </c>
      <c r="AK163" s="28" t="s">
        <v>1315</v>
      </c>
      <c r="AL163" s="28" t="s">
        <v>149</v>
      </c>
      <c r="AM163" s="28" t="s">
        <v>149</v>
      </c>
      <c r="AN163" s="28" t="s">
        <v>165</v>
      </c>
      <c r="AO163" s="28" t="s">
        <v>689</v>
      </c>
      <c r="AP163" s="26" t="s">
        <v>1316</v>
      </c>
      <c r="AQ163" s="38" t="s">
        <v>1317</v>
      </c>
      <c r="AR163" s="28" t="s">
        <v>149</v>
      </c>
      <c r="AS163" s="28" t="s">
        <v>149</v>
      </c>
      <c r="AT163" s="26"/>
    </row>
    <row r="164">
      <c r="A164" s="36" t="s">
        <v>1320</v>
      </c>
      <c r="B164" s="26" t="str">
        <f t="shared" si="1"/>
        <v>2025-PH153830000-2021-0446</v>
      </c>
      <c r="C164" s="27">
        <f t="shared" si="3"/>
        <v>2025</v>
      </c>
      <c r="D164" s="28" t="s">
        <v>191</v>
      </c>
      <c r="E164" s="28" t="s">
        <v>191</v>
      </c>
      <c r="F164" s="28" t="s">
        <v>142</v>
      </c>
      <c r="G164" s="29" t="s">
        <v>642</v>
      </c>
      <c r="H164" s="29" t="s">
        <v>643</v>
      </c>
      <c r="I164" s="40" t="s">
        <v>1307</v>
      </c>
      <c r="J164" s="29" t="s">
        <v>1308</v>
      </c>
      <c r="K164" s="26" t="s">
        <v>1309</v>
      </c>
      <c r="L164" s="26" t="s">
        <v>1321</v>
      </c>
      <c r="M164" s="31">
        <v>2021.0</v>
      </c>
      <c r="N164" s="49">
        <v>2021.0</v>
      </c>
      <c r="O164" s="31" t="s">
        <v>149</v>
      </c>
      <c r="P164" s="28" t="s">
        <v>177</v>
      </c>
      <c r="Q164" s="32" t="s">
        <v>319</v>
      </c>
      <c r="R164" s="28" t="s">
        <v>154</v>
      </c>
      <c r="S164" s="32" t="s">
        <v>154</v>
      </c>
      <c r="T164" s="28" t="s">
        <v>300</v>
      </c>
      <c r="U164" s="28" t="s">
        <v>1081</v>
      </c>
      <c r="V164" s="26" t="s">
        <v>320</v>
      </c>
      <c r="W164" s="32" t="s">
        <v>1322</v>
      </c>
      <c r="X164" s="32" t="s">
        <v>657</v>
      </c>
      <c r="Y164" s="26" t="s">
        <v>1311</v>
      </c>
      <c r="Z164" s="28" t="s">
        <v>1312</v>
      </c>
      <c r="AA164" s="26" t="s">
        <v>159</v>
      </c>
      <c r="AB164" s="28" t="s">
        <v>160</v>
      </c>
      <c r="AC164" s="28" t="s">
        <v>1313</v>
      </c>
      <c r="AD164" s="28" t="s">
        <v>1312</v>
      </c>
      <c r="AE164" s="29" t="s">
        <v>149</v>
      </c>
      <c r="AF164" s="26" t="s">
        <v>149</v>
      </c>
      <c r="AG164" s="26" t="s">
        <v>149</v>
      </c>
      <c r="AH164" s="26" t="s">
        <v>1314</v>
      </c>
      <c r="AI164" s="28" t="s">
        <v>1313</v>
      </c>
      <c r="AJ164" s="28" t="s">
        <v>1312</v>
      </c>
      <c r="AK164" s="28" t="s">
        <v>1315</v>
      </c>
      <c r="AL164" s="28" t="s">
        <v>149</v>
      </c>
      <c r="AM164" s="28" t="s">
        <v>149</v>
      </c>
      <c r="AN164" s="28" t="s">
        <v>165</v>
      </c>
      <c r="AO164" s="28" t="s">
        <v>689</v>
      </c>
      <c r="AP164" s="26" t="s">
        <v>1316</v>
      </c>
      <c r="AQ164" s="38" t="s">
        <v>1317</v>
      </c>
      <c r="AR164" s="28" t="s">
        <v>149</v>
      </c>
      <c r="AS164" s="28" t="s">
        <v>149</v>
      </c>
      <c r="AT164" s="28"/>
    </row>
    <row r="165">
      <c r="A165" s="36" t="s">
        <v>1323</v>
      </c>
      <c r="B165" s="26" t="str">
        <f t="shared" si="1"/>
        <v>2023-PH051727000-2020-0201</v>
      </c>
      <c r="C165" s="27">
        <f t="shared" si="3"/>
        <v>2023</v>
      </c>
      <c r="D165" s="28" t="s">
        <v>140</v>
      </c>
      <c r="E165" s="28" t="s">
        <v>141</v>
      </c>
      <c r="F165" s="28" t="s">
        <v>142</v>
      </c>
      <c r="G165" s="29" t="s">
        <v>535</v>
      </c>
      <c r="H165" s="29" t="s">
        <v>1089</v>
      </c>
      <c r="I165" s="29" t="s">
        <v>1324</v>
      </c>
      <c r="J165" s="29" t="s">
        <v>1325</v>
      </c>
      <c r="K165" s="26" t="s">
        <v>1309</v>
      </c>
      <c r="L165" s="46" t="s">
        <v>149</v>
      </c>
      <c r="M165" s="31">
        <v>2020.0</v>
      </c>
      <c r="N165" s="31">
        <v>2016.0</v>
      </c>
      <c r="O165" s="31">
        <v>2020.0</v>
      </c>
      <c r="P165" s="28" t="s">
        <v>150</v>
      </c>
      <c r="Q165" s="32" t="s">
        <v>151</v>
      </c>
      <c r="R165" s="28" t="s">
        <v>149</v>
      </c>
      <c r="S165" s="32" t="s">
        <v>149</v>
      </c>
      <c r="T165" s="28" t="s">
        <v>154</v>
      </c>
      <c r="U165" s="28" t="s">
        <v>154</v>
      </c>
      <c r="V165" s="26" t="s">
        <v>149</v>
      </c>
      <c r="W165" s="32" t="s">
        <v>284</v>
      </c>
      <c r="X165" s="32" t="s">
        <v>285</v>
      </c>
      <c r="Y165" s="3" t="s">
        <v>1326</v>
      </c>
      <c r="Z165" s="26" t="s">
        <v>1327</v>
      </c>
      <c r="AA165" s="26" t="s">
        <v>159</v>
      </c>
      <c r="AB165" s="28" t="s">
        <v>205</v>
      </c>
      <c r="AC165" s="26" t="s">
        <v>206</v>
      </c>
      <c r="AD165" s="28" t="s">
        <v>207</v>
      </c>
      <c r="AE165" s="29" t="s">
        <v>149</v>
      </c>
      <c r="AF165" s="26" t="s">
        <v>149</v>
      </c>
      <c r="AG165" s="26" t="s">
        <v>1328</v>
      </c>
      <c r="AH165" s="26" t="s">
        <v>390</v>
      </c>
      <c r="AI165" s="28" t="s">
        <v>322</v>
      </c>
      <c r="AJ165" s="28" t="s">
        <v>390</v>
      </c>
      <c r="AK165" s="28" t="s">
        <v>1329</v>
      </c>
      <c r="AL165" s="26" t="s">
        <v>149</v>
      </c>
      <c r="AM165" s="26" t="s">
        <v>149</v>
      </c>
      <c r="AN165" s="28" t="s">
        <v>165</v>
      </c>
      <c r="AO165" s="28" t="s">
        <v>1147</v>
      </c>
      <c r="AP165" s="26" t="s">
        <v>1330</v>
      </c>
      <c r="AQ165" s="26" t="s">
        <v>1331</v>
      </c>
      <c r="AR165" s="26" t="s">
        <v>149</v>
      </c>
      <c r="AS165" s="26" t="s">
        <v>149</v>
      </c>
      <c r="AT165" s="28"/>
    </row>
    <row r="166">
      <c r="A166" s="36" t="s">
        <v>1332</v>
      </c>
      <c r="B166" s="26" t="str">
        <f t="shared" si="1"/>
        <v>2023-PH150712000-2020-0439</v>
      </c>
      <c r="C166" s="27">
        <f t="shared" si="3"/>
        <v>2023</v>
      </c>
      <c r="D166" s="37" t="s">
        <v>140</v>
      </c>
      <c r="E166" s="28" t="s">
        <v>141</v>
      </c>
      <c r="F166" s="28" t="s">
        <v>142</v>
      </c>
      <c r="G166" s="29" t="s">
        <v>642</v>
      </c>
      <c r="H166" s="29" t="s">
        <v>1333</v>
      </c>
      <c r="I166" s="29" t="s">
        <v>1334</v>
      </c>
      <c r="J166" s="29" t="s">
        <v>1335</v>
      </c>
      <c r="K166" s="26" t="s">
        <v>1309</v>
      </c>
      <c r="L166" s="43" t="s">
        <v>149</v>
      </c>
      <c r="M166" s="31">
        <v>2020.0</v>
      </c>
      <c r="N166" s="31">
        <v>2016.0</v>
      </c>
      <c r="O166" s="31">
        <v>2020.0</v>
      </c>
      <c r="P166" s="28" t="s">
        <v>150</v>
      </c>
      <c r="Q166" s="32" t="s">
        <v>151</v>
      </c>
      <c r="R166" s="28" t="s">
        <v>149</v>
      </c>
      <c r="S166" s="32" t="s">
        <v>149</v>
      </c>
      <c r="T166" s="28" t="s">
        <v>154</v>
      </c>
      <c r="U166" s="28" t="s">
        <v>154</v>
      </c>
      <c r="V166" s="26" t="s">
        <v>149</v>
      </c>
      <c r="W166" s="32" t="s">
        <v>284</v>
      </c>
      <c r="X166" s="32" t="s">
        <v>285</v>
      </c>
      <c r="Y166" s="3" t="s">
        <v>1326</v>
      </c>
      <c r="Z166" s="26" t="s">
        <v>1327</v>
      </c>
      <c r="AA166" s="26" t="s">
        <v>159</v>
      </c>
      <c r="AB166" s="28" t="s">
        <v>205</v>
      </c>
      <c r="AC166" s="26" t="s">
        <v>206</v>
      </c>
      <c r="AD166" s="28" t="s">
        <v>207</v>
      </c>
      <c r="AE166" s="29" t="s">
        <v>149</v>
      </c>
      <c r="AF166" s="26" t="s">
        <v>149</v>
      </c>
      <c r="AG166" s="26" t="s">
        <v>1336</v>
      </c>
      <c r="AH166" s="26" t="s">
        <v>390</v>
      </c>
      <c r="AI166" s="28" t="s">
        <v>322</v>
      </c>
      <c r="AJ166" s="28" t="s">
        <v>390</v>
      </c>
      <c r="AK166" s="26" t="s">
        <v>369</v>
      </c>
      <c r="AL166" s="11" t="s">
        <v>149</v>
      </c>
      <c r="AM166" s="11" t="s">
        <v>149</v>
      </c>
      <c r="AN166" s="28" t="s">
        <v>165</v>
      </c>
      <c r="AO166" s="28" t="s">
        <v>1147</v>
      </c>
      <c r="AP166" s="26" t="s">
        <v>1330</v>
      </c>
      <c r="AQ166" s="38" t="s">
        <v>1331</v>
      </c>
      <c r="AR166" s="11" t="s">
        <v>149</v>
      </c>
      <c r="AS166" s="11" t="s">
        <v>149</v>
      </c>
      <c r="AT166" s="42"/>
    </row>
    <row r="167">
      <c r="A167" s="36" t="s">
        <v>1337</v>
      </c>
      <c r="B167" s="26" t="str">
        <f t="shared" si="1"/>
        <v>2023-PH150703000-2020-0440</v>
      </c>
      <c r="C167" s="27">
        <f t="shared" si="3"/>
        <v>2023</v>
      </c>
      <c r="D167" s="37" t="s">
        <v>140</v>
      </c>
      <c r="E167" s="28" t="s">
        <v>141</v>
      </c>
      <c r="F167" s="28" t="s">
        <v>142</v>
      </c>
      <c r="G167" s="29" t="s">
        <v>642</v>
      </c>
      <c r="H167" s="29" t="s">
        <v>1333</v>
      </c>
      <c r="I167" s="29" t="s">
        <v>1338</v>
      </c>
      <c r="J167" s="29" t="s">
        <v>1339</v>
      </c>
      <c r="K167" s="26" t="s">
        <v>1309</v>
      </c>
      <c r="L167" s="28" t="s">
        <v>1340</v>
      </c>
      <c r="M167" s="31">
        <v>2020.0</v>
      </c>
      <c r="N167" s="31">
        <v>2016.0</v>
      </c>
      <c r="O167" s="31">
        <v>2020.0</v>
      </c>
      <c r="P167" s="28" t="s">
        <v>150</v>
      </c>
      <c r="Q167" s="32" t="s">
        <v>151</v>
      </c>
      <c r="R167" s="28" t="s">
        <v>149</v>
      </c>
      <c r="S167" s="32" t="s">
        <v>149</v>
      </c>
      <c r="T167" s="28" t="s">
        <v>154</v>
      </c>
      <c r="U167" s="28" t="s">
        <v>154</v>
      </c>
      <c r="V167" s="26" t="s">
        <v>149</v>
      </c>
      <c r="W167" s="32" t="s">
        <v>284</v>
      </c>
      <c r="X167" s="32" t="s">
        <v>285</v>
      </c>
      <c r="Y167" s="3" t="s">
        <v>1326</v>
      </c>
      <c r="Z167" s="26" t="s">
        <v>1327</v>
      </c>
      <c r="AA167" s="26" t="s">
        <v>159</v>
      </c>
      <c r="AB167" s="28" t="s">
        <v>205</v>
      </c>
      <c r="AC167" s="26" t="s">
        <v>206</v>
      </c>
      <c r="AD167" s="28" t="s">
        <v>207</v>
      </c>
      <c r="AE167" s="29" t="s">
        <v>149</v>
      </c>
      <c r="AF167" s="26" t="s">
        <v>149</v>
      </c>
      <c r="AG167" s="26" t="s">
        <v>1341</v>
      </c>
      <c r="AH167" s="26" t="s">
        <v>390</v>
      </c>
      <c r="AI167" s="28" t="s">
        <v>322</v>
      </c>
      <c r="AJ167" s="28" t="s">
        <v>390</v>
      </c>
      <c r="AK167" s="26" t="s">
        <v>369</v>
      </c>
      <c r="AL167" s="11" t="s">
        <v>149</v>
      </c>
      <c r="AM167" s="11" t="s">
        <v>149</v>
      </c>
      <c r="AN167" s="28" t="s">
        <v>165</v>
      </c>
      <c r="AO167" s="28" t="s">
        <v>1147</v>
      </c>
      <c r="AP167" s="26" t="s">
        <v>1330</v>
      </c>
      <c r="AQ167" s="38" t="s">
        <v>1331</v>
      </c>
      <c r="AR167" s="11" t="s">
        <v>149</v>
      </c>
      <c r="AS167" s="11" t="s">
        <v>149</v>
      </c>
      <c r="AT167" s="92" t="s">
        <v>1342</v>
      </c>
    </row>
    <row r="168">
      <c r="A168" s="36" t="s">
        <v>1343</v>
      </c>
      <c r="B168" s="26" t="str">
        <f t="shared" si="1"/>
        <v>2025-PH150703000-2020-0441</v>
      </c>
      <c r="C168" s="27">
        <f t="shared" si="3"/>
        <v>2025</v>
      </c>
      <c r="D168" s="28" t="s">
        <v>191</v>
      </c>
      <c r="E168" s="28" t="s">
        <v>191</v>
      </c>
      <c r="F168" s="28" t="s">
        <v>142</v>
      </c>
      <c r="G168" s="29" t="s">
        <v>642</v>
      </c>
      <c r="H168" s="29" t="s">
        <v>1333</v>
      </c>
      <c r="I168" s="29" t="s">
        <v>1338</v>
      </c>
      <c r="J168" s="29" t="s">
        <v>1339</v>
      </c>
      <c r="K168" s="26" t="s">
        <v>1309</v>
      </c>
      <c r="L168" s="28" t="s">
        <v>1344</v>
      </c>
      <c r="M168" s="31">
        <v>2020.0</v>
      </c>
      <c r="N168" s="31">
        <v>2016.0</v>
      </c>
      <c r="O168" s="31">
        <v>2020.0</v>
      </c>
      <c r="P168" s="28" t="s">
        <v>150</v>
      </c>
      <c r="Q168" s="32" t="s">
        <v>151</v>
      </c>
      <c r="R168" s="28" t="s">
        <v>149</v>
      </c>
      <c r="S168" s="32" t="s">
        <v>149</v>
      </c>
      <c r="T168" s="28" t="s">
        <v>154</v>
      </c>
      <c r="U168" s="28" t="s">
        <v>154</v>
      </c>
      <c r="V168" s="26" t="s">
        <v>149</v>
      </c>
      <c r="W168" s="32" t="s">
        <v>284</v>
      </c>
      <c r="X168" s="32" t="s">
        <v>285</v>
      </c>
      <c r="Y168" s="3" t="s">
        <v>1326</v>
      </c>
      <c r="Z168" s="26" t="s">
        <v>1327</v>
      </c>
      <c r="AA168" s="26" t="s">
        <v>159</v>
      </c>
      <c r="AB168" s="28" t="s">
        <v>205</v>
      </c>
      <c r="AC168" s="26" t="s">
        <v>206</v>
      </c>
      <c r="AD168" s="28" t="s">
        <v>207</v>
      </c>
      <c r="AE168" s="29" t="s">
        <v>149</v>
      </c>
      <c r="AF168" s="26" t="s">
        <v>149</v>
      </c>
      <c r="AG168" s="26" t="s">
        <v>1345</v>
      </c>
      <c r="AH168" s="26" t="s">
        <v>390</v>
      </c>
      <c r="AI168" s="28" t="s">
        <v>322</v>
      </c>
      <c r="AJ168" s="28" t="s">
        <v>390</v>
      </c>
      <c r="AK168" s="26" t="s">
        <v>369</v>
      </c>
      <c r="AL168" s="28" t="s">
        <v>149</v>
      </c>
      <c r="AM168" s="28" t="s">
        <v>149</v>
      </c>
      <c r="AN168" s="28" t="s">
        <v>165</v>
      </c>
      <c r="AO168" s="28" t="s">
        <v>1147</v>
      </c>
      <c r="AP168" s="26" t="s">
        <v>1330</v>
      </c>
      <c r="AQ168" s="38" t="s">
        <v>1331</v>
      </c>
      <c r="AR168" s="28" t="s">
        <v>149</v>
      </c>
      <c r="AS168" s="28" t="s">
        <v>149</v>
      </c>
      <c r="AT168" s="26"/>
    </row>
    <row r="169">
      <c r="A169" s="36" t="s">
        <v>1346</v>
      </c>
      <c r="B169" s="26" t="str">
        <f t="shared" si="1"/>
        <v>2023-PH150713000-2020-0442</v>
      </c>
      <c r="C169" s="27">
        <f t="shared" si="3"/>
        <v>2023</v>
      </c>
      <c r="D169" s="37" t="s">
        <v>140</v>
      </c>
      <c r="E169" s="28" t="s">
        <v>141</v>
      </c>
      <c r="F169" s="28" t="s">
        <v>142</v>
      </c>
      <c r="G169" s="29" t="s">
        <v>642</v>
      </c>
      <c r="H169" s="29" t="s">
        <v>1333</v>
      </c>
      <c r="I169" s="29" t="s">
        <v>1347</v>
      </c>
      <c r="J169" s="29" t="s">
        <v>1348</v>
      </c>
      <c r="K169" s="26" t="s">
        <v>1309</v>
      </c>
      <c r="L169" s="28" t="s">
        <v>1349</v>
      </c>
      <c r="M169" s="31">
        <v>2020.0</v>
      </c>
      <c r="N169" s="31">
        <v>2016.0</v>
      </c>
      <c r="O169" s="31">
        <v>2020.0</v>
      </c>
      <c r="P169" s="28" t="s">
        <v>150</v>
      </c>
      <c r="Q169" s="32" t="s">
        <v>151</v>
      </c>
      <c r="R169" s="28" t="s">
        <v>149</v>
      </c>
      <c r="S169" s="32" t="s">
        <v>149</v>
      </c>
      <c r="T169" s="28" t="s">
        <v>154</v>
      </c>
      <c r="U169" s="28" t="s">
        <v>154</v>
      </c>
      <c r="V169" s="26" t="s">
        <v>149</v>
      </c>
      <c r="W169" s="32" t="s">
        <v>284</v>
      </c>
      <c r="X169" s="32" t="s">
        <v>285</v>
      </c>
      <c r="Y169" s="3" t="s">
        <v>1326</v>
      </c>
      <c r="Z169" s="26" t="s">
        <v>1327</v>
      </c>
      <c r="AA169" s="26" t="s">
        <v>159</v>
      </c>
      <c r="AB169" s="28" t="s">
        <v>205</v>
      </c>
      <c r="AC169" s="26" t="s">
        <v>206</v>
      </c>
      <c r="AD169" s="28" t="s">
        <v>207</v>
      </c>
      <c r="AE169" s="29" t="s">
        <v>149</v>
      </c>
      <c r="AF169" s="26" t="s">
        <v>149</v>
      </c>
      <c r="AG169" s="26" t="s">
        <v>1350</v>
      </c>
      <c r="AH169" s="26" t="s">
        <v>390</v>
      </c>
      <c r="AI169" s="28" t="s">
        <v>322</v>
      </c>
      <c r="AJ169" s="28" t="s">
        <v>390</v>
      </c>
      <c r="AK169" s="26" t="s">
        <v>369</v>
      </c>
      <c r="AL169" s="11" t="s">
        <v>149</v>
      </c>
      <c r="AM169" s="11" t="s">
        <v>149</v>
      </c>
      <c r="AN169" s="28" t="s">
        <v>165</v>
      </c>
      <c r="AO169" s="28" t="s">
        <v>1147</v>
      </c>
      <c r="AP169" s="26" t="s">
        <v>1330</v>
      </c>
      <c r="AQ169" s="26" t="s">
        <v>1331</v>
      </c>
      <c r="AR169" s="11" t="s">
        <v>149</v>
      </c>
      <c r="AS169" s="11" t="s">
        <v>149</v>
      </c>
      <c r="AT169" s="39"/>
    </row>
    <row r="170">
      <c r="A170" s="36" t="s">
        <v>1351</v>
      </c>
      <c r="B170" s="26" t="str">
        <f t="shared" si="1"/>
        <v>2023-PH153809000-2020-0449</v>
      </c>
      <c r="C170" s="27">
        <f t="shared" si="3"/>
        <v>2023</v>
      </c>
      <c r="D170" s="37" t="s">
        <v>140</v>
      </c>
      <c r="E170" s="28" t="s">
        <v>141</v>
      </c>
      <c r="F170" s="28" t="s">
        <v>142</v>
      </c>
      <c r="G170" s="29" t="s">
        <v>642</v>
      </c>
      <c r="H170" s="29" t="s">
        <v>643</v>
      </c>
      <c r="I170" s="29" t="s">
        <v>644</v>
      </c>
      <c r="J170" s="29" t="s">
        <v>645</v>
      </c>
      <c r="K170" s="26" t="s">
        <v>1309</v>
      </c>
      <c r="L170" s="28" t="s">
        <v>1352</v>
      </c>
      <c r="M170" s="31">
        <v>2020.0</v>
      </c>
      <c r="N170" s="31">
        <v>2016.0</v>
      </c>
      <c r="O170" s="31">
        <v>2020.0</v>
      </c>
      <c r="P170" s="28" t="s">
        <v>150</v>
      </c>
      <c r="Q170" s="32" t="s">
        <v>151</v>
      </c>
      <c r="R170" s="28" t="s">
        <v>149</v>
      </c>
      <c r="S170" s="32" t="s">
        <v>149</v>
      </c>
      <c r="T170" s="28" t="s">
        <v>154</v>
      </c>
      <c r="U170" s="28" t="s">
        <v>154</v>
      </c>
      <c r="V170" s="26" t="s">
        <v>149</v>
      </c>
      <c r="W170" s="32" t="s">
        <v>284</v>
      </c>
      <c r="X170" s="32" t="s">
        <v>285</v>
      </c>
      <c r="Y170" s="3" t="s">
        <v>1326</v>
      </c>
      <c r="Z170" s="26" t="s">
        <v>1327</v>
      </c>
      <c r="AA170" s="26" t="s">
        <v>159</v>
      </c>
      <c r="AB170" s="28" t="s">
        <v>205</v>
      </c>
      <c r="AC170" s="26" t="s">
        <v>206</v>
      </c>
      <c r="AD170" s="28" t="s">
        <v>207</v>
      </c>
      <c r="AE170" s="29" t="s">
        <v>149</v>
      </c>
      <c r="AF170" s="26" t="s">
        <v>149</v>
      </c>
      <c r="AG170" s="26" t="s">
        <v>1353</v>
      </c>
      <c r="AH170" s="26" t="s">
        <v>390</v>
      </c>
      <c r="AI170" s="28" t="s">
        <v>322</v>
      </c>
      <c r="AJ170" s="28" t="s">
        <v>390</v>
      </c>
      <c r="AK170" s="26" t="s">
        <v>369</v>
      </c>
      <c r="AL170" s="11" t="s">
        <v>149</v>
      </c>
      <c r="AM170" s="11" t="s">
        <v>149</v>
      </c>
      <c r="AN170" s="28" t="s">
        <v>165</v>
      </c>
      <c r="AO170" s="28" t="s">
        <v>1147</v>
      </c>
      <c r="AP170" s="26" t="s">
        <v>1330</v>
      </c>
      <c r="AQ170" s="38" t="s">
        <v>1331</v>
      </c>
      <c r="AR170" s="11" t="s">
        <v>149</v>
      </c>
      <c r="AS170" s="11" t="s">
        <v>149</v>
      </c>
      <c r="AT170" s="28"/>
    </row>
    <row r="171">
      <c r="A171" s="36" t="s">
        <v>1354</v>
      </c>
      <c r="B171" s="26" t="str">
        <f t="shared" si="1"/>
        <v>2023-PH153811000-2020-0450</v>
      </c>
      <c r="C171" s="27">
        <f t="shared" si="3"/>
        <v>2023</v>
      </c>
      <c r="D171" s="37" t="s">
        <v>140</v>
      </c>
      <c r="E171" s="28" t="s">
        <v>141</v>
      </c>
      <c r="F171" s="28" t="s">
        <v>142</v>
      </c>
      <c r="G171" s="29" t="s">
        <v>642</v>
      </c>
      <c r="H171" s="29" t="s">
        <v>643</v>
      </c>
      <c r="I171" s="29" t="s">
        <v>1355</v>
      </c>
      <c r="J171" s="29" t="s">
        <v>1356</v>
      </c>
      <c r="K171" s="26" t="s">
        <v>1309</v>
      </c>
      <c r="L171" s="26" t="s">
        <v>1357</v>
      </c>
      <c r="M171" s="31">
        <v>2020.0</v>
      </c>
      <c r="N171" s="31">
        <v>2016.0</v>
      </c>
      <c r="O171" s="31">
        <v>2020.0</v>
      </c>
      <c r="P171" s="28" t="s">
        <v>177</v>
      </c>
      <c r="Q171" s="32" t="s">
        <v>319</v>
      </c>
      <c r="R171" s="28" t="s">
        <v>154</v>
      </c>
      <c r="S171" s="32" t="s">
        <v>154</v>
      </c>
      <c r="T171" s="28" t="s">
        <v>300</v>
      </c>
      <c r="U171" s="28" t="s">
        <v>1358</v>
      </c>
      <c r="V171" s="28" t="s">
        <v>1359</v>
      </c>
      <c r="W171" s="32" t="s">
        <v>284</v>
      </c>
      <c r="X171" s="32" t="s">
        <v>285</v>
      </c>
      <c r="Y171" s="3" t="s">
        <v>1326</v>
      </c>
      <c r="Z171" s="26" t="s">
        <v>1327</v>
      </c>
      <c r="AA171" s="26" t="s">
        <v>159</v>
      </c>
      <c r="AB171" s="28" t="s">
        <v>205</v>
      </c>
      <c r="AC171" s="26" t="s">
        <v>206</v>
      </c>
      <c r="AD171" s="28" t="s">
        <v>207</v>
      </c>
      <c r="AE171" s="29" t="s">
        <v>149</v>
      </c>
      <c r="AF171" s="26" t="s">
        <v>149</v>
      </c>
      <c r="AG171" s="26" t="s">
        <v>1360</v>
      </c>
      <c r="AH171" s="26" t="s">
        <v>390</v>
      </c>
      <c r="AI171" s="28" t="s">
        <v>322</v>
      </c>
      <c r="AJ171" s="28" t="s">
        <v>390</v>
      </c>
      <c r="AK171" s="11" t="s">
        <v>149</v>
      </c>
      <c r="AL171" s="11" t="s">
        <v>149</v>
      </c>
      <c r="AM171" s="11" t="s">
        <v>149</v>
      </c>
      <c r="AN171" s="28" t="s">
        <v>165</v>
      </c>
      <c r="AO171" s="28" t="s">
        <v>1147</v>
      </c>
      <c r="AP171" s="26" t="s">
        <v>1330</v>
      </c>
      <c r="AQ171" s="38" t="s">
        <v>1331</v>
      </c>
      <c r="AR171" s="11" t="s">
        <v>149</v>
      </c>
      <c r="AS171" s="11" t="s">
        <v>149</v>
      </c>
      <c r="AT171" s="28"/>
    </row>
    <row r="172">
      <c r="A172" s="60" t="s">
        <v>1361</v>
      </c>
      <c r="B172" s="26" t="str">
        <f t="shared" si="1"/>
        <v>2025-PH150703000-2020-0470</v>
      </c>
      <c r="C172" s="93">
        <v>2025.0</v>
      </c>
      <c r="D172" s="50" t="s">
        <v>191</v>
      </c>
      <c r="E172" s="50" t="s">
        <v>191</v>
      </c>
      <c r="F172" s="62" t="s">
        <v>142</v>
      </c>
      <c r="G172" s="63" t="s">
        <v>642</v>
      </c>
      <c r="H172" s="63" t="s">
        <v>1333</v>
      </c>
      <c r="I172" s="63" t="s">
        <v>1338</v>
      </c>
      <c r="J172" s="63" t="s">
        <v>1339</v>
      </c>
      <c r="K172" s="62" t="s">
        <v>1309</v>
      </c>
      <c r="L172" s="64" t="s">
        <v>1340</v>
      </c>
      <c r="M172" s="65">
        <v>2020.0</v>
      </c>
      <c r="N172" s="65">
        <v>2016.0</v>
      </c>
      <c r="O172" s="65">
        <v>2020.0</v>
      </c>
      <c r="P172" s="62" t="s">
        <v>150</v>
      </c>
      <c r="Q172" s="66" t="s">
        <v>151</v>
      </c>
      <c r="R172" s="28" t="s">
        <v>149</v>
      </c>
      <c r="S172" s="67" t="s">
        <v>149</v>
      </c>
      <c r="T172" s="62" t="s">
        <v>154</v>
      </c>
      <c r="U172" s="62" t="s">
        <v>154</v>
      </c>
      <c r="V172" s="62" t="s">
        <v>149</v>
      </c>
      <c r="W172" s="67" t="s">
        <v>284</v>
      </c>
      <c r="X172" s="62" t="s">
        <v>285</v>
      </c>
      <c r="Y172" s="67" t="s">
        <v>1326</v>
      </c>
      <c r="Z172" s="62" t="s">
        <v>1327</v>
      </c>
      <c r="AA172" s="67" t="s">
        <v>159</v>
      </c>
      <c r="AB172" s="62" t="s">
        <v>205</v>
      </c>
      <c r="AC172" s="67" t="s">
        <v>206</v>
      </c>
      <c r="AD172" s="28" t="s">
        <v>207</v>
      </c>
      <c r="AE172" s="63" t="s">
        <v>149</v>
      </c>
      <c r="AF172" s="67" t="s">
        <v>149</v>
      </c>
      <c r="AG172" s="50" t="s">
        <v>1362</v>
      </c>
      <c r="AH172" s="62" t="s">
        <v>390</v>
      </c>
      <c r="AI172" s="28" t="s">
        <v>322</v>
      </c>
      <c r="AJ172" s="62" t="s">
        <v>390</v>
      </c>
      <c r="AK172" s="62" t="s">
        <v>369</v>
      </c>
      <c r="AL172" s="62" t="s">
        <v>149</v>
      </c>
      <c r="AM172" s="62" t="s">
        <v>149</v>
      </c>
      <c r="AN172" s="28" t="s">
        <v>165</v>
      </c>
      <c r="AO172" s="28" t="s">
        <v>1147</v>
      </c>
      <c r="AP172" s="67" t="s">
        <v>1330</v>
      </c>
      <c r="AQ172" s="94" t="s">
        <v>1331</v>
      </c>
      <c r="AR172" s="62" t="s">
        <v>149</v>
      </c>
      <c r="AS172" s="62" t="s">
        <v>149</v>
      </c>
      <c r="AT172" s="62"/>
    </row>
    <row r="173">
      <c r="A173" s="36" t="s">
        <v>1363</v>
      </c>
      <c r="B173" s="26" t="str">
        <f t="shared" si="1"/>
        <v>2025-PH061915000-1999-0245</v>
      </c>
      <c r="C173" s="27">
        <f t="shared" ref="C173:C236" si="4">IF(OR(D173="Published", D173="Unpublished"), 2023, IF(D173="New", 2025, ""))
</f>
        <v>2025</v>
      </c>
      <c r="D173" s="28" t="s">
        <v>191</v>
      </c>
      <c r="E173" s="28" t="s">
        <v>191</v>
      </c>
      <c r="F173" s="28" t="s">
        <v>192</v>
      </c>
      <c r="G173" s="29" t="s">
        <v>314</v>
      </c>
      <c r="H173" s="29" t="s">
        <v>1364</v>
      </c>
      <c r="I173" s="40" t="s">
        <v>1365</v>
      </c>
      <c r="J173" s="29" t="s">
        <v>1366</v>
      </c>
      <c r="K173" s="26" t="s">
        <v>1367</v>
      </c>
      <c r="L173" s="28" t="s">
        <v>1368</v>
      </c>
      <c r="M173" s="49">
        <v>1999.0</v>
      </c>
      <c r="N173" s="31">
        <v>1999.0</v>
      </c>
      <c r="O173" s="31">
        <v>2005.0</v>
      </c>
      <c r="P173" s="28" t="s">
        <v>150</v>
      </c>
      <c r="Q173" s="32" t="s">
        <v>151</v>
      </c>
      <c r="R173" s="28" t="s">
        <v>152</v>
      </c>
      <c r="S173" s="32" t="s">
        <v>911</v>
      </c>
      <c r="T173" s="28" t="s">
        <v>154</v>
      </c>
      <c r="U173" s="28" t="s">
        <v>154</v>
      </c>
      <c r="V173" s="26" t="s">
        <v>911</v>
      </c>
      <c r="W173" s="32" t="s">
        <v>656</v>
      </c>
      <c r="X173" s="32" t="s">
        <v>657</v>
      </c>
      <c r="Y173" s="26" t="s">
        <v>1369</v>
      </c>
      <c r="Z173" s="26" t="s">
        <v>1370</v>
      </c>
      <c r="AA173" s="26" t="s">
        <v>159</v>
      </c>
      <c r="AB173" s="28" t="s">
        <v>205</v>
      </c>
      <c r="AC173" s="26" t="s">
        <v>206</v>
      </c>
      <c r="AD173" s="28" t="s">
        <v>207</v>
      </c>
      <c r="AE173" s="29" t="s">
        <v>149</v>
      </c>
      <c r="AF173" s="26" t="s">
        <v>149</v>
      </c>
      <c r="AG173" s="26" t="s">
        <v>1371</v>
      </c>
      <c r="AH173" s="26" t="s">
        <v>390</v>
      </c>
      <c r="AI173" s="28" t="s">
        <v>322</v>
      </c>
      <c r="AJ173" s="28" t="s">
        <v>390</v>
      </c>
      <c r="AK173" s="28" t="s">
        <v>149</v>
      </c>
      <c r="AL173" s="28" t="s">
        <v>149</v>
      </c>
      <c r="AM173" s="28" t="s">
        <v>149</v>
      </c>
      <c r="AN173" s="28" t="s">
        <v>241</v>
      </c>
      <c r="AO173" s="28" t="s">
        <v>242</v>
      </c>
      <c r="AP173" s="26" t="s">
        <v>1372</v>
      </c>
      <c r="AQ173" s="38" t="s">
        <v>1373</v>
      </c>
      <c r="AR173" s="28" t="s">
        <v>149</v>
      </c>
      <c r="AS173" s="28" t="s">
        <v>149</v>
      </c>
      <c r="AT173" s="29"/>
    </row>
    <row r="174">
      <c r="A174" s="25" t="s">
        <v>1374</v>
      </c>
      <c r="B174" s="26" t="str">
        <f t="shared" si="1"/>
        <v>2023-PH030807000-1990-0093</v>
      </c>
      <c r="C174" s="27">
        <f t="shared" si="4"/>
        <v>2023</v>
      </c>
      <c r="D174" s="28" t="s">
        <v>140</v>
      </c>
      <c r="E174" s="28" t="s">
        <v>141</v>
      </c>
      <c r="F174" s="28" t="s">
        <v>142</v>
      </c>
      <c r="G174" s="29" t="s">
        <v>293</v>
      </c>
      <c r="H174" s="29" t="s">
        <v>1283</v>
      </c>
      <c r="I174" s="29" t="s">
        <v>1375</v>
      </c>
      <c r="J174" s="29" t="s">
        <v>1376</v>
      </c>
      <c r="K174" s="26" t="s">
        <v>1377</v>
      </c>
      <c r="L174" s="46" t="s">
        <v>149</v>
      </c>
      <c r="M174" s="49">
        <v>1990.0</v>
      </c>
      <c r="N174" s="31">
        <v>1990.0</v>
      </c>
      <c r="O174" s="49">
        <v>1993.0</v>
      </c>
      <c r="P174" s="28" t="s">
        <v>150</v>
      </c>
      <c r="Q174" s="32" t="s">
        <v>151</v>
      </c>
      <c r="R174" s="28" t="s">
        <v>281</v>
      </c>
      <c r="S174" s="32" t="s">
        <v>1378</v>
      </c>
      <c r="T174" s="28" t="s">
        <v>154</v>
      </c>
      <c r="U174" s="28" t="s">
        <v>154</v>
      </c>
      <c r="V174" s="28" t="s">
        <v>1379</v>
      </c>
      <c r="W174" s="32" t="s">
        <v>656</v>
      </c>
      <c r="X174" s="32" t="s">
        <v>657</v>
      </c>
      <c r="Y174" s="28" t="s">
        <v>1380</v>
      </c>
      <c r="Z174" s="26" t="s">
        <v>1381</v>
      </c>
      <c r="AA174" s="26" t="s">
        <v>159</v>
      </c>
      <c r="AB174" s="28" t="s">
        <v>205</v>
      </c>
      <c r="AC174" s="26" t="s">
        <v>206</v>
      </c>
      <c r="AD174" s="28" t="s">
        <v>207</v>
      </c>
      <c r="AE174" s="29" t="s">
        <v>149</v>
      </c>
      <c r="AF174" s="26" t="s">
        <v>149</v>
      </c>
      <c r="AG174" s="28" t="s">
        <v>1382</v>
      </c>
      <c r="AH174" s="26" t="s">
        <v>660</v>
      </c>
      <c r="AI174" s="28" t="s">
        <v>322</v>
      </c>
      <c r="AJ174" s="28" t="s">
        <v>660</v>
      </c>
      <c r="AK174" s="28" t="s">
        <v>1383</v>
      </c>
      <c r="AL174" s="28" t="s">
        <v>393</v>
      </c>
      <c r="AM174" s="28" t="s">
        <v>870</v>
      </c>
      <c r="AN174" s="28" t="s">
        <v>241</v>
      </c>
      <c r="AO174" s="26" t="s">
        <v>395</v>
      </c>
      <c r="AP174" s="28" t="s">
        <v>396</v>
      </c>
      <c r="AQ174" s="26" t="s">
        <v>397</v>
      </c>
      <c r="AR174" s="26" t="s">
        <v>398</v>
      </c>
      <c r="AS174" s="26" t="s">
        <v>149</v>
      </c>
      <c r="AT174" s="28" t="s">
        <v>1384</v>
      </c>
    </row>
    <row r="175">
      <c r="A175" s="36" t="s">
        <v>1385</v>
      </c>
      <c r="B175" s="26" t="str">
        <f t="shared" si="1"/>
        <v>2023-PH041023000-1990-0135</v>
      </c>
      <c r="C175" s="27">
        <f t="shared" si="4"/>
        <v>2023</v>
      </c>
      <c r="D175" s="28" t="s">
        <v>140</v>
      </c>
      <c r="E175" s="28" t="s">
        <v>141</v>
      </c>
      <c r="F175" s="28" t="s">
        <v>142</v>
      </c>
      <c r="G175" s="29" t="s">
        <v>257</v>
      </c>
      <c r="H175" s="29" t="s">
        <v>258</v>
      </c>
      <c r="I175" s="29" t="s">
        <v>491</v>
      </c>
      <c r="J175" s="29" t="s">
        <v>492</v>
      </c>
      <c r="K175" s="26" t="s">
        <v>1377</v>
      </c>
      <c r="L175" s="45" t="s">
        <v>149</v>
      </c>
      <c r="M175" s="49">
        <v>1990.0</v>
      </c>
      <c r="N175" s="31">
        <v>1990.0</v>
      </c>
      <c r="O175" s="49">
        <v>1993.0</v>
      </c>
      <c r="P175" s="28" t="s">
        <v>150</v>
      </c>
      <c r="Q175" s="32" t="s">
        <v>151</v>
      </c>
      <c r="R175" s="28" t="s">
        <v>281</v>
      </c>
      <c r="S175" s="32" t="s">
        <v>1378</v>
      </c>
      <c r="T175" s="28" t="s">
        <v>154</v>
      </c>
      <c r="U175" s="28" t="s">
        <v>154</v>
      </c>
      <c r="V175" s="28" t="s">
        <v>1379</v>
      </c>
      <c r="W175" s="32" t="s">
        <v>656</v>
      </c>
      <c r="X175" s="32" t="s">
        <v>657</v>
      </c>
      <c r="Y175" s="28" t="s">
        <v>1380</v>
      </c>
      <c r="Z175" s="26" t="s">
        <v>1381</v>
      </c>
      <c r="AA175" s="26" t="s">
        <v>159</v>
      </c>
      <c r="AB175" s="28" t="s">
        <v>205</v>
      </c>
      <c r="AC175" s="26" t="s">
        <v>206</v>
      </c>
      <c r="AD175" s="28" t="s">
        <v>207</v>
      </c>
      <c r="AE175" s="29" t="s">
        <v>149</v>
      </c>
      <c r="AF175" s="26" t="s">
        <v>149</v>
      </c>
      <c r="AG175" s="28" t="s">
        <v>1382</v>
      </c>
      <c r="AH175" s="26" t="s">
        <v>660</v>
      </c>
      <c r="AI175" s="28" t="s">
        <v>322</v>
      </c>
      <c r="AJ175" s="28" t="s">
        <v>660</v>
      </c>
      <c r="AK175" s="28" t="s">
        <v>1383</v>
      </c>
      <c r="AL175" s="28" t="s">
        <v>393</v>
      </c>
      <c r="AM175" s="28" t="s">
        <v>870</v>
      </c>
      <c r="AN175" s="28" t="s">
        <v>241</v>
      </c>
      <c r="AO175" s="26" t="s">
        <v>395</v>
      </c>
      <c r="AP175" s="28" t="s">
        <v>396</v>
      </c>
      <c r="AQ175" s="26" t="s">
        <v>397</v>
      </c>
      <c r="AR175" s="26" t="s">
        <v>398</v>
      </c>
      <c r="AS175" s="45" t="s">
        <v>149</v>
      </c>
      <c r="AT175" s="28" t="s">
        <v>1384</v>
      </c>
    </row>
    <row r="176">
      <c r="A176" s="36" t="s">
        <v>1386</v>
      </c>
      <c r="B176" s="26" t="str">
        <f t="shared" si="1"/>
        <v>2023-PH042113000-1990-0138</v>
      </c>
      <c r="C176" s="27">
        <f t="shared" si="4"/>
        <v>2023</v>
      </c>
      <c r="D176" s="28" t="s">
        <v>140</v>
      </c>
      <c r="E176" s="28" t="s">
        <v>141</v>
      </c>
      <c r="F176" s="28" t="s">
        <v>142</v>
      </c>
      <c r="G176" s="29" t="s">
        <v>257</v>
      </c>
      <c r="H176" s="29" t="s">
        <v>1387</v>
      </c>
      <c r="I176" s="29" t="s">
        <v>1388</v>
      </c>
      <c r="J176" s="29" t="s">
        <v>1389</v>
      </c>
      <c r="K176" s="26" t="s">
        <v>1377</v>
      </c>
      <c r="L176" s="45" t="s">
        <v>149</v>
      </c>
      <c r="M176" s="49">
        <v>1990.0</v>
      </c>
      <c r="N176" s="31">
        <v>1990.0</v>
      </c>
      <c r="O176" s="49">
        <v>1993.0</v>
      </c>
      <c r="P176" s="28" t="s">
        <v>150</v>
      </c>
      <c r="Q176" s="32" t="s">
        <v>151</v>
      </c>
      <c r="R176" s="28" t="s">
        <v>281</v>
      </c>
      <c r="S176" s="32" t="s">
        <v>1378</v>
      </c>
      <c r="T176" s="28" t="s">
        <v>154</v>
      </c>
      <c r="U176" s="28" t="s">
        <v>154</v>
      </c>
      <c r="V176" s="28" t="s">
        <v>1379</v>
      </c>
      <c r="W176" s="32" t="s">
        <v>656</v>
      </c>
      <c r="X176" s="32" t="s">
        <v>657</v>
      </c>
      <c r="Y176" s="28" t="s">
        <v>1380</v>
      </c>
      <c r="Z176" s="26" t="s">
        <v>1381</v>
      </c>
      <c r="AA176" s="26" t="s">
        <v>159</v>
      </c>
      <c r="AB176" s="28" t="s">
        <v>205</v>
      </c>
      <c r="AC176" s="26" t="s">
        <v>206</v>
      </c>
      <c r="AD176" s="28" t="s">
        <v>207</v>
      </c>
      <c r="AE176" s="29" t="s">
        <v>149</v>
      </c>
      <c r="AF176" s="26" t="s">
        <v>149</v>
      </c>
      <c r="AG176" s="28" t="s">
        <v>1382</v>
      </c>
      <c r="AH176" s="26" t="s">
        <v>660</v>
      </c>
      <c r="AI176" s="28" t="s">
        <v>322</v>
      </c>
      <c r="AJ176" s="28" t="s">
        <v>660</v>
      </c>
      <c r="AK176" s="28" t="s">
        <v>1383</v>
      </c>
      <c r="AL176" s="28" t="s">
        <v>393</v>
      </c>
      <c r="AM176" s="28" t="s">
        <v>870</v>
      </c>
      <c r="AN176" s="28" t="s">
        <v>241</v>
      </c>
      <c r="AO176" s="26" t="s">
        <v>395</v>
      </c>
      <c r="AP176" s="28" t="s">
        <v>396</v>
      </c>
      <c r="AQ176" s="38" t="s">
        <v>397</v>
      </c>
      <c r="AR176" s="26" t="s">
        <v>398</v>
      </c>
      <c r="AS176" s="45" t="s">
        <v>149</v>
      </c>
      <c r="AT176" s="28" t="s">
        <v>1384</v>
      </c>
    </row>
    <row r="177">
      <c r="A177" s="36" t="s">
        <v>1390</v>
      </c>
      <c r="B177" s="26" t="str">
        <f t="shared" si="1"/>
        <v>2023-PH045601000-1990-0140</v>
      </c>
      <c r="C177" s="27">
        <f t="shared" si="4"/>
        <v>2023</v>
      </c>
      <c r="D177" s="28" t="s">
        <v>140</v>
      </c>
      <c r="E177" s="28" t="s">
        <v>141</v>
      </c>
      <c r="F177" s="28" t="s">
        <v>142</v>
      </c>
      <c r="G177" s="29" t="s">
        <v>257</v>
      </c>
      <c r="H177" s="29" t="s">
        <v>497</v>
      </c>
      <c r="I177" s="29" t="s">
        <v>1391</v>
      </c>
      <c r="J177" s="29" t="s">
        <v>1392</v>
      </c>
      <c r="K177" s="26" t="s">
        <v>1377</v>
      </c>
      <c r="L177" s="26" t="s">
        <v>149</v>
      </c>
      <c r="M177" s="49">
        <v>1990.0</v>
      </c>
      <c r="N177" s="31">
        <v>1990.0</v>
      </c>
      <c r="O177" s="49">
        <v>1993.0</v>
      </c>
      <c r="P177" s="28" t="s">
        <v>150</v>
      </c>
      <c r="Q177" s="32" t="s">
        <v>151</v>
      </c>
      <c r="R177" s="28" t="s">
        <v>281</v>
      </c>
      <c r="S177" s="32" t="s">
        <v>1378</v>
      </c>
      <c r="T177" s="28" t="s">
        <v>154</v>
      </c>
      <c r="U177" s="28" t="s">
        <v>154</v>
      </c>
      <c r="V177" s="28" t="s">
        <v>1379</v>
      </c>
      <c r="W177" s="32" t="s">
        <v>656</v>
      </c>
      <c r="X177" s="32" t="s">
        <v>657</v>
      </c>
      <c r="Y177" s="28" t="s">
        <v>1380</v>
      </c>
      <c r="Z177" s="26" t="s">
        <v>1381</v>
      </c>
      <c r="AA177" s="26" t="s">
        <v>159</v>
      </c>
      <c r="AB177" s="28" t="s">
        <v>205</v>
      </c>
      <c r="AC177" s="26" t="s">
        <v>206</v>
      </c>
      <c r="AD177" s="28" t="s">
        <v>207</v>
      </c>
      <c r="AE177" s="29" t="s">
        <v>149</v>
      </c>
      <c r="AF177" s="26" t="s">
        <v>149</v>
      </c>
      <c r="AG177" s="28" t="s">
        <v>1382</v>
      </c>
      <c r="AH177" s="26" t="s">
        <v>660</v>
      </c>
      <c r="AI177" s="28" t="s">
        <v>322</v>
      </c>
      <c r="AJ177" s="28" t="s">
        <v>660</v>
      </c>
      <c r="AK177" s="28" t="s">
        <v>1383</v>
      </c>
      <c r="AL177" s="28" t="s">
        <v>393</v>
      </c>
      <c r="AM177" s="28" t="s">
        <v>870</v>
      </c>
      <c r="AN177" s="28" t="s">
        <v>241</v>
      </c>
      <c r="AO177" s="26" t="s">
        <v>395</v>
      </c>
      <c r="AP177" s="28" t="s">
        <v>396</v>
      </c>
      <c r="AQ177" s="26" t="s">
        <v>397</v>
      </c>
      <c r="AR177" s="26" t="s">
        <v>398</v>
      </c>
      <c r="AS177" s="26" t="s">
        <v>149</v>
      </c>
      <c r="AT177" s="28" t="s">
        <v>1384</v>
      </c>
    </row>
    <row r="178">
      <c r="A178" s="36" t="s">
        <v>1393</v>
      </c>
      <c r="B178" s="26" t="str">
        <f t="shared" si="1"/>
        <v>2023-PH045607000-1990-0146</v>
      </c>
      <c r="C178" s="27">
        <f t="shared" si="4"/>
        <v>2023</v>
      </c>
      <c r="D178" s="28" t="s">
        <v>140</v>
      </c>
      <c r="E178" s="28" t="s">
        <v>141</v>
      </c>
      <c r="F178" s="28" t="s">
        <v>142</v>
      </c>
      <c r="G178" s="29" t="s">
        <v>257</v>
      </c>
      <c r="H178" s="29" t="s">
        <v>497</v>
      </c>
      <c r="I178" s="29" t="s">
        <v>505</v>
      </c>
      <c r="J178" s="29" t="s">
        <v>506</v>
      </c>
      <c r="K178" s="26" t="s">
        <v>1377</v>
      </c>
      <c r="L178" s="26" t="s">
        <v>1394</v>
      </c>
      <c r="M178" s="49">
        <v>1990.0</v>
      </c>
      <c r="N178" s="31">
        <v>1990.0</v>
      </c>
      <c r="O178" s="49">
        <v>1993.0</v>
      </c>
      <c r="P178" s="28" t="s">
        <v>150</v>
      </c>
      <c r="Q178" s="32" t="s">
        <v>151</v>
      </c>
      <c r="R178" s="28" t="s">
        <v>281</v>
      </c>
      <c r="S178" s="32" t="s">
        <v>1378</v>
      </c>
      <c r="T178" s="28" t="s">
        <v>154</v>
      </c>
      <c r="U178" s="28" t="s">
        <v>154</v>
      </c>
      <c r="V178" s="28" t="s">
        <v>1379</v>
      </c>
      <c r="W178" s="32" t="s">
        <v>656</v>
      </c>
      <c r="X178" s="32" t="s">
        <v>657</v>
      </c>
      <c r="Y178" s="28" t="s">
        <v>1380</v>
      </c>
      <c r="Z178" s="26" t="s">
        <v>1381</v>
      </c>
      <c r="AA178" s="26" t="s">
        <v>159</v>
      </c>
      <c r="AB178" s="28" t="s">
        <v>205</v>
      </c>
      <c r="AC178" s="26" t="s">
        <v>206</v>
      </c>
      <c r="AD178" s="28" t="s">
        <v>207</v>
      </c>
      <c r="AE178" s="29" t="s">
        <v>149</v>
      </c>
      <c r="AF178" s="26" t="s">
        <v>149</v>
      </c>
      <c r="AG178" s="28" t="s">
        <v>1382</v>
      </c>
      <c r="AH178" s="26" t="s">
        <v>660</v>
      </c>
      <c r="AI178" s="28" t="s">
        <v>322</v>
      </c>
      <c r="AJ178" s="28" t="s">
        <v>660</v>
      </c>
      <c r="AK178" s="28" t="s">
        <v>1383</v>
      </c>
      <c r="AL178" s="28" t="s">
        <v>393</v>
      </c>
      <c r="AM178" s="28" t="s">
        <v>870</v>
      </c>
      <c r="AN178" s="28" t="s">
        <v>241</v>
      </c>
      <c r="AO178" s="26" t="s">
        <v>395</v>
      </c>
      <c r="AP178" s="28" t="s">
        <v>396</v>
      </c>
      <c r="AQ178" s="38" t="s">
        <v>541</v>
      </c>
      <c r="AR178" s="26" t="s">
        <v>398</v>
      </c>
      <c r="AS178" s="26" t="s">
        <v>149</v>
      </c>
      <c r="AT178" s="28" t="s">
        <v>1384</v>
      </c>
    </row>
    <row r="179">
      <c r="A179" s="36" t="s">
        <v>1395</v>
      </c>
      <c r="B179" s="26" t="str">
        <f t="shared" si="1"/>
        <v>2023-PH045607000-1990-0147</v>
      </c>
      <c r="C179" s="27">
        <f t="shared" si="4"/>
        <v>2023</v>
      </c>
      <c r="D179" s="28" t="s">
        <v>140</v>
      </c>
      <c r="E179" s="28" t="s">
        <v>141</v>
      </c>
      <c r="F179" s="28" t="s">
        <v>142</v>
      </c>
      <c r="G179" s="29" t="s">
        <v>257</v>
      </c>
      <c r="H179" s="29" t="s">
        <v>497</v>
      </c>
      <c r="I179" s="29" t="s">
        <v>505</v>
      </c>
      <c r="J179" s="29" t="s">
        <v>506</v>
      </c>
      <c r="K179" s="26" t="s">
        <v>1377</v>
      </c>
      <c r="L179" s="26" t="s">
        <v>1396</v>
      </c>
      <c r="M179" s="49">
        <v>1990.0</v>
      </c>
      <c r="N179" s="31">
        <v>1990.0</v>
      </c>
      <c r="O179" s="49">
        <v>1993.0</v>
      </c>
      <c r="P179" s="28" t="s">
        <v>150</v>
      </c>
      <c r="Q179" s="32" t="s">
        <v>151</v>
      </c>
      <c r="R179" s="28" t="s">
        <v>281</v>
      </c>
      <c r="S179" s="32" t="s">
        <v>1378</v>
      </c>
      <c r="T179" s="28" t="s">
        <v>154</v>
      </c>
      <c r="U179" s="28" t="s">
        <v>154</v>
      </c>
      <c r="V179" s="28" t="s">
        <v>1379</v>
      </c>
      <c r="W179" s="32" t="s">
        <v>656</v>
      </c>
      <c r="X179" s="32" t="s">
        <v>657</v>
      </c>
      <c r="Y179" s="28" t="s">
        <v>1380</v>
      </c>
      <c r="Z179" s="26" t="s">
        <v>1381</v>
      </c>
      <c r="AA179" s="26" t="s">
        <v>159</v>
      </c>
      <c r="AB179" s="28" t="s">
        <v>205</v>
      </c>
      <c r="AC179" s="26" t="s">
        <v>206</v>
      </c>
      <c r="AD179" s="28" t="s">
        <v>207</v>
      </c>
      <c r="AE179" s="29" t="s">
        <v>149</v>
      </c>
      <c r="AF179" s="26" t="s">
        <v>149</v>
      </c>
      <c r="AG179" s="28" t="s">
        <v>1382</v>
      </c>
      <c r="AH179" s="26" t="s">
        <v>660</v>
      </c>
      <c r="AI179" s="28" t="s">
        <v>322</v>
      </c>
      <c r="AJ179" s="28" t="s">
        <v>660</v>
      </c>
      <c r="AK179" s="28" t="s">
        <v>1383</v>
      </c>
      <c r="AL179" s="28" t="s">
        <v>393</v>
      </c>
      <c r="AM179" s="28" t="s">
        <v>870</v>
      </c>
      <c r="AN179" s="28" t="s">
        <v>241</v>
      </c>
      <c r="AO179" s="26" t="s">
        <v>395</v>
      </c>
      <c r="AP179" s="28" t="s">
        <v>396</v>
      </c>
      <c r="AQ179" s="38" t="s">
        <v>541</v>
      </c>
      <c r="AR179" s="26" t="s">
        <v>398</v>
      </c>
      <c r="AS179" s="26" t="s">
        <v>149</v>
      </c>
      <c r="AT179" s="28" t="s">
        <v>1384</v>
      </c>
    </row>
    <row r="180">
      <c r="A180" s="36" t="s">
        <v>1397</v>
      </c>
      <c r="B180" s="26" t="str">
        <f t="shared" si="1"/>
        <v>2023-PH045607000-1990-0148</v>
      </c>
      <c r="C180" s="27">
        <f t="shared" si="4"/>
        <v>2023</v>
      </c>
      <c r="D180" s="28" t="s">
        <v>140</v>
      </c>
      <c r="E180" s="28" t="s">
        <v>141</v>
      </c>
      <c r="F180" s="28" t="s">
        <v>142</v>
      </c>
      <c r="G180" s="29" t="s">
        <v>257</v>
      </c>
      <c r="H180" s="29" t="s">
        <v>497</v>
      </c>
      <c r="I180" s="29" t="s">
        <v>505</v>
      </c>
      <c r="J180" s="29" t="s">
        <v>506</v>
      </c>
      <c r="K180" s="26" t="s">
        <v>1377</v>
      </c>
      <c r="L180" s="26" t="s">
        <v>1398</v>
      </c>
      <c r="M180" s="49">
        <v>1990.0</v>
      </c>
      <c r="N180" s="31">
        <v>1990.0</v>
      </c>
      <c r="O180" s="49">
        <v>1993.0</v>
      </c>
      <c r="P180" s="28" t="s">
        <v>150</v>
      </c>
      <c r="Q180" s="32" t="s">
        <v>151</v>
      </c>
      <c r="R180" s="28" t="s">
        <v>281</v>
      </c>
      <c r="S180" s="32" t="s">
        <v>1378</v>
      </c>
      <c r="T180" s="28" t="s">
        <v>154</v>
      </c>
      <c r="U180" s="28" t="s">
        <v>154</v>
      </c>
      <c r="V180" s="28" t="s">
        <v>1379</v>
      </c>
      <c r="W180" s="32" t="s">
        <v>656</v>
      </c>
      <c r="X180" s="32" t="s">
        <v>657</v>
      </c>
      <c r="Y180" s="28" t="s">
        <v>1380</v>
      </c>
      <c r="Z180" s="26" t="s">
        <v>1381</v>
      </c>
      <c r="AA180" s="26" t="s">
        <v>159</v>
      </c>
      <c r="AB180" s="28" t="s">
        <v>205</v>
      </c>
      <c r="AC180" s="26" t="s">
        <v>206</v>
      </c>
      <c r="AD180" s="28" t="s">
        <v>207</v>
      </c>
      <c r="AE180" s="29" t="s">
        <v>149</v>
      </c>
      <c r="AF180" s="26" t="s">
        <v>149</v>
      </c>
      <c r="AG180" s="28" t="s">
        <v>1382</v>
      </c>
      <c r="AH180" s="26" t="s">
        <v>660</v>
      </c>
      <c r="AI180" s="28" t="s">
        <v>322</v>
      </c>
      <c r="AJ180" s="28" t="s">
        <v>660</v>
      </c>
      <c r="AK180" s="28" t="s">
        <v>1383</v>
      </c>
      <c r="AL180" s="28" t="s">
        <v>393</v>
      </c>
      <c r="AM180" s="28" t="s">
        <v>870</v>
      </c>
      <c r="AN180" s="28" t="s">
        <v>241</v>
      </c>
      <c r="AO180" s="26" t="s">
        <v>395</v>
      </c>
      <c r="AP180" s="28" t="s">
        <v>396</v>
      </c>
      <c r="AQ180" s="38" t="s">
        <v>541</v>
      </c>
      <c r="AR180" s="26" t="s">
        <v>398</v>
      </c>
      <c r="AS180" s="26" t="s">
        <v>149</v>
      </c>
      <c r="AT180" s="28" t="s">
        <v>1384</v>
      </c>
    </row>
    <row r="181">
      <c r="A181" s="36" t="s">
        <v>1399</v>
      </c>
      <c r="B181" s="26" t="str">
        <f t="shared" si="1"/>
        <v>2023-PH045607000-1990-0149</v>
      </c>
      <c r="C181" s="27">
        <f t="shared" si="4"/>
        <v>2023</v>
      </c>
      <c r="D181" s="28" t="s">
        <v>140</v>
      </c>
      <c r="E181" s="28" t="s">
        <v>141</v>
      </c>
      <c r="F181" s="28" t="s">
        <v>142</v>
      </c>
      <c r="G181" s="29" t="s">
        <v>257</v>
      </c>
      <c r="H181" s="29" t="s">
        <v>497</v>
      </c>
      <c r="I181" s="29" t="s">
        <v>505</v>
      </c>
      <c r="J181" s="29" t="s">
        <v>506</v>
      </c>
      <c r="K181" s="26" t="s">
        <v>1377</v>
      </c>
      <c r="L181" s="26" t="s">
        <v>1400</v>
      </c>
      <c r="M181" s="49">
        <v>1990.0</v>
      </c>
      <c r="N181" s="31">
        <v>1990.0</v>
      </c>
      <c r="O181" s="49">
        <v>1993.0</v>
      </c>
      <c r="P181" s="28" t="s">
        <v>150</v>
      </c>
      <c r="Q181" s="32" t="s">
        <v>151</v>
      </c>
      <c r="R181" s="28" t="s">
        <v>281</v>
      </c>
      <c r="S181" s="32" t="s">
        <v>1378</v>
      </c>
      <c r="T181" s="28" t="s">
        <v>154</v>
      </c>
      <c r="U181" s="28" t="s">
        <v>154</v>
      </c>
      <c r="V181" s="28" t="s">
        <v>1379</v>
      </c>
      <c r="W181" s="32" t="s">
        <v>656</v>
      </c>
      <c r="X181" s="32" t="s">
        <v>657</v>
      </c>
      <c r="Y181" s="28" t="s">
        <v>1380</v>
      </c>
      <c r="Z181" s="26" t="s">
        <v>1381</v>
      </c>
      <c r="AA181" s="26" t="s">
        <v>159</v>
      </c>
      <c r="AB181" s="28" t="s">
        <v>205</v>
      </c>
      <c r="AC181" s="26" t="s">
        <v>206</v>
      </c>
      <c r="AD181" s="28" t="s">
        <v>207</v>
      </c>
      <c r="AE181" s="29" t="s">
        <v>149</v>
      </c>
      <c r="AF181" s="26" t="s">
        <v>149</v>
      </c>
      <c r="AG181" s="28" t="s">
        <v>1382</v>
      </c>
      <c r="AH181" s="26" t="s">
        <v>660</v>
      </c>
      <c r="AI181" s="28" t="s">
        <v>322</v>
      </c>
      <c r="AJ181" s="28" t="s">
        <v>660</v>
      </c>
      <c r="AK181" s="28" t="s">
        <v>1383</v>
      </c>
      <c r="AL181" s="28" t="s">
        <v>393</v>
      </c>
      <c r="AM181" s="28" t="s">
        <v>870</v>
      </c>
      <c r="AN181" s="28" t="s">
        <v>241</v>
      </c>
      <c r="AO181" s="26" t="s">
        <v>395</v>
      </c>
      <c r="AP181" s="28" t="s">
        <v>396</v>
      </c>
      <c r="AQ181" s="38" t="s">
        <v>541</v>
      </c>
      <c r="AR181" s="26" t="s">
        <v>398</v>
      </c>
      <c r="AS181" s="26" t="s">
        <v>149</v>
      </c>
      <c r="AT181" s="28" t="s">
        <v>1384</v>
      </c>
    </row>
    <row r="182">
      <c r="A182" s="36" t="s">
        <v>1401</v>
      </c>
      <c r="B182" s="26" t="str">
        <f t="shared" si="1"/>
        <v>2023-PH045607000-1990-0150</v>
      </c>
      <c r="C182" s="27">
        <f t="shared" si="4"/>
        <v>2023</v>
      </c>
      <c r="D182" s="28" t="s">
        <v>140</v>
      </c>
      <c r="E182" s="28" t="s">
        <v>141</v>
      </c>
      <c r="F182" s="28" t="s">
        <v>142</v>
      </c>
      <c r="G182" s="29" t="s">
        <v>257</v>
      </c>
      <c r="H182" s="29" t="s">
        <v>497</v>
      </c>
      <c r="I182" s="29" t="s">
        <v>505</v>
      </c>
      <c r="J182" s="29" t="s">
        <v>506</v>
      </c>
      <c r="K182" s="26" t="s">
        <v>1377</v>
      </c>
      <c r="L182" s="26" t="s">
        <v>1402</v>
      </c>
      <c r="M182" s="49">
        <v>1990.0</v>
      </c>
      <c r="N182" s="31">
        <v>1990.0</v>
      </c>
      <c r="O182" s="49">
        <v>1993.0</v>
      </c>
      <c r="P182" s="28" t="s">
        <v>150</v>
      </c>
      <c r="Q182" s="32" t="s">
        <v>151</v>
      </c>
      <c r="R182" s="28" t="s">
        <v>281</v>
      </c>
      <c r="S182" s="32" t="s">
        <v>1378</v>
      </c>
      <c r="T182" s="28" t="s">
        <v>154</v>
      </c>
      <c r="U182" s="28" t="s">
        <v>154</v>
      </c>
      <c r="V182" s="28" t="s">
        <v>1379</v>
      </c>
      <c r="W182" s="32" t="s">
        <v>656</v>
      </c>
      <c r="X182" s="32" t="s">
        <v>657</v>
      </c>
      <c r="Y182" s="28" t="s">
        <v>1380</v>
      </c>
      <c r="Z182" s="26" t="s">
        <v>1381</v>
      </c>
      <c r="AA182" s="26" t="s">
        <v>159</v>
      </c>
      <c r="AB182" s="28" t="s">
        <v>205</v>
      </c>
      <c r="AC182" s="26" t="s">
        <v>206</v>
      </c>
      <c r="AD182" s="28" t="s">
        <v>207</v>
      </c>
      <c r="AE182" s="29" t="s">
        <v>149</v>
      </c>
      <c r="AF182" s="26" t="s">
        <v>149</v>
      </c>
      <c r="AG182" s="28" t="s">
        <v>1382</v>
      </c>
      <c r="AH182" s="26" t="s">
        <v>660</v>
      </c>
      <c r="AI182" s="28" t="s">
        <v>322</v>
      </c>
      <c r="AJ182" s="28" t="s">
        <v>660</v>
      </c>
      <c r="AK182" s="28" t="s">
        <v>1383</v>
      </c>
      <c r="AL182" s="28" t="s">
        <v>393</v>
      </c>
      <c r="AM182" s="28" t="s">
        <v>870</v>
      </c>
      <c r="AN182" s="28" t="s">
        <v>241</v>
      </c>
      <c r="AO182" s="26" t="s">
        <v>395</v>
      </c>
      <c r="AP182" s="28" t="s">
        <v>396</v>
      </c>
      <c r="AQ182" s="38" t="s">
        <v>541</v>
      </c>
      <c r="AR182" s="26" t="s">
        <v>398</v>
      </c>
      <c r="AS182" s="26" t="s">
        <v>149</v>
      </c>
      <c r="AT182" s="28" t="s">
        <v>1384</v>
      </c>
    </row>
    <row r="183">
      <c r="A183" s="36" t="s">
        <v>1403</v>
      </c>
      <c r="B183" s="26" t="str">
        <f t="shared" si="1"/>
        <v>2023-PH045607000-1990-0151</v>
      </c>
      <c r="C183" s="27">
        <f t="shared" si="4"/>
        <v>2023</v>
      </c>
      <c r="D183" s="28" t="s">
        <v>140</v>
      </c>
      <c r="E183" s="28" t="s">
        <v>141</v>
      </c>
      <c r="F183" s="28" t="s">
        <v>142</v>
      </c>
      <c r="G183" s="29" t="s">
        <v>257</v>
      </c>
      <c r="H183" s="29" t="s">
        <v>497</v>
      </c>
      <c r="I183" s="29" t="s">
        <v>505</v>
      </c>
      <c r="J183" s="29" t="s">
        <v>506</v>
      </c>
      <c r="K183" s="26" t="s">
        <v>1377</v>
      </c>
      <c r="L183" s="26" t="s">
        <v>1404</v>
      </c>
      <c r="M183" s="49">
        <v>1990.0</v>
      </c>
      <c r="N183" s="31">
        <v>1990.0</v>
      </c>
      <c r="O183" s="49">
        <v>1993.0</v>
      </c>
      <c r="P183" s="28" t="s">
        <v>150</v>
      </c>
      <c r="Q183" s="32" t="s">
        <v>151</v>
      </c>
      <c r="R183" s="28" t="s">
        <v>281</v>
      </c>
      <c r="S183" s="32" t="s">
        <v>1378</v>
      </c>
      <c r="T183" s="28" t="s">
        <v>154</v>
      </c>
      <c r="U183" s="28" t="s">
        <v>154</v>
      </c>
      <c r="V183" s="28" t="s">
        <v>1379</v>
      </c>
      <c r="W183" s="32" t="s">
        <v>656</v>
      </c>
      <c r="X183" s="32" t="s">
        <v>657</v>
      </c>
      <c r="Y183" s="28" t="s">
        <v>1380</v>
      </c>
      <c r="Z183" s="26" t="s">
        <v>1381</v>
      </c>
      <c r="AA183" s="26" t="s">
        <v>159</v>
      </c>
      <c r="AB183" s="28" t="s">
        <v>205</v>
      </c>
      <c r="AC183" s="26" t="s">
        <v>206</v>
      </c>
      <c r="AD183" s="28" t="s">
        <v>207</v>
      </c>
      <c r="AE183" s="29" t="s">
        <v>149</v>
      </c>
      <c r="AF183" s="26" t="s">
        <v>149</v>
      </c>
      <c r="AG183" s="28" t="s">
        <v>1382</v>
      </c>
      <c r="AH183" s="26" t="s">
        <v>660</v>
      </c>
      <c r="AI183" s="28" t="s">
        <v>322</v>
      </c>
      <c r="AJ183" s="28" t="s">
        <v>660</v>
      </c>
      <c r="AK183" s="28" t="s">
        <v>1383</v>
      </c>
      <c r="AL183" s="28" t="s">
        <v>393</v>
      </c>
      <c r="AM183" s="28" t="s">
        <v>870</v>
      </c>
      <c r="AN183" s="28" t="s">
        <v>241</v>
      </c>
      <c r="AO183" s="26" t="s">
        <v>395</v>
      </c>
      <c r="AP183" s="28" t="s">
        <v>396</v>
      </c>
      <c r="AQ183" s="38" t="s">
        <v>541</v>
      </c>
      <c r="AR183" s="26" t="s">
        <v>398</v>
      </c>
      <c r="AS183" s="26" t="s">
        <v>149</v>
      </c>
      <c r="AT183" s="28" t="s">
        <v>1384</v>
      </c>
    </row>
    <row r="184">
      <c r="A184" s="36" t="s">
        <v>1405</v>
      </c>
      <c r="B184" s="26" t="str">
        <f t="shared" si="1"/>
        <v>2023-PH045616000-1990-0152</v>
      </c>
      <c r="C184" s="27">
        <f t="shared" si="4"/>
        <v>2023</v>
      </c>
      <c r="D184" s="28" t="s">
        <v>140</v>
      </c>
      <c r="E184" s="28" t="s">
        <v>141</v>
      </c>
      <c r="F184" s="28" t="s">
        <v>142</v>
      </c>
      <c r="G184" s="29" t="s">
        <v>257</v>
      </c>
      <c r="H184" s="29" t="s">
        <v>497</v>
      </c>
      <c r="I184" s="29" t="s">
        <v>1406</v>
      </c>
      <c r="J184" s="29" t="s">
        <v>1407</v>
      </c>
      <c r="K184" s="26" t="s">
        <v>1377</v>
      </c>
      <c r="L184" s="26" t="s">
        <v>149</v>
      </c>
      <c r="M184" s="49">
        <v>1990.0</v>
      </c>
      <c r="N184" s="31">
        <v>1990.0</v>
      </c>
      <c r="O184" s="49">
        <v>1993.0</v>
      </c>
      <c r="P184" s="28" t="s">
        <v>150</v>
      </c>
      <c r="Q184" s="32" t="s">
        <v>151</v>
      </c>
      <c r="R184" s="28" t="s">
        <v>281</v>
      </c>
      <c r="S184" s="32" t="s">
        <v>1378</v>
      </c>
      <c r="T184" s="28" t="s">
        <v>154</v>
      </c>
      <c r="U184" s="28" t="s">
        <v>154</v>
      </c>
      <c r="V184" s="28" t="s">
        <v>1379</v>
      </c>
      <c r="W184" s="32" t="s">
        <v>656</v>
      </c>
      <c r="X184" s="32" t="s">
        <v>657</v>
      </c>
      <c r="Y184" s="28" t="s">
        <v>1380</v>
      </c>
      <c r="Z184" s="26" t="s">
        <v>1381</v>
      </c>
      <c r="AA184" s="26" t="s">
        <v>159</v>
      </c>
      <c r="AB184" s="28" t="s">
        <v>205</v>
      </c>
      <c r="AC184" s="26" t="s">
        <v>206</v>
      </c>
      <c r="AD184" s="28" t="s">
        <v>207</v>
      </c>
      <c r="AE184" s="29" t="s">
        <v>149</v>
      </c>
      <c r="AF184" s="26" t="s">
        <v>149</v>
      </c>
      <c r="AG184" s="28" t="s">
        <v>1382</v>
      </c>
      <c r="AH184" s="26" t="s">
        <v>660</v>
      </c>
      <c r="AI184" s="28" t="s">
        <v>322</v>
      </c>
      <c r="AJ184" s="28" t="s">
        <v>660</v>
      </c>
      <c r="AK184" s="28" t="s">
        <v>1383</v>
      </c>
      <c r="AL184" s="28" t="s">
        <v>393</v>
      </c>
      <c r="AM184" s="28" t="s">
        <v>870</v>
      </c>
      <c r="AN184" s="28" t="s">
        <v>241</v>
      </c>
      <c r="AO184" s="26" t="s">
        <v>395</v>
      </c>
      <c r="AP184" s="28" t="s">
        <v>396</v>
      </c>
      <c r="AQ184" s="38" t="s">
        <v>541</v>
      </c>
      <c r="AR184" s="26" t="s">
        <v>398</v>
      </c>
      <c r="AS184" s="26" t="s">
        <v>149</v>
      </c>
      <c r="AT184" s="28" t="s">
        <v>1384</v>
      </c>
    </row>
    <row r="185">
      <c r="A185" s="36" t="s">
        <v>1408</v>
      </c>
      <c r="B185" s="26" t="str">
        <f t="shared" si="1"/>
        <v>2023-PH045624000-1990-0156</v>
      </c>
      <c r="C185" s="27">
        <f t="shared" si="4"/>
        <v>2023</v>
      </c>
      <c r="D185" s="37" t="s">
        <v>140</v>
      </c>
      <c r="E185" s="28" t="s">
        <v>141</v>
      </c>
      <c r="F185" s="28" t="s">
        <v>142</v>
      </c>
      <c r="G185" s="29" t="s">
        <v>257</v>
      </c>
      <c r="H185" s="29" t="s">
        <v>497</v>
      </c>
      <c r="I185" s="40" t="s">
        <v>1409</v>
      </c>
      <c r="J185" s="29" t="s">
        <v>1410</v>
      </c>
      <c r="K185" s="26" t="s">
        <v>1377</v>
      </c>
      <c r="L185" s="28" t="s">
        <v>1411</v>
      </c>
      <c r="M185" s="49">
        <v>1990.0</v>
      </c>
      <c r="N185" s="31">
        <v>1990.0</v>
      </c>
      <c r="O185" s="49">
        <v>1993.0</v>
      </c>
      <c r="P185" s="28" t="s">
        <v>150</v>
      </c>
      <c r="Q185" s="32" t="s">
        <v>151</v>
      </c>
      <c r="R185" s="28" t="s">
        <v>281</v>
      </c>
      <c r="S185" s="32" t="s">
        <v>1378</v>
      </c>
      <c r="T185" s="28" t="s">
        <v>154</v>
      </c>
      <c r="U185" s="28" t="s">
        <v>154</v>
      </c>
      <c r="V185" s="28" t="s">
        <v>1379</v>
      </c>
      <c r="W185" s="32" t="s">
        <v>656</v>
      </c>
      <c r="X185" s="32" t="s">
        <v>657</v>
      </c>
      <c r="Y185" s="28" t="s">
        <v>1380</v>
      </c>
      <c r="Z185" s="26" t="s">
        <v>1381</v>
      </c>
      <c r="AA185" s="26" t="s">
        <v>159</v>
      </c>
      <c r="AB185" s="28" t="s">
        <v>205</v>
      </c>
      <c r="AC185" s="26" t="s">
        <v>206</v>
      </c>
      <c r="AD185" s="28" t="s">
        <v>207</v>
      </c>
      <c r="AE185" s="29" t="s">
        <v>149</v>
      </c>
      <c r="AF185" s="26" t="s">
        <v>149</v>
      </c>
      <c r="AG185" s="28" t="s">
        <v>1382</v>
      </c>
      <c r="AH185" s="26" t="s">
        <v>660</v>
      </c>
      <c r="AI185" s="28" t="s">
        <v>322</v>
      </c>
      <c r="AJ185" s="28" t="s">
        <v>660</v>
      </c>
      <c r="AK185" s="28" t="s">
        <v>1383</v>
      </c>
      <c r="AL185" s="28" t="s">
        <v>393</v>
      </c>
      <c r="AM185" s="28" t="s">
        <v>870</v>
      </c>
      <c r="AN185" s="28" t="s">
        <v>241</v>
      </c>
      <c r="AO185" s="26" t="s">
        <v>395</v>
      </c>
      <c r="AP185" s="28" t="s">
        <v>396</v>
      </c>
      <c r="AQ185" s="38" t="s">
        <v>541</v>
      </c>
      <c r="AR185" s="26" t="s">
        <v>398</v>
      </c>
      <c r="AS185" s="45" t="s">
        <v>149</v>
      </c>
      <c r="AT185" s="28" t="s">
        <v>1384</v>
      </c>
    </row>
    <row r="186">
      <c r="A186" s="36" t="s">
        <v>1412</v>
      </c>
      <c r="B186" s="26" t="str">
        <f t="shared" si="1"/>
        <v>2023-PH045624000-1990-0157</v>
      </c>
      <c r="C186" s="27">
        <f t="shared" si="4"/>
        <v>2023</v>
      </c>
      <c r="D186" s="37" t="s">
        <v>140</v>
      </c>
      <c r="E186" s="28" t="s">
        <v>141</v>
      </c>
      <c r="F186" s="28" t="s">
        <v>142</v>
      </c>
      <c r="G186" s="29" t="s">
        <v>257</v>
      </c>
      <c r="H186" s="29" t="s">
        <v>497</v>
      </c>
      <c r="I186" s="40" t="s">
        <v>1409</v>
      </c>
      <c r="J186" s="29" t="s">
        <v>1410</v>
      </c>
      <c r="K186" s="26" t="s">
        <v>1377</v>
      </c>
      <c r="L186" s="26" t="s">
        <v>1413</v>
      </c>
      <c r="M186" s="49">
        <v>1990.0</v>
      </c>
      <c r="N186" s="31">
        <v>1990.0</v>
      </c>
      <c r="O186" s="49">
        <v>1993.0</v>
      </c>
      <c r="P186" s="28" t="s">
        <v>150</v>
      </c>
      <c r="Q186" s="32" t="s">
        <v>151</v>
      </c>
      <c r="R186" s="28" t="s">
        <v>281</v>
      </c>
      <c r="S186" s="32" t="s">
        <v>1378</v>
      </c>
      <c r="T186" s="28" t="s">
        <v>154</v>
      </c>
      <c r="U186" s="28" t="s">
        <v>154</v>
      </c>
      <c r="V186" s="28" t="s">
        <v>1379</v>
      </c>
      <c r="W186" s="32" t="s">
        <v>656</v>
      </c>
      <c r="X186" s="32" t="s">
        <v>657</v>
      </c>
      <c r="Y186" s="28" t="s">
        <v>1380</v>
      </c>
      <c r="Z186" s="26" t="s">
        <v>1381</v>
      </c>
      <c r="AA186" s="26" t="s">
        <v>159</v>
      </c>
      <c r="AB186" s="28" t="s">
        <v>205</v>
      </c>
      <c r="AC186" s="26" t="s">
        <v>206</v>
      </c>
      <c r="AD186" s="28" t="s">
        <v>207</v>
      </c>
      <c r="AE186" s="29" t="s">
        <v>149</v>
      </c>
      <c r="AF186" s="26" t="s">
        <v>149</v>
      </c>
      <c r="AG186" s="28" t="s">
        <v>1382</v>
      </c>
      <c r="AH186" s="26" t="s">
        <v>660</v>
      </c>
      <c r="AI186" s="28" t="s">
        <v>322</v>
      </c>
      <c r="AJ186" s="28" t="s">
        <v>660</v>
      </c>
      <c r="AK186" s="28" t="s">
        <v>1383</v>
      </c>
      <c r="AL186" s="28" t="s">
        <v>393</v>
      </c>
      <c r="AM186" s="28" t="s">
        <v>870</v>
      </c>
      <c r="AN186" s="28" t="s">
        <v>241</v>
      </c>
      <c r="AO186" s="26" t="s">
        <v>395</v>
      </c>
      <c r="AP186" s="28" t="s">
        <v>396</v>
      </c>
      <c r="AQ186" s="38" t="s">
        <v>541</v>
      </c>
      <c r="AR186" s="26" t="s">
        <v>398</v>
      </c>
      <c r="AS186" s="45" t="s">
        <v>149</v>
      </c>
      <c r="AT186" s="28" t="s">
        <v>1384</v>
      </c>
    </row>
    <row r="187">
      <c r="A187" s="36" t="s">
        <v>1414</v>
      </c>
      <c r="B187" s="26" t="str">
        <f t="shared" si="1"/>
        <v>2023-PH045625000-1990-0158</v>
      </c>
      <c r="C187" s="27">
        <f t="shared" si="4"/>
        <v>2023</v>
      </c>
      <c r="D187" s="28" t="s">
        <v>140</v>
      </c>
      <c r="E187" s="28" t="s">
        <v>141</v>
      </c>
      <c r="F187" s="28" t="s">
        <v>142</v>
      </c>
      <c r="G187" s="29" t="s">
        <v>257</v>
      </c>
      <c r="H187" s="29" t="s">
        <v>497</v>
      </c>
      <c r="I187" s="29" t="s">
        <v>1415</v>
      </c>
      <c r="J187" s="29" t="s">
        <v>1416</v>
      </c>
      <c r="K187" s="26" t="s">
        <v>1377</v>
      </c>
      <c r="L187" s="45" t="s">
        <v>149</v>
      </c>
      <c r="M187" s="49">
        <v>1990.0</v>
      </c>
      <c r="N187" s="31">
        <v>1990.0</v>
      </c>
      <c r="O187" s="49">
        <v>1993.0</v>
      </c>
      <c r="P187" s="28" t="s">
        <v>150</v>
      </c>
      <c r="Q187" s="32" t="s">
        <v>151</v>
      </c>
      <c r="R187" s="28" t="s">
        <v>281</v>
      </c>
      <c r="S187" s="32" t="s">
        <v>1378</v>
      </c>
      <c r="T187" s="28" t="s">
        <v>154</v>
      </c>
      <c r="U187" s="28" t="s">
        <v>154</v>
      </c>
      <c r="V187" s="28" t="s">
        <v>1379</v>
      </c>
      <c r="W187" s="32" t="s">
        <v>656</v>
      </c>
      <c r="X187" s="32" t="s">
        <v>657</v>
      </c>
      <c r="Y187" s="28" t="s">
        <v>1380</v>
      </c>
      <c r="Z187" s="26" t="s">
        <v>1381</v>
      </c>
      <c r="AA187" s="26" t="s">
        <v>159</v>
      </c>
      <c r="AB187" s="28" t="s">
        <v>205</v>
      </c>
      <c r="AC187" s="26" t="s">
        <v>206</v>
      </c>
      <c r="AD187" s="28" t="s">
        <v>207</v>
      </c>
      <c r="AE187" s="29" t="s">
        <v>149</v>
      </c>
      <c r="AF187" s="26" t="s">
        <v>149</v>
      </c>
      <c r="AG187" s="28" t="s">
        <v>1382</v>
      </c>
      <c r="AH187" s="26" t="s">
        <v>660</v>
      </c>
      <c r="AI187" s="28" t="s">
        <v>322</v>
      </c>
      <c r="AJ187" s="28" t="s">
        <v>660</v>
      </c>
      <c r="AK187" s="28" t="s">
        <v>1383</v>
      </c>
      <c r="AL187" s="28" t="s">
        <v>393</v>
      </c>
      <c r="AM187" s="28" t="s">
        <v>870</v>
      </c>
      <c r="AN187" s="28" t="s">
        <v>241</v>
      </c>
      <c r="AO187" s="26" t="s">
        <v>395</v>
      </c>
      <c r="AP187" s="28" t="s">
        <v>396</v>
      </c>
      <c r="AQ187" s="38" t="s">
        <v>541</v>
      </c>
      <c r="AR187" s="26" t="s">
        <v>398</v>
      </c>
      <c r="AS187" s="45" t="s">
        <v>149</v>
      </c>
      <c r="AT187" s="28" t="s">
        <v>1384</v>
      </c>
    </row>
    <row r="188">
      <c r="A188" s="36" t="s">
        <v>1417</v>
      </c>
      <c r="B188" s="26" t="str">
        <f t="shared" si="1"/>
        <v>2023-PH045633000-1990-0159</v>
      </c>
      <c r="C188" s="27">
        <f t="shared" si="4"/>
        <v>2023</v>
      </c>
      <c r="D188" s="28" t="s">
        <v>140</v>
      </c>
      <c r="E188" s="28" t="s">
        <v>141</v>
      </c>
      <c r="F188" s="28" t="s">
        <v>142</v>
      </c>
      <c r="G188" s="29" t="s">
        <v>257</v>
      </c>
      <c r="H188" s="29" t="s">
        <v>497</v>
      </c>
      <c r="I188" s="29" t="s">
        <v>1418</v>
      </c>
      <c r="J188" s="29" t="s">
        <v>1419</v>
      </c>
      <c r="K188" s="26" t="s">
        <v>1377</v>
      </c>
      <c r="L188" s="26" t="s">
        <v>1420</v>
      </c>
      <c r="M188" s="49">
        <v>1990.0</v>
      </c>
      <c r="N188" s="31">
        <v>1990.0</v>
      </c>
      <c r="O188" s="49">
        <v>1993.0</v>
      </c>
      <c r="P188" s="28" t="s">
        <v>150</v>
      </c>
      <c r="Q188" s="32" t="s">
        <v>151</v>
      </c>
      <c r="R188" s="28" t="s">
        <v>281</v>
      </c>
      <c r="S188" s="32" t="s">
        <v>1378</v>
      </c>
      <c r="T188" s="28" t="s">
        <v>154</v>
      </c>
      <c r="U188" s="28" t="s">
        <v>154</v>
      </c>
      <c r="V188" s="28" t="s">
        <v>1379</v>
      </c>
      <c r="W188" s="32" t="s">
        <v>656</v>
      </c>
      <c r="X188" s="32" t="s">
        <v>657</v>
      </c>
      <c r="Y188" s="28" t="s">
        <v>1380</v>
      </c>
      <c r="Z188" s="26" t="s">
        <v>1381</v>
      </c>
      <c r="AA188" s="26" t="s">
        <v>159</v>
      </c>
      <c r="AB188" s="28" t="s">
        <v>205</v>
      </c>
      <c r="AC188" s="26" t="s">
        <v>206</v>
      </c>
      <c r="AD188" s="28" t="s">
        <v>207</v>
      </c>
      <c r="AE188" s="29" t="s">
        <v>149</v>
      </c>
      <c r="AF188" s="26" t="s">
        <v>149</v>
      </c>
      <c r="AG188" s="28" t="s">
        <v>1382</v>
      </c>
      <c r="AH188" s="26" t="s">
        <v>660</v>
      </c>
      <c r="AI188" s="28" t="s">
        <v>322</v>
      </c>
      <c r="AJ188" s="28" t="s">
        <v>660</v>
      </c>
      <c r="AK188" s="28" t="s">
        <v>1383</v>
      </c>
      <c r="AL188" s="28" t="s">
        <v>393</v>
      </c>
      <c r="AM188" s="28" t="s">
        <v>870</v>
      </c>
      <c r="AN188" s="28" t="s">
        <v>241</v>
      </c>
      <c r="AO188" s="26" t="s">
        <v>395</v>
      </c>
      <c r="AP188" s="28" t="s">
        <v>396</v>
      </c>
      <c r="AQ188" s="38" t="s">
        <v>541</v>
      </c>
      <c r="AR188" s="26" t="s">
        <v>398</v>
      </c>
      <c r="AS188" s="45" t="s">
        <v>149</v>
      </c>
      <c r="AT188" s="28" t="s">
        <v>1384</v>
      </c>
    </row>
    <row r="189">
      <c r="A189" s="36" t="s">
        <v>1421</v>
      </c>
      <c r="B189" s="26" t="str">
        <f t="shared" si="1"/>
        <v>2023-PH045633000-1990-0160</v>
      </c>
      <c r="C189" s="27">
        <f t="shared" si="4"/>
        <v>2023</v>
      </c>
      <c r="D189" s="28" t="s">
        <v>140</v>
      </c>
      <c r="E189" s="28" t="s">
        <v>141</v>
      </c>
      <c r="F189" s="28" t="s">
        <v>142</v>
      </c>
      <c r="G189" s="29" t="s">
        <v>257</v>
      </c>
      <c r="H189" s="29" t="s">
        <v>497</v>
      </c>
      <c r="I189" s="29" t="s">
        <v>1418</v>
      </c>
      <c r="J189" s="29" t="s">
        <v>1419</v>
      </c>
      <c r="K189" s="26" t="s">
        <v>1377</v>
      </c>
      <c r="L189" s="26" t="s">
        <v>1422</v>
      </c>
      <c r="M189" s="49">
        <v>1990.0</v>
      </c>
      <c r="N189" s="31">
        <v>1990.0</v>
      </c>
      <c r="O189" s="49">
        <v>1993.0</v>
      </c>
      <c r="P189" s="28" t="s">
        <v>150</v>
      </c>
      <c r="Q189" s="32" t="s">
        <v>151</v>
      </c>
      <c r="R189" s="28" t="s">
        <v>281</v>
      </c>
      <c r="S189" s="32" t="s">
        <v>1378</v>
      </c>
      <c r="T189" s="28" t="s">
        <v>154</v>
      </c>
      <c r="U189" s="28" t="s">
        <v>154</v>
      </c>
      <c r="V189" s="28" t="s">
        <v>1379</v>
      </c>
      <c r="W189" s="32" t="s">
        <v>656</v>
      </c>
      <c r="X189" s="32" t="s">
        <v>657</v>
      </c>
      <c r="Y189" s="28" t="s">
        <v>1380</v>
      </c>
      <c r="Z189" s="26" t="s">
        <v>1381</v>
      </c>
      <c r="AA189" s="26" t="s">
        <v>159</v>
      </c>
      <c r="AB189" s="28" t="s">
        <v>205</v>
      </c>
      <c r="AC189" s="26" t="s">
        <v>206</v>
      </c>
      <c r="AD189" s="28" t="s">
        <v>207</v>
      </c>
      <c r="AE189" s="29" t="s">
        <v>149</v>
      </c>
      <c r="AF189" s="26" t="s">
        <v>149</v>
      </c>
      <c r="AG189" s="28" t="s">
        <v>1382</v>
      </c>
      <c r="AH189" s="26" t="s">
        <v>660</v>
      </c>
      <c r="AI189" s="28" t="s">
        <v>322</v>
      </c>
      <c r="AJ189" s="28" t="s">
        <v>660</v>
      </c>
      <c r="AK189" s="28" t="s">
        <v>1383</v>
      </c>
      <c r="AL189" s="28" t="s">
        <v>393</v>
      </c>
      <c r="AM189" s="28" t="s">
        <v>870</v>
      </c>
      <c r="AN189" s="28" t="s">
        <v>241</v>
      </c>
      <c r="AO189" s="26" t="s">
        <v>395</v>
      </c>
      <c r="AP189" s="28" t="s">
        <v>396</v>
      </c>
      <c r="AQ189" s="38" t="s">
        <v>541</v>
      </c>
      <c r="AR189" s="26" t="s">
        <v>398</v>
      </c>
      <c r="AS189" s="45" t="s">
        <v>149</v>
      </c>
      <c r="AT189" s="28" t="s">
        <v>1384</v>
      </c>
    </row>
    <row r="190">
      <c r="A190" s="36" t="s">
        <v>1423</v>
      </c>
      <c r="B190" s="26" t="str">
        <f t="shared" si="1"/>
        <v>2023-PH045633000-1990-0161</v>
      </c>
      <c r="C190" s="27">
        <f t="shared" si="4"/>
        <v>2023</v>
      </c>
      <c r="D190" s="28" t="s">
        <v>140</v>
      </c>
      <c r="E190" s="28" t="s">
        <v>141</v>
      </c>
      <c r="F190" s="28" t="s">
        <v>142</v>
      </c>
      <c r="G190" s="29" t="s">
        <v>257</v>
      </c>
      <c r="H190" s="29" t="s">
        <v>497</v>
      </c>
      <c r="I190" s="29" t="s">
        <v>1418</v>
      </c>
      <c r="J190" s="29" t="s">
        <v>1419</v>
      </c>
      <c r="K190" s="26" t="s">
        <v>1377</v>
      </c>
      <c r="L190" s="26" t="s">
        <v>1424</v>
      </c>
      <c r="M190" s="49">
        <v>1990.0</v>
      </c>
      <c r="N190" s="31">
        <v>1990.0</v>
      </c>
      <c r="O190" s="49">
        <v>1993.0</v>
      </c>
      <c r="P190" s="28" t="s">
        <v>150</v>
      </c>
      <c r="Q190" s="32" t="s">
        <v>151</v>
      </c>
      <c r="R190" s="28" t="s">
        <v>281</v>
      </c>
      <c r="S190" s="32" t="s">
        <v>1378</v>
      </c>
      <c r="T190" s="28" t="s">
        <v>154</v>
      </c>
      <c r="U190" s="28" t="s">
        <v>154</v>
      </c>
      <c r="V190" s="28" t="s">
        <v>1379</v>
      </c>
      <c r="W190" s="32" t="s">
        <v>656</v>
      </c>
      <c r="X190" s="32" t="s">
        <v>657</v>
      </c>
      <c r="Y190" s="28" t="s">
        <v>1380</v>
      </c>
      <c r="Z190" s="26" t="s">
        <v>1381</v>
      </c>
      <c r="AA190" s="26" t="s">
        <v>159</v>
      </c>
      <c r="AB190" s="28" t="s">
        <v>205</v>
      </c>
      <c r="AC190" s="26" t="s">
        <v>206</v>
      </c>
      <c r="AD190" s="28" t="s">
        <v>207</v>
      </c>
      <c r="AE190" s="29" t="s">
        <v>149</v>
      </c>
      <c r="AF190" s="26" t="s">
        <v>149</v>
      </c>
      <c r="AG190" s="28" t="s">
        <v>1382</v>
      </c>
      <c r="AH190" s="26" t="s">
        <v>660</v>
      </c>
      <c r="AI190" s="28" t="s">
        <v>322</v>
      </c>
      <c r="AJ190" s="28" t="s">
        <v>660</v>
      </c>
      <c r="AK190" s="28" t="s">
        <v>1383</v>
      </c>
      <c r="AL190" s="28" t="s">
        <v>393</v>
      </c>
      <c r="AM190" s="28" t="s">
        <v>870</v>
      </c>
      <c r="AN190" s="28" t="s">
        <v>241</v>
      </c>
      <c r="AO190" s="26" t="s">
        <v>395</v>
      </c>
      <c r="AP190" s="28" t="s">
        <v>396</v>
      </c>
      <c r="AQ190" s="38" t="s">
        <v>541</v>
      </c>
      <c r="AR190" s="26" t="s">
        <v>398</v>
      </c>
      <c r="AS190" s="45" t="s">
        <v>149</v>
      </c>
      <c r="AT190" s="28" t="s">
        <v>1384</v>
      </c>
    </row>
    <row r="191">
      <c r="A191" s="36" t="s">
        <v>1425</v>
      </c>
      <c r="B191" s="26" t="str">
        <f t="shared" si="1"/>
        <v>2023-PH045633000-1990-0162</v>
      </c>
      <c r="C191" s="27">
        <f t="shared" si="4"/>
        <v>2023</v>
      </c>
      <c r="D191" s="28" t="s">
        <v>140</v>
      </c>
      <c r="E191" s="28" t="s">
        <v>141</v>
      </c>
      <c r="F191" s="28" t="s">
        <v>142</v>
      </c>
      <c r="G191" s="29" t="s">
        <v>257</v>
      </c>
      <c r="H191" s="29" t="s">
        <v>497</v>
      </c>
      <c r="I191" s="29" t="s">
        <v>1418</v>
      </c>
      <c r="J191" s="29" t="s">
        <v>1419</v>
      </c>
      <c r="K191" s="26" t="s">
        <v>1377</v>
      </c>
      <c r="L191" s="26" t="s">
        <v>1426</v>
      </c>
      <c r="M191" s="49">
        <v>1990.0</v>
      </c>
      <c r="N191" s="31">
        <v>1990.0</v>
      </c>
      <c r="O191" s="49">
        <v>1993.0</v>
      </c>
      <c r="P191" s="28" t="s">
        <v>150</v>
      </c>
      <c r="Q191" s="32" t="s">
        <v>151</v>
      </c>
      <c r="R191" s="28" t="s">
        <v>281</v>
      </c>
      <c r="S191" s="32" t="s">
        <v>1378</v>
      </c>
      <c r="T191" s="28" t="s">
        <v>154</v>
      </c>
      <c r="U191" s="28" t="s">
        <v>154</v>
      </c>
      <c r="V191" s="28" t="s">
        <v>1379</v>
      </c>
      <c r="W191" s="32" t="s">
        <v>656</v>
      </c>
      <c r="X191" s="32" t="s">
        <v>657</v>
      </c>
      <c r="Y191" s="28" t="s">
        <v>1380</v>
      </c>
      <c r="Z191" s="26" t="s">
        <v>1381</v>
      </c>
      <c r="AA191" s="26" t="s">
        <v>159</v>
      </c>
      <c r="AB191" s="28" t="s">
        <v>205</v>
      </c>
      <c r="AC191" s="26" t="s">
        <v>206</v>
      </c>
      <c r="AD191" s="28" t="s">
        <v>207</v>
      </c>
      <c r="AE191" s="29" t="s">
        <v>149</v>
      </c>
      <c r="AF191" s="26" t="s">
        <v>149</v>
      </c>
      <c r="AG191" s="28" t="s">
        <v>1382</v>
      </c>
      <c r="AH191" s="26" t="s">
        <v>660</v>
      </c>
      <c r="AI191" s="28" t="s">
        <v>322</v>
      </c>
      <c r="AJ191" s="28" t="s">
        <v>660</v>
      </c>
      <c r="AK191" s="28" t="s">
        <v>1383</v>
      </c>
      <c r="AL191" s="28" t="s">
        <v>393</v>
      </c>
      <c r="AM191" s="28" t="s">
        <v>870</v>
      </c>
      <c r="AN191" s="28" t="s">
        <v>241</v>
      </c>
      <c r="AO191" s="26" t="s">
        <v>395</v>
      </c>
      <c r="AP191" s="28" t="s">
        <v>396</v>
      </c>
      <c r="AQ191" s="38" t="s">
        <v>541</v>
      </c>
      <c r="AR191" s="26" t="s">
        <v>398</v>
      </c>
      <c r="AS191" s="45" t="s">
        <v>149</v>
      </c>
      <c r="AT191" s="28" t="s">
        <v>1384</v>
      </c>
    </row>
    <row r="192">
      <c r="A192" s="36" t="s">
        <v>1427</v>
      </c>
      <c r="B192" s="26" t="str">
        <f t="shared" si="1"/>
        <v>2023-PH045634000-1990-0163</v>
      </c>
      <c r="C192" s="27">
        <f t="shared" si="4"/>
        <v>2023</v>
      </c>
      <c r="D192" s="28" t="s">
        <v>140</v>
      </c>
      <c r="E192" s="28" t="s">
        <v>141</v>
      </c>
      <c r="F192" s="28" t="s">
        <v>142</v>
      </c>
      <c r="G192" s="29" t="s">
        <v>257</v>
      </c>
      <c r="H192" s="29" t="s">
        <v>497</v>
      </c>
      <c r="I192" s="29" t="s">
        <v>1428</v>
      </c>
      <c r="J192" s="29" t="s">
        <v>1429</v>
      </c>
      <c r="K192" s="26" t="s">
        <v>1377</v>
      </c>
      <c r="L192" s="45" t="s">
        <v>149</v>
      </c>
      <c r="M192" s="49">
        <v>1990.0</v>
      </c>
      <c r="N192" s="31">
        <v>1990.0</v>
      </c>
      <c r="O192" s="49">
        <v>1993.0</v>
      </c>
      <c r="P192" s="28" t="s">
        <v>150</v>
      </c>
      <c r="Q192" s="32" t="s">
        <v>151</v>
      </c>
      <c r="R192" s="28" t="s">
        <v>281</v>
      </c>
      <c r="S192" s="32" t="s">
        <v>1378</v>
      </c>
      <c r="T192" s="28" t="s">
        <v>154</v>
      </c>
      <c r="U192" s="28" t="s">
        <v>154</v>
      </c>
      <c r="V192" s="28" t="s">
        <v>1379</v>
      </c>
      <c r="W192" s="32" t="s">
        <v>656</v>
      </c>
      <c r="X192" s="32" t="s">
        <v>657</v>
      </c>
      <c r="Y192" s="28" t="s">
        <v>1380</v>
      </c>
      <c r="Z192" s="26" t="s">
        <v>1381</v>
      </c>
      <c r="AA192" s="26" t="s">
        <v>159</v>
      </c>
      <c r="AB192" s="28" t="s">
        <v>205</v>
      </c>
      <c r="AC192" s="26" t="s">
        <v>206</v>
      </c>
      <c r="AD192" s="28" t="s">
        <v>207</v>
      </c>
      <c r="AE192" s="29" t="s">
        <v>149</v>
      </c>
      <c r="AF192" s="26" t="s">
        <v>149</v>
      </c>
      <c r="AG192" s="28" t="s">
        <v>1382</v>
      </c>
      <c r="AH192" s="26" t="s">
        <v>660</v>
      </c>
      <c r="AI192" s="28" t="s">
        <v>322</v>
      </c>
      <c r="AJ192" s="28" t="s">
        <v>660</v>
      </c>
      <c r="AK192" s="28" t="s">
        <v>1383</v>
      </c>
      <c r="AL192" s="28" t="s">
        <v>393</v>
      </c>
      <c r="AM192" s="28" t="s">
        <v>870</v>
      </c>
      <c r="AN192" s="28" t="s">
        <v>241</v>
      </c>
      <c r="AO192" s="26" t="s">
        <v>395</v>
      </c>
      <c r="AP192" s="28" t="s">
        <v>396</v>
      </c>
      <c r="AQ192" s="38" t="s">
        <v>541</v>
      </c>
      <c r="AR192" s="26" t="s">
        <v>398</v>
      </c>
      <c r="AS192" s="45" t="s">
        <v>149</v>
      </c>
      <c r="AT192" s="28" t="s">
        <v>1384</v>
      </c>
    </row>
    <row r="193">
      <c r="A193" s="36" t="s">
        <v>1430</v>
      </c>
      <c r="B193" s="26" t="str">
        <f t="shared" si="1"/>
        <v>2023-PH045637000-1990-0165</v>
      </c>
      <c r="C193" s="27">
        <f t="shared" si="4"/>
        <v>2023</v>
      </c>
      <c r="D193" s="28" t="s">
        <v>140</v>
      </c>
      <c r="E193" s="28" t="s">
        <v>141</v>
      </c>
      <c r="F193" s="28" t="s">
        <v>142</v>
      </c>
      <c r="G193" s="29" t="s">
        <v>257</v>
      </c>
      <c r="H193" s="29" t="s">
        <v>497</v>
      </c>
      <c r="I193" s="29" t="s">
        <v>497</v>
      </c>
      <c r="J193" s="29" t="s">
        <v>1431</v>
      </c>
      <c r="K193" s="26" t="s">
        <v>1377</v>
      </c>
      <c r="L193" s="26" t="s">
        <v>1432</v>
      </c>
      <c r="M193" s="49">
        <v>1990.0</v>
      </c>
      <c r="N193" s="31">
        <v>1990.0</v>
      </c>
      <c r="O193" s="49">
        <v>1993.0</v>
      </c>
      <c r="P193" s="28" t="s">
        <v>150</v>
      </c>
      <c r="Q193" s="32" t="s">
        <v>151</v>
      </c>
      <c r="R193" s="28" t="s">
        <v>281</v>
      </c>
      <c r="S193" s="32" t="s">
        <v>1378</v>
      </c>
      <c r="T193" s="28" t="s">
        <v>154</v>
      </c>
      <c r="U193" s="28" t="s">
        <v>154</v>
      </c>
      <c r="V193" s="28" t="s">
        <v>1379</v>
      </c>
      <c r="W193" s="32" t="s">
        <v>656</v>
      </c>
      <c r="X193" s="32" t="s">
        <v>657</v>
      </c>
      <c r="Y193" s="28" t="s">
        <v>1380</v>
      </c>
      <c r="Z193" s="26" t="s">
        <v>1381</v>
      </c>
      <c r="AA193" s="26" t="s">
        <v>159</v>
      </c>
      <c r="AB193" s="28" t="s">
        <v>205</v>
      </c>
      <c r="AC193" s="26" t="s">
        <v>206</v>
      </c>
      <c r="AD193" s="28" t="s">
        <v>207</v>
      </c>
      <c r="AE193" s="29" t="s">
        <v>149</v>
      </c>
      <c r="AF193" s="26" t="s">
        <v>149</v>
      </c>
      <c r="AG193" s="28" t="s">
        <v>1382</v>
      </c>
      <c r="AH193" s="26" t="s">
        <v>660</v>
      </c>
      <c r="AI193" s="28" t="s">
        <v>322</v>
      </c>
      <c r="AJ193" s="28" t="s">
        <v>660</v>
      </c>
      <c r="AK193" s="28" t="s">
        <v>1383</v>
      </c>
      <c r="AL193" s="28" t="s">
        <v>393</v>
      </c>
      <c r="AM193" s="28" t="s">
        <v>870</v>
      </c>
      <c r="AN193" s="28" t="s">
        <v>241</v>
      </c>
      <c r="AO193" s="26" t="s">
        <v>395</v>
      </c>
      <c r="AP193" s="28" t="s">
        <v>396</v>
      </c>
      <c r="AQ193" s="38" t="s">
        <v>541</v>
      </c>
      <c r="AR193" s="26" t="s">
        <v>398</v>
      </c>
      <c r="AS193" s="45" t="s">
        <v>149</v>
      </c>
      <c r="AT193" s="28" t="s">
        <v>1384</v>
      </c>
    </row>
    <row r="194">
      <c r="A194" s="36" t="s">
        <v>1433</v>
      </c>
      <c r="B194" s="26" t="str">
        <f t="shared" si="1"/>
        <v>2023-PH045637000-1990-0166</v>
      </c>
      <c r="C194" s="27">
        <f t="shared" si="4"/>
        <v>2023</v>
      </c>
      <c r="D194" s="28" t="s">
        <v>140</v>
      </c>
      <c r="E194" s="28" t="s">
        <v>141</v>
      </c>
      <c r="F194" s="28" t="s">
        <v>142</v>
      </c>
      <c r="G194" s="29" t="s">
        <v>257</v>
      </c>
      <c r="H194" s="29" t="s">
        <v>497</v>
      </c>
      <c r="I194" s="29" t="s">
        <v>497</v>
      </c>
      <c r="J194" s="29" t="s">
        <v>1431</v>
      </c>
      <c r="K194" s="26" t="s">
        <v>1377</v>
      </c>
      <c r="L194" s="26" t="s">
        <v>1434</v>
      </c>
      <c r="M194" s="49">
        <v>1990.0</v>
      </c>
      <c r="N194" s="31">
        <v>1990.0</v>
      </c>
      <c r="O194" s="49">
        <v>1993.0</v>
      </c>
      <c r="P194" s="28" t="s">
        <v>150</v>
      </c>
      <c r="Q194" s="32" t="s">
        <v>151</v>
      </c>
      <c r="R194" s="28" t="s">
        <v>281</v>
      </c>
      <c r="S194" s="32" t="s">
        <v>1378</v>
      </c>
      <c r="T194" s="28" t="s">
        <v>154</v>
      </c>
      <c r="U194" s="28" t="s">
        <v>154</v>
      </c>
      <c r="V194" s="28" t="s">
        <v>1379</v>
      </c>
      <c r="W194" s="32" t="s">
        <v>656</v>
      </c>
      <c r="X194" s="32" t="s">
        <v>657</v>
      </c>
      <c r="Y194" s="28" t="s">
        <v>1380</v>
      </c>
      <c r="Z194" s="26" t="s">
        <v>1381</v>
      </c>
      <c r="AA194" s="26" t="s">
        <v>159</v>
      </c>
      <c r="AB194" s="28" t="s">
        <v>205</v>
      </c>
      <c r="AC194" s="26" t="s">
        <v>206</v>
      </c>
      <c r="AD194" s="28" t="s">
        <v>207</v>
      </c>
      <c r="AE194" s="29" t="s">
        <v>149</v>
      </c>
      <c r="AF194" s="26" t="s">
        <v>149</v>
      </c>
      <c r="AG194" s="28" t="s">
        <v>1382</v>
      </c>
      <c r="AH194" s="26" t="s">
        <v>660</v>
      </c>
      <c r="AI194" s="28" t="s">
        <v>322</v>
      </c>
      <c r="AJ194" s="28" t="s">
        <v>660</v>
      </c>
      <c r="AK194" s="28" t="s">
        <v>1383</v>
      </c>
      <c r="AL194" s="28" t="s">
        <v>393</v>
      </c>
      <c r="AM194" s="28" t="s">
        <v>870</v>
      </c>
      <c r="AN194" s="28" t="s">
        <v>241</v>
      </c>
      <c r="AO194" s="26" t="s">
        <v>395</v>
      </c>
      <c r="AP194" s="28" t="s">
        <v>396</v>
      </c>
      <c r="AQ194" s="38" t="s">
        <v>541</v>
      </c>
      <c r="AR194" s="26" t="s">
        <v>398</v>
      </c>
      <c r="AS194" s="45" t="s">
        <v>149</v>
      </c>
      <c r="AT194" s="28" t="s">
        <v>1384</v>
      </c>
    </row>
    <row r="195">
      <c r="A195" s="36" t="s">
        <v>1435</v>
      </c>
      <c r="B195" s="26" t="str">
        <f t="shared" si="1"/>
        <v>2023-PH045646000-1990-0167</v>
      </c>
      <c r="C195" s="27">
        <f t="shared" si="4"/>
        <v>2023</v>
      </c>
      <c r="D195" s="28" t="s">
        <v>140</v>
      </c>
      <c r="E195" s="28" t="s">
        <v>141</v>
      </c>
      <c r="F195" s="28" t="s">
        <v>142</v>
      </c>
      <c r="G195" s="29" t="s">
        <v>257</v>
      </c>
      <c r="H195" s="29" t="s">
        <v>497</v>
      </c>
      <c r="I195" s="29" t="s">
        <v>1436</v>
      </c>
      <c r="J195" s="29" t="s">
        <v>1437</v>
      </c>
      <c r="K195" s="26" t="s">
        <v>1377</v>
      </c>
      <c r="L195" s="45" t="s">
        <v>149</v>
      </c>
      <c r="M195" s="49">
        <v>1990.0</v>
      </c>
      <c r="N195" s="31">
        <v>1990.0</v>
      </c>
      <c r="O195" s="49">
        <v>1993.0</v>
      </c>
      <c r="P195" s="28" t="s">
        <v>150</v>
      </c>
      <c r="Q195" s="32" t="s">
        <v>151</v>
      </c>
      <c r="R195" s="28" t="s">
        <v>281</v>
      </c>
      <c r="S195" s="32" t="s">
        <v>1378</v>
      </c>
      <c r="T195" s="28" t="s">
        <v>154</v>
      </c>
      <c r="U195" s="28" t="s">
        <v>154</v>
      </c>
      <c r="V195" s="28" t="s">
        <v>1379</v>
      </c>
      <c r="W195" s="32" t="s">
        <v>656</v>
      </c>
      <c r="X195" s="32" t="s">
        <v>657</v>
      </c>
      <c r="Y195" s="28" t="s">
        <v>1380</v>
      </c>
      <c r="Z195" s="26" t="s">
        <v>1381</v>
      </c>
      <c r="AA195" s="26" t="s">
        <v>159</v>
      </c>
      <c r="AB195" s="28" t="s">
        <v>205</v>
      </c>
      <c r="AC195" s="26" t="s">
        <v>206</v>
      </c>
      <c r="AD195" s="28" t="s">
        <v>207</v>
      </c>
      <c r="AE195" s="29" t="s">
        <v>149</v>
      </c>
      <c r="AF195" s="26" t="s">
        <v>149</v>
      </c>
      <c r="AG195" s="28" t="s">
        <v>1382</v>
      </c>
      <c r="AH195" s="26" t="s">
        <v>660</v>
      </c>
      <c r="AI195" s="28" t="s">
        <v>322</v>
      </c>
      <c r="AJ195" s="28" t="s">
        <v>660</v>
      </c>
      <c r="AK195" s="28" t="s">
        <v>1383</v>
      </c>
      <c r="AL195" s="28" t="s">
        <v>393</v>
      </c>
      <c r="AM195" s="28" t="s">
        <v>870</v>
      </c>
      <c r="AN195" s="28" t="s">
        <v>241</v>
      </c>
      <c r="AO195" s="26" t="s">
        <v>395</v>
      </c>
      <c r="AP195" s="28" t="s">
        <v>396</v>
      </c>
      <c r="AQ195" s="38" t="s">
        <v>541</v>
      </c>
      <c r="AR195" s="26" t="s">
        <v>398</v>
      </c>
      <c r="AS195" s="45" t="s">
        <v>149</v>
      </c>
      <c r="AT195" s="28" t="s">
        <v>1384</v>
      </c>
    </row>
    <row r="196">
      <c r="A196" s="36" t="s">
        <v>1438</v>
      </c>
      <c r="B196" s="26" t="str">
        <f t="shared" si="1"/>
        <v>2023-PH045649000-1990-0168</v>
      </c>
      <c r="C196" s="27">
        <f t="shared" si="4"/>
        <v>2023</v>
      </c>
      <c r="D196" s="28" t="s">
        <v>140</v>
      </c>
      <c r="E196" s="28" t="s">
        <v>141</v>
      </c>
      <c r="F196" s="28" t="s">
        <v>142</v>
      </c>
      <c r="G196" s="29" t="s">
        <v>257</v>
      </c>
      <c r="H196" s="29" t="s">
        <v>497</v>
      </c>
      <c r="I196" s="29" t="s">
        <v>1439</v>
      </c>
      <c r="J196" s="29" t="s">
        <v>1440</v>
      </c>
      <c r="K196" s="26" t="s">
        <v>1377</v>
      </c>
      <c r="L196" s="45" t="s">
        <v>149</v>
      </c>
      <c r="M196" s="49">
        <v>1990.0</v>
      </c>
      <c r="N196" s="31">
        <v>1990.0</v>
      </c>
      <c r="O196" s="49">
        <v>1993.0</v>
      </c>
      <c r="P196" s="28" t="s">
        <v>150</v>
      </c>
      <c r="Q196" s="32" t="s">
        <v>151</v>
      </c>
      <c r="R196" s="28" t="s">
        <v>281</v>
      </c>
      <c r="S196" s="32" t="s">
        <v>1378</v>
      </c>
      <c r="T196" s="28" t="s">
        <v>154</v>
      </c>
      <c r="U196" s="28" t="s">
        <v>154</v>
      </c>
      <c r="V196" s="28" t="s">
        <v>1379</v>
      </c>
      <c r="W196" s="32" t="s">
        <v>656</v>
      </c>
      <c r="X196" s="32" t="s">
        <v>657</v>
      </c>
      <c r="Y196" s="28" t="s">
        <v>1380</v>
      </c>
      <c r="Z196" s="26" t="s">
        <v>1381</v>
      </c>
      <c r="AA196" s="26" t="s">
        <v>159</v>
      </c>
      <c r="AB196" s="28" t="s">
        <v>205</v>
      </c>
      <c r="AC196" s="26" t="s">
        <v>206</v>
      </c>
      <c r="AD196" s="28" t="s">
        <v>207</v>
      </c>
      <c r="AE196" s="29" t="s">
        <v>149</v>
      </c>
      <c r="AF196" s="26" t="s">
        <v>149</v>
      </c>
      <c r="AG196" s="28" t="s">
        <v>1382</v>
      </c>
      <c r="AH196" s="26" t="s">
        <v>660</v>
      </c>
      <c r="AI196" s="28" t="s">
        <v>322</v>
      </c>
      <c r="AJ196" s="28" t="s">
        <v>660</v>
      </c>
      <c r="AK196" s="28" t="s">
        <v>1383</v>
      </c>
      <c r="AL196" s="28" t="s">
        <v>393</v>
      </c>
      <c r="AM196" s="28" t="s">
        <v>870</v>
      </c>
      <c r="AN196" s="28" t="s">
        <v>241</v>
      </c>
      <c r="AO196" s="26" t="s">
        <v>395</v>
      </c>
      <c r="AP196" s="28" t="s">
        <v>396</v>
      </c>
      <c r="AQ196" s="38" t="s">
        <v>541</v>
      </c>
      <c r="AR196" s="26" t="s">
        <v>398</v>
      </c>
      <c r="AS196" s="45" t="s">
        <v>149</v>
      </c>
      <c r="AT196" s="28" t="s">
        <v>1384</v>
      </c>
    </row>
    <row r="197">
      <c r="A197" s="36" t="s">
        <v>1441</v>
      </c>
      <c r="B197" s="26" t="str">
        <f t="shared" si="1"/>
        <v>2023-PH050518000-1990-0192</v>
      </c>
      <c r="C197" s="27">
        <f t="shared" si="4"/>
        <v>2023</v>
      </c>
      <c r="D197" s="37" t="s">
        <v>140</v>
      </c>
      <c r="E197" s="28" t="s">
        <v>141</v>
      </c>
      <c r="F197" s="28" t="s">
        <v>142</v>
      </c>
      <c r="G197" s="29" t="s">
        <v>535</v>
      </c>
      <c r="H197" s="29" t="s">
        <v>893</v>
      </c>
      <c r="I197" s="29" t="s">
        <v>1442</v>
      </c>
      <c r="J197" s="29" t="s">
        <v>1443</v>
      </c>
      <c r="K197" s="26" t="s">
        <v>1377</v>
      </c>
      <c r="L197" s="26" t="s">
        <v>149</v>
      </c>
      <c r="M197" s="49">
        <v>1990.0</v>
      </c>
      <c r="N197" s="31">
        <v>1990.0</v>
      </c>
      <c r="O197" s="49">
        <v>1993.0</v>
      </c>
      <c r="P197" s="28" t="s">
        <v>150</v>
      </c>
      <c r="Q197" s="32" t="s">
        <v>151</v>
      </c>
      <c r="R197" s="28" t="s">
        <v>281</v>
      </c>
      <c r="S197" s="32" t="s">
        <v>1378</v>
      </c>
      <c r="T197" s="28" t="s">
        <v>154</v>
      </c>
      <c r="U197" s="28" t="s">
        <v>154</v>
      </c>
      <c r="V197" s="28" t="s">
        <v>1379</v>
      </c>
      <c r="W197" s="32" t="s">
        <v>656</v>
      </c>
      <c r="X197" s="32" t="s">
        <v>657</v>
      </c>
      <c r="Y197" s="28" t="s">
        <v>1380</v>
      </c>
      <c r="Z197" s="26" t="s">
        <v>1381</v>
      </c>
      <c r="AA197" s="26" t="s">
        <v>159</v>
      </c>
      <c r="AB197" s="28" t="s">
        <v>205</v>
      </c>
      <c r="AC197" s="26" t="s">
        <v>206</v>
      </c>
      <c r="AD197" s="28" t="s">
        <v>207</v>
      </c>
      <c r="AE197" s="29" t="s">
        <v>149</v>
      </c>
      <c r="AF197" s="26" t="s">
        <v>149</v>
      </c>
      <c r="AG197" s="28" t="s">
        <v>1382</v>
      </c>
      <c r="AH197" s="26" t="s">
        <v>660</v>
      </c>
      <c r="AI197" s="28" t="s">
        <v>322</v>
      </c>
      <c r="AJ197" s="28" t="s">
        <v>660</v>
      </c>
      <c r="AK197" s="28" t="s">
        <v>1383</v>
      </c>
      <c r="AL197" s="28" t="s">
        <v>393</v>
      </c>
      <c r="AM197" s="28" t="s">
        <v>870</v>
      </c>
      <c r="AN197" s="28" t="s">
        <v>241</v>
      </c>
      <c r="AO197" s="26" t="s">
        <v>395</v>
      </c>
      <c r="AP197" s="28" t="s">
        <v>396</v>
      </c>
      <c r="AQ197" s="38" t="s">
        <v>541</v>
      </c>
      <c r="AR197" s="26" t="s">
        <v>398</v>
      </c>
      <c r="AS197" s="26" t="s">
        <v>149</v>
      </c>
      <c r="AT197" s="28" t="s">
        <v>1384</v>
      </c>
    </row>
    <row r="198">
      <c r="A198" s="36" t="s">
        <v>1444</v>
      </c>
      <c r="B198" s="26" t="str">
        <f t="shared" si="1"/>
        <v>2023-PH051607000-1990-0195</v>
      </c>
      <c r="C198" s="27">
        <f t="shared" si="4"/>
        <v>2023</v>
      </c>
      <c r="D198" s="28" t="s">
        <v>140</v>
      </c>
      <c r="E198" s="28" t="s">
        <v>141</v>
      </c>
      <c r="F198" s="28" t="s">
        <v>142</v>
      </c>
      <c r="G198" s="29" t="s">
        <v>535</v>
      </c>
      <c r="H198" s="29" t="s">
        <v>1445</v>
      </c>
      <c r="I198" s="29" t="s">
        <v>1446</v>
      </c>
      <c r="J198" s="29" t="s">
        <v>1447</v>
      </c>
      <c r="K198" s="26" t="s">
        <v>1377</v>
      </c>
      <c r="L198" s="26" t="s">
        <v>1448</v>
      </c>
      <c r="M198" s="49">
        <v>1990.0</v>
      </c>
      <c r="N198" s="31">
        <v>1990.0</v>
      </c>
      <c r="O198" s="49">
        <v>1993.0</v>
      </c>
      <c r="P198" s="28" t="s">
        <v>150</v>
      </c>
      <c r="Q198" s="32" t="s">
        <v>151</v>
      </c>
      <c r="R198" s="28" t="s">
        <v>281</v>
      </c>
      <c r="S198" s="32" t="s">
        <v>1378</v>
      </c>
      <c r="T198" s="28" t="s">
        <v>154</v>
      </c>
      <c r="U198" s="28" t="s">
        <v>154</v>
      </c>
      <c r="V198" s="28" t="s">
        <v>1379</v>
      </c>
      <c r="W198" s="32" t="s">
        <v>656</v>
      </c>
      <c r="X198" s="32" t="s">
        <v>657</v>
      </c>
      <c r="Y198" s="28" t="s">
        <v>1380</v>
      </c>
      <c r="Z198" s="26" t="s">
        <v>1381</v>
      </c>
      <c r="AA198" s="26" t="s">
        <v>159</v>
      </c>
      <c r="AB198" s="28" t="s">
        <v>205</v>
      </c>
      <c r="AC198" s="26" t="s">
        <v>206</v>
      </c>
      <c r="AD198" s="28" t="s">
        <v>207</v>
      </c>
      <c r="AE198" s="29" t="s">
        <v>149</v>
      </c>
      <c r="AF198" s="26" t="s">
        <v>149</v>
      </c>
      <c r="AG198" s="28" t="s">
        <v>1382</v>
      </c>
      <c r="AH198" s="26" t="s">
        <v>660</v>
      </c>
      <c r="AI198" s="28" t="s">
        <v>322</v>
      </c>
      <c r="AJ198" s="28" t="s">
        <v>660</v>
      </c>
      <c r="AK198" s="28" t="s">
        <v>1383</v>
      </c>
      <c r="AL198" s="28" t="s">
        <v>393</v>
      </c>
      <c r="AM198" s="28" t="s">
        <v>870</v>
      </c>
      <c r="AN198" s="28" t="s">
        <v>241</v>
      </c>
      <c r="AO198" s="26" t="s">
        <v>395</v>
      </c>
      <c r="AP198" s="28" t="s">
        <v>396</v>
      </c>
      <c r="AQ198" s="38" t="s">
        <v>541</v>
      </c>
      <c r="AR198" s="26" t="s">
        <v>398</v>
      </c>
      <c r="AS198" s="26" t="s">
        <v>149</v>
      </c>
      <c r="AT198" s="28" t="s">
        <v>1384</v>
      </c>
    </row>
    <row r="199" ht="15.0" customHeight="1">
      <c r="A199" s="36" t="s">
        <v>1449</v>
      </c>
      <c r="B199" s="26" t="str">
        <f t="shared" si="1"/>
        <v>2023-PH051727000-1990-0199</v>
      </c>
      <c r="C199" s="27">
        <f t="shared" si="4"/>
        <v>2023</v>
      </c>
      <c r="D199" s="28" t="s">
        <v>140</v>
      </c>
      <c r="E199" s="28" t="s">
        <v>141</v>
      </c>
      <c r="F199" s="28" t="s">
        <v>142</v>
      </c>
      <c r="G199" s="29" t="s">
        <v>535</v>
      </c>
      <c r="H199" s="29" t="s">
        <v>1089</v>
      </c>
      <c r="I199" s="29" t="s">
        <v>1324</v>
      </c>
      <c r="J199" s="29" t="s">
        <v>1325</v>
      </c>
      <c r="K199" s="26" t="s">
        <v>1377</v>
      </c>
      <c r="L199" s="26" t="s">
        <v>149</v>
      </c>
      <c r="M199" s="49">
        <v>1990.0</v>
      </c>
      <c r="N199" s="31">
        <v>1990.0</v>
      </c>
      <c r="O199" s="49">
        <v>1993.0</v>
      </c>
      <c r="P199" s="28" t="s">
        <v>150</v>
      </c>
      <c r="Q199" s="32" t="s">
        <v>151</v>
      </c>
      <c r="R199" s="28" t="s">
        <v>281</v>
      </c>
      <c r="S199" s="32" t="s">
        <v>1378</v>
      </c>
      <c r="T199" s="28" t="s">
        <v>154</v>
      </c>
      <c r="U199" s="28" t="s">
        <v>154</v>
      </c>
      <c r="V199" s="28" t="s">
        <v>1379</v>
      </c>
      <c r="W199" s="32" t="s">
        <v>656</v>
      </c>
      <c r="X199" s="32" t="s">
        <v>657</v>
      </c>
      <c r="Y199" s="28" t="s">
        <v>1380</v>
      </c>
      <c r="Z199" s="26" t="s">
        <v>1381</v>
      </c>
      <c r="AA199" s="26" t="s">
        <v>159</v>
      </c>
      <c r="AB199" s="28" t="s">
        <v>205</v>
      </c>
      <c r="AC199" s="26" t="s">
        <v>206</v>
      </c>
      <c r="AD199" s="28" t="s">
        <v>207</v>
      </c>
      <c r="AE199" s="29" t="s">
        <v>149</v>
      </c>
      <c r="AF199" s="26" t="s">
        <v>149</v>
      </c>
      <c r="AG199" s="28" t="s">
        <v>1382</v>
      </c>
      <c r="AH199" s="26" t="s">
        <v>660</v>
      </c>
      <c r="AI199" s="28" t="s">
        <v>322</v>
      </c>
      <c r="AJ199" s="28" t="s">
        <v>660</v>
      </c>
      <c r="AK199" s="28" t="s">
        <v>1383</v>
      </c>
      <c r="AL199" s="28" t="s">
        <v>393</v>
      </c>
      <c r="AM199" s="28" t="s">
        <v>870</v>
      </c>
      <c r="AN199" s="28" t="s">
        <v>241</v>
      </c>
      <c r="AO199" s="26" t="s">
        <v>395</v>
      </c>
      <c r="AP199" s="28" t="s">
        <v>396</v>
      </c>
      <c r="AQ199" s="38" t="s">
        <v>541</v>
      </c>
      <c r="AR199" s="26" t="s">
        <v>398</v>
      </c>
      <c r="AS199" s="26" t="s">
        <v>149</v>
      </c>
      <c r="AT199" s="28" t="s">
        <v>1384</v>
      </c>
    </row>
    <row r="200">
      <c r="A200" s="36" t="s">
        <v>1450</v>
      </c>
      <c r="B200" s="26" t="str">
        <f t="shared" si="1"/>
        <v>2023-PH051731000-1990-0203</v>
      </c>
      <c r="C200" s="27">
        <f t="shared" si="4"/>
        <v>2023</v>
      </c>
      <c r="D200" s="28" t="s">
        <v>140</v>
      </c>
      <c r="E200" s="28" t="s">
        <v>141</v>
      </c>
      <c r="F200" s="28" t="s">
        <v>142</v>
      </c>
      <c r="G200" s="29" t="s">
        <v>535</v>
      </c>
      <c r="H200" s="29" t="s">
        <v>1089</v>
      </c>
      <c r="I200" s="29" t="s">
        <v>1451</v>
      </c>
      <c r="J200" s="29" t="s">
        <v>1452</v>
      </c>
      <c r="K200" s="26" t="s">
        <v>1377</v>
      </c>
      <c r="L200" s="26" t="s">
        <v>1453</v>
      </c>
      <c r="M200" s="49">
        <v>1990.0</v>
      </c>
      <c r="N200" s="31">
        <v>1990.0</v>
      </c>
      <c r="O200" s="49">
        <v>1993.0</v>
      </c>
      <c r="P200" s="28" t="s">
        <v>150</v>
      </c>
      <c r="Q200" s="32" t="s">
        <v>151</v>
      </c>
      <c r="R200" s="28" t="s">
        <v>281</v>
      </c>
      <c r="S200" s="32" t="s">
        <v>1378</v>
      </c>
      <c r="T200" s="28" t="s">
        <v>154</v>
      </c>
      <c r="U200" s="28" t="s">
        <v>154</v>
      </c>
      <c r="V200" s="28" t="s">
        <v>1379</v>
      </c>
      <c r="W200" s="32" t="s">
        <v>656</v>
      </c>
      <c r="X200" s="32" t="s">
        <v>657</v>
      </c>
      <c r="Y200" s="28" t="s">
        <v>1380</v>
      </c>
      <c r="Z200" s="26" t="s">
        <v>1381</v>
      </c>
      <c r="AA200" s="26" t="s">
        <v>159</v>
      </c>
      <c r="AB200" s="28" t="s">
        <v>205</v>
      </c>
      <c r="AC200" s="26" t="s">
        <v>206</v>
      </c>
      <c r="AD200" s="28" t="s">
        <v>207</v>
      </c>
      <c r="AE200" s="29" t="s">
        <v>149</v>
      </c>
      <c r="AF200" s="26" t="s">
        <v>149</v>
      </c>
      <c r="AG200" s="28" t="s">
        <v>1382</v>
      </c>
      <c r="AH200" s="26" t="s">
        <v>660</v>
      </c>
      <c r="AI200" s="28" t="s">
        <v>322</v>
      </c>
      <c r="AJ200" s="28" t="s">
        <v>660</v>
      </c>
      <c r="AK200" s="28" t="s">
        <v>1383</v>
      </c>
      <c r="AL200" s="28" t="s">
        <v>393</v>
      </c>
      <c r="AM200" s="28" t="s">
        <v>870</v>
      </c>
      <c r="AN200" s="28" t="s">
        <v>241</v>
      </c>
      <c r="AO200" s="26" t="s">
        <v>395</v>
      </c>
      <c r="AP200" s="28" t="s">
        <v>396</v>
      </c>
      <c r="AQ200" s="38" t="s">
        <v>541</v>
      </c>
      <c r="AR200" s="26" t="s">
        <v>398</v>
      </c>
      <c r="AS200" s="26" t="s">
        <v>149</v>
      </c>
      <c r="AT200" s="28" t="s">
        <v>1384</v>
      </c>
    </row>
    <row r="201">
      <c r="A201" s="36" t="s">
        <v>1454</v>
      </c>
      <c r="B201" s="26" t="str">
        <f t="shared" si="1"/>
        <v>2023-PH051735000-1990-0205</v>
      </c>
      <c r="C201" s="27">
        <f t="shared" si="4"/>
        <v>2023</v>
      </c>
      <c r="D201" s="37" t="s">
        <v>140</v>
      </c>
      <c r="E201" s="28" t="s">
        <v>141</v>
      </c>
      <c r="F201" s="28" t="s">
        <v>142</v>
      </c>
      <c r="G201" s="29" t="s">
        <v>535</v>
      </c>
      <c r="H201" s="29" t="s">
        <v>1089</v>
      </c>
      <c r="I201" s="29" t="s">
        <v>1455</v>
      </c>
      <c r="J201" s="29" t="s">
        <v>1456</v>
      </c>
      <c r="K201" s="26" t="s">
        <v>1377</v>
      </c>
      <c r="L201" s="26" t="s">
        <v>1457</v>
      </c>
      <c r="M201" s="49">
        <v>1990.0</v>
      </c>
      <c r="N201" s="31">
        <v>1990.0</v>
      </c>
      <c r="O201" s="49">
        <v>1993.0</v>
      </c>
      <c r="P201" s="28" t="s">
        <v>150</v>
      </c>
      <c r="Q201" s="32" t="s">
        <v>151</v>
      </c>
      <c r="R201" s="28" t="s">
        <v>281</v>
      </c>
      <c r="S201" s="32" t="s">
        <v>1378</v>
      </c>
      <c r="T201" s="28" t="s">
        <v>154</v>
      </c>
      <c r="U201" s="28" t="s">
        <v>154</v>
      </c>
      <c r="V201" s="28" t="s">
        <v>1379</v>
      </c>
      <c r="W201" s="32" t="s">
        <v>656</v>
      </c>
      <c r="X201" s="32" t="s">
        <v>657</v>
      </c>
      <c r="Y201" s="28" t="s">
        <v>1380</v>
      </c>
      <c r="Z201" s="26" t="s">
        <v>1381</v>
      </c>
      <c r="AA201" s="26" t="s">
        <v>159</v>
      </c>
      <c r="AB201" s="28" t="s">
        <v>205</v>
      </c>
      <c r="AC201" s="26" t="s">
        <v>206</v>
      </c>
      <c r="AD201" s="28" t="s">
        <v>207</v>
      </c>
      <c r="AE201" s="29" t="s">
        <v>149</v>
      </c>
      <c r="AF201" s="26" t="s">
        <v>149</v>
      </c>
      <c r="AG201" s="28" t="s">
        <v>1382</v>
      </c>
      <c r="AH201" s="26" t="s">
        <v>660</v>
      </c>
      <c r="AI201" s="28" t="s">
        <v>322</v>
      </c>
      <c r="AJ201" s="28" t="s">
        <v>660</v>
      </c>
      <c r="AK201" s="28" t="s">
        <v>1383</v>
      </c>
      <c r="AL201" s="28" t="s">
        <v>393</v>
      </c>
      <c r="AM201" s="28" t="s">
        <v>870</v>
      </c>
      <c r="AN201" s="28" t="s">
        <v>241</v>
      </c>
      <c r="AO201" s="26" t="s">
        <v>395</v>
      </c>
      <c r="AP201" s="28" t="s">
        <v>396</v>
      </c>
      <c r="AQ201" s="38" t="s">
        <v>541</v>
      </c>
      <c r="AR201" s="26" t="s">
        <v>398</v>
      </c>
      <c r="AS201" s="26" t="s">
        <v>149</v>
      </c>
      <c r="AT201" s="28" t="s">
        <v>1384</v>
      </c>
    </row>
    <row r="202">
      <c r="A202" s="36" t="s">
        <v>1458</v>
      </c>
      <c r="B202" s="26" t="str">
        <f t="shared" si="1"/>
        <v>2023-PH052008000-1990-0207</v>
      </c>
      <c r="C202" s="27">
        <f t="shared" si="4"/>
        <v>2023</v>
      </c>
      <c r="D202" s="28" t="s">
        <v>140</v>
      </c>
      <c r="E202" s="28" t="s">
        <v>141</v>
      </c>
      <c r="F202" s="28" t="s">
        <v>142</v>
      </c>
      <c r="G202" s="29" t="s">
        <v>535</v>
      </c>
      <c r="H202" s="29" t="s">
        <v>1459</v>
      </c>
      <c r="I202" s="29" t="s">
        <v>1460</v>
      </c>
      <c r="J202" s="29" t="s">
        <v>1461</v>
      </c>
      <c r="K202" s="26" t="s">
        <v>1377</v>
      </c>
      <c r="L202" s="26" t="s">
        <v>1462</v>
      </c>
      <c r="M202" s="49">
        <v>1990.0</v>
      </c>
      <c r="N202" s="31">
        <v>1990.0</v>
      </c>
      <c r="O202" s="49">
        <v>1993.0</v>
      </c>
      <c r="P202" s="28" t="s">
        <v>150</v>
      </c>
      <c r="Q202" s="32" t="s">
        <v>151</v>
      </c>
      <c r="R202" s="28" t="s">
        <v>281</v>
      </c>
      <c r="S202" s="32" t="s">
        <v>1378</v>
      </c>
      <c r="T202" s="28" t="s">
        <v>154</v>
      </c>
      <c r="U202" s="28" t="s">
        <v>154</v>
      </c>
      <c r="V202" s="28" t="s">
        <v>1379</v>
      </c>
      <c r="W202" s="32" t="s">
        <v>656</v>
      </c>
      <c r="X202" s="32" t="s">
        <v>657</v>
      </c>
      <c r="Y202" s="28" t="s">
        <v>1380</v>
      </c>
      <c r="Z202" s="26" t="s">
        <v>1381</v>
      </c>
      <c r="AA202" s="26" t="s">
        <v>159</v>
      </c>
      <c r="AB202" s="28" t="s">
        <v>205</v>
      </c>
      <c r="AC202" s="26" t="s">
        <v>206</v>
      </c>
      <c r="AD202" s="28" t="s">
        <v>207</v>
      </c>
      <c r="AE202" s="29" t="s">
        <v>149</v>
      </c>
      <c r="AF202" s="26" t="s">
        <v>149</v>
      </c>
      <c r="AG202" s="28" t="s">
        <v>1382</v>
      </c>
      <c r="AH202" s="26" t="s">
        <v>660</v>
      </c>
      <c r="AI202" s="28" t="s">
        <v>322</v>
      </c>
      <c r="AJ202" s="28" t="s">
        <v>660</v>
      </c>
      <c r="AK202" s="28" t="s">
        <v>1383</v>
      </c>
      <c r="AL202" s="28" t="s">
        <v>393</v>
      </c>
      <c r="AM202" s="28" t="s">
        <v>870</v>
      </c>
      <c r="AN202" s="28" t="s">
        <v>241</v>
      </c>
      <c r="AO202" s="26" t="s">
        <v>395</v>
      </c>
      <c r="AP202" s="28" t="s">
        <v>396</v>
      </c>
      <c r="AQ202" s="38" t="s">
        <v>541</v>
      </c>
      <c r="AR202" s="26" t="s">
        <v>398</v>
      </c>
      <c r="AS202" s="26" t="s">
        <v>149</v>
      </c>
      <c r="AT202" s="28" t="s">
        <v>1384</v>
      </c>
    </row>
    <row r="203">
      <c r="A203" s="36" t="s">
        <v>1463</v>
      </c>
      <c r="B203" s="26" t="str">
        <f t="shared" si="1"/>
        <v>2023-PH083703000-1990-0307</v>
      </c>
      <c r="C203" s="27">
        <f t="shared" si="4"/>
        <v>2023</v>
      </c>
      <c r="D203" s="37" t="s">
        <v>140</v>
      </c>
      <c r="E203" s="28" t="s">
        <v>141</v>
      </c>
      <c r="F203" s="28" t="s">
        <v>142</v>
      </c>
      <c r="G203" s="29" t="s">
        <v>579</v>
      </c>
      <c r="H203" s="29" t="s">
        <v>585</v>
      </c>
      <c r="I203" s="29" t="s">
        <v>1464</v>
      </c>
      <c r="J203" s="29" t="s">
        <v>1465</v>
      </c>
      <c r="K203" s="26" t="s">
        <v>1377</v>
      </c>
      <c r="L203" s="28" t="s">
        <v>149</v>
      </c>
      <c r="M203" s="49">
        <v>1990.0</v>
      </c>
      <c r="N203" s="31">
        <v>1990.0</v>
      </c>
      <c r="O203" s="49">
        <v>1993.0</v>
      </c>
      <c r="P203" s="28" t="s">
        <v>150</v>
      </c>
      <c r="Q203" s="32" t="s">
        <v>151</v>
      </c>
      <c r="R203" s="28" t="s">
        <v>281</v>
      </c>
      <c r="S203" s="32" t="s">
        <v>1378</v>
      </c>
      <c r="T203" s="28" t="s">
        <v>154</v>
      </c>
      <c r="U203" s="28" t="s">
        <v>154</v>
      </c>
      <c r="V203" s="28" t="s">
        <v>1379</v>
      </c>
      <c r="W203" s="32" t="s">
        <v>656</v>
      </c>
      <c r="X203" s="32" t="s">
        <v>657</v>
      </c>
      <c r="Y203" s="28" t="s">
        <v>1380</v>
      </c>
      <c r="Z203" s="26" t="s">
        <v>1381</v>
      </c>
      <c r="AA203" s="26" t="s">
        <v>159</v>
      </c>
      <c r="AB203" s="28" t="s">
        <v>205</v>
      </c>
      <c r="AC203" s="26" t="s">
        <v>206</v>
      </c>
      <c r="AD203" s="28" t="s">
        <v>207</v>
      </c>
      <c r="AE203" s="29" t="s">
        <v>149</v>
      </c>
      <c r="AF203" s="26" t="s">
        <v>149</v>
      </c>
      <c r="AG203" s="28" t="s">
        <v>1382</v>
      </c>
      <c r="AH203" s="26" t="s">
        <v>660</v>
      </c>
      <c r="AI203" s="28" t="s">
        <v>322</v>
      </c>
      <c r="AJ203" s="28" t="s">
        <v>660</v>
      </c>
      <c r="AK203" s="28" t="s">
        <v>1383</v>
      </c>
      <c r="AL203" s="28" t="s">
        <v>393</v>
      </c>
      <c r="AM203" s="28" t="s">
        <v>870</v>
      </c>
      <c r="AN203" s="28" t="s">
        <v>241</v>
      </c>
      <c r="AO203" s="26" t="s">
        <v>395</v>
      </c>
      <c r="AP203" s="28" t="s">
        <v>396</v>
      </c>
      <c r="AQ203" s="38" t="s">
        <v>541</v>
      </c>
      <c r="AR203" s="26" t="s">
        <v>398</v>
      </c>
      <c r="AS203" s="28" t="s">
        <v>149</v>
      </c>
      <c r="AT203" s="28" t="s">
        <v>1384</v>
      </c>
    </row>
    <row r="204">
      <c r="A204" s="36" t="s">
        <v>1466</v>
      </c>
      <c r="B204" s="26" t="str">
        <f t="shared" si="1"/>
        <v>2023-PH083705000-1990-0308</v>
      </c>
      <c r="C204" s="27">
        <f t="shared" si="4"/>
        <v>2023</v>
      </c>
      <c r="D204" s="37" t="s">
        <v>140</v>
      </c>
      <c r="E204" s="28" t="s">
        <v>141</v>
      </c>
      <c r="F204" s="28" t="s">
        <v>142</v>
      </c>
      <c r="G204" s="29" t="s">
        <v>579</v>
      </c>
      <c r="H204" s="29" t="s">
        <v>585</v>
      </c>
      <c r="I204" s="29" t="s">
        <v>1467</v>
      </c>
      <c r="J204" s="29" t="s">
        <v>1468</v>
      </c>
      <c r="K204" s="26" t="s">
        <v>1377</v>
      </c>
      <c r="L204" s="26" t="s">
        <v>639</v>
      </c>
      <c r="M204" s="49">
        <v>1990.0</v>
      </c>
      <c r="N204" s="31">
        <v>1990.0</v>
      </c>
      <c r="O204" s="49">
        <v>1993.0</v>
      </c>
      <c r="P204" s="28" t="s">
        <v>150</v>
      </c>
      <c r="Q204" s="32" t="s">
        <v>151</v>
      </c>
      <c r="R204" s="28" t="s">
        <v>281</v>
      </c>
      <c r="S204" s="32" t="s">
        <v>1378</v>
      </c>
      <c r="T204" s="28" t="s">
        <v>154</v>
      </c>
      <c r="U204" s="28" t="s">
        <v>154</v>
      </c>
      <c r="V204" s="28" t="s">
        <v>1379</v>
      </c>
      <c r="W204" s="32" t="s">
        <v>656</v>
      </c>
      <c r="X204" s="32" t="s">
        <v>657</v>
      </c>
      <c r="Y204" s="28" t="s">
        <v>1380</v>
      </c>
      <c r="Z204" s="26" t="s">
        <v>1381</v>
      </c>
      <c r="AA204" s="26" t="s">
        <v>159</v>
      </c>
      <c r="AB204" s="28" t="s">
        <v>205</v>
      </c>
      <c r="AC204" s="26" t="s">
        <v>206</v>
      </c>
      <c r="AD204" s="28" t="s">
        <v>207</v>
      </c>
      <c r="AE204" s="29" t="s">
        <v>149</v>
      </c>
      <c r="AF204" s="26" t="s">
        <v>149</v>
      </c>
      <c r="AG204" s="28" t="s">
        <v>1382</v>
      </c>
      <c r="AH204" s="26" t="s">
        <v>660</v>
      </c>
      <c r="AI204" s="28" t="s">
        <v>322</v>
      </c>
      <c r="AJ204" s="28" t="s">
        <v>660</v>
      </c>
      <c r="AK204" s="28" t="s">
        <v>1383</v>
      </c>
      <c r="AL204" s="28" t="s">
        <v>393</v>
      </c>
      <c r="AM204" s="28" t="s">
        <v>870</v>
      </c>
      <c r="AN204" s="28" t="s">
        <v>241</v>
      </c>
      <c r="AO204" s="26" t="s">
        <v>395</v>
      </c>
      <c r="AP204" s="28" t="s">
        <v>396</v>
      </c>
      <c r="AQ204" s="38" t="s">
        <v>541</v>
      </c>
      <c r="AR204" s="26" t="s">
        <v>398</v>
      </c>
      <c r="AS204" s="28" t="s">
        <v>149</v>
      </c>
      <c r="AT204" s="28" t="s">
        <v>1384</v>
      </c>
    </row>
    <row r="205">
      <c r="A205" s="36" t="s">
        <v>1469</v>
      </c>
      <c r="B205" s="26" t="str">
        <f t="shared" si="1"/>
        <v>2023-PH083705000-1990-0309</v>
      </c>
      <c r="C205" s="27">
        <f t="shared" si="4"/>
        <v>2023</v>
      </c>
      <c r="D205" s="37" t="s">
        <v>140</v>
      </c>
      <c r="E205" s="28" t="s">
        <v>141</v>
      </c>
      <c r="F205" s="28" t="s">
        <v>142</v>
      </c>
      <c r="G205" s="29" t="s">
        <v>579</v>
      </c>
      <c r="H205" s="29" t="s">
        <v>585</v>
      </c>
      <c r="I205" s="29" t="s">
        <v>1467</v>
      </c>
      <c r="J205" s="29" t="s">
        <v>1468</v>
      </c>
      <c r="K205" s="26" t="s">
        <v>1377</v>
      </c>
      <c r="L205" s="26" t="s">
        <v>1470</v>
      </c>
      <c r="M205" s="49">
        <v>1990.0</v>
      </c>
      <c r="N205" s="31">
        <v>1990.0</v>
      </c>
      <c r="O205" s="49">
        <v>1993.0</v>
      </c>
      <c r="P205" s="28" t="s">
        <v>150</v>
      </c>
      <c r="Q205" s="32" t="s">
        <v>151</v>
      </c>
      <c r="R205" s="28" t="s">
        <v>281</v>
      </c>
      <c r="S205" s="32" t="s">
        <v>1378</v>
      </c>
      <c r="T205" s="28" t="s">
        <v>154</v>
      </c>
      <c r="U205" s="28" t="s">
        <v>154</v>
      </c>
      <c r="V205" s="28" t="s">
        <v>1379</v>
      </c>
      <c r="W205" s="32" t="s">
        <v>656</v>
      </c>
      <c r="X205" s="32" t="s">
        <v>657</v>
      </c>
      <c r="Y205" s="28" t="s">
        <v>1380</v>
      </c>
      <c r="Z205" s="26" t="s">
        <v>1381</v>
      </c>
      <c r="AA205" s="26" t="s">
        <v>159</v>
      </c>
      <c r="AB205" s="28" t="s">
        <v>205</v>
      </c>
      <c r="AC205" s="26" t="s">
        <v>206</v>
      </c>
      <c r="AD205" s="28" t="s">
        <v>207</v>
      </c>
      <c r="AE205" s="29" t="s">
        <v>149</v>
      </c>
      <c r="AF205" s="26" t="s">
        <v>149</v>
      </c>
      <c r="AG205" s="28" t="s">
        <v>1382</v>
      </c>
      <c r="AH205" s="26" t="s">
        <v>660</v>
      </c>
      <c r="AI205" s="28" t="s">
        <v>322</v>
      </c>
      <c r="AJ205" s="28" t="s">
        <v>660</v>
      </c>
      <c r="AK205" s="28" t="s">
        <v>1383</v>
      </c>
      <c r="AL205" s="28" t="s">
        <v>393</v>
      </c>
      <c r="AM205" s="28" t="s">
        <v>870</v>
      </c>
      <c r="AN205" s="28" t="s">
        <v>241</v>
      </c>
      <c r="AO205" s="26" t="s">
        <v>395</v>
      </c>
      <c r="AP205" s="28" t="s">
        <v>396</v>
      </c>
      <c r="AQ205" s="38" t="s">
        <v>541</v>
      </c>
      <c r="AR205" s="26" t="s">
        <v>398</v>
      </c>
      <c r="AS205" s="28" t="s">
        <v>149</v>
      </c>
      <c r="AT205" s="28" t="s">
        <v>1384</v>
      </c>
    </row>
    <row r="206">
      <c r="A206" s="36" t="s">
        <v>1471</v>
      </c>
      <c r="B206" s="26" t="str">
        <f t="shared" si="1"/>
        <v>2023-PH083714000-1990-0311</v>
      </c>
      <c r="C206" s="27">
        <f t="shared" si="4"/>
        <v>2023</v>
      </c>
      <c r="D206" s="37" t="s">
        <v>140</v>
      </c>
      <c r="E206" s="28" t="s">
        <v>141</v>
      </c>
      <c r="F206" s="28" t="s">
        <v>142</v>
      </c>
      <c r="G206" s="29" t="s">
        <v>579</v>
      </c>
      <c r="H206" s="29" t="s">
        <v>585</v>
      </c>
      <c r="I206" s="29" t="s">
        <v>1472</v>
      </c>
      <c r="J206" s="29" t="s">
        <v>1473</v>
      </c>
      <c r="K206" s="26" t="s">
        <v>1377</v>
      </c>
      <c r="L206" s="26" t="s">
        <v>1474</v>
      </c>
      <c r="M206" s="49">
        <v>1990.0</v>
      </c>
      <c r="N206" s="31">
        <v>1990.0</v>
      </c>
      <c r="O206" s="49">
        <v>1993.0</v>
      </c>
      <c r="P206" s="28" t="s">
        <v>150</v>
      </c>
      <c r="Q206" s="32" t="s">
        <v>151</v>
      </c>
      <c r="R206" s="28" t="s">
        <v>281</v>
      </c>
      <c r="S206" s="32" t="s">
        <v>1378</v>
      </c>
      <c r="T206" s="28" t="s">
        <v>154</v>
      </c>
      <c r="U206" s="28" t="s">
        <v>154</v>
      </c>
      <c r="V206" s="28" t="s">
        <v>1379</v>
      </c>
      <c r="W206" s="32" t="s">
        <v>656</v>
      </c>
      <c r="X206" s="32" t="s">
        <v>657</v>
      </c>
      <c r="Y206" s="28" t="s">
        <v>1380</v>
      </c>
      <c r="Z206" s="26" t="s">
        <v>1381</v>
      </c>
      <c r="AA206" s="26" t="s">
        <v>159</v>
      </c>
      <c r="AB206" s="28" t="s">
        <v>205</v>
      </c>
      <c r="AC206" s="26" t="s">
        <v>206</v>
      </c>
      <c r="AD206" s="28" t="s">
        <v>207</v>
      </c>
      <c r="AE206" s="29" t="s">
        <v>149</v>
      </c>
      <c r="AF206" s="26" t="s">
        <v>149</v>
      </c>
      <c r="AG206" s="28" t="s">
        <v>1382</v>
      </c>
      <c r="AH206" s="26" t="s">
        <v>660</v>
      </c>
      <c r="AI206" s="28" t="s">
        <v>322</v>
      </c>
      <c r="AJ206" s="28" t="s">
        <v>660</v>
      </c>
      <c r="AK206" s="28" t="s">
        <v>1383</v>
      </c>
      <c r="AL206" s="28" t="s">
        <v>393</v>
      </c>
      <c r="AM206" s="28" t="s">
        <v>870</v>
      </c>
      <c r="AN206" s="28" t="s">
        <v>241</v>
      </c>
      <c r="AO206" s="26" t="s">
        <v>395</v>
      </c>
      <c r="AP206" s="28" t="s">
        <v>396</v>
      </c>
      <c r="AQ206" s="38" t="s">
        <v>541</v>
      </c>
      <c r="AR206" s="26" t="s">
        <v>398</v>
      </c>
      <c r="AS206" s="28" t="s">
        <v>149</v>
      </c>
      <c r="AT206" s="28" t="s">
        <v>1384</v>
      </c>
    </row>
    <row r="207">
      <c r="A207" s="36" t="s">
        <v>1475</v>
      </c>
      <c r="B207" s="26" t="str">
        <f t="shared" si="1"/>
        <v>2023-PH083715000-1990-0313</v>
      </c>
      <c r="C207" s="27">
        <f t="shared" si="4"/>
        <v>2023</v>
      </c>
      <c r="D207" s="37" t="s">
        <v>140</v>
      </c>
      <c r="E207" s="28" t="s">
        <v>141</v>
      </c>
      <c r="F207" s="28" t="s">
        <v>142</v>
      </c>
      <c r="G207" s="29" t="s">
        <v>579</v>
      </c>
      <c r="H207" s="29" t="s">
        <v>585</v>
      </c>
      <c r="I207" s="29" t="s">
        <v>586</v>
      </c>
      <c r="J207" s="29" t="s">
        <v>587</v>
      </c>
      <c r="K207" s="26" t="s">
        <v>1377</v>
      </c>
      <c r="L207" s="26" t="s">
        <v>1476</v>
      </c>
      <c r="M207" s="49">
        <v>1990.0</v>
      </c>
      <c r="N207" s="31">
        <v>1990.0</v>
      </c>
      <c r="O207" s="49">
        <v>1993.0</v>
      </c>
      <c r="P207" s="28" t="s">
        <v>150</v>
      </c>
      <c r="Q207" s="32" t="s">
        <v>151</v>
      </c>
      <c r="R207" s="28" t="s">
        <v>281</v>
      </c>
      <c r="S207" s="32" t="s">
        <v>1378</v>
      </c>
      <c r="T207" s="28" t="s">
        <v>154</v>
      </c>
      <c r="U207" s="28" t="s">
        <v>154</v>
      </c>
      <c r="V207" s="28" t="s">
        <v>1379</v>
      </c>
      <c r="W207" s="32" t="s">
        <v>656</v>
      </c>
      <c r="X207" s="32" t="s">
        <v>657</v>
      </c>
      <c r="Y207" s="28" t="s">
        <v>1380</v>
      </c>
      <c r="Z207" s="26" t="s">
        <v>1381</v>
      </c>
      <c r="AA207" s="26" t="s">
        <v>159</v>
      </c>
      <c r="AB207" s="28" t="s">
        <v>205</v>
      </c>
      <c r="AC207" s="26" t="s">
        <v>206</v>
      </c>
      <c r="AD207" s="28" t="s">
        <v>207</v>
      </c>
      <c r="AE207" s="29" t="s">
        <v>149</v>
      </c>
      <c r="AF207" s="26" t="s">
        <v>149</v>
      </c>
      <c r="AG207" s="28" t="s">
        <v>1382</v>
      </c>
      <c r="AH207" s="26" t="s">
        <v>660</v>
      </c>
      <c r="AI207" s="28" t="s">
        <v>322</v>
      </c>
      <c r="AJ207" s="28" t="s">
        <v>660</v>
      </c>
      <c r="AK207" s="28" t="s">
        <v>1383</v>
      </c>
      <c r="AL207" s="28" t="s">
        <v>393</v>
      </c>
      <c r="AM207" s="28" t="s">
        <v>870</v>
      </c>
      <c r="AN207" s="28" t="s">
        <v>241</v>
      </c>
      <c r="AO207" s="26" t="s">
        <v>395</v>
      </c>
      <c r="AP207" s="28" t="s">
        <v>396</v>
      </c>
      <c r="AQ207" s="38" t="s">
        <v>541</v>
      </c>
      <c r="AR207" s="26" t="s">
        <v>398</v>
      </c>
      <c r="AS207" s="28" t="s">
        <v>149</v>
      </c>
      <c r="AT207" s="28" t="s">
        <v>1384</v>
      </c>
    </row>
    <row r="208">
      <c r="A208" s="36" t="s">
        <v>1477</v>
      </c>
      <c r="B208" s="26" t="str">
        <f t="shared" si="1"/>
        <v>2023-PH083715000-1990-0314</v>
      </c>
      <c r="C208" s="27">
        <f t="shared" si="4"/>
        <v>2023</v>
      </c>
      <c r="D208" s="37" t="s">
        <v>140</v>
      </c>
      <c r="E208" s="28" t="s">
        <v>141</v>
      </c>
      <c r="F208" s="28" t="s">
        <v>142</v>
      </c>
      <c r="G208" s="29" t="s">
        <v>579</v>
      </c>
      <c r="H208" s="29" t="s">
        <v>585</v>
      </c>
      <c r="I208" s="29" t="s">
        <v>586</v>
      </c>
      <c r="J208" s="29" t="s">
        <v>587</v>
      </c>
      <c r="K208" s="26" t="s">
        <v>1377</v>
      </c>
      <c r="L208" s="26" t="s">
        <v>1478</v>
      </c>
      <c r="M208" s="49">
        <v>1990.0</v>
      </c>
      <c r="N208" s="31">
        <v>1990.0</v>
      </c>
      <c r="O208" s="49">
        <v>1993.0</v>
      </c>
      <c r="P208" s="28" t="s">
        <v>150</v>
      </c>
      <c r="Q208" s="32" t="s">
        <v>151</v>
      </c>
      <c r="R208" s="28" t="s">
        <v>281</v>
      </c>
      <c r="S208" s="32" t="s">
        <v>1378</v>
      </c>
      <c r="T208" s="28" t="s">
        <v>154</v>
      </c>
      <c r="U208" s="28" t="s">
        <v>154</v>
      </c>
      <c r="V208" s="28" t="s">
        <v>1379</v>
      </c>
      <c r="W208" s="32" t="s">
        <v>656</v>
      </c>
      <c r="X208" s="32" t="s">
        <v>657</v>
      </c>
      <c r="Y208" s="28" t="s">
        <v>1380</v>
      </c>
      <c r="Z208" s="26" t="s">
        <v>1381</v>
      </c>
      <c r="AA208" s="26" t="s">
        <v>159</v>
      </c>
      <c r="AB208" s="28" t="s">
        <v>205</v>
      </c>
      <c r="AC208" s="26" t="s">
        <v>206</v>
      </c>
      <c r="AD208" s="28" t="s">
        <v>207</v>
      </c>
      <c r="AE208" s="29" t="s">
        <v>149</v>
      </c>
      <c r="AF208" s="26" t="s">
        <v>149</v>
      </c>
      <c r="AG208" s="28" t="s">
        <v>1382</v>
      </c>
      <c r="AH208" s="26" t="s">
        <v>660</v>
      </c>
      <c r="AI208" s="28" t="s">
        <v>322</v>
      </c>
      <c r="AJ208" s="28" t="s">
        <v>660</v>
      </c>
      <c r="AK208" s="28" t="s">
        <v>1383</v>
      </c>
      <c r="AL208" s="28" t="s">
        <v>393</v>
      </c>
      <c r="AM208" s="28" t="s">
        <v>870</v>
      </c>
      <c r="AN208" s="28" t="s">
        <v>241</v>
      </c>
      <c r="AO208" s="26" t="s">
        <v>395</v>
      </c>
      <c r="AP208" s="28" t="s">
        <v>396</v>
      </c>
      <c r="AQ208" s="38" t="s">
        <v>541</v>
      </c>
      <c r="AR208" s="26" t="s">
        <v>398</v>
      </c>
      <c r="AS208" s="28" t="s">
        <v>149</v>
      </c>
      <c r="AT208" s="28" t="s">
        <v>1384</v>
      </c>
    </row>
    <row r="209" ht="14.25" customHeight="1">
      <c r="A209" s="36" t="s">
        <v>1479</v>
      </c>
      <c r="B209" s="26" t="str">
        <f t="shared" si="1"/>
        <v>2023-PH083729000-1990-0315</v>
      </c>
      <c r="C209" s="27">
        <f t="shared" si="4"/>
        <v>2023</v>
      </c>
      <c r="D209" s="37" t="s">
        <v>140</v>
      </c>
      <c r="E209" s="28" t="s">
        <v>141</v>
      </c>
      <c r="F209" s="28" t="s">
        <v>142</v>
      </c>
      <c r="G209" s="29" t="s">
        <v>579</v>
      </c>
      <c r="H209" s="29" t="s">
        <v>585</v>
      </c>
      <c r="I209" s="29" t="s">
        <v>585</v>
      </c>
      <c r="J209" s="29" t="s">
        <v>1480</v>
      </c>
      <c r="K209" s="26" t="s">
        <v>1377</v>
      </c>
      <c r="L209" s="26" t="s">
        <v>1481</v>
      </c>
      <c r="M209" s="49">
        <v>1990.0</v>
      </c>
      <c r="N209" s="31">
        <v>1990.0</v>
      </c>
      <c r="O209" s="49">
        <v>1993.0</v>
      </c>
      <c r="P209" s="28" t="s">
        <v>150</v>
      </c>
      <c r="Q209" s="32" t="s">
        <v>151</v>
      </c>
      <c r="R209" s="28" t="s">
        <v>281</v>
      </c>
      <c r="S209" s="32" t="s">
        <v>1378</v>
      </c>
      <c r="T209" s="28" t="s">
        <v>154</v>
      </c>
      <c r="U209" s="28" t="s">
        <v>154</v>
      </c>
      <c r="V209" s="28" t="s">
        <v>1379</v>
      </c>
      <c r="W209" s="32" t="s">
        <v>656</v>
      </c>
      <c r="X209" s="32" t="s">
        <v>657</v>
      </c>
      <c r="Y209" s="28" t="s">
        <v>1380</v>
      </c>
      <c r="Z209" s="26" t="s">
        <v>1381</v>
      </c>
      <c r="AA209" s="26" t="s">
        <v>159</v>
      </c>
      <c r="AB209" s="28" t="s">
        <v>205</v>
      </c>
      <c r="AC209" s="26" t="s">
        <v>206</v>
      </c>
      <c r="AD209" s="28" t="s">
        <v>207</v>
      </c>
      <c r="AE209" s="29" t="s">
        <v>149</v>
      </c>
      <c r="AF209" s="26" t="s">
        <v>149</v>
      </c>
      <c r="AG209" s="28" t="s">
        <v>1382</v>
      </c>
      <c r="AH209" s="26" t="s">
        <v>660</v>
      </c>
      <c r="AI209" s="28" t="s">
        <v>322</v>
      </c>
      <c r="AJ209" s="28" t="s">
        <v>660</v>
      </c>
      <c r="AK209" s="28" t="s">
        <v>1383</v>
      </c>
      <c r="AL209" s="28" t="s">
        <v>393</v>
      </c>
      <c r="AM209" s="28" t="s">
        <v>870</v>
      </c>
      <c r="AN209" s="28" t="s">
        <v>241</v>
      </c>
      <c r="AO209" s="26" t="s">
        <v>395</v>
      </c>
      <c r="AP209" s="28" t="s">
        <v>396</v>
      </c>
      <c r="AQ209" s="38" t="s">
        <v>541</v>
      </c>
      <c r="AR209" s="26" t="s">
        <v>398</v>
      </c>
      <c r="AS209" s="42" t="s">
        <v>149</v>
      </c>
      <c r="AT209" s="28" t="s">
        <v>1384</v>
      </c>
    </row>
    <row r="210">
      <c r="A210" s="36" t="s">
        <v>1482</v>
      </c>
      <c r="B210" s="26" t="str">
        <f t="shared" si="1"/>
        <v>2023-PH083738000-1990-0316</v>
      </c>
      <c r="C210" s="27">
        <f t="shared" si="4"/>
        <v>2023</v>
      </c>
      <c r="D210" s="37" t="s">
        <v>140</v>
      </c>
      <c r="E210" s="28" t="s">
        <v>141</v>
      </c>
      <c r="F210" s="28" t="s">
        <v>142</v>
      </c>
      <c r="G210" s="29" t="s">
        <v>579</v>
      </c>
      <c r="H210" s="29" t="s">
        <v>585</v>
      </c>
      <c r="I210" s="29" t="s">
        <v>1483</v>
      </c>
      <c r="J210" s="29" t="s">
        <v>1484</v>
      </c>
      <c r="K210" s="26" t="s">
        <v>1377</v>
      </c>
      <c r="L210" s="26" t="s">
        <v>1485</v>
      </c>
      <c r="M210" s="49">
        <v>1990.0</v>
      </c>
      <c r="N210" s="31">
        <v>1990.0</v>
      </c>
      <c r="O210" s="49">
        <v>1993.0</v>
      </c>
      <c r="P210" s="28" t="s">
        <v>150</v>
      </c>
      <c r="Q210" s="32" t="s">
        <v>151</v>
      </c>
      <c r="R210" s="28" t="s">
        <v>281</v>
      </c>
      <c r="S210" s="32" t="s">
        <v>1378</v>
      </c>
      <c r="T210" s="28" t="s">
        <v>154</v>
      </c>
      <c r="U210" s="28" t="s">
        <v>154</v>
      </c>
      <c r="V210" s="28" t="s">
        <v>1379</v>
      </c>
      <c r="W210" s="32" t="s">
        <v>656</v>
      </c>
      <c r="X210" s="32" t="s">
        <v>657</v>
      </c>
      <c r="Y210" s="28" t="s">
        <v>1380</v>
      </c>
      <c r="Z210" s="26" t="s">
        <v>1381</v>
      </c>
      <c r="AA210" s="26" t="s">
        <v>159</v>
      </c>
      <c r="AB210" s="28" t="s">
        <v>205</v>
      </c>
      <c r="AC210" s="26" t="s">
        <v>206</v>
      </c>
      <c r="AD210" s="28" t="s">
        <v>207</v>
      </c>
      <c r="AE210" s="29" t="s">
        <v>149</v>
      </c>
      <c r="AF210" s="26" t="s">
        <v>149</v>
      </c>
      <c r="AG210" s="28" t="s">
        <v>1382</v>
      </c>
      <c r="AH210" s="26" t="s">
        <v>660</v>
      </c>
      <c r="AI210" s="28" t="s">
        <v>322</v>
      </c>
      <c r="AJ210" s="28" t="s">
        <v>660</v>
      </c>
      <c r="AK210" s="28" t="s">
        <v>1383</v>
      </c>
      <c r="AL210" s="28" t="s">
        <v>393</v>
      </c>
      <c r="AM210" s="28" t="s">
        <v>870</v>
      </c>
      <c r="AN210" s="28" t="s">
        <v>241</v>
      </c>
      <c r="AO210" s="26" t="s">
        <v>395</v>
      </c>
      <c r="AP210" s="28" t="s">
        <v>396</v>
      </c>
      <c r="AQ210" s="38" t="s">
        <v>541</v>
      </c>
      <c r="AR210" s="26" t="s">
        <v>398</v>
      </c>
      <c r="AS210" s="42" t="s">
        <v>149</v>
      </c>
      <c r="AT210" s="28" t="s">
        <v>1384</v>
      </c>
    </row>
    <row r="211">
      <c r="A211" s="36" t="s">
        <v>1486</v>
      </c>
      <c r="B211" s="26" t="str">
        <f t="shared" si="1"/>
        <v>2023-PH083739000-1990-0317</v>
      </c>
      <c r="C211" s="27">
        <f t="shared" si="4"/>
        <v>2023</v>
      </c>
      <c r="D211" s="37" t="s">
        <v>140</v>
      </c>
      <c r="E211" s="28" t="s">
        <v>141</v>
      </c>
      <c r="F211" s="28" t="s">
        <v>142</v>
      </c>
      <c r="G211" s="29" t="s">
        <v>579</v>
      </c>
      <c r="H211" s="29" t="s">
        <v>585</v>
      </c>
      <c r="I211" s="29" t="s">
        <v>1487</v>
      </c>
      <c r="J211" s="29" t="s">
        <v>1488</v>
      </c>
      <c r="K211" s="26" t="s">
        <v>1377</v>
      </c>
      <c r="L211" s="26" t="s">
        <v>1489</v>
      </c>
      <c r="M211" s="49">
        <v>1990.0</v>
      </c>
      <c r="N211" s="31">
        <v>1990.0</v>
      </c>
      <c r="O211" s="49">
        <v>1993.0</v>
      </c>
      <c r="P211" s="28" t="s">
        <v>150</v>
      </c>
      <c r="Q211" s="32" t="s">
        <v>151</v>
      </c>
      <c r="R211" s="28" t="s">
        <v>281</v>
      </c>
      <c r="S211" s="32" t="s">
        <v>1378</v>
      </c>
      <c r="T211" s="28" t="s">
        <v>154</v>
      </c>
      <c r="U211" s="28" t="s">
        <v>154</v>
      </c>
      <c r="V211" s="28" t="s">
        <v>1379</v>
      </c>
      <c r="W211" s="32" t="s">
        <v>656</v>
      </c>
      <c r="X211" s="32" t="s">
        <v>657</v>
      </c>
      <c r="Y211" s="28" t="s">
        <v>1380</v>
      </c>
      <c r="Z211" s="26" t="s">
        <v>1381</v>
      </c>
      <c r="AA211" s="26" t="s">
        <v>159</v>
      </c>
      <c r="AB211" s="28" t="s">
        <v>205</v>
      </c>
      <c r="AC211" s="26" t="s">
        <v>206</v>
      </c>
      <c r="AD211" s="28" t="s">
        <v>207</v>
      </c>
      <c r="AE211" s="29" t="s">
        <v>149</v>
      </c>
      <c r="AF211" s="26" t="s">
        <v>149</v>
      </c>
      <c r="AG211" s="28" t="s">
        <v>1382</v>
      </c>
      <c r="AH211" s="26" t="s">
        <v>660</v>
      </c>
      <c r="AI211" s="28" t="s">
        <v>322</v>
      </c>
      <c r="AJ211" s="28" t="s">
        <v>660</v>
      </c>
      <c r="AK211" s="28" t="s">
        <v>1383</v>
      </c>
      <c r="AL211" s="28" t="s">
        <v>393</v>
      </c>
      <c r="AM211" s="28" t="s">
        <v>870</v>
      </c>
      <c r="AN211" s="28" t="s">
        <v>241</v>
      </c>
      <c r="AO211" s="26" t="s">
        <v>395</v>
      </c>
      <c r="AP211" s="28" t="s">
        <v>396</v>
      </c>
      <c r="AQ211" s="38" t="s">
        <v>541</v>
      </c>
      <c r="AR211" s="26" t="s">
        <v>398</v>
      </c>
      <c r="AS211" s="42" t="s">
        <v>149</v>
      </c>
      <c r="AT211" s="28" t="s">
        <v>1384</v>
      </c>
    </row>
    <row r="212">
      <c r="A212" s="36" t="s">
        <v>1490</v>
      </c>
      <c r="B212" s="26" t="str">
        <f t="shared" si="1"/>
        <v>2023-PH083747000-1990-0318</v>
      </c>
      <c r="C212" s="27">
        <f t="shared" si="4"/>
        <v>2023</v>
      </c>
      <c r="D212" s="37" t="s">
        <v>140</v>
      </c>
      <c r="E212" s="28" t="s">
        <v>141</v>
      </c>
      <c r="F212" s="28" t="s">
        <v>142</v>
      </c>
      <c r="G212" s="29" t="s">
        <v>579</v>
      </c>
      <c r="H212" s="29" t="s">
        <v>585</v>
      </c>
      <c r="I212" s="40" t="s">
        <v>1491</v>
      </c>
      <c r="J212" s="29" t="s">
        <v>1492</v>
      </c>
      <c r="K212" s="26" t="s">
        <v>1377</v>
      </c>
      <c r="L212" s="26" t="s">
        <v>635</v>
      </c>
      <c r="M212" s="49">
        <v>1990.0</v>
      </c>
      <c r="N212" s="31">
        <v>1990.0</v>
      </c>
      <c r="O212" s="49">
        <v>1993.0</v>
      </c>
      <c r="P212" s="28" t="s">
        <v>150</v>
      </c>
      <c r="Q212" s="32" t="s">
        <v>151</v>
      </c>
      <c r="R212" s="28" t="s">
        <v>281</v>
      </c>
      <c r="S212" s="32" t="s">
        <v>1378</v>
      </c>
      <c r="T212" s="28" t="s">
        <v>154</v>
      </c>
      <c r="U212" s="28" t="s">
        <v>154</v>
      </c>
      <c r="V212" s="28" t="s">
        <v>1379</v>
      </c>
      <c r="W212" s="32" t="s">
        <v>656</v>
      </c>
      <c r="X212" s="32" t="s">
        <v>657</v>
      </c>
      <c r="Y212" s="28" t="s">
        <v>1380</v>
      </c>
      <c r="Z212" s="26" t="s">
        <v>1381</v>
      </c>
      <c r="AA212" s="26" t="s">
        <v>159</v>
      </c>
      <c r="AB212" s="28" t="s">
        <v>205</v>
      </c>
      <c r="AC212" s="26" t="s">
        <v>206</v>
      </c>
      <c r="AD212" s="28" t="s">
        <v>207</v>
      </c>
      <c r="AE212" s="29" t="s">
        <v>149</v>
      </c>
      <c r="AF212" s="26" t="s">
        <v>149</v>
      </c>
      <c r="AG212" s="28" t="s">
        <v>1382</v>
      </c>
      <c r="AH212" s="26" t="s">
        <v>660</v>
      </c>
      <c r="AI212" s="28" t="s">
        <v>322</v>
      </c>
      <c r="AJ212" s="28" t="s">
        <v>660</v>
      </c>
      <c r="AK212" s="28" t="s">
        <v>1383</v>
      </c>
      <c r="AL212" s="28" t="s">
        <v>393</v>
      </c>
      <c r="AM212" s="28" t="s">
        <v>870</v>
      </c>
      <c r="AN212" s="28" t="s">
        <v>241</v>
      </c>
      <c r="AO212" s="26" t="s">
        <v>395</v>
      </c>
      <c r="AP212" s="28" t="s">
        <v>396</v>
      </c>
      <c r="AQ212" s="38" t="s">
        <v>541</v>
      </c>
      <c r="AR212" s="26" t="s">
        <v>398</v>
      </c>
      <c r="AS212" s="28" t="s">
        <v>149</v>
      </c>
      <c r="AT212" s="28" t="s">
        <v>1384</v>
      </c>
    </row>
    <row r="213">
      <c r="A213" s="36" t="s">
        <v>1493</v>
      </c>
      <c r="B213" s="26" t="str">
        <f t="shared" si="1"/>
        <v>2023-PH086417000-1990-0329</v>
      </c>
      <c r="C213" s="27">
        <f t="shared" si="4"/>
        <v>2023</v>
      </c>
      <c r="D213" s="37" t="s">
        <v>140</v>
      </c>
      <c r="E213" s="28" t="s">
        <v>141</v>
      </c>
      <c r="F213" s="28" t="s">
        <v>142</v>
      </c>
      <c r="G213" s="29" t="s">
        <v>579</v>
      </c>
      <c r="H213" s="29" t="s">
        <v>1271</v>
      </c>
      <c r="I213" s="29" t="s">
        <v>1494</v>
      </c>
      <c r="J213" s="29" t="s">
        <v>1495</v>
      </c>
      <c r="K213" s="26" t="s">
        <v>1377</v>
      </c>
      <c r="L213" s="28" t="s">
        <v>635</v>
      </c>
      <c r="M213" s="49">
        <v>1990.0</v>
      </c>
      <c r="N213" s="31">
        <v>1990.0</v>
      </c>
      <c r="O213" s="49">
        <v>1993.0</v>
      </c>
      <c r="P213" s="28" t="s">
        <v>150</v>
      </c>
      <c r="Q213" s="32" t="s">
        <v>151</v>
      </c>
      <c r="R213" s="28" t="s">
        <v>281</v>
      </c>
      <c r="S213" s="32" t="s">
        <v>1378</v>
      </c>
      <c r="T213" s="28" t="s">
        <v>154</v>
      </c>
      <c r="U213" s="28" t="s">
        <v>154</v>
      </c>
      <c r="V213" s="28" t="s">
        <v>1379</v>
      </c>
      <c r="W213" s="32" t="s">
        <v>656</v>
      </c>
      <c r="X213" s="32" t="s">
        <v>657</v>
      </c>
      <c r="Y213" s="28" t="s">
        <v>1380</v>
      </c>
      <c r="Z213" s="26" t="s">
        <v>1381</v>
      </c>
      <c r="AA213" s="26" t="s">
        <v>159</v>
      </c>
      <c r="AB213" s="28" t="s">
        <v>205</v>
      </c>
      <c r="AC213" s="26" t="s">
        <v>206</v>
      </c>
      <c r="AD213" s="28" t="s">
        <v>207</v>
      </c>
      <c r="AE213" s="29" t="s">
        <v>149</v>
      </c>
      <c r="AF213" s="26" t="s">
        <v>149</v>
      </c>
      <c r="AG213" s="28" t="s">
        <v>1382</v>
      </c>
      <c r="AH213" s="26" t="s">
        <v>660</v>
      </c>
      <c r="AI213" s="28" t="s">
        <v>322</v>
      </c>
      <c r="AJ213" s="28" t="s">
        <v>660</v>
      </c>
      <c r="AK213" s="28" t="s">
        <v>1383</v>
      </c>
      <c r="AL213" s="28" t="s">
        <v>393</v>
      </c>
      <c r="AM213" s="28" t="s">
        <v>870</v>
      </c>
      <c r="AN213" s="28" t="s">
        <v>241</v>
      </c>
      <c r="AO213" s="26" t="s">
        <v>395</v>
      </c>
      <c r="AP213" s="28" t="s">
        <v>396</v>
      </c>
      <c r="AQ213" s="38" t="s">
        <v>541</v>
      </c>
      <c r="AR213" s="26" t="s">
        <v>398</v>
      </c>
      <c r="AS213" s="28" t="s">
        <v>149</v>
      </c>
      <c r="AT213" s="28" t="s">
        <v>1384</v>
      </c>
    </row>
    <row r="214">
      <c r="A214" s="36" t="s">
        <v>1496</v>
      </c>
      <c r="B214" s="26" t="str">
        <f t="shared" si="1"/>
        <v>2023-PH103512000-1990-0346</v>
      </c>
      <c r="C214" s="27">
        <f t="shared" si="4"/>
        <v>2023</v>
      </c>
      <c r="D214" s="28" t="s">
        <v>140</v>
      </c>
      <c r="E214" s="28" t="s">
        <v>141</v>
      </c>
      <c r="F214" s="28" t="s">
        <v>142</v>
      </c>
      <c r="G214" s="29" t="s">
        <v>171</v>
      </c>
      <c r="H214" s="29" t="s">
        <v>600</v>
      </c>
      <c r="I214" s="29" t="s">
        <v>1497</v>
      </c>
      <c r="J214" s="29" t="s">
        <v>1498</v>
      </c>
      <c r="K214" s="26" t="s">
        <v>1377</v>
      </c>
      <c r="L214" s="11" t="s">
        <v>149</v>
      </c>
      <c r="M214" s="49">
        <v>1990.0</v>
      </c>
      <c r="N214" s="31">
        <v>1990.0</v>
      </c>
      <c r="O214" s="49">
        <v>1993.0</v>
      </c>
      <c r="P214" s="28" t="s">
        <v>150</v>
      </c>
      <c r="Q214" s="32" t="s">
        <v>151</v>
      </c>
      <c r="R214" s="28" t="s">
        <v>281</v>
      </c>
      <c r="S214" s="32" t="s">
        <v>1378</v>
      </c>
      <c r="T214" s="28" t="s">
        <v>154</v>
      </c>
      <c r="U214" s="28" t="s">
        <v>154</v>
      </c>
      <c r="V214" s="28" t="s">
        <v>1379</v>
      </c>
      <c r="W214" s="32" t="s">
        <v>656</v>
      </c>
      <c r="X214" s="32" t="s">
        <v>657</v>
      </c>
      <c r="Y214" s="28" t="s">
        <v>1380</v>
      </c>
      <c r="Z214" s="26" t="s">
        <v>1381</v>
      </c>
      <c r="AA214" s="26" t="s">
        <v>159</v>
      </c>
      <c r="AB214" s="28" t="s">
        <v>205</v>
      </c>
      <c r="AC214" s="26" t="s">
        <v>206</v>
      </c>
      <c r="AD214" s="28" t="s">
        <v>207</v>
      </c>
      <c r="AE214" s="29" t="s">
        <v>149</v>
      </c>
      <c r="AF214" s="26" t="s">
        <v>149</v>
      </c>
      <c r="AG214" s="28" t="s">
        <v>1382</v>
      </c>
      <c r="AH214" s="26" t="s">
        <v>660</v>
      </c>
      <c r="AI214" s="28" t="s">
        <v>322</v>
      </c>
      <c r="AJ214" s="28" t="s">
        <v>660</v>
      </c>
      <c r="AK214" s="28" t="s">
        <v>1383</v>
      </c>
      <c r="AL214" s="28" t="s">
        <v>393</v>
      </c>
      <c r="AM214" s="28" t="s">
        <v>870</v>
      </c>
      <c r="AN214" s="28" t="s">
        <v>241</v>
      </c>
      <c r="AO214" s="26" t="s">
        <v>395</v>
      </c>
      <c r="AP214" s="28" t="s">
        <v>396</v>
      </c>
      <c r="AQ214" s="38" t="s">
        <v>541</v>
      </c>
      <c r="AR214" s="26" t="s">
        <v>398</v>
      </c>
      <c r="AS214" s="11" t="s">
        <v>149</v>
      </c>
      <c r="AT214" s="28" t="s">
        <v>1384</v>
      </c>
    </row>
    <row r="215">
      <c r="A215" s="36" t="s">
        <v>1499</v>
      </c>
      <c r="B215" s="26" t="str">
        <f t="shared" si="1"/>
        <v>2023-PH103512000-1990-0347</v>
      </c>
      <c r="C215" s="27">
        <f t="shared" si="4"/>
        <v>2023</v>
      </c>
      <c r="D215" s="28" t="s">
        <v>140</v>
      </c>
      <c r="E215" s="28" t="s">
        <v>141</v>
      </c>
      <c r="F215" s="28" t="s">
        <v>142</v>
      </c>
      <c r="G215" s="29" t="s">
        <v>171</v>
      </c>
      <c r="H215" s="29" t="s">
        <v>600</v>
      </c>
      <c r="I215" s="29" t="s">
        <v>1497</v>
      </c>
      <c r="J215" s="29" t="s">
        <v>1498</v>
      </c>
      <c r="K215" s="26" t="s">
        <v>1377</v>
      </c>
      <c r="L215" s="28" t="s">
        <v>1500</v>
      </c>
      <c r="M215" s="49">
        <v>1990.0</v>
      </c>
      <c r="N215" s="31">
        <v>1990.0</v>
      </c>
      <c r="O215" s="49">
        <v>1993.0</v>
      </c>
      <c r="P215" s="28" t="s">
        <v>150</v>
      </c>
      <c r="Q215" s="32" t="s">
        <v>151</v>
      </c>
      <c r="R215" s="28" t="s">
        <v>281</v>
      </c>
      <c r="S215" s="32" t="s">
        <v>1378</v>
      </c>
      <c r="T215" s="28" t="s">
        <v>154</v>
      </c>
      <c r="U215" s="28" t="s">
        <v>154</v>
      </c>
      <c r="V215" s="28" t="s">
        <v>1379</v>
      </c>
      <c r="W215" s="32" t="s">
        <v>656</v>
      </c>
      <c r="X215" s="32" t="s">
        <v>657</v>
      </c>
      <c r="Y215" s="28" t="s">
        <v>1380</v>
      </c>
      <c r="Z215" s="26" t="s">
        <v>1381</v>
      </c>
      <c r="AA215" s="26" t="s">
        <v>159</v>
      </c>
      <c r="AB215" s="28" t="s">
        <v>205</v>
      </c>
      <c r="AC215" s="26" t="s">
        <v>206</v>
      </c>
      <c r="AD215" s="28" t="s">
        <v>207</v>
      </c>
      <c r="AE215" s="29" t="s">
        <v>149</v>
      </c>
      <c r="AF215" s="26" t="s">
        <v>149</v>
      </c>
      <c r="AG215" s="28" t="s">
        <v>1382</v>
      </c>
      <c r="AH215" s="26" t="s">
        <v>660</v>
      </c>
      <c r="AI215" s="28" t="s">
        <v>322</v>
      </c>
      <c r="AJ215" s="28" t="s">
        <v>660</v>
      </c>
      <c r="AK215" s="28" t="s">
        <v>1383</v>
      </c>
      <c r="AL215" s="28" t="s">
        <v>393</v>
      </c>
      <c r="AM215" s="28" t="s">
        <v>870</v>
      </c>
      <c r="AN215" s="28" t="s">
        <v>241</v>
      </c>
      <c r="AO215" s="26" t="s">
        <v>395</v>
      </c>
      <c r="AP215" s="28" t="s">
        <v>396</v>
      </c>
      <c r="AQ215" s="38" t="s">
        <v>541</v>
      </c>
      <c r="AR215" s="26" t="s">
        <v>398</v>
      </c>
      <c r="AS215" s="11" t="s">
        <v>149</v>
      </c>
      <c r="AT215" s="28" t="s">
        <v>1384</v>
      </c>
    </row>
    <row r="216">
      <c r="A216" s="36" t="s">
        <v>1501</v>
      </c>
      <c r="B216" s="26" t="str">
        <f t="shared" si="1"/>
        <v>2023-PH104205000-1990-0348</v>
      </c>
      <c r="C216" s="27">
        <f t="shared" si="4"/>
        <v>2023</v>
      </c>
      <c r="D216" s="37" t="s">
        <v>140</v>
      </c>
      <c r="E216" s="28" t="s">
        <v>141</v>
      </c>
      <c r="F216" s="28" t="s">
        <v>142</v>
      </c>
      <c r="G216" s="29" t="s">
        <v>171</v>
      </c>
      <c r="H216" s="29" t="s">
        <v>976</v>
      </c>
      <c r="I216" s="29" t="s">
        <v>1502</v>
      </c>
      <c r="J216" s="29" t="s">
        <v>1503</v>
      </c>
      <c r="K216" s="26" t="s">
        <v>1377</v>
      </c>
      <c r="L216" s="11" t="s">
        <v>149</v>
      </c>
      <c r="M216" s="49">
        <v>1990.0</v>
      </c>
      <c r="N216" s="31">
        <v>1990.0</v>
      </c>
      <c r="O216" s="49">
        <v>1993.0</v>
      </c>
      <c r="P216" s="28" t="s">
        <v>150</v>
      </c>
      <c r="Q216" s="32" t="s">
        <v>151</v>
      </c>
      <c r="R216" s="28" t="s">
        <v>281</v>
      </c>
      <c r="S216" s="32" t="s">
        <v>1378</v>
      </c>
      <c r="T216" s="28" t="s">
        <v>154</v>
      </c>
      <c r="U216" s="28" t="s">
        <v>154</v>
      </c>
      <c r="V216" s="28" t="s">
        <v>1379</v>
      </c>
      <c r="W216" s="32" t="s">
        <v>656</v>
      </c>
      <c r="X216" s="32" t="s">
        <v>657</v>
      </c>
      <c r="Y216" s="28" t="s">
        <v>1380</v>
      </c>
      <c r="Z216" s="26" t="s">
        <v>1381</v>
      </c>
      <c r="AA216" s="26" t="s">
        <v>159</v>
      </c>
      <c r="AB216" s="28" t="s">
        <v>205</v>
      </c>
      <c r="AC216" s="26" t="s">
        <v>206</v>
      </c>
      <c r="AD216" s="28" t="s">
        <v>207</v>
      </c>
      <c r="AE216" s="29" t="s">
        <v>149</v>
      </c>
      <c r="AF216" s="26" t="s">
        <v>149</v>
      </c>
      <c r="AG216" s="28" t="s">
        <v>1382</v>
      </c>
      <c r="AH216" s="26" t="s">
        <v>660</v>
      </c>
      <c r="AI216" s="28" t="s">
        <v>322</v>
      </c>
      <c r="AJ216" s="28" t="s">
        <v>660</v>
      </c>
      <c r="AK216" s="28" t="s">
        <v>1383</v>
      </c>
      <c r="AL216" s="28" t="s">
        <v>393</v>
      </c>
      <c r="AM216" s="28" t="s">
        <v>870</v>
      </c>
      <c r="AN216" s="28" t="s">
        <v>241</v>
      </c>
      <c r="AO216" s="26" t="s">
        <v>395</v>
      </c>
      <c r="AP216" s="28" t="s">
        <v>396</v>
      </c>
      <c r="AQ216" s="38" t="s">
        <v>541</v>
      </c>
      <c r="AR216" s="26" t="s">
        <v>398</v>
      </c>
      <c r="AS216" s="11" t="s">
        <v>149</v>
      </c>
      <c r="AT216" s="28" t="s">
        <v>1384</v>
      </c>
    </row>
    <row r="217">
      <c r="A217" s="36" t="s">
        <v>1504</v>
      </c>
      <c r="B217" s="26" t="str">
        <f t="shared" si="1"/>
        <v>2023-PH104210000-1990-0349</v>
      </c>
      <c r="C217" s="27">
        <f t="shared" si="4"/>
        <v>2023</v>
      </c>
      <c r="D217" s="28" t="s">
        <v>140</v>
      </c>
      <c r="E217" s="28" t="s">
        <v>141</v>
      </c>
      <c r="F217" s="28" t="s">
        <v>142</v>
      </c>
      <c r="G217" s="29" t="s">
        <v>171</v>
      </c>
      <c r="H217" s="29" t="s">
        <v>976</v>
      </c>
      <c r="I217" s="40" t="s">
        <v>1505</v>
      </c>
      <c r="J217" s="29" t="s">
        <v>1506</v>
      </c>
      <c r="K217" s="26" t="s">
        <v>1377</v>
      </c>
      <c r="L217" s="26" t="s">
        <v>1507</v>
      </c>
      <c r="M217" s="49">
        <v>1990.0</v>
      </c>
      <c r="N217" s="31">
        <v>1990.0</v>
      </c>
      <c r="O217" s="49">
        <v>1993.0</v>
      </c>
      <c r="P217" s="28" t="s">
        <v>150</v>
      </c>
      <c r="Q217" s="32" t="s">
        <v>151</v>
      </c>
      <c r="R217" s="28" t="s">
        <v>281</v>
      </c>
      <c r="S217" s="32" t="s">
        <v>1378</v>
      </c>
      <c r="T217" s="28" t="s">
        <v>154</v>
      </c>
      <c r="U217" s="28" t="s">
        <v>154</v>
      </c>
      <c r="V217" s="28" t="s">
        <v>1379</v>
      </c>
      <c r="W217" s="32" t="s">
        <v>656</v>
      </c>
      <c r="X217" s="32" t="s">
        <v>657</v>
      </c>
      <c r="Y217" s="28" t="s">
        <v>1380</v>
      </c>
      <c r="Z217" s="26" t="s">
        <v>1381</v>
      </c>
      <c r="AA217" s="26" t="s">
        <v>159</v>
      </c>
      <c r="AB217" s="28" t="s">
        <v>205</v>
      </c>
      <c r="AC217" s="26" t="s">
        <v>206</v>
      </c>
      <c r="AD217" s="28" t="s">
        <v>207</v>
      </c>
      <c r="AE217" s="29" t="s">
        <v>149</v>
      </c>
      <c r="AF217" s="26" t="s">
        <v>149</v>
      </c>
      <c r="AG217" s="28" t="s">
        <v>1382</v>
      </c>
      <c r="AH217" s="26" t="s">
        <v>660</v>
      </c>
      <c r="AI217" s="28" t="s">
        <v>322</v>
      </c>
      <c r="AJ217" s="28" t="s">
        <v>660</v>
      </c>
      <c r="AK217" s="28" t="s">
        <v>1383</v>
      </c>
      <c r="AL217" s="28" t="s">
        <v>393</v>
      </c>
      <c r="AM217" s="28" t="s">
        <v>870</v>
      </c>
      <c r="AN217" s="28" t="s">
        <v>241</v>
      </c>
      <c r="AO217" s="26" t="s">
        <v>395</v>
      </c>
      <c r="AP217" s="28" t="s">
        <v>396</v>
      </c>
      <c r="AQ217" s="38" t="s">
        <v>541</v>
      </c>
      <c r="AR217" s="26" t="s">
        <v>398</v>
      </c>
      <c r="AS217" s="26" t="s">
        <v>149</v>
      </c>
      <c r="AT217" s="28" t="s">
        <v>1384</v>
      </c>
    </row>
    <row r="218">
      <c r="A218" s="36" t="s">
        <v>1508</v>
      </c>
      <c r="B218" s="26" t="str">
        <f t="shared" si="1"/>
        <v>2023-PH015514000-1994-0062</v>
      </c>
      <c r="C218" s="27">
        <f t="shared" si="4"/>
        <v>2023</v>
      </c>
      <c r="D218" s="28" t="s">
        <v>140</v>
      </c>
      <c r="E218" s="28" t="s">
        <v>141</v>
      </c>
      <c r="F218" s="28" t="s">
        <v>142</v>
      </c>
      <c r="G218" s="29" t="s">
        <v>143</v>
      </c>
      <c r="H218" s="29" t="s">
        <v>144</v>
      </c>
      <c r="I218" s="29" t="s">
        <v>693</v>
      </c>
      <c r="J218" s="29" t="s">
        <v>694</v>
      </c>
      <c r="K218" s="26" t="s">
        <v>1377</v>
      </c>
      <c r="L218" s="26" t="s">
        <v>1509</v>
      </c>
      <c r="M218" s="31">
        <v>1994.0</v>
      </c>
      <c r="N218" s="31">
        <v>1994.0</v>
      </c>
      <c r="O218" s="31">
        <v>1995.0</v>
      </c>
      <c r="P218" s="28" t="s">
        <v>177</v>
      </c>
      <c r="Q218" s="32" t="s">
        <v>178</v>
      </c>
      <c r="R218" s="28" t="s">
        <v>154</v>
      </c>
      <c r="S218" s="32" t="s">
        <v>154</v>
      </c>
      <c r="T218" s="28" t="s">
        <v>154</v>
      </c>
      <c r="U218" s="28" t="s">
        <v>154</v>
      </c>
      <c r="V218" s="28" t="s">
        <v>1510</v>
      </c>
      <c r="W218" s="28" t="s">
        <v>237</v>
      </c>
      <c r="X218" s="28" t="s">
        <v>238</v>
      </c>
      <c r="Y218" s="26" t="s">
        <v>1511</v>
      </c>
      <c r="Z218" s="28" t="s">
        <v>1512</v>
      </c>
      <c r="AA218" s="26" t="s">
        <v>204</v>
      </c>
      <c r="AB218" s="28" t="s">
        <v>205</v>
      </c>
      <c r="AC218" s="28" t="s">
        <v>322</v>
      </c>
      <c r="AD218" s="28" t="s">
        <v>660</v>
      </c>
      <c r="AE218" s="29" t="s">
        <v>149</v>
      </c>
      <c r="AF218" s="26" t="s">
        <v>149</v>
      </c>
      <c r="AG218" s="26" t="s">
        <v>149</v>
      </c>
      <c r="AH218" s="26" t="s">
        <v>233</v>
      </c>
      <c r="AI218" s="32" t="s">
        <v>209</v>
      </c>
      <c r="AJ218" s="28" t="s">
        <v>227</v>
      </c>
      <c r="AK218" s="26" t="s">
        <v>660</v>
      </c>
      <c r="AL218" s="11" t="s">
        <v>149</v>
      </c>
      <c r="AM218" s="11" t="s">
        <v>149</v>
      </c>
      <c r="AN218" s="28" t="s">
        <v>241</v>
      </c>
      <c r="AO218" s="28" t="s">
        <v>242</v>
      </c>
      <c r="AP218" s="26" t="s">
        <v>1513</v>
      </c>
      <c r="AQ218" s="34" t="s">
        <v>1514</v>
      </c>
      <c r="AR218" s="26" t="s">
        <v>1068</v>
      </c>
      <c r="AS218" s="11" t="s">
        <v>149</v>
      </c>
      <c r="AT218" s="28" t="s">
        <v>1515</v>
      </c>
    </row>
    <row r="219">
      <c r="A219" s="36" t="s">
        <v>1516</v>
      </c>
      <c r="B219" s="26" t="str">
        <f t="shared" si="1"/>
        <v>2023-PH097332000-2020-0337</v>
      </c>
      <c r="C219" s="27">
        <f t="shared" si="4"/>
        <v>2023</v>
      </c>
      <c r="D219" s="37" t="s">
        <v>140</v>
      </c>
      <c r="E219" s="28" t="s">
        <v>141</v>
      </c>
      <c r="F219" s="28" t="s">
        <v>142</v>
      </c>
      <c r="G219" s="29" t="s">
        <v>590</v>
      </c>
      <c r="H219" s="29" t="s">
        <v>769</v>
      </c>
      <c r="I219" s="40" t="s">
        <v>1517</v>
      </c>
      <c r="J219" s="29" t="s">
        <v>1518</v>
      </c>
      <c r="K219" s="26" t="s">
        <v>1519</v>
      </c>
      <c r="L219" s="28" t="s">
        <v>1520</v>
      </c>
      <c r="M219" s="31">
        <v>2020.0</v>
      </c>
      <c r="N219" s="31" t="s">
        <v>149</v>
      </c>
      <c r="O219" s="31" t="s">
        <v>149</v>
      </c>
      <c r="P219" s="28" t="s">
        <v>150</v>
      </c>
      <c r="Q219" s="32" t="s">
        <v>151</v>
      </c>
      <c r="R219" s="28" t="s">
        <v>152</v>
      </c>
      <c r="S219" s="32" t="s">
        <v>265</v>
      </c>
      <c r="T219" s="28" t="s">
        <v>154</v>
      </c>
      <c r="U219" s="28" t="s">
        <v>154</v>
      </c>
      <c r="V219" s="28" t="s">
        <v>1521</v>
      </c>
      <c r="W219" s="32" t="s">
        <v>180</v>
      </c>
      <c r="X219" s="32" t="s">
        <v>181</v>
      </c>
      <c r="Y219" s="26" t="s">
        <v>1522</v>
      </c>
      <c r="Z219" s="33" t="s">
        <v>1523</v>
      </c>
      <c r="AA219" s="26" t="s">
        <v>159</v>
      </c>
      <c r="AB219" s="26" t="s">
        <v>160</v>
      </c>
      <c r="AC219" s="28" t="s">
        <v>322</v>
      </c>
      <c r="AD219" s="28" t="s">
        <v>686</v>
      </c>
      <c r="AE219" s="29" t="s">
        <v>149</v>
      </c>
      <c r="AF219" s="26" t="s">
        <v>149</v>
      </c>
      <c r="AG219" s="28" t="s">
        <v>1524</v>
      </c>
      <c r="AH219" s="26" t="s">
        <v>1523</v>
      </c>
      <c r="AI219" s="28" t="s">
        <v>322</v>
      </c>
      <c r="AJ219" s="28" t="s">
        <v>686</v>
      </c>
      <c r="AK219" s="28" t="s">
        <v>1525</v>
      </c>
      <c r="AL219" s="28" t="s">
        <v>149</v>
      </c>
      <c r="AM219" s="26" t="s">
        <v>149</v>
      </c>
      <c r="AN219" s="28" t="s">
        <v>165</v>
      </c>
      <c r="AO219" s="26" t="s">
        <v>166</v>
      </c>
      <c r="AP219" s="34" t="s">
        <v>1526</v>
      </c>
      <c r="AQ219" s="38" t="s">
        <v>1527</v>
      </c>
      <c r="AR219" s="95" t="s">
        <v>1528</v>
      </c>
      <c r="AS219" s="26" t="s">
        <v>149</v>
      </c>
      <c r="AT219" s="28"/>
    </row>
    <row r="220">
      <c r="A220" s="36" t="s">
        <v>1529</v>
      </c>
      <c r="B220" s="26" t="str">
        <f t="shared" si="1"/>
        <v>2025-PH072203000-Unknown-0272</v>
      </c>
      <c r="C220" s="27">
        <f t="shared" si="4"/>
        <v>2025</v>
      </c>
      <c r="D220" s="28" t="s">
        <v>191</v>
      </c>
      <c r="E220" s="28" t="s">
        <v>191</v>
      </c>
      <c r="F220" s="28" t="s">
        <v>192</v>
      </c>
      <c r="G220" s="29" t="s">
        <v>193</v>
      </c>
      <c r="H220" s="29" t="s">
        <v>194</v>
      </c>
      <c r="I220" s="29" t="s">
        <v>1530</v>
      </c>
      <c r="J220" s="29" t="s">
        <v>1531</v>
      </c>
      <c r="K220" s="26" t="s">
        <v>1532</v>
      </c>
      <c r="L220" s="26" t="s">
        <v>1533</v>
      </c>
      <c r="M220" s="31" t="s">
        <v>149</v>
      </c>
      <c r="N220" s="31" t="s">
        <v>149</v>
      </c>
      <c r="O220" s="31" t="s">
        <v>149</v>
      </c>
      <c r="P220" s="28" t="s">
        <v>150</v>
      </c>
      <c r="Q220" s="32" t="s">
        <v>151</v>
      </c>
      <c r="R220" s="28" t="s">
        <v>152</v>
      </c>
      <c r="S220" s="32" t="s">
        <v>1534</v>
      </c>
      <c r="T220" s="28" t="s">
        <v>154</v>
      </c>
      <c r="U220" s="28" t="s">
        <v>154</v>
      </c>
      <c r="V220" s="26" t="s">
        <v>1535</v>
      </c>
      <c r="W220" s="32" t="s">
        <v>149</v>
      </c>
      <c r="X220" s="32" t="s">
        <v>254</v>
      </c>
      <c r="Y220" s="26" t="s">
        <v>149</v>
      </c>
      <c r="Z220" s="26" t="s">
        <v>149</v>
      </c>
      <c r="AA220" s="26" t="s">
        <v>149</v>
      </c>
      <c r="AB220" s="26" t="s">
        <v>149</v>
      </c>
      <c r="AC220" s="26" t="s">
        <v>149</v>
      </c>
      <c r="AD220" s="28" t="s">
        <v>149</v>
      </c>
      <c r="AE220" s="29" t="s">
        <v>149</v>
      </c>
      <c r="AF220" s="26" t="s">
        <v>149</v>
      </c>
      <c r="AG220" s="28" t="s">
        <v>1536</v>
      </c>
      <c r="AH220" s="26" t="s">
        <v>149</v>
      </c>
      <c r="AI220" s="26" t="s">
        <v>149</v>
      </c>
      <c r="AJ220" s="28" t="s">
        <v>149</v>
      </c>
      <c r="AK220" s="28" t="s">
        <v>149</v>
      </c>
      <c r="AL220" s="28" t="s">
        <v>149</v>
      </c>
      <c r="AM220" s="28" t="s">
        <v>149</v>
      </c>
      <c r="AN220" s="28" t="s">
        <v>165</v>
      </c>
      <c r="AO220" s="28" t="s">
        <v>289</v>
      </c>
      <c r="AP220" s="26" t="s">
        <v>1537</v>
      </c>
      <c r="AQ220" s="34" t="s">
        <v>1538</v>
      </c>
      <c r="AR220" s="28" t="s">
        <v>149</v>
      </c>
      <c r="AS220" s="28" t="s">
        <v>149</v>
      </c>
      <c r="AT220" s="28"/>
    </row>
    <row r="221">
      <c r="A221" s="36" t="s">
        <v>1539</v>
      </c>
      <c r="B221" s="26" t="str">
        <f t="shared" si="1"/>
        <v>2023-PH082609000-1995-0300</v>
      </c>
      <c r="C221" s="27">
        <f t="shared" si="4"/>
        <v>2023</v>
      </c>
      <c r="D221" s="28" t="s">
        <v>140</v>
      </c>
      <c r="E221" s="28" t="s">
        <v>707</v>
      </c>
      <c r="F221" s="28" t="s">
        <v>192</v>
      </c>
      <c r="G221" s="29" t="s">
        <v>579</v>
      </c>
      <c r="H221" s="29" t="s">
        <v>580</v>
      </c>
      <c r="I221" s="29" t="s">
        <v>1540</v>
      </c>
      <c r="J221" s="29" t="s">
        <v>1541</v>
      </c>
      <c r="K221" s="26" t="s">
        <v>1542</v>
      </c>
      <c r="L221" s="43" t="s">
        <v>149</v>
      </c>
      <c r="M221" s="31">
        <v>1995.0</v>
      </c>
      <c r="N221" s="31">
        <v>1995.0</v>
      </c>
      <c r="O221" s="31">
        <v>1997.0</v>
      </c>
      <c r="P221" s="28" t="s">
        <v>177</v>
      </c>
      <c r="Q221" s="32" t="s">
        <v>178</v>
      </c>
      <c r="R221" s="28" t="s">
        <v>154</v>
      </c>
      <c r="S221" s="32" t="s">
        <v>154</v>
      </c>
      <c r="T221" s="28" t="s">
        <v>154</v>
      </c>
      <c r="U221" s="28" t="s">
        <v>154</v>
      </c>
      <c r="V221" s="26" t="s">
        <v>179</v>
      </c>
      <c r="W221" s="28" t="s">
        <v>1543</v>
      </c>
      <c r="X221" s="32" t="s">
        <v>1544</v>
      </c>
      <c r="Y221" s="26" t="s">
        <v>1545</v>
      </c>
      <c r="Z221" s="26" t="s">
        <v>1546</v>
      </c>
      <c r="AA221" s="26" t="s">
        <v>204</v>
      </c>
      <c r="AB221" s="26" t="s">
        <v>160</v>
      </c>
      <c r="AC221" s="26" t="s">
        <v>306</v>
      </c>
      <c r="AD221" s="28" t="s">
        <v>306</v>
      </c>
      <c r="AE221" s="29" t="s">
        <v>149</v>
      </c>
      <c r="AF221" s="26" t="s">
        <v>149</v>
      </c>
      <c r="AG221" s="26" t="s">
        <v>149</v>
      </c>
      <c r="AH221" s="26" t="s">
        <v>1547</v>
      </c>
      <c r="AI221" s="26" t="s">
        <v>306</v>
      </c>
      <c r="AJ221" s="28" t="s">
        <v>306</v>
      </c>
      <c r="AK221" s="28" t="s">
        <v>149</v>
      </c>
      <c r="AL221" s="28" t="s">
        <v>149</v>
      </c>
      <c r="AM221" s="28" t="s">
        <v>149</v>
      </c>
      <c r="AN221" s="28" t="s">
        <v>213</v>
      </c>
      <c r="AO221" s="28" t="s">
        <v>310</v>
      </c>
      <c r="AP221" s="26" t="s">
        <v>213</v>
      </c>
      <c r="AQ221" s="28" t="s">
        <v>149</v>
      </c>
      <c r="AR221" s="26" t="s">
        <v>1548</v>
      </c>
      <c r="AS221" s="26" t="s">
        <v>1549</v>
      </c>
      <c r="AT221" s="11"/>
    </row>
    <row r="222">
      <c r="A222" s="36" t="s">
        <v>1550</v>
      </c>
      <c r="B222" s="26" t="str">
        <f t="shared" si="1"/>
        <v>2023-PH104305000-2021-0353</v>
      </c>
      <c r="C222" s="27">
        <f t="shared" si="4"/>
        <v>2023</v>
      </c>
      <c r="D222" s="37" t="s">
        <v>140</v>
      </c>
      <c r="E222" s="28" t="s">
        <v>141</v>
      </c>
      <c r="F222" s="28" t="s">
        <v>192</v>
      </c>
      <c r="G222" s="29" t="s">
        <v>171</v>
      </c>
      <c r="H222" s="29" t="s">
        <v>172</v>
      </c>
      <c r="I222" s="40" t="s">
        <v>1551</v>
      </c>
      <c r="J222" s="29" t="s">
        <v>1552</v>
      </c>
      <c r="K222" s="26" t="s">
        <v>1553</v>
      </c>
      <c r="L222" s="26" t="s">
        <v>1554</v>
      </c>
      <c r="M222" s="31">
        <v>2021.0</v>
      </c>
      <c r="N222" s="31" t="s">
        <v>149</v>
      </c>
      <c r="O222" s="31" t="s">
        <v>149</v>
      </c>
      <c r="P222" s="28" t="s">
        <v>150</v>
      </c>
      <c r="Q222" s="32" t="s">
        <v>151</v>
      </c>
      <c r="R222" s="28" t="s">
        <v>1555</v>
      </c>
      <c r="S222" s="32" t="s">
        <v>1556</v>
      </c>
      <c r="T222" s="28" t="s">
        <v>154</v>
      </c>
      <c r="U222" s="28" t="s">
        <v>154</v>
      </c>
      <c r="V222" s="26" t="s">
        <v>1556</v>
      </c>
      <c r="W222" s="32" t="s">
        <v>149</v>
      </c>
      <c r="X222" s="32" t="s">
        <v>254</v>
      </c>
      <c r="Y222" s="26" t="s">
        <v>149</v>
      </c>
      <c r="Z222" s="26" t="s">
        <v>1557</v>
      </c>
      <c r="AA222" s="26" t="s">
        <v>159</v>
      </c>
      <c r="AB222" s="26" t="s">
        <v>160</v>
      </c>
      <c r="AC222" s="26" t="s">
        <v>271</v>
      </c>
      <c r="AD222" s="28" t="s">
        <v>271</v>
      </c>
      <c r="AE222" s="29" t="s">
        <v>149</v>
      </c>
      <c r="AF222" s="26" t="s">
        <v>149</v>
      </c>
      <c r="AG222" s="26" t="s">
        <v>1558</v>
      </c>
      <c r="AH222" s="26" t="s">
        <v>1557</v>
      </c>
      <c r="AI222" s="26" t="s">
        <v>271</v>
      </c>
      <c r="AJ222" s="28" t="s">
        <v>271</v>
      </c>
      <c r="AK222" s="26" t="s">
        <v>1559</v>
      </c>
      <c r="AL222" s="26" t="s">
        <v>1560</v>
      </c>
      <c r="AM222" s="11" t="s">
        <v>149</v>
      </c>
      <c r="AN222" s="28" t="s">
        <v>165</v>
      </c>
      <c r="AO222" s="28" t="s">
        <v>689</v>
      </c>
      <c r="AP222" s="28" t="s">
        <v>1561</v>
      </c>
      <c r="AQ222" s="38" t="s">
        <v>1562</v>
      </c>
      <c r="AR222" s="11" t="s">
        <v>149</v>
      </c>
      <c r="AS222" s="11" t="s">
        <v>149</v>
      </c>
      <c r="AT222" s="11"/>
    </row>
    <row r="223">
      <c r="A223" s="25" t="s">
        <v>1563</v>
      </c>
      <c r="B223" s="26" t="str">
        <f t="shared" si="1"/>
        <v>2023-PH013305000-2021-0022</v>
      </c>
      <c r="C223" s="27">
        <f t="shared" si="4"/>
        <v>2023</v>
      </c>
      <c r="D223" s="28" t="s">
        <v>140</v>
      </c>
      <c r="E223" s="28" t="s">
        <v>141</v>
      </c>
      <c r="F223" s="28" t="s">
        <v>142</v>
      </c>
      <c r="G223" s="29" t="s">
        <v>143</v>
      </c>
      <c r="H223" s="29" t="s">
        <v>438</v>
      </c>
      <c r="I223" s="40" t="s">
        <v>1564</v>
      </c>
      <c r="J223" s="29" t="s">
        <v>1565</v>
      </c>
      <c r="K223" s="96" t="s">
        <v>1566</v>
      </c>
      <c r="L223" s="89" t="s">
        <v>1567</v>
      </c>
      <c r="M223" s="31">
        <v>2021.0</v>
      </c>
      <c r="N223" s="31" t="s">
        <v>149</v>
      </c>
      <c r="O223" s="31" t="s">
        <v>149</v>
      </c>
      <c r="P223" s="28" t="s">
        <v>150</v>
      </c>
      <c r="Q223" s="32" t="s">
        <v>151</v>
      </c>
      <c r="R223" s="28" t="s">
        <v>149</v>
      </c>
      <c r="S223" s="32" t="s">
        <v>149</v>
      </c>
      <c r="T223" s="28" t="s">
        <v>154</v>
      </c>
      <c r="U223" s="28" t="s">
        <v>154</v>
      </c>
      <c r="V223" s="26" t="s">
        <v>149</v>
      </c>
      <c r="W223" s="32" t="s">
        <v>1568</v>
      </c>
      <c r="X223" s="32" t="s">
        <v>1569</v>
      </c>
      <c r="Y223" s="28" t="s">
        <v>1570</v>
      </c>
      <c r="Z223" s="58" t="s">
        <v>1571</v>
      </c>
      <c r="AA223" s="32" t="s">
        <v>159</v>
      </c>
      <c r="AB223" s="26" t="s">
        <v>160</v>
      </c>
      <c r="AC223" s="26" t="s">
        <v>271</v>
      </c>
      <c r="AD223" s="28" t="s">
        <v>271</v>
      </c>
      <c r="AE223" s="29" t="s">
        <v>149</v>
      </c>
      <c r="AF223" s="26" t="s">
        <v>149</v>
      </c>
      <c r="AG223" s="26" t="s">
        <v>1536</v>
      </c>
      <c r="AH223" s="58" t="s">
        <v>1572</v>
      </c>
      <c r="AI223" s="32" t="s">
        <v>209</v>
      </c>
      <c r="AJ223" s="28" t="s">
        <v>227</v>
      </c>
      <c r="AK223" s="26" t="s">
        <v>369</v>
      </c>
      <c r="AL223" s="28" t="s">
        <v>1573</v>
      </c>
      <c r="AM223" s="26" t="s">
        <v>149</v>
      </c>
      <c r="AN223" s="28" t="s">
        <v>165</v>
      </c>
      <c r="AO223" s="26" t="s">
        <v>166</v>
      </c>
      <c r="AP223" s="26" t="s">
        <v>1574</v>
      </c>
      <c r="AQ223" s="34" t="s">
        <v>1575</v>
      </c>
      <c r="AR223" s="96" t="s">
        <v>1576</v>
      </c>
      <c r="AS223" s="26" t="s">
        <v>1577</v>
      </c>
      <c r="AT223" s="51" t="s">
        <v>1578</v>
      </c>
    </row>
    <row r="224">
      <c r="A224" s="36" t="s">
        <v>1579</v>
      </c>
      <c r="B224" s="26" t="str">
        <f t="shared" si="1"/>
        <v>2023-PH112319000-Unknown-0375</v>
      </c>
      <c r="C224" s="27">
        <f t="shared" si="4"/>
        <v>2023</v>
      </c>
      <c r="D224" s="37" t="s">
        <v>140</v>
      </c>
      <c r="E224" s="28" t="s">
        <v>141</v>
      </c>
      <c r="F224" s="28" t="s">
        <v>192</v>
      </c>
      <c r="G224" s="29" t="s">
        <v>330</v>
      </c>
      <c r="H224" s="29" t="s">
        <v>331</v>
      </c>
      <c r="I224" s="40" t="s">
        <v>332</v>
      </c>
      <c r="J224" s="29" t="s">
        <v>333</v>
      </c>
      <c r="K224" s="26" t="s">
        <v>1580</v>
      </c>
      <c r="L224" s="26" t="s">
        <v>1581</v>
      </c>
      <c r="M224" s="31" t="s">
        <v>149</v>
      </c>
      <c r="N224" s="31" t="s">
        <v>149</v>
      </c>
      <c r="O224" s="31" t="s">
        <v>149</v>
      </c>
      <c r="P224" s="28" t="s">
        <v>150</v>
      </c>
      <c r="Q224" s="32" t="s">
        <v>151</v>
      </c>
      <c r="R224" s="50" t="s">
        <v>152</v>
      </c>
      <c r="S224" s="32" t="s">
        <v>361</v>
      </c>
      <c r="T224" s="28" t="s">
        <v>154</v>
      </c>
      <c r="U224" s="28" t="s">
        <v>154</v>
      </c>
      <c r="V224" s="26" t="s">
        <v>362</v>
      </c>
      <c r="W224" s="32" t="s">
        <v>656</v>
      </c>
      <c r="X224" s="32" t="s">
        <v>657</v>
      </c>
      <c r="Y224" s="26" t="s">
        <v>1582</v>
      </c>
      <c r="Z224" s="26" t="s">
        <v>228</v>
      </c>
      <c r="AA224" s="26" t="s">
        <v>159</v>
      </c>
      <c r="AB224" s="26" t="s">
        <v>160</v>
      </c>
      <c r="AC224" s="28" t="s">
        <v>161</v>
      </c>
      <c r="AD224" s="28" t="s">
        <v>228</v>
      </c>
      <c r="AE224" s="29" t="s">
        <v>149</v>
      </c>
      <c r="AF224" s="26" t="s">
        <v>149</v>
      </c>
      <c r="AG224" s="88" t="s">
        <v>1583</v>
      </c>
      <c r="AH224" s="26" t="s">
        <v>228</v>
      </c>
      <c r="AI224" s="28" t="s">
        <v>161</v>
      </c>
      <c r="AJ224" s="28" t="s">
        <v>228</v>
      </c>
      <c r="AK224" s="11" t="s">
        <v>149</v>
      </c>
      <c r="AL224" s="11" t="s">
        <v>149</v>
      </c>
      <c r="AM224" s="11" t="s">
        <v>149</v>
      </c>
      <c r="AN224" s="28" t="s">
        <v>165</v>
      </c>
      <c r="AO224" s="28" t="s">
        <v>689</v>
      </c>
      <c r="AP224" s="26" t="s">
        <v>1584</v>
      </c>
      <c r="AQ224" s="38" t="s">
        <v>1585</v>
      </c>
      <c r="AR224" s="11" t="s">
        <v>149</v>
      </c>
      <c r="AS224" s="11" t="s">
        <v>149</v>
      </c>
      <c r="AT224" s="11"/>
    </row>
    <row r="225">
      <c r="A225" s="36" t="s">
        <v>1586</v>
      </c>
      <c r="B225" s="26" t="str">
        <f t="shared" si="1"/>
        <v>2025-PH072235000-2022-0293</v>
      </c>
      <c r="C225" s="27">
        <f t="shared" si="4"/>
        <v>2025</v>
      </c>
      <c r="D225" s="28" t="s">
        <v>191</v>
      </c>
      <c r="E225" s="28" t="s">
        <v>191</v>
      </c>
      <c r="F225" s="28" t="s">
        <v>192</v>
      </c>
      <c r="G225" s="29" t="s">
        <v>193</v>
      </c>
      <c r="H225" s="29" t="s">
        <v>194</v>
      </c>
      <c r="I225" s="29" t="s">
        <v>1587</v>
      </c>
      <c r="J225" s="29" t="s">
        <v>1588</v>
      </c>
      <c r="K225" s="28" t="s">
        <v>1589</v>
      </c>
      <c r="L225" s="26" t="s">
        <v>1590</v>
      </c>
      <c r="M225" s="31">
        <v>2022.0</v>
      </c>
      <c r="N225" s="31">
        <v>2022.0</v>
      </c>
      <c r="O225" s="31" t="s">
        <v>149</v>
      </c>
      <c r="P225" s="28" t="s">
        <v>150</v>
      </c>
      <c r="Q225" s="32" t="s">
        <v>151</v>
      </c>
      <c r="R225" s="28" t="s">
        <v>152</v>
      </c>
      <c r="S225" s="32" t="s">
        <v>1591</v>
      </c>
      <c r="T225" s="28" t="s">
        <v>154</v>
      </c>
      <c r="U225" s="28" t="s">
        <v>154</v>
      </c>
      <c r="V225" s="26" t="s">
        <v>1592</v>
      </c>
      <c r="W225" s="32" t="s">
        <v>913</v>
      </c>
      <c r="X225" s="32" t="s">
        <v>914</v>
      </c>
      <c r="Y225" s="26" t="s">
        <v>1593</v>
      </c>
      <c r="Z225" s="26" t="s">
        <v>1594</v>
      </c>
      <c r="AA225" s="26" t="s">
        <v>159</v>
      </c>
      <c r="AB225" s="26" t="s">
        <v>160</v>
      </c>
      <c r="AC225" s="28" t="s">
        <v>322</v>
      </c>
      <c r="AD225" s="28" t="s">
        <v>1594</v>
      </c>
      <c r="AE225" s="40" t="s">
        <v>1595</v>
      </c>
      <c r="AF225" s="28" t="s">
        <v>1596</v>
      </c>
      <c r="AG225" s="26" t="s">
        <v>1597</v>
      </c>
      <c r="AH225" s="26" t="s">
        <v>1598</v>
      </c>
      <c r="AI225" s="28" t="s">
        <v>322</v>
      </c>
      <c r="AJ225" s="28" t="s">
        <v>1594</v>
      </c>
      <c r="AK225" s="28" t="s">
        <v>149</v>
      </c>
      <c r="AL225" s="26" t="s">
        <v>1599</v>
      </c>
      <c r="AM225" s="26" t="s">
        <v>1600</v>
      </c>
      <c r="AN225" s="28" t="s">
        <v>165</v>
      </c>
      <c r="AO225" s="26" t="s">
        <v>166</v>
      </c>
      <c r="AP225" s="26" t="s">
        <v>1601</v>
      </c>
      <c r="AQ225" s="38" t="s">
        <v>1602</v>
      </c>
      <c r="AR225" s="28" t="s">
        <v>149</v>
      </c>
      <c r="AS225" s="28" t="s">
        <v>149</v>
      </c>
      <c r="AT225" s="26"/>
    </row>
    <row r="226">
      <c r="A226" s="36" t="s">
        <v>1603</v>
      </c>
      <c r="B226" s="26" t="str">
        <f t="shared" si="1"/>
        <v>2023-PH063001000-2004-0246</v>
      </c>
      <c r="C226" s="27">
        <f t="shared" si="4"/>
        <v>2023</v>
      </c>
      <c r="D226" s="37" t="s">
        <v>140</v>
      </c>
      <c r="E226" s="28" t="s">
        <v>141</v>
      </c>
      <c r="F226" s="28" t="s">
        <v>192</v>
      </c>
      <c r="G226" s="29" t="s">
        <v>314</v>
      </c>
      <c r="H226" s="29" t="s">
        <v>558</v>
      </c>
      <c r="I226" s="29" t="s">
        <v>1604</v>
      </c>
      <c r="J226" s="29" t="s">
        <v>1605</v>
      </c>
      <c r="K226" s="28" t="s">
        <v>1589</v>
      </c>
      <c r="L226" s="47" t="s">
        <v>149</v>
      </c>
      <c r="M226" s="31">
        <v>2004.0</v>
      </c>
      <c r="N226" s="31" t="s">
        <v>149</v>
      </c>
      <c r="O226" s="31" t="s">
        <v>149</v>
      </c>
      <c r="P226" s="28" t="s">
        <v>150</v>
      </c>
      <c r="Q226" s="32" t="s">
        <v>151</v>
      </c>
      <c r="R226" s="28" t="s">
        <v>149</v>
      </c>
      <c r="S226" s="32" t="s">
        <v>149</v>
      </c>
      <c r="T226" s="28" t="s">
        <v>154</v>
      </c>
      <c r="U226" s="28" t="s">
        <v>154</v>
      </c>
      <c r="V226" s="26" t="s">
        <v>149</v>
      </c>
      <c r="W226" s="32" t="s">
        <v>791</v>
      </c>
      <c r="X226" s="32" t="s">
        <v>792</v>
      </c>
      <c r="Y226" s="26" t="s">
        <v>793</v>
      </c>
      <c r="Z226" s="26" t="s">
        <v>1594</v>
      </c>
      <c r="AA226" s="26" t="s">
        <v>159</v>
      </c>
      <c r="AB226" s="26" t="s">
        <v>160</v>
      </c>
      <c r="AC226" s="28" t="s">
        <v>322</v>
      </c>
      <c r="AD226" s="28" t="s">
        <v>1594</v>
      </c>
      <c r="AE226" s="29" t="s">
        <v>149</v>
      </c>
      <c r="AF226" s="26" t="s">
        <v>149</v>
      </c>
      <c r="AG226" s="26" t="s">
        <v>1606</v>
      </c>
      <c r="AH226" s="26" t="s">
        <v>369</v>
      </c>
      <c r="AI226" s="28" t="s">
        <v>161</v>
      </c>
      <c r="AJ226" s="28" t="s">
        <v>369</v>
      </c>
      <c r="AK226" s="11" t="s">
        <v>149</v>
      </c>
      <c r="AL226" s="11" t="s">
        <v>149</v>
      </c>
      <c r="AM226" s="26" t="s">
        <v>1607</v>
      </c>
      <c r="AN226" s="28" t="s">
        <v>165</v>
      </c>
      <c r="AO226" s="28" t="s">
        <v>1147</v>
      </c>
      <c r="AP226" s="26" t="s">
        <v>1608</v>
      </c>
      <c r="AQ226" s="38" t="s">
        <v>1609</v>
      </c>
      <c r="AR226" s="11" t="s">
        <v>149</v>
      </c>
      <c r="AS226" s="11" t="s">
        <v>149</v>
      </c>
      <c r="AT226" s="11"/>
    </row>
    <row r="227">
      <c r="A227" s="36" t="s">
        <v>1610</v>
      </c>
      <c r="B227" s="26" t="str">
        <f t="shared" si="1"/>
        <v>2023-PH060406000-2013-0221</v>
      </c>
      <c r="C227" s="27">
        <f t="shared" si="4"/>
        <v>2023</v>
      </c>
      <c r="D227" s="28" t="s">
        <v>140</v>
      </c>
      <c r="E227" s="28" t="s">
        <v>141</v>
      </c>
      <c r="F227" s="28" t="s">
        <v>192</v>
      </c>
      <c r="G227" s="29" t="s">
        <v>314</v>
      </c>
      <c r="H227" s="29" t="s">
        <v>315</v>
      </c>
      <c r="I227" s="29" t="s">
        <v>747</v>
      </c>
      <c r="J227" s="29" t="s">
        <v>748</v>
      </c>
      <c r="K227" s="28" t="s">
        <v>1589</v>
      </c>
      <c r="L227" s="47" t="s">
        <v>149</v>
      </c>
      <c r="M227" s="31">
        <v>2013.0</v>
      </c>
      <c r="N227" s="31" t="s">
        <v>149</v>
      </c>
      <c r="O227" s="31" t="s">
        <v>149</v>
      </c>
      <c r="P227" s="28" t="s">
        <v>150</v>
      </c>
      <c r="Q227" s="32" t="s">
        <v>151</v>
      </c>
      <c r="R227" s="28" t="s">
        <v>152</v>
      </c>
      <c r="S227" s="32" t="s">
        <v>789</v>
      </c>
      <c r="T227" s="28" t="s">
        <v>154</v>
      </c>
      <c r="U227" s="28" t="s">
        <v>154</v>
      </c>
      <c r="V227" s="26" t="s">
        <v>790</v>
      </c>
      <c r="W227" s="32" t="s">
        <v>791</v>
      </c>
      <c r="X227" s="32" t="s">
        <v>792</v>
      </c>
      <c r="Y227" s="28" t="s">
        <v>1611</v>
      </c>
      <c r="Z227" s="26" t="s">
        <v>1612</v>
      </c>
      <c r="AA227" s="26" t="s">
        <v>159</v>
      </c>
      <c r="AB227" s="26" t="s">
        <v>160</v>
      </c>
      <c r="AC227" s="28" t="s">
        <v>322</v>
      </c>
      <c r="AD227" s="28" t="s">
        <v>1594</v>
      </c>
      <c r="AE227" s="29" t="s">
        <v>149</v>
      </c>
      <c r="AF227" s="26" t="s">
        <v>149</v>
      </c>
      <c r="AG227" s="26" t="s">
        <v>149</v>
      </c>
      <c r="AH227" s="26" t="s">
        <v>1613</v>
      </c>
      <c r="AI227" s="26" t="s">
        <v>662</v>
      </c>
      <c r="AJ227" s="28" t="s">
        <v>662</v>
      </c>
      <c r="AK227" s="26" t="s">
        <v>1594</v>
      </c>
      <c r="AL227" s="11" t="s">
        <v>149</v>
      </c>
      <c r="AM227" s="11" t="s">
        <v>149</v>
      </c>
      <c r="AN227" s="28" t="s">
        <v>165</v>
      </c>
      <c r="AO227" s="28" t="s">
        <v>1147</v>
      </c>
      <c r="AP227" s="26" t="s">
        <v>1608</v>
      </c>
      <c r="AQ227" s="38" t="s">
        <v>1614</v>
      </c>
      <c r="AR227" s="11" t="s">
        <v>149</v>
      </c>
      <c r="AS227" s="11" t="s">
        <v>149</v>
      </c>
      <c r="AT227" s="28"/>
    </row>
    <row r="228">
      <c r="A228" s="36" t="s">
        <v>1615</v>
      </c>
      <c r="B228" s="26" t="str">
        <f t="shared" si="1"/>
        <v>2023-PH063008000-Unknown-0249</v>
      </c>
      <c r="C228" s="27">
        <f t="shared" si="4"/>
        <v>2023</v>
      </c>
      <c r="D228" s="37" t="s">
        <v>140</v>
      </c>
      <c r="E228" s="28" t="s">
        <v>141</v>
      </c>
      <c r="F228" s="28" t="s">
        <v>192</v>
      </c>
      <c r="G228" s="29" t="s">
        <v>314</v>
      </c>
      <c r="H228" s="29" t="s">
        <v>558</v>
      </c>
      <c r="I228" s="29" t="s">
        <v>1616</v>
      </c>
      <c r="J228" s="29" t="s">
        <v>1617</v>
      </c>
      <c r="K228" s="28" t="s">
        <v>1589</v>
      </c>
      <c r="L228" s="26" t="s">
        <v>1618</v>
      </c>
      <c r="M228" s="31" t="s">
        <v>149</v>
      </c>
      <c r="N228" s="31" t="s">
        <v>149</v>
      </c>
      <c r="O228" s="31" t="s">
        <v>149</v>
      </c>
      <c r="P228" s="28" t="s">
        <v>150</v>
      </c>
      <c r="Q228" s="32" t="s">
        <v>151</v>
      </c>
      <c r="R228" s="28" t="s">
        <v>149</v>
      </c>
      <c r="S228" s="32" t="s">
        <v>149</v>
      </c>
      <c r="T228" s="28" t="s">
        <v>154</v>
      </c>
      <c r="U228" s="28" t="s">
        <v>154</v>
      </c>
      <c r="V228" s="26" t="s">
        <v>149</v>
      </c>
      <c r="W228" s="32" t="s">
        <v>149</v>
      </c>
      <c r="X228" s="32" t="s">
        <v>254</v>
      </c>
      <c r="Y228" s="26" t="s">
        <v>149</v>
      </c>
      <c r="Z228" s="26" t="s">
        <v>1594</v>
      </c>
      <c r="AA228" s="26" t="s">
        <v>159</v>
      </c>
      <c r="AB228" s="26" t="s">
        <v>160</v>
      </c>
      <c r="AC228" s="28" t="s">
        <v>322</v>
      </c>
      <c r="AD228" s="28" t="s">
        <v>1594</v>
      </c>
      <c r="AE228" s="29" t="s">
        <v>149</v>
      </c>
      <c r="AF228" s="26" t="s">
        <v>149</v>
      </c>
      <c r="AG228" s="26" t="s">
        <v>149</v>
      </c>
      <c r="AH228" s="26" t="s">
        <v>369</v>
      </c>
      <c r="AI228" s="28" t="s">
        <v>161</v>
      </c>
      <c r="AJ228" s="28" t="s">
        <v>369</v>
      </c>
      <c r="AK228" s="11" t="s">
        <v>149</v>
      </c>
      <c r="AL228" s="11" t="s">
        <v>149</v>
      </c>
      <c r="AM228" s="11" t="s">
        <v>149</v>
      </c>
      <c r="AN228" s="28" t="s">
        <v>165</v>
      </c>
      <c r="AO228" s="28" t="s">
        <v>731</v>
      </c>
      <c r="AP228" s="28" t="s">
        <v>1619</v>
      </c>
      <c r="AQ228" s="38" t="s">
        <v>1620</v>
      </c>
      <c r="AR228" s="11" t="s">
        <v>149</v>
      </c>
      <c r="AS228" s="11" t="s">
        <v>149</v>
      </c>
      <c r="AT228" s="11"/>
    </row>
    <row r="229" ht="13.5" customHeight="1">
      <c r="A229" s="36" t="s">
        <v>1621</v>
      </c>
      <c r="B229" s="26" t="str">
        <f t="shared" si="1"/>
        <v>2023-PH050501000-2022-0184</v>
      </c>
      <c r="C229" s="27">
        <f t="shared" si="4"/>
        <v>2023</v>
      </c>
      <c r="D229" s="37" t="s">
        <v>140</v>
      </c>
      <c r="E229" s="28" t="s">
        <v>141</v>
      </c>
      <c r="F229" s="28" t="s">
        <v>192</v>
      </c>
      <c r="G229" s="29" t="s">
        <v>535</v>
      </c>
      <c r="H229" s="29" t="s">
        <v>893</v>
      </c>
      <c r="I229" s="29" t="s">
        <v>1622</v>
      </c>
      <c r="J229" s="29" t="s">
        <v>1623</v>
      </c>
      <c r="K229" s="26" t="s">
        <v>1624</v>
      </c>
      <c r="L229" s="26" t="s">
        <v>1625</v>
      </c>
      <c r="M229" s="31">
        <v>2022.0</v>
      </c>
      <c r="N229" s="31" t="s">
        <v>149</v>
      </c>
      <c r="O229" s="31" t="s">
        <v>149</v>
      </c>
      <c r="P229" s="28" t="s">
        <v>177</v>
      </c>
      <c r="Q229" s="32" t="s">
        <v>319</v>
      </c>
      <c r="R229" s="28" t="s">
        <v>154</v>
      </c>
      <c r="S229" s="32" t="s">
        <v>154</v>
      </c>
      <c r="T229" s="28" t="s">
        <v>300</v>
      </c>
      <c r="U229" s="28" t="s">
        <v>149</v>
      </c>
      <c r="V229" s="26" t="s">
        <v>179</v>
      </c>
      <c r="W229" s="32" t="s">
        <v>671</v>
      </c>
      <c r="X229" s="32" t="s">
        <v>672</v>
      </c>
      <c r="Y229" s="26" t="s">
        <v>1626</v>
      </c>
      <c r="Z229" s="26" t="s">
        <v>1627</v>
      </c>
      <c r="AA229" s="26" t="s">
        <v>159</v>
      </c>
      <c r="AB229" s="26" t="s">
        <v>160</v>
      </c>
      <c r="AC229" s="28" t="s">
        <v>322</v>
      </c>
      <c r="AD229" s="28" t="s">
        <v>1628</v>
      </c>
      <c r="AE229" s="29" t="s">
        <v>149</v>
      </c>
      <c r="AF229" s="26" t="s">
        <v>149</v>
      </c>
      <c r="AG229" s="26" t="s">
        <v>1629</v>
      </c>
      <c r="AH229" s="26" t="s">
        <v>1627</v>
      </c>
      <c r="AI229" s="28" t="s">
        <v>322</v>
      </c>
      <c r="AJ229" s="28" t="s">
        <v>1628</v>
      </c>
      <c r="AK229" s="26" t="s">
        <v>149</v>
      </c>
      <c r="AL229" s="26" t="s">
        <v>149</v>
      </c>
      <c r="AM229" s="26" t="s">
        <v>149</v>
      </c>
      <c r="AN229" s="28" t="s">
        <v>165</v>
      </c>
      <c r="AO229" s="26" t="s">
        <v>166</v>
      </c>
      <c r="AP229" s="26" t="s">
        <v>1630</v>
      </c>
      <c r="AQ229" s="38" t="s">
        <v>1631</v>
      </c>
      <c r="AR229" s="26" t="s">
        <v>149</v>
      </c>
      <c r="AS229" s="26" t="s">
        <v>149</v>
      </c>
      <c r="AT229" s="11"/>
    </row>
    <row r="230" ht="15.0" customHeight="1">
      <c r="A230" s="25" t="s">
        <v>1632</v>
      </c>
      <c r="B230" s="26" t="str">
        <f t="shared" si="1"/>
        <v>2023-PH013303000-2021-0021</v>
      </c>
      <c r="C230" s="27">
        <f t="shared" si="4"/>
        <v>2023</v>
      </c>
      <c r="D230" s="28" t="s">
        <v>140</v>
      </c>
      <c r="E230" s="28" t="s">
        <v>141</v>
      </c>
      <c r="F230" s="28" t="s">
        <v>142</v>
      </c>
      <c r="G230" s="29" t="s">
        <v>143</v>
      </c>
      <c r="H230" s="29" t="s">
        <v>438</v>
      </c>
      <c r="I230" s="29" t="s">
        <v>1633</v>
      </c>
      <c r="J230" s="29" t="s">
        <v>1634</v>
      </c>
      <c r="K230" s="26" t="s">
        <v>1635</v>
      </c>
      <c r="L230" s="46" t="s">
        <v>149</v>
      </c>
      <c r="M230" s="31">
        <v>2021.0</v>
      </c>
      <c r="N230" s="49">
        <v>2021.0</v>
      </c>
      <c r="O230" s="49">
        <v>2021.0</v>
      </c>
      <c r="P230" s="28" t="s">
        <v>150</v>
      </c>
      <c r="Q230" s="32" t="s">
        <v>151</v>
      </c>
      <c r="R230" s="28" t="s">
        <v>152</v>
      </c>
      <c r="S230" s="32" t="s">
        <v>153</v>
      </c>
      <c r="T230" s="28" t="s">
        <v>154</v>
      </c>
      <c r="U230" s="28" t="s">
        <v>154</v>
      </c>
      <c r="V230" s="26" t="s">
        <v>153</v>
      </c>
      <c r="W230" s="32" t="s">
        <v>1177</v>
      </c>
      <c r="X230" s="32" t="s">
        <v>1178</v>
      </c>
      <c r="Y230" s="28" t="s">
        <v>1636</v>
      </c>
      <c r="Z230" s="33" t="s">
        <v>158</v>
      </c>
      <c r="AA230" s="26" t="s">
        <v>159</v>
      </c>
      <c r="AB230" s="26" t="s">
        <v>160</v>
      </c>
      <c r="AC230" s="28" t="s">
        <v>161</v>
      </c>
      <c r="AD230" s="28" t="s">
        <v>158</v>
      </c>
      <c r="AE230" s="29" t="s">
        <v>149</v>
      </c>
      <c r="AF230" s="26" t="s">
        <v>149</v>
      </c>
      <c r="AG230" s="28" t="s">
        <v>1637</v>
      </c>
      <c r="AH230" s="26" t="s">
        <v>158</v>
      </c>
      <c r="AI230" s="28" t="s">
        <v>161</v>
      </c>
      <c r="AJ230" s="28" t="s">
        <v>158</v>
      </c>
      <c r="AK230" s="28" t="s">
        <v>1638</v>
      </c>
      <c r="AL230" s="26" t="s">
        <v>149</v>
      </c>
      <c r="AM230" s="28" t="s">
        <v>1639</v>
      </c>
      <c r="AN230" s="28" t="s">
        <v>165</v>
      </c>
      <c r="AO230" s="26" t="s">
        <v>166</v>
      </c>
      <c r="AP230" s="26" t="s">
        <v>1640</v>
      </c>
      <c r="AQ230" s="38" t="s">
        <v>1641</v>
      </c>
      <c r="AR230" s="26" t="s">
        <v>149</v>
      </c>
      <c r="AS230" s="26" t="s">
        <v>149</v>
      </c>
      <c r="AT230" s="51" t="s">
        <v>1642</v>
      </c>
    </row>
    <row r="231">
      <c r="A231" s="25" t="s">
        <v>1643</v>
      </c>
      <c r="B231" s="26" t="str">
        <f t="shared" si="1"/>
        <v>2023-PH013305000-2021-0023</v>
      </c>
      <c r="C231" s="27">
        <f t="shared" si="4"/>
        <v>2023</v>
      </c>
      <c r="D231" s="28" t="s">
        <v>140</v>
      </c>
      <c r="E231" s="28" t="s">
        <v>141</v>
      </c>
      <c r="F231" s="28" t="s">
        <v>142</v>
      </c>
      <c r="G231" s="29" t="s">
        <v>143</v>
      </c>
      <c r="H231" s="29" t="s">
        <v>438</v>
      </c>
      <c r="I231" s="40" t="s">
        <v>1564</v>
      </c>
      <c r="J231" s="29" t="s">
        <v>1565</v>
      </c>
      <c r="K231" s="26" t="s">
        <v>1635</v>
      </c>
      <c r="L231" s="46" t="s">
        <v>149</v>
      </c>
      <c r="M231" s="31">
        <v>2021.0</v>
      </c>
      <c r="N231" s="49">
        <v>2021.0</v>
      </c>
      <c r="O231" s="49">
        <v>2021.0</v>
      </c>
      <c r="P231" s="28" t="s">
        <v>150</v>
      </c>
      <c r="Q231" s="32" t="s">
        <v>151</v>
      </c>
      <c r="R231" s="28" t="s">
        <v>152</v>
      </c>
      <c r="S231" s="32" t="s">
        <v>153</v>
      </c>
      <c r="T231" s="28" t="s">
        <v>154</v>
      </c>
      <c r="U231" s="28" t="s">
        <v>154</v>
      </c>
      <c r="V231" s="26" t="s">
        <v>153</v>
      </c>
      <c r="W231" s="32" t="s">
        <v>1177</v>
      </c>
      <c r="X231" s="32" t="s">
        <v>1178</v>
      </c>
      <c r="Y231" s="28" t="s">
        <v>1644</v>
      </c>
      <c r="Z231" s="33" t="s">
        <v>158</v>
      </c>
      <c r="AA231" s="26" t="s">
        <v>159</v>
      </c>
      <c r="AB231" s="26" t="s">
        <v>160</v>
      </c>
      <c r="AC231" s="28" t="s">
        <v>161</v>
      </c>
      <c r="AD231" s="28" t="s">
        <v>158</v>
      </c>
      <c r="AE231" s="29" t="s">
        <v>149</v>
      </c>
      <c r="AF231" s="26" t="s">
        <v>149</v>
      </c>
      <c r="AG231" s="28" t="s">
        <v>1637</v>
      </c>
      <c r="AH231" s="26" t="s">
        <v>158</v>
      </c>
      <c r="AI231" s="28" t="s">
        <v>161</v>
      </c>
      <c r="AJ231" s="28" t="s">
        <v>158</v>
      </c>
      <c r="AK231" s="28" t="s">
        <v>1638</v>
      </c>
      <c r="AL231" s="26" t="s">
        <v>149</v>
      </c>
      <c r="AM231" s="28" t="s">
        <v>1639</v>
      </c>
      <c r="AN231" s="28" t="s">
        <v>165</v>
      </c>
      <c r="AO231" s="26" t="s">
        <v>166</v>
      </c>
      <c r="AP231" s="26" t="s">
        <v>1640</v>
      </c>
      <c r="AQ231" s="26" t="s">
        <v>1641</v>
      </c>
      <c r="AR231" s="26" t="s">
        <v>149</v>
      </c>
      <c r="AS231" s="26" t="s">
        <v>149</v>
      </c>
      <c r="AT231" s="51" t="s">
        <v>1642</v>
      </c>
    </row>
    <row r="232">
      <c r="A232" s="25" t="s">
        <v>1645</v>
      </c>
      <c r="B232" s="26" t="str">
        <f t="shared" si="1"/>
        <v>2023-PH013316000-2021-0030</v>
      </c>
      <c r="C232" s="27">
        <f t="shared" si="4"/>
        <v>2023</v>
      </c>
      <c r="D232" s="28" t="s">
        <v>140</v>
      </c>
      <c r="E232" s="28" t="s">
        <v>141</v>
      </c>
      <c r="F232" s="28" t="s">
        <v>142</v>
      </c>
      <c r="G232" s="29" t="s">
        <v>143</v>
      </c>
      <c r="H232" s="29" t="s">
        <v>438</v>
      </c>
      <c r="I232" s="29" t="s">
        <v>491</v>
      </c>
      <c r="J232" s="29" t="s">
        <v>1646</v>
      </c>
      <c r="K232" s="26" t="s">
        <v>1635</v>
      </c>
      <c r="L232" s="46" t="s">
        <v>149</v>
      </c>
      <c r="M232" s="31">
        <v>2021.0</v>
      </c>
      <c r="N232" s="49">
        <v>2021.0</v>
      </c>
      <c r="O232" s="49">
        <v>2021.0</v>
      </c>
      <c r="P232" s="28" t="s">
        <v>150</v>
      </c>
      <c r="Q232" s="32" t="s">
        <v>151</v>
      </c>
      <c r="R232" s="28" t="s">
        <v>152</v>
      </c>
      <c r="S232" s="32" t="s">
        <v>153</v>
      </c>
      <c r="T232" s="28" t="s">
        <v>154</v>
      </c>
      <c r="U232" s="28" t="s">
        <v>154</v>
      </c>
      <c r="V232" s="26" t="s">
        <v>153</v>
      </c>
      <c r="W232" s="32" t="s">
        <v>1177</v>
      </c>
      <c r="X232" s="32" t="s">
        <v>1178</v>
      </c>
      <c r="Y232" s="26" t="s">
        <v>1647</v>
      </c>
      <c r="Z232" s="33" t="s">
        <v>158</v>
      </c>
      <c r="AA232" s="26" t="s">
        <v>159</v>
      </c>
      <c r="AB232" s="26" t="s">
        <v>160</v>
      </c>
      <c r="AC232" s="28" t="s">
        <v>161</v>
      </c>
      <c r="AD232" s="28" t="s">
        <v>158</v>
      </c>
      <c r="AE232" s="29" t="s">
        <v>149</v>
      </c>
      <c r="AF232" s="26" t="s">
        <v>149</v>
      </c>
      <c r="AG232" s="28" t="s">
        <v>1637</v>
      </c>
      <c r="AH232" s="26" t="s">
        <v>158</v>
      </c>
      <c r="AI232" s="28" t="s">
        <v>161</v>
      </c>
      <c r="AJ232" s="28" t="s">
        <v>158</v>
      </c>
      <c r="AK232" s="28" t="s">
        <v>1638</v>
      </c>
      <c r="AL232" s="26" t="s">
        <v>149</v>
      </c>
      <c r="AM232" s="28" t="s">
        <v>1639</v>
      </c>
      <c r="AN232" s="28" t="s">
        <v>165</v>
      </c>
      <c r="AO232" s="26" t="s">
        <v>166</v>
      </c>
      <c r="AP232" s="26" t="s">
        <v>1640</v>
      </c>
      <c r="AQ232" s="38" t="s">
        <v>1641</v>
      </c>
      <c r="AR232" s="26" t="s">
        <v>149</v>
      </c>
      <c r="AS232" s="26" t="s">
        <v>149</v>
      </c>
      <c r="AT232" s="51" t="s">
        <v>1642</v>
      </c>
    </row>
    <row r="233">
      <c r="A233" s="36" t="s">
        <v>1648</v>
      </c>
      <c r="B233" s="26" t="str">
        <f t="shared" si="1"/>
        <v>2023-PH015522000-2022-0085</v>
      </c>
      <c r="C233" s="27">
        <f t="shared" si="4"/>
        <v>2023</v>
      </c>
      <c r="D233" s="28" t="s">
        <v>140</v>
      </c>
      <c r="E233" s="28" t="s">
        <v>141</v>
      </c>
      <c r="F233" s="28" t="s">
        <v>142</v>
      </c>
      <c r="G233" s="29" t="s">
        <v>143</v>
      </c>
      <c r="H233" s="29" t="s">
        <v>144</v>
      </c>
      <c r="I233" s="29" t="s">
        <v>1649</v>
      </c>
      <c r="J233" s="29" t="s">
        <v>1650</v>
      </c>
      <c r="K233" s="26" t="s">
        <v>1651</v>
      </c>
      <c r="L233" s="26" t="s">
        <v>1652</v>
      </c>
      <c r="M233" s="31">
        <v>2022.0</v>
      </c>
      <c r="N233" s="31" t="s">
        <v>149</v>
      </c>
      <c r="O233" s="31" t="s">
        <v>149</v>
      </c>
      <c r="P233" s="28" t="s">
        <v>150</v>
      </c>
      <c r="Q233" s="32" t="s">
        <v>151</v>
      </c>
      <c r="R233" s="28" t="s">
        <v>152</v>
      </c>
      <c r="S233" s="32" t="s">
        <v>351</v>
      </c>
      <c r="T233" s="28" t="s">
        <v>154</v>
      </c>
      <c r="U233" s="28" t="s">
        <v>154</v>
      </c>
      <c r="V233" s="28" t="s">
        <v>1653</v>
      </c>
      <c r="W233" s="32" t="s">
        <v>656</v>
      </c>
      <c r="X233" s="32" t="s">
        <v>657</v>
      </c>
      <c r="Y233" s="26" t="s">
        <v>1654</v>
      </c>
      <c r="Z233" s="33" t="s">
        <v>369</v>
      </c>
      <c r="AA233" s="26" t="s">
        <v>159</v>
      </c>
      <c r="AB233" s="26" t="s">
        <v>160</v>
      </c>
      <c r="AC233" s="28" t="s">
        <v>161</v>
      </c>
      <c r="AD233" s="28" t="s">
        <v>369</v>
      </c>
      <c r="AE233" s="29" t="s">
        <v>149</v>
      </c>
      <c r="AF233" s="26" t="s">
        <v>149</v>
      </c>
      <c r="AG233" s="26" t="s">
        <v>162</v>
      </c>
      <c r="AH233" s="26" t="s">
        <v>369</v>
      </c>
      <c r="AI233" s="28" t="s">
        <v>161</v>
      </c>
      <c r="AJ233" s="28" t="s">
        <v>369</v>
      </c>
      <c r="AK233" s="28" t="s">
        <v>1655</v>
      </c>
      <c r="AL233" s="11" t="s">
        <v>149</v>
      </c>
      <c r="AM233" s="11" t="s">
        <v>149</v>
      </c>
      <c r="AN233" s="28" t="s">
        <v>165</v>
      </c>
      <c r="AO233" s="26" t="s">
        <v>166</v>
      </c>
      <c r="AP233" s="26" t="s">
        <v>1656</v>
      </c>
      <c r="AQ233" s="38" t="s">
        <v>1657</v>
      </c>
      <c r="AR233" s="35" t="s">
        <v>169</v>
      </c>
      <c r="AS233" s="11" t="s">
        <v>149</v>
      </c>
      <c r="AT233" s="11"/>
    </row>
    <row r="234">
      <c r="A234" s="36" t="s">
        <v>1658</v>
      </c>
      <c r="B234" s="26" t="str">
        <f t="shared" si="1"/>
        <v>2023-PH112317000-1991-0366</v>
      </c>
      <c r="C234" s="27">
        <f t="shared" si="4"/>
        <v>2023</v>
      </c>
      <c r="D234" s="37" t="s">
        <v>140</v>
      </c>
      <c r="E234" s="28" t="s">
        <v>141</v>
      </c>
      <c r="F234" s="28" t="s">
        <v>142</v>
      </c>
      <c r="G234" s="29" t="s">
        <v>330</v>
      </c>
      <c r="H234" s="29" t="s">
        <v>331</v>
      </c>
      <c r="I234" s="40" t="s">
        <v>980</v>
      </c>
      <c r="J234" s="29" t="s">
        <v>981</v>
      </c>
      <c r="K234" s="26" t="s">
        <v>1659</v>
      </c>
      <c r="L234" s="28" t="s">
        <v>149</v>
      </c>
      <c r="M234" s="31">
        <v>1991.0</v>
      </c>
      <c r="N234" s="31">
        <v>1990.0</v>
      </c>
      <c r="O234" s="31">
        <v>1992.0</v>
      </c>
      <c r="P234" s="28" t="s">
        <v>150</v>
      </c>
      <c r="Q234" s="32" t="s">
        <v>151</v>
      </c>
      <c r="R234" s="28" t="s">
        <v>281</v>
      </c>
      <c r="S234" s="32" t="s">
        <v>1660</v>
      </c>
      <c r="T234" s="28" t="s">
        <v>154</v>
      </c>
      <c r="U234" s="28" t="s">
        <v>154</v>
      </c>
      <c r="V234" s="51" t="s">
        <v>1661</v>
      </c>
      <c r="W234" s="32" t="s">
        <v>656</v>
      </c>
      <c r="X234" s="32" t="s">
        <v>657</v>
      </c>
      <c r="Y234" s="26" t="s">
        <v>1380</v>
      </c>
      <c r="Z234" s="58" t="s">
        <v>1662</v>
      </c>
      <c r="AA234" s="26" t="s">
        <v>159</v>
      </c>
      <c r="AB234" s="26" t="s">
        <v>160</v>
      </c>
      <c r="AC234" s="28" t="s">
        <v>322</v>
      </c>
      <c r="AD234" s="28" t="s">
        <v>323</v>
      </c>
      <c r="AE234" s="29" t="s">
        <v>149</v>
      </c>
      <c r="AF234" s="26" t="s">
        <v>149</v>
      </c>
      <c r="AG234" s="26" t="s">
        <v>149</v>
      </c>
      <c r="AH234" s="26" t="s">
        <v>1663</v>
      </c>
      <c r="AI234" s="28" t="s">
        <v>322</v>
      </c>
      <c r="AJ234" s="28" t="s">
        <v>323</v>
      </c>
      <c r="AK234" s="11" t="s">
        <v>149</v>
      </c>
      <c r="AL234" s="51" t="s">
        <v>1664</v>
      </c>
      <c r="AM234" s="11" t="s">
        <v>149</v>
      </c>
      <c r="AN234" s="28" t="s">
        <v>241</v>
      </c>
      <c r="AO234" s="26" t="s">
        <v>395</v>
      </c>
      <c r="AP234" s="28" t="s">
        <v>396</v>
      </c>
      <c r="AQ234" s="38" t="s">
        <v>541</v>
      </c>
      <c r="AR234" s="26" t="s">
        <v>398</v>
      </c>
      <c r="AS234" s="28" t="s">
        <v>149</v>
      </c>
      <c r="AT234" s="11" t="s">
        <v>1665</v>
      </c>
    </row>
    <row r="235">
      <c r="A235" s="36" t="s">
        <v>1666</v>
      </c>
      <c r="B235" s="26" t="str">
        <f t="shared" si="1"/>
        <v>2023-PH051733000-1991-0204</v>
      </c>
      <c r="C235" s="27">
        <f t="shared" si="4"/>
        <v>2023</v>
      </c>
      <c r="D235" s="37" t="s">
        <v>140</v>
      </c>
      <c r="E235" s="28" t="s">
        <v>141</v>
      </c>
      <c r="F235" s="28" t="s">
        <v>142</v>
      </c>
      <c r="G235" s="29" t="s">
        <v>535</v>
      </c>
      <c r="H235" s="29" t="s">
        <v>1089</v>
      </c>
      <c r="I235" s="29" t="s">
        <v>1667</v>
      </c>
      <c r="J235" s="29" t="s">
        <v>1668</v>
      </c>
      <c r="K235" s="26" t="s">
        <v>1659</v>
      </c>
      <c r="L235" s="28" t="s">
        <v>149</v>
      </c>
      <c r="M235" s="31">
        <v>1991.0</v>
      </c>
      <c r="N235" s="31">
        <v>1990.0</v>
      </c>
      <c r="O235" s="31">
        <v>1992.0</v>
      </c>
      <c r="P235" s="28" t="s">
        <v>150</v>
      </c>
      <c r="Q235" s="32" t="s">
        <v>151</v>
      </c>
      <c r="R235" s="28" t="s">
        <v>281</v>
      </c>
      <c r="S235" s="32" t="s">
        <v>1660</v>
      </c>
      <c r="T235" s="28" t="s">
        <v>154</v>
      </c>
      <c r="U235" s="28" t="s">
        <v>154</v>
      </c>
      <c r="V235" s="51" t="s">
        <v>1661</v>
      </c>
      <c r="W235" s="32" t="s">
        <v>656</v>
      </c>
      <c r="X235" s="32" t="s">
        <v>657</v>
      </c>
      <c r="Y235" s="26" t="s">
        <v>1380</v>
      </c>
      <c r="Z235" s="58" t="s">
        <v>1662</v>
      </c>
      <c r="AA235" s="26" t="s">
        <v>159</v>
      </c>
      <c r="AB235" s="26" t="s">
        <v>160</v>
      </c>
      <c r="AC235" s="28" t="s">
        <v>322</v>
      </c>
      <c r="AD235" s="28" t="s">
        <v>323</v>
      </c>
      <c r="AE235" s="29" t="s">
        <v>149</v>
      </c>
      <c r="AF235" s="26" t="s">
        <v>149</v>
      </c>
      <c r="AG235" s="26" t="s">
        <v>149</v>
      </c>
      <c r="AH235" s="26" t="s">
        <v>1663</v>
      </c>
      <c r="AI235" s="28" t="s">
        <v>322</v>
      </c>
      <c r="AJ235" s="28" t="s">
        <v>323</v>
      </c>
      <c r="AK235" s="26" t="s">
        <v>369</v>
      </c>
      <c r="AL235" s="26" t="s">
        <v>149</v>
      </c>
      <c r="AM235" s="26" t="s">
        <v>149</v>
      </c>
      <c r="AN235" s="28" t="s">
        <v>241</v>
      </c>
      <c r="AO235" s="26" t="s">
        <v>395</v>
      </c>
      <c r="AP235" s="28" t="s">
        <v>396</v>
      </c>
      <c r="AQ235" s="38" t="s">
        <v>541</v>
      </c>
      <c r="AR235" s="26" t="s">
        <v>398</v>
      </c>
      <c r="AS235" s="26" t="s">
        <v>149</v>
      </c>
      <c r="AT235" s="11" t="s">
        <v>1669</v>
      </c>
    </row>
    <row r="236">
      <c r="A236" s="36" t="s">
        <v>1670</v>
      </c>
      <c r="B236" s="26" t="str">
        <f t="shared" si="1"/>
        <v>2023-PH064523000-1991-0413</v>
      </c>
      <c r="C236" s="27">
        <f t="shared" si="4"/>
        <v>2023</v>
      </c>
      <c r="D236" s="28" t="s">
        <v>140</v>
      </c>
      <c r="E236" s="28" t="s">
        <v>141</v>
      </c>
      <c r="F236" s="28" t="s">
        <v>142</v>
      </c>
      <c r="G236" s="29" t="s">
        <v>625</v>
      </c>
      <c r="H236" s="29" t="s">
        <v>626</v>
      </c>
      <c r="I236" s="40" t="s">
        <v>1671</v>
      </c>
      <c r="J236" s="40" t="s">
        <v>1672</v>
      </c>
      <c r="K236" s="26" t="s">
        <v>1659</v>
      </c>
      <c r="L236" s="47" t="s">
        <v>149</v>
      </c>
      <c r="M236" s="49">
        <v>1991.0</v>
      </c>
      <c r="N236" s="31">
        <v>1990.0</v>
      </c>
      <c r="O236" s="31">
        <v>1992.0</v>
      </c>
      <c r="P236" s="28" t="s">
        <v>150</v>
      </c>
      <c r="Q236" s="32" t="s">
        <v>151</v>
      </c>
      <c r="R236" s="28" t="s">
        <v>281</v>
      </c>
      <c r="S236" s="32" t="s">
        <v>1660</v>
      </c>
      <c r="T236" s="28" t="s">
        <v>154</v>
      </c>
      <c r="U236" s="28" t="s">
        <v>154</v>
      </c>
      <c r="V236" s="51" t="s">
        <v>1661</v>
      </c>
      <c r="W236" s="32" t="s">
        <v>656</v>
      </c>
      <c r="X236" s="32" t="s">
        <v>657</v>
      </c>
      <c r="Y236" s="26" t="s">
        <v>1380</v>
      </c>
      <c r="Z236" s="58" t="s">
        <v>1662</v>
      </c>
      <c r="AA236" s="26" t="s">
        <v>159</v>
      </c>
      <c r="AB236" s="26" t="s">
        <v>160</v>
      </c>
      <c r="AC236" s="28" t="s">
        <v>322</v>
      </c>
      <c r="AD236" s="28" t="s">
        <v>323</v>
      </c>
      <c r="AE236" s="29" t="s">
        <v>149</v>
      </c>
      <c r="AF236" s="26" t="s">
        <v>149</v>
      </c>
      <c r="AG236" s="26" t="s">
        <v>149</v>
      </c>
      <c r="AH236" s="26" t="s">
        <v>1673</v>
      </c>
      <c r="AI236" s="28" t="s">
        <v>322</v>
      </c>
      <c r="AJ236" s="28" t="s">
        <v>323</v>
      </c>
      <c r="AK236" s="11" t="s">
        <v>369</v>
      </c>
      <c r="AL236" s="11" t="s">
        <v>149</v>
      </c>
      <c r="AM236" s="11" t="s">
        <v>149</v>
      </c>
      <c r="AN236" s="28" t="s">
        <v>241</v>
      </c>
      <c r="AO236" s="26" t="s">
        <v>395</v>
      </c>
      <c r="AP236" s="28" t="s">
        <v>396</v>
      </c>
      <c r="AQ236" s="38" t="s">
        <v>541</v>
      </c>
      <c r="AR236" s="26" t="s">
        <v>398</v>
      </c>
      <c r="AS236" s="11" t="s">
        <v>149</v>
      </c>
      <c r="AT236" s="11" t="s">
        <v>1674</v>
      </c>
    </row>
    <row r="237">
      <c r="A237" s="72" t="s">
        <v>1675</v>
      </c>
      <c r="B237" s="26" t="str">
        <f t="shared" si="1"/>
        <v>2025-PH175316000-1991-0460</v>
      </c>
      <c r="C237" s="83">
        <v>2025.0</v>
      </c>
      <c r="D237" s="75" t="s">
        <v>191</v>
      </c>
      <c r="E237" s="75" t="s">
        <v>191</v>
      </c>
      <c r="F237" s="28" t="s">
        <v>142</v>
      </c>
      <c r="G237" s="77" t="s">
        <v>522</v>
      </c>
      <c r="H237" s="77" t="s">
        <v>523</v>
      </c>
      <c r="I237" s="40" t="s">
        <v>524</v>
      </c>
      <c r="J237" s="77" t="s">
        <v>525</v>
      </c>
      <c r="K237" s="74" t="s">
        <v>1659</v>
      </c>
      <c r="L237" s="75" t="s">
        <v>1676</v>
      </c>
      <c r="M237" s="78">
        <v>1991.0</v>
      </c>
      <c r="N237" s="78">
        <v>1990.0</v>
      </c>
      <c r="O237" s="78">
        <v>1992.0</v>
      </c>
      <c r="P237" s="74" t="s">
        <v>150</v>
      </c>
      <c r="Q237" s="79" t="s">
        <v>151</v>
      </c>
      <c r="R237" s="28" t="s">
        <v>1677</v>
      </c>
      <c r="S237" s="80" t="s">
        <v>1660</v>
      </c>
      <c r="T237" s="74" t="s">
        <v>154</v>
      </c>
      <c r="U237" s="74" t="s">
        <v>154</v>
      </c>
      <c r="V237" s="51" t="s">
        <v>1661</v>
      </c>
      <c r="W237" s="80" t="s">
        <v>656</v>
      </c>
      <c r="X237" s="74" t="s">
        <v>657</v>
      </c>
      <c r="Y237" s="80" t="s">
        <v>1380</v>
      </c>
      <c r="Z237" s="97" t="s">
        <v>1662</v>
      </c>
      <c r="AA237" s="80" t="s">
        <v>159</v>
      </c>
      <c r="AB237" s="80" t="s">
        <v>160</v>
      </c>
      <c r="AC237" s="28" t="s">
        <v>322</v>
      </c>
      <c r="AD237" s="80" t="s">
        <v>323</v>
      </c>
      <c r="AE237" s="76" t="s">
        <v>149</v>
      </c>
      <c r="AF237" s="80" t="s">
        <v>149</v>
      </c>
      <c r="AG237" s="74" t="s">
        <v>149</v>
      </c>
      <c r="AH237" s="80" t="s">
        <v>1663</v>
      </c>
      <c r="AI237" s="28" t="s">
        <v>322</v>
      </c>
      <c r="AJ237" s="74" t="s">
        <v>323</v>
      </c>
      <c r="AK237" s="51" t="s">
        <v>1678</v>
      </c>
      <c r="AL237" s="75" t="s">
        <v>149</v>
      </c>
      <c r="AM237" s="74" t="s">
        <v>149</v>
      </c>
      <c r="AN237" s="28" t="s">
        <v>241</v>
      </c>
      <c r="AO237" s="80" t="s">
        <v>395</v>
      </c>
      <c r="AP237" s="28" t="s">
        <v>396</v>
      </c>
      <c r="AQ237" s="38" t="s">
        <v>541</v>
      </c>
      <c r="AR237" s="74" t="s">
        <v>398</v>
      </c>
      <c r="AS237" s="74" t="s">
        <v>149</v>
      </c>
      <c r="AT237" s="11" t="s">
        <v>1679</v>
      </c>
    </row>
    <row r="238">
      <c r="A238" s="25" t="s">
        <v>1680</v>
      </c>
      <c r="B238" s="26" t="str">
        <f t="shared" si="1"/>
        <v>2023-PH012815000-2015-0004</v>
      </c>
      <c r="C238" s="27">
        <f t="shared" ref="C238:C471" si="5">IF(OR(D238="Published", D238="Unpublished"), 2023, IF(D238="New", 2025, ""))
</f>
        <v>2023</v>
      </c>
      <c r="D238" s="28" t="s">
        <v>140</v>
      </c>
      <c r="E238" s="28" t="s">
        <v>141</v>
      </c>
      <c r="F238" s="28" t="s">
        <v>192</v>
      </c>
      <c r="G238" s="29" t="s">
        <v>143</v>
      </c>
      <c r="H238" s="29" t="s">
        <v>381</v>
      </c>
      <c r="I238" s="29" t="s">
        <v>1681</v>
      </c>
      <c r="J238" s="29" t="s">
        <v>1682</v>
      </c>
      <c r="K238" s="26" t="s">
        <v>1683</v>
      </c>
      <c r="L238" s="47" t="s">
        <v>149</v>
      </c>
      <c r="M238" s="31">
        <v>2015.0</v>
      </c>
      <c r="N238" s="98">
        <v>2014.0</v>
      </c>
      <c r="O238" s="31">
        <v>2016.0</v>
      </c>
      <c r="P238" s="28" t="s">
        <v>177</v>
      </c>
      <c r="Q238" s="28" t="s">
        <v>319</v>
      </c>
      <c r="R238" s="28" t="s">
        <v>154</v>
      </c>
      <c r="S238" s="32" t="s">
        <v>154</v>
      </c>
      <c r="T238" s="28" t="s">
        <v>300</v>
      </c>
      <c r="U238" s="28" t="s">
        <v>149</v>
      </c>
      <c r="V238" s="26" t="s">
        <v>179</v>
      </c>
      <c r="W238" s="32" t="s">
        <v>1135</v>
      </c>
      <c r="X238" s="32" t="s">
        <v>1136</v>
      </c>
      <c r="Y238" s="28" t="s">
        <v>1684</v>
      </c>
      <c r="Z238" s="26" t="s">
        <v>321</v>
      </c>
      <c r="AA238" s="26" t="s">
        <v>159</v>
      </c>
      <c r="AB238" s="26" t="s">
        <v>160</v>
      </c>
      <c r="AC238" s="28" t="s">
        <v>322</v>
      </c>
      <c r="AD238" s="28" t="s">
        <v>323</v>
      </c>
      <c r="AE238" s="29" t="s">
        <v>149</v>
      </c>
      <c r="AF238" s="26" t="s">
        <v>149</v>
      </c>
      <c r="AG238" s="26" t="s">
        <v>1685</v>
      </c>
      <c r="AH238" s="26" t="s">
        <v>1686</v>
      </c>
      <c r="AI238" s="32" t="s">
        <v>209</v>
      </c>
      <c r="AJ238" s="58" t="s">
        <v>227</v>
      </c>
      <c r="AK238" s="26" t="s">
        <v>149</v>
      </c>
      <c r="AL238" s="26" t="s">
        <v>149</v>
      </c>
      <c r="AM238" s="26" t="s">
        <v>149</v>
      </c>
      <c r="AN238" s="28" t="s">
        <v>165</v>
      </c>
      <c r="AO238" s="28" t="s">
        <v>1147</v>
      </c>
      <c r="AP238" s="26" t="s">
        <v>1300</v>
      </c>
      <c r="AQ238" s="34" t="s">
        <v>1687</v>
      </c>
      <c r="AR238" s="26" t="s">
        <v>149</v>
      </c>
      <c r="AS238" s="26" t="s">
        <v>149</v>
      </c>
      <c r="AT238" s="11"/>
    </row>
    <row r="239">
      <c r="A239" s="36" t="s">
        <v>1688</v>
      </c>
      <c r="B239" s="26" t="str">
        <f t="shared" si="1"/>
        <v>2023-PH128003000-2014-0388</v>
      </c>
      <c r="C239" s="27">
        <f t="shared" si="5"/>
        <v>2023</v>
      </c>
      <c r="D239" s="37" t="s">
        <v>140</v>
      </c>
      <c r="E239" s="28" t="s">
        <v>141</v>
      </c>
      <c r="F239" s="28" t="s">
        <v>192</v>
      </c>
      <c r="G239" s="29" t="s">
        <v>356</v>
      </c>
      <c r="H239" s="29" t="s">
        <v>357</v>
      </c>
      <c r="I239" s="29" t="s">
        <v>1689</v>
      </c>
      <c r="J239" s="29" t="s">
        <v>1690</v>
      </c>
      <c r="K239" s="26" t="s">
        <v>1683</v>
      </c>
      <c r="L239" s="26" t="s">
        <v>1691</v>
      </c>
      <c r="M239" s="31">
        <v>2014.0</v>
      </c>
      <c r="N239" s="31">
        <v>2014.0</v>
      </c>
      <c r="O239" s="31">
        <v>2016.0</v>
      </c>
      <c r="P239" s="28" t="s">
        <v>177</v>
      </c>
      <c r="Q239" s="32" t="s">
        <v>319</v>
      </c>
      <c r="R239" s="28" t="s">
        <v>154</v>
      </c>
      <c r="S239" s="32" t="s">
        <v>154</v>
      </c>
      <c r="T239" s="28" t="s">
        <v>300</v>
      </c>
      <c r="U239" s="28" t="s">
        <v>320</v>
      </c>
      <c r="V239" s="26" t="s">
        <v>320</v>
      </c>
      <c r="W239" s="32" t="s">
        <v>149</v>
      </c>
      <c r="X239" s="32" t="s">
        <v>254</v>
      </c>
      <c r="Y239" s="26" t="s">
        <v>149</v>
      </c>
      <c r="Z239" s="26" t="s">
        <v>321</v>
      </c>
      <c r="AA239" s="26" t="s">
        <v>159</v>
      </c>
      <c r="AB239" s="26" t="s">
        <v>160</v>
      </c>
      <c r="AC239" s="28" t="s">
        <v>322</v>
      </c>
      <c r="AD239" s="28" t="s">
        <v>323</v>
      </c>
      <c r="AE239" s="29" t="s">
        <v>149</v>
      </c>
      <c r="AF239" s="26" t="s">
        <v>149</v>
      </c>
      <c r="AG239" s="26" t="s">
        <v>1692</v>
      </c>
      <c r="AH239" s="26" t="s">
        <v>1693</v>
      </c>
      <c r="AI239" s="32" t="s">
        <v>209</v>
      </c>
      <c r="AJ239" s="28" t="s">
        <v>227</v>
      </c>
      <c r="AK239" s="28" t="s">
        <v>1694</v>
      </c>
      <c r="AL239" s="26" t="s">
        <v>1695</v>
      </c>
      <c r="AM239" s="11" t="s">
        <v>149</v>
      </c>
      <c r="AN239" s="28" t="s">
        <v>165</v>
      </c>
      <c r="AO239" s="28" t="s">
        <v>1147</v>
      </c>
      <c r="AP239" s="26" t="s">
        <v>1300</v>
      </c>
      <c r="AQ239" s="34" t="s">
        <v>1696</v>
      </c>
      <c r="AR239" s="11" t="s">
        <v>149</v>
      </c>
      <c r="AS239" s="11" t="s">
        <v>149</v>
      </c>
      <c r="AT239" s="28"/>
    </row>
    <row r="240">
      <c r="A240" s="25" t="s">
        <v>1697</v>
      </c>
      <c r="B240" s="26" t="str">
        <f t="shared" si="1"/>
        <v>2023-PH015503000-2015-0040</v>
      </c>
      <c r="C240" s="27">
        <f t="shared" si="5"/>
        <v>2023</v>
      </c>
      <c r="D240" s="28" t="s">
        <v>140</v>
      </c>
      <c r="E240" s="28" t="s">
        <v>141</v>
      </c>
      <c r="F240" s="28" t="s">
        <v>192</v>
      </c>
      <c r="G240" s="29" t="s">
        <v>143</v>
      </c>
      <c r="H240" s="29" t="s">
        <v>144</v>
      </c>
      <c r="I240" s="40" t="s">
        <v>221</v>
      </c>
      <c r="J240" s="29" t="s">
        <v>222</v>
      </c>
      <c r="K240" s="26" t="s">
        <v>1683</v>
      </c>
      <c r="L240" s="26" t="s">
        <v>223</v>
      </c>
      <c r="M240" s="31">
        <v>2015.0</v>
      </c>
      <c r="N240" s="31">
        <v>2014.0</v>
      </c>
      <c r="O240" s="31">
        <v>2016.0</v>
      </c>
      <c r="P240" s="28" t="s">
        <v>177</v>
      </c>
      <c r="Q240" s="28" t="s">
        <v>319</v>
      </c>
      <c r="R240" s="28" t="s">
        <v>154</v>
      </c>
      <c r="S240" s="32" t="s">
        <v>154</v>
      </c>
      <c r="T240" s="28" t="s">
        <v>300</v>
      </c>
      <c r="U240" s="28" t="s">
        <v>149</v>
      </c>
      <c r="V240" s="26" t="s">
        <v>179</v>
      </c>
      <c r="W240" s="32" t="s">
        <v>149</v>
      </c>
      <c r="X240" s="32" t="s">
        <v>254</v>
      </c>
      <c r="Y240" s="26" t="s">
        <v>149</v>
      </c>
      <c r="Z240" s="26" t="s">
        <v>321</v>
      </c>
      <c r="AA240" s="26" t="s">
        <v>159</v>
      </c>
      <c r="AB240" s="26" t="s">
        <v>160</v>
      </c>
      <c r="AC240" s="28" t="s">
        <v>322</v>
      </c>
      <c r="AD240" s="28" t="s">
        <v>323</v>
      </c>
      <c r="AE240" s="29" t="s">
        <v>149</v>
      </c>
      <c r="AF240" s="26" t="s">
        <v>149</v>
      </c>
      <c r="AG240" s="26" t="s">
        <v>1698</v>
      </c>
      <c r="AH240" s="26" t="s">
        <v>1699</v>
      </c>
      <c r="AI240" s="32" t="s">
        <v>209</v>
      </c>
      <c r="AJ240" s="58" t="s">
        <v>227</v>
      </c>
      <c r="AK240" s="26" t="s">
        <v>1700</v>
      </c>
      <c r="AL240" s="28" t="s">
        <v>149</v>
      </c>
      <c r="AM240" s="11" t="s">
        <v>149</v>
      </c>
      <c r="AN240" s="28" t="s">
        <v>165</v>
      </c>
      <c r="AO240" s="28" t="s">
        <v>1147</v>
      </c>
      <c r="AP240" s="26" t="s">
        <v>1300</v>
      </c>
      <c r="AQ240" s="34" t="s">
        <v>1701</v>
      </c>
      <c r="AR240" s="11" t="s">
        <v>149</v>
      </c>
      <c r="AS240" s="11" t="s">
        <v>149</v>
      </c>
      <c r="AT240" s="11"/>
    </row>
    <row r="241">
      <c r="A241" s="99" t="s">
        <v>1702</v>
      </c>
      <c r="B241" s="26" t="str">
        <f t="shared" si="1"/>
        <v>2023-PH030802000-2015-0091</v>
      </c>
      <c r="C241" s="27">
        <f t="shared" si="5"/>
        <v>2023</v>
      </c>
      <c r="D241" s="28" t="s">
        <v>140</v>
      </c>
      <c r="E241" s="28" t="s">
        <v>141</v>
      </c>
      <c r="F241" s="28" t="s">
        <v>192</v>
      </c>
      <c r="G241" s="30" t="s">
        <v>293</v>
      </c>
      <c r="H241" s="30" t="s">
        <v>1283</v>
      </c>
      <c r="I241" s="30" t="s">
        <v>1284</v>
      </c>
      <c r="J241" s="30" t="s">
        <v>1285</v>
      </c>
      <c r="K241" s="26" t="s">
        <v>1683</v>
      </c>
      <c r="L241" s="100" t="s">
        <v>149</v>
      </c>
      <c r="M241" s="53">
        <v>2015.0</v>
      </c>
      <c r="N241" s="53">
        <v>2014.0</v>
      </c>
      <c r="O241" s="53">
        <v>2016.0</v>
      </c>
      <c r="P241" s="28" t="s">
        <v>177</v>
      </c>
      <c r="Q241" s="32" t="s">
        <v>319</v>
      </c>
      <c r="R241" s="28" t="s">
        <v>154</v>
      </c>
      <c r="S241" s="32" t="s">
        <v>154</v>
      </c>
      <c r="T241" s="28" t="s">
        <v>300</v>
      </c>
      <c r="U241" s="28" t="s">
        <v>149</v>
      </c>
      <c r="V241" s="101" t="s">
        <v>179</v>
      </c>
      <c r="W241" s="32" t="s">
        <v>149</v>
      </c>
      <c r="X241" s="32" t="s">
        <v>254</v>
      </c>
      <c r="Y241" s="26" t="s">
        <v>149</v>
      </c>
      <c r="Z241" s="101" t="s">
        <v>321</v>
      </c>
      <c r="AA241" s="101" t="s">
        <v>159</v>
      </c>
      <c r="AB241" s="101" t="s">
        <v>160</v>
      </c>
      <c r="AC241" s="28" t="s">
        <v>322</v>
      </c>
      <c r="AD241" s="102" t="s">
        <v>323</v>
      </c>
      <c r="AE241" s="30" t="s">
        <v>149</v>
      </c>
      <c r="AF241" s="101" t="s">
        <v>149</v>
      </c>
      <c r="AG241" s="26" t="s">
        <v>149</v>
      </c>
      <c r="AH241" s="101" t="s">
        <v>1703</v>
      </c>
      <c r="AI241" s="26" t="s">
        <v>306</v>
      </c>
      <c r="AJ241" s="102" t="s">
        <v>306</v>
      </c>
      <c r="AK241" s="101" t="s">
        <v>1287</v>
      </c>
      <c r="AL241" s="26" t="s">
        <v>149</v>
      </c>
      <c r="AM241" s="26" t="s">
        <v>149</v>
      </c>
      <c r="AN241" s="28" t="s">
        <v>165</v>
      </c>
      <c r="AO241" s="28" t="s">
        <v>1147</v>
      </c>
      <c r="AP241" s="101" t="s">
        <v>1300</v>
      </c>
      <c r="AQ241" s="103" t="s">
        <v>1704</v>
      </c>
      <c r="AR241" s="101" t="s">
        <v>149</v>
      </c>
      <c r="AS241" s="101" t="s">
        <v>149</v>
      </c>
      <c r="AT241" s="26"/>
    </row>
    <row r="242" ht="13.5" customHeight="1">
      <c r="A242" s="36" t="s">
        <v>1705</v>
      </c>
      <c r="B242" s="26" t="str">
        <f t="shared" si="1"/>
        <v>2023-PH037114000-2015-0107</v>
      </c>
      <c r="C242" s="27">
        <f t="shared" si="5"/>
        <v>2023</v>
      </c>
      <c r="D242" s="28" t="s">
        <v>140</v>
      </c>
      <c r="E242" s="28" t="s">
        <v>141</v>
      </c>
      <c r="F242" s="28" t="s">
        <v>192</v>
      </c>
      <c r="G242" s="29" t="s">
        <v>293</v>
      </c>
      <c r="H242" s="29" t="s">
        <v>294</v>
      </c>
      <c r="I242" s="29" t="s">
        <v>1291</v>
      </c>
      <c r="J242" s="29" t="s">
        <v>1292</v>
      </c>
      <c r="K242" s="26" t="s">
        <v>1683</v>
      </c>
      <c r="L242" s="46" t="s">
        <v>149</v>
      </c>
      <c r="M242" s="31">
        <v>2015.0</v>
      </c>
      <c r="N242" s="31">
        <v>2014.0</v>
      </c>
      <c r="O242" s="31">
        <v>2016.0</v>
      </c>
      <c r="P242" s="28" t="s">
        <v>177</v>
      </c>
      <c r="Q242" s="32" t="s">
        <v>319</v>
      </c>
      <c r="R242" s="28" t="s">
        <v>154</v>
      </c>
      <c r="S242" s="32" t="s">
        <v>154</v>
      </c>
      <c r="T242" s="28" t="s">
        <v>300</v>
      </c>
      <c r="U242" s="28" t="s">
        <v>149</v>
      </c>
      <c r="V242" s="26" t="s">
        <v>179</v>
      </c>
      <c r="W242" s="32" t="s">
        <v>149</v>
      </c>
      <c r="X242" s="32" t="s">
        <v>254</v>
      </c>
      <c r="Y242" s="26" t="s">
        <v>149</v>
      </c>
      <c r="Z242" s="26" t="s">
        <v>321</v>
      </c>
      <c r="AA242" s="26" t="s">
        <v>159</v>
      </c>
      <c r="AB242" s="26" t="s">
        <v>160</v>
      </c>
      <c r="AC242" s="28" t="s">
        <v>322</v>
      </c>
      <c r="AD242" s="28" t="s">
        <v>323</v>
      </c>
      <c r="AE242" s="29" t="s">
        <v>149</v>
      </c>
      <c r="AF242" s="26" t="s">
        <v>149</v>
      </c>
      <c r="AG242" s="26" t="s">
        <v>1706</v>
      </c>
      <c r="AH242" s="26" t="s">
        <v>1703</v>
      </c>
      <c r="AI242" s="26" t="s">
        <v>306</v>
      </c>
      <c r="AJ242" s="28" t="s">
        <v>306</v>
      </c>
      <c r="AK242" s="26" t="s">
        <v>1287</v>
      </c>
      <c r="AL242" s="26" t="s">
        <v>149</v>
      </c>
      <c r="AM242" s="26" t="s">
        <v>149</v>
      </c>
      <c r="AN242" s="28" t="s">
        <v>165</v>
      </c>
      <c r="AO242" s="28" t="s">
        <v>1147</v>
      </c>
      <c r="AP242" s="26" t="s">
        <v>1300</v>
      </c>
      <c r="AQ242" s="34" t="s">
        <v>1707</v>
      </c>
      <c r="AR242" s="26" t="s">
        <v>149</v>
      </c>
      <c r="AS242" s="26" t="s">
        <v>149</v>
      </c>
      <c r="AT242" s="45"/>
    </row>
    <row r="243">
      <c r="A243" s="36" t="s">
        <v>1708</v>
      </c>
      <c r="B243" s="26" t="str">
        <f t="shared" si="1"/>
        <v>2023-PH175316000-2014-0178</v>
      </c>
      <c r="C243" s="27">
        <f t="shared" si="5"/>
        <v>2023</v>
      </c>
      <c r="D243" s="28" t="s">
        <v>140</v>
      </c>
      <c r="E243" s="28" t="s">
        <v>141</v>
      </c>
      <c r="F243" s="28" t="s">
        <v>192</v>
      </c>
      <c r="G243" s="29" t="s">
        <v>522</v>
      </c>
      <c r="H243" s="29" t="s">
        <v>523</v>
      </c>
      <c r="I243" s="40" t="s">
        <v>524</v>
      </c>
      <c r="J243" s="29" t="s">
        <v>525</v>
      </c>
      <c r="K243" s="26" t="s">
        <v>1683</v>
      </c>
      <c r="L243" s="47" t="s">
        <v>149</v>
      </c>
      <c r="M243" s="31">
        <v>2014.0</v>
      </c>
      <c r="N243" s="31">
        <v>2014.0</v>
      </c>
      <c r="O243" s="31">
        <v>2016.0</v>
      </c>
      <c r="P243" s="28" t="s">
        <v>177</v>
      </c>
      <c r="Q243" s="32" t="s">
        <v>319</v>
      </c>
      <c r="R243" s="28" t="s">
        <v>154</v>
      </c>
      <c r="S243" s="32" t="s">
        <v>154</v>
      </c>
      <c r="T243" s="28" t="s">
        <v>300</v>
      </c>
      <c r="U243" s="28" t="s">
        <v>149</v>
      </c>
      <c r="V243" s="26" t="s">
        <v>179</v>
      </c>
      <c r="W243" s="32" t="s">
        <v>149</v>
      </c>
      <c r="X243" s="32" t="s">
        <v>254</v>
      </c>
      <c r="Y243" s="26" t="s">
        <v>149</v>
      </c>
      <c r="Z243" s="26" t="s">
        <v>321</v>
      </c>
      <c r="AA243" s="26" t="s">
        <v>159</v>
      </c>
      <c r="AB243" s="26" t="s">
        <v>160</v>
      </c>
      <c r="AC243" s="28" t="s">
        <v>322</v>
      </c>
      <c r="AD243" s="28" t="s">
        <v>323</v>
      </c>
      <c r="AE243" s="29" t="s">
        <v>149</v>
      </c>
      <c r="AF243" s="26" t="s">
        <v>149</v>
      </c>
      <c r="AG243" s="26" t="s">
        <v>1709</v>
      </c>
      <c r="AH243" s="26" t="s">
        <v>326</v>
      </c>
      <c r="AI243" s="26" t="s">
        <v>306</v>
      </c>
      <c r="AJ243" s="28" t="s">
        <v>306</v>
      </c>
      <c r="AK243" s="26" t="s">
        <v>1710</v>
      </c>
      <c r="AL243" s="26" t="s">
        <v>149</v>
      </c>
      <c r="AM243" s="26" t="s">
        <v>149</v>
      </c>
      <c r="AN243" s="28" t="s">
        <v>165</v>
      </c>
      <c r="AO243" s="28" t="s">
        <v>1147</v>
      </c>
      <c r="AP243" s="26" t="s">
        <v>1300</v>
      </c>
      <c r="AQ243" s="34" t="s">
        <v>1711</v>
      </c>
      <c r="AR243" s="26" t="s">
        <v>149</v>
      </c>
      <c r="AS243" s="26" t="s">
        <v>149</v>
      </c>
      <c r="AT243" s="26"/>
    </row>
    <row r="244">
      <c r="A244" s="25" t="s">
        <v>1712</v>
      </c>
      <c r="B244" s="26" t="str">
        <f t="shared" si="1"/>
        <v>2023-PH071203000-2015-0261</v>
      </c>
      <c r="C244" s="27">
        <f t="shared" si="5"/>
        <v>2023</v>
      </c>
      <c r="D244" s="37" t="s">
        <v>140</v>
      </c>
      <c r="E244" s="28" t="s">
        <v>141</v>
      </c>
      <c r="F244" s="28" t="s">
        <v>192</v>
      </c>
      <c r="G244" s="29" t="s">
        <v>193</v>
      </c>
      <c r="H244" s="29" t="s">
        <v>563</v>
      </c>
      <c r="I244" s="29" t="s">
        <v>230</v>
      </c>
      <c r="J244" s="29" t="s">
        <v>1713</v>
      </c>
      <c r="K244" s="26" t="s">
        <v>1683</v>
      </c>
      <c r="L244" s="47" t="s">
        <v>149</v>
      </c>
      <c r="M244" s="31">
        <v>2015.0</v>
      </c>
      <c r="N244" s="31">
        <v>2014.0</v>
      </c>
      <c r="O244" s="31">
        <v>2016.0</v>
      </c>
      <c r="P244" s="28" t="s">
        <v>177</v>
      </c>
      <c r="Q244" s="32" t="s">
        <v>319</v>
      </c>
      <c r="R244" s="28" t="s">
        <v>154</v>
      </c>
      <c r="S244" s="32" t="s">
        <v>154</v>
      </c>
      <c r="T244" s="28" t="s">
        <v>300</v>
      </c>
      <c r="U244" s="28" t="s">
        <v>149</v>
      </c>
      <c r="V244" s="26" t="s">
        <v>179</v>
      </c>
      <c r="W244" s="32" t="s">
        <v>149</v>
      </c>
      <c r="X244" s="32" t="s">
        <v>254</v>
      </c>
      <c r="Y244" s="26" t="s">
        <v>149</v>
      </c>
      <c r="Z244" s="26" t="s">
        <v>321</v>
      </c>
      <c r="AA244" s="26" t="s">
        <v>159</v>
      </c>
      <c r="AB244" s="26" t="s">
        <v>160</v>
      </c>
      <c r="AC244" s="28" t="s">
        <v>322</v>
      </c>
      <c r="AD244" s="28" t="s">
        <v>323</v>
      </c>
      <c r="AE244" s="29" t="s">
        <v>149</v>
      </c>
      <c r="AF244" s="26" t="s">
        <v>149</v>
      </c>
      <c r="AG244" s="26" t="s">
        <v>1692</v>
      </c>
      <c r="AH244" s="26" t="s">
        <v>1714</v>
      </c>
      <c r="AI244" s="32" t="s">
        <v>209</v>
      </c>
      <c r="AJ244" s="58" t="s">
        <v>227</v>
      </c>
      <c r="AK244" s="29" t="s">
        <v>149</v>
      </c>
      <c r="AL244" s="29" t="s">
        <v>149</v>
      </c>
      <c r="AM244" s="29" t="s">
        <v>149</v>
      </c>
      <c r="AN244" s="28" t="s">
        <v>165</v>
      </c>
      <c r="AO244" s="28" t="s">
        <v>1147</v>
      </c>
      <c r="AP244" s="26" t="s">
        <v>1300</v>
      </c>
      <c r="AQ244" s="34" t="s">
        <v>1715</v>
      </c>
      <c r="AR244" s="26" t="s">
        <v>1716</v>
      </c>
      <c r="AS244" s="38" t="s">
        <v>1717</v>
      </c>
      <c r="AT244" s="26"/>
    </row>
    <row r="245">
      <c r="A245" s="36" t="s">
        <v>1718</v>
      </c>
      <c r="B245" s="26" t="str">
        <f t="shared" si="1"/>
        <v>2023-PH097332000-2015-0336</v>
      </c>
      <c r="C245" s="27">
        <f t="shared" si="5"/>
        <v>2023</v>
      </c>
      <c r="D245" s="37" t="s">
        <v>140</v>
      </c>
      <c r="E245" s="28" t="s">
        <v>141</v>
      </c>
      <c r="F245" s="28" t="s">
        <v>192</v>
      </c>
      <c r="G245" s="29" t="s">
        <v>590</v>
      </c>
      <c r="H245" s="29" t="s">
        <v>769</v>
      </c>
      <c r="I245" s="40" t="s">
        <v>1517</v>
      </c>
      <c r="J245" s="29" t="s">
        <v>1518</v>
      </c>
      <c r="K245" s="26" t="s">
        <v>1683</v>
      </c>
      <c r="L245" s="47" t="s">
        <v>149</v>
      </c>
      <c r="M245" s="31">
        <v>2015.0</v>
      </c>
      <c r="N245" s="31">
        <v>2014.0</v>
      </c>
      <c r="O245" s="31">
        <v>2016.0</v>
      </c>
      <c r="P245" s="28" t="s">
        <v>177</v>
      </c>
      <c r="Q245" s="32" t="s">
        <v>149</v>
      </c>
      <c r="R245" s="28" t="s">
        <v>154</v>
      </c>
      <c r="S245" s="32" t="s">
        <v>154</v>
      </c>
      <c r="T245" s="28" t="s">
        <v>154</v>
      </c>
      <c r="U245" s="28" t="s">
        <v>154</v>
      </c>
      <c r="V245" s="26" t="s">
        <v>149</v>
      </c>
      <c r="W245" s="32" t="s">
        <v>149</v>
      </c>
      <c r="X245" s="32" t="s">
        <v>254</v>
      </c>
      <c r="Y245" s="26" t="s">
        <v>149</v>
      </c>
      <c r="Z245" s="26" t="s">
        <v>321</v>
      </c>
      <c r="AA245" s="26" t="s">
        <v>159</v>
      </c>
      <c r="AB245" s="26" t="s">
        <v>160</v>
      </c>
      <c r="AC245" s="28" t="s">
        <v>322</v>
      </c>
      <c r="AD245" s="28" t="s">
        <v>323</v>
      </c>
      <c r="AE245" s="29" t="s">
        <v>149</v>
      </c>
      <c r="AF245" s="26" t="s">
        <v>149</v>
      </c>
      <c r="AG245" s="26" t="s">
        <v>1719</v>
      </c>
      <c r="AH245" s="26" t="s">
        <v>326</v>
      </c>
      <c r="AI245" s="26" t="s">
        <v>271</v>
      </c>
      <c r="AJ245" s="28" t="s">
        <v>271</v>
      </c>
      <c r="AK245" s="26" t="s">
        <v>1720</v>
      </c>
      <c r="AL245" s="26" t="s">
        <v>149</v>
      </c>
      <c r="AM245" s="26" t="s">
        <v>149</v>
      </c>
      <c r="AN245" s="28" t="s">
        <v>165</v>
      </c>
      <c r="AO245" s="28" t="s">
        <v>1147</v>
      </c>
      <c r="AP245" s="26" t="s">
        <v>1300</v>
      </c>
      <c r="AQ245" s="34" t="s">
        <v>1721</v>
      </c>
      <c r="AR245" s="26" t="s">
        <v>1722</v>
      </c>
      <c r="AS245" s="38" t="s">
        <v>1723</v>
      </c>
      <c r="AT245" s="26"/>
    </row>
    <row r="246">
      <c r="A246" s="36" t="s">
        <v>1724</v>
      </c>
      <c r="B246" s="26" t="str">
        <f t="shared" si="1"/>
        <v>2023-PH101802000-2015-0338</v>
      </c>
      <c r="C246" s="27">
        <f t="shared" si="5"/>
        <v>2023</v>
      </c>
      <c r="D246" s="37" t="s">
        <v>140</v>
      </c>
      <c r="E246" s="28" t="s">
        <v>141</v>
      </c>
      <c r="F246" s="28" t="s">
        <v>192</v>
      </c>
      <c r="G246" s="29" t="s">
        <v>171</v>
      </c>
      <c r="H246" s="29" t="s">
        <v>1725</v>
      </c>
      <c r="I246" s="29" t="s">
        <v>1726</v>
      </c>
      <c r="J246" s="29" t="s">
        <v>1727</v>
      </c>
      <c r="K246" s="26" t="s">
        <v>1683</v>
      </c>
      <c r="L246" s="47" t="s">
        <v>149</v>
      </c>
      <c r="M246" s="31">
        <v>2015.0</v>
      </c>
      <c r="N246" s="31">
        <v>2014.0</v>
      </c>
      <c r="O246" s="31">
        <v>2016.0</v>
      </c>
      <c r="P246" s="28" t="s">
        <v>177</v>
      </c>
      <c r="Q246" s="32" t="s">
        <v>149</v>
      </c>
      <c r="R246" s="28" t="s">
        <v>154</v>
      </c>
      <c r="S246" s="32" t="s">
        <v>154</v>
      </c>
      <c r="T246" s="28" t="s">
        <v>154</v>
      </c>
      <c r="U246" s="28" t="s">
        <v>154</v>
      </c>
      <c r="V246" s="26" t="s">
        <v>149</v>
      </c>
      <c r="W246" s="32" t="s">
        <v>149</v>
      </c>
      <c r="X246" s="32" t="s">
        <v>254</v>
      </c>
      <c r="Y246" s="26" t="s">
        <v>149</v>
      </c>
      <c r="Z246" s="26" t="s">
        <v>321</v>
      </c>
      <c r="AA246" s="26" t="s">
        <v>159</v>
      </c>
      <c r="AB246" s="26" t="s">
        <v>160</v>
      </c>
      <c r="AC246" s="28" t="s">
        <v>322</v>
      </c>
      <c r="AD246" s="28" t="s">
        <v>323</v>
      </c>
      <c r="AE246" s="29" t="s">
        <v>149</v>
      </c>
      <c r="AF246" s="26" t="s">
        <v>149</v>
      </c>
      <c r="AG246" s="26" t="s">
        <v>1728</v>
      </c>
      <c r="AH246" s="26" t="s">
        <v>326</v>
      </c>
      <c r="AI246" s="26" t="s">
        <v>271</v>
      </c>
      <c r="AJ246" s="28" t="s">
        <v>271</v>
      </c>
      <c r="AK246" s="26" t="s">
        <v>1729</v>
      </c>
      <c r="AL246" s="11" t="s">
        <v>149</v>
      </c>
      <c r="AM246" s="11" t="s">
        <v>149</v>
      </c>
      <c r="AN246" s="28" t="s">
        <v>165</v>
      </c>
      <c r="AO246" s="28" t="s">
        <v>1147</v>
      </c>
      <c r="AP246" s="26" t="s">
        <v>1300</v>
      </c>
      <c r="AQ246" s="34" t="s">
        <v>1730</v>
      </c>
      <c r="AR246" s="26" t="s">
        <v>1722</v>
      </c>
      <c r="AS246" s="38" t="s">
        <v>1723</v>
      </c>
      <c r="AT246" s="11"/>
    </row>
    <row r="247">
      <c r="A247" s="36" t="s">
        <v>1731</v>
      </c>
      <c r="B247" s="26" t="str">
        <f t="shared" si="1"/>
        <v>2023-PH086410000-2019-0326</v>
      </c>
      <c r="C247" s="27">
        <f t="shared" si="5"/>
        <v>2023</v>
      </c>
      <c r="D247" s="37" t="s">
        <v>140</v>
      </c>
      <c r="E247" s="28" t="s">
        <v>141</v>
      </c>
      <c r="F247" s="28" t="s">
        <v>192</v>
      </c>
      <c r="G247" s="29" t="s">
        <v>579</v>
      </c>
      <c r="H247" s="29" t="s">
        <v>1271</v>
      </c>
      <c r="I247" s="29" t="s">
        <v>1272</v>
      </c>
      <c r="J247" s="29" t="s">
        <v>1273</v>
      </c>
      <c r="K247" s="26" t="s">
        <v>1732</v>
      </c>
      <c r="L247" s="47" t="s">
        <v>149</v>
      </c>
      <c r="M247" s="31">
        <v>2019.0</v>
      </c>
      <c r="N247" s="31">
        <v>2019.0</v>
      </c>
      <c r="O247" s="31" t="s">
        <v>149</v>
      </c>
      <c r="P247" s="28" t="s">
        <v>150</v>
      </c>
      <c r="Q247" s="32" t="s">
        <v>151</v>
      </c>
      <c r="R247" s="28" t="s">
        <v>1733</v>
      </c>
      <c r="S247" s="32" t="s">
        <v>1734</v>
      </c>
      <c r="T247" s="28" t="s">
        <v>154</v>
      </c>
      <c r="U247" s="28" t="s">
        <v>154</v>
      </c>
      <c r="V247" s="26" t="s">
        <v>1735</v>
      </c>
      <c r="W247" s="32" t="s">
        <v>149</v>
      </c>
      <c r="X247" s="32" t="s">
        <v>254</v>
      </c>
      <c r="Y247" s="26" t="s">
        <v>149</v>
      </c>
      <c r="Z247" s="26" t="s">
        <v>1736</v>
      </c>
      <c r="AA247" s="26" t="s">
        <v>204</v>
      </c>
      <c r="AB247" s="28" t="s">
        <v>205</v>
      </c>
      <c r="AC247" s="26" t="s">
        <v>306</v>
      </c>
      <c r="AD247" s="28" t="s">
        <v>306</v>
      </c>
      <c r="AE247" s="29" t="s">
        <v>149</v>
      </c>
      <c r="AF247" s="26" t="s">
        <v>149</v>
      </c>
      <c r="AG247" s="26" t="s">
        <v>149</v>
      </c>
      <c r="AH247" s="26" t="s">
        <v>1736</v>
      </c>
      <c r="AI247" s="26" t="s">
        <v>306</v>
      </c>
      <c r="AJ247" s="28" t="s">
        <v>306</v>
      </c>
      <c r="AK247" s="42" t="s">
        <v>149</v>
      </c>
      <c r="AL247" s="42" t="s">
        <v>149</v>
      </c>
      <c r="AM247" s="42" t="s">
        <v>149</v>
      </c>
      <c r="AN247" s="28" t="s">
        <v>165</v>
      </c>
      <c r="AO247" s="28" t="s">
        <v>689</v>
      </c>
      <c r="AP247" s="26" t="s">
        <v>1737</v>
      </c>
      <c r="AQ247" s="26" t="s">
        <v>1738</v>
      </c>
      <c r="AR247" s="26" t="s">
        <v>1739</v>
      </c>
      <c r="AS247" s="26" t="s">
        <v>1740</v>
      </c>
      <c r="AT247" s="11"/>
    </row>
    <row r="248">
      <c r="A248" s="36" t="s">
        <v>1741</v>
      </c>
      <c r="B248" s="26" t="str">
        <f t="shared" si="1"/>
        <v>2023-PH086410000-2018-0327</v>
      </c>
      <c r="C248" s="27">
        <f t="shared" si="5"/>
        <v>2023</v>
      </c>
      <c r="D248" s="37" t="s">
        <v>140</v>
      </c>
      <c r="E248" s="28" t="s">
        <v>141</v>
      </c>
      <c r="F248" s="28" t="s">
        <v>192</v>
      </c>
      <c r="G248" s="29" t="s">
        <v>579</v>
      </c>
      <c r="H248" s="29" t="s">
        <v>1271</v>
      </c>
      <c r="I248" s="29" t="s">
        <v>1272</v>
      </c>
      <c r="J248" s="29" t="s">
        <v>1273</v>
      </c>
      <c r="K248" s="26" t="s">
        <v>1732</v>
      </c>
      <c r="L248" s="47" t="s">
        <v>149</v>
      </c>
      <c r="M248" s="31">
        <v>2018.0</v>
      </c>
      <c r="N248" s="31">
        <v>2018.0</v>
      </c>
      <c r="O248" s="31" t="s">
        <v>149</v>
      </c>
      <c r="P248" s="28" t="s">
        <v>150</v>
      </c>
      <c r="Q248" s="32" t="s">
        <v>151</v>
      </c>
      <c r="R248" s="28" t="s">
        <v>1733</v>
      </c>
      <c r="S248" s="32" t="s">
        <v>1734</v>
      </c>
      <c r="T248" s="28" t="s">
        <v>154</v>
      </c>
      <c r="U248" s="28" t="s">
        <v>154</v>
      </c>
      <c r="V248" s="26" t="s">
        <v>1742</v>
      </c>
      <c r="W248" s="32" t="s">
        <v>149</v>
      </c>
      <c r="X248" s="32" t="s">
        <v>254</v>
      </c>
      <c r="Y248" s="26" t="s">
        <v>149</v>
      </c>
      <c r="Z248" s="26" t="s">
        <v>1736</v>
      </c>
      <c r="AA248" s="26" t="s">
        <v>204</v>
      </c>
      <c r="AB248" s="28" t="s">
        <v>205</v>
      </c>
      <c r="AC248" s="26" t="s">
        <v>306</v>
      </c>
      <c r="AD248" s="28" t="s">
        <v>306</v>
      </c>
      <c r="AE248" s="29" t="s">
        <v>149</v>
      </c>
      <c r="AF248" s="26" t="s">
        <v>149</v>
      </c>
      <c r="AG248" s="26" t="s">
        <v>149</v>
      </c>
      <c r="AH248" s="26" t="s">
        <v>1736</v>
      </c>
      <c r="AI248" s="26" t="s">
        <v>306</v>
      </c>
      <c r="AJ248" s="28" t="s">
        <v>306</v>
      </c>
      <c r="AK248" s="42" t="s">
        <v>149</v>
      </c>
      <c r="AL248" s="42" t="s">
        <v>149</v>
      </c>
      <c r="AM248" s="42" t="s">
        <v>149</v>
      </c>
      <c r="AN248" s="28" t="s">
        <v>165</v>
      </c>
      <c r="AO248" s="28" t="s">
        <v>689</v>
      </c>
      <c r="AP248" s="26" t="s">
        <v>1743</v>
      </c>
      <c r="AQ248" s="38" t="s">
        <v>1744</v>
      </c>
      <c r="AR248" s="26" t="s">
        <v>1739</v>
      </c>
      <c r="AS248" s="26" t="s">
        <v>1740</v>
      </c>
      <c r="AT248" s="26"/>
    </row>
    <row r="249">
      <c r="A249" s="36" t="s">
        <v>1745</v>
      </c>
      <c r="B249" s="26" t="str">
        <f t="shared" si="1"/>
        <v>2023-PH086410000-2014-0324</v>
      </c>
      <c r="C249" s="27">
        <f t="shared" si="5"/>
        <v>2023</v>
      </c>
      <c r="D249" s="37" t="s">
        <v>140</v>
      </c>
      <c r="E249" s="28" t="s">
        <v>141</v>
      </c>
      <c r="F249" s="28" t="s">
        <v>192</v>
      </c>
      <c r="G249" s="29" t="s">
        <v>579</v>
      </c>
      <c r="H249" s="29" t="s">
        <v>1271</v>
      </c>
      <c r="I249" s="29" t="s">
        <v>1272</v>
      </c>
      <c r="J249" s="29" t="s">
        <v>1273</v>
      </c>
      <c r="K249" s="26" t="s">
        <v>1746</v>
      </c>
      <c r="L249" s="47" t="s">
        <v>149</v>
      </c>
      <c r="M249" s="31">
        <v>2014.0</v>
      </c>
      <c r="N249" s="31">
        <v>2014.0</v>
      </c>
      <c r="O249" s="31" t="s">
        <v>149</v>
      </c>
      <c r="P249" s="28" t="s">
        <v>150</v>
      </c>
      <c r="Q249" s="32" t="s">
        <v>151</v>
      </c>
      <c r="R249" s="28" t="s">
        <v>604</v>
      </c>
      <c r="S249" s="28" t="s">
        <v>605</v>
      </c>
      <c r="T249" s="28" t="s">
        <v>154</v>
      </c>
      <c r="U249" s="28" t="s">
        <v>154</v>
      </c>
      <c r="V249" s="28" t="s">
        <v>605</v>
      </c>
      <c r="W249" s="32" t="s">
        <v>180</v>
      </c>
      <c r="X249" s="32" t="s">
        <v>181</v>
      </c>
      <c r="Y249" s="26" t="s">
        <v>1747</v>
      </c>
      <c r="Z249" s="26" t="s">
        <v>149</v>
      </c>
      <c r="AA249" s="26" t="s">
        <v>149</v>
      </c>
      <c r="AB249" s="26" t="s">
        <v>149</v>
      </c>
      <c r="AC249" s="26" t="s">
        <v>149</v>
      </c>
      <c r="AD249" s="28" t="s">
        <v>149</v>
      </c>
      <c r="AE249" s="29" t="s">
        <v>149</v>
      </c>
      <c r="AF249" s="26" t="s">
        <v>149</v>
      </c>
      <c r="AG249" s="26" t="s">
        <v>1748</v>
      </c>
      <c r="AH249" s="26" t="s">
        <v>158</v>
      </c>
      <c r="AI249" s="28" t="s">
        <v>161</v>
      </c>
      <c r="AJ249" s="28" t="s">
        <v>158</v>
      </c>
      <c r="AK249" s="42" t="s">
        <v>149</v>
      </c>
      <c r="AL249" s="26" t="s">
        <v>158</v>
      </c>
      <c r="AM249" s="42" t="s">
        <v>149</v>
      </c>
      <c r="AN249" s="28" t="s">
        <v>165</v>
      </c>
      <c r="AO249" s="28" t="s">
        <v>289</v>
      </c>
      <c r="AP249" s="28" t="s">
        <v>1749</v>
      </c>
      <c r="AQ249" s="38" t="s">
        <v>1750</v>
      </c>
      <c r="AR249" s="26" t="s">
        <v>1739</v>
      </c>
      <c r="AS249" s="26" t="s">
        <v>1740</v>
      </c>
      <c r="AT249" s="26"/>
    </row>
    <row r="250">
      <c r="A250" s="25" t="s">
        <v>1751</v>
      </c>
      <c r="B250" s="26" t="str">
        <f t="shared" si="1"/>
        <v>2023-PH041008000-2019-0115</v>
      </c>
      <c r="C250" s="27">
        <f t="shared" si="5"/>
        <v>2023</v>
      </c>
      <c r="D250" s="28" t="s">
        <v>140</v>
      </c>
      <c r="E250" s="28" t="s">
        <v>141</v>
      </c>
      <c r="F250" s="28" t="s">
        <v>142</v>
      </c>
      <c r="G250" s="29" t="s">
        <v>257</v>
      </c>
      <c r="H250" s="29" t="s">
        <v>258</v>
      </c>
      <c r="I250" s="29" t="s">
        <v>1752</v>
      </c>
      <c r="J250" s="29" t="s">
        <v>1753</v>
      </c>
      <c r="K250" s="26" t="s">
        <v>1754</v>
      </c>
      <c r="L250" s="28" t="s">
        <v>1755</v>
      </c>
      <c r="M250" s="31">
        <v>2019.0</v>
      </c>
      <c r="N250" s="31" t="s">
        <v>149</v>
      </c>
      <c r="O250" s="31" t="s">
        <v>149</v>
      </c>
      <c r="P250" s="28" t="s">
        <v>150</v>
      </c>
      <c r="Q250" s="32" t="s">
        <v>151</v>
      </c>
      <c r="R250" s="28" t="s">
        <v>152</v>
      </c>
      <c r="S250" s="32" t="s">
        <v>789</v>
      </c>
      <c r="T250" s="28" t="s">
        <v>154</v>
      </c>
      <c r="U250" s="28" t="s">
        <v>154</v>
      </c>
      <c r="V250" s="26" t="s">
        <v>789</v>
      </c>
      <c r="W250" s="32" t="s">
        <v>180</v>
      </c>
      <c r="X250" s="32" t="s">
        <v>181</v>
      </c>
      <c r="Y250" s="28" t="s">
        <v>1756</v>
      </c>
      <c r="Z250" s="26" t="s">
        <v>1757</v>
      </c>
      <c r="AA250" s="26" t="s">
        <v>159</v>
      </c>
      <c r="AB250" s="26" t="s">
        <v>160</v>
      </c>
      <c r="AC250" s="28" t="s">
        <v>322</v>
      </c>
      <c r="AD250" s="28" t="s">
        <v>686</v>
      </c>
      <c r="AE250" s="29" t="s">
        <v>149</v>
      </c>
      <c r="AF250" s="26" t="s">
        <v>149</v>
      </c>
      <c r="AG250" s="26" t="s">
        <v>782</v>
      </c>
      <c r="AH250" s="26" t="s">
        <v>1757</v>
      </c>
      <c r="AI250" s="28" t="s">
        <v>322</v>
      </c>
      <c r="AJ250" s="28" t="s">
        <v>686</v>
      </c>
      <c r="AK250" s="28" t="s">
        <v>1758</v>
      </c>
      <c r="AL250" s="26" t="s">
        <v>1759</v>
      </c>
      <c r="AM250" s="26" t="s">
        <v>149</v>
      </c>
      <c r="AN250" s="28" t="s">
        <v>165</v>
      </c>
      <c r="AO250" s="26" t="s">
        <v>166</v>
      </c>
      <c r="AP250" s="26" t="s">
        <v>1760</v>
      </c>
      <c r="AQ250" s="34" t="s">
        <v>1761</v>
      </c>
      <c r="AR250" s="26" t="s">
        <v>149</v>
      </c>
      <c r="AS250" s="26" t="s">
        <v>149</v>
      </c>
      <c r="AT250" s="26"/>
    </row>
    <row r="251">
      <c r="A251" s="36" t="s">
        <v>1762</v>
      </c>
      <c r="B251" s="26" t="str">
        <f t="shared" si="1"/>
        <v>2023-PH086416000-2022-0328</v>
      </c>
      <c r="C251" s="27">
        <f t="shared" si="5"/>
        <v>2023</v>
      </c>
      <c r="D251" s="37" t="s">
        <v>140</v>
      </c>
      <c r="E251" s="28" t="s">
        <v>141</v>
      </c>
      <c r="F251" s="28" t="s">
        <v>192</v>
      </c>
      <c r="G251" s="29" t="s">
        <v>579</v>
      </c>
      <c r="H251" s="29" t="s">
        <v>1271</v>
      </c>
      <c r="I251" s="29" t="s">
        <v>1763</v>
      </c>
      <c r="J251" s="29" t="s">
        <v>1764</v>
      </c>
      <c r="K251" s="26" t="s">
        <v>1765</v>
      </c>
      <c r="L251" s="47" t="s">
        <v>149</v>
      </c>
      <c r="M251" s="31">
        <v>2022.0</v>
      </c>
      <c r="N251" s="31" t="s">
        <v>149</v>
      </c>
      <c r="O251" s="31" t="s">
        <v>149</v>
      </c>
      <c r="P251" s="28" t="s">
        <v>150</v>
      </c>
      <c r="Q251" s="32" t="s">
        <v>151</v>
      </c>
      <c r="R251" s="28" t="s">
        <v>604</v>
      </c>
      <c r="S251" s="28" t="s">
        <v>605</v>
      </c>
      <c r="T251" s="28" t="s">
        <v>154</v>
      </c>
      <c r="U251" s="28" t="s">
        <v>154</v>
      </c>
      <c r="V251" s="28" t="s">
        <v>605</v>
      </c>
      <c r="W251" s="32" t="s">
        <v>180</v>
      </c>
      <c r="X251" s="32" t="s">
        <v>181</v>
      </c>
      <c r="Y251" s="26" t="s">
        <v>1766</v>
      </c>
      <c r="Z251" s="26" t="s">
        <v>1736</v>
      </c>
      <c r="AA251" s="26" t="s">
        <v>159</v>
      </c>
      <c r="AB251" s="28" t="s">
        <v>205</v>
      </c>
      <c r="AC251" s="26" t="s">
        <v>306</v>
      </c>
      <c r="AD251" s="28" t="s">
        <v>306</v>
      </c>
      <c r="AE251" s="29" t="s">
        <v>149</v>
      </c>
      <c r="AF251" s="26" t="s">
        <v>149</v>
      </c>
      <c r="AG251" s="26" t="s">
        <v>149</v>
      </c>
      <c r="AH251" s="26" t="s">
        <v>1736</v>
      </c>
      <c r="AI251" s="26" t="s">
        <v>306</v>
      </c>
      <c r="AJ251" s="28" t="s">
        <v>306</v>
      </c>
      <c r="AK251" s="26" t="s">
        <v>369</v>
      </c>
      <c r="AL251" s="28" t="s">
        <v>149</v>
      </c>
      <c r="AM251" s="42" t="s">
        <v>149</v>
      </c>
      <c r="AN251" s="28" t="s">
        <v>165</v>
      </c>
      <c r="AO251" s="28" t="s">
        <v>689</v>
      </c>
      <c r="AP251" s="26" t="s">
        <v>1767</v>
      </c>
      <c r="AQ251" s="38" t="s">
        <v>1768</v>
      </c>
      <c r="AR251" s="26" t="s">
        <v>1739</v>
      </c>
      <c r="AS251" s="26" t="s">
        <v>1740</v>
      </c>
      <c r="AT251" s="11"/>
    </row>
    <row r="252">
      <c r="A252" s="25" t="s">
        <v>1769</v>
      </c>
      <c r="B252" s="26" t="str">
        <f t="shared" si="1"/>
        <v>2023-PH041008000-2022-0116</v>
      </c>
      <c r="C252" s="27">
        <f t="shared" si="5"/>
        <v>2023</v>
      </c>
      <c r="D252" s="28" t="s">
        <v>140</v>
      </c>
      <c r="E252" s="28" t="s">
        <v>141</v>
      </c>
      <c r="F252" s="28" t="s">
        <v>192</v>
      </c>
      <c r="G252" s="29" t="s">
        <v>257</v>
      </c>
      <c r="H252" s="29" t="s">
        <v>258</v>
      </c>
      <c r="I252" s="29" t="s">
        <v>1752</v>
      </c>
      <c r="J252" s="29" t="s">
        <v>1753</v>
      </c>
      <c r="K252" s="26" t="s">
        <v>1770</v>
      </c>
      <c r="L252" s="26" t="s">
        <v>1771</v>
      </c>
      <c r="M252" s="31">
        <v>2022.0</v>
      </c>
      <c r="N252" s="31">
        <v>2022.0</v>
      </c>
      <c r="O252" s="31" t="s">
        <v>149</v>
      </c>
      <c r="P252" s="28" t="s">
        <v>150</v>
      </c>
      <c r="Q252" s="32" t="s">
        <v>151</v>
      </c>
      <c r="R252" s="28" t="s">
        <v>152</v>
      </c>
      <c r="S252" s="32" t="s">
        <v>654</v>
      </c>
      <c r="T252" s="28" t="s">
        <v>154</v>
      </c>
      <c r="U252" s="28" t="s">
        <v>154</v>
      </c>
      <c r="V252" s="26" t="s">
        <v>654</v>
      </c>
      <c r="W252" s="32" t="s">
        <v>149</v>
      </c>
      <c r="X252" s="32" t="s">
        <v>254</v>
      </c>
      <c r="Y252" s="26" t="s">
        <v>149</v>
      </c>
      <c r="Z252" s="26" t="s">
        <v>872</v>
      </c>
      <c r="AA252" s="26" t="s">
        <v>159</v>
      </c>
      <c r="AB252" s="26" t="s">
        <v>160</v>
      </c>
      <c r="AC252" s="26" t="s">
        <v>306</v>
      </c>
      <c r="AD252" s="28" t="s">
        <v>306</v>
      </c>
      <c r="AE252" s="29" t="s">
        <v>149</v>
      </c>
      <c r="AF252" s="26" t="s">
        <v>149</v>
      </c>
      <c r="AG252" s="26" t="s">
        <v>149</v>
      </c>
      <c r="AH252" s="26" t="s">
        <v>872</v>
      </c>
      <c r="AI252" s="26" t="s">
        <v>306</v>
      </c>
      <c r="AJ252" s="28" t="s">
        <v>306</v>
      </c>
      <c r="AK252" s="26" t="s">
        <v>760</v>
      </c>
      <c r="AL252" s="26" t="s">
        <v>1772</v>
      </c>
      <c r="AM252" s="26" t="s">
        <v>149</v>
      </c>
      <c r="AN252" s="28" t="s">
        <v>165</v>
      </c>
      <c r="AO252" s="28" t="s">
        <v>289</v>
      </c>
      <c r="AP252" s="26" t="s">
        <v>1773</v>
      </c>
      <c r="AQ252" s="38" t="s">
        <v>1774</v>
      </c>
      <c r="AR252" s="26" t="s">
        <v>149</v>
      </c>
      <c r="AS252" s="26" t="s">
        <v>149</v>
      </c>
      <c r="AT252" s="26"/>
    </row>
    <row r="253">
      <c r="A253" s="25" t="s">
        <v>1775</v>
      </c>
      <c r="B253" s="26" t="str">
        <f t="shared" si="1"/>
        <v>2023-PH015503000-2017-0042</v>
      </c>
      <c r="C253" s="27">
        <f t="shared" si="5"/>
        <v>2023</v>
      </c>
      <c r="D253" s="28" t="s">
        <v>140</v>
      </c>
      <c r="E253" s="28" t="s">
        <v>141</v>
      </c>
      <c r="F253" s="28" t="s">
        <v>192</v>
      </c>
      <c r="G253" s="29" t="s">
        <v>143</v>
      </c>
      <c r="H253" s="29" t="s">
        <v>144</v>
      </c>
      <c r="I253" s="40" t="s">
        <v>221</v>
      </c>
      <c r="J253" s="29" t="s">
        <v>222</v>
      </c>
      <c r="K253" s="26" t="s">
        <v>1776</v>
      </c>
      <c r="L253" s="26" t="s">
        <v>223</v>
      </c>
      <c r="M253" s="31">
        <v>2017.0</v>
      </c>
      <c r="N253" s="31" t="s">
        <v>149</v>
      </c>
      <c r="O253" s="31" t="s">
        <v>149</v>
      </c>
      <c r="P253" s="28" t="s">
        <v>177</v>
      </c>
      <c r="Q253" s="32" t="s">
        <v>319</v>
      </c>
      <c r="R253" s="28" t="s">
        <v>154</v>
      </c>
      <c r="S253" s="32" t="s">
        <v>154</v>
      </c>
      <c r="T253" s="28" t="s">
        <v>300</v>
      </c>
      <c r="U253" s="28" t="s">
        <v>320</v>
      </c>
      <c r="V253" s="26" t="s">
        <v>179</v>
      </c>
      <c r="W253" s="32" t="s">
        <v>149</v>
      </c>
      <c r="X253" s="32" t="s">
        <v>254</v>
      </c>
      <c r="Y253" s="26" t="s">
        <v>149</v>
      </c>
      <c r="Z253" s="26" t="s">
        <v>1777</v>
      </c>
      <c r="AA253" s="26" t="s">
        <v>159</v>
      </c>
      <c r="AB253" s="26" t="s">
        <v>160</v>
      </c>
      <c r="AC253" s="26" t="s">
        <v>184</v>
      </c>
      <c r="AD253" s="28" t="s">
        <v>184</v>
      </c>
      <c r="AE253" s="29" t="s">
        <v>149</v>
      </c>
      <c r="AF253" s="26" t="s">
        <v>149</v>
      </c>
      <c r="AG253" s="28" t="s">
        <v>1778</v>
      </c>
      <c r="AH253" s="26" t="s">
        <v>228</v>
      </c>
      <c r="AI253" s="28" t="s">
        <v>161</v>
      </c>
      <c r="AJ253" s="28" t="s">
        <v>228</v>
      </c>
      <c r="AK253" s="26" t="s">
        <v>1779</v>
      </c>
      <c r="AL253" s="26" t="s">
        <v>1780</v>
      </c>
      <c r="AM253" s="11" t="s">
        <v>149</v>
      </c>
      <c r="AN253" s="28" t="s">
        <v>165</v>
      </c>
      <c r="AO253" s="28" t="s">
        <v>1147</v>
      </c>
      <c r="AP253" s="26" t="s">
        <v>1300</v>
      </c>
      <c r="AQ253" s="34" t="s">
        <v>1781</v>
      </c>
      <c r="AR253" s="11" t="s">
        <v>149</v>
      </c>
      <c r="AS253" s="11" t="s">
        <v>149</v>
      </c>
      <c r="AT253" s="26"/>
    </row>
    <row r="254">
      <c r="A254" s="36" t="s">
        <v>1782</v>
      </c>
      <c r="B254" s="26" t="str">
        <f t="shared" si="1"/>
        <v>2023-PH101804000-2013-0342</v>
      </c>
      <c r="C254" s="27">
        <f t="shared" si="5"/>
        <v>2023</v>
      </c>
      <c r="D254" s="28" t="s">
        <v>140</v>
      </c>
      <c r="E254" s="28" t="s">
        <v>141</v>
      </c>
      <c r="F254" s="28" t="s">
        <v>192</v>
      </c>
      <c r="G254" s="29" t="s">
        <v>171</v>
      </c>
      <c r="H254" s="29" t="s">
        <v>1725</v>
      </c>
      <c r="I254" s="29" t="s">
        <v>1783</v>
      </c>
      <c r="J254" s="29" t="s">
        <v>1784</v>
      </c>
      <c r="K254" s="26" t="s">
        <v>1785</v>
      </c>
      <c r="L254" s="89" t="s">
        <v>1786</v>
      </c>
      <c r="M254" s="31">
        <v>2013.0</v>
      </c>
      <c r="N254" s="31" t="s">
        <v>149</v>
      </c>
      <c r="O254" s="31" t="s">
        <v>149</v>
      </c>
      <c r="P254" s="28" t="s">
        <v>150</v>
      </c>
      <c r="Q254" s="32" t="s">
        <v>151</v>
      </c>
      <c r="R254" s="87" t="s">
        <v>336</v>
      </c>
      <c r="S254" s="32" t="s">
        <v>851</v>
      </c>
      <c r="T254" s="28" t="s">
        <v>154</v>
      </c>
      <c r="U254" s="28" t="s">
        <v>154</v>
      </c>
      <c r="V254" s="26" t="s">
        <v>851</v>
      </c>
      <c r="W254" s="32" t="s">
        <v>149</v>
      </c>
      <c r="X254" s="32" t="s">
        <v>254</v>
      </c>
      <c r="Y254" s="26" t="s">
        <v>149</v>
      </c>
      <c r="Z254" s="26" t="s">
        <v>341</v>
      </c>
      <c r="AA254" s="26" t="s">
        <v>159</v>
      </c>
      <c r="AB254" s="26" t="s">
        <v>160</v>
      </c>
      <c r="AC254" s="28" t="s">
        <v>322</v>
      </c>
      <c r="AD254" s="28" t="s">
        <v>341</v>
      </c>
      <c r="AE254" s="29" t="s">
        <v>149</v>
      </c>
      <c r="AF254" s="26" t="s">
        <v>149</v>
      </c>
      <c r="AG254" s="28" t="s">
        <v>377</v>
      </c>
      <c r="AH254" s="26" t="s">
        <v>1787</v>
      </c>
      <c r="AI254" s="28" t="s">
        <v>161</v>
      </c>
      <c r="AJ254" s="28" t="s">
        <v>369</v>
      </c>
      <c r="AK254" s="26" t="s">
        <v>1788</v>
      </c>
      <c r="AL254" s="26" t="s">
        <v>724</v>
      </c>
      <c r="AM254" s="26" t="s">
        <v>149</v>
      </c>
      <c r="AN254" s="28" t="s">
        <v>165</v>
      </c>
      <c r="AO254" s="28" t="s">
        <v>289</v>
      </c>
      <c r="AP254" s="26" t="s">
        <v>1789</v>
      </c>
      <c r="AQ254" s="38" t="s">
        <v>1790</v>
      </c>
      <c r="AR254" s="26" t="s">
        <v>149</v>
      </c>
      <c r="AS254" s="26" t="s">
        <v>149</v>
      </c>
      <c r="AT254" s="11"/>
    </row>
    <row r="255">
      <c r="A255" s="36" t="s">
        <v>1791</v>
      </c>
      <c r="B255" s="26" t="str">
        <f t="shared" si="1"/>
        <v>2023-PH101802000-2013-0339</v>
      </c>
      <c r="C255" s="27">
        <f t="shared" si="5"/>
        <v>2023</v>
      </c>
      <c r="D255" s="37" t="s">
        <v>140</v>
      </c>
      <c r="E255" s="28" t="s">
        <v>141</v>
      </c>
      <c r="F255" s="28" t="s">
        <v>192</v>
      </c>
      <c r="G255" s="29" t="s">
        <v>171</v>
      </c>
      <c r="H255" s="29" t="s">
        <v>1725</v>
      </c>
      <c r="I255" s="29" t="s">
        <v>1726</v>
      </c>
      <c r="J255" s="29" t="s">
        <v>1727</v>
      </c>
      <c r="K255" s="26" t="s">
        <v>1785</v>
      </c>
      <c r="L255" s="26" t="s">
        <v>1792</v>
      </c>
      <c r="M255" s="31">
        <v>2013.0</v>
      </c>
      <c r="N255" s="31" t="s">
        <v>149</v>
      </c>
      <c r="O255" s="31" t="s">
        <v>149</v>
      </c>
      <c r="P255" s="28" t="s">
        <v>150</v>
      </c>
      <c r="Q255" s="32" t="s">
        <v>151</v>
      </c>
      <c r="R255" s="87" t="s">
        <v>336</v>
      </c>
      <c r="S255" s="32" t="s">
        <v>851</v>
      </c>
      <c r="T255" s="28" t="s">
        <v>154</v>
      </c>
      <c r="U255" s="28" t="s">
        <v>154</v>
      </c>
      <c r="V255" s="26" t="s">
        <v>851</v>
      </c>
      <c r="W255" s="32" t="s">
        <v>149</v>
      </c>
      <c r="X255" s="32" t="s">
        <v>254</v>
      </c>
      <c r="Y255" s="26" t="s">
        <v>149</v>
      </c>
      <c r="Z255" s="26" t="s">
        <v>341</v>
      </c>
      <c r="AA255" s="26" t="s">
        <v>159</v>
      </c>
      <c r="AB255" s="26" t="s">
        <v>160</v>
      </c>
      <c r="AC255" s="28" t="s">
        <v>322</v>
      </c>
      <c r="AD255" s="28" t="s">
        <v>341</v>
      </c>
      <c r="AE255" s="29" t="s">
        <v>149</v>
      </c>
      <c r="AF255" s="26" t="s">
        <v>149</v>
      </c>
      <c r="AG255" s="26" t="s">
        <v>149</v>
      </c>
      <c r="AH255" s="26" t="s">
        <v>369</v>
      </c>
      <c r="AI255" s="28" t="s">
        <v>161</v>
      </c>
      <c r="AJ255" s="28" t="s">
        <v>369</v>
      </c>
      <c r="AK255" s="26" t="s">
        <v>341</v>
      </c>
      <c r="AL255" s="26" t="s">
        <v>1793</v>
      </c>
      <c r="AM255" s="11" t="s">
        <v>149</v>
      </c>
      <c r="AN255" s="28" t="s">
        <v>165</v>
      </c>
      <c r="AO255" s="28" t="s">
        <v>289</v>
      </c>
      <c r="AP255" s="26" t="s">
        <v>1789</v>
      </c>
      <c r="AQ255" s="34" t="s">
        <v>1790</v>
      </c>
      <c r="AR255" s="11" t="s">
        <v>149</v>
      </c>
      <c r="AS255" s="11" t="s">
        <v>149</v>
      </c>
      <c r="AT255" s="28"/>
    </row>
    <row r="256">
      <c r="A256" s="36" t="s">
        <v>1794</v>
      </c>
      <c r="B256" s="26" t="str">
        <f t="shared" si="1"/>
        <v>2023-PH030808000-2022-0098</v>
      </c>
      <c r="C256" s="27">
        <f t="shared" si="5"/>
        <v>2023</v>
      </c>
      <c r="D256" s="28" t="s">
        <v>140</v>
      </c>
      <c r="E256" s="28" t="s">
        <v>141</v>
      </c>
      <c r="F256" s="28" t="s">
        <v>142</v>
      </c>
      <c r="G256" s="29" t="s">
        <v>293</v>
      </c>
      <c r="H256" s="29" t="s">
        <v>1283</v>
      </c>
      <c r="I256" s="29" t="s">
        <v>1795</v>
      </c>
      <c r="J256" s="29" t="s">
        <v>1796</v>
      </c>
      <c r="K256" s="26" t="s">
        <v>1797</v>
      </c>
      <c r="L256" s="49" t="s">
        <v>149</v>
      </c>
      <c r="M256" s="31">
        <v>2022.0</v>
      </c>
      <c r="N256" s="31" t="s">
        <v>149</v>
      </c>
      <c r="O256" s="31" t="s">
        <v>149</v>
      </c>
      <c r="P256" s="28" t="s">
        <v>150</v>
      </c>
      <c r="Q256" s="32" t="s">
        <v>151</v>
      </c>
      <c r="R256" s="32" t="s">
        <v>1555</v>
      </c>
      <c r="S256" s="32" t="s">
        <v>1798</v>
      </c>
      <c r="T256" s="28" t="s">
        <v>154</v>
      </c>
      <c r="U256" s="28" t="s">
        <v>154</v>
      </c>
      <c r="V256" s="28" t="s">
        <v>1799</v>
      </c>
      <c r="W256" s="32" t="s">
        <v>267</v>
      </c>
      <c r="X256" s="32" t="s">
        <v>1800</v>
      </c>
      <c r="Y256" s="28" t="s">
        <v>1801</v>
      </c>
      <c r="Z256" s="26" t="s">
        <v>1802</v>
      </c>
      <c r="AA256" s="26" t="s">
        <v>159</v>
      </c>
      <c r="AB256" s="26" t="s">
        <v>160</v>
      </c>
      <c r="AC256" s="26" t="s">
        <v>184</v>
      </c>
      <c r="AD256" s="28" t="s">
        <v>184</v>
      </c>
      <c r="AE256" s="29" t="s">
        <v>149</v>
      </c>
      <c r="AF256" s="26" t="s">
        <v>149</v>
      </c>
      <c r="AG256" s="26" t="s">
        <v>149</v>
      </c>
      <c r="AH256" s="26" t="s">
        <v>1802</v>
      </c>
      <c r="AI256" s="26" t="s">
        <v>184</v>
      </c>
      <c r="AJ256" s="28" t="s">
        <v>184</v>
      </c>
      <c r="AK256" s="28" t="s">
        <v>149</v>
      </c>
      <c r="AL256" s="26" t="s">
        <v>149</v>
      </c>
      <c r="AM256" s="26" t="s">
        <v>149</v>
      </c>
      <c r="AN256" s="28" t="s">
        <v>165</v>
      </c>
      <c r="AO256" s="28" t="s">
        <v>689</v>
      </c>
      <c r="AP256" s="26" t="s">
        <v>1803</v>
      </c>
      <c r="AQ256" s="38" t="s">
        <v>1804</v>
      </c>
      <c r="AR256" s="26" t="s">
        <v>149</v>
      </c>
      <c r="AS256" s="26" t="s">
        <v>149</v>
      </c>
      <c r="AT256" s="26"/>
    </row>
    <row r="257">
      <c r="A257" s="36" t="s">
        <v>1805</v>
      </c>
      <c r="B257" s="26" t="str">
        <f t="shared" si="1"/>
        <v>2023-PH101803000-2021-0340</v>
      </c>
      <c r="C257" s="27">
        <f t="shared" si="5"/>
        <v>2023</v>
      </c>
      <c r="D257" s="28" t="s">
        <v>140</v>
      </c>
      <c r="E257" s="28" t="s">
        <v>141</v>
      </c>
      <c r="F257" s="28" t="s">
        <v>192</v>
      </c>
      <c r="G257" s="29" t="s">
        <v>171</v>
      </c>
      <c r="H257" s="29" t="s">
        <v>1725</v>
      </c>
      <c r="I257" s="29" t="s">
        <v>1806</v>
      </c>
      <c r="J257" s="29" t="s">
        <v>1807</v>
      </c>
      <c r="K257" s="26" t="s">
        <v>1808</v>
      </c>
      <c r="L257" s="26" t="s">
        <v>1809</v>
      </c>
      <c r="M257" s="31">
        <v>2021.0</v>
      </c>
      <c r="N257" s="31" t="s">
        <v>149</v>
      </c>
      <c r="O257" s="31" t="s">
        <v>149</v>
      </c>
      <c r="P257" s="28" t="s">
        <v>150</v>
      </c>
      <c r="Q257" s="32" t="s">
        <v>151</v>
      </c>
      <c r="R257" s="28" t="s">
        <v>152</v>
      </c>
      <c r="S257" s="32" t="s">
        <v>911</v>
      </c>
      <c r="T257" s="28" t="s">
        <v>154</v>
      </c>
      <c r="U257" s="28" t="s">
        <v>154</v>
      </c>
      <c r="V257" s="26" t="s">
        <v>911</v>
      </c>
      <c r="W257" s="32" t="s">
        <v>149</v>
      </c>
      <c r="X257" s="32" t="s">
        <v>254</v>
      </c>
      <c r="Y257" s="26" t="s">
        <v>149</v>
      </c>
      <c r="Z257" s="26" t="s">
        <v>149</v>
      </c>
      <c r="AA257" s="26" t="s">
        <v>159</v>
      </c>
      <c r="AB257" s="28" t="s">
        <v>149</v>
      </c>
      <c r="AC257" s="28" t="s">
        <v>149</v>
      </c>
      <c r="AD257" s="28" t="s">
        <v>149</v>
      </c>
      <c r="AE257" s="29" t="s">
        <v>149</v>
      </c>
      <c r="AF257" s="26" t="s">
        <v>149</v>
      </c>
      <c r="AG257" s="26" t="s">
        <v>149</v>
      </c>
      <c r="AH257" s="28" t="s">
        <v>1810</v>
      </c>
      <c r="AI257" s="28" t="s">
        <v>322</v>
      </c>
      <c r="AJ257" s="28" t="s">
        <v>1628</v>
      </c>
      <c r="AK257" s="26" t="s">
        <v>1811</v>
      </c>
      <c r="AL257" s="28" t="s">
        <v>1812</v>
      </c>
      <c r="AM257" s="11" t="s">
        <v>149</v>
      </c>
      <c r="AN257" s="28" t="s">
        <v>165</v>
      </c>
      <c r="AO257" s="26" t="s">
        <v>166</v>
      </c>
      <c r="AP257" s="26" t="s">
        <v>1813</v>
      </c>
      <c r="AQ257" s="38" t="s">
        <v>1814</v>
      </c>
      <c r="AR257" s="11" t="s">
        <v>149</v>
      </c>
      <c r="AS257" s="11" t="s">
        <v>149</v>
      </c>
      <c r="AT257" s="26"/>
    </row>
    <row r="258">
      <c r="A258" s="36" t="s">
        <v>1815</v>
      </c>
      <c r="B258" s="26" t="str">
        <f t="shared" si="1"/>
        <v>2023-PH054101000-2017-0208</v>
      </c>
      <c r="C258" s="27">
        <f t="shared" si="5"/>
        <v>2023</v>
      </c>
      <c r="D258" s="37" t="s">
        <v>140</v>
      </c>
      <c r="E258" s="28" t="s">
        <v>141</v>
      </c>
      <c r="F258" s="28" t="s">
        <v>192</v>
      </c>
      <c r="G258" s="29" t="s">
        <v>535</v>
      </c>
      <c r="H258" s="29" t="s">
        <v>1191</v>
      </c>
      <c r="I258" s="29" t="s">
        <v>1816</v>
      </c>
      <c r="J258" s="29" t="s">
        <v>1817</v>
      </c>
      <c r="K258" s="26" t="s">
        <v>1818</v>
      </c>
      <c r="L258" s="46" t="s">
        <v>149</v>
      </c>
      <c r="M258" s="31">
        <v>2017.0</v>
      </c>
      <c r="N258" s="31">
        <v>2017.0</v>
      </c>
      <c r="O258" s="31" t="s">
        <v>149</v>
      </c>
      <c r="P258" s="28" t="s">
        <v>150</v>
      </c>
      <c r="Q258" s="32" t="s">
        <v>151</v>
      </c>
      <c r="R258" s="32" t="s">
        <v>336</v>
      </c>
      <c r="S258" s="32" t="s">
        <v>337</v>
      </c>
      <c r="T258" s="28" t="s">
        <v>154</v>
      </c>
      <c r="U258" s="28" t="s">
        <v>154</v>
      </c>
      <c r="V258" s="26" t="s">
        <v>337</v>
      </c>
      <c r="W258" s="32" t="s">
        <v>671</v>
      </c>
      <c r="X258" s="32" t="s">
        <v>672</v>
      </c>
      <c r="Y258" s="26" t="s">
        <v>1819</v>
      </c>
      <c r="Z258" s="26" t="s">
        <v>1820</v>
      </c>
      <c r="AA258" s="26" t="s">
        <v>159</v>
      </c>
      <c r="AB258" s="26" t="s">
        <v>160</v>
      </c>
      <c r="AC258" s="26" t="s">
        <v>184</v>
      </c>
      <c r="AD258" s="28" t="s">
        <v>184</v>
      </c>
      <c r="AE258" s="29" t="s">
        <v>149</v>
      </c>
      <c r="AF258" s="28" t="s">
        <v>1821</v>
      </c>
      <c r="AG258" s="88" t="s">
        <v>1822</v>
      </c>
      <c r="AH258" s="26" t="s">
        <v>1823</v>
      </c>
      <c r="AI258" s="26" t="s">
        <v>184</v>
      </c>
      <c r="AJ258" s="28" t="s">
        <v>184</v>
      </c>
      <c r="AK258" s="26" t="s">
        <v>149</v>
      </c>
      <c r="AL258" s="26" t="s">
        <v>1824</v>
      </c>
      <c r="AM258" s="26" t="s">
        <v>149</v>
      </c>
      <c r="AN258" s="28" t="s">
        <v>165</v>
      </c>
      <c r="AO258" s="26" t="s">
        <v>166</v>
      </c>
      <c r="AP258" s="26" t="s">
        <v>1825</v>
      </c>
      <c r="AQ258" s="26" t="s">
        <v>1826</v>
      </c>
      <c r="AR258" s="26" t="s">
        <v>149</v>
      </c>
      <c r="AS258" s="26" t="s">
        <v>149</v>
      </c>
      <c r="AT258" s="29"/>
    </row>
    <row r="259">
      <c r="A259" s="36" t="s">
        <v>1827</v>
      </c>
      <c r="B259" s="26" t="str">
        <f t="shared" si="1"/>
        <v>2023-PH015505000-2014-0046</v>
      </c>
      <c r="C259" s="27">
        <f t="shared" si="5"/>
        <v>2023</v>
      </c>
      <c r="D259" s="28" t="s">
        <v>140</v>
      </c>
      <c r="E259" s="28" t="s">
        <v>141</v>
      </c>
      <c r="F259" s="28" t="s">
        <v>192</v>
      </c>
      <c r="G259" s="29" t="s">
        <v>143</v>
      </c>
      <c r="H259" s="29" t="s">
        <v>144</v>
      </c>
      <c r="I259" s="29" t="s">
        <v>230</v>
      </c>
      <c r="J259" s="29" t="s">
        <v>231</v>
      </c>
      <c r="K259" s="26" t="s">
        <v>1828</v>
      </c>
      <c r="L259" s="70" t="s">
        <v>1829</v>
      </c>
      <c r="M259" s="31">
        <v>2014.0</v>
      </c>
      <c r="N259" s="31">
        <v>2014.0</v>
      </c>
      <c r="O259" s="31">
        <v>2017.0</v>
      </c>
      <c r="P259" s="28" t="s">
        <v>199</v>
      </c>
      <c r="Q259" s="32" t="s">
        <v>200</v>
      </c>
      <c r="R259" s="28" t="s">
        <v>154</v>
      </c>
      <c r="S259" s="32" t="s">
        <v>154</v>
      </c>
      <c r="T259" s="28" t="s">
        <v>154</v>
      </c>
      <c r="U259" s="28" t="s">
        <v>154</v>
      </c>
      <c r="V259" s="104" t="s">
        <v>1830</v>
      </c>
      <c r="W259" s="28" t="s">
        <v>237</v>
      </c>
      <c r="X259" s="28" t="s">
        <v>238</v>
      </c>
      <c r="Y259" s="26" t="s">
        <v>1831</v>
      </c>
      <c r="Z259" s="26" t="s">
        <v>321</v>
      </c>
      <c r="AA259" s="26" t="s">
        <v>204</v>
      </c>
      <c r="AB259" s="26" t="s">
        <v>160</v>
      </c>
      <c r="AC259" s="28" t="s">
        <v>322</v>
      </c>
      <c r="AD259" s="28" t="s">
        <v>323</v>
      </c>
      <c r="AE259" s="44" t="s">
        <v>1832</v>
      </c>
      <c r="AF259" s="26" t="s">
        <v>149</v>
      </c>
      <c r="AG259" s="26" t="s">
        <v>149</v>
      </c>
      <c r="AH259" s="26" t="s">
        <v>233</v>
      </c>
      <c r="AI259" s="32" t="s">
        <v>209</v>
      </c>
      <c r="AJ259" s="28" t="s">
        <v>227</v>
      </c>
      <c r="AK259" s="26" t="s">
        <v>1833</v>
      </c>
      <c r="AL259" s="11" t="s">
        <v>149</v>
      </c>
      <c r="AM259" s="11" t="s">
        <v>149</v>
      </c>
      <c r="AN259" s="28" t="s">
        <v>165</v>
      </c>
      <c r="AO259" s="28" t="s">
        <v>731</v>
      </c>
      <c r="AP259" s="26" t="s">
        <v>1834</v>
      </c>
      <c r="AQ259" s="34" t="s">
        <v>1835</v>
      </c>
      <c r="AR259" s="26" t="s">
        <v>943</v>
      </c>
      <c r="AS259" s="11" t="s">
        <v>149</v>
      </c>
      <c r="AT259" s="11"/>
    </row>
    <row r="260">
      <c r="A260" s="36" t="s">
        <v>1836</v>
      </c>
      <c r="B260" s="26" t="str">
        <f t="shared" si="1"/>
        <v>2023-PH015514000-2014-0068</v>
      </c>
      <c r="C260" s="27">
        <f t="shared" si="5"/>
        <v>2023</v>
      </c>
      <c r="D260" s="28" t="s">
        <v>140</v>
      </c>
      <c r="E260" s="28" t="s">
        <v>141</v>
      </c>
      <c r="F260" s="28" t="s">
        <v>192</v>
      </c>
      <c r="G260" s="30" t="s">
        <v>143</v>
      </c>
      <c r="H260" s="30" t="s">
        <v>144</v>
      </c>
      <c r="I260" s="30" t="s">
        <v>693</v>
      </c>
      <c r="J260" s="30" t="s">
        <v>694</v>
      </c>
      <c r="K260" s="101" t="s">
        <v>1828</v>
      </c>
      <c r="L260" s="102" t="s">
        <v>149</v>
      </c>
      <c r="M260" s="53">
        <v>2014.0</v>
      </c>
      <c r="N260" s="53">
        <v>2014.0</v>
      </c>
      <c r="O260" s="53">
        <v>2017.0</v>
      </c>
      <c r="P260" s="102" t="s">
        <v>199</v>
      </c>
      <c r="Q260" s="32" t="s">
        <v>200</v>
      </c>
      <c r="R260" s="28" t="s">
        <v>154</v>
      </c>
      <c r="S260" s="32" t="s">
        <v>154</v>
      </c>
      <c r="T260" s="28" t="s">
        <v>154</v>
      </c>
      <c r="U260" s="28" t="s">
        <v>154</v>
      </c>
      <c r="V260" s="101" t="s">
        <v>1830</v>
      </c>
      <c r="W260" s="28" t="s">
        <v>237</v>
      </c>
      <c r="X260" s="28" t="s">
        <v>238</v>
      </c>
      <c r="Y260" s="26" t="s">
        <v>1831</v>
      </c>
      <c r="Z260" s="101" t="s">
        <v>321</v>
      </c>
      <c r="AA260" s="101" t="s">
        <v>204</v>
      </c>
      <c r="AB260" s="26" t="s">
        <v>160</v>
      </c>
      <c r="AC260" s="28" t="s">
        <v>322</v>
      </c>
      <c r="AD260" s="102" t="s">
        <v>323</v>
      </c>
      <c r="AE260" s="105" t="s">
        <v>1832</v>
      </c>
      <c r="AF260" s="101" t="s">
        <v>149</v>
      </c>
      <c r="AG260" s="26" t="s">
        <v>149</v>
      </c>
      <c r="AH260" s="101" t="s">
        <v>233</v>
      </c>
      <c r="AI260" s="32" t="s">
        <v>209</v>
      </c>
      <c r="AJ260" s="102" t="s">
        <v>227</v>
      </c>
      <c r="AK260" s="101" t="s">
        <v>1837</v>
      </c>
      <c r="AL260" s="106" t="s">
        <v>149</v>
      </c>
      <c r="AM260" s="106" t="s">
        <v>149</v>
      </c>
      <c r="AN260" s="28" t="s">
        <v>165</v>
      </c>
      <c r="AO260" s="28" t="s">
        <v>731</v>
      </c>
      <c r="AP260" s="101" t="s">
        <v>1834</v>
      </c>
      <c r="AQ260" s="103" t="s">
        <v>1838</v>
      </c>
      <c r="AR260" s="101" t="s">
        <v>943</v>
      </c>
      <c r="AS260" s="106" t="s">
        <v>149</v>
      </c>
      <c r="AT260" s="11"/>
    </row>
    <row r="261">
      <c r="A261" s="36" t="s">
        <v>1839</v>
      </c>
      <c r="B261" s="26" t="str">
        <f t="shared" si="1"/>
        <v>2023-PH084802000-2017-0320</v>
      </c>
      <c r="C261" s="27">
        <f t="shared" si="5"/>
        <v>2023</v>
      </c>
      <c r="D261" s="37" t="s">
        <v>140</v>
      </c>
      <c r="E261" s="28" t="s">
        <v>141</v>
      </c>
      <c r="F261" s="28" t="s">
        <v>192</v>
      </c>
      <c r="G261" s="29" t="s">
        <v>579</v>
      </c>
      <c r="H261" s="29" t="s">
        <v>714</v>
      </c>
      <c r="I261" s="29" t="s">
        <v>715</v>
      </c>
      <c r="J261" s="29" t="s">
        <v>716</v>
      </c>
      <c r="K261" s="26" t="s">
        <v>1840</v>
      </c>
      <c r="L261" s="28" t="s">
        <v>149</v>
      </c>
      <c r="M261" s="31">
        <v>2017.0</v>
      </c>
      <c r="N261" s="31" t="s">
        <v>149</v>
      </c>
      <c r="O261" s="31" t="s">
        <v>149</v>
      </c>
      <c r="P261" s="28" t="s">
        <v>177</v>
      </c>
      <c r="Q261" s="32" t="s">
        <v>319</v>
      </c>
      <c r="R261" s="28" t="s">
        <v>154</v>
      </c>
      <c r="S261" s="32" t="s">
        <v>154</v>
      </c>
      <c r="T261" s="28" t="s">
        <v>300</v>
      </c>
      <c r="U261" s="28" t="s">
        <v>1358</v>
      </c>
      <c r="V261" s="26" t="s">
        <v>1841</v>
      </c>
      <c r="W261" s="32" t="s">
        <v>180</v>
      </c>
      <c r="X261" s="32" t="s">
        <v>181</v>
      </c>
      <c r="Y261" s="26" t="s">
        <v>1842</v>
      </c>
      <c r="Z261" s="26" t="s">
        <v>149</v>
      </c>
      <c r="AA261" s="26" t="s">
        <v>149</v>
      </c>
      <c r="AB261" s="26" t="s">
        <v>149</v>
      </c>
      <c r="AC261" s="26" t="s">
        <v>149</v>
      </c>
      <c r="AD261" s="28" t="s">
        <v>149</v>
      </c>
      <c r="AE261" s="29" t="s">
        <v>149</v>
      </c>
      <c r="AF261" s="26" t="s">
        <v>149</v>
      </c>
      <c r="AG261" s="26" t="s">
        <v>149</v>
      </c>
      <c r="AH261" s="26" t="s">
        <v>724</v>
      </c>
      <c r="AI261" s="26" t="s">
        <v>184</v>
      </c>
      <c r="AJ261" s="28" t="s">
        <v>184</v>
      </c>
      <c r="AK261" s="102" t="s">
        <v>149</v>
      </c>
      <c r="AL261" s="102" t="s">
        <v>149</v>
      </c>
      <c r="AM261" s="101" t="s">
        <v>1843</v>
      </c>
      <c r="AN261" s="28" t="s">
        <v>165</v>
      </c>
      <c r="AO261" s="28" t="s">
        <v>289</v>
      </c>
      <c r="AP261" s="26" t="s">
        <v>726</v>
      </c>
      <c r="AQ261" s="38" t="s">
        <v>1844</v>
      </c>
      <c r="AR261" s="28" t="s">
        <v>149</v>
      </c>
      <c r="AS261" s="102" t="s">
        <v>149</v>
      </c>
      <c r="AT261" s="11"/>
    </row>
    <row r="262">
      <c r="A262" s="36" t="s">
        <v>1845</v>
      </c>
      <c r="B262" s="26" t="str">
        <f t="shared" si="1"/>
        <v>2023-PH015505000-2014-0047</v>
      </c>
      <c r="C262" s="27">
        <f t="shared" si="5"/>
        <v>2023</v>
      </c>
      <c r="D262" s="28" t="s">
        <v>140</v>
      </c>
      <c r="E262" s="28" t="s">
        <v>141</v>
      </c>
      <c r="F262" s="28" t="s">
        <v>192</v>
      </c>
      <c r="G262" s="29" t="s">
        <v>143</v>
      </c>
      <c r="H262" s="29" t="s">
        <v>144</v>
      </c>
      <c r="I262" s="29" t="s">
        <v>230</v>
      </c>
      <c r="J262" s="29" t="s">
        <v>231</v>
      </c>
      <c r="K262" s="26" t="s">
        <v>1846</v>
      </c>
      <c r="L262" s="11" t="s">
        <v>149</v>
      </c>
      <c r="M262" s="31">
        <v>2014.0</v>
      </c>
      <c r="N262" s="31">
        <v>2014.0</v>
      </c>
      <c r="O262" s="31">
        <v>2017.0</v>
      </c>
      <c r="P262" s="28" t="s">
        <v>199</v>
      </c>
      <c r="Q262" s="32" t="s">
        <v>200</v>
      </c>
      <c r="R262" s="28" t="s">
        <v>154</v>
      </c>
      <c r="S262" s="32" t="s">
        <v>154</v>
      </c>
      <c r="T262" s="28" t="s">
        <v>154</v>
      </c>
      <c r="U262" s="28" t="s">
        <v>154</v>
      </c>
      <c r="V262" s="26" t="s">
        <v>1847</v>
      </c>
      <c r="W262" s="28" t="s">
        <v>237</v>
      </c>
      <c r="X262" s="28" t="s">
        <v>238</v>
      </c>
      <c r="Y262" s="26" t="s">
        <v>1848</v>
      </c>
      <c r="Z262" s="26" t="s">
        <v>321</v>
      </c>
      <c r="AA262" s="26" t="s">
        <v>204</v>
      </c>
      <c r="AB262" s="26" t="s">
        <v>160</v>
      </c>
      <c r="AC262" s="28" t="s">
        <v>322</v>
      </c>
      <c r="AD262" s="28" t="s">
        <v>323</v>
      </c>
      <c r="AE262" s="44" t="s">
        <v>1849</v>
      </c>
      <c r="AF262" s="26" t="s">
        <v>149</v>
      </c>
      <c r="AG262" s="26" t="s">
        <v>149</v>
      </c>
      <c r="AH262" s="26" t="s">
        <v>233</v>
      </c>
      <c r="AI262" s="32" t="s">
        <v>209</v>
      </c>
      <c r="AJ262" s="28" t="s">
        <v>227</v>
      </c>
      <c r="AK262" s="101" t="s">
        <v>1850</v>
      </c>
      <c r="AL262" s="101" t="s">
        <v>885</v>
      </c>
      <c r="AM262" s="106" t="s">
        <v>149</v>
      </c>
      <c r="AN262" s="28" t="s">
        <v>165</v>
      </c>
      <c r="AO262" s="28" t="s">
        <v>731</v>
      </c>
      <c r="AP262" s="26" t="s">
        <v>1851</v>
      </c>
      <c r="AQ262" s="34" t="s">
        <v>1852</v>
      </c>
      <c r="AR262" s="26" t="s">
        <v>943</v>
      </c>
      <c r="AS262" s="11" t="s">
        <v>149</v>
      </c>
      <c r="AT262" s="11"/>
    </row>
    <row r="263">
      <c r="A263" s="36" t="s">
        <v>1853</v>
      </c>
      <c r="B263" s="26" t="str">
        <f t="shared" si="1"/>
        <v>2023-PH015514000-2014-0067</v>
      </c>
      <c r="C263" s="27">
        <f t="shared" si="5"/>
        <v>2023</v>
      </c>
      <c r="D263" s="28" t="s">
        <v>140</v>
      </c>
      <c r="E263" s="28" t="s">
        <v>141</v>
      </c>
      <c r="F263" s="28" t="s">
        <v>192</v>
      </c>
      <c r="G263" s="29" t="s">
        <v>143</v>
      </c>
      <c r="H263" s="29" t="s">
        <v>144</v>
      </c>
      <c r="I263" s="29" t="s">
        <v>693</v>
      </c>
      <c r="J263" s="29" t="s">
        <v>694</v>
      </c>
      <c r="K263" s="26" t="s">
        <v>1846</v>
      </c>
      <c r="L263" s="28" t="s">
        <v>149</v>
      </c>
      <c r="M263" s="31">
        <v>2014.0</v>
      </c>
      <c r="N263" s="31">
        <v>2014.0</v>
      </c>
      <c r="O263" s="31">
        <v>2017.0</v>
      </c>
      <c r="P263" s="28" t="s">
        <v>199</v>
      </c>
      <c r="Q263" s="32" t="s">
        <v>200</v>
      </c>
      <c r="R263" s="28" t="s">
        <v>154</v>
      </c>
      <c r="S263" s="32" t="s">
        <v>154</v>
      </c>
      <c r="T263" s="28" t="s">
        <v>154</v>
      </c>
      <c r="U263" s="28" t="s">
        <v>154</v>
      </c>
      <c r="V263" s="26" t="s">
        <v>1847</v>
      </c>
      <c r="W263" s="28" t="s">
        <v>237</v>
      </c>
      <c r="X263" s="32" t="s">
        <v>238</v>
      </c>
      <c r="Y263" s="26" t="s">
        <v>1848</v>
      </c>
      <c r="Z263" s="26" t="s">
        <v>321</v>
      </c>
      <c r="AA263" s="26" t="s">
        <v>204</v>
      </c>
      <c r="AB263" s="26" t="s">
        <v>160</v>
      </c>
      <c r="AC263" s="28" t="s">
        <v>322</v>
      </c>
      <c r="AD263" s="28" t="s">
        <v>323</v>
      </c>
      <c r="AE263" s="44" t="s">
        <v>1849</v>
      </c>
      <c r="AF263" s="26" t="s">
        <v>149</v>
      </c>
      <c r="AG263" s="26" t="s">
        <v>149</v>
      </c>
      <c r="AH263" s="26" t="s">
        <v>233</v>
      </c>
      <c r="AI263" s="32" t="s">
        <v>209</v>
      </c>
      <c r="AJ263" s="28" t="s">
        <v>227</v>
      </c>
      <c r="AK263" s="101" t="s">
        <v>1854</v>
      </c>
      <c r="AL263" s="101" t="s">
        <v>885</v>
      </c>
      <c r="AM263" s="106" t="s">
        <v>149</v>
      </c>
      <c r="AN263" s="28" t="s">
        <v>165</v>
      </c>
      <c r="AO263" s="28" t="s">
        <v>731</v>
      </c>
      <c r="AP263" s="26" t="s">
        <v>1851</v>
      </c>
      <c r="AQ263" s="34" t="s">
        <v>1855</v>
      </c>
      <c r="AR263" s="26" t="s">
        <v>943</v>
      </c>
      <c r="AS263" s="106" t="s">
        <v>149</v>
      </c>
      <c r="AT263" s="26"/>
    </row>
    <row r="264">
      <c r="A264" s="36" t="s">
        <v>1856</v>
      </c>
      <c r="B264" s="26" t="str">
        <f t="shared" si="1"/>
        <v>2023-PH072220000-2014-0278</v>
      </c>
      <c r="C264" s="27">
        <f t="shared" si="5"/>
        <v>2023</v>
      </c>
      <c r="D264" s="37" t="s">
        <v>140</v>
      </c>
      <c r="E264" s="28" t="s">
        <v>141</v>
      </c>
      <c r="F264" s="28" t="s">
        <v>192</v>
      </c>
      <c r="G264" s="29" t="s">
        <v>193</v>
      </c>
      <c r="H264" s="29" t="s">
        <v>194</v>
      </c>
      <c r="I264" s="29" t="s">
        <v>195</v>
      </c>
      <c r="J264" s="29" t="s">
        <v>196</v>
      </c>
      <c r="K264" s="28" t="s">
        <v>1857</v>
      </c>
      <c r="L264" s="30" t="s">
        <v>149</v>
      </c>
      <c r="M264" s="31">
        <v>2014.0</v>
      </c>
      <c r="N264" s="31">
        <v>2014.0</v>
      </c>
      <c r="O264" s="31">
        <v>2016.0</v>
      </c>
      <c r="P264" s="28" t="s">
        <v>199</v>
      </c>
      <c r="Q264" s="32" t="s">
        <v>200</v>
      </c>
      <c r="R264" s="28" t="s">
        <v>154</v>
      </c>
      <c r="S264" s="32" t="s">
        <v>154</v>
      </c>
      <c r="T264" s="28" t="s">
        <v>154</v>
      </c>
      <c r="U264" s="28" t="s">
        <v>154</v>
      </c>
      <c r="V264" s="26" t="s">
        <v>149</v>
      </c>
      <c r="W264" s="32" t="s">
        <v>149</v>
      </c>
      <c r="X264" s="32" t="s">
        <v>254</v>
      </c>
      <c r="Y264" s="26" t="s">
        <v>149</v>
      </c>
      <c r="Z264" s="26" t="s">
        <v>321</v>
      </c>
      <c r="AA264" s="26" t="s">
        <v>204</v>
      </c>
      <c r="AB264" s="26" t="s">
        <v>160</v>
      </c>
      <c r="AC264" s="28" t="s">
        <v>322</v>
      </c>
      <c r="AD264" s="28" t="s">
        <v>323</v>
      </c>
      <c r="AE264" s="29" t="s">
        <v>149</v>
      </c>
      <c r="AF264" s="26" t="s">
        <v>149</v>
      </c>
      <c r="AG264" s="26" t="s">
        <v>149</v>
      </c>
      <c r="AH264" s="26" t="s">
        <v>885</v>
      </c>
      <c r="AI264" s="32" t="s">
        <v>209</v>
      </c>
      <c r="AJ264" s="28" t="s">
        <v>886</v>
      </c>
      <c r="AK264" s="101" t="s">
        <v>1858</v>
      </c>
      <c r="AL264" s="30" t="s">
        <v>149</v>
      </c>
      <c r="AM264" s="30" t="s">
        <v>149</v>
      </c>
      <c r="AN264" s="28" t="s">
        <v>165</v>
      </c>
      <c r="AO264" s="28" t="s">
        <v>731</v>
      </c>
      <c r="AP264" s="26" t="s">
        <v>1859</v>
      </c>
      <c r="AQ264" s="34" t="s">
        <v>1860</v>
      </c>
      <c r="AR264" s="26" t="s">
        <v>1861</v>
      </c>
      <c r="AS264" s="107" t="s">
        <v>1862</v>
      </c>
      <c r="AT264" s="11"/>
    </row>
    <row r="265">
      <c r="A265" s="36" t="s">
        <v>1863</v>
      </c>
      <c r="B265" s="26" t="str">
        <f t="shared" si="1"/>
        <v>2023-PH072226000-2014-0288</v>
      </c>
      <c r="C265" s="27">
        <f t="shared" si="5"/>
        <v>2023</v>
      </c>
      <c r="D265" s="37" t="s">
        <v>140</v>
      </c>
      <c r="E265" s="28" t="s">
        <v>141</v>
      </c>
      <c r="F265" s="28" t="s">
        <v>192</v>
      </c>
      <c r="G265" s="29" t="s">
        <v>193</v>
      </c>
      <c r="H265" s="29" t="s">
        <v>194</v>
      </c>
      <c r="I265" s="40" t="s">
        <v>216</v>
      </c>
      <c r="J265" s="29" t="s">
        <v>217</v>
      </c>
      <c r="K265" s="28" t="s">
        <v>1857</v>
      </c>
      <c r="L265" s="29" t="s">
        <v>149</v>
      </c>
      <c r="M265" s="31">
        <v>2014.0</v>
      </c>
      <c r="N265" s="31">
        <v>2014.0</v>
      </c>
      <c r="O265" s="31">
        <v>2016.0</v>
      </c>
      <c r="P265" s="28" t="s">
        <v>199</v>
      </c>
      <c r="Q265" s="32" t="s">
        <v>200</v>
      </c>
      <c r="R265" s="28" t="s">
        <v>154</v>
      </c>
      <c r="S265" s="32" t="s">
        <v>154</v>
      </c>
      <c r="T265" s="28" t="s">
        <v>154</v>
      </c>
      <c r="U265" s="28" t="s">
        <v>154</v>
      </c>
      <c r="V265" s="26" t="s">
        <v>149</v>
      </c>
      <c r="W265" s="32" t="s">
        <v>149</v>
      </c>
      <c r="X265" s="32" t="s">
        <v>254</v>
      </c>
      <c r="Y265" s="26" t="s">
        <v>149</v>
      </c>
      <c r="Z265" s="26" t="s">
        <v>321</v>
      </c>
      <c r="AA265" s="26" t="s">
        <v>204</v>
      </c>
      <c r="AB265" s="26" t="s">
        <v>160</v>
      </c>
      <c r="AC265" s="28" t="s">
        <v>322</v>
      </c>
      <c r="AD265" s="28" t="s">
        <v>323</v>
      </c>
      <c r="AE265" s="29" t="s">
        <v>149</v>
      </c>
      <c r="AF265" s="26" t="s">
        <v>149</v>
      </c>
      <c r="AG265" s="26" t="s">
        <v>149</v>
      </c>
      <c r="AH265" s="26" t="s">
        <v>885</v>
      </c>
      <c r="AI265" s="32" t="s">
        <v>209</v>
      </c>
      <c r="AJ265" s="28" t="s">
        <v>886</v>
      </c>
      <c r="AK265" s="26" t="s">
        <v>1858</v>
      </c>
      <c r="AL265" s="30" t="s">
        <v>149</v>
      </c>
      <c r="AM265" s="30" t="s">
        <v>149</v>
      </c>
      <c r="AN265" s="28" t="s">
        <v>165</v>
      </c>
      <c r="AO265" s="28" t="s">
        <v>731</v>
      </c>
      <c r="AP265" s="26" t="s">
        <v>1859</v>
      </c>
      <c r="AQ265" s="34" t="s">
        <v>1864</v>
      </c>
      <c r="AR265" s="29" t="s">
        <v>149</v>
      </c>
      <c r="AS265" s="30" t="s">
        <v>149</v>
      </c>
      <c r="AT265" s="26"/>
    </row>
    <row r="266">
      <c r="A266" s="36" t="s">
        <v>1865</v>
      </c>
      <c r="B266" s="26" t="str">
        <f t="shared" si="1"/>
        <v>2023-PH157002000-2014-0454</v>
      </c>
      <c r="C266" s="27">
        <f t="shared" si="5"/>
        <v>2023</v>
      </c>
      <c r="D266" s="37" t="s">
        <v>140</v>
      </c>
      <c r="E266" s="28" t="s">
        <v>141</v>
      </c>
      <c r="F266" s="28" t="s">
        <v>192</v>
      </c>
      <c r="G266" s="29" t="s">
        <v>642</v>
      </c>
      <c r="H266" s="29" t="s">
        <v>1217</v>
      </c>
      <c r="I266" s="29" t="s">
        <v>1218</v>
      </c>
      <c r="J266" s="29" t="s">
        <v>1219</v>
      </c>
      <c r="K266" s="28" t="s">
        <v>1857</v>
      </c>
      <c r="L266" s="102" t="s">
        <v>1866</v>
      </c>
      <c r="M266" s="31">
        <v>2014.0</v>
      </c>
      <c r="N266" s="31">
        <v>2014.0</v>
      </c>
      <c r="O266" s="31">
        <v>2017.0</v>
      </c>
      <c r="P266" s="28" t="s">
        <v>199</v>
      </c>
      <c r="Q266" s="32" t="s">
        <v>200</v>
      </c>
      <c r="R266" s="28" t="s">
        <v>154</v>
      </c>
      <c r="S266" s="32" t="s">
        <v>154</v>
      </c>
      <c r="T266" s="28" t="s">
        <v>154</v>
      </c>
      <c r="U266" s="28" t="s">
        <v>154</v>
      </c>
      <c r="V266" s="26" t="s">
        <v>1867</v>
      </c>
      <c r="W266" s="32" t="s">
        <v>237</v>
      </c>
      <c r="X266" s="32" t="s">
        <v>238</v>
      </c>
      <c r="Y266" s="26" t="s">
        <v>1868</v>
      </c>
      <c r="Z266" s="26" t="s">
        <v>321</v>
      </c>
      <c r="AA266" s="26" t="s">
        <v>204</v>
      </c>
      <c r="AB266" s="26" t="s">
        <v>160</v>
      </c>
      <c r="AC266" s="28" t="s">
        <v>322</v>
      </c>
      <c r="AD266" s="28" t="s">
        <v>323</v>
      </c>
      <c r="AE266" s="29" t="s">
        <v>149</v>
      </c>
      <c r="AF266" s="26" t="s">
        <v>149</v>
      </c>
      <c r="AG266" s="26" t="s">
        <v>149</v>
      </c>
      <c r="AH266" s="26" t="s">
        <v>1224</v>
      </c>
      <c r="AI266" s="32" t="s">
        <v>209</v>
      </c>
      <c r="AJ266" s="28" t="s">
        <v>227</v>
      </c>
      <c r="AK266" s="101" t="s">
        <v>233</v>
      </c>
      <c r="AL266" s="101" t="s">
        <v>1869</v>
      </c>
      <c r="AM266" s="106" t="s">
        <v>149</v>
      </c>
      <c r="AN266" s="28" t="s">
        <v>165</v>
      </c>
      <c r="AO266" s="28" t="s">
        <v>731</v>
      </c>
      <c r="AP266" s="26" t="s">
        <v>1870</v>
      </c>
      <c r="AQ266" s="103" t="s">
        <v>1871</v>
      </c>
      <c r="AR266" s="26" t="s">
        <v>1872</v>
      </c>
      <c r="AS266" s="107" t="s">
        <v>1873</v>
      </c>
      <c r="AT266" s="44"/>
    </row>
    <row r="267">
      <c r="A267" s="36" t="s">
        <v>1874</v>
      </c>
      <c r="B267" s="26" t="str">
        <f t="shared" si="1"/>
        <v>2025-PH050506000-2023-0186</v>
      </c>
      <c r="C267" s="27">
        <f t="shared" si="5"/>
        <v>2025</v>
      </c>
      <c r="D267" s="28" t="s">
        <v>191</v>
      </c>
      <c r="E267" s="28" t="s">
        <v>191</v>
      </c>
      <c r="F267" s="28" t="s">
        <v>192</v>
      </c>
      <c r="G267" s="29" t="s">
        <v>535</v>
      </c>
      <c r="H267" s="29" t="s">
        <v>893</v>
      </c>
      <c r="I267" s="40" t="s">
        <v>1875</v>
      </c>
      <c r="J267" s="29" t="s">
        <v>1876</v>
      </c>
      <c r="K267" s="26" t="s">
        <v>1877</v>
      </c>
      <c r="L267" s="101" t="s">
        <v>1878</v>
      </c>
      <c r="M267" s="31">
        <v>2023.0</v>
      </c>
      <c r="N267" s="31">
        <v>2023.0</v>
      </c>
      <c r="O267" s="31">
        <v>2024.0</v>
      </c>
      <c r="P267" s="28" t="s">
        <v>150</v>
      </c>
      <c r="Q267" s="32" t="s">
        <v>151</v>
      </c>
      <c r="R267" s="28" t="s">
        <v>152</v>
      </c>
      <c r="S267" s="32" t="s">
        <v>1879</v>
      </c>
      <c r="T267" s="28" t="s">
        <v>154</v>
      </c>
      <c r="U267" s="28" t="s">
        <v>154</v>
      </c>
      <c r="V267" s="26" t="s">
        <v>1880</v>
      </c>
      <c r="W267" s="32" t="s">
        <v>180</v>
      </c>
      <c r="X267" s="32" t="s">
        <v>181</v>
      </c>
      <c r="Y267" s="26" t="s">
        <v>1881</v>
      </c>
      <c r="Z267" s="26" t="s">
        <v>1882</v>
      </c>
      <c r="AA267" s="26" t="s">
        <v>159</v>
      </c>
      <c r="AB267" s="26" t="s">
        <v>160</v>
      </c>
      <c r="AC267" s="28" t="s">
        <v>322</v>
      </c>
      <c r="AD267" s="28" t="s">
        <v>686</v>
      </c>
      <c r="AE267" s="29" t="s">
        <v>149</v>
      </c>
      <c r="AF267" s="26" t="s">
        <v>149</v>
      </c>
      <c r="AG267" s="26" t="s">
        <v>1883</v>
      </c>
      <c r="AH267" s="26" t="s">
        <v>1884</v>
      </c>
      <c r="AI267" s="28" t="s">
        <v>322</v>
      </c>
      <c r="AJ267" s="28" t="s">
        <v>686</v>
      </c>
      <c r="AK267" s="26" t="s">
        <v>1885</v>
      </c>
      <c r="AL267" s="101" t="s">
        <v>1886</v>
      </c>
      <c r="AM267" s="102" t="s">
        <v>149</v>
      </c>
      <c r="AN267" s="28" t="s">
        <v>165</v>
      </c>
      <c r="AO267" s="28" t="s">
        <v>689</v>
      </c>
      <c r="AP267" s="28" t="s">
        <v>1887</v>
      </c>
      <c r="AQ267" s="38" t="s">
        <v>1888</v>
      </c>
      <c r="AR267" s="28" t="s">
        <v>149</v>
      </c>
      <c r="AS267" s="26" t="s">
        <v>149</v>
      </c>
      <c r="AT267" s="11"/>
    </row>
    <row r="268">
      <c r="A268" s="36" t="s">
        <v>1889</v>
      </c>
      <c r="B268" s="26" t="str">
        <f t="shared" si="1"/>
        <v>2023-PH041013000-2017-0119</v>
      </c>
      <c r="C268" s="27">
        <f t="shared" si="5"/>
        <v>2023</v>
      </c>
      <c r="D268" s="28" t="s">
        <v>140</v>
      </c>
      <c r="E268" s="28" t="s">
        <v>141</v>
      </c>
      <c r="F268" s="28" t="s">
        <v>192</v>
      </c>
      <c r="G268" s="29" t="s">
        <v>257</v>
      </c>
      <c r="H268" s="29" t="s">
        <v>258</v>
      </c>
      <c r="I268" s="29" t="s">
        <v>1890</v>
      </c>
      <c r="J268" s="29" t="s">
        <v>1891</v>
      </c>
      <c r="K268" s="26" t="s">
        <v>1892</v>
      </c>
      <c r="L268" s="26" t="s">
        <v>1893</v>
      </c>
      <c r="M268" s="31">
        <v>2017.0</v>
      </c>
      <c r="N268" s="31" t="s">
        <v>149</v>
      </c>
      <c r="O268" s="31" t="s">
        <v>149</v>
      </c>
      <c r="P268" s="28" t="s">
        <v>150</v>
      </c>
      <c r="Q268" s="32" t="s">
        <v>151</v>
      </c>
      <c r="R268" s="28" t="s">
        <v>152</v>
      </c>
      <c r="S268" s="32" t="s">
        <v>1894</v>
      </c>
      <c r="T268" s="28" t="s">
        <v>154</v>
      </c>
      <c r="U268" s="28" t="s">
        <v>154</v>
      </c>
      <c r="V268" s="26" t="s">
        <v>1895</v>
      </c>
      <c r="W268" s="32" t="s">
        <v>149</v>
      </c>
      <c r="X268" s="32" t="s">
        <v>254</v>
      </c>
      <c r="Y268" s="26" t="s">
        <v>149</v>
      </c>
      <c r="Z268" s="26" t="s">
        <v>341</v>
      </c>
      <c r="AA268" s="26" t="s">
        <v>159</v>
      </c>
      <c r="AB268" s="26" t="s">
        <v>160</v>
      </c>
      <c r="AC268" s="28" t="s">
        <v>322</v>
      </c>
      <c r="AD268" s="28" t="s">
        <v>341</v>
      </c>
      <c r="AE268" s="29" t="s">
        <v>149</v>
      </c>
      <c r="AF268" s="26" t="s">
        <v>149</v>
      </c>
      <c r="AG268" s="26" t="s">
        <v>149</v>
      </c>
      <c r="AH268" s="26" t="s">
        <v>1896</v>
      </c>
      <c r="AI268" s="26" t="s">
        <v>306</v>
      </c>
      <c r="AJ268" s="28" t="s">
        <v>306</v>
      </c>
      <c r="AK268" s="26" t="s">
        <v>341</v>
      </c>
      <c r="AL268" s="26" t="s">
        <v>149</v>
      </c>
      <c r="AM268" s="26" t="s">
        <v>1897</v>
      </c>
      <c r="AN268" s="28" t="s">
        <v>165</v>
      </c>
      <c r="AO268" s="28" t="s">
        <v>289</v>
      </c>
      <c r="AP268" s="26" t="s">
        <v>1898</v>
      </c>
      <c r="AQ268" s="38" t="s">
        <v>1899</v>
      </c>
      <c r="AR268" s="26" t="s">
        <v>149</v>
      </c>
      <c r="AS268" s="26" t="s">
        <v>149</v>
      </c>
      <c r="AT268" s="26"/>
    </row>
    <row r="269">
      <c r="A269" s="36" t="s">
        <v>1900</v>
      </c>
      <c r="B269" s="26" t="str">
        <f t="shared" si="1"/>
        <v>2023-PH041016000-2017-0125</v>
      </c>
      <c r="C269" s="27">
        <f t="shared" si="5"/>
        <v>2023</v>
      </c>
      <c r="D269" s="28" t="s">
        <v>140</v>
      </c>
      <c r="E269" s="28" t="s">
        <v>141</v>
      </c>
      <c r="F269" s="28" t="s">
        <v>192</v>
      </c>
      <c r="G269" s="29" t="s">
        <v>257</v>
      </c>
      <c r="H269" s="29" t="s">
        <v>258</v>
      </c>
      <c r="I269" s="29" t="s">
        <v>1255</v>
      </c>
      <c r="J269" s="29" t="s">
        <v>1256</v>
      </c>
      <c r="K269" s="26" t="s">
        <v>1901</v>
      </c>
      <c r="L269" s="26" t="s">
        <v>1902</v>
      </c>
      <c r="M269" s="31">
        <v>2017.0</v>
      </c>
      <c r="N269" s="31" t="s">
        <v>149</v>
      </c>
      <c r="O269" s="31" t="s">
        <v>149</v>
      </c>
      <c r="P269" s="28" t="s">
        <v>263</v>
      </c>
      <c r="Q269" s="32" t="s">
        <v>264</v>
      </c>
      <c r="R269" s="28" t="s">
        <v>1555</v>
      </c>
      <c r="S269" s="32" t="s">
        <v>1556</v>
      </c>
      <c r="T269" s="28" t="s">
        <v>154</v>
      </c>
      <c r="U269" s="28" t="s">
        <v>154</v>
      </c>
      <c r="V269" s="26" t="s">
        <v>1903</v>
      </c>
      <c r="W269" s="32" t="s">
        <v>1322</v>
      </c>
      <c r="X269" s="32" t="s">
        <v>657</v>
      </c>
      <c r="Y269" s="26" t="s">
        <v>1904</v>
      </c>
      <c r="Z269" s="26" t="s">
        <v>1905</v>
      </c>
      <c r="AA269" s="26" t="s">
        <v>159</v>
      </c>
      <c r="AB269" s="26" t="s">
        <v>160</v>
      </c>
      <c r="AC269" s="26" t="s">
        <v>184</v>
      </c>
      <c r="AD269" s="28" t="s">
        <v>184</v>
      </c>
      <c r="AE269" s="29" t="s">
        <v>149</v>
      </c>
      <c r="AF269" s="26" t="s">
        <v>149</v>
      </c>
      <c r="AG269" s="26" t="s">
        <v>149</v>
      </c>
      <c r="AH269" s="26" t="s">
        <v>1906</v>
      </c>
      <c r="AI269" s="26" t="s">
        <v>184</v>
      </c>
      <c r="AJ269" s="28" t="s">
        <v>184</v>
      </c>
      <c r="AK269" s="108" t="s">
        <v>149</v>
      </c>
      <c r="AL269" s="108" t="s">
        <v>149</v>
      </c>
      <c r="AM269" s="108" t="s">
        <v>149</v>
      </c>
      <c r="AN269" s="28" t="s">
        <v>165</v>
      </c>
      <c r="AO269" s="28" t="s">
        <v>289</v>
      </c>
      <c r="AP269" s="26" t="s">
        <v>1907</v>
      </c>
      <c r="AQ269" s="38" t="s">
        <v>1908</v>
      </c>
      <c r="AR269" s="45" t="s">
        <v>149</v>
      </c>
      <c r="AS269" s="108" t="s">
        <v>149</v>
      </c>
      <c r="AT269" s="45"/>
    </row>
    <row r="270">
      <c r="A270" s="36" t="s">
        <v>1909</v>
      </c>
      <c r="B270" s="26" t="str">
        <f t="shared" si="1"/>
        <v>2023-PH168502000-Unknown-0407</v>
      </c>
      <c r="C270" s="27">
        <f t="shared" si="5"/>
        <v>2023</v>
      </c>
      <c r="D270" s="28" t="s">
        <v>140</v>
      </c>
      <c r="E270" s="28" t="s">
        <v>141</v>
      </c>
      <c r="F270" s="28" t="s">
        <v>192</v>
      </c>
      <c r="G270" s="29" t="s">
        <v>345</v>
      </c>
      <c r="H270" s="29" t="s">
        <v>1910</v>
      </c>
      <c r="I270" s="29" t="s">
        <v>1911</v>
      </c>
      <c r="J270" s="29" t="s">
        <v>1912</v>
      </c>
      <c r="K270" s="26" t="s">
        <v>1913</v>
      </c>
      <c r="L270" s="11" t="s">
        <v>149</v>
      </c>
      <c r="M270" s="31" t="s">
        <v>149</v>
      </c>
      <c r="N270" s="41" t="s">
        <v>149</v>
      </c>
      <c r="O270" s="41" t="s">
        <v>149</v>
      </c>
      <c r="P270" s="28" t="s">
        <v>150</v>
      </c>
      <c r="Q270" s="32" t="s">
        <v>151</v>
      </c>
      <c r="R270" s="50" t="s">
        <v>152</v>
      </c>
      <c r="S270" s="32" t="s">
        <v>351</v>
      </c>
      <c r="T270" s="28" t="s">
        <v>154</v>
      </c>
      <c r="U270" s="28" t="s">
        <v>154</v>
      </c>
      <c r="V270" s="26" t="s">
        <v>152</v>
      </c>
      <c r="W270" s="32" t="s">
        <v>180</v>
      </c>
      <c r="X270" s="32" t="s">
        <v>181</v>
      </c>
      <c r="Y270" s="26" t="s">
        <v>1914</v>
      </c>
      <c r="Z270" s="26" t="s">
        <v>1915</v>
      </c>
      <c r="AA270" s="26" t="s">
        <v>159</v>
      </c>
      <c r="AB270" s="26" t="s">
        <v>160</v>
      </c>
      <c r="AC270" s="26" t="s">
        <v>184</v>
      </c>
      <c r="AD270" s="28" t="s">
        <v>184</v>
      </c>
      <c r="AE270" s="29" t="s">
        <v>149</v>
      </c>
      <c r="AF270" s="26" t="s">
        <v>149</v>
      </c>
      <c r="AG270" s="26" t="s">
        <v>149</v>
      </c>
      <c r="AH270" s="26" t="s">
        <v>1916</v>
      </c>
      <c r="AI270" s="26" t="s">
        <v>184</v>
      </c>
      <c r="AJ270" s="28" t="s">
        <v>184</v>
      </c>
      <c r="AK270" s="11" t="s">
        <v>149</v>
      </c>
      <c r="AL270" s="26" t="s">
        <v>1917</v>
      </c>
      <c r="AM270" s="11" t="s">
        <v>149</v>
      </c>
      <c r="AN270" s="28" t="s">
        <v>165</v>
      </c>
      <c r="AO270" s="28" t="s">
        <v>289</v>
      </c>
      <c r="AP270" s="26" t="s">
        <v>1918</v>
      </c>
      <c r="AQ270" s="38" t="s">
        <v>1919</v>
      </c>
      <c r="AR270" s="11" t="s">
        <v>149</v>
      </c>
      <c r="AS270" s="11" t="s">
        <v>149</v>
      </c>
      <c r="AT270" s="11"/>
    </row>
    <row r="271">
      <c r="A271" s="36" t="s">
        <v>1920</v>
      </c>
      <c r="B271" s="26" t="str">
        <f t="shared" si="1"/>
        <v>2025-PH041016000-2007-0124</v>
      </c>
      <c r="C271" s="27">
        <f t="shared" si="5"/>
        <v>2025</v>
      </c>
      <c r="D271" s="28" t="s">
        <v>191</v>
      </c>
      <c r="E271" s="28" t="s">
        <v>191</v>
      </c>
      <c r="F271" s="28" t="s">
        <v>192</v>
      </c>
      <c r="G271" s="29" t="s">
        <v>257</v>
      </c>
      <c r="H271" s="29" t="s">
        <v>258</v>
      </c>
      <c r="I271" s="29" t="s">
        <v>1255</v>
      </c>
      <c r="J271" s="29" t="s">
        <v>1256</v>
      </c>
      <c r="K271" s="26" t="s">
        <v>1921</v>
      </c>
      <c r="L271" s="28" t="s">
        <v>1922</v>
      </c>
      <c r="M271" s="31">
        <v>2007.0</v>
      </c>
      <c r="N271" s="31">
        <v>2007.0</v>
      </c>
      <c r="O271" s="31">
        <v>2010.0</v>
      </c>
      <c r="P271" s="28" t="s">
        <v>150</v>
      </c>
      <c r="Q271" s="32" t="s">
        <v>151</v>
      </c>
      <c r="R271" s="87" t="s">
        <v>336</v>
      </c>
      <c r="S271" s="32" t="s">
        <v>851</v>
      </c>
      <c r="T271" s="28" t="s">
        <v>154</v>
      </c>
      <c r="U271" s="28" t="s">
        <v>154</v>
      </c>
      <c r="V271" s="26" t="s">
        <v>851</v>
      </c>
      <c r="W271" s="32" t="s">
        <v>180</v>
      </c>
      <c r="X271" s="32" t="s">
        <v>181</v>
      </c>
      <c r="Y271" s="26" t="s">
        <v>1923</v>
      </c>
      <c r="Z271" s="26" t="s">
        <v>1924</v>
      </c>
      <c r="AA271" s="26" t="s">
        <v>159</v>
      </c>
      <c r="AB271" s="28" t="s">
        <v>205</v>
      </c>
      <c r="AC271" s="26" t="s">
        <v>206</v>
      </c>
      <c r="AD271" s="28" t="s">
        <v>207</v>
      </c>
      <c r="AE271" s="29" t="s">
        <v>149</v>
      </c>
      <c r="AF271" s="26" t="s">
        <v>149</v>
      </c>
      <c r="AG271" s="26" t="s">
        <v>1925</v>
      </c>
      <c r="AH271" s="26" t="s">
        <v>1926</v>
      </c>
      <c r="AI271" s="26" t="s">
        <v>271</v>
      </c>
      <c r="AJ271" s="28" t="s">
        <v>271</v>
      </c>
      <c r="AK271" s="28" t="s">
        <v>149</v>
      </c>
      <c r="AL271" s="26" t="s">
        <v>724</v>
      </c>
      <c r="AM271" s="28" t="s">
        <v>149</v>
      </c>
      <c r="AN271" s="28" t="s">
        <v>165</v>
      </c>
      <c r="AO271" s="28" t="s">
        <v>289</v>
      </c>
      <c r="AP271" s="26" t="s">
        <v>1927</v>
      </c>
      <c r="AQ271" s="38" t="s">
        <v>1928</v>
      </c>
      <c r="AR271" s="28" t="s">
        <v>149</v>
      </c>
      <c r="AS271" s="28" t="s">
        <v>149</v>
      </c>
      <c r="AT271" s="45"/>
    </row>
    <row r="272">
      <c r="A272" s="36" t="s">
        <v>1929</v>
      </c>
      <c r="B272" s="26" t="str">
        <f t="shared" si="1"/>
        <v>2023-PH042117000-2007-0139</v>
      </c>
      <c r="C272" s="27">
        <f t="shared" si="5"/>
        <v>2023</v>
      </c>
      <c r="D272" s="28" t="s">
        <v>140</v>
      </c>
      <c r="E272" s="28" t="s">
        <v>141</v>
      </c>
      <c r="F272" s="28" t="s">
        <v>192</v>
      </c>
      <c r="G272" s="29" t="s">
        <v>257</v>
      </c>
      <c r="H272" s="40" t="s">
        <v>258</v>
      </c>
      <c r="I272" s="29" t="s">
        <v>447</v>
      </c>
      <c r="J272" s="29" t="s">
        <v>1930</v>
      </c>
      <c r="K272" s="26" t="s">
        <v>1921</v>
      </c>
      <c r="L272" s="28" t="s">
        <v>149</v>
      </c>
      <c r="M272" s="31">
        <v>2007.0</v>
      </c>
      <c r="N272" s="31">
        <v>2007.0</v>
      </c>
      <c r="O272" s="31">
        <v>2012.0</v>
      </c>
      <c r="P272" s="28" t="s">
        <v>150</v>
      </c>
      <c r="Q272" s="32" t="s">
        <v>151</v>
      </c>
      <c r="R272" s="87" t="s">
        <v>336</v>
      </c>
      <c r="S272" s="32" t="s">
        <v>851</v>
      </c>
      <c r="T272" s="28" t="s">
        <v>154</v>
      </c>
      <c r="U272" s="28" t="s">
        <v>154</v>
      </c>
      <c r="V272" s="26" t="s">
        <v>851</v>
      </c>
      <c r="W272" s="32" t="s">
        <v>656</v>
      </c>
      <c r="X272" s="32" t="s">
        <v>657</v>
      </c>
      <c r="Y272" s="28" t="s">
        <v>1931</v>
      </c>
      <c r="Z272" s="26" t="s">
        <v>1932</v>
      </c>
      <c r="AA272" s="26" t="s">
        <v>159</v>
      </c>
      <c r="AB272" s="26" t="s">
        <v>160</v>
      </c>
      <c r="AC272" s="26" t="s">
        <v>184</v>
      </c>
      <c r="AD272" s="28" t="s">
        <v>184</v>
      </c>
      <c r="AE272" s="29" t="s">
        <v>149</v>
      </c>
      <c r="AF272" s="26" t="s">
        <v>149</v>
      </c>
      <c r="AG272" s="26" t="s">
        <v>1933</v>
      </c>
      <c r="AH272" s="26" t="s">
        <v>1926</v>
      </c>
      <c r="AI272" s="26" t="s">
        <v>271</v>
      </c>
      <c r="AJ272" s="28" t="s">
        <v>271</v>
      </c>
      <c r="AK272" s="45" t="s">
        <v>149</v>
      </c>
      <c r="AL272" s="26" t="s">
        <v>1934</v>
      </c>
      <c r="AM272" s="45" t="s">
        <v>149</v>
      </c>
      <c r="AN272" s="28" t="s">
        <v>165</v>
      </c>
      <c r="AO272" s="28" t="s">
        <v>289</v>
      </c>
      <c r="AP272" s="34" t="s">
        <v>1935</v>
      </c>
      <c r="AQ272" s="38" t="s">
        <v>1936</v>
      </c>
      <c r="AR272" s="45" t="s">
        <v>149</v>
      </c>
      <c r="AS272" s="45" t="s">
        <v>149</v>
      </c>
      <c r="AT272" s="26"/>
    </row>
    <row r="273">
      <c r="A273" s="36" t="s">
        <v>1937</v>
      </c>
      <c r="B273" s="26" t="str">
        <f t="shared" si="1"/>
        <v>2023-PH037114000-2021-0109</v>
      </c>
      <c r="C273" s="27">
        <f t="shared" si="5"/>
        <v>2023</v>
      </c>
      <c r="D273" s="28" t="s">
        <v>140</v>
      </c>
      <c r="E273" s="28" t="s">
        <v>141</v>
      </c>
      <c r="F273" s="28" t="s">
        <v>142</v>
      </c>
      <c r="G273" s="29" t="s">
        <v>293</v>
      </c>
      <c r="H273" s="29" t="s">
        <v>294</v>
      </c>
      <c r="I273" s="29" t="s">
        <v>1291</v>
      </c>
      <c r="J273" s="29" t="s">
        <v>1292</v>
      </c>
      <c r="K273" s="28" t="s">
        <v>1938</v>
      </c>
      <c r="L273" s="28" t="s">
        <v>1939</v>
      </c>
      <c r="M273" s="31">
        <v>2021.0</v>
      </c>
      <c r="N273" s="31" t="s">
        <v>149</v>
      </c>
      <c r="O273" s="31" t="s">
        <v>149</v>
      </c>
      <c r="P273" s="28" t="s">
        <v>150</v>
      </c>
      <c r="Q273" s="32" t="s">
        <v>151</v>
      </c>
      <c r="R273" s="87" t="s">
        <v>336</v>
      </c>
      <c r="S273" s="32" t="s">
        <v>851</v>
      </c>
      <c r="T273" s="28" t="s">
        <v>154</v>
      </c>
      <c r="U273" s="28" t="s">
        <v>154</v>
      </c>
      <c r="V273" s="26" t="s">
        <v>851</v>
      </c>
      <c r="W273" s="32" t="s">
        <v>180</v>
      </c>
      <c r="X273" s="32" t="s">
        <v>181</v>
      </c>
      <c r="Y273" s="28" t="s">
        <v>1940</v>
      </c>
      <c r="Z273" s="26" t="s">
        <v>1941</v>
      </c>
      <c r="AA273" s="26" t="s">
        <v>159</v>
      </c>
      <c r="AB273" s="26" t="s">
        <v>160</v>
      </c>
      <c r="AC273" s="26" t="s">
        <v>184</v>
      </c>
      <c r="AD273" s="28" t="s">
        <v>184</v>
      </c>
      <c r="AE273" s="29" t="s">
        <v>149</v>
      </c>
      <c r="AF273" s="26" t="s">
        <v>149</v>
      </c>
      <c r="AG273" s="28" t="s">
        <v>1942</v>
      </c>
      <c r="AH273" s="26" t="s">
        <v>1941</v>
      </c>
      <c r="AI273" s="26" t="s">
        <v>184</v>
      </c>
      <c r="AJ273" s="28" t="s">
        <v>184</v>
      </c>
      <c r="AK273" s="28" t="s">
        <v>1943</v>
      </c>
      <c r="AL273" s="26" t="s">
        <v>1703</v>
      </c>
      <c r="AM273" s="26" t="s">
        <v>149</v>
      </c>
      <c r="AN273" s="28" t="s">
        <v>165</v>
      </c>
      <c r="AO273" s="26" t="s">
        <v>166</v>
      </c>
      <c r="AP273" s="28" t="s">
        <v>1944</v>
      </c>
      <c r="AQ273" s="38" t="s">
        <v>1945</v>
      </c>
      <c r="AR273" s="26" t="s">
        <v>149</v>
      </c>
      <c r="AS273" s="26" t="s">
        <v>149</v>
      </c>
      <c r="AT273" s="28"/>
    </row>
    <row r="274">
      <c r="A274" s="36" t="s">
        <v>1946</v>
      </c>
      <c r="B274" s="26" t="str">
        <f t="shared" si="1"/>
        <v>2023-PH175211000-2013-0174</v>
      </c>
      <c r="C274" s="27">
        <f t="shared" si="5"/>
        <v>2023</v>
      </c>
      <c r="D274" s="28" t="s">
        <v>140</v>
      </c>
      <c r="E274" s="28" t="s">
        <v>141</v>
      </c>
      <c r="F274" s="28" t="s">
        <v>192</v>
      </c>
      <c r="G274" s="29" t="s">
        <v>522</v>
      </c>
      <c r="H274" s="29" t="s">
        <v>1947</v>
      </c>
      <c r="I274" s="29" t="s">
        <v>1948</v>
      </c>
      <c r="J274" s="29" t="s">
        <v>1949</v>
      </c>
      <c r="K274" s="26" t="s">
        <v>1950</v>
      </c>
      <c r="L274" s="26" t="s">
        <v>1951</v>
      </c>
      <c r="M274" s="31">
        <v>2013.0</v>
      </c>
      <c r="N274" s="31" t="s">
        <v>149</v>
      </c>
      <c r="O274" s="31" t="s">
        <v>149</v>
      </c>
      <c r="P274" s="28" t="s">
        <v>150</v>
      </c>
      <c r="Q274" s="32" t="s">
        <v>151</v>
      </c>
      <c r="R274" s="87" t="s">
        <v>336</v>
      </c>
      <c r="S274" s="32" t="s">
        <v>851</v>
      </c>
      <c r="T274" s="28" t="s">
        <v>154</v>
      </c>
      <c r="U274" s="28" t="s">
        <v>154</v>
      </c>
      <c r="V274" s="26" t="s">
        <v>851</v>
      </c>
      <c r="W274" s="32" t="s">
        <v>1952</v>
      </c>
      <c r="X274" s="32" t="s">
        <v>1953</v>
      </c>
      <c r="Y274" s="28" t="s">
        <v>1954</v>
      </c>
      <c r="Z274" s="26" t="s">
        <v>724</v>
      </c>
      <c r="AA274" s="26" t="s">
        <v>159</v>
      </c>
      <c r="AB274" s="26" t="s">
        <v>160</v>
      </c>
      <c r="AC274" s="26" t="s">
        <v>184</v>
      </c>
      <c r="AD274" s="28" t="s">
        <v>184</v>
      </c>
      <c r="AE274" s="29" t="s">
        <v>149</v>
      </c>
      <c r="AF274" s="26" t="s">
        <v>149</v>
      </c>
      <c r="AG274" s="26" t="s">
        <v>571</v>
      </c>
      <c r="AH274" s="26" t="s">
        <v>724</v>
      </c>
      <c r="AI274" s="26" t="s">
        <v>184</v>
      </c>
      <c r="AJ274" s="28" t="s">
        <v>184</v>
      </c>
      <c r="AK274" s="26" t="s">
        <v>149</v>
      </c>
      <c r="AL274" s="26" t="s">
        <v>1955</v>
      </c>
      <c r="AM274" s="26" t="s">
        <v>149</v>
      </c>
      <c r="AN274" s="28" t="s">
        <v>165</v>
      </c>
      <c r="AO274" s="28" t="s">
        <v>289</v>
      </c>
      <c r="AP274" s="26" t="s">
        <v>726</v>
      </c>
      <c r="AQ274" s="38" t="s">
        <v>1956</v>
      </c>
      <c r="AR274" s="26" t="s">
        <v>149</v>
      </c>
      <c r="AS274" s="26" t="s">
        <v>149</v>
      </c>
      <c r="AT274" s="26"/>
    </row>
    <row r="275">
      <c r="A275" s="36" t="s">
        <v>1957</v>
      </c>
      <c r="B275" s="26" t="str">
        <f t="shared" si="1"/>
        <v>2025-PH041015000-2023-0123</v>
      </c>
      <c r="C275" s="27">
        <f t="shared" si="5"/>
        <v>2025</v>
      </c>
      <c r="D275" s="28" t="s">
        <v>191</v>
      </c>
      <c r="E275" s="28" t="s">
        <v>191</v>
      </c>
      <c r="F275" s="28" t="s">
        <v>192</v>
      </c>
      <c r="G275" s="29" t="s">
        <v>257</v>
      </c>
      <c r="H275" s="29" t="s">
        <v>258</v>
      </c>
      <c r="I275" s="29" t="s">
        <v>1958</v>
      </c>
      <c r="J275" s="29" t="s">
        <v>1959</v>
      </c>
      <c r="K275" s="28" t="s">
        <v>1960</v>
      </c>
      <c r="L275" s="26" t="s">
        <v>1961</v>
      </c>
      <c r="M275" s="31">
        <v>2023.0</v>
      </c>
      <c r="N275" s="31">
        <v>2021.0</v>
      </c>
      <c r="O275" s="31">
        <v>2025.0</v>
      </c>
      <c r="P275" s="28" t="s">
        <v>298</v>
      </c>
      <c r="Q275" s="32" t="s">
        <v>200</v>
      </c>
      <c r="R275" s="28" t="s">
        <v>154</v>
      </c>
      <c r="S275" s="32" t="s">
        <v>154</v>
      </c>
      <c r="T275" s="28" t="s">
        <v>154</v>
      </c>
      <c r="U275" s="28" t="s">
        <v>154</v>
      </c>
      <c r="V275" s="26" t="s">
        <v>1962</v>
      </c>
      <c r="W275" s="32" t="s">
        <v>149</v>
      </c>
      <c r="X275" s="32" t="s">
        <v>254</v>
      </c>
      <c r="Y275" s="26" t="s">
        <v>149</v>
      </c>
      <c r="Z275" s="26" t="s">
        <v>203</v>
      </c>
      <c r="AA275" s="26" t="s">
        <v>159</v>
      </c>
      <c r="AB275" s="28" t="s">
        <v>205</v>
      </c>
      <c r="AC275" s="26" t="s">
        <v>206</v>
      </c>
      <c r="AD275" s="28" t="s">
        <v>207</v>
      </c>
      <c r="AE275" s="29" t="s">
        <v>149</v>
      </c>
      <c r="AF275" s="26" t="s">
        <v>149</v>
      </c>
      <c r="AG275" s="26" t="s">
        <v>149</v>
      </c>
      <c r="AH275" s="26" t="s">
        <v>208</v>
      </c>
      <c r="AI275" s="32" t="s">
        <v>209</v>
      </c>
      <c r="AJ275" s="28" t="s">
        <v>210</v>
      </c>
      <c r="AK275" s="28" t="s">
        <v>211</v>
      </c>
      <c r="AL275" s="28" t="s">
        <v>149</v>
      </c>
      <c r="AM275" s="28" t="s">
        <v>149</v>
      </c>
      <c r="AN275" s="28" t="s">
        <v>213</v>
      </c>
      <c r="AO275" s="26" t="s">
        <v>214</v>
      </c>
      <c r="AP275" s="26" t="s">
        <v>214</v>
      </c>
      <c r="AQ275" s="28" t="s">
        <v>149</v>
      </c>
      <c r="AR275" s="28" t="s">
        <v>149</v>
      </c>
      <c r="AS275" s="28" t="s">
        <v>149</v>
      </c>
      <c r="AT275" s="45"/>
    </row>
    <row r="276">
      <c r="A276" s="36" t="s">
        <v>1963</v>
      </c>
      <c r="B276" s="26" t="str">
        <f t="shared" si="1"/>
        <v>2025-PH175319000-2024-0180</v>
      </c>
      <c r="C276" s="27">
        <f t="shared" si="5"/>
        <v>2025</v>
      </c>
      <c r="D276" s="28" t="s">
        <v>191</v>
      </c>
      <c r="E276" s="28" t="s">
        <v>191</v>
      </c>
      <c r="F276" s="28" t="s">
        <v>192</v>
      </c>
      <c r="G276" s="29" t="s">
        <v>522</v>
      </c>
      <c r="H276" s="29" t="s">
        <v>523</v>
      </c>
      <c r="I276" s="29" t="s">
        <v>1964</v>
      </c>
      <c r="J276" s="29" t="s">
        <v>1965</v>
      </c>
      <c r="K276" s="28" t="s">
        <v>1960</v>
      </c>
      <c r="L276" s="26" t="s">
        <v>1966</v>
      </c>
      <c r="M276" s="31">
        <v>2024.0</v>
      </c>
      <c r="N276" s="31">
        <v>2021.0</v>
      </c>
      <c r="O276" s="31">
        <v>2025.0</v>
      </c>
      <c r="P276" s="28" t="s">
        <v>199</v>
      </c>
      <c r="Q276" s="32" t="s">
        <v>200</v>
      </c>
      <c r="R276" s="28" t="s">
        <v>154</v>
      </c>
      <c r="S276" s="32" t="s">
        <v>154</v>
      </c>
      <c r="T276" s="28" t="s">
        <v>154</v>
      </c>
      <c r="U276" s="28" t="s">
        <v>154</v>
      </c>
      <c r="V276" s="28" t="s">
        <v>1967</v>
      </c>
      <c r="W276" s="32" t="s">
        <v>149</v>
      </c>
      <c r="X276" s="32" t="s">
        <v>254</v>
      </c>
      <c r="Y276" s="26" t="s">
        <v>149</v>
      </c>
      <c r="Z276" s="26" t="s">
        <v>203</v>
      </c>
      <c r="AA276" s="26" t="s">
        <v>159</v>
      </c>
      <c r="AB276" s="28" t="s">
        <v>205</v>
      </c>
      <c r="AC276" s="26" t="s">
        <v>206</v>
      </c>
      <c r="AD276" s="28" t="s">
        <v>207</v>
      </c>
      <c r="AE276" s="29" t="s">
        <v>149</v>
      </c>
      <c r="AF276" s="26" t="s">
        <v>149</v>
      </c>
      <c r="AG276" s="26" t="s">
        <v>149</v>
      </c>
      <c r="AH276" s="26" t="s">
        <v>208</v>
      </c>
      <c r="AI276" s="32" t="s">
        <v>209</v>
      </c>
      <c r="AJ276" s="28" t="s">
        <v>210</v>
      </c>
      <c r="AK276" s="102" t="s">
        <v>211</v>
      </c>
      <c r="AL276" s="26" t="s">
        <v>149</v>
      </c>
      <c r="AM276" s="101" t="s">
        <v>149</v>
      </c>
      <c r="AN276" s="28" t="s">
        <v>213</v>
      </c>
      <c r="AO276" s="26" t="s">
        <v>214</v>
      </c>
      <c r="AP276" s="26" t="s">
        <v>214</v>
      </c>
      <c r="AQ276" s="26" t="s">
        <v>149</v>
      </c>
      <c r="AR276" s="101" t="s">
        <v>149</v>
      </c>
      <c r="AS276" s="102" t="s">
        <v>149</v>
      </c>
      <c r="AT276" s="28"/>
    </row>
    <row r="277">
      <c r="A277" s="36" t="s">
        <v>1968</v>
      </c>
      <c r="B277" s="26" t="str">
        <f t="shared" si="1"/>
        <v>2025-PH160201000-2024-0396</v>
      </c>
      <c r="C277" s="27">
        <f t="shared" si="5"/>
        <v>2025</v>
      </c>
      <c r="D277" s="28" t="s">
        <v>191</v>
      </c>
      <c r="E277" s="28" t="s">
        <v>191</v>
      </c>
      <c r="F277" s="28" t="s">
        <v>192</v>
      </c>
      <c r="G277" s="29" t="s">
        <v>345</v>
      </c>
      <c r="H277" s="29" t="s">
        <v>649</v>
      </c>
      <c r="I277" s="29" t="s">
        <v>1172</v>
      </c>
      <c r="J277" s="29" t="s">
        <v>1969</v>
      </c>
      <c r="K277" s="26" t="s">
        <v>1970</v>
      </c>
      <c r="L277" s="101" t="s">
        <v>1971</v>
      </c>
      <c r="M277" s="53">
        <v>2024.0</v>
      </c>
      <c r="N277" s="53" t="s">
        <v>149</v>
      </c>
      <c r="O277" s="53" t="s">
        <v>149</v>
      </c>
      <c r="P277" s="28" t="s">
        <v>150</v>
      </c>
      <c r="Q277" s="32" t="s">
        <v>151</v>
      </c>
      <c r="R277" s="28" t="s">
        <v>152</v>
      </c>
      <c r="S277" s="32" t="s">
        <v>911</v>
      </c>
      <c r="T277" s="28" t="s">
        <v>154</v>
      </c>
      <c r="U277" s="28" t="s">
        <v>154</v>
      </c>
      <c r="V277" s="26" t="s">
        <v>911</v>
      </c>
      <c r="W277" s="109" t="s">
        <v>656</v>
      </c>
      <c r="X277" s="32" t="s">
        <v>657</v>
      </c>
      <c r="Y277" s="102" t="s">
        <v>1972</v>
      </c>
      <c r="Z277" s="101" t="s">
        <v>1973</v>
      </c>
      <c r="AA277" s="26" t="s">
        <v>159</v>
      </c>
      <c r="AB277" s="26" t="s">
        <v>160</v>
      </c>
      <c r="AC277" s="26" t="s">
        <v>271</v>
      </c>
      <c r="AD277" s="28" t="s">
        <v>271</v>
      </c>
      <c r="AE277" s="30" t="s">
        <v>149</v>
      </c>
      <c r="AF277" s="101" t="s">
        <v>149</v>
      </c>
      <c r="AG277" s="101" t="s">
        <v>149</v>
      </c>
      <c r="AH277" s="26" t="s">
        <v>1973</v>
      </c>
      <c r="AI277" s="26" t="s">
        <v>271</v>
      </c>
      <c r="AJ277" s="28" t="s">
        <v>271</v>
      </c>
      <c r="AK277" s="102" t="s">
        <v>1974</v>
      </c>
      <c r="AL277" s="26" t="s">
        <v>1975</v>
      </c>
      <c r="AM277" s="102" t="s">
        <v>149</v>
      </c>
      <c r="AN277" s="28" t="s">
        <v>165</v>
      </c>
      <c r="AO277" s="28" t="s">
        <v>689</v>
      </c>
      <c r="AP277" s="26" t="s">
        <v>1976</v>
      </c>
      <c r="AQ277" s="38" t="s">
        <v>1977</v>
      </c>
      <c r="AR277" s="102" t="s">
        <v>149</v>
      </c>
      <c r="AS277" s="102" t="s">
        <v>149</v>
      </c>
      <c r="AT277" s="28"/>
    </row>
    <row r="278">
      <c r="A278" s="36" t="s">
        <v>1978</v>
      </c>
      <c r="B278" s="26" t="str">
        <f t="shared" si="1"/>
        <v>2025-PH030810000-Unknown-0099</v>
      </c>
      <c r="C278" s="27">
        <f t="shared" si="5"/>
        <v>2025</v>
      </c>
      <c r="D278" s="28" t="s">
        <v>191</v>
      </c>
      <c r="E278" s="28" t="s">
        <v>191</v>
      </c>
      <c r="F278" s="28" t="s">
        <v>142</v>
      </c>
      <c r="G278" s="29" t="s">
        <v>293</v>
      </c>
      <c r="H278" s="29" t="s">
        <v>1283</v>
      </c>
      <c r="I278" s="29" t="s">
        <v>1979</v>
      </c>
      <c r="J278" s="29" t="s">
        <v>1980</v>
      </c>
      <c r="K278" s="101" t="s">
        <v>1981</v>
      </c>
      <c r="L278" s="101" t="s">
        <v>1982</v>
      </c>
      <c r="M278" s="31" t="s">
        <v>149</v>
      </c>
      <c r="N278" s="31" t="s">
        <v>149</v>
      </c>
      <c r="O278" s="31" t="s">
        <v>149</v>
      </c>
      <c r="P278" s="28" t="s">
        <v>150</v>
      </c>
      <c r="Q278" s="32" t="s">
        <v>151</v>
      </c>
      <c r="R278" s="28" t="s">
        <v>152</v>
      </c>
      <c r="S278" s="32" t="s">
        <v>351</v>
      </c>
      <c r="T278" s="28" t="s">
        <v>154</v>
      </c>
      <c r="U278" s="28" t="s">
        <v>154</v>
      </c>
      <c r="V278" s="28" t="s">
        <v>1983</v>
      </c>
      <c r="W278" s="32" t="s">
        <v>284</v>
      </c>
      <c r="X278" s="32" t="s">
        <v>285</v>
      </c>
      <c r="Y278" s="26" t="s">
        <v>819</v>
      </c>
      <c r="Z278" s="101" t="s">
        <v>369</v>
      </c>
      <c r="AA278" s="26" t="s">
        <v>159</v>
      </c>
      <c r="AB278" s="26" t="s">
        <v>160</v>
      </c>
      <c r="AC278" s="28" t="s">
        <v>161</v>
      </c>
      <c r="AD278" s="28" t="s">
        <v>369</v>
      </c>
      <c r="AE278" s="30" t="s">
        <v>149</v>
      </c>
      <c r="AF278" s="101" t="s">
        <v>149</v>
      </c>
      <c r="AG278" s="26" t="s">
        <v>1984</v>
      </c>
      <c r="AH278" s="26" t="s">
        <v>369</v>
      </c>
      <c r="AI278" s="28" t="s">
        <v>161</v>
      </c>
      <c r="AJ278" s="28" t="s">
        <v>369</v>
      </c>
      <c r="AK278" s="28" t="s">
        <v>149</v>
      </c>
      <c r="AL278" s="102" t="s">
        <v>149</v>
      </c>
      <c r="AM278" s="102" t="s">
        <v>149</v>
      </c>
      <c r="AN278" s="28" t="s">
        <v>165</v>
      </c>
      <c r="AO278" s="28" t="s">
        <v>731</v>
      </c>
      <c r="AP278" s="26" t="s">
        <v>823</v>
      </c>
      <c r="AQ278" s="34" t="s">
        <v>824</v>
      </c>
      <c r="AR278" s="28" t="s">
        <v>149</v>
      </c>
      <c r="AS278" s="102" t="s">
        <v>149</v>
      </c>
      <c r="AT278" s="28" t="s">
        <v>1985</v>
      </c>
    </row>
    <row r="279">
      <c r="A279" s="36" t="s">
        <v>1986</v>
      </c>
      <c r="B279" s="26" t="str">
        <f t="shared" si="1"/>
        <v>2023-PH054119000-1984-0211</v>
      </c>
      <c r="C279" s="27">
        <f t="shared" si="5"/>
        <v>2023</v>
      </c>
      <c r="D279" s="37" t="s">
        <v>140</v>
      </c>
      <c r="E279" s="28" t="s">
        <v>141</v>
      </c>
      <c r="F279" s="28" t="s">
        <v>142</v>
      </c>
      <c r="G279" s="29" t="s">
        <v>535</v>
      </c>
      <c r="H279" s="29" t="s">
        <v>1191</v>
      </c>
      <c r="I279" s="29" t="s">
        <v>1987</v>
      </c>
      <c r="J279" s="29" t="s">
        <v>1988</v>
      </c>
      <c r="K279" s="26" t="s">
        <v>1989</v>
      </c>
      <c r="L279" s="101" t="s">
        <v>149</v>
      </c>
      <c r="M279" s="49">
        <v>1984.0</v>
      </c>
      <c r="N279" s="31">
        <v>1984.0</v>
      </c>
      <c r="O279" s="31">
        <v>1985.0</v>
      </c>
      <c r="P279" s="28" t="s">
        <v>150</v>
      </c>
      <c r="Q279" s="32" t="s">
        <v>151</v>
      </c>
      <c r="R279" s="28" t="s">
        <v>604</v>
      </c>
      <c r="S279" s="58" t="s">
        <v>605</v>
      </c>
      <c r="T279" s="28" t="s">
        <v>154</v>
      </c>
      <c r="U279" s="28" t="s">
        <v>154</v>
      </c>
      <c r="V279" s="28" t="s">
        <v>1990</v>
      </c>
      <c r="W279" s="32" t="s">
        <v>656</v>
      </c>
      <c r="X279" s="32" t="s">
        <v>657</v>
      </c>
      <c r="Y279" s="26" t="s">
        <v>1991</v>
      </c>
      <c r="Z279" s="26" t="s">
        <v>149</v>
      </c>
      <c r="AA279" s="32" t="s">
        <v>159</v>
      </c>
      <c r="AB279" s="26" t="s">
        <v>149</v>
      </c>
      <c r="AC279" s="26" t="s">
        <v>149</v>
      </c>
      <c r="AD279" s="28" t="s">
        <v>149</v>
      </c>
      <c r="AE279" s="30" t="s">
        <v>149</v>
      </c>
      <c r="AF279" s="101" t="s">
        <v>149</v>
      </c>
      <c r="AG279" s="101" t="s">
        <v>1992</v>
      </c>
      <c r="AH279" s="26" t="s">
        <v>1993</v>
      </c>
      <c r="AI279" s="28" t="s">
        <v>322</v>
      </c>
      <c r="AJ279" s="58" t="s">
        <v>1993</v>
      </c>
      <c r="AK279" s="101" t="s">
        <v>149</v>
      </c>
      <c r="AL279" s="101" t="s">
        <v>149</v>
      </c>
      <c r="AM279" s="101" t="s">
        <v>149</v>
      </c>
      <c r="AN279" s="28" t="s">
        <v>241</v>
      </c>
      <c r="AO279" s="26" t="s">
        <v>889</v>
      </c>
      <c r="AP279" s="26" t="s">
        <v>1994</v>
      </c>
      <c r="AQ279" s="38" t="s">
        <v>1995</v>
      </c>
      <c r="AR279" s="26" t="s">
        <v>398</v>
      </c>
      <c r="AS279" s="101" t="s">
        <v>149</v>
      </c>
      <c r="AT279" s="11"/>
    </row>
    <row r="280">
      <c r="A280" s="36" t="s">
        <v>1996</v>
      </c>
      <c r="B280" s="26" t="str">
        <f t="shared" si="1"/>
        <v>2023-PH126303000-2005-0385</v>
      </c>
      <c r="C280" s="27">
        <f t="shared" si="5"/>
        <v>2023</v>
      </c>
      <c r="D280" s="28" t="s">
        <v>140</v>
      </c>
      <c r="E280" s="28" t="s">
        <v>141</v>
      </c>
      <c r="F280" s="28" t="s">
        <v>192</v>
      </c>
      <c r="G280" s="29" t="s">
        <v>356</v>
      </c>
      <c r="H280" s="29" t="s">
        <v>1997</v>
      </c>
      <c r="I280" s="40" t="s">
        <v>1998</v>
      </c>
      <c r="J280" s="29" t="s">
        <v>1999</v>
      </c>
      <c r="K280" s="101" t="s">
        <v>2000</v>
      </c>
      <c r="L280" s="102" t="s">
        <v>2001</v>
      </c>
      <c r="M280" s="53">
        <v>2005.0</v>
      </c>
      <c r="N280" s="53">
        <v>2005.0</v>
      </c>
      <c r="O280" s="53">
        <v>2008.0</v>
      </c>
      <c r="P280" s="28" t="s">
        <v>150</v>
      </c>
      <c r="Q280" s="32" t="s">
        <v>151</v>
      </c>
      <c r="R280" s="50" t="s">
        <v>152</v>
      </c>
      <c r="S280" s="32" t="s">
        <v>361</v>
      </c>
      <c r="T280" s="28" t="s">
        <v>154</v>
      </c>
      <c r="U280" s="28" t="s">
        <v>154</v>
      </c>
      <c r="V280" s="101" t="s">
        <v>362</v>
      </c>
      <c r="W280" s="32" t="s">
        <v>750</v>
      </c>
      <c r="X280" s="109" t="s">
        <v>751</v>
      </c>
      <c r="Y280" s="101" t="s">
        <v>2002</v>
      </c>
      <c r="Z280" s="101" t="s">
        <v>2003</v>
      </c>
      <c r="AA280" s="26" t="s">
        <v>159</v>
      </c>
      <c r="AB280" s="28" t="s">
        <v>205</v>
      </c>
      <c r="AC280" s="26" t="s">
        <v>184</v>
      </c>
      <c r="AD280" s="28" t="s">
        <v>184</v>
      </c>
      <c r="AE280" s="30" t="s">
        <v>149</v>
      </c>
      <c r="AF280" s="26" t="s">
        <v>149</v>
      </c>
      <c r="AG280" s="110" t="s">
        <v>149</v>
      </c>
      <c r="AH280" s="101" t="s">
        <v>2004</v>
      </c>
      <c r="AI280" s="26" t="s">
        <v>271</v>
      </c>
      <c r="AJ280" s="28" t="s">
        <v>271</v>
      </c>
      <c r="AK280" s="106" t="s">
        <v>149</v>
      </c>
      <c r="AL280" s="101" t="s">
        <v>2005</v>
      </c>
      <c r="AM280" s="106" t="s">
        <v>149</v>
      </c>
      <c r="AN280" s="28" t="s">
        <v>165</v>
      </c>
      <c r="AO280" s="26" t="s">
        <v>166</v>
      </c>
      <c r="AP280" s="26" t="s">
        <v>2006</v>
      </c>
      <c r="AQ280" s="38" t="s">
        <v>2007</v>
      </c>
      <c r="AR280" s="26" t="s">
        <v>2008</v>
      </c>
      <c r="AS280" s="107" t="s">
        <v>2009</v>
      </c>
      <c r="AT280" s="28"/>
    </row>
    <row r="281">
      <c r="A281" s="36" t="s">
        <v>2010</v>
      </c>
      <c r="B281" s="26" t="str">
        <f t="shared" si="1"/>
        <v>2023-PH128001000-1998-0386</v>
      </c>
      <c r="C281" s="27">
        <f t="shared" si="5"/>
        <v>2023</v>
      </c>
      <c r="D281" s="28" t="s">
        <v>140</v>
      </c>
      <c r="E281" s="28" t="s">
        <v>141</v>
      </c>
      <c r="F281" s="28" t="s">
        <v>192</v>
      </c>
      <c r="G281" s="29" t="s">
        <v>356</v>
      </c>
      <c r="H281" s="29" t="s">
        <v>357</v>
      </c>
      <c r="I281" s="29" t="s">
        <v>2011</v>
      </c>
      <c r="J281" s="29" t="s">
        <v>2012</v>
      </c>
      <c r="K281" s="101" t="s">
        <v>2013</v>
      </c>
      <c r="L281" s="102" t="s">
        <v>2014</v>
      </c>
      <c r="M281" s="53">
        <v>1998.0</v>
      </c>
      <c r="N281" s="53">
        <v>1998.0</v>
      </c>
      <c r="O281" s="53" t="s">
        <v>149</v>
      </c>
      <c r="P281" s="28" t="s">
        <v>150</v>
      </c>
      <c r="Q281" s="32" t="s">
        <v>151</v>
      </c>
      <c r="R281" s="28" t="s">
        <v>149</v>
      </c>
      <c r="S281" s="32" t="s">
        <v>149</v>
      </c>
      <c r="T281" s="28" t="s">
        <v>154</v>
      </c>
      <c r="U281" s="28" t="s">
        <v>154</v>
      </c>
      <c r="V281" s="26" t="s">
        <v>149</v>
      </c>
      <c r="W281" s="32" t="s">
        <v>180</v>
      </c>
      <c r="X281" s="32" t="s">
        <v>181</v>
      </c>
      <c r="Y281" s="26" t="s">
        <v>2015</v>
      </c>
      <c r="Z281" s="101" t="s">
        <v>2016</v>
      </c>
      <c r="AA281" s="26" t="s">
        <v>159</v>
      </c>
      <c r="AB281" s="28" t="s">
        <v>205</v>
      </c>
      <c r="AC281" s="26" t="s">
        <v>206</v>
      </c>
      <c r="AD281" s="28" t="s">
        <v>207</v>
      </c>
      <c r="AE281" s="30" t="s">
        <v>149</v>
      </c>
      <c r="AF281" s="101" t="s">
        <v>149</v>
      </c>
      <c r="AG281" s="101" t="s">
        <v>149</v>
      </c>
      <c r="AH281" s="26" t="s">
        <v>2017</v>
      </c>
      <c r="AI281" s="26" t="s">
        <v>306</v>
      </c>
      <c r="AJ281" s="28" t="s">
        <v>306</v>
      </c>
      <c r="AK281" s="11" t="s">
        <v>149</v>
      </c>
      <c r="AL281" s="106" t="s">
        <v>149</v>
      </c>
      <c r="AM281" s="106" t="s">
        <v>149</v>
      </c>
      <c r="AN281" s="28" t="s">
        <v>165</v>
      </c>
      <c r="AO281" s="28" t="s">
        <v>289</v>
      </c>
      <c r="AP281" s="101" t="s">
        <v>2018</v>
      </c>
      <c r="AQ281" s="107" t="s">
        <v>2019</v>
      </c>
      <c r="AR281" s="106" t="s">
        <v>149</v>
      </c>
      <c r="AS281" s="106" t="s">
        <v>149</v>
      </c>
      <c r="AT281" s="11"/>
    </row>
    <row r="282">
      <c r="A282" s="36" t="s">
        <v>2020</v>
      </c>
      <c r="B282" s="26" t="str">
        <f t="shared" si="1"/>
        <v>2023-PH104326000-2015-0365</v>
      </c>
      <c r="C282" s="27">
        <f t="shared" si="5"/>
        <v>2023</v>
      </c>
      <c r="D282" s="28" t="s">
        <v>140</v>
      </c>
      <c r="E282" s="28" t="s">
        <v>141</v>
      </c>
      <c r="F282" s="28" t="s">
        <v>192</v>
      </c>
      <c r="G282" s="29" t="s">
        <v>171</v>
      </c>
      <c r="H282" s="29" t="s">
        <v>172</v>
      </c>
      <c r="I282" s="29" t="s">
        <v>2021</v>
      </c>
      <c r="J282" s="29" t="s">
        <v>2022</v>
      </c>
      <c r="K282" s="28" t="s">
        <v>2023</v>
      </c>
      <c r="L282" s="102" t="s">
        <v>149</v>
      </c>
      <c r="M282" s="53">
        <v>2015.0</v>
      </c>
      <c r="N282" s="53" t="s">
        <v>149</v>
      </c>
      <c r="O282" s="53" t="s">
        <v>149</v>
      </c>
      <c r="P282" s="28" t="s">
        <v>150</v>
      </c>
      <c r="Q282" s="32" t="s">
        <v>151</v>
      </c>
      <c r="R282" s="32" t="s">
        <v>604</v>
      </c>
      <c r="S282" s="32" t="s">
        <v>2024</v>
      </c>
      <c r="T282" s="28" t="s">
        <v>154</v>
      </c>
      <c r="U282" s="28" t="s">
        <v>154</v>
      </c>
      <c r="V282" s="26" t="s">
        <v>2025</v>
      </c>
      <c r="W282" s="32" t="s">
        <v>180</v>
      </c>
      <c r="X282" s="32" t="s">
        <v>181</v>
      </c>
      <c r="Y282" s="26" t="s">
        <v>2026</v>
      </c>
      <c r="Z282" s="26" t="s">
        <v>2027</v>
      </c>
      <c r="AA282" s="26" t="s">
        <v>159</v>
      </c>
      <c r="AB282" s="26" t="s">
        <v>160</v>
      </c>
      <c r="AC282" s="26" t="s">
        <v>184</v>
      </c>
      <c r="AD282" s="28" t="s">
        <v>184</v>
      </c>
      <c r="AE282" s="30" t="s">
        <v>149</v>
      </c>
      <c r="AF282" s="101" t="s">
        <v>149</v>
      </c>
      <c r="AG282" s="101" t="s">
        <v>149</v>
      </c>
      <c r="AH282" s="26" t="s">
        <v>2027</v>
      </c>
      <c r="AI282" s="26" t="s">
        <v>271</v>
      </c>
      <c r="AJ282" s="28" t="s">
        <v>271</v>
      </c>
      <c r="AK282" s="102" t="s">
        <v>2028</v>
      </c>
      <c r="AL282" s="102" t="s">
        <v>2029</v>
      </c>
      <c r="AM282" s="101" t="s">
        <v>149</v>
      </c>
      <c r="AN282" s="28" t="s">
        <v>165</v>
      </c>
      <c r="AO282" s="26" t="s">
        <v>166</v>
      </c>
      <c r="AP282" s="26" t="s">
        <v>2030</v>
      </c>
      <c r="AQ282" s="38" t="s">
        <v>2031</v>
      </c>
      <c r="AR282" s="101" t="s">
        <v>149</v>
      </c>
      <c r="AS282" s="101" t="s">
        <v>149</v>
      </c>
      <c r="AT282" s="11"/>
    </row>
    <row r="283">
      <c r="A283" s="25" t="s">
        <v>2032</v>
      </c>
      <c r="B283" s="26" t="str">
        <f t="shared" si="1"/>
        <v>2023-PH013314000-2022-0027</v>
      </c>
      <c r="C283" s="27">
        <f t="shared" si="5"/>
        <v>2023</v>
      </c>
      <c r="D283" s="28" t="s">
        <v>140</v>
      </c>
      <c r="E283" s="28" t="s">
        <v>141</v>
      </c>
      <c r="F283" s="28" t="s">
        <v>142</v>
      </c>
      <c r="G283" s="29" t="s">
        <v>143</v>
      </c>
      <c r="H283" s="29" t="s">
        <v>438</v>
      </c>
      <c r="I283" s="40" t="s">
        <v>2033</v>
      </c>
      <c r="J283" s="29" t="s">
        <v>2034</v>
      </c>
      <c r="K283" s="28" t="s">
        <v>2023</v>
      </c>
      <c r="L283" s="28" t="s">
        <v>149</v>
      </c>
      <c r="M283" s="31">
        <v>2022.0</v>
      </c>
      <c r="N283" s="49" t="s">
        <v>149</v>
      </c>
      <c r="O283" s="31" t="s">
        <v>149</v>
      </c>
      <c r="P283" s="28" t="s">
        <v>150</v>
      </c>
      <c r="Q283" s="32" t="s">
        <v>151</v>
      </c>
      <c r="R283" s="32" t="s">
        <v>718</v>
      </c>
      <c r="S283" s="32" t="s">
        <v>2035</v>
      </c>
      <c r="T283" s="28" t="s">
        <v>154</v>
      </c>
      <c r="U283" s="28" t="s">
        <v>154</v>
      </c>
      <c r="V283" s="28" t="s">
        <v>2036</v>
      </c>
      <c r="W283" s="32" t="s">
        <v>387</v>
      </c>
      <c r="X283" s="32" t="s">
        <v>388</v>
      </c>
      <c r="Y283" s="102" t="s">
        <v>2037</v>
      </c>
      <c r="Z283" s="33" t="s">
        <v>2038</v>
      </c>
      <c r="AA283" s="26" t="s">
        <v>159</v>
      </c>
      <c r="AB283" s="26" t="s">
        <v>160</v>
      </c>
      <c r="AC283" s="26" t="s">
        <v>271</v>
      </c>
      <c r="AD283" s="28" t="s">
        <v>271</v>
      </c>
      <c r="AE283" s="30" t="s">
        <v>149</v>
      </c>
      <c r="AF283" s="101" t="s">
        <v>149</v>
      </c>
      <c r="AG283" s="26" t="s">
        <v>2039</v>
      </c>
      <c r="AH283" s="26" t="s">
        <v>2040</v>
      </c>
      <c r="AI283" s="26" t="s">
        <v>271</v>
      </c>
      <c r="AJ283" s="28" t="s">
        <v>271</v>
      </c>
      <c r="AK283" s="28" t="s">
        <v>2041</v>
      </c>
      <c r="AL283" s="102" t="s">
        <v>2042</v>
      </c>
      <c r="AM283" s="106" t="s">
        <v>149</v>
      </c>
      <c r="AN283" s="28" t="s">
        <v>165</v>
      </c>
      <c r="AO283" s="26" t="s">
        <v>166</v>
      </c>
      <c r="AP283" s="26" t="s">
        <v>2043</v>
      </c>
      <c r="AQ283" s="34" t="s">
        <v>2044</v>
      </c>
      <c r="AR283" s="101" t="s">
        <v>2045</v>
      </c>
      <c r="AS283" s="101" t="s">
        <v>149</v>
      </c>
      <c r="AT283" s="11"/>
    </row>
    <row r="284">
      <c r="A284" s="36" t="s">
        <v>2046</v>
      </c>
      <c r="B284" s="26" t="str">
        <f t="shared" si="1"/>
        <v>2023-PH041033000-2018-0137</v>
      </c>
      <c r="C284" s="27">
        <f t="shared" si="5"/>
        <v>2023</v>
      </c>
      <c r="D284" s="28" t="s">
        <v>140</v>
      </c>
      <c r="E284" s="28" t="s">
        <v>141</v>
      </c>
      <c r="F284" s="28" t="s">
        <v>142</v>
      </c>
      <c r="G284" s="29" t="s">
        <v>257</v>
      </c>
      <c r="H284" s="29" t="s">
        <v>258</v>
      </c>
      <c r="I284" s="29" t="s">
        <v>2047</v>
      </c>
      <c r="J284" s="29" t="s">
        <v>2048</v>
      </c>
      <c r="K284" s="28" t="s">
        <v>2023</v>
      </c>
      <c r="L284" s="108" t="s">
        <v>149</v>
      </c>
      <c r="M284" s="31">
        <v>2018.0</v>
      </c>
      <c r="N284" s="49" t="s">
        <v>149</v>
      </c>
      <c r="O284" s="31" t="s">
        <v>149</v>
      </c>
      <c r="P284" s="28" t="s">
        <v>150</v>
      </c>
      <c r="Q284" s="32" t="s">
        <v>151</v>
      </c>
      <c r="R284" s="28" t="s">
        <v>152</v>
      </c>
      <c r="S284" s="32" t="s">
        <v>2049</v>
      </c>
      <c r="T284" s="28" t="s">
        <v>154</v>
      </c>
      <c r="U284" s="28" t="s">
        <v>154</v>
      </c>
      <c r="V284" s="28" t="s">
        <v>2050</v>
      </c>
      <c r="W284" s="32" t="s">
        <v>2051</v>
      </c>
      <c r="X284" s="109" t="s">
        <v>751</v>
      </c>
      <c r="Y284" s="28" t="s">
        <v>2052</v>
      </c>
      <c r="Z284" s="33" t="s">
        <v>2038</v>
      </c>
      <c r="AA284" s="26" t="s">
        <v>159</v>
      </c>
      <c r="AB284" s="26" t="s">
        <v>160</v>
      </c>
      <c r="AC284" s="26" t="s">
        <v>271</v>
      </c>
      <c r="AD284" s="28" t="s">
        <v>271</v>
      </c>
      <c r="AE284" s="30" t="s">
        <v>149</v>
      </c>
      <c r="AF284" s="26" t="s">
        <v>149</v>
      </c>
      <c r="AG284" s="26" t="s">
        <v>149</v>
      </c>
      <c r="AH284" s="26" t="s">
        <v>2038</v>
      </c>
      <c r="AI284" s="26" t="s">
        <v>271</v>
      </c>
      <c r="AJ284" s="28" t="s">
        <v>271</v>
      </c>
      <c r="AK284" s="28" t="s">
        <v>2053</v>
      </c>
      <c r="AL284" s="101" t="s">
        <v>2054</v>
      </c>
      <c r="AM284" s="108" t="s">
        <v>149</v>
      </c>
      <c r="AN284" s="28" t="s">
        <v>165</v>
      </c>
      <c r="AO284" s="28" t="s">
        <v>289</v>
      </c>
      <c r="AP284" s="26" t="s">
        <v>2055</v>
      </c>
      <c r="AQ284" s="38" t="s">
        <v>2056</v>
      </c>
      <c r="AR284" s="108" t="s">
        <v>149</v>
      </c>
      <c r="AS284" s="108" t="s">
        <v>149</v>
      </c>
      <c r="AT284" s="26"/>
    </row>
    <row r="285">
      <c r="A285" s="36" t="s">
        <v>2057</v>
      </c>
      <c r="B285" s="26" t="str">
        <f t="shared" si="1"/>
        <v>2023-PH112317000-2012-0367</v>
      </c>
      <c r="C285" s="27">
        <f t="shared" si="5"/>
        <v>2023</v>
      </c>
      <c r="D285" s="37" t="s">
        <v>140</v>
      </c>
      <c r="E285" s="28" t="s">
        <v>141</v>
      </c>
      <c r="F285" s="28" t="s">
        <v>192</v>
      </c>
      <c r="G285" s="29" t="s">
        <v>330</v>
      </c>
      <c r="H285" s="29" t="s">
        <v>331</v>
      </c>
      <c r="I285" s="40" t="s">
        <v>980</v>
      </c>
      <c r="J285" s="29" t="s">
        <v>981</v>
      </c>
      <c r="K285" s="28" t="s">
        <v>2023</v>
      </c>
      <c r="L285" s="101" t="s">
        <v>2058</v>
      </c>
      <c r="M285" s="31">
        <v>2012.0</v>
      </c>
      <c r="N285" s="31" t="s">
        <v>149</v>
      </c>
      <c r="O285" s="31" t="s">
        <v>149</v>
      </c>
      <c r="P285" s="28" t="s">
        <v>150</v>
      </c>
      <c r="Q285" s="32" t="s">
        <v>151</v>
      </c>
      <c r="R285" s="28" t="s">
        <v>152</v>
      </c>
      <c r="S285" s="32" t="s">
        <v>361</v>
      </c>
      <c r="T285" s="28" t="s">
        <v>154</v>
      </c>
      <c r="U285" s="28" t="s">
        <v>154</v>
      </c>
      <c r="V285" s="26" t="s">
        <v>362</v>
      </c>
      <c r="W285" s="32" t="s">
        <v>149</v>
      </c>
      <c r="X285" s="32" t="s">
        <v>254</v>
      </c>
      <c r="Y285" s="101" t="s">
        <v>149</v>
      </c>
      <c r="Z285" s="26" t="s">
        <v>2059</v>
      </c>
      <c r="AA285" s="26" t="s">
        <v>159</v>
      </c>
      <c r="AB285" s="26" t="s">
        <v>160</v>
      </c>
      <c r="AC285" s="26" t="s">
        <v>184</v>
      </c>
      <c r="AD285" s="28" t="s">
        <v>184</v>
      </c>
      <c r="AE285" s="30" t="s">
        <v>149</v>
      </c>
      <c r="AF285" s="101" t="s">
        <v>149</v>
      </c>
      <c r="AG285" s="26" t="s">
        <v>2060</v>
      </c>
      <c r="AH285" s="26" t="s">
        <v>2038</v>
      </c>
      <c r="AI285" s="26" t="s">
        <v>271</v>
      </c>
      <c r="AJ285" s="28" t="s">
        <v>271</v>
      </c>
      <c r="AK285" s="106" t="s">
        <v>149</v>
      </c>
      <c r="AL285" s="101" t="s">
        <v>2061</v>
      </c>
      <c r="AM285" s="106" t="s">
        <v>149</v>
      </c>
      <c r="AN285" s="28" t="s">
        <v>165</v>
      </c>
      <c r="AO285" s="28" t="s">
        <v>289</v>
      </c>
      <c r="AP285" s="26" t="s">
        <v>2062</v>
      </c>
      <c r="AQ285" s="38" t="s">
        <v>2063</v>
      </c>
      <c r="AR285" s="101" t="s">
        <v>2064</v>
      </c>
      <c r="AS285" s="106" t="s">
        <v>149</v>
      </c>
      <c r="AT285" s="28"/>
    </row>
    <row r="286">
      <c r="A286" s="36" t="s">
        <v>2065</v>
      </c>
      <c r="B286" s="26" t="str">
        <f t="shared" si="1"/>
        <v>2025-PH063015000-2015-0254</v>
      </c>
      <c r="C286" s="27">
        <f t="shared" si="5"/>
        <v>2025</v>
      </c>
      <c r="D286" s="28" t="s">
        <v>191</v>
      </c>
      <c r="E286" s="28" t="s">
        <v>191</v>
      </c>
      <c r="F286" s="28" t="s">
        <v>192</v>
      </c>
      <c r="G286" s="29" t="s">
        <v>314</v>
      </c>
      <c r="H286" s="29" t="s">
        <v>558</v>
      </c>
      <c r="I286" s="29" t="s">
        <v>2066</v>
      </c>
      <c r="J286" s="29" t="s">
        <v>2067</v>
      </c>
      <c r="K286" s="28" t="s">
        <v>2023</v>
      </c>
      <c r="L286" s="102" t="s">
        <v>2068</v>
      </c>
      <c r="M286" s="31">
        <v>2015.0</v>
      </c>
      <c r="N286" s="31" t="s">
        <v>149</v>
      </c>
      <c r="O286" s="31" t="s">
        <v>149</v>
      </c>
      <c r="P286" s="28" t="s">
        <v>150</v>
      </c>
      <c r="Q286" s="32" t="s">
        <v>151</v>
      </c>
      <c r="R286" s="28" t="s">
        <v>152</v>
      </c>
      <c r="S286" s="32" t="s">
        <v>361</v>
      </c>
      <c r="T286" s="28" t="s">
        <v>154</v>
      </c>
      <c r="U286" s="28" t="s">
        <v>154</v>
      </c>
      <c r="V286" s="26" t="s">
        <v>2069</v>
      </c>
      <c r="W286" s="32" t="s">
        <v>149</v>
      </c>
      <c r="X286" s="32" t="s">
        <v>254</v>
      </c>
      <c r="Y286" s="26" t="s">
        <v>149</v>
      </c>
      <c r="Z286" s="26" t="s">
        <v>2038</v>
      </c>
      <c r="AA286" s="26" t="s">
        <v>159</v>
      </c>
      <c r="AB286" s="26" t="s">
        <v>160</v>
      </c>
      <c r="AC286" s="26" t="s">
        <v>271</v>
      </c>
      <c r="AD286" s="28" t="s">
        <v>271</v>
      </c>
      <c r="AE286" s="30" t="s">
        <v>149</v>
      </c>
      <c r="AF286" s="101" t="s">
        <v>149</v>
      </c>
      <c r="AG286" s="101" t="s">
        <v>149</v>
      </c>
      <c r="AH286" s="26" t="s">
        <v>2038</v>
      </c>
      <c r="AI286" s="26" t="s">
        <v>271</v>
      </c>
      <c r="AJ286" s="28" t="s">
        <v>271</v>
      </c>
      <c r="AK286" s="102" t="s">
        <v>149</v>
      </c>
      <c r="AL286" s="102" t="s">
        <v>149</v>
      </c>
      <c r="AM286" s="102" t="s">
        <v>149</v>
      </c>
      <c r="AN286" s="28" t="s">
        <v>165</v>
      </c>
      <c r="AO286" s="28" t="s">
        <v>689</v>
      </c>
      <c r="AP286" s="26" t="s">
        <v>2070</v>
      </c>
      <c r="AQ286" s="38" t="s">
        <v>2071</v>
      </c>
      <c r="AR286" s="102" t="s">
        <v>149</v>
      </c>
      <c r="AS286" s="102" t="s">
        <v>149</v>
      </c>
      <c r="AT286" s="29"/>
    </row>
    <row r="287">
      <c r="A287" s="36" t="s">
        <v>2072</v>
      </c>
      <c r="B287" s="26" t="str">
        <f t="shared" si="1"/>
        <v>2023-PH072226000-Unknown-0286</v>
      </c>
      <c r="C287" s="27">
        <f t="shared" si="5"/>
        <v>2023</v>
      </c>
      <c r="D287" s="28" t="s">
        <v>140</v>
      </c>
      <c r="E287" s="28" t="s">
        <v>141</v>
      </c>
      <c r="F287" s="28" t="s">
        <v>192</v>
      </c>
      <c r="G287" s="29" t="s">
        <v>193</v>
      </c>
      <c r="H287" s="29" t="s">
        <v>194</v>
      </c>
      <c r="I287" s="40" t="s">
        <v>216</v>
      </c>
      <c r="J287" s="29" t="s">
        <v>217</v>
      </c>
      <c r="K287" s="101" t="s">
        <v>2073</v>
      </c>
      <c r="L287" s="101" t="s">
        <v>218</v>
      </c>
      <c r="M287" s="31" t="s">
        <v>149</v>
      </c>
      <c r="N287" s="53" t="s">
        <v>149</v>
      </c>
      <c r="O287" s="53" t="s">
        <v>149</v>
      </c>
      <c r="P287" s="28" t="s">
        <v>177</v>
      </c>
      <c r="Q287" s="32" t="s">
        <v>178</v>
      </c>
      <c r="R287" s="28" t="s">
        <v>154</v>
      </c>
      <c r="S287" s="32" t="s">
        <v>154</v>
      </c>
      <c r="T287" s="28" t="s">
        <v>154</v>
      </c>
      <c r="U287" s="28" t="s">
        <v>154</v>
      </c>
      <c r="V287" s="26" t="s">
        <v>179</v>
      </c>
      <c r="W287" s="32" t="s">
        <v>2074</v>
      </c>
      <c r="X287" s="32" t="s">
        <v>2075</v>
      </c>
      <c r="Y287" s="102" t="s">
        <v>2076</v>
      </c>
      <c r="Z287" s="26" t="s">
        <v>2077</v>
      </c>
      <c r="AA287" s="26" t="s">
        <v>159</v>
      </c>
      <c r="AB287" s="26" t="s">
        <v>160</v>
      </c>
      <c r="AC287" s="26" t="s">
        <v>184</v>
      </c>
      <c r="AD287" s="28" t="s">
        <v>184</v>
      </c>
      <c r="AE287" s="30" t="s">
        <v>149</v>
      </c>
      <c r="AF287" s="101" t="s">
        <v>149</v>
      </c>
      <c r="AG287" s="101" t="s">
        <v>149</v>
      </c>
      <c r="AH287" s="26" t="s">
        <v>2077</v>
      </c>
      <c r="AI287" s="26" t="s">
        <v>184</v>
      </c>
      <c r="AJ287" s="28" t="s">
        <v>184</v>
      </c>
      <c r="AK287" s="30" t="s">
        <v>149</v>
      </c>
      <c r="AL287" s="30" t="s">
        <v>149</v>
      </c>
      <c r="AM287" s="30" t="s">
        <v>149</v>
      </c>
      <c r="AN287" s="28" t="s">
        <v>165</v>
      </c>
      <c r="AO287" s="28" t="s">
        <v>289</v>
      </c>
      <c r="AP287" s="26" t="s">
        <v>2078</v>
      </c>
      <c r="AQ287" s="38" t="s">
        <v>2079</v>
      </c>
      <c r="AR287" s="30" t="s">
        <v>149</v>
      </c>
      <c r="AS287" s="30" t="s">
        <v>149</v>
      </c>
      <c r="AT287" s="11"/>
    </row>
    <row r="288">
      <c r="A288" s="36" t="s">
        <v>2080</v>
      </c>
      <c r="B288" s="26" t="str">
        <f t="shared" si="1"/>
        <v>2023-PH041016000-2016-0127</v>
      </c>
      <c r="C288" s="27">
        <f t="shared" si="5"/>
        <v>2023</v>
      </c>
      <c r="D288" s="28" t="s">
        <v>140</v>
      </c>
      <c r="E288" s="28" t="s">
        <v>141</v>
      </c>
      <c r="F288" s="28" t="s">
        <v>192</v>
      </c>
      <c r="G288" s="29" t="s">
        <v>257</v>
      </c>
      <c r="H288" s="29" t="s">
        <v>258</v>
      </c>
      <c r="I288" s="29" t="s">
        <v>1255</v>
      </c>
      <c r="J288" s="29" t="s">
        <v>1256</v>
      </c>
      <c r="K288" s="26" t="s">
        <v>2081</v>
      </c>
      <c r="L288" s="102" t="s">
        <v>149</v>
      </c>
      <c r="M288" s="31">
        <v>2016.0</v>
      </c>
      <c r="N288" s="31" t="s">
        <v>149</v>
      </c>
      <c r="O288" s="31" t="s">
        <v>149</v>
      </c>
      <c r="P288" s="28" t="s">
        <v>150</v>
      </c>
      <c r="Q288" s="32" t="s">
        <v>151</v>
      </c>
      <c r="R288" s="87" t="s">
        <v>336</v>
      </c>
      <c r="S288" s="32" t="s">
        <v>2082</v>
      </c>
      <c r="T288" s="28" t="s">
        <v>154</v>
      </c>
      <c r="U288" s="28" t="s">
        <v>154</v>
      </c>
      <c r="V288" s="101" t="s">
        <v>2082</v>
      </c>
      <c r="W288" s="109" t="s">
        <v>1177</v>
      </c>
      <c r="X288" s="32" t="s">
        <v>1178</v>
      </c>
      <c r="Y288" s="102" t="s">
        <v>2083</v>
      </c>
      <c r="Z288" s="26" t="s">
        <v>2084</v>
      </c>
      <c r="AA288" s="26" t="s">
        <v>159</v>
      </c>
      <c r="AB288" s="26" t="s">
        <v>160</v>
      </c>
      <c r="AC288" s="26" t="s">
        <v>184</v>
      </c>
      <c r="AD288" s="28" t="s">
        <v>184</v>
      </c>
      <c r="AE288" s="30" t="s">
        <v>149</v>
      </c>
      <c r="AF288" s="101" t="s">
        <v>149</v>
      </c>
      <c r="AG288" s="102" t="s">
        <v>2085</v>
      </c>
      <c r="AH288" s="26" t="s">
        <v>2086</v>
      </c>
      <c r="AI288" s="26" t="s">
        <v>184</v>
      </c>
      <c r="AJ288" s="28" t="s">
        <v>184</v>
      </c>
      <c r="AK288" s="26" t="s">
        <v>2087</v>
      </c>
      <c r="AL288" s="101" t="s">
        <v>2088</v>
      </c>
      <c r="AM288" s="108" t="s">
        <v>149</v>
      </c>
      <c r="AN288" s="28" t="s">
        <v>165</v>
      </c>
      <c r="AO288" s="26" t="s">
        <v>166</v>
      </c>
      <c r="AP288" s="26" t="s">
        <v>2089</v>
      </c>
      <c r="AQ288" s="107" t="s">
        <v>2090</v>
      </c>
      <c r="AR288" s="108" t="s">
        <v>149</v>
      </c>
      <c r="AS288" s="108" t="s">
        <v>149</v>
      </c>
      <c r="AT288" s="45"/>
    </row>
    <row r="289">
      <c r="A289" s="36" t="s">
        <v>2091</v>
      </c>
      <c r="B289" s="26" t="str">
        <f t="shared" si="1"/>
        <v>2023-PH104319000-2018-0361</v>
      </c>
      <c r="C289" s="27">
        <f t="shared" si="5"/>
        <v>2023</v>
      </c>
      <c r="D289" s="37" t="s">
        <v>140</v>
      </c>
      <c r="E289" s="28" t="s">
        <v>141</v>
      </c>
      <c r="F289" s="28" t="s">
        <v>192</v>
      </c>
      <c r="G289" s="29" t="s">
        <v>171</v>
      </c>
      <c r="H289" s="29" t="s">
        <v>172</v>
      </c>
      <c r="I289" s="29" t="s">
        <v>173</v>
      </c>
      <c r="J289" s="29" t="s">
        <v>174</v>
      </c>
      <c r="K289" s="26" t="s">
        <v>2081</v>
      </c>
      <c r="L289" s="28" t="s">
        <v>149</v>
      </c>
      <c r="M289" s="111">
        <v>2018.0</v>
      </c>
      <c r="N289" s="53">
        <v>2018.0</v>
      </c>
      <c r="O289" s="53" t="s">
        <v>149</v>
      </c>
      <c r="P289" s="28" t="s">
        <v>177</v>
      </c>
      <c r="Q289" s="32" t="s">
        <v>178</v>
      </c>
      <c r="R289" s="28" t="s">
        <v>154</v>
      </c>
      <c r="S289" s="32" t="s">
        <v>154</v>
      </c>
      <c r="T289" s="28" t="s">
        <v>154</v>
      </c>
      <c r="U289" s="28" t="s">
        <v>154</v>
      </c>
      <c r="V289" s="26" t="s">
        <v>2092</v>
      </c>
      <c r="W289" s="32" t="s">
        <v>284</v>
      </c>
      <c r="X289" s="32" t="s">
        <v>285</v>
      </c>
      <c r="Y289" s="26" t="s">
        <v>286</v>
      </c>
      <c r="Z289" s="101" t="s">
        <v>2093</v>
      </c>
      <c r="AA289" s="26" t="s">
        <v>159</v>
      </c>
      <c r="AB289" s="26" t="s">
        <v>160</v>
      </c>
      <c r="AC289" s="26" t="s">
        <v>184</v>
      </c>
      <c r="AD289" s="28" t="s">
        <v>184</v>
      </c>
      <c r="AE289" s="30" t="s">
        <v>149</v>
      </c>
      <c r="AF289" s="101" t="s">
        <v>149</v>
      </c>
      <c r="AG289" s="101" t="s">
        <v>149</v>
      </c>
      <c r="AH289" s="26" t="s">
        <v>2094</v>
      </c>
      <c r="AI289" s="26" t="s">
        <v>184</v>
      </c>
      <c r="AJ289" s="28" t="s">
        <v>184</v>
      </c>
      <c r="AK289" s="26" t="s">
        <v>369</v>
      </c>
      <c r="AL289" s="26" t="s">
        <v>149</v>
      </c>
      <c r="AM289" s="26" t="s">
        <v>149</v>
      </c>
      <c r="AN289" s="28" t="s">
        <v>165</v>
      </c>
      <c r="AO289" s="26" t="s">
        <v>166</v>
      </c>
      <c r="AP289" s="26" t="s">
        <v>2095</v>
      </c>
      <c r="AQ289" s="34" t="s">
        <v>2096</v>
      </c>
      <c r="AR289" s="102" t="s">
        <v>149</v>
      </c>
      <c r="AS289" s="28" t="s">
        <v>149</v>
      </c>
      <c r="AT289" s="29"/>
    </row>
    <row r="290">
      <c r="A290" s="36" t="s">
        <v>2097</v>
      </c>
      <c r="B290" s="26" t="str">
        <f t="shared" si="1"/>
        <v>2025-PH041008000-Unknown-0118</v>
      </c>
      <c r="C290" s="27">
        <f t="shared" si="5"/>
        <v>2025</v>
      </c>
      <c r="D290" s="28" t="s">
        <v>191</v>
      </c>
      <c r="E290" s="28" t="s">
        <v>191</v>
      </c>
      <c r="F290" s="28" t="s">
        <v>142</v>
      </c>
      <c r="G290" s="29" t="s">
        <v>257</v>
      </c>
      <c r="H290" s="29" t="s">
        <v>258</v>
      </c>
      <c r="I290" s="29" t="s">
        <v>1752</v>
      </c>
      <c r="J290" s="29" t="s">
        <v>1753</v>
      </c>
      <c r="K290" s="26" t="s">
        <v>2098</v>
      </c>
      <c r="L290" s="26" t="s">
        <v>2099</v>
      </c>
      <c r="M290" s="31" t="s">
        <v>149</v>
      </c>
      <c r="N290" s="31" t="s">
        <v>149</v>
      </c>
      <c r="O290" s="31" t="s">
        <v>149</v>
      </c>
      <c r="P290" s="28" t="s">
        <v>150</v>
      </c>
      <c r="Q290" s="32" t="s">
        <v>151</v>
      </c>
      <c r="R290" s="28" t="s">
        <v>149</v>
      </c>
      <c r="S290" s="32" t="s">
        <v>149</v>
      </c>
      <c r="T290" s="28" t="s">
        <v>154</v>
      </c>
      <c r="U290" s="28" t="s">
        <v>154</v>
      </c>
      <c r="V290" s="26" t="s">
        <v>149</v>
      </c>
      <c r="W290" s="32" t="s">
        <v>284</v>
      </c>
      <c r="X290" s="32" t="s">
        <v>285</v>
      </c>
      <c r="Y290" s="26" t="s">
        <v>819</v>
      </c>
      <c r="Z290" s="26" t="s">
        <v>149</v>
      </c>
      <c r="AA290" s="26" t="s">
        <v>159</v>
      </c>
      <c r="AB290" s="26" t="s">
        <v>149</v>
      </c>
      <c r="AC290" s="26" t="s">
        <v>149</v>
      </c>
      <c r="AD290" s="28" t="s">
        <v>149</v>
      </c>
      <c r="AE290" s="29" t="s">
        <v>149</v>
      </c>
      <c r="AF290" s="26" t="s">
        <v>149</v>
      </c>
      <c r="AG290" s="26" t="s">
        <v>149</v>
      </c>
      <c r="AH290" s="26" t="s">
        <v>369</v>
      </c>
      <c r="AI290" s="28" t="s">
        <v>161</v>
      </c>
      <c r="AJ290" s="28" t="s">
        <v>369</v>
      </c>
      <c r="AK290" s="28" t="s">
        <v>149</v>
      </c>
      <c r="AL290" s="102" t="s">
        <v>149</v>
      </c>
      <c r="AM290" s="102" t="s">
        <v>149</v>
      </c>
      <c r="AN290" s="28" t="s">
        <v>165</v>
      </c>
      <c r="AO290" s="28" t="s">
        <v>731</v>
      </c>
      <c r="AP290" s="26" t="s">
        <v>823</v>
      </c>
      <c r="AQ290" s="38" t="s">
        <v>824</v>
      </c>
      <c r="AR290" s="102" t="s">
        <v>149</v>
      </c>
      <c r="AS290" s="28" t="s">
        <v>149</v>
      </c>
      <c r="AT290" s="26"/>
    </row>
    <row r="291">
      <c r="A291" s="36" t="s">
        <v>2100</v>
      </c>
      <c r="B291" s="26" t="str">
        <f t="shared" si="1"/>
        <v>2023-PH071235000-1995-0268</v>
      </c>
      <c r="C291" s="27">
        <f t="shared" si="5"/>
        <v>2023</v>
      </c>
      <c r="D291" s="28" t="s">
        <v>140</v>
      </c>
      <c r="E291" s="28" t="s">
        <v>141</v>
      </c>
      <c r="F291" s="28" t="s">
        <v>192</v>
      </c>
      <c r="G291" s="29" t="s">
        <v>193</v>
      </c>
      <c r="H291" s="29" t="s">
        <v>563</v>
      </c>
      <c r="I291" s="40" t="s">
        <v>2101</v>
      </c>
      <c r="J291" s="29" t="s">
        <v>2102</v>
      </c>
      <c r="K291" s="26" t="s">
        <v>2103</v>
      </c>
      <c r="L291" s="28" t="s">
        <v>149</v>
      </c>
      <c r="M291" s="31">
        <v>1995.0</v>
      </c>
      <c r="N291" s="31" t="s">
        <v>149</v>
      </c>
      <c r="O291" s="31" t="s">
        <v>149</v>
      </c>
      <c r="P291" s="28" t="s">
        <v>150</v>
      </c>
      <c r="Q291" s="32" t="s">
        <v>151</v>
      </c>
      <c r="R291" s="28" t="s">
        <v>149</v>
      </c>
      <c r="S291" s="32" t="s">
        <v>149</v>
      </c>
      <c r="T291" s="28" t="s">
        <v>154</v>
      </c>
      <c r="U291" s="28" t="s">
        <v>154</v>
      </c>
      <c r="V291" s="26" t="s">
        <v>149</v>
      </c>
      <c r="W291" s="32" t="s">
        <v>149</v>
      </c>
      <c r="X291" s="109" t="s">
        <v>254</v>
      </c>
      <c r="Y291" s="26" t="s">
        <v>149</v>
      </c>
      <c r="Z291" s="26" t="s">
        <v>149</v>
      </c>
      <c r="AA291" s="26" t="s">
        <v>149</v>
      </c>
      <c r="AB291" s="26" t="s">
        <v>149</v>
      </c>
      <c r="AC291" s="26" t="s">
        <v>149</v>
      </c>
      <c r="AD291" s="28" t="s">
        <v>149</v>
      </c>
      <c r="AE291" s="29" t="s">
        <v>149</v>
      </c>
      <c r="AF291" s="26" t="s">
        <v>149</v>
      </c>
      <c r="AG291" s="26" t="s">
        <v>149</v>
      </c>
      <c r="AH291" s="26" t="s">
        <v>369</v>
      </c>
      <c r="AI291" s="28" t="s">
        <v>161</v>
      </c>
      <c r="AJ291" s="28" t="s">
        <v>369</v>
      </c>
      <c r="AK291" s="45" t="s">
        <v>149</v>
      </c>
      <c r="AL291" s="45" t="s">
        <v>149</v>
      </c>
      <c r="AM291" s="45" t="s">
        <v>149</v>
      </c>
      <c r="AN291" s="28" t="s">
        <v>165</v>
      </c>
      <c r="AO291" s="28" t="s">
        <v>289</v>
      </c>
      <c r="AP291" s="26" t="s">
        <v>2104</v>
      </c>
      <c r="AQ291" s="38" t="s">
        <v>2105</v>
      </c>
      <c r="AR291" s="45" t="s">
        <v>149</v>
      </c>
      <c r="AS291" s="45" t="s">
        <v>149</v>
      </c>
      <c r="AT291" s="11"/>
    </row>
    <row r="292">
      <c r="A292" s="36" t="s">
        <v>2106</v>
      </c>
      <c r="B292" s="26" t="str">
        <f t="shared" si="1"/>
        <v>2023-PH174005000-1994-0170</v>
      </c>
      <c r="C292" s="27">
        <f t="shared" si="5"/>
        <v>2023</v>
      </c>
      <c r="D292" s="28" t="s">
        <v>140</v>
      </c>
      <c r="E292" s="28" t="s">
        <v>141</v>
      </c>
      <c r="F292" s="28" t="s">
        <v>142</v>
      </c>
      <c r="G292" s="29" t="s">
        <v>522</v>
      </c>
      <c r="H292" s="29" t="s">
        <v>802</v>
      </c>
      <c r="I292" s="40" t="s">
        <v>420</v>
      </c>
      <c r="J292" s="29" t="s">
        <v>803</v>
      </c>
      <c r="K292" s="26" t="s">
        <v>2107</v>
      </c>
      <c r="L292" s="28" t="s">
        <v>2108</v>
      </c>
      <c r="M292" s="49">
        <v>1994.0</v>
      </c>
      <c r="N292" s="31" t="s">
        <v>149</v>
      </c>
      <c r="O292" s="31" t="s">
        <v>149</v>
      </c>
      <c r="P292" s="28" t="s">
        <v>150</v>
      </c>
      <c r="Q292" s="32" t="s">
        <v>151</v>
      </c>
      <c r="R292" s="28" t="s">
        <v>152</v>
      </c>
      <c r="S292" s="32" t="s">
        <v>351</v>
      </c>
      <c r="T292" s="28" t="s">
        <v>154</v>
      </c>
      <c r="U292" s="28" t="s">
        <v>154</v>
      </c>
      <c r="V292" s="28" t="s">
        <v>2109</v>
      </c>
      <c r="W292" s="32" t="s">
        <v>791</v>
      </c>
      <c r="X292" s="32" t="s">
        <v>792</v>
      </c>
      <c r="Y292" s="28" t="s">
        <v>2110</v>
      </c>
      <c r="Z292" s="26" t="s">
        <v>2111</v>
      </c>
      <c r="AA292" s="26" t="s">
        <v>159</v>
      </c>
      <c r="AB292" s="28" t="s">
        <v>205</v>
      </c>
      <c r="AC292" s="26" t="s">
        <v>206</v>
      </c>
      <c r="AD292" s="28" t="s">
        <v>207</v>
      </c>
      <c r="AE292" s="29" t="s">
        <v>149</v>
      </c>
      <c r="AF292" s="26" t="s">
        <v>149</v>
      </c>
      <c r="AG292" s="26" t="s">
        <v>149</v>
      </c>
      <c r="AH292" s="26" t="s">
        <v>2111</v>
      </c>
      <c r="AI292" s="26" t="s">
        <v>206</v>
      </c>
      <c r="AJ292" s="28" t="s">
        <v>206</v>
      </c>
      <c r="AK292" s="26" t="s">
        <v>660</v>
      </c>
      <c r="AL292" s="26" t="s">
        <v>2112</v>
      </c>
      <c r="AM292" s="26" t="s">
        <v>149</v>
      </c>
      <c r="AN292" s="28" t="s">
        <v>241</v>
      </c>
      <c r="AO292" s="26" t="s">
        <v>395</v>
      </c>
      <c r="AP292" s="28" t="s">
        <v>396</v>
      </c>
      <c r="AQ292" s="38" t="s">
        <v>541</v>
      </c>
      <c r="AR292" s="26" t="s">
        <v>398</v>
      </c>
      <c r="AS292" s="26" t="s">
        <v>149</v>
      </c>
      <c r="AT292" s="26"/>
    </row>
    <row r="293">
      <c r="A293" s="36" t="s">
        <v>2113</v>
      </c>
      <c r="B293" s="26" t="str">
        <f t="shared" si="1"/>
        <v>2023-PH175320000-2017-0181</v>
      </c>
      <c r="C293" s="27">
        <f t="shared" si="5"/>
        <v>2023</v>
      </c>
      <c r="D293" s="37" t="s">
        <v>140</v>
      </c>
      <c r="E293" s="28" t="s">
        <v>141</v>
      </c>
      <c r="F293" s="28" t="s">
        <v>192</v>
      </c>
      <c r="G293" s="29" t="s">
        <v>522</v>
      </c>
      <c r="H293" s="29" t="s">
        <v>523</v>
      </c>
      <c r="I293" s="29" t="s">
        <v>2114</v>
      </c>
      <c r="J293" s="29" t="s">
        <v>2115</v>
      </c>
      <c r="K293" s="26" t="s">
        <v>2116</v>
      </c>
      <c r="L293" s="26" t="s">
        <v>2117</v>
      </c>
      <c r="M293" s="31">
        <v>2017.0</v>
      </c>
      <c r="N293" s="31" t="s">
        <v>149</v>
      </c>
      <c r="O293" s="31" t="s">
        <v>149</v>
      </c>
      <c r="P293" s="28" t="s">
        <v>263</v>
      </c>
      <c r="Q293" s="32" t="s">
        <v>264</v>
      </c>
      <c r="R293" s="28" t="s">
        <v>152</v>
      </c>
      <c r="S293" s="32" t="s">
        <v>351</v>
      </c>
      <c r="T293" s="28" t="s">
        <v>154</v>
      </c>
      <c r="U293" s="28" t="s">
        <v>154</v>
      </c>
      <c r="V293" s="26" t="s">
        <v>2118</v>
      </c>
      <c r="W293" s="32" t="s">
        <v>180</v>
      </c>
      <c r="X293" s="32" t="s">
        <v>181</v>
      </c>
      <c r="Y293" s="26" t="s">
        <v>2119</v>
      </c>
      <c r="Z293" s="26" t="s">
        <v>2120</v>
      </c>
      <c r="AA293" s="26" t="s">
        <v>159</v>
      </c>
      <c r="AB293" s="26" t="s">
        <v>160</v>
      </c>
      <c r="AC293" s="26" t="s">
        <v>306</v>
      </c>
      <c r="AD293" s="28" t="s">
        <v>306</v>
      </c>
      <c r="AE293" s="29" t="s">
        <v>149</v>
      </c>
      <c r="AF293" s="28" t="s">
        <v>2121</v>
      </c>
      <c r="AG293" s="26" t="s">
        <v>2122</v>
      </c>
      <c r="AH293" s="26" t="s">
        <v>2120</v>
      </c>
      <c r="AI293" s="26" t="s">
        <v>306</v>
      </c>
      <c r="AJ293" s="28" t="s">
        <v>306</v>
      </c>
      <c r="AK293" s="26" t="s">
        <v>369</v>
      </c>
      <c r="AL293" s="26" t="s">
        <v>149</v>
      </c>
      <c r="AM293" s="26" t="s">
        <v>149</v>
      </c>
      <c r="AN293" s="28" t="s">
        <v>165</v>
      </c>
      <c r="AO293" s="28" t="s">
        <v>1159</v>
      </c>
      <c r="AP293" s="28" t="s">
        <v>2123</v>
      </c>
      <c r="AQ293" s="38" t="s">
        <v>2124</v>
      </c>
      <c r="AR293" s="26" t="s">
        <v>2125</v>
      </c>
      <c r="AS293" s="38" t="s">
        <v>2126</v>
      </c>
      <c r="AT293" s="26"/>
    </row>
    <row r="294">
      <c r="A294" s="36" t="s">
        <v>2127</v>
      </c>
      <c r="B294" s="26" t="str">
        <f t="shared" si="1"/>
        <v>2023-PH104303000-1997-0352</v>
      </c>
      <c r="C294" s="27">
        <f t="shared" si="5"/>
        <v>2023</v>
      </c>
      <c r="D294" s="28" t="s">
        <v>648</v>
      </c>
      <c r="E294" s="28" t="s">
        <v>141</v>
      </c>
      <c r="F294" s="28" t="s">
        <v>192</v>
      </c>
      <c r="G294" s="29" t="s">
        <v>171</v>
      </c>
      <c r="H294" s="29" t="s">
        <v>172</v>
      </c>
      <c r="I294" s="29" t="s">
        <v>2128</v>
      </c>
      <c r="J294" s="29" t="s">
        <v>2129</v>
      </c>
      <c r="K294" s="26" t="s">
        <v>2130</v>
      </c>
      <c r="L294" s="11" t="s">
        <v>149</v>
      </c>
      <c r="M294" s="31">
        <v>1997.0</v>
      </c>
      <c r="N294" s="31" t="s">
        <v>149</v>
      </c>
      <c r="O294" s="31" t="s">
        <v>149</v>
      </c>
      <c r="P294" s="28" t="s">
        <v>150</v>
      </c>
      <c r="Q294" s="32" t="s">
        <v>151</v>
      </c>
      <c r="R294" s="28" t="s">
        <v>386</v>
      </c>
      <c r="S294" s="28" t="s">
        <v>386</v>
      </c>
      <c r="T294" s="28" t="s">
        <v>154</v>
      </c>
      <c r="U294" s="28" t="s">
        <v>154</v>
      </c>
      <c r="V294" s="28" t="s">
        <v>386</v>
      </c>
      <c r="W294" s="32" t="s">
        <v>149</v>
      </c>
      <c r="X294" s="32" t="s">
        <v>254</v>
      </c>
      <c r="Y294" s="26" t="s">
        <v>149</v>
      </c>
      <c r="Z294" s="26" t="s">
        <v>2131</v>
      </c>
      <c r="AA294" s="26" t="s">
        <v>159</v>
      </c>
      <c r="AB294" s="28" t="s">
        <v>205</v>
      </c>
      <c r="AC294" s="26" t="s">
        <v>206</v>
      </c>
      <c r="AD294" s="28" t="s">
        <v>207</v>
      </c>
      <c r="AE294" s="29" t="s">
        <v>149</v>
      </c>
      <c r="AF294" s="26" t="s">
        <v>149</v>
      </c>
      <c r="AG294" s="26" t="s">
        <v>149</v>
      </c>
      <c r="AH294" s="26" t="s">
        <v>2132</v>
      </c>
      <c r="AI294" s="26" t="s">
        <v>306</v>
      </c>
      <c r="AJ294" s="28" t="s">
        <v>306</v>
      </c>
      <c r="AK294" s="26" t="s">
        <v>2133</v>
      </c>
      <c r="AL294" s="28" t="s">
        <v>149</v>
      </c>
      <c r="AM294" s="28" t="s">
        <v>149</v>
      </c>
      <c r="AN294" s="28" t="s">
        <v>165</v>
      </c>
      <c r="AO294" s="28" t="s">
        <v>289</v>
      </c>
      <c r="AP294" s="26" t="s">
        <v>2134</v>
      </c>
      <c r="AQ294" s="38" t="s">
        <v>2135</v>
      </c>
      <c r="AR294" s="11" t="s">
        <v>149</v>
      </c>
      <c r="AS294" s="11" t="s">
        <v>149</v>
      </c>
      <c r="AT294" s="26"/>
    </row>
    <row r="295">
      <c r="A295" s="25" t="s">
        <v>2136</v>
      </c>
      <c r="B295" s="26" t="str">
        <f t="shared" si="1"/>
        <v>2023-PH041008000-2018-0117</v>
      </c>
      <c r="C295" s="27">
        <f t="shared" si="5"/>
        <v>2023</v>
      </c>
      <c r="D295" s="28" t="s">
        <v>140</v>
      </c>
      <c r="E295" s="28" t="s">
        <v>141</v>
      </c>
      <c r="F295" s="28" t="s">
        <v>192</v>
      </c>
      <c r="G295" s="29" t="s">
        <v>257</v>
      </c>
      <c r="H295" s="29" t="s">
        <v>258</v>
      </c>
      <c r="I295" s="29" t="s">
        <v>1752</v>
      </c>
      <c r="J295" s="29" t="s">
        <v>1753</v>
      </c>
      <c r="K295" s="28" t="s">
        <v>2137</v>
      </c>
      <c r="L295" s="70" t="s">
        <v>2138</v>
      </c>
      <c r="M295" s="31">
        <v>2018.0</v>
      </c>
      <c r="N295" s="31" t="s">
        <v>149</v>
      </c>
      <c r="O295" s="31" t="s">
        <v>149</v>
      </c>
      <c r="P295" s="28" t="s">
        <v>150</v>
      </c>
      <c r="Q295" s="32" t="s">
        <v>151</v>
      </c>
      <c r="R295" s="28" t="s">
        <v>152</v>
      </c>
      <c r="S295" s="32" t="s">
        <v>1879</v>
      </c>
      <c r="T295" s="28" t="s">
        <v>154</v>
      </c>
      <c r="U295" s="28" t="s">
        <v>154</v>
      </c>
      <c r="V295" s="26" t="s">
        <v>1880</v>
      </c>
      <c r="W295" s="32" t="s">
        <v>180</v>
      </c>
      <c r="X295" s="32" t="s">
        <v>181</v>
      </c>
      <c r="Y295" s="26" t="s">
        <v>2139</v>
      </c>
      <c r="Z295" s="26" t="s">
        <v>341</v>
      </c>
      <c r="AA295" s="26" t="s">
        <v>159</v>
      </c>
      <c r="AB295" s="26" t="s">
        <v>160</v>
      </c>
      <c r="AC295" s="28" t="s">
        <v>322</v>
      </c>
      <c r="AD295" s="28" t="s">
        <v>341</v>
      </c>
      <c r="AE295" s="40" t="s">
        <v>2140</v>
      </c>
      <c r="AF295" s="26" t="s">
        <v>149</v>
      </c>
      <c r="AG295" s="26" t="s">
        <v>2141</v>
      </c>
      <c r="AH295" s="26" t="s">
        <v>341</v>
      </c>
      <c r="AI295" s="28" t="s">
        <v>322</v>
      </c>
      <c r="AJ295" s="28" t="s">
        <v>341</v>
      </c>
      <c r="AK295" s="101" t="s">
        <v>369</v>
      </c>
      <c r="AL295" s="102" t="s">
        <v>2142</v>
      </c>
      <c r="AM295" s="102" t="s">
        <v>2143</v>
      </c>
      <c r="AN295" s="28" t="s">
        <v>165</v>
      </c>
      <c r="AO295" s="28" t="s">
        <v>689</v>
      </c>
      <c r="AP295" s="26" t="s">
        <v>2144</v>
      </c>
      <c r="AQ295" s="38" t="s">
        <v>2145</v>
      </c>
      <c r="AR295" s="26" t="s">
        <v>149</v>
      </c>
      <c r="AS295" s="101" t="s">
        <v>149</v>
      </c>
      <c r="AT295" s="28"/>
    </row>
    <row r="296">
      <c r="A296" s="36" t="s">
        <v>2146</v>
      </c>
      <c r="B296" s="26" t="str">
        <f t="shared" si="1"/>
        <v>2023-PH060601000-2016-0240</v>
      </c>
      <c r="C296" s="27">
        <f t="shared" si="5"/>
        <v>2023</v>
      </c>
      <c r="D296" s="37" t="s">
        <v>140</v>
      </c>
      <c r="E296" s="28" t="s">
        <v>141</v>
      </c>
      <c r="F296" s="28" t="s">
        <v>192</v>
      </c>
      <c r="G296" s="29" t="s">
        <v>314</v>
      </c>
      <c r="H296" s="29" t="s">
        <v>858</v>
      </c>
      <c r="I296" s="29" t="s">
        <v>1296</v>
      </c>
      <c r="J296" s="29" t="s">
        <v>1297</v>
      </c>
      <c r="K296" s="28" t="s">
        <v>2137</v>
      </c>
      <c r="L296" s="11" t="s">
        <v>149</v>
      </c>
      <c r="M296" s="31">
        <v>2016.0</v>
      </c>
      <c r="N296" s="31" t="s">
        <v>149</v>
      </c>
      <c r="O296" s="31" t="s">
        <v>149</v>
      </c>
      <c r="P296" s="28" t="s">
        <v>149</v>
      </c>
      <c r="Q296" s="32" t="s">
        <v>149</v>
      </c>
      <c r="R296" s="28" t="s">
        <v>154</v>
      </c>
      <c r="S296" s="32" t="s">
        <v>154</v>
      </c>
      <c r="T296" s="28" t="s">
        <v>154</v>
      </c>
      <c r="U296" s="28" t="s">
        <v>154</v>
      </c>
      <c r="V296" s="26" t="s">
        <v>149</v>
      </c>
      <c r="W296" s="32" t="s">
        <v>180</v>
      </c>
      <c r="X296" s="32" t="s">
        <v>181</v>
      </c>
      <c r="Y296" s="26" t="s">
        <v>2147</v>
      </c>
      <c r="Z296" s="26" t="s">
        <v>341</v>
      </c>
      <c r="AA296" s="26" t="s">
        <v>159</v>
      </c>
      <c r="AB296" s="26" t="s">
        <v>160</v>
      </c>
      <c r="AC296" s="28" t="s">
        <v>322</v>
      </c>
      <c r="AD296" s="28" t="s">
        <v>341</v>
      </c>
      <c r="AE296" s="29" t="s">
        <v>149</v>
      </c>
      <c r="AF296" s="26" t="s">
        <v>149</v>
      </c>
      <c r="AG296" s="26" t="s">
        <v>149</v>
      </c>
      <c r="AH296" s="26" t="s">
        <v>341</v>
      </c>
      <c r="AI296" s="28" t="s">
        <v>322</v>
      </c>
      <c r="AJ296" s="28" t="s">
        <v>341</v>
      </c>
      <c r="AK296" s="11" t="s">
        <v>149</v>
      </c>
      <c r="AL296" s="11" t="s">
        <v>149</v>
      </c>
      <c r="AM296" s="11" t="s">
        <v>149</v>
      </c>
      <c r="AN296" s="28" t="s">
        <v>165</v>
      </c>
      <c r="AO296" s="28" t="s">
        <v>689</v>
      </c>
      <c r="AP296" s="26" t="s">
        <v>2148</v>
      </c>
      <c r="AQ296" s="38" t="s">
        <v>2149</v>
      </c>
      <c r="AR296" s="11" t="s">
        <v>149</v>
      </c>
      <c r="AS296" s="11" t="s">
        <v>149</v>
      </c>
      <c r="AT296" s="28"/>
    </row>
    <row r="297">
      <c r="A297" s="36" t="s">
        <v>2150</v>
      </c>
      <c r="B297" s="26" t="str">
        <f t="shared" si="1"/>
        <v>2025-PH071201000-2012-0260</v>
      </c>
      <c r="C297" s="27">
        <f t="shared" si="5"/>
        <v>2025</v>
      </c>
      <c r="D297" s="28" t="s">
        <v>191</v>
      </c>
      <c r="E297" s="28" t="s">
        <v>191</v>
      </c>
      <c r="F297" s="28" t="s">
        <v>192</v>
      </c>
      <c r="G297" s="29" t="s">
        <v>193</v>
      </c>
      <c r="H297" s="29" t="s">
        <v>563</v>
      </c>
      <c r="I297" s="40" t="s">
        <v>2151</v>
      </c>
      <c r="J297" s="29" t="s">
        <v>2152</v>
      </c>
      <c r="K297" s="28" t="s">
        <v>2137</v>
      </c>
      <c r="L297" s="28" t="s">
        <v>149</v>
      </c>
      <c r="M297" s="49">
        <v>2012.0</v>
      </c>
      <c r="N297" s="31">
        <v>2012.0</v>
      </c>
      <c r="O297" s="49">
        <v>2020.0</v>
      </c>
      <c r="P297" s="28" t="s">
        <v>150</v>
      </c>
      <c r="Q297" s="32" t="s">
        <v>151</v>
      </c>
      <c r="R297" s="32" t="s">
        <v>281</v>
      </c>
      <c r="S297" s="32" t="s">
        <v>2153</v>
      </c>
      <c r="T297" s="28" t="s">
        <v>154</v>
      </c>
      <c r="U297" s="28" t="s">
        <v>154</v>
      </c>
      <c r="V297" s="28" t="s">
        <v>2154</v>
      </c>
      <c r="W297" s="32" t="s">
        <v>2155</v>
      </c>
      <c r="X297" s="32" t="s">
        <v>2156</v>
      </c>
      <c r="Y297" s="28" t="s">
        <v>2157</v>
      </c>
      <c r="Z297" s="26" t="s">
        <v>341</v>
      </c>
      <c r="AA297" s="26" t="s">
        <v>159</v>
      </c>
      <c r="AB297" s="26" t="s">
        <v>160</v>
      </c>
      <c r="AC297" s="28" t="s">
        <v>322</v>
      </c>
      <c r="AD297" s="28" t="s">
        <v>341</v>
      </c>
      <c r="AE297" s="40" t="s">
        <v>2158</v>
      </c>
      <c r="AF297" s="26" t="s">
        <v>149</v>
      </c>
      <c r="AG297" s="28" t="s">
        <v>2159</v>
      </c>
      <c r="AH297" s="26" t="s">
        <v>2160</v>
      </c>
      <c r="AI297" s="28" t="s">
        <v>322</v>
      </c>
      <c r="AJ297" s="28" t="s">
        <v>341</v>
      </c>
      <c r="AK297" s="28" t="s">
        <v>149</v>
      </c>
      <c r="AL297" s="28" t="s">
        <v>149</v>
      </c>
      <c r="AM297" s="28" t="s">
        <v>149</v>
      </c>
      <c r="AN297" s="28" t="s">
        <v>165</v>
      </c>
      <c r="AO297" s="26" t="s">
        <v>166</v>
      </c>
      <c r="AP297" s="26" t="s">
        <v>2161</v>
      </c>
      <c r="AQ297" s="38" t="s">
        <v>2162</v>
      </c>
      <c r="AR297" s="28" t="s">
        <v>149</v>
      </c>
      <c r="AS297" s="28" t="s">
        <v>149</v>
      </c>
      <c r="AT297" s="26"/>
    </row>
    <row r="298">
      <c r="A298" s="36" t="s">
        <v>2163</v>
      </c>
      <c r="B298" s="26" t="str">
        <f t="shared" si="1"/>
        <v>2025-PH071228000-2012-0264</v>
      </c>
      <c r="C298" s="27">
        <f t="shared" si="5"/>
        <v>2025</v>
      </c>
      <c r="D298" s="28" t="s">
        <v>191</v>
      </c>
      <c r="E298" s="28" t="s">
        <v>191</v>
      </c>
      <c r="F298" s="28" t="s">
        <v>142</v>
      </c>
      <c r="G298" s="29" t="s">
        <v>193</v>
      </c>
      <c r="H298" s="29" t="s">
        <v>563</v>
      </c>
      <c r="I298" s="29" t="s">
        <v>2164</v>
      </c>
      <c r="J298" s="29" t="s">
        <v>2165</v>
      </c>
      <c r="K298" s="28" t="s">
        <v>2137</v>
      </c>
      <c r="L298" s="28" t="s">
        <v>149</v>
      </c>
      <c r="M298" s="49">
        <v>2012.0</v>
      </c>
      <c r="N298" s="31">
        <v>2012.0</v>
      </c>
      <c r="O298" s="49">
        <v>2020.0</v>
      </c>
      <c r="P298" s="28" t="s">
        <v>150</v>
      </c>
      <c r="Q298" s="32" t="s">
        <v>151</v>
      </c>
      <c r="R298" s="32" t="s">
        <v>281</v>
      </c>
      <c r="S298" s="32" t="s">
        <v>2153</v>
      </c>
      <c r="T298" s="28" t="s">
        <v>154</v>
      </c>
      <c r="U298" s="28" t="s">
        <v>154</v>
      </c>
      <c r="V298" s="28" t="s">
        <v>2166</v>
      </c>
      <c r="W298" s="32" t="s">
        <v>2155</v>
      </c>
      <c r="X298" s="32" t="s">
        <v>2156</v>
      </c>
      <c r="Y298" s="28" t="s">
        <v>2157</v>
      </c>
      <c r="Z298" s="26" t="s">
        <v>341</v>
      </c>
      <c r="AA298" s="26" t="s">
        <v>159</v>
      </c>
      <c r="AB298" s="26" t="s">
        <v>160</v>
      </c>
      <c r="AC298" s="28" t="s">
        <v>322</v>
      </c>
      <c r="AD298" s="28" t="s">
        <v>341</v>
      </c>
      <c r="AE298" s="40" t="s">
        <v>2158</v>
      </c>
      <c r="AF298" s="26" t="s">
        <v>149</v>
      </c>
      <c r="AG298" s="28" t="s">
        <v>2159</v>
      </c>
      <c r="AH298" s="26" t="s">
        <v>2160</v>
      </c>
      <c r="AI298" s="28" t="s">
        <v>322</v>
      </c>
      <c r="AJ298" s="28" t="s">
        <v>341</v>
      </c>
      <c r="AK298" s="28" t="s">
        <v>149</v>
      </c>
      <c r="AL298" s="28" t="s">
        <v>149</v>
      </c>
      <c r="AM298" s="28" t="s">
        <v>149</v>
      </c>
      <c r="AN298" s="28" t="s">
        <v>165</v>
      </c>
      <c r="AO298" s="26" t="s">
        <v>166</v>
      </c>
      <c r="AP298" s="26" t="s">
        <v>2161</v>
      </c>
      <c r="AQ298" s="38" t="s">
        <v>2162</v>
      </c>
      <c r="AR298" s="28" t="s">
        <v>2167</v>
      </c>
      <c r="AS298" s="28" t="s">
        <v>149</v>
      </c>
      <c r="AT298" s="28" t="s">
        <v>2168</v>
      </c>
    </row>
    <row r="299">
      <c r="A299" s="36" t="s">
        <v>2169</v>
      </c>
      <c r="B299" s="26" t="str">
        <f t="shared" si="1"/>
        <v>2025-PH071233000-2012-0266</v>
      </c>
      <c r="C299" s="27">
        <f t="shared" si="5"/>
        <v>2025</v>
      </c>
      <c r="D299" s="28" t="s">
        <v>191</v>
      </c>
      <c r="E299" s="28" t="s">
        <v>191</v>
      </c>
      <c r="F299" s="28" t="s">
        <v>142</v>
      </c>
      <c r="G299" s="29" t="s">
        <v>193</v>
      </c>
      <c r="H299" s="29" t="s">
        <v>563</v>
      </c>
      <c r="I299" s="29" t="s">
        <v>1108</v>
      </c>
      <c r="J299" s="29" t="s">
        <v>1109</v>
      </c>
      <c r="K299" s="28" t="s">
        <v>2137</v>
      </c>
      <c r="L299" s="28" t="s">
        <v>149</v>
      </c>
      <c r="M299" s="49">
        <v>2012.0</v>
      </c>
      <c r="N299" s="31">
        <v>2012.0</v>
      </c>
      <c r="O299" s="49">
        <v>2020.0</v>
      </c>
      <c r="P299" s="28" t="s">
        <v>150</v>
      </c>
      <c r="Q299" s="32" t="s">
        <v>151</v>
      </c>
      <c r="R299" s="32" t="s">
        <v>281</v>
      </c>
      <c r="S299" s="32" t="s">
        <v>2153</v>
      </c>
      <c r="T299" s="28" t="s">
        <v>154</v>
      </c>
      <c r="U299" s="28" t="s">
        <v>154</v>
      </c>
      <c r="V299" s="28" t="s">
        <v>2166</v>
      </c>
      <c r="W299" s="32" t="s">
        <v>2155</v>
      </c>
      <c r="X299" s="32" t="s">
        <v>2156</v>
      </c>
      <c r="Y299" s="28" t="s">
        <v>2157</v>
      </c>
      <c r="Z299" s="26" t="s">
        <v>341</v>
      </c>
      <c r="AA299" s="26" t="s">
        <v>159</v>
      </c>
      <c r="AB299" s="26" t="s">
        <v>160</v>
      </c>
      <c r="AC299" s="28" t="s">
        <v>322</v>
      </c>
      <c r="AD299" s="28" t="s">
        <v>341</v>
      </c>
      <c r="AE299" s="40" t="s">
        <v>2158</v>
      </c>
      <c r="AF299" s="26" t="s">
        <v>149</v>
      </c>
      <c r="AG299" s="28" t="s">
        <v>2159</v>
      </c>
      <c r="AH299" s="26" t="s">
        <v>2160</v>
      </c>
      <c r="AI299" s="28" t="s">
        <v>322</v>
      </c>
      <c r="AJ299" s="28" t="s">
        <v>341</v>
      </c>
      <c r="AK299" s="28" t="s">
        <v>149</v>
      </c>
      <c r="AL299" s="28" t="s">
        <v>149</v>
      </c>
      <c r="AM299" s="28" t="s">
        <v>149</v>
      </c>
      <c r="AN299" s="28" t="s">
        <v>165</v>
      </c>
      <c r="AO299" s="26" t="s">
        <v>166</v>
      </c>
      <c r="AP299" s="26" t="s">
        <v>2161</v>
      </c>
      <c r="AQ299" s="38" t="s">
        <v>2162</v>
      </c>
      <c r="AR299" s="28" t="s">
        <v>2167</v>
      </c>
      <c r="AS299" s="39" t="s">
        <v>149</v>
      </c>
      <c r="AT299" s="28" t="s">
        <v>2170</v>
      </c>
    </row>
    <row r="300">
      <c r="A300" s="36" t="s">
        <v>2171</v>
      </c>
      <c r="B300" s="26" t="str">
        <f t="shared" si="1"/>
        <v>2025-PH071243000-2012-0270</v>
      </c>
      <c r="C300" s="27">
        <f t="shared" si="5"/>
        <v>2025</v>
      </c>
      <c r="D300" s="28" t="s">
        <v>191</v>
      </c>
      <c r="E300" s="28" t="s">
        <v>191</v>
      </c>
      <c r="F300" s="28" t="s">
        <v>142</v>
      </c>
      <c r="G300" s="29" t="s">
        <v>193</v>
      </c>
      <c r="H300" s="29" t="s">
        <v>563</v>
      </c>
      <c r="I300" s="29" t="s">
        <v>2172</v>
      </c>
      <c r="J300" s="29" t="s">
        <v>2173</v>
      </c>
      <c r="K300" s="28" t="s">
        <v>2137</v>
      </c>
      <c r="L300" s="28" t="s">
        <v>149</v>
      </c>
      <c r="M300" s="49">
        <v>2012.0</v>
      </c>
      <c r="N300" s="31">
        <v>2012.0</v>
      </c>
      <c r="O300" s="49">
        <v>2020.0</v>
      </c>
      <c r="P300" s="28" t="s">
        <v>150</v>
      </c>
      <c r="Q300" s="32" t="s">
        <v>151</v>
      </c>
      <c r="R300" s="32" t="s">
        <v>281</v>
      </c>
      <c r="S300" s="32" t="s">
        <v>2153</v>
      </c>
      <c r="T300" s="28" t="s">
        <v>154</v>
      </c>
      <c r="U300" s="28" t="s">
        <v>154</v>
      </c>
      <c r="V300" s="28" t="s">
        <v>2166</v>
      </c>
      <c r="W300" s="32" t="s">
        <v>2155</v>
      </c>
      <c r="X300" s="32" t="s">
        <v>2156</v>
      </c>
      <c r="Y300" s="28" t="s">
        <v>2157</v>
      </c>
      <c r="Z300" s="26" t="s">
        <v>341</v>
      </c>
      <c r="AA300" s="26" t="s">
        <v>159</v>
      </c>
      <c r="AB300" s="26" t="s">
        <v>160</v>
      </c>
      <c r="AC300" s="28" t="s">
        <v>322</v>
      </c>
      <c r="AD300" s="28" t="s">
        <v>341</v>
      </c>
      <c r="AE300" s="40" t="s">
        <v>2158</v>
      </c>
      <c r="AF300" s="26" t="s">
        <v>149</v>
      </c>
      <c r="AG300" s="28" t="s">
        <v>2159</v>
      </c>
      <c r="AH300" s="26" t="s">
        <v>2160</v>
      </c>
      <c r="AI300" s="28" t="s">
        <v>322</v>
      </c>
      <c r="AJ300" s="28" t="s">
        <v>341</v>
      </c>
      <c r="AK300" s="28" t="s">
        <v>149</v>
      </c>
      <c r="AL300" s="28" t="s">
        <v>149</v>
      </c>
      <c r="AM300" s="28" t="s">
        <v>149</v>
      </c>
      <c r="AN300" s="28" t="s">
        <v>165</v>
      </c>
      <c r="AO300" s="26" t="s">
        <v>166</v>
      </c>
      <c r="AP300" s="26" t="s">
        <v>2161</v>
      </c>
      <c r="AQ300" s="38" t="s">
        <v>2162</v>
      </c>
      <c r="AR300" s="28" t="s">
        <v>2167</v>
      </c>
      <c r="AS300" s="28" t="s">
        <v>149</v>
      </c>
      <c r="AT300" s="28" t="s">
        <v>2174</v>
      </c>
    </row>
    <row r="301">
      <c r="A301" s="36" t="s">
        <v>2175</v>
      </c>
      <c r="B301" s="26" t="str">
        <f t="shared" si="1"/>
        <v>2025-PH072206000-2012-0273</v>
      </c>
      <c r="C301" s="27">
        <f t="shared" si="5"/>
        <v>2025</v>
      </c>
      <c r="D301" s="28" t="s">
        <v>191</v>
      </c>
      <c r="E301" s="28" t="s">
        <v>191</v>
      </c>
      <c r="F301" s="28" t="s">
        <v>142</v>
      </c>
      <c r="G301" s="29" t="s">
        <v>193</v>
      </c>
      <c r="H301" s="29" t="s">
        <v>194</v>
      </c>
      <c r="I301" s="29" t="s">
        <v>2176</v>
      </c>
      <c r="J301" s="29" t="s">
        <v>2177</v>
      </c>
      <c r="K301" s="28" t="s">
        <v>2137</v>
      </c>
      <c r="L301" s="28" t="s">
        <v>149</v>
      </c>
      <c r="M301" s="49">
        <v>2012.0</v>
      </c>
      <c r="N301" s="31">
        <v>2012.0</v>
      </c>
      <c r="O301" s="49">
        <v>2020.0</v>
      </c>
      <c r="P301" s="28" t="s">
        <v>150</v>
      </c>
      <c r="Q301" s="32" t="s">
        <v>151</v>
      </c>
      <c r="R301" s="32" t="s">
        <v>281</v>
      </c>
      <c r="S301" s="32" t="s">
        <v>2153</v>
      </c>
      <c r="T301" s="28" t="s">
        <v>154</v>
      </c>
      <c r="U301" s="28" t="s">
        <v>154</v>
      </c>
      <c r="V301" s="28" t="s">
        <v>2166</v>
      </c>
      <c r="W301" s="32" t="s">
        <v>2155</v>
      </c>
      <c r="X301" s="32" t="s">
        <v>2156</v>
      </c>
      <c r="Y301" s="28" t="s">
        <v>2157</v>
      </c>
      <c r="Z301" s="26" t="s">
        <v>341</v>
      </c>
      <c r="AA301" s="26" t="s">
        <v>159</v>
      </c>
      <c r="AB301" s="26" t="s">
        <v>160</v>
      </c>
      <c r="AC301" s="28" t="s">
        <v>322</v>
      </c>
      <c r="AD301" s="28" t="s">
        <v>341</v>
      </c>
      <c r="AE301" s="40" t="s">
        <v>2158</v>
      </c>
      <c r="AF301" s="26" t="s">
        <v>149</v>
      </c>
      <c r="AG301" s="28" t="s">
        <v>2178</v>
      </c>
      <c r="AH301" s="26" t="s">
        <v>2160</v>
      </c>
      <c r="AI301" s="28" t="s">
        <v>322</v>
      </c>
      <c r="AJ301" s="28" t="s">
        <v>341</v>
      </c>
      <c r="AK301" s="28" t="s">
        <v>149</v>
      </c>
      <c r="AL301" s="28" t="s">
        <v>149</v>
      </c>
      <c r="AM301" s="28" t="s">
        <v>149</v>
      </c>
      <c r="AN301" s="28" t="s">
        <v>165</v>
      </c>
      <c r="AO301" s="26" t="s">
        <v>166</v>
      </c>
      <c r="AP301" s="26" t="s">
        <v>2161</v>
      </c>
      <c r="AQ301" s="38" t="s">
        <v>2162</v>
      </c>
      <c r="AR301" s="28" t="s">
        <v>2167</v>
      </c>
      <c r="AS301" s="28" t="s">
        <v>149</v>
      </c>
      <c r="AT301" s="28" t="s">
        <v>2179</v>
      </c>
    </row>
    <row r="302">
      <c r="A302" s="36" t="s">
        <v>2180</v>
      </c>
      <c r="B302" s="26" t="str">
        <f t="shared" si="1"/>
        <v>2025-PH072204000-2012-0274</v>
      </c>
      <c r="C302" s="27">
        <f t="shared" si="5"/>
        <v>2025</v>
      </c>
      <c r="D302" s="28" t="s">
        <v>191</v>
      </c>
      <c r="E302" s="28" t="s">
        <v>191</v>
      </c>
      <c r="F302" s="28" t="s">
        <v>142</v>
      </c>
      <c r="G302" s="29" t="s">
        <v>193</v>
      </c>
      <c r="H302" s="29" t="s">
        <v>194</v>
      </c>
      <c r="I302" s="29" t="s">
        <v>2181</v>
      </c>
      <c r="J302" s="29" t="s">
        <v>2182</v>
      </c>
      <c r="K302" s="28" t="s">
        <v>2137</v>
      </c>
      <c r="L302" s="28" t="s">
        <v>149</v>
      </c>
      <c r="M302" s="49">
        <v>2012.0</v>
      </c>
      <c r="N302" s="31">
        <v>2012.0</v>
      </c>
      <c r="O302" s="49">
        <v>2020.0</v>
      </c>
      <c r="P302" s="28" t="s">
        <v>150</v>
      </c>
      <c r="Q302" s="32" t="s">
        <v>151</v>
      </c>
      <c r="R302" s="32" t="s">
        <v>281</v>
      </c>
      <c r="S302" s="32" t="s">
        <v>2153</v>
      </c>
      <c r="T302" s="28" t="s">
        <v>154</v>
      </c>
      <c r="U302" s="28" t="s">
        <v>154</v>
      </c>
      <c r="V302" s="28" t="s">
        <v>2166</v>
      </c>
      <c r="W302" s="32" t="s">
        <v>2155</v>
      </c>
      <c r="X302" s="32" t="s">
        <v>2156</v>
      </c>
      <c r="Y302" s="28" t="s">
        <v>2157</v>
      </c>
      <c r="Z302" s="26" t="s">
        <v>341</v>
      </c>
      <c r="AA302" s="26" t="s">
        <v>159</v>
      </c>
      <c r="AB302" s="26" t="s">
        <v>160</v>
      </c>
      <c r="AC302" s="28" t="s">
        <v>322</v>
      </c>
      <c r="AD302" s="28" t="s">
        <v>341</v>
      </c>
      <c r="AE302" s="40" t="s">
        <v>2158</v>
      </c>
      <c r="AF302" s="26" t="s">
        <v>149</v>
      </c>
      <c r="AG302" s="28" t="s">
        <v>2178</v>
      </c>
      <c r="AH302" s="26" t="s">
        <v>2160</v>
      </c>
      <c r="AI302" s="28" t="s">
        <v>322</v>
      </c>
      <c r="AJ302" s="28" t="s">
        <v>341</v>
      </c>
      <c r="AK302" s="28" t="s">
        <v>149</v>
      </c>
      <c r="AL302" s="28" t="s">
        <v>149</v>
      </c>
      <c r="AM302" s="28" t="s">
        <v>149</v>
      </c>
      <c r="AN302" s="28" t="s">
        <v>165</v>
      </c>
      <c r="AO302" s="26" t="s">
        <v>166</v>
      </c>
      <c r="AP302" s="26" t="s">
        <v>2161</v>
      </c>
      <c r="AQ302" s="38" t="s">
        <v>2162</v>
      </c>
      <c r="AR302" s="28" t="s">
        <v>2167</v>
      </c>
      <c r="AS302" s="28" t="s">
        <v>149</v>
      </c>
      <c r="AT302" s="28" t="s">
        <v>2183</v>
      </c>
    </row>
    <row r="303">
      <c r="A303" s="36" t="s">
        <v>2184</v>
      </c>
      <c r="B303" s="26" t="str">
        <f t="shared" si="1"/>
        <v>2025-PH072210000-2012-0276</v>
      </c>
      <c r="C303" s="27">
        <f t="shared" si="5"/>
        <v>2025</v>
      </c>
      <c r="D303" s="28" t="s">
        <v>191</v>
      </c>
      <c r="E303" s="28" t="s">
        <v>191</v>
      </c>
      <c r="F303" s="28" t="s">
        <v>142</v>
      </c>
      <c r="G303" s="29" t="s">
        <v>193</v>
      </c>
      <c r="H303" s="29" t="s">
        <v>194</v>
      </c>
      <c r="I303" s="29" t="s">
        <v>2185</v>
      </c>
      <c r="J303" s="29" t="s">
        <v>2186</v>
      </c>
      <c r="K303" s="28" t="s">
        <v>2137</v>
      </c>
      <c r="L303" s="28" t="s">
        <v>149</v>
      </c>
      <c r="M303" s="49">
        <v>2012.0</v>
      </c>
      <c r="N303" s="31">
        <v>2012.0</v>
      </c>
      <c r="O303" s="49">
        <v>2020.0</v>
      </c>
      <c r="P303" s="28" t="s">
        <v>150</v>
      </c>
      <c r="Q303" s="32" t="s">
        <v>151</v>
      </c>
      <c r="R303" s="32" t="s">
        <v>281</v>
      </c>
      <c r="S303" s="32" t="s">
        <v>2153</v>
      </c>
      <c r="T303" s="28" t="s">
        <v>154</v>
      </c>
      <c r="U303" s="28" t="s">
        <v>154</v>
      </c>
      <c r="V303" s="28" t="s">
        <v>2166</v>
      </c>
      <c r="W303" s="32" t="s">
        <v>2155</v>
      </c>
      <c r="X303" s="32" t="s">
        <v>2156</v>
      </c>
      <c r="Y303" s="28" t="s">
        <v>2157</v>
      </c>
      <c r="Z303" s="26" t="s">
        <v>341</v>
      </c>
      <c r="AA303" s="26" t="s">
        <v>159</v>
      </c>
      <c r="AB303" s="26" t="s">
        <v>160</v>
      </c>
      <c r="AC303" s="28" t="s">
        <v>322</v>
      </c>
      <c r="AD303" s="28" t="s">
        <v>341</v>
      </c>
      <c r="AE303" s="40" t="s">
        <v>2158</v>
      </c>
      <c r="AF303" s="26" t="s">
        <v>149</v>
      </c>
      <c r="AG303" s="28" t="s">
        <v>2178</v>
      </c>
      <c r="AH303" s="26" t="s">
        <v>2160</v>
      </c>
      <c r="AI303" s="28" t="s">
        <v>322</v>
      </c>
      <c r="AJ303" s="28" t="s">
        <v>341</v>
      </c>
      <c r="AK303" s="28" t="s">
        <v>149</v>
      </c>
      <c r="AL303" s="28" t="s">
        <v>149</v>
      </c>
      <c r="AM303" s="28" t="s">
        <v>149</v>
      </c>
      <c r="AN303" s="28" t="s">
        <v>165</v>
      </c>
      <c r="AO303" s="26" t="s">
        <v>166</v>
      </c>
      <c r="AP303" s="26" t="s">
        <v>2161</v>
      </c>
      <c r="AQ303" s="38" t="s">
        <v>2162</v>
      </c>
      <c r="AR303" s="28" t="s">
        <v>2167</v>
      </c>
      <c r="AS303" s="28" t="s">
        <v>149</v>
      </c>
      <c r="AT303" s="28" t="s">
        <v>2187</v>
      </c>
    </row>
    <row r="304">
      <c r="A304" s="36" t="s">
        <v>2188</v>
      </c>
      <c r="B304" s="26" t="str">
        <f t="shared" si="1"/>
        <v>2025-PH072252000-2012-0298</v>
      </c>
      <c r="C304" s="27">
        <f t="shared" si="5"/>
        <v>2025</v>
      </c>
      <c r="D304" s="28" t="s">
        <v>191</v>
      </c>
      <c r="E304" s="28" t="s">
        <v>191</v>
      </c>
      <c r="F304" s="28" t="s">
        <v>142</v>
      </c>
      <c r="G304" s="29" t="s">
        <v>193</v>
      </c>
      <c r="H304" s="29" t="s">
        <v>194</v>
      </c>
      <c r="I304" s="29" t="s">
        <v>2189</v>
      </c>
      <c r="J304" s="29" t="s">
        <v>2190</v>
      </c>
      <c r="K304" s="28" t="s">
        <v>2137</v>
      </c>
      <c r="L304" s="28" t="s">
        <v>149</v>
      </c>
      <c r="M304" s="49">
        <v>2012.0</v>
      </c>
      <c r="N304" s="31">
        <v>2012.0</v>
      </c>
      <c r="O304" s="49">
        <v>2020.0</v>
      </c>
      <c r="P304" s="28" t="s">
        <v>150</v>
      </c>
      <c r="Q304" s="32" t="s">
        <v>151</v>
      </c>
      <c r="R304" s="32" t="s">
        <v>281</v>
      </c>
      <c r="S304" s="32" t="s">
        <v>2153</v>
      </c>
      <c r="T304" s="28" t="s">
        <v>154</v>
      </c>
      <c r="U304" s="28" t="s">
        <v>154</v>
      </c>
      <c r="V304" s="28" t="s">
        <v>2166</v>
      </c>
      <c r="W304" s="32" t="s">
        <v>2155</v>
      </c>
      <c r="X304" s="32" t="s">
        <v>2156</v>
      </c>
      <c r="Y304" s="28" t="s">
        <v>2157</v>
      </c>
      <c r="Z304" s="26" t="s">
        <v>341</v>
      </c>
      <c r="AA304" s="26" t="s">
        <v>159</v>
      </c>
      <c r="AB304" s="26" t="s">
        <v>160</v>
      </c>
      <c r="AC304" s="28" t="s">
        <v>322</v>
      </c>
      <c r="AD304" s="28" t="s">
        <v>341</v>
      </c>
      <c r="AE304" s="40" t="s">
        <v>2158</v>
      </c>
      <c r="AF304" s="26" t="s">
        <v>149</v>
      </c>
      <c r="AG304" s="28" t="s">
        <v>2178</v>
      </c>
      <c r="AH304" s="26" t="s">
        <v>2160</v>
      </c>
      <c r="AI304" s="28" t="s">
        <v>322</v>
      </c>
      <c r="AJ304" s="28" t="s">
        <v>341</v>
      </c>
      <c r="AK304" s="28" t="s">
        <v>149</v>
      </c>
      <c r="AL304" s="28" t="s">
        <v>149</v>
      </c>
      <c r="AM304" s="28" t="s">
        <v>149</v>
      </c>
      <c r="AN304" s="28" t="s">
        <v>165</v>
      </c>
      <c r="AO304" s="26" t="s">
        <v>166</v>
      </c>
      <c r="AP304" s="26" t="s">
        <v>2161</v>
      </c>
      <c r="AQ304" s="38" t="s">
        <v>2162</v>
      </c>
      <c r="AR304" s="28" t="s">
        <v>2167</v>
      </c>
      <c r="AS304" s="28" t="s">
        <v>149</v>
      </c>
      <c r="AT304" s="28" t="s">
        <v>2191</v>
      </c>
    </row>
    <row r="305">
      <c r="A305" s="36" t="s">
        <v>2192</v>
      </c>
      <c r="B305" s="26" t="str">
        <f t="shared" si="1"/>
        <v>2025-PH074602000-2012-0415</v>
      </c>
      <c r="C305" s="27">
        <f t="shared" si="5"/>
        <v>2025</v>
      </c>
      <c r="D305" s="28" t="s">
        <v>191</v>
      </c>
      <c r="E305" s="28" t="s">
        <v>191</v>
      </c>
      <c r="F305" s="28" t="s">
        <v>142</v>
      </c>
      <c r="G305" s="29" t="s">
        <v>625</v>
      </c>
      <c r="H305" s="29" t="s">
        <v>632</v>
      </c>
      <c r="I305" s="56" t="s">
        <v>2193</v>
      </c>
      <c r="J305" s="55" t="s">
        <v>2194</v>
      </c>
      <c r="K305" s="28" t="s">
        <v>2137</v>
      </c>
      <c r="L305" s="28" t="s">
        <v>149</v>
      </c>
      <c r="M305" s="49">
        <v>2012.0</v>
      </c>
      <c r="N305" s="31">
        <v>2012.0</v>
      </c>
      <c r="O305" s="49">
        <v>2020.0</v>
      </c>
      <c r="P305" s="28" t="s">
        <v>150</v>
      </c>
      <c r="Q305" s="32" t="s">
        <v>151</v>
      </c>
      <c r="R305" s="32" t="s">
        <v>281</v>
      </c>
      <c r="S305" s="32" t="s">
        <v>2153</v>
      </c>
      <c r="T305" s="28" t="s">
        <v>154</v>
      </c>
      <c r="U305" s="28" t="s">
        <v>154</v>
      </c>
      <c r="V305" s="28" t="s">
        <v>2166</v>
      </c>
      <c r="W305" s="32" t="s">
        <v>2155</v>
      </c>
      <c r="X305" s="32" t="s">
        <v>2156</v>
      </c>
      <c r="Y305" s="28" t="s">
        <v>2157</v>
      </c>
      <c r="Z305" s="26" t="s">
        <v>341</v>
      </c>
      <c r="AA305" s="26" t="s">
        <v>159</v>
      </c>
      <c r="AB305" s="26" t="s">
        <v>160</v>
      </c>
      <c r="AC305" s="28" t="s">
        <v>322</v>
      </c>
      <c r="AD305" s="28" t="s">
        <v>341</v>
      </c>
      <c r="AE305" s="40" t="s">
        <v>2158</v>
      </c>
      <c r="AF305" s="26" t="s">
        <v>149</v>
      </c>
      <c r="AG305" s="28" t="s">
        <v>2195</v>
      </c>
      <c r="AH305" s="26" t="s">
        <v>2160</v>
      </c>
      <c r="AI305" s="28" t="s">
        <v>322</v>
      </c>
      <c r="AJ305" s="28" t="s">
        <v>341</v>
      </c>
      <c r="AK305" s="28" t="s">
        <v>149</v>
      </c>
      <c r="AL305" s="28" t="s">
        <v>149</v>
      </c>
      <c r="AM305" s="28" t="s">
        <v>149</v>
      </c>
      <c r="AN305" s="28" t="s">
        <v>165</v>
      </c>
      <c r="AO305" s="26" t="s">
        <v>166</v>
      </c>
      <c r="AP305" s="26" t="s">
        <v>2161</v>
      </c>
      <c r="AQ305" s="38" t="s">
        <v>2162</v>
      </c>
      <c r="AR305" s="28" t="s">
        <v>2167</v>
      </c>
      <c r="AS305" s="28" t="s">
        <v>149</v>
      </c>
      <c r="AT305" s="28" t="s">
        <v>2196</v>
      </c>
    </row>
    <row r="306">
      <c r="A306" s="36" t="s">
        <v>2197</v>
      </c>
      <c r="B306" s="26" t="str">
        <f t="shared" si="1"/>
        <v>2025-PH074607000-2012-0418</v>
      </c>
      <c r="C306" s="27">
        <f t="shared" si="5"/>
        <v>2025</v>
      </c>
      <c r="D306" s="28" t="s">
        <v>191</v>
      </c>
      <c r="E306" s="28" t="s">
        <v>191</v>
      </c>
      <c r="F306" s="28" t="s">
        <v>142</v>
      </c>
      <c r="G306" s="29" t="s">
        <v>625</v>
      </c>
      <c r="H306" s="29" t="s">
        <v>632</v>
      </c>
      <c r="I306" s="56" t="s">
        <v>2198</v>
      </c>
      <c r="J306" s="55" t="s">
        <v>2199</v>
      </c>
      <c r="K306" s="28" t="s">
        <v>2137</v>
      </c>
      <c r="L306" s="28" t="s">
        <v>149</v>
      </c>
      <c r="M306" s="49">
        <v>2012.0</v>
      </c>
      <c r="N306" s="31">
        <v>2012.0</v>
      </c>
      <c r="O306" s="49">
        <v>2020.0</v>
      </c>
      <c r="P306" s="28" t="s">
        <v>150</v>
      </c>
      <c r="Q306" s="32" t="s">
        <v>151</v>
      </c>
      <c r="R306" s="32" t="s">
        <v>281</v>
      </c>
      <c r="S306" s="32" t="s">
        <v>2153</v>
      </c>
      <c r="T306" s="28" t="s">
        <v>154</v>
      </c>
      <c r="U306" s="28" t="s">
        <v>154</v>
      </c>
      <c r="V306" s="28" t="s">
        <v>2166</v>
      </c>
      <c r="W306" s="32" t="s">
        <v>2155</v>
      </c>
      <c r="X306" s="32" t="s">
        <v>2156</v>
      </c>
      <c r="Y306" s="28" t="s">
        <v>2157</v>
      </c>
      <c r="Z306" s="26" t="s">
        <v>341</v>
      </c>
      <c r="AA306" s="26" t="s">
        <v>159</v>
      </c>
      <c r="AB306" s="26" t="s">
        <v>160</v>
      </c>
      <c r="AC306" s="28" t="s">
        <v>322</v>
      </c>
      <c r="AD306" s="28" t="s">
        <v>341</v>
      </c>
      <c r="AE306" s="40" t="s">
        <v>2158</v>
      </c>
      <c r="AF306" s="26" t="s">
        <v>149</v>
      </c>
      <c r="AG306" s="28" t="s">
        <v>2195</v>
      </c>
      <c r="AH306" s="26" t="s">
        <v>2160</v>
      </c>
      <c r="AI306" s="28" t="s">
        <v>322</v>
      </c>
      <c r="AJ306" s="28" t="s">
        <v>341</v>
      </c>
      <c r="AK306" s="28" t="s">
        <v>149</v>
      </c>
      <c r="AL306" s="28" t="s">
        <v>149</v>
      </c>
      <c r="AM306" s="28" t="s">
        <v>149</v>
      </c>
      <c r="AN306" s="28" t="s">
        <v>165</v>
      </c>
      <c r="AO306" s="26" t="s">
        <v>166</v>
      </c>
      <c r="AP306" s="26" t="s">
        <v>2161</v>
      </c>
      <c r="AQ306" s="38" t="s">
        <v>2162</v>
      </c>
      <c r="AR306" s="28" t="s">
        <v>2167</v>
      </c>
      <c r="AS306" s="28" t="s">
        <v>149</v>
      </c>
      <c r="AT306" s="28" t="s">
        <v>2200</v>
      </c>
    </row>
    <row r="307">
      <c r="A307" s="36" t="s">
        <v>2201</v>
      </c>
      <c r="B307" s="26" t="str">
        <f t="shared" si="1"/>
        <v>2025-PH074615000-2012-0426</v>
      </c>
      <c r="C307" s="27">
        <f t="shared" si="5"/>
        <v>2025</v>
      </c>
      <c r="D307" s="28" t="s">
        <v>191</v>
      </c>
      <c r="E307" s="28" t="s">
        <v>191</v>
      </c>
      <c r="F307" s="28" t="s">
        <v>142</v>
      </c>
      <c r="G307" s="29" t="s">
        <v>625</v>
      </c>
      <c r="H307" s="29" t="s">
        <v>632</v>
      </c>
      <c r="I307" s="56" t="s">
        <v>2202</v>
      </c>
      <c r="J307" s="55" t="s">
        <v>2203</v>
      </c>
      <c r="K307" s="28" t="s">
        <v>2137</v>
      </c>
      <c r="L307" s="28" t="s">
        <v>149</v>
      </c>
      <c r="M307" s="49">
        <v>2012.0</v>
      </c>
      <c r="N307" s="31">
        <v>2012.0</v>
      </c>
      <c r="O307" s="49">
        <v>2020.0</v>
      </c>
      <c r="P307" s="28" t="s">
        <v>150</v>
      </c>
      <c r="Q307" s="32" t="s">
        <v>151</v>
      </c>
      <c r="R307" s="32" t="s">
        <v>281</v>
      </c>
      <c r="S307" s="32" t="s">
        <v>2153</v>
      </c>
      <c r="T307" s="28" t="s">
        <v>154</v>
      </c>
      <c r="U307" s="28" t="s">
        <v>154</v>
      </c>
      <c r="V307" s="28" t="s">
        <v>2166</v>
      </c>
      <c r="W307" s="32" t="s">
        <v>2155</v>
      </c>
      <c r="X307" s="32" t="s">
        <v>2156</v>
      </c>
      <c r="Y307" s="28" t="s">
        <v>2157</v>
      </c>
      <c r="Z307" s="26" t="s">
        <v>341</v>
      </c>
      <c r="AA307" s="26" t="s">
        <v>159</v>
      </c>
      <c r="AB307" s="26" t="s">
        <v>160</v>
      </c>
      <c r="AC307" s="28" t="s">
        <v>322</v>
      </c>
      <c r="AD307" s="28" t="s">
        <v>341</v>
      </c>
      <c r="AE307" s="40" t="s">
        <v>2158</v>
      </c>
      <c r="AF307" s="26" t="s">
        <v>149</v>
      </c>
      <c r="AG307" s="28" t="s">
        <v>2195</v>
      </c>
      <c r="AH307" s="26" t="s">
        <v>2160</v>
      </c>
      <c r="AI307" s="28" t="s">
        <v>322</v>
      </c>
      <c r="AJ307" s="28" t="s">
        <v>341</v>
      </c>
      <c r="AK307" s="28" t="s">
        <v>149</v>
      </c>
      <c r="AL307" s="28" t="s">
        <v>149</v>
      </c>
      <c r="AM307" s="28" t="s">
        <v>149</v>
      </c>
      <c r="AN307" s="28" t="s">
        <v>165</v>
      </c>
      <c r="AO307" s="26" t="s">
        <v>166</v>
      </c>
      <c r="AP307" s="26" t="s">
        <v>2161</v>
      </c>
      <c r="AQ307" s="38" t="s">
        <v>2162</v>
      </c>
      <c r="AR307" s="28" t="s">
        <v>2167</v>
      </c>
      <c r="AS307" s="28" t="s">
        <v>149</v>
      </c>
      <c r="AT307" s="28" t="s">
        <v>2204</v>
      </c>
    </row>
    <row r="308">
      <c r="A308" s="36" t="s">
        <v>2205</v>
      </c>
      <c r="B308" s="26" t="str">
        <f t="shared" si="1"/>
        <v>2025-PH074622000-2012-0430</v>
      </c>
      <c r="C308" s="27">
        <f t="shared" si="5"/>
        <v>2025</v>
      </c>
      <c r="D308" s="28" t="s">
        <v>191</v>
      </c>
      <c r="E308" s="28" t="s">
        <v>191</v>
      </c>
      <c r="F308" s="28" t="s">
        <v>142</v>
      </c>
      <c r="G308" s="29" t="s">
        <v>625</v>
      </c>
      <c r="H308" s="29" t="s">
        <v>632</v>
      </c>
      <c r="I308" s="56" t="s">
        <v>2206</v>
      </c>
      <c r="J308" s="55" t="s">
        <v>2207</v>
      </c>
      <c r="K308" s="28" t="s">
        <v>2137</v>
      </c>
      <c r="L308" s="28" t="s">
        <v>149</v>
      </c>
      <c r="M308" s="49">
        <v>2012.0</v>
      </c>
      <c r="N308" s="31">
        <v>2012.0</v>
      </c>
      <c r="O308" s="49">
        <v>2020.0</v>
      </c>
      <c r="P308" s="28" t="s">
        <v>150</v>
      </c>
      <c r="Q308" s="32" t="s">
        <v>151</v>
      </c>
      <c r="R308" s="32" t="s">
        <v>281</v>
      </c>
      <c r="S308" s="32" t="s">
        <v>2153</v>
      </c>
      <c r="T308" s="28" t="s">
        <v>154</v>
      </c>
      <c r="U308" s="28" t="s">
        <v>154</v>
      </c>
      <c r="V308" s="28" t="s">
        <v>2166</v>
      </c>
      <c r="W308" s="32" t="s">
        <v>2155</v>
      </c>
      <c r="X308" s="32" t="s">
        <v>2156</v>
      </c>
      <c r="Y308" s="28" t="s">
        <v>2157</v>
      </c>
      <c r="Z308" s="26" t="s">
        <v>341</v>
      </c>
      <c r="AA308" s="26" t="s">
        <v>159</v>
      </c>
      <c r="AB308" s="26" t="s">
        <v>160</v>
      </c>
      <c r="AC308" s="28" t="s">
        <v>322</v>
      </c>
      <c r="AD308" s="28" t="s">
        <v>341</v>
      </c>
      <c r="AE308" s="40" t="s">
        <v>2158</v>
      </c>
      <c r="AF308" s="26" t="s">
        <v>149</v>
      </c>
      <c r="AG308" s="28" t="s">
        <v>2195</v>
      </c>
      <c r="AH308" s="26" t="s">
        <v>2160</v>
      </c>
      <c r="AI308" s="28" t="s">
        <v>322</v>
      </c>
      <c r="AJ308" s="28" t="s">
        <v>341</v>
      </c>
      <c r="AK308" s="28" t="s">
        <v>149</v>
      </c>
      <c r="AL308" s="28" t="s">
        <v>149</v>
      </c>
      <c r="AM308" s="28" t="s">
        <v>149</v>
      </c>
      <c r="AN308" s="28" t="s">
        <v>165</v>
      </c>
      <c r="AO308" s="26" t="s">
        <v>166</v>
      </c>
      <c r="AP308" s="26" t="s">
        <v>2161</v>
      </c>
      <c r="AQ308" s="38" t="s">
        <v>2162</v>
      </c>
      <c r="AR308" s="28" t="s">
        <v>2167</v>
      </c>
      <c r="AS308" s="28" t="s">
        <v>149</v>
      </c>
      <c r="AT308" s="28" t="s">
        <v>2208</v>
      </c>
    </row>
    <row r="309">
      <c r="A309" s="36" t="s">
        <v>2209</v>
      </c>
      <c r="B309" s="26" t="str">
        <f t="shared" si="1"/>
        <v>2025-PH076103000-2012-0436</v>
      </c>
      <c r="C309" s="27">
        <f t="shared" si="5"/>
        <v>2025</v>
      </c>
      <c r="D309" s="28" t="s">
        <v>191</v>
      </c>
      <c r="E309" s="28" t="s">
        <v>191</v>
      </c>
      <c r="F309" s="28" t="s">
        <v>142</v>
      </c>
      <c r="G309" s="29" t="s">
        <v>625</v>
      </c>
      <c r="H309" s="29" t="s">
        <v>826</v>
      </c>
      <c r="I309" s="29" t="s">
        <v>2210</v>
      </c>
      <c r="J309" s="29" t="s">
        <v>2211</v>
      </c>
      <c r="K309" s="28" t="s">
        <v>2137</v>
      </c>
      <c r="L309" s="28" t="s">
        <v>149</v>
      </c>
      <c r="M309" s="49">
        <v>2012.0</v>
      </c>
      <c r="N309" s="31">
        <v>2012.0</v>
      </c>
      <c r="O309" s="49">
        <v>2020.0</v>
      </c>
      <c r="P309" s="28" t="s">
        <v>150</v>
      </c>
      <c r="Q309" s="32" t="s">
        <v>151</v>
      </c>
      <c r="R309" s="28" t="s">
        <v>281</v>
      </c>
      <c r="S309" s="32" t="s">
        <v>2153</v>
      </c>
      <c r="T309" s="28" t="s">
        <v>154</v>
      </c>
      <c r="U309" s="28" t="s">
        <v>154</v>
      </c>
      <c r="V309" s="28" t="s">
        <v>2166</v>
      </c>
      <c r="W309" s="32" t="s">
        <v>2155</v>
      </c>
      <c r="X309" s="32" t="s">
        <v>2156</v>
      </c>
      <c r="Y309" s="28" t="s">
        <v>2157</v>
      </c>
      <c r="Z309" s="26" t="s">
        <v>341</v>
      </c>
      <c r="AA309" s="26" t="s">
        <v>159</v>
      </c>
      <c r="AB309" s="26" t="s">
        <v>160</v>
      </c>
      <c r="AC309" s="28" t="s">
        <v>322</v>
      </c>
      <c r="AD309" s="28" t="s">
        <v>341</v>
      </c>
      <c r="AE309" s="40" t="s">
        <v>2158</v>
      </c>
      <c r="AF309" s="26" t="s">
        <v>149</v>
      </c>
      <c r="AG309" s="28" t="s">
        <v>2159</v>
      </c>
      <c r="AH309" s="26" t="s">
        <v>2160</v>
      </c>
      <c r="AI309" s="28" t="s">
        <v>322</v>
      </c>
      <c r="AJ309" s="28" t="s">
        <v>341</v>
      </c>
      <c r="AK309" s="28" t="s">
        <v>149</v>
      </c>
      <c r="AL309" s="28" t="s">
        <v>149</v>
      </c>
      <c r="AM309" s="28" t="s">
        <v>149</v>
      </c>
      <c r="AN309" s="28" t="s">
        <v>165</v>
      </c>
      <c r="AO309" s="26" t="s">
        <v>166</v>
      </c>
      <c r="AP309" s="26" t="s">
        <v>2161</v>
      </c>
      <c r="AQ309" s="38" t="s">
        <v>2162</v>
      </c>
      <c r="AR309" s="28" t="s">
        <v>2167</v>
      </c>
      <c r="AS309" s="28" t="s">
        <v>149</v>
      </c>
      <c r="AT309" s="28" t="s">
        <v>2212</v>
      </c>
    </row>
    <row r="310">
      <c r="A310" s="36" t="s">
        <v>2213</v>
      </c>
      <c r="B310" s="26" t="str">
        <f t="shared" si="1"/>
        <v>2025-PH076104000-2012-0437</v>
      </c>
      <c r="C310" s="27">
        <f t="shared" si="5"/>
        <v>2025</v>
      </c>
      <c r="D310" s="28" t="s">
        <v>191</v>
      </c>
      <c r="E310" s="28" t="s">
        <v>191</v>
      </c>
      <c r="F310" s="28" t="s">
        <v>142</v>
      </c>
      <c r="G310" s="29" t="s">
        <v>625</v>
      </c>
      <c r="H310" s="29" t="s">
        <v>826</v>
      </c>
      <c r="I310" s="29" t="s">
        <v>827</v>
      </c>
      <c r="J310" s="29" t="s">
        <v>828</v>
      </c>
      <c r="K310" s="28" t="s">
        <v>2137</v>
      </c>
      <c r="L310" s="28" t="s">
        <v>149</v>
      </c>
      <c r="M310" s="49">
        <v>2012.0</v>
      </c>
      <c r="N310" s="31">
        <v>2012.0</v>
      </c>
      <c r="O310" s="49">
        <v>2020.0</v>
      </c>
      <c r="P310" s="28" t="s">
        <v>150</v>
      </c>
      <c r="Q310" s="32" t="s">
        <v>151</v>
      </c>
      <c r="R310" s="28" t="s">
        <v>281</v>
      </c>
      <c r="S310" s="32" t="s">
        <v>2153</v>
      </c>
      <c r="T310" s="28" t="s">
        <v>154</v>
      </c>
      <c r="U310" s="28" t="s">
        <v>154</v>
      </c>
      <c r="V310" s="28" t="s">
        <v>2166</v>
      </c>
      <c r="W310" s="32" t="s">
        <v>2155</v>
      </c>
      <c r="X310" s="32" t="s">
        <v>2156</v>
      </c>
      <c r="Y310" s="28" t="s">
        <v>2157</v>
      </c>
      <c r="Z310" s="26" t="s">
        <v>341</v>
      </c>
      <c r="AA310" s="26" t="s">
        <v>159</v>
      </c>
      <c r="AB310" s="26" t="s">
        <v>160</v>
      </c>
      <c r="AC310" s="28" t="s">
        <v>322</v>
      </c>
      <c r="AD310" s="28" t="s">
        <v>341</v>
      </c>
      <c r="AE310" s="40" t="s">
        <v>2158</v>
      </c>
      <c r="AF310" s="26" t="s">
        <v>149</v>
      </c>
      <c r="AG310" s="28" t="s">
        <v>2159</v>
      </c>
      <c r="AH310" s="26" t="s">
        <v>2160</v>
      </c>
      <c r="AI310" s="28" t="s">
        <v>322</v>
      </c>
      <c r="AJ310" s="28" t="s">
        <v>341</v>
      </c>
      <c r="AK310" s="28" t="s">
        <v>149</v>
      </c>
      <c r="AL310" s="28" t="s">
        <v>149</v>
      </c>
      <c r="AM310" s="28" t="s">
        <v>149</v>
      </c>
      <c r="AN310" s="28" t="s">
        <v>165</v>
      </c>
      <c r="AO310" s="26" t="s">
        <v>166</v>
      </c>
      <c r="AP310" s="26" t="s">
        <v>2161</v>
      </c>
      <c r="AQ310" s="38" t="s">
        <v>2162</v>
      </c>
      <c r="AR310" s="28" t="s">
        <v>2167</v>
      </c>
      <c r="AS310" s="28" t="s">
        <v>149</v>
      </c>
      <c r="AT310" s="28" t="s">
        <v>2214</v>
      </c>
    </row>
    <row r="311">
      <c r="A311" s="36" t="s">
        <v>2215</v>
      </c>
      <c r="B311" s="26" t="str">
        <f t="shared" si="1"/>
        <v>2023-PH112317000-2012-0370</v>
      </c>
      <c r="C311" s="27">
        <f t="shared" si="5"/>
        <v>2023</v>
      </c>
      <c r="D311" s="37" t="s">
        <v>140</v>
      </c>
      <c r="E311" s="28" t="s">
        <v>141</v>
      </c>
      <c r="F311" s="28" t="s">
        <v>192</v>
      </c>
      <c r="G311" s="29" t="s">
        <v>330</v>
      </c>
      <c r="H311" s="29" t="s">
        <v>331</v>
      </c>
      <c r="I311" s="40" t="s">
        <v>980</v>
      </c>
      <c r="J311" s="29" t="s">
        <v>981</v>
      </c>
      <c r="K311" s="28" t="s">
        <v>2137</v>
      </c>
      <c r="L311" s="70" t="s">
        <v>2216</v>
      </c>
      <c r="M311" s="31">
        <v>2012.0</v>
      </c>
      <c r="N311" s="31">
        <v>2012.0</v>
      </c>
      <c r="O311" s="31" t="s">
        <v>149</v>
      </c>
      <c r="P311" s="28" t="s">
        <v>263</v>
      </c>
      <c r="Q311" s="32" t="s">
        <v>264</v>
      </c>
      <c r="R311" s="32" t="s">
        <v>1555</v>
      </c>
      <c r="S311" s="32" t="s">
        <v>2217</v>
      </c>
      <c r="T311" s="28" t="s">
        <v>154</v>
      </c>
      <c r="U311" s="28" t="s">
        <v>154</v>
      </c>
      <c r="V311" s="26" t="s">
        <v>2218</v>
      </c>
      <c r="W311" s="32" t="s">
        <v>149</v>
      </c>
      <c r="X311" s="32" t="s">
        <v>254</v>
      </c>
      <c r="Y311" s="11" t="s">
        <v>149</v>
      </c>
      <c r="Z311" s="26" t="s">
        <v>341</v>
      </c>
      <c r="AA311" s="26" t="s">
        <v>159</v>
      </c>
      <c r="AB311" s="26" t="s">
        <v>160</v>
      </c>
      <c r="AC311" s="28" t="s">
        <v>322</v>
      </c>
      <c r="AD311" s="28" t="s">
        <v>341</v>
      </c>
      <c r="AE311" s="29" t="s">
        <v>149</v>
      </c>
      <c r="AF311" s="28" t="s">
        <v>339</v>
      </c>
      <c r="AG311" s="26" t="s">
        <v>149</v>
      </c>
      <c r="AH311" s="26" t="s">
        <v>341</v>
      </c>
      <c r="AI311" s="28" t="s">
        <v>322</v>
      </c>
      <c r="AJ311" s="28" t="s">
        <v>341</v>
      </c>
      <c r="AK311" s="11" t="s">
        <v>149</v>
      </c>
      <c r="AL311" s="11" t="s">
        <v>149</v>
      </c>
      <c r="AM311" s="11" t="s">
        <v>149</v>
      </c>
      <c r="AN311" s="28" t="s">
        <v>165</v>
      </c>
      <c r="AO311" s="26" t="s">
        <v>166</v>
      </c>
      <c r="AP311" s="26" t="s">
        <v>2219</v>
      </c>
      <c r="AQ311" s="38" t="s">
        <v>2220</v>
      </c>
      <c r="AR311" s="11" t="s">
        <v>149</v>
      </c>
      <c r="AS311" s="11" t="s">
        <v>149</v>
      </c>
      <c r="AT311" s="11"/>
    </row>
    <row r="312">
      <c r="A312" s="36" t="s">
        <v>2221</v>
      </c>
      <c r="B312" s="26" t="str">
        <f t="shared" si="1"/>
        <v>2023-PH072221000-2019-0280</v>
      </c>
      <c r="C312" s="27">
        <f t="shared" si="5"/>
        <v>2023</v>
      </c>
      <c r="D312" s="37" t="s">
        <v>140</v>
      </c>
      <c r="E312" s="28" t="s">
        <v>141</v>
      </c>
      <c r="F312" s="28" t="s">
        <v>192</v>
      </c>
      <c r="G312" s="29" t="s">
        <v>193</v>
      </c>
      <c r="H312" s="29" t="s">
        <v>194</v>
      </c>
      <c r="I312" s="29" t="s">
        <v>2222</v>
      </c>
      <c r="J312" s="29" t="s">
        <v>2223</v>
      </c>
      <c r="K312" s="26" t="s">
        <v>2224</v>
      </c>
      <c r="L312" s="26" t="s">
        <v>2225</v>
      </c>
      <c r="M312" s="31">
        <v>2019.0</v>
      </c>
      <c r="N312" s="31">
        <v>2019.0</v>
      </c>
      <c r="O312" s="31">
        <v>2023.0</v>
      </c>
      <c r="P312" s="28" t="s">
        <v>263</v>
      </c>
      <c r="Q312" s="32" t="s">
        <v>2226</v>
      </c>
      <c r="R312" s="28" t="s">
        <v>149</v>
      </c>
      <c r="S312" s="32" t="s">
        <v>149</v>
      </c>
      <c r="T312" s="28" t="s">
        <v>300</v>
      </c>
      <c r="U312" s="28" t="s">
        <v>1358</v>
      </c>
      <c r="V312" s="26" t="s">
        <v>179</v>
      </c>
      <c r="W312" s="32" t="s">
        <v>267</v>
      </c>
      <c r="X312" s="32" t="s">
        <v>1800</v>
      </c>
      <c r="Y312" s="26" t="s">
        <v>2227</v>
      </c>
      <c r="Z312" s="26" t="s">
        <v>2228</v>
      </c>
      <c r="AA312" s="26" t="s">
        <v>159</v>
      </c>
      <c r="AB312" s="26" t="s">
        <v>160</v>
      </c>
      <c r="AC312" s="26" t="s">
        <v>184</v>
      </c>
      <c r="AD312" s="28" t="s">
        <v>184</v>
      </c>
      <c r="AE312" s="29" t="s">
        <v>149</v>
      </c>
      <c r="AF312" s="26" t="s">
        <v>149</v>
      </c>
      <c r="AG312" s="26" t="s">
        <v>149</v>
      </c>
      <c r="AH312" s="26" t="s">
        <v>2229</v>
      </c>
      <c r="AI312" s="26" t="s">
        <v>306</v>
      </c>
      <c r="AJ312" s="28" t="s">
        <v>306</v>
      </c>
      <c r="AK312" s="26" t="s">
        <v>2230</v>
      </c>
      <c r="AL312" s="28" t="s">
        <v>2231</v>
      </c>
      <c r="AM312" s="26" t="s">
        <v>2232</v>
      </c>
      <c r="AN312" s="28" t="s">
        <v>213</v>
      </c>
      <c r="AO312" s="28" t="s">
        <v>310</v>
      </c>
      <c r="AP312" s="26" t="s">
        <v>213</v>
      </c>
      <c r="AQ312" s="38" t="s">
        <v>2233</v>
      </c>
      <c r="AR312" s="26" t="s">
        <v>2234</v>
      </c>
      <c r="AS312" s="38" t="s">
        <v>2235</v>
      </c>
      <c r="AT312" s="26"/>
    </row>
    <row r="313">
      <c r="A313" s="36" t="s">
        <v>2236</v>
      </c>
      <c r="B313" s="26" t="str">
        <f t="shared" si="1"/>
        <v>2023-PH060417000-Unknown-0237</v>
      </c>
      <c r="C313" s="27">
        <f t="shared" si="5"/>
        <v>2023</v>
      </c>
      <c r="D313" s="28" t="s">
        <v>140</v>
      </c>
      <c r="E313" s="28" t="s">
        <v>141</v>
      </c>
      <c r="F313" s="28" t="s">
        <v>192</v>
      </c>
      <c r="G313" s="29" t="s">
        <v>314</v>
      </c>
      <c r="H313" s="29" t="s">
        <v>315</v>
      </c>
      <c r="I313" s="29" t="s">
        <v>1199</v>
      </c>
      <c r="J313" s="29" t="s">
        <v>1200</v>
      </c>
      <c r="K313" s="26" t="s">
        <v>2237</v>
      </c>
      <c r="L313" s="11" t="s">
        <v>149</v>
      </c>
      <c r="M313" s="31" t="s">
        <v>149</v>
      </c>
      <c r="N313" s="31" t="s">
        <v>149</v>
      </c>
      <c r="O313" s="31" t="s">
        <v>149</v>
      </c>
      <c r="P313" s="28" t="s">
        <v>263</v>
      </c>
      <c r="Q313" s="32" t="s">
        <v>264</v>
      </c>
      <c r="R313" s="28" t="s">
        <v>149</v>
      </c>
      <c r="S313" s="32" t="s">
        <v>149</v>
      </c>
      <c r="T313" s="28" t="s">
        <v>154</v>
      </c>
      <c r="U313" s="28" t="s">
        <v>154</v>
      </c>
      <c r="V313" s="26" t="s">
        <v>179</v>
      </c>
      <c r="W313" s="32" t="s">
        <v>180</v>
      </c>
      <c r="X313" s="32" t="s">
        <v>181</v>
      </c>
      <c r="Y313" s="26" t="s">
        <v>2238</v>
      </c>
      <c r="Z313" s="26" t="s">
        <v>149</v>
      </c>
      <c r="AA313" s="26" t="s">
        <v>149</v>
      </c>
      <c r="AB313" s="26" t="s">
        <v>149</v>
      </c>
      <c r="AC313" s="26" t="s">
        <v>149</v>
      </c>
      <c r="AD313" s="28" t="s">
        <v>149</v>
      </c>
      <c r="AE313" s="29" t="s">
        <v>149</v>
      </c>
      <c r="AF313" s="26" t="s">
        <v>2239</v>
      </c>
      <c r="AG313" s="26" t="s">
        <v>2240</v>
      </c>
      <c r="AH313" s="26" t="s">
        <v>369</v>
      </c>
      <c r="AI313" s="28" t="s">
        <v>161</v>
      </c>
      <c r="AJ313" s="28" t="s">
        <v>369</v>
      </c>
      <c r="AK313" s="26" t="s">
        <v>390</v>
      </c>
      <c r="AL313" s="11" t="s">
        <v>149</v>
      </c>
      <c r="AM313" s="11" t="s">
        <v>149</v>
      </c>
      <c r="AN313" s="28" t="s">
        <v>165</v>
      </c>
      <c r="AO313" s="28" t="s">
        <v>395</v>
      </c>
      <c r="AP313" s="26" t="s">
        <v>2241</v>
      </c>
      <c r="AQ313" s="34" t="s">
        <v>2242</v>
      </c>
      <c r="AR313" s="28" t="s">
        <v>149</v>
      </c>
      <c r="AS313" s="11" t="s">
        <v>149</v>
      </c>
      <c r="AT313" s="29"/>
    </row>
    <row r="314">
      <c r="A314" s="36" t="s">
        <v>2243</v>
      </c>
      <c r="B314" s="26" t="str">
        <f t="shared" si="1"/>
        <v>2023-PH112317000-Unknown-0369</v>
      </c>
      <c r="C314" s="27">
        <f t="shared" si="5"/>
        <v>2023</v>
      </c>
      <c r="D314" s="37" t="s">
        <v>140</v>
      </c>
      <c r="E314" s="28" t="s">
        <v>141</v>
      </c>
      <c r="F314" s="28" t="s">
        <v>192</v>
      </c>
      <c r="G314" s="29" t="s">
        <v>330</v>
      </c>
      <c r="H314" s="29" t="s">
        <v>331</v>
      </c>
      <c r="I314" s="40" t="s">
        <v>980</v>
      </c>
      <c r="J314" s="29" t="s">
        <v>981</v>
      </c>
      <c r="K314" s="26" t="s">
        <v>2244</v>
      </c>
      <c r="L314" s="28" t="s">
        <v>2245</v>
      </c>
      <c r="M314" s="31" t="s">
        <v>149</v>
      </c>
      <c r="N314" s="31" t="s">
        <v>149</v>
      </c>
      <c r="O314" s="31" t="s">
        <v>149</v>
      </c>
      <c r="P314" s="28" t="s">
        <v>177</v>
      </c>
      <c r="Q314" s="32" t="s">
        <v>178</v>
      </c>
      <c r="R314" s="28" t="s">
        <v>154</v>
      </c>
      <c r="S314" s="32" t="s">
        <v>154</v>
      </c>
      <c r="T314" s="28" t="s">
        <v>154</v>
      </c>
      <c r="U314" s="28" t="s">
        <v>154</v>
      </c>
      <c r="V314" s="26" t="s">
        <v>2246</v>
      </c>
      <c r="W314" s="32" t="s">
        <v>180</v>
      </c>
      <c r="X314" s="32" t="s">
        <v>181</v>
      </c>
      <c r="Y314" s="26" t="s">
        <v>202</v>
      </c>
      <c r="Z314" s="26" t="s">
        <v>149</v>
      </c>
      <c r="AA314" s="26" t="s">
        <v>159</v>
      </c>
      <c r="AB314" s="26" t="s">
        <v>149</v>
      </c>
      <c r="AC314" s="26" t="s">
        <v>149</v>
      </c>
      <c r="AD314" s="28" t="s">
        <v>149</v>
      </c>
      <c r="AE314" s="29" t="s">
        <v>149</v>
      </c>
      <c r="AF314" s="26" t="s">
        <v>149</v>
      </c>
      <c r="AG314" s="26" t="s">
        <v>149</v>
      </c>
      <c r="AH314" s="26" t="s">
        <v>149</v>
      </c>
      <c r="AI314" s="26" t="s">
        <v>149</v>
      </c>
      <c r="AJ314" s="28" t="s">
        <v>149</v>
      </c>
      <c r="AK314" s="11" t="s">
        <v>149</v>
      </c>
      <c r="AL314" s="26" t="s">
        <v>2247</v>
      </c>
      <c r="AM314" s="26" t="s">
        <v>2248</v>
      </c>
      <c r="AN314" s="28" t="s">
        <v>165</v>
      </c>
      <c r="AO314" s="28" t="s">
        <v>289</v>
      </c>
      <c r="AP314" s="26" t="s">
        <v>2249</v>
      </c>
      <c r="AQ314" s="38" t="s">
        <v>2250</v>
      </c>
      <c r="AR314" s="11" t="s">
        <v>149</v>
      </c>
      <c r="AS314" s="11" t="s">
        <v>149</v>
      </c>
      <c r="AT314" s="11"/>
    </row>
    <row r="315">
      <c r="A315" s="36" t="s">
        <v>2251</v>
      </c>
      <c r="B315" s="26" t="str">
        <f t="shared" si="1"/>
        <v>2023-PH103510000-2008-0345</v>
      </c>
      <c r="C315" s="27">
        <f t="shared" si="5"/>
        <v>2023</v>
      </c>
      <c r="D315" s="28" t="s">
        <v>140</v>
      </c>
      <c r="E315" s="28" t="s">
        <v>141</v>
      </c>
      <c r="F315" s="28" t="s">
        <v>192</v>
      </c>
      <c r="G315" s="29" t="s">
        <v>171</v>
      </c>
      <c r="H315" s="29" t="s">
        <v>600</v>
      </c>
      <c r="I315" s="29" t="s">
        <v>2252</v>
      </c>
      <c r="J315" s="29" t="s">
        <v>2253</v>
      </c>
      <c r="K315" s="26" t="s">
        <v>2254</v>
      </c>
      <c r="L315" s="28" t="s">
        <v>149</v>
      </c>
      <c r="M315" s="31">
        <v>2008.0</v>
      </c>
      <c r="N315" s="31" t="s">
        <v>149</v>
      </c>
      <c r="O315" s="31" t="s">
        <v>149</v>
      </c>
      <c r="P315" s="28" t="s">
        <v>263</v>
      </c>
      <c r="Q315" s="32" t="s">
        <v>264</v>
      </c>
      <c r="R315" s="28" t="s">
        <v>152</v>
      </c>
      <c r="S315" s="32" t="s">
        <v>2255</v>
      </c>
      <c r="T315" s="28" t="s">
        <v>154</v>
      </c>
      <c r="U315" s="28" t="s">
        <v>154</v>
      </c>
      <c r="V315" s="26" t="s">
        <v>2256</v>
      </c>
      <c r="W315" s="32" t="s">
        <v>149</v>
      </c>
      <c r="X315" s="32" t="s">
        <v>254</v>
      </c>
      <c r="Y315" s="26" t="s">
        <v>149</v>
      </c>
      <c r="Z315" s="26" t="s">
        <v>2257</v>
      </c>
      <c r="AA315" s="26" t="s">
        <v>159</v>
      </c>
      <c r="AB315" s="28" t="s">
        <v>205</v>
      </c>
      <c r="AC315" s="26" t="s">
        <v>206</v>
      </c>
      <c r="AD315" s="28" t="s">
        <v>207</v>
      </c>
      <c r="AE315" s="40" t="s">
        <v>2258</v>
      </c>
      <c r="AF315" s="26" t="s">
        <v>149</v>
      </c>
      <c r="AG315" s="26" t="s">
        <v>2259</v>
      </c>
      <c r="AH315" s="26" t="s">
        <v>2260</v>
      </c>
      <c r="AI315" s="28" t="s">
        <v>161</v>
      </c>
      <c r="AJ315" s="28" t="s">
        <v>369</v>
      </c>
      <c r="AK315" s="11" t="s">
        <v>149</v>
      </c>
      <c r="AL315" s="11" t="s">
        <v>149</v>
      </c>
      <c r="AM315" s="26" t="s">
        <v>2261</v>
      </c>
      <c r="AN315" s="28" t="s">
        <v>165</v>
      </c>
      <c r="AO315" s="28" t="s">
        <v>289</v>
      </c>
      <c r="AP315" s="26" t="s">
        <v>2262</v>
      </c>
      <c r="AQ315" s="38" t="s">
        <v>2263</v>
      </c>
      <c r="AR315" s="11" t="s">
        <v>149</v>
      </c>
      <c r="AS315" s="11" t="s">
        <v>149</v>
      </c>
      <c r="AT315" s="11"/>
    </row>
    <row r="316">
      <c r="A316" s="36" t="s">
        <v>2264</v>
      </c>
      <c r="B316" s="26" t="str">
        <f t="shared" si="1"/>
        <v>2023-PH118203000-2023-0383</v>
      </c>
      <c r="C316" s="27">
        <f t="shared" si="5"/>
        <v>2023</v>
      </c>
      <c r="D316" s="28" t="s">
        <v>140</v>
      </c>
      <c r="E316" s="28" t="s">
        <v>141</v>
      </c>
      <c r="F316" s="28" t="s">
        <v>192</v>
      </c>
      <c r="G316" s="29" t="s">
        <v>330</v>
      </c>
      <c r="H316" s="29" t="s">
        <v>2265</v>
      </c>
      <c r="I316" s="29" t="s">
        <v>1255</v>
      </c>
      <c r="J316" s="29" t="s">
        <v>2266</v>
      </c>
      <c r="K316" s="26" t="s">
        <v>2267</v>
      </c>
      <c r="L316" s="28" t="s">
        <v>2268</v>
      </c>
      <c r="M316" s="31">
        <v>2023.0</v>
      </c>
      <c r="N316" s="31" t="s">
        <v>149</v>
      </c>
      <c r="O316" s="31" t="s">
        <v>149</v>
      </c>
      <c r="P316" s="28" t="s">
        <v>177</v>
      </c>
      <c r="Q316" s="32" t="s">
        <v>319</v>
      </c>
      <c r="R316" s="28" t="s">
        <v>154</v>
      </c>
      <c r="S316" s="32" t="s">
        <v>154</v>
      </c>
      <c r="T316" s="28" t="s">
        <v>300</v>
      </c>
      <c r="U316" s="28" t="s">
        <v>1081</v>
      </c>
      <c r="V316" s="26" t="s">
        <v>2269</v>
      </c>
      <c r="W316" s="32" t="s">
        <v>180</v>
      </c>
      <c r="X316" s="32" t="s">
        <v>181</v>
      </c>
      <c r="Y316" s="26" t="s">
        <v>2270</v>
      </c>
      <c r="Z316" s="26" t="s">
        <v>2271</v>
      </c>
      <c r="AA316" s="26" t="s">
        <v>159</v>
      </c>
      <c r="AB316" s="26" t="s">
        <v>160</v>
      </c>
      <c r="AC316" s="26" t="s">
        <v>184</v>
      </c>
      <c r="AD316" s="28" t="s">
        <v>184</v>
      </c>
      <c r="AE316" s="29" t="s">
        <v>149</v>
      </c>
      <c r="AF316" s="28" t="s">
        <v>2272</v>
      </c>
      <c r="AG316" s="26" t="s">
        <v>2273</v>
      </c>
      <c r="AH316" s="26" t="s">
        <v>2271</v>
      </c>
      <c r="AI316" s="26" t="s">
        <v>271</v>
      </c>
      <c r="AJ316" s="28" t="s">
        <v>271</v>
      </c>
      <c r="AK316" s="26" t="s">
        <v>2274</v>
      </c>
      <c r="AL316" s="11" t="s">
        <v>149</v>
      </c>
      <c r="AM316" s="11" t="s">
        <v>149</v>
      </c>
      <c r="AN316" s="28" t="s">
        <v>165</v>
      </c>
      <c r="AO316" s="28" t="s">
        <v>689</v>
      </c>
      <c r="AP316" s="26" t="s">
        <v>2275</v>
      </c>
      <c r="AQ316" s="38" t="s">
        <v>2276</v>
      </c>
      <c r="AR316" s="11" t="s">
        <v>149</v>
      </c>
      <c r="AS316" s="11" t="s">
        <v>149</v>
      </c>
      <c r="AT316" s="29"/>
    </row>
    <row r="317">
      <c r="A317" s="36" t="s">
        <v>2277</v>
      </c>
      <c r="B317" s="26" t="str">
        <f t="shared" si="1"/>
        <v>2023-PH175312000-2006-0176</v>
      </c>
      <c r="C317" s="27">
        <f t="shared" si="5"/>
        <v>2023</v>
      </c>
      <c r="D317" s="28" t="s">
        <v>140</v>
      </c>
      <c r="E317" s="28" t="s">
        <v>141</v>
      </c>
      <c r="F317" s="28" t="s">
        <v>142</v>
      </c>
      <c r="G317" s="29" t="s">
        <v>522</v>
      </c>
      <c r="H317" s="29" t="s">
        <v>523</v>
      </c>
      <c r="I317" s="29" t="s">
        <v>2278</v>
      </c>
      <c r="J317" s="29" t="s">
        <v>2279</v>
      </c>
      <c r="K317" s="28" t="s">
        <v>2280</v>
      </c>
      <c r="L317" s="28" t="s">
        <v>2281</v>
      </c>
      <c r="M317" s="31">
        <v>2006.0</v>
      </c>
      <c r="N317" s="31" t="s">
        <v>149</v>
      </c>
      <c r="O317" s="31" t="s">
        <v>149</v>
      </c>
      <c r="P317" s="28" t="s">
        <v>150</v>
      </c>
      <c r="Q317" s="32" t="s">
        <v>151</v>
      </c>
      <c r="R317" s="87" t="s">
        <v>336</v>
      </c>
      <c r="S317" s="32" t="s">
        <v>2282</v>
      </c>
      <c r="T317" s="28" t="s">
        <v>154</v>
      </c>
      <c r="U317" s="28" t="s">
        <v>154</v>
      </c>
      <c r="V317" s="28" t="s">
        <v>2283</v>
      </c>
      <c r="W317" s="32" t="s">
        <v>363</v>
      </c>
      <c r="X317" s="32" t="s">
        <v>364</v>
      </c>
      <c r="Y317" s="28" t="s">
        <v>2284</v>
      </c>
      <c r="Z317" s="26" t="s">
        <v>2285</v>
      </c>
      <c r="AA317" s="26" t="s">
        <v>159</v>
      </c>
      <c r="AB317" s="28" t="s">
        <v>205</v>
      </c>
      <c r="AC317" s="26" t="s">
        <v>306</v>
      </c>
      <c r="AD317" s="28" t="s">
        <v>306</v>
      </c>
      <c r="AE317" s="29" t="s">
        <v>149</v>
      </c>
      <c r="AF317" s="26" t="s">
        <v>149</v>
      </c>
      <c r="AG317" s="26" t="s">
        <v>1748</v>
      </c>
      <c r="AH317" s="26" t="s">
        <v>2286</v>
      </c>
      <c r="AI317" s="26" t="s">
        <v>306</v>
      </c>
      <c r="AJ317" s="28" t="s">
        <v>306</v>
      </c>
      <c r="AK317" s="28" t="s">
        <v>369</v>
      </c>
      <c r="AL317" s="26" t="s">
        <v>2287</v>
      </c>
      <c r="AM317" s="26" t="s">
        <v>149</v>
      </c>
      <c r="AN317" s="28" t="s">
        <v>165</v>
      </c>
      <c r="AO317" s="28" t="s">
        <v>289</v>
      </c>
      <c r="AP317" s="26" t="s">
        <v>2288</v>
      </c>
      <c r="AQ317" s="28" t="s">
        <v>2289</v>
      </c>
      <c r="AR317" s="26" t="s">
        <v>149</v>
      </c>
      <c r="AS317" s="26" t="s">
        <v>149</v>
      </c>
      <c r="AT317" s="26"/>
    </row>
    <row r="318">
      <c r="A318" s="36" t="s">
        <v>2290</v>
      </c>
      <c r="B318" s="26" t="str">
        <f t="shared" si="1"/>
        <v>2023-PH166706000-2019-0400</v>
      </c>
      <c r="C318" s="27">
        <f t="shared" si="5"/>
        <v>2023</v>
      </c>
      <c r="D318" s="37" t="s">
        <v>140</v>
      </c>
      <c r="E318" s="28" t="s">
        <v>141</v>
      </c>
      <c r="F318" s="28" t="s">
        <v>192</v>
      </c>
      <c r="G318" s="29" t="s">
        <v>345</v>
      </c>
      <c r="H318" s="29" t="s">
        <v>346</v>
      </c>
      <c r="I318" s="29" t="s">
        <v>2291</v>
      </c>
      <c r="J318" s="29" t="s">
        <v>2292</v>
      </c>
      <c r="K318" s="26" t="s">
        <v>149</v>
      </c>
      <c r="L318" s="26" t="s">
        <v>2293</v>
      </c>
      <c r="M318" s="31">
        <v>2019.0</v>
      </c>
      <c r="N318" s="41" t="s">
        <v>149</v>
      </c>
      <c r="O318" s="41" t="s">
        <v>149</v>
      </c>
      <c r="P318" s="28" t="s">
        <v>177</v>
      </c>
      <c r="Q318" s="32" t="s">
        <v>178</v>
      </c>
      <c r="R318" s="28" t="s">
        <v>154</v>
      </c>
      <c r="S318" s="32" t="s">
        <v>154</v>
      </c>
      <c r="T318" s="28" t="s">
        <v>154</v>
      </c>
      <c r="U318" s="28" t="s">
        <v>154</v>
      </c>
      <c r="V318" s="26" t="s">
        <v>179</v>
      </c>
      <c r="W318" s="32" t="s">
        <v>913</v>
      </c>
      <c r="X318" s="32" t="s">
        <v>914</v>
      </c>
      <c r="Y318" s="26" t="s">
        <v>2294</v>
      </c>
      <c r="Z318" s="26" t="s">
        <v>2295</v>
      </c>
      <c r="AA318" s="26" t="s">
        <v>159</v>
      </c>
      <c r="AB318" s="26" t="s">
        <v>160</v>
      </c>
      <c r="AC318" s="26" t="s">
        <v>184</v>
      </c>
      <c r="AD318" s="28" t="s">
        <v>184</v>
      </c>
      <c r="AE318" s="29" t="s">
        <v>149</v>
      </c>
      <c r="AF318" s="26" t="s">
        <v>149</v>
      </c>
      <c r="AG318" s="26" t="s">
        <v>149</v>
      </c>
      <c r="AH318" s="26" t="s">
        <v>2295</v>
      </c>
      <c r="AI318" s="26" t="s">
        <v>184</v>
      </c>
      <c r="AJ318" s="28" t="s">
        <v>184</v>
      </c>
      <c r="AK318" s="11" t="s">
        <v>149</v>
      </c>
      <c r="AL318" s="26" t="s">
        <v>2296</v>
      </c>
      <c r="AM318" s="11" t="s">
        <v>149</v>
      </c>
      <c r="AN318" s="28" t="s">
        <v>165</v>
      </c>
      <c r="AO318" s="28" t="s">
        <v>289</v>
      </c>
      <c r="AP318" s="26" t="s">
        <v>2297</v>
      </c>
      <c r="AQ318" s="38" t="s">
        <v>2298</v>
      </c>
      <c r="AR318" s="11" t="s">
        <v>149</v>
      </c>
      <c r="AS318" s="11" t="s">
        <v>149</v>
      </c>
      <c r="AT318" s="11"/>
    </row>
    <row r="319">
      <c r="A319" s="25" t="s">
        <v>2299</v>
      </c>
      <c r="B319" s="26" t="str">
        <f t="shared" si="1"/>
        <v>2023-PH030806000-1990-0092</v>
      </c>
      <c r="C319" s="27">
        <f t="shared" si="5"/>
        <v>2023</v>
      </c>
      <c r="D319" s="28" t="s">
        <v>140</v>
      </c>
      <c r="E319" s="28" t="s">
        <v>141</v>
      </c>
      <c r="F319" s="28" t="s">
        <v>142</v>
      </c>
      <c r="G319" s="29" t="s">
        <v>293</v>
      </c>
      <c r="H319" s="29" t="s">
        <v>1283</v>
      </c>
      <c r="I319" s="29" t="s">
        <v>2300</v>
      </c>
      <c r="J319" s="29" t="s">
        <v>2301</v>
      </c>
      <c r="K319" s="26" t="s">
        <v>149</v>
      </c>
      <c r="L319" s="26" t="s">
        <v>149</v>
      </c>
      <c r="M319" s="31">
        <v>1990.0</v>
      </c>
      <c r="N319" s="49">
        <v>1990.0</v>
      </c>
      <c r="O319" s="49">
        <v>1990.0</v>
      </c>
      <c r="P319" s="28" t="s">
        <v>150</v>
      </c>
      <c r="Q319" s="32" t="s">
        <v>151</v>
      </c>
      <c r="R319" s="28" t="s">
        <v>386</v>
      </c>
      <c r="S319" s="28" t="s">
        <v>386</v>
      </c>
      <c r="T319" s="28" t="s">
        <v>154</v>
      </c>
      <c r="U319" s="28" t="s">
        <v>154</v>
      </c>
      <c r="V319" s="28" t="s">
        <v>2302</v>
      </c>
      <c r="W319" s="32" t="s">
        <v>913</v>
      </c>
      <c r="X319" s="32" t="s">
        <v>914</v>
      </c>
      <c r="Y319" s="28" t="s">
        <v>2303</v>
      </c>
      <c r="Z319" s="26" t="s">
        <v>2304</v>
      </c>
      <c r="AA319" s="32" t="s">
        <v>159</v>
      </c>
      <c r="AB319" s="28" t="s">
        <v>160</v>
      </c>
      <c r="AC319" s="28" t="s">
        <v>322</v>
      </c>
      <c r="AD319" s="28" t="s">
        <v>2305</v>
      </c>
      <c r="AE319" s="29" t="s">
        <v>149</v>
      </c>
      <c r="AF319" s="26" t="s">
        <v>149</v>
      </c>
      <c r="AG319" s="26" t="s">
        <v>149</v>
      </c>
      <c r="AH319" s="26" t="s">
        <v>2304</v>
      </c>
      <c r="AI319" s="28" t="s">
        <v>322</v>
      </c>
      <c r="AJ319" s="28" t="s">
        <v>2306</v>
      </c>
      <c r="AK319" s="28" t="s">
        <v>2307</v>
      </c>
      <c r="AL319" s="26" t="s">
        <v>149</v>
      </c>
      <c r="AM319" s="26" t="s">
        <v>149</v>
      </c>
      <c r="AN319" s="28" t="s">
        <v>241</v>
      </c>
      <c r="AO319" s="26" t="s">
        <v>395</v>
      </c>
      <c r="AP319" s="28" t="s">
        <v>396</v>
      </c>
      <c r="AQ319" s="26" t="s">
        <v>397</v>
      </c>
      <c r="AR319" s="26" t="s">
        <v>149</v>
      </c>
      <c r="AS319" s="26" t="s">
        <v>149</v>
      </c>
      <c r="AT319" s="45"/>
    </row>
    <row r="320">
      <c r="A320" s="25" t="s">
        <v>2308</v>
      </c>
      <c r="B320" s="26" t="str">
        <f t="shared" si="1"/>
        <v>2023-PH041007000-1990-0114</v>
      </c>
      <c r="C320" s="27">
        <f t="shared" si="5"/>
        <v>2023</v>
      </c>
      <c r="D320" s="28" t="s">
        <v>140</v>
      </c>
      <c r="E320" s="28" t="s">
        <v>141</v>
      </c>
      <c r="F320" s="28" t="s">
        <v>142</v>
      </c>
      <c r="G320" s="29" t="s">
        <v>257</v>
      </c>
      <c r="H320" s="29" t="s">
        <v>258</v>
      </c>
      <c r="I320" s="40" t="s">
        <v>2309</v>
      </c>
      <c r="J320" s="29" t="s">
        <v>2310</v>
      </c>
      <c r="K320" s="26" t="s">
        <v>149</v>
      </c>
      <c r="L320" s="26" t="s">
        <v>149</v>
      </c>
      <c r="M320" s="31">
        <v>1990.0</v>
      </c>
      <c r="N320" s="49">
        <v>1990.0</v>
      </c>
      <c r="O320" s="31">
        <v>1990.0</v>
      </c>
      <c r="P320" s="28" t="s">
        <v>150</v>
      </c>
      <c r="Q320" s="32" t="s">
        <v>151</v>
      </c>
      <c r="R320" s="28" t="s">
        <v>386</v>
      </c>
      <c r="S320" s="28" t="s">
        <v>386</v>
      </c>
      <c r="T320" s="28" t="s">
        <v>154</v>
      </c>
      <c r="U320" s="28" t="s">
        <v>154</v>
      </c>
      <c r="V320" s="28" t="s">
        <v>2302</v>
      </c>
      <c r="W320" s="32" t="s">
        <v>913</v>
      </c>
      <c r="X320" s="32" t="s">
        <v>914</v>
      </c>
      <c r="Y320" s="28" t="s">
        <v>2303</v>
      </c>
      <c r="Z320" s="26" t="s">
        <v>2304</v>
      </c>
      <c r="AA320" s="32" t="s">
        <v>159</v>
      </c>
      <c r="AB320" s="28" t="s">
        <v>160</v>
      </c>
      <c r="AC320" s="28" t="s">
        <v>322</v>
      </c>
      <c r="AD320" s="28" t="s">
        <v>2305</v>
      </c>
      <c r="AE320" s="29" t="s">
        <v>149</v>
      </c>
      <c r="AF320" s="26" t="s">
        <v>149</v>
      </c>
      <c r="AG320" s="26" t="s">
        <v>149</v>
      </c>
      <c r="AH320" s="26" t="s">
        <v>2304</v>
      </c>
      <c r="AI320" s="28" t="s">
        <v>322</v>
      </c>
      <c r="AJ320" s="28" t="s">
        <v>2306</v>
      </c>
      <c r="AK320" s="28" t="s">
        <v>2307</v>
      </c>
      <c r="AL320" s="26" t="s">
        <v>149</v>
      </c>
      <c r="AM320" s="26" t="s">
        <v>149</v>
      </c>
      <c r="AN320" s="28" t="s">
        <v>241</v>
      </c>
      <c r="AO320" s="26" t="s">
        <v>395</v>
      </c>
      <c r="AP320" s="28" t="s">
        <v>396</v>
      </c>
      <c r="AQ320" s="38" t="s">
        <v>397</v>
      </c>
      <c r="AR320" s="26" t="s">
        <v>149</v>
      </c>
      <c r="AS320" s="26" t="s">
        <v>149</v>
      </c>
      <c r="AT320" s="26"/>
    </row>
    <row r="321">
      <c r="A321" s="36" t="s">
        <v>2311</v>
      </c>
      <c r="B321" s="26" t="str">
        <f t="shared" si="1"/>
        <v>2023-PH050518000-1990-0193</v>
      </c>
      <c r="C321" s="27">
        <f t="shared" si="5"/>
        <v>2023</v>
      </c>
      <c r="D321" s="37" t="s">
        <v>140</v>
      </c>
      <c r="E321" s="28" t="s">
        <v>141</v>
      </c>
      <c r="F321" s="28" t="s">
        <v>142</v>
      </c>
      <c r="G321" s="29" t="s">
        <v>535</v>
      </c>
      <c r="H321" s="29" t="s">
        <v>893</v>
      </c>
      <c r="I321" s="29" t="s">
        <v>1442</v>
      </c>
      <c r="J321" s="29" t="s">
        <v>1443</v>
      </c>
      <c r="K321" s="26" t="s">
        <v>149</v>
      </c>
      <c r="L321" s="26" t="s">
        <v>149</v>
      </c>
      <c r="M321" s="31">
        <v>1990.0</v>
      </c>
      <c r="N321" s="49">
        <v>1990.0</v>
      </c>
      <c r="O321" s="31">
        <v>1990.0</v>
      </c>
      <c r="P321" s="28" t="s">
        <v>150</v>
      </c>
      <c r="Q321" s="32" t="s">
        <v>151</v>
      </c>
      <c r="R321" s="28" t="s">
        <v>386</v>
      </c>
      <c r="S321" s="28" t="s">
        <v>386</v>
      </c>
      <c r="T321" s="28" t="s">
        <v>154</v>
      </c>
      <c r="U321" s="28" t="s">
        <v>154</v>
      </c>
      <c r="V321" s="28" t="s">
        <v>2302</v>
      </c>
      <c r="W321" s="32" t="s">
        <v>913</v>
      </c>
      <c r="X321" s="109" t="s">
        <v>914</v>
      </c>
      <c r="Y321" s="28" t="s">
        <v>2303</v>
      </c>
      <c r="Z321" s="26" t="s">
        <v>2304</v>
      </c>
      <c r="AA321" s="32" t="s">
        <v>159</v>
      </c>
      <c r="AB321" s="28" t="s">
        <v>160</v>
      </c>
      <c r="AC321" s="28" t="s">
        <v>322</v>
      </c>
      <c r="AD321" s="28" t="s">
        <v>2305</v>
      </c>
      <c r="AE321" s="29" t="s">
        <v>149</v>
      </c>
      <c r="AF321" s="26" t="s">
        <v>149</v>
      </c>
      <c r="AG321" s="26" t="s">
        <v>149</v>
      </c>
      <c r="AH321" s="26" t="s">
        <v>2304</v>
      </c>
      <c r="AI321" s="28" t="s">
        <v>322</v>
      </c>
      <c r="AJ321" s="28" t="s">
        <v>2306</v>
      </c>
      <c r="AK321" s="28" t="s">
        <v>2307</v>
      </c>
      <c r="AL321" s="26" t="s">
        <v>149</v>
      </c>
      <c r="AM321" s="26" t="s">
        <v>149</v>
      </c>
      <c r="AN321" s="28" t="s">
        <v>241</v>
      </c>
      <c r="AO321" s="26" t="s">
        <v>395</v>
      </c>
      <c r="AP321" s="28" t="s">
        <v>396</v>
      </c>
      <c r="AQ321" s="38" t="s">
        <v>541</v>
      </c>
      <c r="AR321" s="26" t="s">
        <v>398</v>
      </c>
      <c r="AS321" s="26" t="s">
        <v>149</v>
      </c>
      <c r="AT321" s="26"/>
    </row>
    <row r="322">
      <c r="A322" s="36" t="s">
        <v>2312</v>
      </c>
      <c r="B322" s="26" t="str">
        <f t="shared" si="1"/>
        <v>2023-PH072234000-1990-0292</v>
      </c>
      <c r="C322" s="27">
        <f t="shared" si="5"/>
        <v>2023</v>
      </c>
      <c r="D322" s="28" t="s">
        <v>140</v>
      </c>
      <c r="E322" s="28" t="s">
        <v>141</v>
      </c>
      <c r="F322" s="28" t="s">
        <v>142</v>
      </c>
      <c r="G322" s="29" t="s">
        <v>193</v>
      </c>
      <c r="H322" s="29" t="s">
        <v>194</v>
      </c>
      <c r="I322" s="40" t="s">
        <v>2313</v>
      </c>
      <c r="J322" s="29" t="s">
        <v>2314</v>
      </c>
      <c r="K322" s="26" t="s">
        <v>149</v>
      </c>
      <c r="L322" s="29" t="s">
        <v>149</v>
      </c>
      <c r="M322" s="31">
        <v>1990.0</v>
      </c>
      <c r="N322" s="49">
        <v>1990.0</v>
      </c>
      <c r="O322" s="31">
        <v>1990.0</v>
      </c>
      <c r="P322" s="28" t="s">
        <v>150</v>
      </c>
      <c r="Q322" s="32" t="s">
        <v>151</v>
      </c>
      <c r="R322" s="28" t="s">
        <v>386</v>
      </c>
      <c r="S322" s="28" t="s">
        <v>386</v>
      </c>
      <c r="T322" s="28" t="s">
        <v>154</v>
      </c>
      <c r="U322" s="28" t="s">
        <v>154</v>
      </c>
      <c r="V322" s="28" t="s">
        <v>2302</v>
      </c>
      <c r="W322" s="32" t="s">
        <v>913</v>
      </c>
      <c r="X322" s="32" t="s">
        <v>914</v>
      </c>
      <c r="Y322" s="28" t="s">
        <v>2303</v>
      </c>
      <c r="Z322" s="26" t="s">
        <v>2304</v>
      </c>
      <c r="AA322" s="32" t="s">
        <v>159</v>
      </c>
      <c r="AB322" s="28" t="s">
        <v>160</v>
      </c>
      <c r="AC322" s="28" t="s">
        <v>322</v>
      </c>
      <c r="AD322" s="28" t="s">
        <v>2305</v>
      </c>
      <c r="AE322" s="29" t="s">
        <v>149</v>
      </c>
      <c r="AF322" s="26" t="s">
        <v>149</v>
      </c>
      <c r="AG322" s="26" t="s">
        <v>149</v>
      </c>
      <c r="AH322" s="26" t="s">
        <v>2304</v>
      </c>
      <c r="AI322" s="28" t="s">
        <v>322</v>
      </c>
      <c r="AJ322" s="28" t="s">
        <v>2306</v>
      </c>
      <c r="AK322" s="28" t="s">
        <v>2307</v>
      </c>
      <c r="AL322" s="26" t="s">
        <v>149</v>
      </c>
      <c r="AM322" s="29" t="s">
        <v>149</v>
      </c>
      <c r="AN322" s="28" t="s">
        <v>241</v>
      </c>
      <c r="AO322" s="26" t="s">
        <v>395</v>
      </c>
      <c r="AP322" s="28" t="s">
        <v>396</v>
      </c>
      <c r="AQ322" s="38" t="s">
        <v>541</v>
      </c>
      <c r="AR322" s="26" t="s">
        <v>398</v>
      </c>
      <c r="AS322" s="29" t="s">
        <v>149</v>
      </c>
      <c r="AT322" s="11"/>
    </row>
    <row r="323">
      <c r="A323" s="36" t="s">
        <v>2315</v>
      </c>
      <c r="B323" s="26" t="str">
        <f t="shared" si="1"/>
        <v>2025-PH128003000-2020-0389</v>
      </c>
      <c r="C323" s="27">
        <f t="shared" si="5"/>
        <v>2025</v>
      </c>
      <c r="D323" s="28" t="s">
        <v>191</v>
      </c>
      <c r="E323" s="28" t="s">
        <v>191</v>
      </c>
      <c r="F323" s="28" t="s">
        <v>192</v>
      </c>
      <c r="G323" s="29" t="s">
        <v>356</v>
      </c>
      <c r="H323" s="29" t="s">
        <v>357</v>
      </c>
      <c r="I323" s="29" t="s">
        <v>1689</v>
      </c>
      <c r="J323" s="29" t="s">
        <v>1690</v>
      </c>
      <c r="K323" s="26" t="s">
        <v>149</v>
      </c>
      <c r="L323" s="26" t="s">
        <v>1691</v>
      </c>
      <c r="M323" s="31">
        <v>2020.0</v>
      </c>
      <c r="N323" s="31" t="s">
        <v>149</v>
      </c>
      <c r="O323" s="31" t="s">
        <v>149</v>
      </c>
      <c r="P323" s="28" t="s">
        <v>177</v>
      </c>
      <c r="Q323" s="32" t="s">
        <v>178</v>
      </c>
      <c r="R323" s="28" t="s">
        <v>154</v>
      </c>
      <c r="S323" s="32" t="s">
        <v>154</v>
      </c>
      <c r="T323" s="28" t="s">
        <v>154</v>
      </c>
      <c r="U323" s="28" t="s">
        <v>154</v>
      </c>
      <c r="V323" s="26" t="s">
        <v>179</v>
      </c>
      <c r="W323" s="32" t="s">
        <v>913</v>
      </c>
      <c r="X323" s="32" t="s">
        <v>914</v>
      </c>
      <c r="Y323" s="28" t="s">
        <v>2316</v>
      </c>
      <c r="Z323" s="26" t="s">
        <v>2317</v>
      </c>
      <c r="AA323" s="26" t="s">
        <v>159</v>
      </c>
      <c r="AB323" s="26" t="s">
        <v>160</v>
      </c>
      <c r="AC323" s="28" t="s">
        <v>322</v>
      </c>
      <c r="AD323" s="28" t="s">
        <v>341</v>
      </c>
      <c r="AE323" s="29" t="s">
        <v>149</v>
      </c>
      <c r="AF323" s="26" t="s">
        <v>149</v>
      </c>
      <c r="AG323" s="28" t="s">
        <v>2318</v>
      </c>
      <c r="AH323" s="26" t="s">
        <v>2317</v>
      </c>
      <c r="AI323" s="28" t="s">
        <v>322</v>
      </c>
      <c r="AJ323" s="28" t="s">
        <v>341</v>
      </c>
      <c r="AK323" s="26" t="s">
        <v>2319</v>
      </c>
      <c r="AL323" s="28" t="s">
        <v>149</v>
      </c>
      <c r="AM323" s="28" t="s">
        <v>149</v>
      </c>
      <c r="AN323" s="28" t="s">
        <v>165</v>
      </c>
      <c r="AO323" s="26" t="s">
        <v>166</v>
      </c>
      <c r="AP323" s="26" t="s">
        <v>2320</v>
      </c>
      <c r="AQ323" s="38" t="s">
        <v>2321</v>
      </c>
      <c r="AR323" s="28" t="s">
        <v>149</v>
      </c>
      <c r="AS323" s="11" t="s">
        <v>149</v>
      </c>
      <c r="AT323" s="11"/>
    </row>
    <row r="324">
      <c r="A324" s="36" t="s">
        <v>2322</v>
      </c>
      <c r="B324" s="26" t="str">
        <f t="shared" si="1"/>
        <v>2025-PH153830000-2024-0447</v>
      </c>
      <c r="C324" s="27">
        <f t="shared" si="5"/>
        <v>2025</v>
      </c>
      <c r="D324" s="28" t="s">
        <v>191</v>
      </c>
      <c r="E324" s="28" t="s">
        <v>191</v>
      </c>
      <c r="F324" s="28" t="s">
        <v>142</v>
      </c>
      <c r="G324" s="29" t="s">
        <v>642</v>
      </c>
      <c r="H324" s="29" t="s">
        <v>643</v>
      </c>
      <c r="I324" s="40" t="s">
        <v>1307</v>
      </c>
      <c r="J324" s="29" t="s">
        <v>1308</v>
      </c>
      <c r="K324" s="26" t="s">
        <v>149</v>
      </c>
      <c r="L324" s="28" t="s">
        <v>2323</v>
      </c>
      <c r="M324" s="31">
        <v>2024.0</v>
      </c>
      <c r="N324" s="49">
        <v>2024.0</v>
      </c>
      <c r="O324" s="49">
        <v>2024.0</v>
      </c>
      <c r="P324" s="28" t="s">
        <v>177</v>
      </c>
      <c r="Q324" s="32" t="s">
        <v>319</v>
      </c>
      <c r="R324" s="28" t="s">
        <v>154</v>
      </c>
      <c r="S324" s="32" t="s">
        <v>154</v>
      </c>
      <c r="T324" s="28" t="s">
        <v>300</v>
      </c>
      <c r="U324" s="28" t="s">
        <v>1099</v>
      </c>
      <c r="V324" s="28" t="s">
        <v>2324</v>
      </c>
      <c r="W324" s="32" t="s">
        <v>913</v>
      </c>
      <c r="X324" s="32" t="s">
        <v>914</v>
      </c>
      <c r="Y324" s="28" t="s">
        <v>2325</v>
      </c>
      <c r="Z324" s="28" t="s">
        <v>1312</v>
      </c>
      <c r="AA324" s="26" t="s">
        <v>159</v>
      </c>
      <c r="AB324" s="28" t="s">
        <v>160</v>
      </c>
      <c r="AC324" s="28" t="s">
        <v>1313</v>
      </c>
      <c r="AD324" s="28" t="s">
        <v>1312</v>
      </c>
      <c r="AE324" s="29" t="s">
        <v>149</v>
      </c>
      <c r="AF324" s="26" t="s">
        <v>149</v>
      </c>
      <c r="AG324" s="26" t="s">
        <v>149</v>
      </c>
      <c r="AH324" s="26" t="s">
        <v>1314</v>
      </c>
      <c r="AI324" s="28" t="s">
        <v>1313</v>
      </c>
      <c r="AJ324" s="28" t="s">
        <v>1312</v>
      </c>
      <c r="AK324" s="28" t="s">
        <v>2326</v>
      </c>
      <c r="AL324" s="28" t="s">
        <v>149</v>
      </c>
      <c r="AM324" s="28" t="s">
        <v>149</v>
      </c>
      <c r="AN324" s="28" t="s">
        <v>165</v>
      </c>
      <c r="AO324" s="26" t="s">
        <v>166</v>
      </c>
      <c r="AP324" s="28" t="s">
        <v>2327</v>
      </c>
      <c r="AQ324" s="38" t="s">
        <v>2328</v>
      </c>
      <c r="AR324" s="28" t="s">
        <v>149</v>
      </c>
      <c r="AS324" s="28" t="s">
        <v>149</v>
      </c>
      <c r="AT324" s="42"/>
    </row>
    <row r="325">
      <c r="A325" s="36" t="s">
        <v>2329</v>
      </c>
      <c r="B325" s="26" t="str">
        <f t="shared" si="1"/>
        <v>2023-PH063001000-2014-0247</v>
      </c>
      <c r="C325" s="27">
        <f t="shared" si="5"/>
        <v>2023</v>
      </c>
      <c r="D325" s="37" t="s">
        <v>140</v>
      </c>
      <c r="E325" s="28" t="s">
        <v>141</v>
      </c>
      <c r="F325" s="28" t="s">
        <v>192</v>
      </c>
      <c r="G325" s="29" t="s">
        <v>314</v>
      </c>
      <c r="H325" s="29" t="s">
        <v>558</v>
      </c>
      <c r="I325" s="29" t="s">
        <v>1604</v>
      </c>
      <c r="J325" s="29" t="s">
        <v>1605</v>
      </c>
      <c r="K325" s="26" t="s">
        <v>149</v>
      </c>
      <c r="L325" s="46" t="s">
        <v>149</v>
      </c>
      <c r="M325" s="31">
        <v>2014.0</v>
      </c>
      <c r="N325" s="31" t="s">
        <v>149</v>
      </c>
      <c r="O325" s="31" t="s">
        <v>149</v>
      </c>
      <c r="P325" s="28" t="s">
        <v>263</v>
      </c>
      <c r="Q325" s="32" t="s">
        <v>926</v>
      </c>
      <c r="R325" s="28" t="s">
        <v>149</v>
      </c>
      <c r="S325" s="32" t="s">
        <v>149</v>
      </c>
      <c r="T325" s="28" t="s">
        <v>300</v>
      </c>
      <c r="U325" s="28" t="s">
        <v>320</v>
      </c>
      <c r="V325" s="26" t="s">
        <v>730</v>
      </c>
      <c r="W325" s="32" t="s">
        <v>2155</v>
      </c>
      <c r="X325" s="32" t="s">
        <v>2330</v>
      </c>
      <c r="Y325" s="26" t="s">
        <v>2331</v>
      </c>
      <c r="Z325" s="26" t="s">
        <v>2332</v>
      </c>
      <c r="AA325" s="26" t="s">
        <v>159</v>
      </c>
      <c r="AB325" s="28" t="s">
        <v>205</v>
      </c>
      <c r="AC325" s="26" t="s">
        <v>306</v>
      </c>
      <c r="AD325" s="28" t="s">
        <v>306</v>
      </c>
      <c r="AE325" s="29" t="s">
        <v>149</v>
      </c>
      <c r="AF325" s="26" t="s">
        <v>149</v>
      </c>
      <c r="AG325" s="28" t="s">
        <v>2333</v>
      </c>
      <c r="AH325" s="26" t="s">
        <v>2332</v>
      </c>
      <c r="AI325" s="26" t="s">
        <v>306</v>
      </c>
      <c r="AJ325" s="28" t="s">
        <v>306</v>
      </c>
      <c r="AK325" s="26" t="s">
        <v>2334</v>
      </c>
      <c r="AL325" s="11" t="s">
        <v>149</v>
      </c>
      <c r="AM325" s="11" t="s">
        <v>149</v>
      </c>
      <c r="AN325" s="28" t="s">
        <v>165</v>
      </c>
      <c r="AO325" s="28" t="s">
        <v>731</v>
      </c>
      <c r="AP325" s="26" t="s">
        <v>2335</v>
      </c>
      <c r="AQ325" s="38" t="s">
        <v>2336</v>
      </c>
      <c r="AR325" s="11" t="s">
        <v>149</v>
      </c>
      <c r="AS325" s="11" t="s">
        <v>149</v>
      </c>
      <c r="AT325" s="28"/>
    </row>
    <row r="326">
      <c r="A326" s="36" t="s">
        <v>2337</v>
      </c>
      <c r="B326" s="26" t="str">
        <f t="shared" si="1"/>
        <v>2023-PH063014000-2014-0252</v>
      </c>
      <c r="C326" s="27">
        <f t="shared" si="5"/>
        <v>2023</v>
      </c>
      <c r="D326" s="37" t="s">
        <v>140</v>
      </c>
      <c r="E326" s="28" t="s">
        <v>141</v>
      </c>
      <c r="F326" s="28" t="s">
        <v>192</v>
      </c>
      <c r="G326" s="29" t="s">
        <v>314</v>
      </c>
      <c r="H326" s="29" t="s">
        <v>558</v>
      </c>
      <c r="I326" s="29" t="s">
        <v>786</v>
      </c>
      <c r="J326" s="29" t="s">
        <v>787</v>
      </c>
      <c r="K326" s="26" t="s">
        <v>149</v>
      </c>
      <c r="L326" s="47" t="s">
        <v>149</v>
      </c>
      <c r="M326" s="31">
        <v>2014.0</v>
      </c>
      <c r="N326" s="31" t="s">
        <v>149</v>
      </c>
      <c r="O326" s="31" t="s">
        <v>149</v>
      </c>
      <c r="P326" s="28" t="s">
        <v>263</v>
      </c>
      <c r="Q326" s="32" t="s">
        <v>926</v>
      </c>
      <c r="R326" s="28" t="s">
        <v>149</v>
      </c>
      <c r="S326" s="32" t="s">
        <v>149</v>
      </c>
      <c r="T326" s="28" t="s">
        <v>300</v>
      </c>
      <c r="U326" s="28" t="s">
        <v>320</v>
      </c>
      <c r="V326" s="26" t="s">
        <v>730</v>
      </c>
      <c r="W326" s="32" t="s">
        <v>2155</v>
      </c>
      <c r="X326" s="109" t="s">
        <v>2330</v>
      </c>
      <c r="Y326" s="26" t="s">
        <v>2331</v>
      </c>
      <c r="Z326" s="26" t="s">
        <v>2332</v>
      </c>
      <c r="AA326" s="26" t="s">
        <v>159</v>
      </c>
      <c r="AB326" s="28" t="s">
        <v>205</v>
      </c>
      <c r="AC326" s="26" t="s">
        <v>306</v>
      </c>
      <c r="AD326" s="28" t="s">
        <v>306</v>
      </c>
      <c r="AE326" s="29" t="s">
        <v>149</v>
      </c>
      <c r="AF326" s="26" t="s">
        <v>149</v>
      </c>
      <c r="AG326" s="26" t="s">
        <v>149</v>
      </c>
      <c r="AH326" s="26" t="s">
        <v>2332</v>
      </c>
      <c r="AI326" s="26" t="s">
        <v>306</v>
      </c>
      <c r="AJ326" s="28" t="s">
        <v>306</v>
      </c>
      <c r="AK326" s="26" t="s">
        <v>369</v>
      </c>
      <c r="AL326" s="11" t="s">
        <v>149</v>
      </c>
      <c r="AM326" s="11" t="s">
        <v>149</v>
      </c>
      <c r="AN326" s="28" t="s">
        <v>165</v>
      </c>
      <c r="AO326" s="28" t="s">
        <v>731</v>
      </c>
      <c r="AP326" s="26" t="s">
        <v>2335</v>
      </c>
      <c r="AQ326" s="26" t="s">
        <v>2336</v>
      </c>
      <c r="AR326" s="11" t="s">
        <v>149</v>
      </c>
      <c r="AS326" s="11" t="s">
        <v>149</v>
      </c>
      <c r="AT326" s="28"/>
    </row>
    <row r="327">
      <c r="A327" s="36" t="s">
        <v>2338</v>
      </c>
      <c r="B327" s="26" t="str">
        <f t="shared" si="1"/>
        <v>2023-PH063015000-2014-0253</v>
      </c>
      <c r="C327" s="27">
        <f t="shared" si="5"/>
        <v>2023</v>
      </c>
      <c r="D327" s="37" t="s">
        <v>140</v>
      </c>
      <c r="E327" s="28" t="s">
        <v>141</v>
      </c>
      <c r="F327" s="28" t="s">
        <v>192</v>
      </c>
      <c r="G327" s="29" t="s">
        <v>314</v>
      </c>
      <c r="H327" s="29" t="s">
        <v>558</v>
      </c>
      <c r="I327" s="29" t="s">
        <v>2066</v>
      </c>
      <c r="J327" s="29" t="s">
        <v>2067</v>
      </c>
      <c r="K327" s="26" t="s">
        <v>149</v>
      </c>
      <c r="L327" s="47" t="s">
        <v>149</v>
      </c>
      <c r="M327" s="31">
        <v>2014.0</v>
      </c>
      <c r="N327" s="31" t="s">
        <v>149</v>
      </c>
      <c r="O327" s="31" t="s">
        <v>149</v>
      </c>
      <c r="P327" s="28" t="s">
        <v>263</v>
      </c>
      <c r="Q327" s="32" t="s">
        <v>926</v>
      </c>
      <c r="R327" s="28" t="s">
        <v>149</v>
      </c>
      <c r="S327" s="32" t="s">
        <v>149</v>
      </c>
      <c r="T327" s="28" t="s">
        <v>300</v>
      </c>
      <c r="U327" s="28" t="s">
        <v>320</v>
      </c>
      <c r="V327" s="26" t="s">
        <v>730</v>
      </c>
      <c r="W327" s="32" t="s">
        <v>2155</v>
      </c>
      <c r="X327" s="32" t="s">
        <v>2330</v>
      </c>
      <c r="Y327" s="26" t="s">
        <v>2331</v>
      </c>
      <c r="Z327" s="26" t="s">
        <v>2332</v>
      </c>
      <c r="AA327" s="26" t="s">
        <v>159</v>
      </c>
      <c r="AB327" s="28" t="s">
        <v>205</v>
      </c>
      <c r="AC327" s="26" t="s">
        <v>306</v>
      </c>
      <c r="AD327" s="28" t="s">
        <v>306</v>
      </c>
      <c r="AE327" s="29" t="s">
        <v>149</v>
      </c>
      <c r="AF327" s="26" t="s">
        <v>149</v>
      </c>
      <c r="AG327" s="26" t="s">
        <v>149</v>
      </c>
      <c r="AH327" s="26" t="s">
        <v>2332</v>
      </c>
      <c r="AI327" s="26" t="s">
        <v>306</v>
      </c>
      <c r="AJ327" s="28" t="s">
        <v>306</v>
      </c>
      <c r="AK327" s="26" t="s">
        <v>369</v>
      </c>
      <c r="AL327" s="26" t="s">
        <v>2339</v>
      </c>
      <c r="AM327" s="11" t="s">
        <v>149</v>
      </c>
      <c r="AN327" s="28" t="s">
        <v>165</v>
      </c>
      <c r="AO327" s="28" t="s">
        <v>731</v>
      </c>
      <c r="AP327" s="26" t="s">
        <v>2335</v>
      </c>
      <c r="AQ327" s="38" t="s">
        <v>2336</v>
      </c>
      <c r="AR327" s="11" t="s">
        <v>149</v>
      </c>
      <c r="AS327" s="11" t="s">
        <v>149</v>
      </c>
      <c r="AT327" s="28"/>
    </row>
    <row r="328">
      <c r="A328" s="36" t="s">
        <v>2340</v>
      </c>
      <c r="B328" s="26" t="str">
        <f t="shared" si="1"/>
        <v>2023-PH074610000-2017-0422</v>
      </c>
      <c r="C328" s="27">
        <f t="shared" si="5"/>
        <v>2023</v>
      </c>
      <c r="D328" s="28" t="s">
        <v>140</v>
      </c>
      <c r="E328" s="28" t="s">
        <v>141</v>
      </c>
      <c r="F328" s="28" t="s">
        <v>142</v>
      </c>
      <c r="G328" s="29" t="s">
        <v>625</v>
      </c>
      <c r="H328" s="29" t="s">
        <v>632</v>
      </c>
      <c r="I328" s="55" t="s">
        <v>986</v>
      </c>
      <c r="J328" s="55" t="s">
        <v>987</v>
      </c>
      <c r="K328" s="26" t="s">
        <v>149</v>
      </c>
      <c r="L328" s="29" t="s">
        <v>149</v>
      </c>
      <c r="M328" s="49">
        <v>2017.0</v>
      </c>
      <c r="N328" s="31" t="s">
        <v>149</v>
      </c>
      <c r="O328" s="31" t="s">
        <v>149</v>
      </c>
      <c r="P328" s="28" t="s">
        <v>150</v>
      </c>
      <c r="Q328" s="32" t="s">
        <v>151</v>
      </c>
      <c r="R328" s="50" t="s">
        <v>152</v>
      </c>
      <c r="S328" s="32" t="s">
        <v>361</v>
      </c>
      <c r="T328" s="28" t="s">
        <v>154</v>
      </c>
      <c r="U328" s="28" t="s">
        <v>154</v>
      </c>
      <c r="V328" s="26" t="s">
        <v>361</v>
      </c>
      <c r="W328" s="32" t="s">
        <v>180</v>
      </c>
      <c r="X328" s="32" t="s">
        <v>181</v>
      </c>
      <c r="Y328" s="26" t="s">
        <v>2341</v>
      </c>
      <c r="Z328" s="26" t="s">
        <v>2342</v>
      </c>
      <c r="AA328" s="26" t="s">
        <v>159</v>
      </c>
      <c r="AB328" s="26" t="s">
        <v>160</v>
      </c>
      <c r="AC328" s="26" t="s">
        <v>184</v>
      </c>
      <c r="AD328" s="28" t="s">
        <v>184</v>
      </c>
      <c r="AE328" s="29" t="s">
        <v>149</v>
      </c>
      <c r="AF328" s="26" t="s">
        <v>149</v>
      </c>
      <c r="AG328" s="26" t="s">
        <v>149</v>
      </c>
      <c r="AH328" s="26" t="s">
        <v>2343</v>
      </c>
      <c r="AI328" s="26" t="s">
        <v>271</v>
      </c>
      <c r="AJ328" s="28" t="s">
        <v>271</v>
      </c>
      <c r="AK328" s="29" t="s">
        <v>149</v>
      </c>
      <c r="AL328" s="26" t="s">
        <v>2342</v>
      </c>
      <c r="AM328" s="29" t="s">
        <v>149</v>
      </c>
      <c r="AN328" s="28" t="s">
        <v>165</v>
      </c>
      <c r="AO328" s="28" t="s">
        <v>731</v>
      </c>
      <c r="AP328" s="26" t="s">
        <v>2344</v>
      </c>
      <c r="AQ328" s="38" t="s">
        <v>2345</v>
      </c>
      <c r="AR328" s="29" t="s">
        <v>149</v>
      </c>
      <c r="AS328" s="29" t="s">
        <v>149</v>
      </c>
      <c r="AT328" s="26"/>
    </row>
    <row r="329">
      <c r="A329" s="36" t="s">
        <v>2346</v>
      </c>
      <c r="B329" s="26" t="str">
        <f t="shared" si="1"/>
        <v>2023-PH128004000-2012-0392</v>
      </c>
      <c r="C329" s="27">
        <f t="shared" si="5"/>
        <v>2023</v>
      </c>
      <c r="D329" s="37" t="s">
        <v>140</v>
      </c>
      <c r="E329" s="28" t="s">
        <v>141</v>
      </c>
      <c r="F329" s="28" t="s">
        <v>192</v>
      </c>
      <c r="G329" s="29" t="s">
        <v>356</v>
      </c>
      <c r="H329" s="29" t="s">
        <v>357</v>
      </c>
      <c r="I329" s="29" t="s">
        <v>358</v>
      </c>
      <c r="J329" s="29" t="s">
        <v>359</v>
      </c>
      <c r="K329" s="26" t="s">
        <v>149</v>
      </c>
      <c r="L329" s="28" t="s">
        <v>2347</v>
      </c>
      <c r="M329" s="31">
        <v>2012.0</v>
      </c>
      <c r="N329" s="31" t="s">
        <v>149</v>
      </c>
      <c r="O329" s="41" t="s">
        <v>149</v>
      </c>
      <c r="P329" s="28" t="s">
        <v>150</v>
      </c>
      <c r="Q329" s="32" t="s">
        <v>151</v>
      </c>
      <c r="R329" s="50" t="s">
        <v>152</v>
      </c>
      <c r="S329" s="32" t="s">
        <v>361</v>
      </c>
      <c r="T329" s="28" t="s">
        <v>154</v>
      </c>
      <c r="U329" s="28" t="s">
        <v>154</v>
      </c>
      <c r="V329" s="26" t="s">
        <v>362</v>
      </c>
      <c r="W329" s="32" t="s">
        <v>180</v>
      </c>
      <c r="X329" s="32" t="s">
        <v>181</v>
      </c>
      <c r="Y329" s="26" t="s">
        <v>2348</v>
      </c>
      <c r="Z329" s="26" t="s">
        <v>2349</v>
      </c>
      <c r="AA329" s="26" t="s">
        <v>159</v>
      </c>
      <c r="AB329" s="28" t="s">
        <v>205</v>
      </c>
      <c r="AC329" s="26" t="s">
        <v>306</v>
      </c>
      <c r="AD329" s="28" t="s">
        <v>306</v>
      </c>
      <c r="AE329" s="29" t="s">
        <v>149</v>
      </c>
      <c r="AF329" s="26" t="s">
        <v>149</v>
      </c>
      <c r="AG329" s="26" t="s">
        <v>2350</v>
      </c>
      <c r="AH329" s="26" t="s">
        <v>368</v>
      </c>
      <c r="AI329" s="26" t="s">
        <v>306</v>
      </c>
      <c r="AJ329" s="28" t="s">
        <v>306</v>
      </c>
      <c r="AK329" s="28" t="s">
        <v>2351</v>
      </c>
      <c r="AL329" s="26" t="s">
        <v>2352</v>
      </c>
      <c r="AM329" s="26" t="s">
        <v>2353</v>
      </c>
      <c r="AN329" s="28" t="s">
        <v>165</v>
      </c>
      <c r="AO329" s="28" t="s">
        <v>289</v>
      </c>
      <c r="AP329" s="26" t="s">
        <v>2354</v>
      </c>
      <c r="AQ329" s="34" t="s">
        <v>2355</v>
      </c>
      <c r="AR329" s="11" t="s">
        <v>149</v>
      </c>
      <c r="AS329" s="11" t="s">
        <v>149</v>
      </c>
      <c r="AT329" s="11"/>
    </row>
    <row r="330">
      <c r="A330" s="36" t="s">
        <v>2356</v>
      </c>
      <c r="B330" s="26" t="str">
        <f t="shared" si="1"/>
        <v>2023-PH050506000-Unknown-0185</v>
      </c>
      <c r="C330" s="27">
        <f t="shared" si="5"/>
        <v>2023</v>
      </c>
      <c r="D330" s="28" t="s">
        <v>140</v>
      </c>
      <c r="E330" s="28" t="s">
        <v>141</v>
      </c>
      <c r="F330" s="28" t="s">
        <v>192</v>
      </c>
      <c r="G330" s="29" t="s">
        <v>535</v>
      </c>
      <c r="H330" s="29" t="s">
        <v>893</v>
      </c>
      <c r="I330" s="40" t="s">
        <v>1875</v>
      </c>
      <c r="J330" s="29" t="s">
        <v>1876</v>
      </c>
      <c r="K330" s="26" t="s">
        <v>149</v>
      </c>
      <c r="L330" s="26" t="s">
        <v>149</v>
      </c>
      <c r="M330" s="31" t="s">
        <v>149</v>
      </c>
      <c r="N330" s="31" t="s">
        <v>149</v>
      </c>
      <c r="O330" s="31" t="s">
        <v>149</v>
      </c>
      <c r="P330" s="28" t="s">
        <v>177</v>
      </c>
      <c r="Q330" s="32" t="s">
        <v>319</v>
      </c>
      <c r="R330" s="28" t="s">
        <v>154</v>
      </c>
      <c r="S330" s="32" t="s">
        <v>154</v>
      </c>
      <c r="T330" s="28" t="s">
        <v>300</v>
      </c>
      <c r="U330" s="28" t="s">
        <v>149</v>
      </c>
      <c r="V330" s="26" t="s">
        <v>179</v>
      </c>
      <c r="W330" s="32" t="s">
        <v>180</v>
      </c>
      <c r="X330" s="32" t="s">
        <v>181</v>
      </c>
      <c r="Y330" s="26" t="s">
        <v>2357</v>
      </c>
      <c r="Z330" s="26" t="s">
        <v>369</v>
      </c>
      <c r="AA330" s="26" t="s">
        <v>159</v>
      </c>
      <c r="AB330" s="26" t="s">
        <v>160</v>
      </c>
      <c r="AC330" s="28" t="s">
        <v>161</v>
      </c>
      <c r="AD330" s="28" t="s">
        <v>369</v>
      </c>
      <c r="AE330" s="29" t="s">
        <v>149</v>
      </c>
      <c r="AF330" s="26" t="s">
        <v>149</v>
      </c>
      <c r="AG330" s="26" t="s">
        <v>149</v>
      </c>
      <c r="AH330" s="26" t="s">
        <v>369</v>
      </c>
      <c r="AI330" s="28" t="s">
        <v>161</v>
      </c>
      <c r="AJ330" s="28" t="s">
        <v>369</v>
      </c>
      <c r="AK330" s="28" t="s">
        <v>2358</v>
      </c>
      <c r="AL330" s="26" t="s">
        <v>2359</v>
      </c>
      <c r="AM330" s="26" t="s">
        <v>149</v>
      </c>
      <c r="AN330" s="28" t="s">
        <v>165</v>
      </c>
      <c r="AO330" s="28" t="s">
        <v>289</v>
      </c>
      <c r="AP330" s="26" t="s">
        <v>2360</v>
      </c>
      <c r="AQ330" s="38" t="s">
        <v>2361</v>
      </c>
      <c r="AR330" s="26" t="s">
        <v>149</v>
      </c>
      <c r="AS330" s="26" t="s">
        <v>149</v>
      </c>
      <c r="AT330" s="26"/>
    </row>
    <row r="331">
      <c r="A331" s="25" t="s">
        <v>2362</v>
      </c>
      <c r="B331" s="26" t="str">
        <f t="shared" si="1"/>
        <v>2023-PH012808000-2023-0002</v>
      </c>
      <c r="C331" s="27">
        <f t="shared" si="5"/>
        <v>2023</v>
      </c>
      <c r="D331" s="28" t="s">
        <v>140</v>
      </c>
      <c r="E331" s="28" t="s">
        <v>141</v>
      </c>
      <c r="F331" s="28" t="s">
        <v>142</v>
      </c>
      <c r="G331" s="29" t="s">
        <v>143</v>
      </c>
      <c r="H331" s="29" t="s">
        <v>381</v>
      </c>
      <c r="I331" s="29" t="s">
        <v>2363</v>
      </c>
      <c r="J331" s="29" t="s">
        <v>2364</v>
      </c>
      <c r="K331" s="26" t="s">
        <v>149</v>
      </c>
      <c r="L331" s="26" t="s">
        <v>2365</v>
      </c>
      <c r="M331" s="31">
        <v>2023.0</v>
      </c>
      <c r="N331" s="31" t="s">
        <v>149</v>
      </c>
      <c r="O331" s="31" t="s">
        <v>149</v>
      </c>
      <c r="P331" s="28" t="s">
        <v>150</v>
      </c>
      <c r="Q331" s="32" t="s">
        <v>151</v>
      </c>
      <c r="R331" s="28" t="s">
        <v>152</v>
      </c>
      <c r="S331" s="32" t="s">
        <v>2049</v>
      </c>
      <c r="T331" s="28" t="s">
        <v>154</v>
      </c>
      <c r="U331" s="28" t="s">
        <v>154</v>
      </c>
      <c r="V331" s="28" t="s">
        <v>2049</v>
      </c>
      <c r="W331" s="32" t="s">
        <v>180</v>
      </c>
      <c r="X331" s="32" t="s">
        <v>181</v>
      </c>
      <c r="Y331" s="28" t="s">
        <v>2366</v>
      </c>
      <c r="Z331" s="33" t="s">
        <v>2367</v>
      </c>
      <c r="AA331" s="26" t="s">
        <v>159</v>
      </c>
      <c r="AB331" s="26" t="s">
        <v>160</v>
      </c>
      <c r="AC331" s="32" t="s">
        <v>2368</v>
      </c>
      <c r="AD331" s="28" t="s">
        <v>158</v>
      </c>
      <c r="AE331" s="29" t="s">
        <v>149</v>
      </c>
      <c r="AF331" s="88" t="s">
        <v>149</v>
      </c>
      <c r="AG331" s="88" t="s">
        <v>149</v>
      </c>
      <c r="AH331" s="28" t="s">
        <v>2367</v>
      </c>
      <c r="AI331" s="28" t="s">
        <v>2369</v>
      </c>
      <c r="AJ331" s="28" t="s">
        <v>158</v>
      </c>
      <c r="AK331" s="28" t="s">
        <v>2370</v>
      </c>
      <c r="AL331" s="26" t="s">
        <v>2371</v>
      </c>
      <c r="AM331" s="45" t="s">
        <v>149</v>
      </c>
      <c r="AN331" s="28" t="s">
        <v>165</v>
      </c>
      <c r="AO331" s="26" t="s">
        <v>166</v>
      </c>
      <c r="AP331" s="26" t="s">
        <v>2372</v>
      </c>
      <c r="AQ331" s="38" t="s">
        <v>2373</v>
      </c>
      <c r="AR331" s="45" t="s">
        <v>149</v>
      </c>
      <c r="AS331" s="45" t="s">
        <v>149</v>
      </c>
      <c r="AT331" s="26"/>
    </row>
    <row r="332">
      <c r="A332" s="36" t="s">
        <v>2374</v>
      </c>
      <c r="B332" s="26" t="str">
        <f t="shared" si="1"/>
        <v>2023-PH166725000-2015-0405</v>
      </c>
      <c r="C332" s="27">
        <f t="shared" si="5"/>
        <v>2023</v>
      </c>
      <c r="D332" s="37" t="s">
        <v>140</v>
      </c>
      <c r="E332" s="28" t="s">
        <v>141</v>
      </c>
      <c r="F332" s="28" t="s">
        <v>192</v>
      </c>
      <c r="G332" s="29" t="s">
        <v>345</v>
      </c>
      <c r="H332" s="29" t="s">
        <v>346</v>
      </c>
      <c r="I332" s="29" t="s">
        <v>2375</v>
      </c>
      <c r="J332" s="29" t="s">
        <v>2376</v>
      </c>
      <c r="K332" s="26" t="s">
        <v>149</v>
      </c>
      <c r="L332" s="26" t="s">
        <v>2377</v>
      </c>
      <c r="M332" s="31">
        <v>2015.0</v>
      </c>
      <c r="N332" s="31">
        <v>2015.0</v>
      </c>
      <c r="O332" s="31" t="s">
        <v>149</v>
      </c>
      <c r="P332" s="28" t="s">
        <v>263</v>
      </c>
      <c r="Q332" s="32" t="s">
        <v>264</v>
      </c>
      <c r="R332" s="28" t="s">
        <v>152</v>
      </c>
      <c r="S332" s="32" t="s">
        <v>911</v>
      </c>
      <c r="T332" s="28" t="s">
        <v>154</v>
      </c>
      <c r="U332" s="28" t="s">
        <v>154</v>
      </c>
      <c r="V332" s="26" t="s">
        <v>2378</v>
      </c>
      <c r="W332" s="32" t="s">
        <v>180</v>
      </c>
      <c r="X332" s="32" t="s">
        <v>181</v>
      </c>
      <c r="Y332" s="26" t="s">
        <v>2379</v>
      </c>
      <c r="Z332" s="26" t="s">
        <v>2380</v>
      </c>
      <c r="AA332" s="26" t="s">
        <v>159</v>
      </c>
      <c r="AB332" s="26" t="s">
        <v>160</v>
      </c>
      <c r="AC332" s="26" t="s">
        <v>184</v>
      </c>
      <c r="AD332" s="28" t="s">
        <v>184</v>
      </c>
      <c r="AE332" s="29" t="s">
        <v>149</v>
      </c>
      <c r="AF332" s="26" t="s">
        <v>149</v>
      </c>
      <c r="AG332" s="28" t="s">
        <v>2381</v>
      </c>
      <c r="AH332" s="26" t="s">
        <v>2380</v>
      </c>
      <c r="AI332" s="26" t="s">
        <v>184</v>
      </c>
      <c r="AJ332" s="28" t="s">
        <v>184</v>
      </c>
      <c r="AK332" s="11" t="s">
        <v>149</v>
      </c>
      <c r="AL332" s="26" t="s">
        <v>2382</v>
      </c>
      <c r="AM332" s="11" t="s">
        <v>149</v>
      </c>
      <c r="AN332" s="28" t="s">
        <v>165</v>
      </c>
      <c r="AO332" s="26" t="s">
        <v>166</v>
      </c>
      <c r="AP332" s="26" t="s">
        <v>2383</v>
      </c>
      <c r="AQ332" s="38" t="s">
        <v>2384</v>
      </c>
      <c r="AR332" s="11" t="s">
        <v>149</v>
      </c>
      <c r="AS332" s="11" t="s">
        <v>149</v>
      </c>
      <c r="AT332" s="11"/>
    </row>
    <row r="333">
      <c r="A333" s="36" t="s">
        <v>2385</v>
      </c>
      <c r="B333" s="26" t="str">
        <f t="shared" si="1"/>
        <v>2023-PH045603000-2005-0144</v>
      </c>
      <c r="C333" s="27">
        <f t="shared" si="5"/>
        <v>2023</v>
      </c>
      <c r="D333" s="28" t="s">
        <v>140</v>
      </c>
      <c r="E333" s="28" t="s">
        <v>141</v>
      </c>
      <c r="F333" s="28" t="s">
        <v>192</v>
      </c>
      <c r="G333" s="29" t="s">
        <v>257</v>
      </c>
      <c r="H333" s="29" t="s">
        <v>497</v>
      </c>
      <c r="I333" s="29" t="s">
        <v>498</v>
      </c>
      <c r="J333" s="29" t="s">
        <v>499</v>
      </c>
      <c r="K333" s="26" t="s">
        <v>149</v>
      </c>
      <c r="L333" s="26" t="s">
        <v>149</v>
      </c>
      <c r="M333" s="31">
        <v>2005.0</v>
      </c>
      <c r="N333" s="31" t="s">
        <v>149</v>
      </c>
      <c r="O333" s="31" t="s">
        <v>149</v>
      </c>
      <c r="P333" s="28" t="s">
        <v>150</v>
      </c>
      <c r="Q333" s="32" t="s">
        <v>151</v>
      </c>
      <c r="R333" s="28" t="s">
        <v>152</v>
      </c>
      <c r="S333" s="32" t="s">
        <v>2049</v>
      </c>
      <c r="T333" s="28" t="s">
        <v>154</v>
      </c>
      <c r="U333" s="28" t="s">
        <v>154</v>
      </c>
      <c r="V333" s="26" t="s">
        <v>2386</v>
      </c>
      <c r="W333" s="32" t="s">
        <v>180</v>
      </c>
      <c r="X333" s="32" t="s">
        <v>181</v>
      </c>
      <c r="Y333" s="26" t="s">
        <v>2387</v>
      </c>
      <c r="Z333" s="26" t="s">
        <v>2388</v>
      </c>
      <c r="AA333" s="26" t="s">
        <v>159</v>
      </c>
      <c r="AB333" s="28" t="s">
        <v>205</v>
      </c>
      <c r="AC333" s="26" t="s">
        <v>306</v>
      </c>
      <c r="AD333" s="28" t="s">
        <v>306</v>
      </c>
      <c r="AE333" s="29" t="s">
        <v>149</v>
      </c>
      <c r="AF333" s="3" t="s">
        <v>2389</v>
      </c>
      <c r="AG333" s="26" t="s">
        <v>2390</v>
      </c>
      <c r="AH333" s="26" t="s">
        <v>2391</v>
      </c>
      <c r="AI333" s="26" t="s">
        <v>271</v>
      </c>
      <c r="AJ333" s="28" t="s">
        <v>271</v>
      </c>
      <c r="AK333" s="26" t="s">
        <v>149</v>
      </c>
      <c r="AL333" s="28" t="s">
        <v>2392</v>
      </c>
      <c r="AM333" s="26" t="s">
        <v>149</v>
      </c>
      <c r="AN333" s="28" t="s">
        <v>165</v>
      </c>
      <c r="AO333" s="28" t="s">
        <v>289</v>
      </c>
      <c r="AP333" s="26" t="s">
        <v>2393</v>
      </c>
      <c r="AQ333" s="38" t="s">
        <v>2394</v>
      </c>
      <c r="AR333" s="26" t="s">
        <v>149</v>
      </c>
      <c r="AS333" s="26" t="s">
        <v>149</v>
      </c>
      <c r="AT333" s="45"/>
    </row>
    <row r="334">
      <c r="A334" s="36" t="s">
        <v>2395</v>
      </c>
      <c r="B334" s="26" t="str">
        <f t="shared" si="1"/>
        <v>2023-PH072242000-2000-0294</v>
      </c>
      <c r="C334" s="27">
        <f t="shared" si="5"/>
        <v>2023</v>
      </c>
      <c r="D334" s="28" t="s">
        <v>140</v>
      </c>
      <c r="E334" s="28" t="s">
        <v>141</v>
      </c>
      <c r="F334" s="28" t="s">
        <v>192</v>
      </c>
      <c r="G334" s="29" t="s">
        <v>193</v>
      </c>
      <c r="H334" s="29" t="s">
        <v>194</v>
      </c>
      <c r="I334" s="29" t="s">
        <v>969</v>
      </c>
      <c r="J334" s="29" t="s">
        <v>970</v>
      </c>
      <c r="K334" s="26" t="s">
        <v>149</v>
      </c>
      <c r="L334" s="28" t="s">
        <v>2396</v>
      </c>
      <c r="M334" s="31">
        <v>2000.0</v>
      </c>
      <c r="N334" s="31" t="s">
        <v>149</v>
      </c>
      <c r="O334" s="31" t="s">
        <v>149</v>
      </c>
      <c r="P334" s="28" t="s">
        <v>177</v>
      </c>
      <c r="Q334" s="32" t="s">
        <v>319</v>
      </c>
      <c r="R334" s="28" t="s">
        <v>154</v>
      </c>
      <c r="S334" s="32" t="s">
        <v>154</v>
      </c>
      <c r="T334" s="28" t="s">
        <v>300</v>
      </c>
      <c r="U334" s="28" t="s">
        <v>320</v>
      </c>
      <c r="V334" s="26" t="s">
        <v>320</v>
      </c>
      <c r="W334" s="32" t="s">
        <v>180</v>
      </c>
      <c r="X334" s="32" t="s">
        <v>181</v>
      </c>
      <c r="Y334" s="26" t="s">
        <v>2397</v>
      </c>
      <c r="Z334" s="26" t="s">
        <v>149</v>
      </c>
      <c r="AA334" s="26" t="s">
        <v>159</v>
      </c>
      <c r="AB334" s="26" t="s">
        <v>149</v>
      </c>
      <c r="AC334" s="26" t="s">
        <v>149</v>
      </c>
      <c r="AD334" s="28" t="s">
        <v>149</v>
      </c>
      <c r="AE334" s="29" t="s">
        <v>149</v>
      </c>
      <c r="AF334" s="28" t="s">
        <v>2398</v>
      </c>
      <c r="AG334" s="26" t="s">
        <v>2399</v>
      </c>
      <c r="AH334" s="26" t="s">
        <v>2400</v>
      </c>
      <c r="AI334" s="26" t="s">
        <v>306</v>
      </c>
      <c r="AJ334" s="28" t="s">
        <v>306</v>
      </c>
      <c r="AK334" s="45" t="s">
        <v>149</v>
      </c>
      <c r="AL334" s="45" t="s">
        <v>149</v>
      </c>
      <c r="AM334" s="26" t="s">
        <v>2401</v>
      </c>
      <c r="AN334" s="28" t="s">
        <v>165</v>
      </c>
      <c r="AO334" s="28" t="s">
        <v>1159</v>
      </c>
      <c r="AP334" s="26" t="s">
        <v>2402</v>
      </c>
      <c r="AQ334" s="38" t="s">
        <v>2403</v>
      </c>
      <c r="AR334" s="26" t="s">
        <v>2404</v>
      </c>
      <c r="AS334" s="45" t="s">
        <v>149</v>
      </c>
      <c r="AT334" s="28"/>
    </row>
    <row r="335">
      <c r="A335" s="36" t="s">
        <v>2405</v>
      </c>
      <c r="B335" s="26" t="str">
        <f t="shared" si="1"/>
        <v>2023-PH051605000-2021-0194</v>
      </c>
      <c r="C335" s="27">
        <f t="shared" si="5"/>
        <v>2023</v>
      </c>
      <c r="D335" s="28" t="s">
        <v>140</v>
      </c>
      <c r="E335" s="28" t="s">
        <v>141</v>
      </c>
      <c r="F335" s="28" t="s">
        <v>192</v>
      </c>
      <c r="G335" s="29" t="s">
        <v>535</v>
      </c>
      <c r="H335" s="29" t="s">
        <v>1445</v>
      </c>
      <c r="I335" s="29" t="s">
        <v>2406</v>
      </c>
      <c r="J335" s="29" t="s">
        <v>2407</v>
      </c>
      <c r="K335" s="26" t="s">
        <v>149</v>
      </c>
      <c r="L335" s="28" t="s">
        <v>2408</v>
      </c>
      <c r="M335" s="31">
        <v>2021.0</v>
      </c>
      <c r="N335" s="31" t="s">
        <v>149</v>
      </c>
      <c r="O335" s="31" t="s">
        <v>149</v>
      </c>
      <c r="P335" s="28" t="s">
        <v>150</v>
      </c>
      <c r="Q335" s="32" t="s">
        <v>151</v>
      </c>
      <c r="R335" s="28" t="s">
        <v>149</v>
      </c>
      <c r="S335" s="32" t="s">
        <v>149</v>
      </c>
      <c r="T335" s="28" t="s">
        <v>154</v>
      </c>
      <c r="U335" s="28" t="s">
        <v>154</v>
      </c>
      <c r="V335" s="26" t="s">
        <v>149</v>
      </c>
      <c r="W335" s="32" t="s">
        <v>180</v>
      </c>
      <c r="X335" s="32" t="s">
        <v>181</v>
      </c>
      <c r="Y335" s="28" t="s">
        <v>2409</v>
      </c>
      <c r="Z335" s="26" t="s">
        <v>369</v>
      </c>
      <c r="AA335" s="26" t="s">
        <v>159</v>
      </c>
      <c r="AB335" s="26" t="s">
        <v>160</v>
      </c>
      <c r="AC335" s="28" t="s">
        <v>161</v>
      </c>
      <c r="AD335" s="28" t="s">
        <v>369</v>
      </c>
      <c r="AE335" s="29" t="s">
        <v>149</v>
      </c>
      <c r="AF335" s="26" t="s">
        <v>149</v>
      </c>
      <c r="AG335" s="26" t="s">
        <v>149</v>
      </c>
      <c r="AH335" s="26" t="s">
        <v>2410</v>
      </c>
      <c r="AI335" s="28" t="s">
        <v>161</v>
      </c>
      <c r="AJ335" s="28" t="s">
        <v>369</v>
      </c>
      <c r="AK335" s="26" t="s">
        <v>2411</v>
      </c>
      <c r="AL335" s="26" t="s">
        <v>149</v>
      </c>
      <c r="AM335" s="26" t="s">
        <v>1195</v>
      </c>
      <c r="AN335" s="28" t="s">
        <v>165</v>
      </c>
      <c r="AO335" s="26" t="s">
        <v>166</v>
      </c>
      <c r="AP335" s="26" t="s">
        <v>2412</v>
      </c>
      <c r="AQ335" s="38" t="s">
        <v>2413</v>
      </c>
      <c r="AR335" s="26" t="s">
        <v>149</v>
      </c>
      <c r="AS335" s="26" t="s">
        <v>149</v>
      </c>
      <c r="AT335" s="26"/>
    </row>
    <row r="336">
      <c r="A336" s="25" t="s">
        <v>2414</v>
      </c>
      <c r="B336" s="26" t="str">
        <f t="shared" si="1"/>
        <v>2023-PH013314000-2014-0028</v>
      </c>
      <c r="C336" s="27">
        <f t="shared" si="5"/>
        <v>2023</v>
      </c>
      <c r="D336" s="28" t="s">
        <v>140</v>
      </c>
      <c r="E336" s="28" t="s">
        <v>141</v>
      </c>
      <c r="F336" s="28" t="s">
        <v>142</v>
      </c>
      <c r="G336" s="29" t="s">
        <v>143</v>
      </c>
      <c r="H336" s="29" t="s">
        <v>438</v>
      </c>
      <c r="I336" s="29" t="s">
        <v>2415</v>
      </c>
      <c r="J336" s="29" t="s">
        <v>2034</v>
      </c>
      <c r="K336" s="26" t="s">
        <v>149</v>
      </c>
      <c r="L336" s="26" t="s">
        <v>2416</v>
      </c>
      <c r="M336" s="31">
        <v>2014.0</v>
      </c>
      <c r="N336" s="31" t="s">
        <v>149</v>
      </c>
      <c r="O336" s="31" t="s">
        <v>149</v>
      </c>
      <c r="P336" s="28" t="s">
        <v>150</v>
      </c>
      <c r="Q336" s="32" t="s">
        <v>151</v>
      </c>
      <c r="R336" s="28" t="s">
        <v>152</v>
      </c>
      <c r="S336" s="32" t="s">
        <v>361</v>
      </c>
      <c r="T336" s="28" t="s">
        <v>154</v>
      </c>
      <c r="U336" s="28" t="s">
        <v>154</v>
      </c>
      <c r="V336" s="28" t="s">
        <v>2417</v>
      </c>
      <c r="W336" s="32" t="s">
        <v>180</v>
      </c>
      <c r="X336" s="32" t="s">
        <v>181</v>
      </c>
      <c r="Y336" s="28" t="s">
        <v>2418</v>
      </c>
      <c r="Z336" s="26" t="s">
        <v>1882</v>
      </c>
      <c r="AA336" s="26" t="s">
        <v>159</v>
      </c>
      <c r="AB336" s="26" t="s">
        <v>160</v>
      </c>
      <c r="AC336" s="28" t="s">
        <v>322</v>
      </c>
      <c r="AD336" s="28" t="s">
        <v>686</v>
      </c>
      <c r="AE336" s="29" t="s">
        <v>149</v>
      </c>
      <c r="AF336" s="26" t="s">
        <v>149</v>
      </c>
      <c r="AG336" s="26" t="s">
        <v>2419</v>
      </c>
      <c r="AH336" s="26" t="s">
        <v>1882</v>
      </c>
      <c r="AI336" s="28" t="s">
        <v>322</v>
      </c>
      <c r="AJ336" s="28" t="s">
        <v>686</v>
      </c>
      <c r="AK336" s="28" t="s">
        <v>2420</v>
      </c>
      <c r="AL336" s="26" t="s">
        <v>149</v>
      </c>
      <c r="AM336" s="26" t="s">
        <v>149</v>
      </c>
      <c r="AN336" s="28" t="s">
        <v>165</v>
      </c>
      <c r="AO336" s="28" t="s">
        <v>689</v>
      </c>
      <c r="AP336" s="28" t="s">
        <v>2421</v>
      </c>
      <c r="AQ336" s="38" t="s">
        <v>2422</v>
      </c>
      <c r="AR336" s="26" t="s">
        <v>149</v>
      </c>
      <c r="AS336" s="26" t="s">
        <v>149</v>
      </c>
      <c r="AT336" s="11"/>
    </row>
    <row r="337">
      <c r="A337" s="25" t="s">
        <v>2423</v>
      </c>
      <c r="B337" s="26" t="str">
        <f t="shared" si="1"/>
        <v>2023-PH041005000-2002-0111</v>
      </c>
      <c r="C337" s="27">
        <f t="shared" si="5"/>
        <v>2023</v>
      </c>
      <c r="D337" s="28" t="s">
        <v>140</v>
      </c>
      <c r="E337" s="28" t="s">
        <v>141</v>
      </c>
      <c r="F337" s="28" t="s">
        <v>192</v>
      </c>
      <c r="G337" s="29" t="s">
        <v>257</v>
      </c>
      <c r="H337" s="29" t="s">
        <v>258</v>
      </c>
      <c r="I337" s="29" t="s">
        <v>2424</v>
      </c>
      <c r="J337" s="29" t="s">
        <v>2425</v>
      </c>
      <c r="K337" s="26" t="s">
        <v>149</v>
      </c>
      <c r="L337" s="26" t="s">
        <v>2426</v>
      </c>
      <c r="M337" s="31">
        <v>2002.0</v>
      </c>
      <c r="N337" s="31" t="s">
        <v>149</v>
      </c>
      <c r="O337" s="31" t="s">
        <v>149</v>
      </c>
      <c r="P337" s="28" t="s">
        <v>150</v>
      </c>
      <c r="Q337" s="32" t="s">
        <v>151</v>
      </c>
      <c r="R337" s="28" t="s">
        <v>152</v>
      </c>
      <c r="S337" s="32" t="s">
        <v>2427</v>
      </c>
      <c r="T337" s="28" t="s">
        <v>154</v>
      </c>
      <c r="U337" s="28" t="s">
        <v>154</v>
      </c>
      <c r="V337" s="26" t="s">
        <v>2427</v>
      </c>
      <c r="W337" s="32" t="s">
        <v>180</v>
      </c>
      <c r="X337" s="32" t="s">
        <v>181</v>
      </c>
      <c r="Y337" s="26" t="s">
        <v>2428</v>
      </c>
      <c r="Z337" s="26" t="s">
        <v>2429</v>
      </c>
      <c r="AA337" s="26" t="s">
        <v>159</v>
      </c>
      <c r="AB337" s="26" t="s">
        <v>160</v>
      </c>
      <c r="AC337" s="26" t="s">
        <v>184</v>
      </c>
      <c r="AD337" s="28" t="s">
        <v>184</v>
      </c>
      <c r="AE337" s="29" t="s">
        <v>149</v>
      </c>
      <c r="AF337" s="3" t="s">
        <v>2430</v>
      </c>
      <c r="AG337" s="26" t="s">
        <v>2431</v>
      </c>
      <c r="AH337" s="26" t="s">
        <v>2429</v>
      </c>
      <c r="AI337" s="26" t="s">
        <v>184</v>
      </c>
      <c r="AJ337" s="28" t="s">
        <v>184</v>
      </c>
      <c r="AK337" s="26" t="s">
        <v>149</v>
      </c>
      <c r="AL337" s="26" t="s">
        <v>149</v>
      </c>
      <c r="AM337" s="26" t="s">
        <v>149</v>
      </c>
      <c r="AN337" s="28" t="s">
        <v>165</v>
      </c>
      <c r="AO337" s="28" t="s">
        <v>289</v>
      </c>
      <c r="AP337" s="26" t="s">
        <v>2432</v>
      </c>
      <c r="AQ337" s="38" t="s">
        <v>2433</v>
      </c>
      <c r="AR337" s="26" t="s">
        <v>149</v>
      </c>
      <c r="AS337" s="26" t="s">
        <v>149</v>
      </c>
      <c r="AT337" s="45"/>
    </row>
    <row r="338">
      <c r="A338" s="25" t="s">
        <v>2434</v>
      </c>
      <c r="B338" s="26" t="str">
        <f t="shared" si="1"/>
        <v>2023-PH041005000-2015-0112</v>
      </c>
      <c r="C338" s="27">
        <f t="shared" si="5"/>
        <v>2023</v>
      </c>
      <c r="D338" s="28" t="s">
        <v>140</v>
      </c>
      <c r="E338" s="28" t="s">
        <v>141</v>
      </c>
      <c r="F338" s="28" t="s">
        <v>192</v>
      </c>
      <c r="G338" s="29" t="s">
        <v>257</v>
      </c>
      <c r="H338" s="29" t="s">
        <v>258</v>
      </c>
      <c r="I338" s="29" t="s">
        <v>2424</v>
      </c>
      <c r="J338" s="29" t="s">
        <v>2425</v>
      </c>
      <c r="K338" s="26" t="s">
        <v>149</v>
      </c>
      <c r="L338" s="26" t="s">
        <v>2426</v>
      </c>
      <c r="M338" s="31">
        <v>2015.0</v>
      </c>
      <c r="N338" s="31" t="s">
        <v>149</v>
      </c>
      <c r="O338" s="31" t="s">
        <v>149</v>
      </c>
      <c r="P338" s="28" t="s">
        <v>150</v>
      </c>
      <c r="Q338" s="32" t="s">
        <v>151</v>
      </c>
      <c r="R338" s="28" t="s">
        <v>152</v>
      </c>
      <c r="S338" s="32" t="s">
        <v>2427</v>
      </c>
      <c r="T338" s="28" t="s">
        <v>154</v>
      </c>
      <c r="U338" s="28" t="s">
        <v>154</v>
      </c>
      <c r="V338" s="26" t="s">
        <v>2427</v>
      </c>
      <c r="W338" s="32" t="s">
        <v>180</v>
      </c>
      <c r="X338" s="109" t="s">
        <v>181</v>
      </c>
      <c r="Y338" s="26" t="s">
        <v>2428</v>
      </c>
      <c r="Z338" s="26" t="s">
        <v>2429</v>
      </c>
      <c r="AA338" s="26" t="s">
        <v>159</v>
      </c>
      <c r="AB338" s="26" t="s">
        <v>160</v>
      </c>
      <c r="AC338" s="26" t="s">
        <v>184</v>
      </c>
      <c r="AD338" s="28" t="s">
        <v>184</v>
      </c>
      <c r="AE338" s="29" t="s">
        <v>149</v>
      </c>
      <c r="AF338" s="28" t="s">
        <v>1008</v>
      </c>
      <c r="AG338" s="26" t="s">
        <v>2435</v>
      </c>
      <c r="AH338" s="26" t="s">
        <v>2429</v>
      </c>
      <c r="AI338" s="26" t="s">
        <v>184</v>
      </c>
      <c r="AJ338" s="28" t="s">
        <v>184</v>
      </c>
      <c r="AK338" s="26" t="s">
        <v>149</v>
      </c>
      <c r="AL338" s="26" t="s">
        <v>149</v>
      </c>
      <c r="AM338" s="26" t="s">
        <v>149</v>
      </c>
      <c r="AN338" s="28" t="s">
        <v>165</v>
      </c>
      <c r="AO338" s="28" t="s">
        <v>289</v>
      </c>
      <c r="AP338" s="26" t="s">
        <v>2432</v>
      </c>
      <c r="AQ338" s="38" t="s">
        <v>2433</v>
      </c>
      <c r="AR338" s="26" t="s">
        <v>149</v>
      </c>
      <c r="AS338" s="26" t="s">
        <v>149</v>
      </c>
      <c r="AT338" s="26"/>
    </row>
    <row r="339">
      <c r="A339" s="36" t="s">
        <v>2436</v>
      </c>
      <c r="B339" s="26" t="str">
        <f t="shared" si="1"/>
        <v>2023-PH041015000-2014-0120</v>
      </c>
      <c r="C339" s="27">
        <f t="shared" si="5"/>
        <v>2023</v>
      </c>
      <c r="D339" s="37" t="s">
        <v>140</v>
      </c>
      <c r="E339" s="28" t="s">
        <v>141</v>
      </c>
      <c r="F339" s="28" t="s">
        <v>142</v>
      </c>
      <c r="G339" s="29" t="s">
        <v>257</v>
      </c>
      <c r="H339" s="29" t="s">
        <v>258</v>
      </c>
      <c r="I339" s="29" t="s">
        <v>1958</v>
      </c>
      <c r="J339" s="29" t="s">
        <v>1959</v>
      </c>
      <c r="K339" s="26" t="s">
        <v>149</v>
      </c>
      <c r="L339" s="70" t="s">
        <v>2437</v>
      </c>
      <c r="M339" s="31">
        <v>2014.0</v>
      </c>
      <c r="N339" s="31" t="s">
        <v>149</v>
      </c>
      <c r="O339" s="31" t="s">
        <v>149</v>
      </c>
      <c r="P339" s="28" t="s">
        <v>150</v>
      </c>
      <c r="Q339" s="32" t="s">
        <v>151</v>
      </c>
      <c r="R339" s="28" t="s">
        <v>152</v>
      </c>
      <c r="S339" s="32" t="s">
        <v>265</v>
      </c>
      <c r="T339" s="28" t="s">
        <v>154</v>
      </c>
      <c r="U339" s="28" t="s">
        <v>154</v>
      </c>
      <c r="V339" s="28" t="s">
        <v>2438</v>
      </c>
      <c r="W339" s="32" t="s">
        <v>180</v>
      </c>
      <c r="X339" s="32" t="s">
        <v>181</v>
      </c>
      <c r="Y339" s="26" t="s">
        <v>2439</v>
      </c>
      <c r="Z339" s="33" t="s">
        <v>369</v>
      </c>
      <c r="AA339" s="26" t="s">
        <v>159</v>
      </c>
      <c r="AB339" s="26" t="s">
        <v>160</v>
      </c>
      <c r="AC339" s="28" t="s">
        <v>161</v>
      </c>
      <c r="AD339" s="28" t="s">
        <v>369</v>
      </c>
      <c r="AE339" s="29" t="s">
        <v>149</v>
      </c>
      <c r="AF339" s="26" t="s">
        <v>149</v>
      </c>
      <c r="AG339" s="28" t="s">
        <v>2440</v>
      </c>
      <c r="AH339" s="26" t="s">
        <v>369</v>
      </c>
      <c r="AI339" s="28" t="s">
        <v>161</v>
      </c>
      <c r="AJ339" s="28" t="s">
        <v>369</v>
      </c>
      <c r="AK339" s="26" t="s">
        <v>390</v>
      </c>
      <c r="AL339" s="26" t="s">
        <v>149</v>
      </c>
      <c r="AM339" s="26" t="s">
        <v>149</v>
      </c>
      <c r="AN339" s="28" t="s">
        <v>165</v>
      </c>
      <c r="AO339" s="26" t="s">
        <v>166</v>
      </c>
      <c r="AP339" s="34" t="s">
        <v>2441</v>
      </c>
      <c r="AQ339" s="34" t="s">
        <v>2442</v>
      </c>
      <c r="AR339" s="26" t="s">
        <v>149</v>
      </c>
      <c r="AS339" s="26" t="s">
        <v>149</v>
      </c>
      <c r="AT339" s="26"/>
    </row>
    <row r="340">
      <c r="A340" s="36" t="s">
        <v>2443</v>
      </c>
      <c r="B340" s="26" t="str">
        <f t="shared" si="1"/>
        <v>2023-PH041015000-2015-0121</v>
      </c>
      <c r="C340" s="27">
        <f t="shared" si="5"/>
        <v>2023</v>
      </c>
      <c r="D340" s="28" t="s">
        <v>140</v>
      </c>
      <c r="E340" s="28" t="s">
        <v>141</v>
      </c>
      <c r="F340" s="28" t="s">
        <v>142</v>
      </c>
      <c r="G340" s="29" t="s">
        <v>257</v>
      </c>
      <c r="H340" s="29" t="s">
        <v>258</v>
      </c>
      <c r="I340" s="29" t="s">
        <v>1958</v>
      </c>
      <c r="J340" s="29" t="s">
        <v>1959</v>
      </c>
      <c r="K340" s="26" t="s">
        <v>149</v>
      </c>
      <c r="L340" s="70" t="s">
        <v>2444</v>
      </c>
      <c r="M340" s="31">
        <v>2015.0</v>
      </c>
      <c r="N340" s="31" t="s">
        <v>149</v>
      </c>
      <c r="O340" s="31" t="s">
        <v>149</v>
      </c>
      <c r="P340" s="28" t="s">
        <v>150</v>
      </c>
      <c r="Q340" s="32" t="s">
        <v>151</v>
      </c>
      <c r="R340" s="28" t="s">
        <v>152</v>
      </c>
      <c r="S340" s="32" t="s">
        <v>265</v>
      </c>
      <c r="T340" s="28" t="s">
        <v>154</v>
      </c>
      <c r="U340" s="28" t="s">
        <v>154</v>
      </c>
      <c r="V340" s="28" t="s">
        <v>2438</v>
      </c>
      <c r="W340" s="32" t="s">
        <v>180</v>
      </c>
      <c r="X340" s="32" t="s">
        <v>181</v>
      </c>
      <c r="Y340" s="26" t="s">
        <v>2439</v>
      </c>
      <c r="Z340" s="33" t="s">
        <v>369</v>
      </c>
      <c r="AA340" s="26" t="s">
        <v>159</v>
      </c>
      <c r="AB340" s="26" t="s">
        <v>160</v>
      </c>
      <c r="AC340" s="28" t="s">
        <v>161</v>
      </c>
      <c r="AD340" s="28" t="s">
        <v>369</v>
      </c>
      <c r="AE340" s="29" t="s">
        <v>149</v>
      </c>
      <c r="AF340" s="26" t="s">
        <v>149</v>
      </c>
      <c r="AG340" s="28" t="s">
        <v>2440</v>
      </c>
      <c r="AH340" s="26" t="s">
        <v>369</v>
      </c>
      <c r="AI340" s="28" t="s">
        <v>161</v>
      </c>
      <c r="AJ340" s="28" t="s">
        <v>369</v>
      </c>
      <c r="AK340" s="26" t="s">
        <v>390</v>
      </c>
      <c r="AL340" s="26" t="s">
        <v>149</v>
      </c>
      <c r="AM340" s="26" t="s">
        <v>149</v>
      </c>
      <c r="AN340" s="28" t="s">
        <v>165</v>
      </c>
      <c r="AO340" s="26" t="s">
        <v>166</v>
      </c>
      <c r="AP340" s="26" t="s">
        <v>2445</v>
      </c>
      <c r="AQ340" s="26" t="s">
        <v>2446</v>
      </c>
      <c r="AR340" s="26" t="s">
        <v>149</v>
      </c>
      <c r="AS340" s="26" t="s">
        <v>149</v>
      </c>
      <c r="AT340" s="26"/>
    </row>
    <row r="341">
      <c r="A341" s="36" t="s">
        <v>2447</v>
      </c>
      <c r="B341" s="26" t="str">
        <f t="shared" si="1"/>
        <v>2023-PH041015000-2016-0122</v>
      </c>
      <c r="C341" s="27">
        <f t="shared" si="5"/>
        <v>2023</v>
      </c>
      <c r="D341" s="28" t="s">
        <v>140</v>
      </c>
      <c r="E341" s="28" t="s">
        <v>141</v>
      </c>
      <c r="F341" s="28" t="s">
        <v>142</v>
      </c>
      <c r="G341" s="29" t="s">
        <v>257</v>
      </c>
      <c r="H341" s="29" t="s">
        <v>258</v>
      </c>
      <c r="I341" s="29" t="s">
        <v>1958</v>
      </c>
      <c r="J341" s="29" t="s">
        <v>1959</v>
      </c>
      <c r="K341" s="26" t="s">
        <v>149</v>
      </c>
      <c r="L341" s="28" t="s">
        <v>2448</v>
      </c>
      <c r="M341" s="31">
        <v>2016.0</v>
      </c>
      <c r="N341" s="31" t="s">
        <v>149</v>
      </c>
      <c r="O341" s="31" t="s">
        <v>149</v>
      </c>
      <c r="P341" s="28" t="s">
        <v>150</v>
      </c>
      <c r="Q341" s="32" t="s">
        <v>151</v>
      </c>
      <c r="R341" s="28" t="s">
        <v>152</v>
      </c>
      <c r="S341" s="32" t="s">
        <v>265</v>
      </c>
      <c r="T341" s="28" t="s">
        <v>154</v>
      </c>
      <c r="U341" s="28" t="s">
        <v>154</v>
      </c>
      <c r="V341" s="28" t="s">
        <v>2438</v>
      </c>
      <c r="W341" s="32" t="s">
        <v>180</v>
      </c>
      <c r="X341" s="32" t="s">
        <v>181</v>
      </c>
      <c r="Y341" s="26" t="s">
        <v>2439</v>
      </c>
      <c r="Z341" s="33" t="s">
        <v>369</v>
      </c>
      <c r="AA341" s="26" t="s">
        <v>159</v>
      </c>
      <c r="AB341" s="26" t="s">
        <v>160</v>
      </c>
      <c r="AC341" s="28" t="s">
        <v>161</v>
      </c>
      <c r="AD341" s="28" t="s">
        <v>369</v>
      </c>
      <c r="AE341" s="29" t="s">
        <v>149</v>
      </c>
      <c r="AF341" s="26" t="s">
        <v>149</v>
      </c>
      <c r="AG341" s="28" t="s">
        <v>2440</v>
      </c>
      <c r="AH341" s="26" t="s">
        <v>369</v>
      </c>
      <c r="AI341" s="28" t="s">
        <v>161</v>
      </c>
      <c r="AJ341" s="28" t="s">
        <v>369</v>
      </c>
      <c r="AK341" s="26" t="s">
        <v>390</v>
      </c>
      <c r="AL341" s="26" t="s">
        <v>149</v>
      </c>
      <c r="AM341" s="26" t="s">
        <v>149</v>
      </c>
      <c r="AN341" s="28" t="s">
        <v>165</v>
      </c>
      <c r="AO341" s="26" t="s">
        <v>166</v>
      </c>
      <c r="AP341" s="26" t="s">
        <v>2445</v>
      </c>
      <c r="AQ341" s="26" t="s">
        <v>2446</v>
      </c>
      <c r="AR341" s="26" t="s">
        <v>149</v>
      </c>
      <c r="AS341" s="26" t="s">
        <v>149</v>
      </c>
      <c r="AT341" s="26"/>
    </row>
    <row r="342">
      <c r="A342" s="36" t="s">
        <v>2449</v>
      </c>
      <c r="B342" s="26" t="str">
        <f t="shared" si="1"/>
        <v>2025-PH050510000-2018-0187</v>
      </c>
      <c r="C342" s="27">
        <f t="shared" si="5"/>
        <v>2025</v>
      </c>
      <c r="D342" s="28" t="s">
        <v>191</v>
      </c>
      <c r="E342" s="28" t="s">
        <v>191</v>
      </c>
      <c r="F342" s="28" t="s">
        <v>192</v>
      </c>
      <c r="G342" s="29" t="s">
        <v>535</v>
      </c>
      <c r="H342" s="29" t="s">
        <v>893</v>
      </c>
      <c r="I342" s="29" t="s">
        <v>2450</v>
      </c>
      <c r="J342" s="29" t="s">
        <v>2451</v>
      </c>
      <c r="K342" s="26" t="s">
        <v>149</v>
      </c>
      <c r="L342" s="28" t="s">
        <v>149</v>
      </c>
      <c r="M342" s="31">
        <v>2018.0</v>
      </c>
      <c r="N342" s="31">
        <v>2018.0</v>
      </c>
      <c r="O342" s="31" t="s">
        <v>149</v>
      </c>
      <c r="P342" s="28" t="s">
        <v>150</v>
      </c>
      <c r="Q342" s="32" t="s">
        <v>151</v>
      </c>
      <c r="R342" s="28" t="s">
        <v>152</v>
      </c>
      <c r="S342" s="32" t="s">
        <v>911</v>
      </c>
      <c r="T342" s="28" t="s">
        <v>154</v>
      </c>
      <c r="U342" s="28" t="s">
        <v>154</v>
      </c>
      <c r="V342" s="26" t="s">
        <v>911</v>
      </c>
      <c r="W342" s="32" t="s">
        <v>180</v>
      </c>
      <c r="X342" s="32" t="s">
        <v>181</v>
      </c>
      <c r="Y342" s="26" t="s">
        <v>2452</v>
      </c>
      <c r="Z342" s="26" t="s">
        <v>2453</v>
      </c>
      <c r="AA342" s="26" t="s">
        <v>159</v>
      </c>
      <c r="AB342" s="26" t="s">
        <v>160</v>
      </c>
      <c r="AC342" s="28" t="s">
        <v>322</v>
      </c>
      <c r="AD342" s="28" t="s">
        <v>390</v>
      </c>
      <c r="AE342" s="29" t="s">
        <v>149</v>
      </c>
      <c r="AF342" s="26" t="s">
        <v>149</v>
      </c>
      <c r="AG342" s="26" t="s">
        <v>782</v>
      </c>
      <c r="AH342" s="26" t="s">
        <v>390</v>
      </c>
      <c r="AI342" s="28" t="s">
        <v>322</v>
      </c>
      <c r="AJ342" s="28" t="s">
        <v>390</v>
      </c>
      <c r="AK342" s="26" t="s">
        <v>369</v>
      </c>
      <c r="AL342" s="28" t="s">
        <v>149</v>
      </c>
      <c r="AM342" s="28" t="s">
        <v>149</v>
      </c>
      <c r="AN342" s="28" t="s">
        <v>165</v>
      </c>
      <c r="AO342" s="28" t="s">
        <v>689</v>
      </c>
      <c r="AP342" s="26" t="s">
        <v>2454</v>
      </c>
      <c r="AQ342" s="38" t="s">
        <v>2455</v>
      </c>
      <c r="AR342" s="28" t="s">
        <v>149</v>
      </c>
      <c r="AS342" s="26" t="s">
        <v>149</v>
      </c>
      <c r="AT342" s="28"/>
    </row>
    <row r="343">
      <c r="A343" s="36" t="s">
        <v>2456</v>
      </c>
      <c r="B343" s="26" t="str">
        <f t="shared" si="1"/>
        <v>2023-PH051729000-2019-0202</v>
      </c>
      <c r="C343" s="27">
        <f t="shared" si="5"/>
        <v>2023</v>
      </c>
      <c r="D343" s="28" t="s">
        <v>140</v>
      </c>
      <c r="E343" s="28" t="s">
        <v>141</v>
      </c>
      <c r="F343" s="28" t="s">
        <v>192</v>
      </c>
      <c r="G343" s="29" t="s">
        <v>535</v>
      </c>
      <c r="H343" s="29" t="s">
        <v>1089</v>
      </c>
      <c r="I343" s="29" t="s">
        <v>2457</v>
      </c>
      <c r="J343" s="29" t="s">
        <v>2458</v>
      </c>
      <c r="K343" s="26" t="s">
        <v>149</v>
      </c>
      <c r="L343" s="26" t="s">
        <v>149</v>
      </c>
      <c r="M343" s="31">
        <v>2019.0</v>
      </c>
      <c r="N343" s="31" t="s">
        <v>149</v>
      </c>
      <c r="O343" s="31" t="s">
        <v>149</v>
      </c>
      <c r="P343" s="28" t="s">
        <v>177</v>
      </c>
      <c r="Q343" s="32" t="s">
        <v>178</v>
      </c>
      <c r="R343" s="28" t="s">
        <v>154</v>
      </c>
      <c r="S343" s="32" t="s">
        <v>154</v>
      </c>
      <c r="T343" s="28" t="s">
        <v>154</v>
      </c>
      <c r="U343" s="28" t="s">
        <v>154</v>
      </c>
      <c r="V343" s="26" t="s">
        <v>179</v>
      </c>
      <c r="W343" s="32" t="s">
        <v>180</v>
      </c>
      <c r="X343" s="32" t="s">
        <v>181</v>
      </c>
      <c r="Y343" s="26" t="s">
        <v>2459</v>
      </c>
      <c r="Z343" s="26" t="s">
        <v>369</v>
      </c>
      <c r="AA343" s="26" t="s">
        <v>159</v>
      </c>
      <c r="AB343" s="26" t="s">
        <v>160</v>
      </c>
      <c r="AC343" s="28" t="s">
        <v>161</v>
      </c>
      <c r="AD343" s="28" t="s">
        <v>369</v>
      </c>
      <c r="AE343" s="29" t="s">
        <v>149</v>
      </c>
      <c r="AF343" s="26" t="s">
        <v>149</v>
      </c>
      <c r="AG343" s="26" t="s">
        <v>149</v>
      </c>
      <c r="AH343" s="26" t="s">
        <v>2410</v>
      </c>
      <c r="AI343" s="28" t="s">
        <v>161</v>
      </c>
      <c r="AJ343" s="28" t="s">
        <v>369</v>
      </c>
      <c r="AK343" s="28" t="s">
        <v>2460</v>
      </c>
      <c r="AL343" s="26" t="s">
        <v>149</v>
      </c>
      <c r="AM343" s="26" t="s">
        <v>149</v>
      </c>
      <c r="AN343" s="28" t="s">
        <v>165</v>
      </c>
      <c r="AO343" s="26" t="s">
        <v>166</v>
      </c>
      <c r="AP343" s="26" t="s">
        <v>2461</v>
      </c>
      <c r="AQ343" s="38" t="s">
        <v>2462</v>
      </c>
      <c r="AR343" s="26" t="s">
        <v>149</v>
      </c>
      <c r="AS343" s="26" t="s">
        <v>149</v>
      </c>
      <c r="AT343" s="26"/>
    </row>
    <row r="344">
      <c r="A344" s="36" t="s">
        <v>2463</v>
      </c>
      <c r="B344" s="26" t="str">
        <f t="shared" si="1"/>
        <v>2025-PH052011000-2024-0206</v>
      </c>
      <c r="C344" s="27">
        <f t="shared" si="5"/>
        <v>2025</v>
      </c>
      <c r="D344" s="28" t="s">
        <v>191</v>
      </c>
      <c r="E344" s="28" t="s">
        <v>191</v>
      </c>
      <c r="F344" s="28" t="s">
        <v>192</v>
      </c>
      <c r="G344" s="29" t="s">
        <v>535</v>
      </c>
      <c r="H344" s="29" t="s">
        <v>1459</v>
      </c>
      <c r="I344" s="29" t="s">
        <v>2464</v>
      </c>
      <c r="J344" s="29" t="s">
        <v>2465</v>
      </c>
      <c r="K344" s="26" t="s">
        <v>149</v>
      </c>
      <c r="L344" s="26" t="s">
        <v>2466</v>
      </c>
      <c r="M344" s="31">
        <v>2024.0</v>
      </c>
      <c r="N344" s="31">
        <v>2024.0</v>
      </c>
      <c r="O344" s="31" t="s">
        <v>149</v>
      </c>
      <c r="P344" s="28" t="s">
        <v>150</v>
      </c>
      <c r="Q344" s="32" t="s">
        <v>151</v>
      </c>
      <c r="R344" s="28" t="s">
        <v>152</v>
      </c>
      <c r="S344" s="32" t="s">
        <v>2467</v>
      </c>
      <c r="T344" s="28" t="s">
        <v>154</v>
      </c>
      <c r="U344" s="28" t="s">
        <v>154</v>
      </c>
      <c r="V344" s="26" t="s">
        <v>2468</v>
      </c>
      <c r="W344" s="32" t="s">
        <v>180</v>
      </c>
      <c r="X344" s="32" t="s">
        <v>181</v>
      </c>
      <c r="Y344" s="26" t="s">
        <v>2469</v>
      </c>
      <c r="Z344" s="26" t="s">
        <v>2470</v>
      </c>
      <c r="AA344" s="26" t="s">
        <v>159</v>
      </c>
      <c r="AB344" s="26" t="s">
        <v>160</v>
      </c>
      <c r="AC344" s="26" t="s">
        <v>184</v>
      </c>
      <c r="AD344" s="28" t="s">
        <v>184</v>
      </c>
      <c r="AE344" s="29" t="s">
        <v>149</v>
      </c>
      <c r="AF344" s="26" t="s">
        <v>149</v>
      </c>
      <c r="AG344" s="26" t="s">
        <v>2471</v>
      </c>
      <c r="AH344" s="26" t="s">
        <v>2470</v>
      </c>
      <c r="AI344" s="26" t="s">
        <v>271</v>
      </c>
      <c r="AJ344" s="28" t="s">
        <v>271</v>
      </c>
      <c r="AK344" s="28" t="s">
        <v>163</v>
      </c>
      <c r="AL344" s="28" t="s">
        <v>149</v>
      </c>
      <c r="AM344" s="28" t="s">
        <v>149</v>
      </c>
      <c r="AN344" s="28" t="s">
        <v>165</v>
      </c>
      <c r="AO344" s="28" t="s">
        <v>689</v>
      </c>
      <c r="AP344" s="26" t="s">
        <v>2472</v>
      </c>
      <c r="AQ344" s="38" t="s">
        <v>2473</v>
      </c>
      <c r="AR344" s="28" t="s">
        <v>149</v>
      </c>
      <c r="AS344" s="28" t="s">
        <v>149</v>
      </c>
      <c r="AT344" s="11"/>
    </row>
    <row r="345">
      <c r="A345" s="36" t="s">
        <v>2474</v>
      </c>
      <c r="B345" s="26" t="str">
        <f t="shared" si="1"/>
        <v>2023-PH086410000-Unknown-0325</v>
      </c>
      <c r="C345" s="27">
        <f t="shared" si="5"/>
        <v>2023</v>
      </c>
      <c r="D345" s="37" t="s">
        <v>140</v>
      </c>
      <c r="E345" s="28" t="s">
        <v>141</v>
      </c>
      <c r="F345" s="28" t="s">
        <v>192</v>
      </c>
      <c r="G345" s="29" t="s">
        <v>579</v>
      </c>
      <c r="H345" s="29" t="s">
        <v>1271</v>
      </c>
      <c r="I345" s="29" t="s">
        <v>1272</v>
      </c>
      <c r="J345" s="29" t="s">
        <v>1273</v>
      </c>
      <c r="K345" s="26" t="s">
        <v>149</v>
      </c>
      <c r="L345" s="42" t="s">
        <v>149</v>
      </c>
      <c r="M345" s="31" t="s">
        <v>149</v>
      </c>
      <c r="N345" s="31" t="s">
        <v>149</v>
      </c>
      <c r="O345" s="31" t="s">
        <v>149</v>
      </c>
      <c r="P345" s="28" t="s">
        <v>177</v>
      </c>
      <c r="Q345" s="32" t="s">
        <v>178</v>
      </c>
      <c r="R345" s="28" t="s">
        <v>154</v>
      </c>
      <c r="S345" s="32" t="s">
        <v>154</v>
      </c>
      <c r="T345" s="28" t="s">
        <v>154</v>
      </c>
      <c r="U345" s="28" t="s">
        <v>154</v>
      </c>
      <c r="V345" s="26" t="s">
        <v>179</v>
      </c>
      <c r="W345" s="32" t="s">
        <v>180</v>
      </c>
      <c r="X345" s="32" t="s">
        <v>181</v>
      </c>
      <c r="Y345" s="26" t="s">
        <v>2475</v>
      </c>
      <c r="Z345" s="26" t="s">
        <v>1277</v>
      </c>
      <c r="AA345" s="26" t="s">
        <v>159</v>
      </c>
      <c r="AB345" s="26" t="s">
        <v>160</v>
      </c>
      <c r="AC345" s="26" t="s">
        <v>184</v>
      </c>
      <c r="AD345" s="28" t="s">
        <v>184</v>
      </c>
      <c r="AE345" s="29" t="s">
        <v>149</v>
      </c>
      <c r="AF345" s="26" t="s">
        <v>149</v>
      </c>
      <c r="AG345" s="26" t="s">
        <v>149</v>
      </c>
      <c r="AH345" s="26" t="s">
        <v>1277</v>
      </c>
      <c r="AI345" s="26" t="s">
        <v>184</v>
      </c>
      <c r="AJ345" s="28" t="s">
        <v>184</v>
      </c>
      <c r="AK345" s="42" t="s">
        <v>149</v>
      </c>
      <c r="AL345" s="42" t="s">
        <v>149</v>
      </c>
      <c r="AM345" s="42" t="s">
        <v>149</v>
      </c>
      <c r="AN345" s="28" t="s">
        <v>165</v>
      </c>
      <c r="AO345" s="28" t="s">
        <v>689</v>
      </c>
      <c r="AP345" s="26" t="s">
        <v>2476</v>
      </c>
      <c r="AQ345" s="39" t="s">
        <v>2477</v>
      </c>
      <c r="AR345" s="42" t="s">
        <v>149</v>
      </c>
      <c r="AS345" s="26" t="s">
        <v>2478</v>
      </c>
      <c r="AT345" s="11"/>
    </row>
    <row r="346">
      <c r="A346" s="36" t="s">
        <v>2479</v>
      </c>
      <c r="B346" s="26" t="str">
        <f t="shared" si="1"/>
        <v>2023-PH101804000-2019-0341</v>
      </c>
      <c r="C346" s="27">
        <f t="shared" si="5"/>
        <v>2023</v>
      </c>
      <c r="D346" s="28" t="s">
        <v>140</v>
      </c>
      <c r="E346" s="28" t="s">
        <v>141</v>
      </c>
      <c r="F346" s="28" t="s">
        <v>192</v>
      </c>
      <c r="G346" s="29" t="s">
        <v>171</v>
      </c>
      <c r="H346" s="29" t="s">
        <v>1725</v>
      </c>
      <c r="I346" s="29" t="s">
        <v>1783</v>
      </c>
      <c r="J346" s="29" t="s">
        <v>1784</v>
      </c>
      <c r="K346" s="26" t="s">
        <v>149</v>
      </c>
      <c r="L346" s="26" t="s">
        <v>2480</v>
      </c>
      <c r="M346" s="31">
        <v>2019.0</v>
      </c>
      <c r="N346" s="31" t="s">
        <v>149</v>
      </c>
      <c r="O346" s="31" t="s">
        <v>149</v>
      </c>
      <c r="P346" s="28" t="s">
        <v>177</v>
      </c>
      <c r="Q346" s="32" t="s">
        <v>2481</v>
      </c>
      <c r="R346" s="28" t="s">
        <v>154</v>
      </c>
      <c r="S346" s="32" t="s">
        <v>154</v>
      </c>
      <c r="T346" s="28" t="s">
        <v>154</v>
      </c>
      <c r="U346" s="28" t="s">
        <v>154</v>
      </c>
      <c r="V346" s="26" t="s">
        <v>2482</v>
      </c>
      <c r="W346" s="32" t="s">
        <v>180</v>
      </c>
      <c r="X346" s="32" t="s">
        <v>181</v>
      </c>
      <c r="Y346" s="26" t="s">
        <v>2483</v>
      </c>
      <c r="Z346" s="26" t="s">
        <v>149</v>
      </c>
      <c r="AA346" s="26" t="s">
        <v>204</v>
      </c>
      <c r="AB346" s="26" t="s">
        <v>149</v>
      </c>
      <c r="AC346" s="26" t="s">
        <v>184</v>
      </c>
      <c r="AD346" s="28" t="s">
        <v>184</v>
      </c>
      <c r="AE346" s="29" t="s">
        <v>149</v>
      </c>
      <c r="AF346" s="26" t="s">
        <v>149</v>
      </c>
      <c r="AG346" s="26" t="s">
        <v>149</v>
      </c>
      <c r="AH346" s="26" t="s">
        <v>326</v>
      </c>
      <c r="AI346" s="26" t="s">
        <v>271</v>
      </c>
      <c r="AJ346" s="28" t="s">
        <v>271</v>
      </c>
      <c r="AK346" s="26" t="s">
        <v>2484</v>
      </c>
      <c r="AL346" s="26" t="s">
        <v>149</v>
      </c>
      <c r="AM346" s="26" t="s">
        <v>149</v>
      </c>
      <c r="AN346" s="28" t="s">
        <v>165</v>
      </c>
      <c r="AO346" s="26" t="s">
        <v>166</v>
      </c>
      <c r="AP346" s="26" t="s">
        <v>2485</v>
      </c>
      <c r="AQ346" s="38" t="s">
        <v>2486</v>
      </c>
      <c r="AR346" s="26" t="s">
        <v>149</v>
      </c>
      <c r="AS346" s="26" t="s">
        <v>149</v>
      </c>
      <c r="AT346" s="11"/>
    </row>
    <row r="347">
      <c r="A347" s="36" t="s">
        <v>2487</v>
      </c>
      <c r="B347" s="26" t="str">
        <f t="shared" si="1"/>
        <v>2025-PH104211000-2023-0350</v>
      </c>
      <c r="C347" s="27">
        <f t="shared" si="5"/>
        <v>2025</v>
      </c>
      <c r="D347" s="28" t="s">
        <v>191</v>
      </c>
      <c r="E347" s="28" t="s">
        <v>191</v>
      </c>
      <c r="F347" s="28" t="s">
        <v>192</v>
      </c>
      <c r="G347" s="29" t="s">
        <v>171</v>
      </c>
      <c r="H347" s="29" t="s">
        <v>976</v>
      </c>
      <c r="I347" s="29" t="s">
        <v>2488</v>
      </c>
      <c r="J347" s="29" t="s">
        <v>2489</v>
      </c>
      <c r="K347" s="26" t="s">
        <v>149</v>
      </c>
      <c r="L347" s="28" t="s">
        <v>149</v>
      </c>
      <c r="M347" s="31">
        <v>2023.0</v>
      </c>
      <c r="N347" s="31" t="s">
        <v>149</v>
      </c>
      <c r="O347" s="31" t="s">
        <v>149</v>
      </c>
      <c r="P347" s="28" t="s">
        <v>150</v>
      </c>
      <c r="Q347" s="32" t="s">
        <v>151</v>
      </c>
      <c r="R347" s="28" t="s">
        <v>1733</v>
      </c>
      <c r="S347" s="32" t="s">
        <v>2490</v>
      </c>
      <c r="T347" s="28" t="s">
        <v>154</v>
      </c>
      <c r="U347" s="28" t="s">
        <v>154</v>
      </c>
      <c r="V347" s="26" t="s">
        <v>2491</v>
      </c>
      <c r="W347" s="32" t="s">
        <v>180</v>
      </c>
      <c r="X347" s="32" t="s">
        <v>181</v>
      </c>
      <c r="Y347" s="26" t="s">
        <v>1006</v>
      </c>
      <c r="Z347" s="26" t="s">
        <v>2492</v>
      </c>
      <c r="AA347" s="26" t="s">
        <v>159</v>
      </c>
      <c r="AB347" s="26" t="s">
        <v>160</v>
      </c>
      <c r="AC347" s="26" t="s">
        <v>209</v>
      </c>
      <c r="AD347" s="28" t="s">
        <v>227</v>
      </c>
      <c r="AE347" s="29" t="s">
        <v>149</v>
      </c>
      <c r="AF347" s="26" t="s">
        <v>149</v>
      </c>
      <c r="AG347" s="26" t="s">
        <v>675</v>
      </c>
      <c r="AH347" s="26" t="s">
        <v>2493</v>
      </c>
      <c r="AI347" s="32" t="s">
        <v>929</v>
      </c>
      <c r="AJ347" s="28" t="s">
        <v>227</v>
      </c>
      <c r="AK347" s="28" t="s">
        <v>149</v>
      </c>
      <c r="AL347" s="28" t="s">
        <v>149</v>
      </c>
      <c r="AM347" s="28" t="s">
        <v>149</v>
      </c>
      <c r="AN347" s="28" t="s">
        <v>165</v>
      </c>
      <c r="AO347" s="28" t="s">
        <v>289</v>
      </c>
      <c r="AP347" s="26" t="s">
        <v>2494</v>
      </c>
      <c r="AQ347" s="38" t="s">
        <v>2495</v>
      </c>
      <c r="AR347" s="28" t="s">
        <v>149</v>
      </c>
      <c r="AS347" s="28" t="s">
        <v>149</v>
      </c>
      <c r="AT347" s="11"/>
    </row>
    <row r="348">
      <c r="A348" s="36" t="s">
        <v>2496</v>
      </c>
      <c r="B348" s="26" t="str">
        <f t="shared" si="1"/>
        <v>2023-PH160201000-2022-0395</v>
      </c>
      <c r="C348" s="27">
        <f t="shared" si="5"/>
        <v>2023</v>
      </c>
      <c r="D348" s="28" t="s">
        <v>140</v>
      </c>
      <c r="E348" s="28" t="s">
        <v>141</v>
      </c>
      <c r="F348" s="28" t="s">
        <v>192</v>
      </c>
      <c r="G348" s="29" t="s">
        <v>345</v>
      </c>
      <c r="H348" s="29" t="s">
        <v>649</v>
      </c>
      <c r="I348" s="29" t="s">
        <v>1172</v>
      </c>
      <c r="J348" s="29" t="s">
        <v>1969</v>
      </c>
      <c r="K348" s="26" t="s">
        <v>149</v>
      </c>
      <c r="L348" s="26" t="s">
        <v>1971</v>
      </c>
      <c r="M348" s="31">
        <v>2022.0</v>
      </c>
      <c r="N348" s="41" t="s">
        <v>149</v>
      </c>
      <c r="O348" s="41" t="s">
        <v>149</v>
      </c>
      <c r="P348" s="28" t="s">
        <v>150</v>
      </c>
      <c r="Q348" s="32" t="s">
        <v>151</v>
      </c>
      <c r="R348" s="28" t="s">
        <v>152</v>
      </c>
      <c r="S348" s="32" t="s">
        <v>911</v>
      </c>
      <c r="T348" s="28" t="s">
        <v>154</v>
      </c>
      <c r="U348" s="28" t="s">
        <v>154</v>
      </c>
      <c r="V348" s="26" t="s">
        <v>911</v>
      </c>
      <c r="W348" s="32" t="s">
        <v>180</v>
      </c>
      <c r="X348" s="32" t="s">
        <v>181</v>
      </c>
      <c r="Y348" s="26" t="s">
        <v>2497</v>
      </c>
      <c r="Z348" s="26" t="s">
        <v>149</v>
      </c>
      <c r="AA348" s="26" t="s">
        <v>159</v>
      </c>
      <c r="AB348" s="26" t="s">
        <v>149</v>
      </c>
      <c r="AC348" s="26" t="s">
        <v>149</v>
      </c>
      <c r="AD348" s="28" t="s">
        <v>149</v>
      </c>
      <c r="AE348" s="29" t="s">
        <v>149</v>
      </c>
      <c r="AF348" s="26" t="s">
        <v>149</v>
      </c>
      <c r="AG348" s="26" t="s">
        <v>2498</v>
      </c>
      <c r="AH348" s="26" t="s">
        <v>2499</v>
      </c>
      <c r="AI348" s="28" t="s">
        <v>161</v>
      </c>
      <c r="AJ348" s="28" t="s">
        <v>369</v>
      </c>
      <c r="AK348" s="26" t="s">
        <v>760</v>
      </c>
      <c r="AL348" s="11" t="s">
        <v>149</v>
      </c>
      <c r="AM348" s="11" t="s">
        <v>149</v>
      </c>
      <c r="AN348" s="28" t="s">
        <v>165</v>
      </c>
      <c r="AO348" s="28" t="s">
        <v>689</v>
      </c>
      <c r="AP348" s="26" t="s">
        <v>2500</v>
      </c>
      <c r="AQ348" s="38" t="s">
        <v>2501</v>
      </c>
      <c r="AR348" s="11" t="s">
        <v>149</v>
      </c>
      <c r="AS348" s="11" t="s">
        <v>149</v>
      </c>
      <c r="AT348" s="11"/>
    </row>
    <row r="349">
      <c r="A349" s="36" t="s">
        <v>2502</v>
      </c>
      <c r="B349" s="26" t="str">
        <f t="shared" si="1"/>
        <v>2023-PH160204000-2019-0399</v>
      </c>
      <c r="C349" s="27">
        <f t="shared" si="5"/>
        <v>2023</v>
      </c>
      <c r="D349" s="28" t="s">
        <v>140</v>
      </c>
      <c r="E349" s="28" t="s">
        <v>141</v>
      </c>
      <c r="F349" s="28" t="s">
        <v>192</v>
      </c>
      <c r="G349" s="29" t="s">
        <v>345</v>
      </c>
      <c r="H349" s="29" t="s">
        <v>649</v>
      </c>
      <c r="I349" s="29" t="s">
        <v>2503</v>
      </c>
      <c r="J349" s="29" t="s">
        <v>2504</v>
      </c>
      <c r="K349" s="26" t="s">
        <v>149</v>
      </c>
      <c r="L349" s="28" t="s">
        <v>2505</v>
      </c>
      <c r="M349" s="31">
        <v>2019.0</v>
      </c>
      <c r="N349" s="41" t="s">
        <v>149</v>
      </c>
      <c r="O349" s="41" t="s">
        <v>149</v>
      </c>
      <c r="P349" s="28" t="s">
        <v>150</v>
      </c>
      <c r="Q349" s="32" t="s">
        <v>151</v>
      </c>
      <c r="R349" s="28" t="s">
        <v>149</v>
      </c>
      <c r="S349" s="32" t="s">
        <v>149</v>
      </c>
      <c r="T349" s="28" t="s">
        <v>154</v>
      </c>
      <c r="U349" s="28" t="s">
        <v>154</v>
      </c>
      <c r="V349" s="26" t="s">
        <v>149</v>
      </c>
      <c r="W349" s="32" t="s">
        <v>180</v>
      </c>
      <c r="X349" s="32" t="s">
        <v>181</v>
      </c>
      <c r="Y349" s="26" t="s">
        <v>2506</v>
      </c>
      <c r="Z349" s="26" t="s">
        <v>390</v>
      </c>
      <c r="AA349" s="26" t="s">
        <v>159</v>
      </c>
      <c r="AB349" s="26" t="s">
        <v>160</v>
      </c>
      <c r="AC349" s="28" t="s">
        <v>322</v>
      </c>
      <c r="AD349" s="28" t="s">
        <v>390</v>
      </c>
      <c r="AE349" s="29" t="s">
        <v>149</v>
      </c>
      <c r="AF349" s="26" t="s">
        <v>149</v>
      </c>
      <c r="AG349" s="26" t="s">
        <v>2507</v>
      </c>
      <c r="AH349" s="26" t="s">
        <v>390</v>
      </c>
      <c r="AI349" s="28" t="s">
        <v>322</v>
      </c>
      <c r="AJ349" s="28" t="s">
        <v>390</v>
      </c>
      <c r="AK349" s="11" t="s">
        <v>149</v>
      </c>
      <c r="AL349" s="11" t="s">
        <v>149</v>
      </c>
      <c r="AM349" s="11" t="s">
        <v>149</v>
      </c>
      <c r="AN349" s="28" t="s">
        <v>165</v>
      </c>
      <c r="AO349" s="28" t="s">
        <v>1147</v>
      </c>
      <c r="AP349" s="26" t="s">
        <v>2508</v>
      </c>
      <c r="AQ349" s="38" t="s">
        <v>2509</v>
      </c>
      <c r="AR349" s="11" t="s">
        <v>149</v>
      </c>
      <c r="AS349" s="11" t="s">
        <v>149</v>
      </c>
      <c r="AT349" s="11"/>
    </row>
    <row r="350">
      <c r="A350" s="36" t="s">
        <v>2510</v>
      </c>
      <c r="B350" s="26" t="str">
        <f t="shared" si="1"/>
        <v>2023-PH051702000-Unknown-0196</v>
      </c>
      <c r="C350" s="27">
        <f t="shared" si="5"/>
        <v>2023</v>
      </c>
      <c r="D350" s="37" t="s">
        <v>140</v>
      </c>
      <c r="E350" s="28" t="s">
        <v>141</v>
      </c>
      <c r="F350" s="28" t="s">
        <v>192</v>
      </c>
      <c r="G350" s="29" t="s">
        <v>535</v>
      </c>
      <c r="H350" s="29" t="s">
        <v>1089</v>
      </c>
      <c r="I350" s="29" t="s">
        <v>2511</v>
      </c>
      <c r="J350" s="29" t="s">
        <v>2512</v>
      </c>
      <c r="K350" s="26" t="s">
        <v>149</v>
      </c>
      <c r="L350" s="26" t="s">
        <v>149</v>
      </c>
      <c r="M350" s="31" t="s">
        <v>149</v>
      </c>
      <c r="N350" s="31" t="s">
        <v>149</v>
      </c>
      <c r="O350" s="31" t="s">
        <v>149</v>
      </c>
      <c r="P350" s="28" t="s">
        <v>150</v>
      </c>
      <c r="Q350" s="32" t="s">
        <v>151</v>
      </c>
      <c r="R350" s="28" t="s">
        <v>149</v>
      </c>
      <c r="S350" s="32" t="s">
        <v>149</v>
      </c>
      <c r="T350" s="28" t="s">
        <v>154</v>
      </c>
      <c r="U350" s="28" t="s">
        <v>154</v>
      </c>
      <c r="V350" s="26" t="s">
        <v>149</v>
      </c>
      <c r="W350" s="32" t="s">
        <v>180</v>
      </c>
      <c r="X350" s="32" t="s">
        <v>181</v>
      </c>
      <c r="Y350" s="26" t="s">
        <v>2513</v>
      </c>
      <c r="Z350" s="26" t="s">
        <v>149</v>
      </c>
      <c r="AA350" s="26" t="s">
        <v>149</v>
      </c>
      <c r="AB350" s="26" t="s">
        <v>149</v>
      </c>
      <c r="AC350" s="26" t="s">
        <v>149</v>
      </c>
      <c r="AD350" s="28" t="s">
        <v>149</v>
      </c>
      <c r="AE350" s="29" t="s">
        <v>149</v>
      </c>
      <c r="AF350" s="26" t="s">
        <v>149</v>
      </c>
      <c r="AG350" s="26" t="s">
        <v>149</v>
      </c>
      <c r="AH350" s="26" t="s">
        <v>765</v>
      </c>
      <c r="AI350" s="28" t="s">
        <v>322</v>
      </c>
      <c r="AJ350" s="28" t="s">
        <v>761</v>
      </c>
      <c r="AK350" s="26" t="s">
        <v>390</v>
      </c>
      <c r="AL350" s="26" t="s">
        <v>2514</v>
      </c>
      <c r="AM350" s="26" t="s">
        <v>149</v>
      </c>
      <c r="AN350" s="28" t="s">
        <v>241</v>
      </c>
      <c r="AO350" s="28" t="s">
        <v>242</v>
      </c>
      <c r="AP350" s="26" t="s">
        <v>2515</v>
      </c>
      <c r="AQ350" s="38" t="s">
        <v>2516</v>
      </c>
      <c r="AR350" s="26" t="s">
        <v>2517</v>
      </c>
      <c r="AS350" s="26" t="s">
        <v>149</v>
      </c>
      <c r="AT350" s="11"/>
    </row>
    <row r="351">
      <c r="A351" s="36" t="s">
        <v>2518</v>
      </c>
      <c r="B351" s="26" t="str">
        <f t="shared" si="1"/>
        <v>2023-PH112317000-2022-0372</v>
      </c>
      <c r="C351" s="27">
        <f t="shared" si="5"/>
        <v>2023</v>
      </c>
      <c r="D351" s="37" t="s">
        <v>140</v>
      </c>
      <c r="E351" s="28" t="s">
        <v>141</v>
      </c>
      <c r="F351" s="28" t="s">
        <v>192</v>
      </c>
      <c r="G351" s="29" t="s">
        <v>330</v>
      </c>
      <c r="H351" s="29" t="s">
        <v>331</v>
      </c>
      <c r="I351" s="40" t="s">
        <v>980</v>
      </c>
      <c r="J351" s="29" t="s">
        <v>981</v>
      </c>
      <c r="K351" s="26" t="s">
        <v>149</v>
      </c>
      <c r="L351" s="26" t="s">
        <v>2519</v>
      </c>
      <c r="M351" s="31">
        <v>2022.0</v>
      </c>
      <c r="N351" s="31">
        <v>2022.0</v>
      </c>
      <c r="O351" s="31" t="s">
        <v>149</v>
      </c>
      <c r="P351" s="28" t="s">
        <v>150</v>
      </c>
      <c r="Q351" s="32" t="s">
        <v>151</v>
      </c>
      <c r="R351" s="28" t="s">
        <v>152</v>
      </c>
      <c r="S351" s="32" t="s">
        <v>361</v>
      </c>
      <c r="T351" s="28" t="s">
        <v>154</v>
      </c>
      <c r="U351" s="28" t="s">
        <v>154</v>
      </c>
      <c r="V351" s="26" t="s">
        <v>670</v>
      </c>
      <c r="W351" s="32" t="s">
        <v>656</v>
      </c>
      <c r="X351" s="109" t="s">
        <v>657</v>
      </c>
      <c r="Y351" s="26" t="s">
        <v>779</v>
      </c>
      <c r="Z351" s="26" t="s">
        <v>2520</v>
      </c>
      <c r="AA351" s="26" t="s">
        <v>159</v>
      </c>
      <c r="AB351" s="26" t="s">
        <v>160</v>
      </c>
      <c r="AC351" s="26" t="s">
        <v>184</v>
      </c>
      <c r="AD351" s="28" t="s">
        <v>184</v>
      </c>
      <c r="AE351" s="29" t="s">
        <v>149</v>
      </c>
      <c r="AF351" s="26" t="s">
        <v>149</v>
      </c>
      <c r="AG351" s="26" t="s">
        <v>2521</v>
      </c>
      <c r="AH351" s="26" t="s">
        <v>2522</v>
      </c>
      <c r="AI351" s="26" t="s">
        <v>184</v>
      </c>
      <c r="AJ351" s="28" t="s">
        <v>184</v>
      </c>
      <c r="AK351" s="26" t="s">
        <v>2523</v>
      </c>
      <c r="AL351" s="26" t="s">
        <v>2524</v>
      </c>
      <c r="AM351" s="11" t="s">
        <v>149</v>
      </c>
      <c r="AN351" s="28" t="s">
        <v>165</v>
      </c>
      <c r="AO351" s="28" t="s">
        <v>689</v>
      </c>
      <c r="AP351" s="26" t="s">
        <v>2525</v>
      </c>
      <c r="AQ351" s="26" t="s">
        <v>2526</v>
      </c>
      <c r="AR351" s="11" t="s">
        <v>149</v>
      </c>
      <c r="AS351" s="11" t="s">
        <v>149</v>
      </c>
      <c r="AT351" s="45"/>
    </row>
    <row r="352">
      <c r="A352" s="36" t="s">
        <v>2527</v>
      </c>
      <c r="B352" s="26" t="str">
        <f t="shared" si="1"/>
        <v>2023-PH153602000-2022-0443</v>
      </c>
      <c r="C352" s="27">
        <f t="shared" si="5"/>
        <v>2023</v>
      </c>
      <c r="D352" s="37" t="s">
        <v>140</v>
      </c>
      <c r="E352" s="28" t="s">
        <v>141</v>
      </c>
      <c r="F352" s="28" t="s">
        <v>142</v>
      </c>
      <c r="G352" s="29" t="s">
        <v>642</v>
      </c>
      <c r="H352" s="29" t="s">
        <v>2528</v>
      </c>
      <c r="I352" s="29" t="s">
        <v>2529</v>
      </c>
      <c r="J352" s="29" t="s">
        <v>2530</v>
      </c>
      <c r="K352" s="28" t="s">
        <v>149</v>
      </c>
      <c r="L352" s="28" t="s">
        <v>2531</v>
      </c>
      <c r="M352" s="31">
        <v>2022.0</v>
      </c>
      <c r="N352" s="31" t="s">
        <v>149</v>
      </c>
      <c r="O352" s="31" t="s">
        <v>149</v>
      </c>
      <c r="P352" s="28" t="s">
        <v>177</v>
      </c>
      <c r="Q352" s="32" t="s">
        <v>319</v>
      </c>
      <c r="R352" s="28" t="s">
        <v>154</v>
      </c>
      <c r="S352" s="32" t="s">
        <v>154</v>
      </c>
      <c r="T352" s="28" t="s">
        <v>300</v>
      </c>
      <c r="U352" s="28" t="s">
        <v>1081</v>
      </c>
      <c r="V352" s="28" t="s">
        <v>2532</v>
      </c>
      <c r="W352" s="32" t="s">
        <v>656</v>
      </c>
      <c r="X352" s="32" t="s">
        <v>657</v>
      </c>
      <c r="Y352" s="26" t="s">
        <v>1311</v>
      </c>
      <c r="Z352" s="33" t="s">
        <v>149</v>
      </c>
      <c r="AA352" s="26" t="s">
        <v>159</v>
      </c>
      <c r="AB352" s="33" t="s">
        <v>149</v>
      </c>
      <c r="AC352" s="26" t="s">
        <v>149</v>
      </c>
      <c r="AD352" s="28" t="s">
        <v>149</v>
      </c>
      <c r="AE352" s="29" t="s">
        <v>149</v>
      </c>
      <c r="AF352" s="26" t="s">
        <v>149</v>
      </c>
      <c r="AG352" s="26" t="s">
        <v>1360</v>
      </c>
      <c r="AH352" s="26" t="s">
        <v>1314</v>
      </c>
      <c r="AI352" s="28" t="s">
        <v>1313</v>
      </c>
      <c r="AJ352" s="28" t="s">
        <v>1312</v>
      </c>
      <c r="AK352" s="28" t="s">
        <v>1315</v>
      </c>
      <c r="AL352" s="11" t="s">
        <v>149</v>
      </c>
      <c r="AM352" s="11" t="s">
        <v>2533</v>
      </c>
      <c r="AN352" s="28" t="s">
        <v>165</v>
      </c>
      <c r="AO352" s="26" t="s">
        <v>166</v>
      </c>
      <c r="AP352" s="28" t="s">
        <v>2534</v>
      </c>
      <c r="AQ352" s="38" t="s">
        <v>2535</v>
      </c>
      <c r="AR352" s="11" t="s">
        <v>149</v>
      </c>
      <c r="AS352" s="11" t="s">
        <v>149</v>
      </c>
      <c r="AT352" s="51" t="s">
        <v>2536</v>
      </c>
    </row>
    <row r="353">
      <c r="A353" s="25" t="s">
        <v>2537</v>
      </c>
      <c r="B353" s="26" t="str">
        <f t="shared" si="1"/>
        <v>2025-PH013310000-2023-0033</v>
      </c>
      <c r="C353" s="27">
        <f t="shared" si="5"/>
        <v>2025</v>
      </c>
      <c r="D353" s="28" t="s">
        <v>191</v>
      </c>
      <c r="E353" s="28" t="s">
        <v>191</v>
      </c>
      <c r="F353" s="28" t="s">
        <v>142</v>
      </c>
      <c r="G353" s="29" t="s">
        <v>143</v>
      </c>
      <c r="H353" s="29" t="s">
        <v>438</v>
      </c>
      <c r="I353" s="29" t="s">
        <v>2538</v>
      </c>
      <c r="J353" s="29" t="s">
        <v>2539</v>
      </c>
      <c r="K353" s="26" t="s">
        <v>149</v>
      </c>
      <c r="L353" s="102" t="s">
        <v>2540</v>
      </c>
      <c r="M353" s="31">
        <v>2023.0</v>
      </c>
      <c r="N353" s="31" t="s">
        <v>149</v>
      </c>
      <c r="O353" s="31" t="s">
        <v>149</v>
      </c>
      <c r="P353" s="28" t="s">
        <v>150</v>
      </c>
      <c r="Q353" s="32" t="s">
        <v>151</v>
      </c>
      <c r="R353" s="28" t="s">
        <v>152</v>
      </c>
      <c r="S353" s="32" t="s">
        <v>153</v>
      </c>
      <c r="T353" s="28" t="s">
        <v>154</v>
      </c>
      <c r="U353" s="28" t="s">
        <v>154</v>
      </c>
      <c r="V353" s="26" t="s">
        <v>153</v>
      </c>
      <c r="W353" s="32" t="s">
        <v>656</v>
      </c>
      <c r="X353" s="32" t="s">
        <v>657</v>
      </c>
      <c r="Y353" s="28" t="s">
        <v>2541</v>
      </c>
      <c r="Z353" s="26" t="s">
        <v>158</v>
      </c>
      <c r="AA353" s="26" t="s">
        <v>159</v>
      </c>
      <c r="AB353" s="26" t="s">
        <v>160</v>
      </c>
      <c r="AC353" s="28" t="s">
        <v>161</v>
      </c>
      <c r="AD353" s="28" t="s">
        <v>158</v>
      </c>
      <c r="AE353" s="29" t="s">
        <v>149</v>
      </c>
      <c r="AF353" s="26" t="s">
        <v>149</v>
      </c>
      <c r="AG353" s="26" t="s">
        <v>149</v>
      </c>
      <c r="AH353" s="26" t="s">
        <v>158</v>
      </c>
      <c r="AI353" s="28" t="s">
        <v>161</v>
      </c>
      <c r="AJ353" s="28" t="s">
        <v>158</v>
      </c>
      <c r="AK353" s="26" t="s">
        <v>369</v>
      </c>
      <c r="AL353" s="28" t="s">
        <v>149</v>
      </c>
      <c r="AM353" s="28" t="s">
        <v>149</v>
      </c>
      <c r="AN353" s="28" t="s">
        <v>165</v>
      </c>
      <c r="AO353" s="26" t="s">
        <v>166</v>
      </c>
      <c r="AP353" s="28" t="s">
        <v>2542</v>
      </c>
      <c r="AQ353" s="38" t="s">
        <v>2543</v>
      </c>
      <c r="AR353" s="39" t="s">
        <v>149</v>
      </c>
      <c r="AS353" s="28" t="s">
        <v>149</v>
      </c>
      <c r="AT353" s="26"/>
    </row>
    <row r="354">
      <c r="A354" s="36" t="s">
        <v>2544</v>
      </c>
      <c r="B354" s="26" t="str">
        <f t="shared" si="1"/>
        <v>2023-PH015533000-2018-0086</v>
      </c>
      <c r="C354" s="27">
        <f t="shared" si="5"/>
        <v>2023</v>
      </c>
      <c r="D354" s="28" t="s">
        <v>140</v>
      </c>
      <c r="E354" s="28" t="s">
        <v>141</v>
      </c>
      <c r="F354" s="28" t="s">
        <v>142</v>
      </c>
      <c r="G354" s="29" t="s">
        <v>143</v>
      </c>
      <c r="H354" s="29" t="s">
        <v>144</v>
      </c>
      <c r="I354" s="29" t="s">
        <v>2545</v>
      </c>
      <c r="J354" s="29" t="s">
        <v>2546</v>
      </c>
      <c r="K354" s="26" t="s">
        <v>149</v>
      </c>
      <c r="L354" s="11" t="s">
        <v>149</v>
      </c>
      <c r="M354" s="31">
        <v>2018.0</v>
      </c>
      <c r="N354" s="31" t="s">
        <v>149</v>
      </c>
      <c r="O354" s="31" t="s">
        <v>149</v>
      </c>
      <c r="P354" s="28" t="s">
        <v>150</v>
      </c>
      <c r="Q354" s="32" t="s">
        <v>151</v>
      </c>
      <c r="R354" s="28" t="s">
        <v>152</v>
      </c>
      <c r="S354" s="32" t="s">
        <v>153</v>
      </c>
      <c r="T354" s="28" t="s">
        <v>154</v>
      </c>
      <c r="U354" s="28" t="s">
        <v>154</v>
      </c>
      <c r="V354" s="26" t="s">
        <v>153</v>
      </c>
      <c r="W354" s="32" t="s">
        <v>656</v>
      </c>
      <c r="X354" s="32" t="s">
        <v>657</v>
      </c>
      <c r="Y354" s="28" t="s">
        <v>2547</v>
      </c>
      <c r="Z354" s="58" t="s">
        <v>369</v>
      </c>
      <c r="AA354" s="26" t="s">
        <v>159</v>
      </c>
      <c r="AB354" s="28" t="s">
        <v>160</v>
      </c>
      <c r="AC354" s="28" t="s">
        <v>161</v>
      </c>
      <c r="AD354" s="28" t="s">
        <v>369</v>
      </c>
      <c r="AE354" s="29" t="s">
        <v>149</v>
      </c>
      <c r="AF354" s="26" t="s">
        <v>149</v>
      </c>
      <c r="AG354" s="26" t="s">
        <v>2548</v>
      </c>
      <c r="AH354" s="28" t="s">
        <v>369</v>
      </c>
      <c r="AI354" s="28" t="s">
        <v>161</v>
      </c>
      <c r="AJ354" s="28" t="s">
        <v>369</v>
      </c>
      <c r="AK354" s="28" t="s">
        <v>390</v>
      </c>
      <c r="AL354" s="11" t="s">
        <v>149</v>
      </c>
      <c r="AM354" s="11" t="s">
        <v>149</v>
      </c>
      <c r="AN354" s="28" t="s">
        <v>165</v>
      </c>
      <c r="AO354" s="26" t="s">
        <v>166</v>
      </c>
      <c r="AP354" s="34" t="s">
        <v>2549</v>
      </c>
      <c r="AQ354" s="39" t="s">
        <v>2550</v>
      </c>
      <c r="AR354" s="28" t="s">
        <v>2551</v>
      </c>
      <c r="AS354" s="11" t="s">
        <v>149</v>
      </c>
      <c r="AT354" s="11"/>
    </row>
    <row r="355">
      <c r="A355" s="36" t="s">
        <v>2552</v>
      </c>
      <c r="B355" s="26" t="str">
        <f t="shared" si="1"/>
        <v>2023-PH063034000-2013-0257</v>
      </c>
      <c r="C355" s="27">
        <f t="shared" si="5"/>
        <v>2023</v>
      </c>
      <c r="D355" s="28" t="s">
        <v>140</v>
      </c>
      <c r="E355" s="28" t="s">
        <v>141</v>
      </c>
      <c r="F355" s="28" t="s">
        <v>192</v>
      </c>
      <c r="G355" s="29" t="s">
        <v>314</v>
      </c>
      <c r="H355" s="29" t="s">
        <v>558</v>
      </c>
      <c r="I355" s="29" t="s">
        <v>2553</v>
      </c>
      <c r="J355" s="29" t="s">
        <v>2554</v>
      </c>
      <c r="K355" s="26" t="s">
        <v>149</v>
      </c>
      <c r="L355" s="11" t="s">
        <v>149</v>
      </c>
      <c r="M355" s="31">
        <v>2013.0</v>
      </c>
      <c r="N355" s="31" t="s">
        <v>149</v>
      </c>
      <c r="O355" s="31" t="s">
        <v>149</v>
      </c>
      <c r="P355" s="28" t="s">
        <v>150</v>
      </c>
      <c r="Q355" s="32" t="s">
        <v>151</v>
      </c>
      <c r="R355" s="28" t="s">
        <v>149</v>
      </c>
      <c r="S355" s="32" t="s">
        <v>149</v>
      </c>
      <c r="T355" s="28" t="s">
        <v>154</v>
      </c>
      <c r="U355" s="28" t="s">
        <v>154</v>
      </c>
      <c r="V355" s="26" t="s">
        <v>149</v>
      </c>
      <c r="W355" s="32" t="s">
        <v>656</v>
      </c>
      <c r="X355" s="109" t="s">
        <v>657</v>
      </c>
      <c r="Y355" s="28" t="s">
        <v>2555</v>
      </c>
      <c r="Z355" s="26" t="s">
        <v>149</v>
      </c>
      <c r="AA355" s="26" t="s">
        <v>149</v>
      </c>
      <c r="AB355" s="26" t="s">
        <v>149</v>
      </c>
      <c r="AC355" s="26" t="s">
        <v>149</v>
      </c>
      <c r="AD355" s="28" t="s">
        <v>149</v>
      </c>
      <c r="AE355" s="29" t="s">
        <v>149</v>
      </c>
      <c r="AF355" s="26" t="s">
        <v>149</v>
      </c>
      <c r="AG355" s="26" t="s">
        <v>2556</v>
      </c>
      <c r="AH355" s="26" t="s">
        <v>149</v>
      </c>
      <c r="AI355" s="26" t="s">
        <v>149</v>
      </c>
      <c r="AJ355" s="28" t="s">
        <v>149</v>
      </c>
      <c r="AK355" s="26" t="s">
        <v>2557</v>
      </c>
      <c r="AL355" s="11" t="s">
        <v>149</v>
      </c>
      <c r="AM355" s="11" t="s">
        <v>149</v>
      </c>
      <c r="AN355" s="28" t="s">
        <v>165</v>
      </c>
      <c r="AO355" s="26" t="s">
        <v>166</v>
      </c>
      <c r="AP355" s="28" t="s">
        <v>2558</v>
      </c>
      <c r="AQ355" s="38" t="s">
        <v>2559</v>
      </c>
      <c r="AR355" s="11" t="s">
        <v>149</v>
      </c>
      <c r="AS355" s="11" t="s">
        <v>149</v>
      </c>
      <c r="AT355" s="28"/>
    </row>
    <row r="356">
      <c r="A356" s="36" t="s">
        <v>2560</v>
      </c>
      <c r="B356" s="26" t="str">
        <f t="shared" si="1"/>
        <v>2023-PH160201000-Unknown-0394</v>
      </c>
      <c r="C356" s="27">
        <f t="shared" si="5"/>
        <v>2023</v>
      </c>
      <c r="D356" s="28" t="s">
        <v>140</v>
      </c>
      <c r="E356" s="28" t="s">
        <v>141</v>
      </c>
      <c r="F356" s="28" t="s">
        <v>192</v>
      </c>
      <c r="G356" s="29" t="s">
        <v>345</v>
      </c>
      <c r="H356" s="29" t="s">
        <v>649</v>
      </c>
      <c r="I356" s="29" t="s">
        <v>1172</v>
      </c>
      <c r="J356" s="29" t="s">
        <v>1969</v>
      </c>
      <c r="K356" s="26" t="s">
        <v>149</v>
      </c>
      <c r="L356" s="26" t="s">
        <v>1971</v>
      </c>
      <c r="M356" s="31" t="s">
        <v>149</v>
      </c>
      <c r="N356" s="41" t="s">
        <v>149</v>
      </c>
      <c r="O356" s="41" t="s">
        <v>149</v>
      </c>
      <c r="P356" s="28" t="s">
        <v>150</v>
      </c>
      <c r="Q356" s="32" t="s">
        <v>151</v>
      </c>
      <c r="R356" s="28" t="s">
        <v>149</v>
      </c>
      <c r="S356" s="32" t="s">
        <v>149</v>
      </c>
      <c r="T356" s="28" t="s">
        <v>154</v>
      </c>
      <c r="U356" s="28" t="s">
        <v>154</v>
      </c>
      <c r="V356" s="26" t="s">
        <v>149</v>
      </c>
      <c r="W356" s="32" t="s">
        <v>656</v>
      </c>
      <c r="X356" s="32" t="s">
        <v>657</v>
      </c>
      <c r="Y356" s="26" t="s">
        <v>2561</v>
      </c>
      <c r="Z356" s="26" t="s">
        <v>149</v>
      </c>
      <c r="AA356" s="26" t="s">
        <v>149</v>
      </c>
      <c r="AB356" s="26" t="s">
        <v>149</v>
      </c>
      <c r="AC356" s="26" t="s">
        <v>149</v>
      </c>
      <c r="AD356" s="28" t="s">
        <v>149</v>
      </c>
      <c r="AE356" s="29" t="s">
        <v>149</v>
      </c>
      <c r="AF356" s="26" t="s">
        <v>149</v>
      </c>
      <c r="AG356" s="26" t="s">
        <v>571</v>
      </c>
      <c r="AH356" s="26" t="s">
        <v>390</v>
      </c>
      <c r="AI356" s="28" t="s">
        <v>322</v>
      </c>
      <c r="AJ356" s="28" t="s">
        <v>390</v>
      </c>
      <c r="AK356" s="11" t="s">
        <v>149</v>
      </c>
      <c r="AL356" s="11" t="s">
        <v>149</v>
      </c>
      <c r="AM356" s="11" t="s">
        <v>149</v>
      </c>
      <c r="AN356" s="28" t="s">
        <v>165</v>
      </c>
      <c r="AO356" s="28" t="s">
        <v>1147</v>
      </c>
      <c r="AP356" s="26" t="s">
        <v>2562</v>
      </c>
      <c r="AQ356" s="38" t="s">
        <v>2563</v>
      </c>
      <c r="AR356" s="11" t="s">
        <v>149</v>
      </c>
      <c r="AS356" s="11" t="s">
        <v>149</v>
      </c>
      <c r="AT356" s="11"/>
    </row>
    <row r="357">
      <c r="A357" s="36" t="s">
        <v>2564</v>
      </c>
      <c r="B357" s="26" t="str">
        <f t="shared" si="1"/>
        <v>2023-PH175319000-2011-0179</v>
      </c>
      <c r="C357" s="27">
        <f t="shared" si="5"/>
        <v>2023</v>
      </c>
      <c r="D357" s="37" t="s">
        <v>140</v>
      </c>
      <c r="E357" s="28" t="s">
        <v>141</v>
      </c>
      <c r="F357" s="28" t="s">
        <v>192</v>
      </c>
      <c r="G357" s="29" t="s">
        <v>522</v>
      </c>
      <c r="H357" s="29" t="s">
        <v>523</v>
      </c>
      <c r="I357" s="29" t="s">
        <v>1964</v>
      </c>
      <c r="J357" s="29" t="s">
        <v>1965</v>
      </c>
      <c r="K357" s="26" t="s">
        <v>149</v>
      </c>
      <c r="L357" s="26" t="s">
        <v>2565</v>
      </c>
      <c r="M357" s="31">
        <v>2011.0</v>
      </c>
      <c r="N357" s="31">
        <v>2011.0</v>
      </c>
      <c r="O357" s="31" t="s">
        <v>149</v>
      </c>
      <c r="P357" s="28" t="s">
        <v>263</v>
      </c>
      <c r="Q357" s="32" t="s">
        <v>2566</v>
      </c>
      <c r="R357" s="28" t="s">
        <v>2567</v>
      </c>
      <c r="S357" s="32" t="s">
        <v>2568</v>
      </c>
      <c r="T357" s="28" t="s">
        <v>300</v>
      </c>
      <c r="U357" s="28" t="s">
        <v>154</v>
      </c>
      <c r="V357" s="26" t="s">
        <v>2569</v>
      </c>
      <c r="W357" s="32" t="s">
        <v>750</v>
      </c>
      <c r="X357" s="32" t="s">
        <v>751</v>
      </c>
      <c r="Y357" s="28" t="s">
        <v>2570</v>
      </c>
      <c r="Z357" s="26" t="s">
        <v>2571</v>
      </c>
      <c r="AA357" s="32" t="s">
        <v>2572</v>
      </c>
      <c r="AB357" s="26" t="s">
        <v>160</v>
      </c>
      <c r="AC357" s="26" t="s">
        <v>184</v>
      </c>
      <c r="AD357" s="28" t="s">
        <v>184</v>
      </c>
      <c r="AE357" s="29" t="s">
        <v>149</v>
      </c>
      <c r="AF357" s="26" t="s">
        <v>149</v>
      </c>
      <c r="AG357" s="26" t="s">
        <v>2573</v>
      </c>
      <c r="AH357" s="26" t="s">
        <v>2574</v>
      </c>
      <c r="AI357" s="26" t="s">
        <v>184</v>
      </c>
      <c r="AJ357" s="28" t="s">
        <v>184</v>
      </c>
      <c r="AK357" s="26" t="s">
        <v>149</v>
      </c>
      <c r="AL357" s="26" t="s">
        <v>2575</v>
      </c>
      <c r="AM357" s="26" t="s">
        <v>149</v>
      </c>
      <c r="AN357" s="28" t="s">
        <v>165</v>
      </c>
      <c r="AO357" s="28" t="s">
        <v>731</v>
      </c>
      <c r="AP357" s="26" t="s">
        <v>2576</v>
      </c>
      <c r="AQ357" s="34" t="s">
        <v>2577</v>
      </c>
      <c r="AR357" s="26" t="s">
        <v>149</v>
      </c>
      <c r="AS357" s="26" t="s">
        <v>149</v>
      </c>
      <c r="AT357" s="26"/>
    </row>
    <row r="358">
      <c r="A358" s="36" t="s">
        <v>2578</v>
      </c>
      <c r="B358" s="26" t="str">
        <f t="shared" si="1"/>
        <v>2023-PH112402000-2012-0380</v>
      </c>
      <c r="C358" s="27">
        <f t="shared" si="5"/>
        <v>2023</v>
      </c>
      <c r="D358" s="37" t="s">
        <v>140</v>
      </c>
      <c r="E358" s="28" t="s">
        <v>141</v>
      </c>
      <c r="F358" s="28" t="s">
        <v>192</v>
      </c>
      <c r="G358" s="29" t="s">
        <v>330</v>
      </c>
      <c r="H358" s="29" t="s">
        <v>615</v>
      </c>
      <c r="I358" s="40" t="s">
        <v>616</v>
      </c>
      <c r="J358" s="29" t="s">
        <v>617</v>
      </c>
      <c r="K358" s="11" t="s">
        <v>149</v>
      </c>
      <c r="L358" s="11" t="s">
        <v>149</v>
      </c>
      <c r="M358" s="31">
        <v>2012.0</v>
      </c>
      <c r="N358" s="31" t="s">
        <v>149</v>
      </c>
      <c r="O358" s="31" t="s">
        <v>149</v>
      </c>
      <c r="P358" s="28" t="s">
        <v>150</v>
      </c>
      <c r="Q358" s="32" t="s">
        <v>151</v>
      </c>
      <c r="R358" s="50" t="s">
        <v>152</v>
      </c>
      <c r="S358" s="32" t="s">
        <v>361</v>
      </c>
      <c r="T358" s="28" t="s">
        <v>154</v>
      </c>
      <c r="U358" s="28" t="s">
        <v>154</v>
      </c>
      <c r="V358" s="26" t="s">
        <v>670</v>
      </c>
      <c r="W358" s="32" t="s">
        <v>750</v>
      </c>
      <c r="X358" s="32" t="s">
        <v>751</v>
      </c>
      <c r="Y358" s="26" t="s">
        <v>2579</v>
      </c>
      <c r="Z358" s="26" t="s">
        <v>149</v>
      </c>
      <c r="AA358" s="26" t="s">
        <v>159</v>
      </c>
      <c r="AB358" s="26" t="s">
        <v>149</v>
      </c>
      <c r="AC358" s="26" t="s">
        <v>149</v>
      </c>
      <c r="AD358" s="28" t="s">
        <v>149</v>
      </c>
      <c r="AE358" s="29" t="s">
        <v>149</v>
      </c>
      <c r="AF358" s="26" t="s">
        <v>149</v>
      </c>
      <c r="AG358" s="26" t="s">
        <v>149</v>
      </c>
      <c r="AH358" s="26" t="s">
        <v>2580</v>
      </c>
      <c r="AI358" s="32" t="s">
        <v>929</v>
      </c>
      <c r="AJ358" s="28" t="s">
        <v>929</v>
      </c>
      <c r="AK358" s="11" t="s">
        <v>149</v>
      </c>
      <c r="AL358" s="26" t="s">
        <v>2581</v>
      </c>
      <c r="AM358" s="11" t="s">
        <v>149</v>
      </c>
      <c r="AN358" s="28" t="s">
        <v>165</v>
      </c>
      <c r="AO358" s="28" t="s">
        <v>689</v>
      </c>
      <c r="AP358" s="26" t="s">
        <v>2582</v>
      </c>
      <c r="AQ358" s="38" t="s">
        <v>2583</v>
      </c>
      <c r="AR358" s="11" t="s">
        <v>149</v>
      </c>
      <c r="AS358" s="11" t="s">
        <v>149</v>
      </c>
      <c r="AT358" s="45"/>
    </row>
    <row r="359">
      <c r="A359" s="25" t="s">
        <v>2584</v>
      </c>
      <c r="B359" s="26" t="str">
        <f t="shared" si="1"/>
        <v>2023-PH012802000-2021-0001</v>
      </c>
      <c r="C359" s="27">
        <f t="shared" si="5"/>
        <v>2023</v>
      </c>
      <c r="D359" s="28" t="s">
        <v>140</v>
      </c>
      <c r="E359" s="28" t="s">
        <v>141</v>
      </c>
      <c r="F359" s="28" t="s">
        <v>142</v>
      </c>
      <c r="G359" s="40" t="s">
        <v>143</v>
      </c>
      <c r="H359" s="29" t="s">
        <v>381</v>
      </c>
      <c r="I359" s="29" t="s">
        <v>2585</v>
      </c>
      <c r="J359" s="29" t="s">
        <v>2586</v>
      </c>
      <c r="K359" s="26" t="s">
        <v>149</v>
      </c>
      <c r="L359" s="102" t="s">
        <v>2587</v>
      </c>
      <c r="M359" s="112">
        <v>2021.0</v>
      </c>
      <c r="N359" s="31" t="s">
        <v>149</v>
      </c>
      <c r="O359" s="31" t="s">
        <v>149</v>
      </c>
      <c r="P359" s="28" t="s">
        <v>150</v>
      </c>
      <c r="Q359" s="28" t="s">
        <v>151</v>
      </c>
      <c r="R359" s="28" t="s">
        <v>152</v>
      </c>
      <c r="S359" s="32" t="s">
        <v>153</v>
      </c>
      <c r="T359" s="28" t="s">
        <v>154</v>
      </c>
      <c r="U359" s="28" t="s">
        <v>154</v>
      </c>
      <c r="V359" s="28" t="s">
        <v>153</v>
      </c>
      <c r="W359" s="32" t="s">
        <v>750</v>
      </c>
      <c r="X359" s="32" t="s">
        <v>751</v>
      </c>
      <c r="Y359" s="51" t="s">
        <v>2588</v>
      </c>
      <c r="Z359" s="26" t="s">
        <v>149</v>
      </c>
      <c r="AA359" s="32" t="s">
        <v>159</v>
      </c>
      <c r="AB359" s="26" t="s">
        <v>149</v>
      </c>
      <c r="AC359" s="26" t="s">
        <v>149</v>
      </c>
      <c r="AD359" s="28" t="s">
        <v>149</v>
      </c>
      <c r="AE359" s="29" t="s">
        <v>149</v>
      </c>
      <c r="AF359" s="26" t="s">
        <v>149</v>
      </c>
      <c r="AG359" s="26" t="s">
        <v>149</v>
      </c>
      <c r="AH359" s="26" t="s">
        <v>390</v>
      </c>
      <c r="AI359" s="28" t="s">
        <v>322</v>
      </c>
      <c r="AJ359" s="28" t="s">
        <v>390</v>
      </c>
      <c r="AK359" s="28" t="s">
        <v>2589</v>
      </c>
      <c r="AL359" s="26" t="s">
        <v>149</v>
      </c>
      <c r="AM359" s="26" t="s">
        <v>2590</v>
      </c>
      <c r="AN359" s="28" t="s">
        <v>165</v>
      </c>
      <c r="AO359" s="28" t="s">
        <v>689</v>
      </c>
      <c r="AP359" s="28" t="s">
        <v>2591</v>
      </c>
      <c r="AQ359" s="38" t="s">
        <v>2592</v>
      </c>
      <c r="AR359" s="28" t="s">
        <v>2593</v>
      </c>
      <c r="AS359" s="26" t="s">
        <v>149</v>
      </c>
      <c r="AT359" s="28"/>
    </row>
    <row r="360">
      <c r="A360" s="25" t="s">
        <v>2594</v>
      </c>
      <c r="B360" s="26" t="str">
        <f t="shared" si="1"/>
        <v>2023-PH012905000-2013-0010</v>
      </c>
      <c r="C360" s="27">
        <f t="shared" si="5"/>
        <v>2023</v>
      </c>
      <c r="D360" s="28" t="s">
        <v>140</v>
      </c>
      <c r="E360" s="28" t="s">
        <v>141</v>
      </c>
      <c r="F360" s="28" t="s">
        <v>142</v>
      </c>
      <c r="G360" s="29" t="s">
        <v>143</v>
      </c>
      <c r="H360" s="29" t="s">
        <v>404</v>
      </c>
      <c r="I360" s="29" t="s">
        <v>405</v>
      </c>
      <c r="J360" s="29" t="s">
        <v>406</v>
      </c>
      <c r="K360" s="26" t="s">
        <v>149</v>
      </c>
      <c r="L360" s="70" t="s">
        <v>2595</v>
      </c>
      <c r="M360" s="31">
        <v>2013.0</v>
      </c>
      <c r="N360" s="31" t="s">
        <v>149</v>
      </c>
      <c r="O360" s="31" t="s">
        <v>149</v>
      </c>
      <c r="P360" s="28" t="s">
        <v>150</v>
      </c>
      <c r="Q360" s="32" t="s">
        <v>151</v>
      </c>
      <c r="R360" s="28" t="s">
        <v>152</v>
      </c>
      <c r="S360" s="32" t="s">
        <v>153</v>
      </c>
      <c r="T360" s="28" t="s">
        <v>154</v>
      </c>
      <c r="U360" s="28" t="s">
        <v>154</v>
      </c>
      <c r="V360" s="26" t="s">
        <v>153</v>
      </c>
      <c r="W360" s="32" t="s">
        <v>750</v>
      </c>
      <c r="X360" s="32" t="s">
        <v>751</v>
      </c>
      <c r="Y360" s="28" t="s">
        <v>2596</v>
      </c>
      <c r="Z360" s="26" t="s">
        <v>390</v>
      </c>
      <c r="AA360" s="26" t="s">
        <v>159</v>
      </c>
      <c r="AB360" s="26" t="s">
        <v>160</v>
      </c>
      <c r="AC360" s="28" t="s">
        <v>322</v>
      </c>
      <c r="AD360" s="28" t="s">
        <v>390</v>
      </c>
      <c r="AE360" s="29" t="s">
        <v>149</v>
      </c>
      <c r="AF360" s="26" t="s">
        <v>149</v>
      </c>
      <c r="AG360" s="28" t="s">
        <v>1524</v>
      </c>
      <c r="AH360" s="26" t="s">
        <v>390</v>
      </c>
      <c r="AI360" s="28" t="s">
        <v>322</v>
      </c>
      <c r="AJ360" s="28" t="s">
        <v>390</v>
      </c>
      <c r="AK360" s="26" t="s">
        <v>369</v>
      </c>
      <c r="AL360" s="26" t="s">
        <v>149</v>
      </c>
      <c r="AM360" s="28" t="s">
        <v>2597</v>
      </c>
      <c r="AN360" s="28" t="s">
        <v>165</v>
      </c>
      <c r="AO360" s="28" t="s">
        <v>166</v>
      </c>
      <c r="AP360" s="28" t="s">
        <v>2598</v>
      </c>
      <c r="AQ360" s="34" t="s">
        <v>2599</v>
      </c>
      <c r="AR360" s="28" t="s">
        <v>2600</v>
      </c>
      <c r="AS360" s="26" t="s">
        <v>149</v>
      </c>
      <c r="AT360" s="11"/>
    </row>
    <row r="361">
      <c r="A361" s="36" t="s">
        <v>2601</v>
      </c>
      <c r="B361" s="26" t="str">
        <f t="shared" si="1"/>
        <v>2025-PH037101000-Unknown-0100</v>
      </c>
      <c r="C361" s="27">
        <f t="shared" si="5"/>
        <v>2025</v>
      </c>
      <c r="D361" s="28" t="s">
        <v>191</v>
      </c>
      <c r="E361" s="28" t="s">
        <v>191</v>
      </c>
      <c r="F361" s="28" t="s">
        <v>192</v>
      </c>
      <c r="G361" s="29" t="s">
        <v>293</v>
      </c>
      <c r="H361" s="29" t="s">
        <v>294</v>
      </c>
      <c r="I361" s="29" t="s">
        <v>2602</v>
      </c>
      <c r="J361" s="29" t="s">
        <v>2603</v>
      </c>
      <c r="K361" s="26" t="s">
        <v>149</v>
      </c>
      <c r="L361" s="26" t="s">
        <v>2604</v>
      </c>
      <c r="M361" s="31" t="s">
        <v>149</v>
      </c>
      <c r="N361" s="31" t="s">
        <v>149</v>
      </c>
      <c r="O361" s="31" t="s">
        <v>149</v>
      </c>
      <c r="P361" s="28" t="s">
        <v>150</v>
      </c>
      <c r="Q361" s="32" t="s">
        <v>151</v>
      </c>
      <c r="R361" s="28" t="s">
        <v>152</v>
      </c>
      <c r="S361" s="32" t="s">
        <v>351</v>
      </c>
      <c r="T361" s="28" t="s">
        <v>154</v>
      </c>
      <c r="U361" s="28" t="s">
        <v>154</v>
      </c>
      <c r="V361" s="26" t="s">
        <v>152</v>
      </c>
      <c r="W361" s="32" t="s">
        <v>750</v>
      </c>
      <c r="X361" s="32" t="s">
        <v>751</v>
      </c>
      <c r="Y361" s="26" t="s">
        <v>2605</v>
      </c>
      <c r="Z361" s="26" t="s">
        <v>369</v>
      </c>
      <c r="AA361" s="26" t="s">
        <v>159</v>
      </c>
      <c r="AB361" s="26" t="s">
        <v>160</v>
      </c>
      <c r="AC361" s="28" t="s">
        <v>161</v>
      </c>
      <c r="AD361" s="28" t="s">
        <v>369</v>
      </c>
      <c r="AE361" s="29" t="s">
        <v>149</v>
      </c>
      <c r="AF361" s="26" t="s">
        <v>149</v>
      </c>
      <c r="AG361" s="26" t="s">
        <v>149</v>
      </c>
      <c r="AH361" s="26" t="s">
        <v>369</v>
      </c>
      <c r="AI361" s="28" t="s">
        <v>161</v>
      </c>
      <c r="AJ361" s="28" t="s">
        <v>369</v>
      </c>
      <c r="AK361" s="28" t="s">
        <v>149</v>
      </c>
      <c r="AL361" s="28" t="s">
        <v>149</v>
      </c>
      <c r="AM361" s="28" t="s">
        <v>149</v>
      </c>
      <c r="AN361" s="28" t="s">
        <v>165</v>
      </c>
      <c r="AO361" s="26" t="s">
        <v>166</v>
      </c>
      <c r="AP361" s="26" t="s">
        <v>2606</v>
      </c>
      <c r="AQ361" s="38" t="s">
        <v>2607</v>
      </c>
      <c r="AR361" s="28" t="s">
        <v>149</v>
      </c>
      <c r="AS361" s="28" t="s">
        <v>149</v>
      </c>
      <c r="AT361" s="69"/>
    </row>
    <row r="362">
      <c r="A362" s="25" t="s">
        <v>2608</v>
      </c>
      <c r="B362" s="26" t="str">
        <f t="shared" si="1"/>
        <v>2023-PH041006000-Unknown-0113</v>
      </c>
      <c r="C362" s="27">
        <f t="shared" si="5"/>
        <v>2023</v>
      </c>
      <c r="D362" s="28" t="s">
        <v>140</v>
      </c>
      <c r="E362" s="28" t="s">
        <v>141</v>
      </c>
      <c r="F362" s="28" t="s">
        <v>192</v>
      </c>
      <c r="G362" s="29" t="s">
        <v>257</v>
      </c>
      <c r="H362" s="29" t="s">
        <v>258</v>
      </c>
      <c r="I362" s="29" t="s">
        <v>2609</v>
      </c>
      <c r="J362" s="29" t="s">
        <v>2610</v>
      </c>
      <c r="K362" s="26" t="s">
        <v>149</v>
      </c>
      <c r="L362" s="28" t="s">
        <v>149</v>
      </c>
      <c r="M362" s="31" t="s">
        <v>149</v>
      </c>
      <c r="N362" s="31" t="s">
        <v>149</v>
      </c>
      <c r="O362" s="31" t="s">
        <v>149</v>
      </c>
      <c r="P362" s="28" t="s">
        <v>150</v>
      </c>
      <c r="Q362" s="32" t="s">
        <v>151</v>
      </c>
      <c r="R362" s="28" t="s">
        <v>281</v>
      </c>
      <c r="S362" s="32" t="s">
        <v>2611</v>
      </c>
      <c r="T362" s="28" t="s">
        <v>154</v>
      </c>
      <c r="U362" s="28" t="s">
        <v>154</v>
      </c>
      <c r="V362" s="26" t="s">
        <v>2612</v>
      </c>
      <c r="W362" s="32" t="s">
        <v>750</v>
      </c>
      <c r="X362" s="32" t="s">
        <v>751</v>
      </c>
      <c r="Y362" s="26" t="s">
        <v>2613</v>
      </c>
      <c r="Z362" s="26" t="s">
        <v>2614</v>
      </c>
      <c r="AA362" s="26" t="s">
        <v>159</v>
      </c>
      <c r="AB362" s="26" t="s">
        <v>160</v>
      </c>
      <c r="AC362" s="26" t="s">
        <v>184</v>
      </c>
      <c r="AD362" s="28" t="s">
        <v>184</v>
      </c>
      <c r="AE362" s="29" t="s">
        <v>149</v>
      </c>
      <c r="AF362" s="26" t="s">
        <v>149</v>
      </c>
      <c r="AG362" s="26" t="s">
        <v>149</v>
      </c>
      <c r="AH362" s="26" t="s">
        <v>2614</v>
      </c>
      <c r="AI362" s="26" t="s">
        <v>184</v>
      </c>
      <c r="AJ362" s="28" t="s">
        <v>184</v>
      </c>
      <c r="AK362" s="26" t="s">
        <v>149</v>
      </c>
      <c r="AL362" s="26" t="s">
        <v>149</v>
      </c>
      <c r="AM362" s="26" t="s">
        <v>149</v>
      </c>
      <c r="AN362" s="28" t="s">
        <v>165</v>
      </c>
      <c r="AO362" s="28" t="s">
        <v>289</v>
      </c>
      <c r="AP362" s="26" t="s">
        <v>2615</v>
      </c>
      <c r="AQ362" s="38" t="s">
        <v>2616</v>
      </c>
      <c r="AR362" s="26" t="s">
        <v>149</v>
      </c>
      <c r="AS362" s="26" t="s">
        <v>149</v>
      </c>
      <c r="AT362" s="26"/>
    </row>
    <row r="363">
      <c r="A363" s="36" t="s">
        <v>2617</v>
      </c>
      <c r="B363" s="26" t="str">
        <f t="shared" si="1"/>
        <v>2023-PH175104000-Unknown-0173</v>
      </c>
      <c r="C363" s="27">
        <f t="shared" si="5"/>
        <v>2023</v>
      </c>
      <c r="D363" s="28" t="s">
        <v>140</v>
      </c>
      <c r="E363" s="28" t="s">
        <v>141</v>
      </c>
      <c r="F363" s="28" t="s">
        <v>192</v>
      </c>
      <c r="G363" s="29" t="s">
        <v>522</v>
      </c>
      <c r="H363" s="29" t="s">
        <v>2618</v>
      </c>
      <c r="I363" s="29" t="s">
        <v>2619</v>
      </c>
      <c r="J363" s="29" t="s">
        <v>2620</v>
      </c>
      <c r="K363" s="26" t="s">
        <v>149</v>
      </c>
      <c r="L363" s="26" t="s">
        <v>2621</v>
      </c>
      <c r="M363" s="31" t="s">
        <v>149</v>
      </c>
      <c r="N363" s="31" t="s">
        <v>149</v>
      </c>
      <c r="O363" s="31" t="s">
        <v>149</v>
      </c>
      <c r="P363" s="28" t="s">
        <v>177</v>
      </c>
      <c r="Q363" s="32" t="s">
        <v>319</v>
      </c>
      <c r="R363" s="28" t="s">
        <v>154</v>
      </c>
      <c r="S363" s="32" t="s">
        <v>154</v>
      </c>
      <c r="T363" s="28" t="s">
        <v>300</v>
      </c>
      <c r="U363" s="28" t="s">
        <v>149</v>
      </c>
      <c r="V363" s="26" t="s">
        <v>2622</v>
      </c>
      <c r="W363" s="32" t="s">
        <v>750</v>
      </c>
      <c r="X363" s="32" t="s">
        <v>751</v>
      </c>
      <c r="Y363" s="26" t="s">
        <v>2623</v>
      </c>
      <c r="Z363" s="26" t="s">
        <v>2624</v>
      </c>
      <c r="AA363" s="26" t="s">
        <v>2625</v>
      </c>
      <c r="AB363" s="26" t="s">
        <v>160</v>
      </c>
      <c r="AC363" s="26" t="s">
        <v>184</v>
      </c>
      <c r="AD363" s="28" t="s">
        <v>184</v>
      </c>
      <c r="AE363" s="29" t="s">
        <v>149</v>
      </c>
      <c r="AF363" s="26" t="s">
        <v>149</v>
      </c>
      <c r="AG363" s="26" t="s">
        <v>149</v>
      </c>
      <c r="AH363" s="26" t="s">
        <v>2624</v>
      </c>
      <c r="AI363" s="26" t="s">
        <v>184</v>
      </c>
      <c r="AJ363" s="28" t="s">
        <v>184</v>
      </c>
      <c r="AK363" s="26" t="s">
        <v>149</v>
      </c>
      <c r="AL363" s="26" t="s">
        <v>149</v>
      </c>
      <c r="AM363" s="26" t="s">
        <v>149</v>
      </c>
      <c r="AN363" s="28" t="s">
        <v>165</v>
      </c>
      <c r="AO363" s="28" t="s">
        <v>289</v>
      </c>
      <c r="AP363" s="28" t="s">
        <v>2626</v>
      </c>
      <c r="AQ363" s="38" t="s">
        <v>2627</v>
      </c>
      <c r="AR363" s="26" t="s">
        <v>149</v>
      </c>
      <c r="AS363" s="26" t="s">
        <v>149</v>
      </c>
      <c r="AT363" s="26"/>
    </row>
    <row r="364">
      <c r="A364" s="36" t="s">
        <v>2628</v>
      </c>
      <c r="B364" s="26" t="str">
        <f t="shared" si="1"/>
        <v>2023-PH104305000-2017-0354</v>
      </c>
      <c r="C364" s="27">
        <f t="shared" si="5"/>
        <v>2023</v>
      </c>
      <c r="D364" s="37" t="s">
        <v>140</v>
      </c>
      <c r="E364" s="28" t="s">
        <v>141</v>
      </c>
      <c r="F364" s="28" t="s">
        <v>192</v>
      </c>
      <c r="G364" s="29" t="s">
        <v>171</v>
      </c>
      <c r="H364" s="29" t="s">
        <v>172</v>
      </c>
      <c r="I364" s="40" t="s">
        <v>1551</v>
      </c>
      <c r="J364" s="29" t="s">
        <v>1552</v>
      </c>
      <c r="K364" s="26" t="s">
        <v>149</v>
      </c>
      <c r="L364" s="26" t="s">
        <v>2629</v>
      </c>
      <c r="M364" s="31">
        <v>2017.0</v>
      </c>
      <c r="N364" s="31">
        <v>2017.0</v>
      </c>
      <c r="O364" s="31" t="s">
        <v>149</v>
      </c>
      <c r="P364" s="28" t="s">
        <v>150</v>
      </c>
      <c r="Q364" s="32" t="s">
        <v>151</v>
      </c>
      <c r="R364" s="28" t="s">
        <v>1733</v>
      </c>
      <c r="S364" s="32" t="s">
        <v>2630</v>
      </c>
      <c r="T364" s="28" t="s">
        <v>154</v>
      </c>
      <c r="U364" s="28" t="s">
        <v>154</v>
      </c>
      <c r="V364" s="26" t="s">
        <v>2631</v>
      </c>
      <c r="W364" s="32" t="s">
        <v>2632</v>
      </c>
      <c r="X364" s="32" t="s">
        <v>672</v>
      </c>
      <c r="Y364" s="28" t="s">
        <v>2633</v>
      </c>
      <c r="Z364" s="26" t="s">
        <v>2634</v>
      </c>
      <c r="AA364" s="26" t="s">
        <v>204</v>
      </c>
      <c r="AB364" s="26" t="s">
        <v>160</v>
      </c>
      <c r="AC364" s="26" t="s">
        <v>2635</v>
      </c>
      <c r="AD364" s="28" t="s">
        <v>2635</v>
      </c>
      <c r="AE364" s="29" t="s">
        <v>149</v>
      </c>
      <c r="AF364" s="26" t="s">
        <v>149</v>
      </c>
      <c r="AG364" s="26" t="s">
        <v>149</v>
      </c>
      <c r="AH364" s="28" t="s">
        <v>2636</v>
      </c>
      <c r="AI364" s="32" t="s">
        <v>929</v>
      </c>
      <c r="AJ364" s="28" t="s">
        <v>929</v>
      </c>
      <c r="AK364" s="26" t="s">
        <v>2637</v>
      </c>
      <c r="AL364" s="11" t="s">
        <v>149</v>
      </c>
      <c r="AM364" s="26" t="s">
        <v>2638</v>
      </c>
      <c r="AN364" s="28" t="s">
        <v>165</v>
      </c>
      <c r="AO364" s="26" t="s">
        <v>166</v>
      </c>
      <c r="AP364" s="26" t="s">
        <v>2639</v>
      </c>
      <c r="AQ364" s="38" t="s">
        <v>2640</v>
      </c>
      <c r="AR364" s="11" t="s">
        <v>149</v>
      </c>
      <c r="AS364" s="11" t="s">
        <v>149</v>
      </c>
      <c r="AT364" s="11"/>
    </row>
    <row r="365">
      <c r="A365" s="36" t="s">
        <v>2641</v>
      </c>
      <c r="B365" s="26" t="str">
        <f t="shared" si="1"/>
        <v>2025-PH104314000-2017-0357</v>
      </c>
      <c r="C365" s="27">
        <f t="shared" si="5"/>
        <v>2025</v>
      </c>
      <c r="D365" s="28" t="s">
        <v>191</v>
      </c>
      <c r="E365" s="28" t="s">
        <v>191</v>
      </c>
      <c r="F365" s="28" t="s">
        <v>192</v>
      </c>
      <c r="G365" s="29" t="s">
        <v>171</v>
      </c>
      <c r="H365" s="29" t="s">
        <v>172</v>
      </c>
      <c r="I365" s="29" t="s">
        <v>2642</v>
      </c>
      <c r="J365" s="29" t="s">
        <v>2643</v>
      </c>
      <c r="K365" s="26" t="s">
        <v>149</v>
      </c>
      <c r="L365" s="28" t="s">
        <v>149</v>
      </c>
      <c r="M365" s="31">
        <v>2017.0</v>
      </c>
      <c r="N365" s="31">
        <v>2017.0</v>
      </c>
      <c r="O365" s="31" t="s">
        <v>149</v>
      </c>
      <c r="P365" s="28" t="s">
        <v>150</v>
      </c>
      <c r="Q365" s="32" t="s">
        <v>151</v>
      </c>
      <c r="R365" s="28" t="s">
        <v>1733</v>
      </c>
      <c r="S365" s="32" t="s">
        <v>2630</v>
      </c>
      <c r="T365" s="28" t="s">
        <v>154</v>
      </c>
      <c r="U365" s="28" t="s">
        <v>154</v>
      </c>
      <c r="V365" s="26" t="s">
        <v>2631</v>
      </c>
      <c r="W365" s="32" t="s">
        <v>938</v>
      </c>
      <c r="X365" s="32" t="s">
        <v>865</v>
      </c>
      <c r="Y365" s="26" t="s">
        <v>2644</v>
      </c>
      <c r="Z365" s="26" t="s">
        <v>2634</v>
      </c>
      <c r="AA365" s="26" t="s">
        <v>204</v>
      </c>
      <c r="AB365" s="26" t="s">
        <v>160</v>
      </c>
      <c r="AC365" s="26" t="s">
        <v>2635</v>
      </c>
      <c r="AD365" s="28" t="s">
        <v>2635</v>
      </c>
      <c r="AE365" s="29" t="s">
        <v>149</v>
      </c>
      <c r="AF365" s="26" t="s">
        <v>149</v>
      </c>
      <c r="AG365" s="26" t="s">
        <v>149</v>
      </c>
      <c r="AH365" s="28" t="s">
        <v>2645</v>
      </c>
      <c r="AI365" s="32" t="s">
        <v>929</v>
      </c>
      <c r="AJ365" s="28" t="s">
        <v>929</v>
      </c>
      <c r="AK365" s="26" t="s">
        <v>2646</v>
      </c>
      <c r="AL365" s="28" t="s">
        <v>149</v>
      </c>
      <c r="AM365" s="26" t="s">
        <v>2638</v>
      </c>
      <c r="AN365" s="28" t="s">
        <v>165</v>
      </c>
      <c r="AO365" s="26" t="s">
        <v>166</v>
      </c>
      <c r="AP365" s="26" t="s">
        <v>2639</v>
      </c>
      <c r="AQ365" s="38" t="s">
        <v>2640</v>
      </c>
      <c r="AR365" s="28" t="s">
        <v>149</v>
      </c>
      <c r="AS365" s="28" t="s">
        <v>149</v>
      </c>
      <c r="AT365" s="11"/>
    </row>
    <row r="366">
      <c r="A366" s="36" t="s">
        <v>2647</v>
      </c>
      <c r="B366" s="26" t="str">
        <f t="shared" si="1"/>
        <v>2025-PH086418000-2016-0330</v>
      </c>
      <c r="C366" s="27">
        <f t="shared" si="5"/>
        <v>2025</v>
      </c>
      <c r="D366" s="28" t="s">
        <v>191</v>
      </c>
      <c r="E366" s="28" t="s">
        <v>191</v>
      </c>
      <c r="F366" s="28" t="s">
        <v>192</v>
      </c>
      <c r="G366" s="29" t="s">
        <v>579</v>
      </c>
      <c r="H366" s="29" t="s">
        <v>1271</v>
      </c>
      <c r="I366" s="29" t="s">
        <v>2648</v>
      </c>
      <c r="J366" s="29" t="s">
        <v>2649</v>
      </c>
      <c r="K366" s="26" t="s">
        <v>149</v>
      </c>
      <c r="L366" s="28" t="s">
        <v>2650</v>
      </c>
      <c r="M366" s="31">
        <v>2016.0</v>
      </c>
      <c r="N366" s="31" t="s">
        <v>149</v>
      </c>
      <c r="O366" s="31" t="s">
        <v>149</v>
      </c>
      <c r="P366" s="28" t="s">
        <v>177</v>
      </c>
      <c r="Q366" s="32" t="s">
        <v>178</v>
      </c>
      <c r="R366" s="28" t="s">
        <v>154</v>
      </c>
      <c r="S366" s="32" t="s">
        <v>154</v>
      </c>
      <c r="T366" s="28" t="s">
        <v>154</v>
      </c>
      <c r="U366" s="28" t="s">
        <v>154</v>
      </c>
      <c r="V366" s="26" t="s">
        <v>179</v>
      </c>
      <c r="W366" s="32" t="s">
        <v>2651</v>
      </c>
      <c r="X366" s="109" t="s">
        <v>2652</v>
      </c>
      <c r="Y366" s="26" t="s">
        <v>2653</v>
      </c>
      <c r="Z366" s="26" t="s">
        <v>158</v>
      </c>
      <c r="AA366" s="26" t="s">
        <v>159</v>
      </c>
      <c r="AB366" s="26" t="s">
        <v>160</v>
      </c>
      <c r="AC366" s="28" t="s">
        <v>161</v>
      </c>
      <c r="AD366" s="28" t="s">
        <v>158</v>
      </c>
      <c r="AE366" s="29" t="s">
        <v>149</v>
      </c>
      <c r="AF366" s="28" t="s">
        <v>2654</v>
      </c>
      <c r="AG366" s="26" t="s">
        <v>2655</v>
      </c>
      <c r="AH366" s="26" t="s">
        <v>158</v>
      </c>
      <c r="AI366" s="28" t="s">
        <v>161</v>
      </c>
      <c r="AJ366" s="28" t="s">
        <v>158</v>
      </c>
      <c r="AK366" s="28" t="s">
        <v>149</v>
      </c>
      <c r="AL366" s="26" t="s">
        <v>2656</v>
      </c>
      <c r="AM366" s="28" t="s">
        <v>149</v>
      </c>
      <c r="AN366" s="28" t="s">
        <v>165</v>
      </c>
      <c r="AO366" s="26" t="s">
        <v>166</v>
      </c>
      <c r="AP366" s="26" t="s">
        <v>2657</v>
      </c>
      <c r="AQ366" s="38" t="s">
        <v>2658</v>
      </c>
      <c r="AR366" s="28" t="s">
        <v>149</v>
      </c>
      <c r="AS366" s="28" t="s">
        <v>149</v>
      </c>
      <c r="AT366" s="26"/>
    </row>
    <row r="367">
      <c r="A367" s="36" t="s">
        <v>2659</v>
      </c>
      <c r="B367" s="26" t="str">
        <f t="shared" si="1"/>
        <v>2025-PH060605000-2022-0242</v>
      </c>
      <c r="C367" s="27">
        <f t="shared" si="5"/>
        <v>2025</v>
      </c>
      <c r="D367" s="28" t="s">
        <v>191</v>
      </c>
      <c r="E367" s="28" t="s">
        <v>191</v>
      </c>
      <c r="F367" s="28" t="s">
        <v>192</v>
      </c>
      <c r="G367" s="29" t="s">
        <v>314</v>
      </c>
      <c r="H367" s="29" t="s">
        <v>858</v>
      </c>
      <c r="I367" s="29" t="s">
        <v>2660</v>
      </c>
      <c r="J367" s="29" t="s">
        <v>2661</v>
      </c>
      <c r="K367" s="26" t="s">
        <v>149</v>
      </c>
      <c r="L367" s="26" t="s">
        <v>2662</v>
      </c>
      <c r="M367" s="31">
        <v>2022.0</v>
      </c>
      <c r="N367" s="31" t="s">
        <v>149</v>
      </c>
      <c r="O367" s="31" t="s">
        <v>149</v>
      </c>
      <c r="P367" s="28" t="s">
        <v>150</v>
      </c>
      <c r="Q367" s="32" t="s">
        <v>151</v>
      </c>
      <c r="R367" s="32" t="s">
        <v>336</v>
      </c>
      <c r="S367" s="32" t="s">
        <v>337</v>
      </c>
      <c r="T367" s="28" t="s">
        <v>154</v>
      </c>
      <c r="U367" s="28" t="s">
        <v>154</v>
      </c>
      <c r="V367" s="26" t="s">
        <v>337</v>
      </c>
      <c r="W367" s="32" t="s">
        <v>2651</v>
      </c>
      <c r="X367" s="32" t="s">
        <v>2652</v>
      </c>
      <c r="Y367" s="26" t="s">
        <v>2663</v>
      </c>
      <c r="Z367" s="26" t="s">
        <v>2664</v>
      </c>
      <c r="AA367" s="26" t="s">
        <v>159</v>
      </c>
      <c r="AB367" s="26" t="s">
        <v>160</v>
      </c>
      <c r="AC367" s="26" t="s">
        <v>184</v>
      </c>
      <c r="AD367" s="28" t="s">
        <v>184</v>
      </c>
      <c r="AE367" s="29" t="s">
        <v>149</v>
      </c>
      <c r="AF367" s="26" t="s">
        <v>149</v>
      </c>
      <c r="AG367" s="26" t="s">
        <v>149</v>
      </c>
      <c r="AH367" s="26" t="s">
        <v>2664</v>
      </c>
      <c r="AI367" s="26" t="s">
        <v>184</v>
      </c>
      <c r="AJ367" s="28" t="s">
        <v>184</v>
      </c>
      <c r="AK367" s="28" t="s">
        <v>149</v>
      </c>
      <c r="AL367" s="28" t="s">
        <v>149</v>
      </c>
      <c r="AM367" s="28" t="s">
        <v>149</v>
      </c>
      <c r="AN367" s="28" t="s">
        <v>165</v>
      </c>
      <c r="AO367" s="26" t="s">
        <v>166</v>
      </c>
      <c r="AP367" s="26" t="s">
        <v>2665</v>
      </c>
      <c r="AQ367" s="38" t="s">
        <v>2666</v>
      </c>
      <c r="AR367" s="39" t="s">
        <v>149</v>
      </c>
      <c r="AS367" s="28" t="s">
        <v>149</v>
      </c>
      <c r="AT367" s="28"/>
    </row>
    <row r="368">
      <c r="A368" s="36" t="s">
        <v>2667</v>
      </c>
      <c r="B368" s="26" t="str">
        <f t="shared" si="1"/>
        <v>2023-PH063045000-2015-0258</v>
      </c>
      <c r="C368" s="27">
        <f t="shared" si="5"/>
        <v>2023</v>
      </c>
      <c r="D368" s="28" t="s">
        <v>140</v>
      </c>
      <c r="E368" s="28" t="s">
        <v>141</v>
      </c>
      <c r="F368" s="28" t="s">
        <v>192</v>
      </c>
      <c r="G368" s="29" t="s">
        <v>314</v>
      </c>
      <c r="H368" s="29" t="s">
        <v>558</v>
      </c>
      <c r="I368" s="29" t="s">
        <v>959</v>
      </c>
      <c r="J368" s="29" t="s">
        <v>960</v>
      </c>
      <c r="K368" s="26" t="s">
        <v>149</v>
      </c>
      <c r="L368" s="11" t="s">
        <v>149</v>
      </c>
      <c r="M368" s="31">
        <v>2015.0</v>
      </c>
      <c r="N368" s="31" t="s">
        <v>149</v>
      </c>
      <c r="O368" s="31" t="s">
        <v>149</v>
      </c>
      <c r="P368" s="28" t="s">
        <v>150</v>
      </c>
      <c r="Q368" s="32" t="s">
        <v>151</v>
      </c>
      <c r="R368" s="28" t="s">
        <v>149</v>
      </c>
      <c r="S368" s="32" t="s">
        <v>149</v>
      </c>
      <c r="T368" s="28" t="s">
        <v>154</v>
      </c>
      <c r="U368" s="28" t="s">
        <v>154</v>
      </c>
      <c r="V368" s="26" t="s">
        <v>149</v>
      </c>
      <c r="W368" s="32" t="s">
        <v>2651</v>
      </c>
      <c r="X368" s="32" t="s">
        <v>2652</v>
      </c>
      <c r="Y368" s="26" t="s">
        <v>2668</v>
      </c>
      <c r="Z368" s="26" t="s">
        <v>149</v>
      </c>
      <c r="AA368" s="26" t="s">
        <v>149</v>
      </c>
      <c r="AB368" s="26" t="s">
        <v>149</v>
      </c>
      <c r="AC368" s="26" t="s">
        <v>149</v>
      </c>
      <c r="AD368" s="28" t="s">
        <v>149</v>
      </c>
      <c r="AE368" s="29" t="s">
        <v>149</v>
      </c>
      <c r="AF368" s="26" t="s">
        <v>149</v>
      </c>
      <c r="AG368" s="26" t="s">
        <v>149</v>
      </c>
      <c r="AH368" s="26" t="s">
        <v>1974</v>
      </c>
      <c r="AI368" s="28" t="s">
        <v>161</v>
      </c>
      <c r="AJ368" s="28" t="s">
        <v>369</v>
      </c>
      <c r="AK368" s="11" t="s">
        <v>149</v>
      </c>
      <c r="AL368" s="11" t="s">
        <v>149</v>
      </c>
      <c r="AM368" s="11" t="s">
        <v>149</v>
      </c>
      <c r="AN368" s="28" t="s">
        <v>241</v>
      </c>
      <c r="AO368" s="28" t="s">
        <v>242</v>
      </c>
      <c r="AP368" s="26" t="s">
        <v>2669</v>
      </c>
      <c r="AQ368" s="38" t="s">
        <v>2670</v>
      </c>
      <c r="AR368" s="26" t="s">
        <v>2671</v>
      </c>
      <c r="AS368" s="38" t="s">
        <v>2672</v>
      </c>
      <c r="AT368" s="45"/>
    </row>
    <row r="369">
      <c r="A369" s="36" t="s">
        <v>2673</v>
      </c>
      <c r="B369" s="26" t="str">
        <f t="shared" si="1"/>
        <v>2023-PH063001000-1995-0248</v>
      </c>
      <c r="C369" s="27">
        <f t="shared" si="5"/>
        <v>2023</v>
      </c>
      <c r="D369" s="37" t="s">
        <v>140</v>
      </c>
      <c r="E369" s="28" t="s">
        <v>141</v>
      </c>
      <c r="F369" s="28" t="s">
        <v>192</v>
      </c>
      <c r="G369" s="29" t="s">
        <v>314</v>
      </c>
      <c r="H369" s="29" t="s">
        <v>558</v>
      </c>
      <c r="I369" s="29" t="s">
        <v>1604</v>
      </c>
      <c r="J369" s="29" t="s">
        <v>1605</v>
      </c>
      <c r="K369" s="26" t="s">
        <v>149</v>
      </c>
      <c r="L369" s="11" t="s">
        <v>149</v>
      </c>
      <c r="M369" s="31">
        <v>1995.0</v>
      </c>
      <c r="N369" s="31" t="s">
        <v>149</v>
      </c>
      <c r="O369" s="31" t="s">
        <v>149</v>
      </c>
      <c r="P369" s="28" t="s">
        <v>150</v>
      </c>
      <c r="Q369" s="32" t="s">
        <v>151</v>
      </c>
      <c r="R369" s="28" t="s">
        <v>149</v>
      </c>
      <c r="S369" s="32" t="s">
        <v>149</v>
      </c>
      <c r="T369" s="28" t="s">
        <v>154</v>
      </c>
      <c r="U369" s="28" t="s">
        <v>154</v>
      </c>
      <c r="V369" s="26" t="s">
        <v>149</v>
      </c>
      <c r="W369" s="32" t="s">
        <v>791</v>
      </c>
      <c r="X369" s="109" t="s">
        <v>792</v>
      </c>
      <c r="Y369" s="26" t="s">
        <v>793</v>
      </c>
      <c r="Z369" s="26" t="s">
        <v>158</v>
      </c>
      <c r="AA369" s="26" t="s">
        <v>159</v>
      </c>
      <c r="AB369" s="26" t="s">
        <v>160</v>
      </c>
      <c r="AC369" s="28" t="s">
        <v>161</v>
      </c>
      <c r="AD369" s="28" t="s">
        <v>158</v>
      </c>
      <c r="AE369" s="29" t="s">
        <v>149</v>
      </c>
      <c r="AF369" s="26" t="s">
        <v>149</v>
      </c>
      <c r="AG369" s="26" t="s">
        <v>2674</v>
      </c>
      <c r="AH369" s="26" t="s">
        <v>158</v>
      </c>
      <c r="AI369" s="28" t="s">
        <v>161</v>
      </c>
      <c r="AJ369" s="28" t="s">
        <v>158</v>
      </c>
      <c r="AK369" s="11" t="s">
        <v>149</v>
      </c>
      <c r="AL369" s="11" t="s">
        <v>149</v>
      </c>
      <c r="AM369" s="11" t="s">
        <v>149</v>
      </c>
      <c r="AN369" s="28" t="s">
        <v>165</v>
      </c>
      <c r="AO369" s="26" t="s">
        <v>395</v>
      </c>
      <c r="AP369" s="26" t="s">
        <v>2675</v>
      </c>
      <c r="AQ369" s="38" t="s">
        <v>2676</v>
      </c>
      <c r="AR369" s="11" t="s">
        <v>149</v>
      </c>
      <c r="AS369" s="11" t="s">
        <v>149</v>
      </c>
      <c r="AT369" s="45"/>
    </row>
    <row r="370">
      <c r="A370" s="36" t="s">
        <v>2677</v>
      </c>
      <c r="B370" s="26" t="str">
        <f t="shared" si="1"/>
        <v>2023-PH074601000-1991-0414</v>
      </c>
      <c r="C370" s="27">
        <f t="shared" si="5"/>
        <v>2023</v>
      </c>
      <c r="D370" s="37" t="s">
        <v>140</v>
      </c>
      <c r="E370" s="28" t="s">
        <v>141</v>
      </c>
      <c r="F370" s="28" t="s">
        <v>142</v>
      </c>
      <c r="G370" s="29" t="s">
        <v>625</v>
      </c>
      <c r="H370" s="29" t="s">
        <v>632</v>
      </c>
      <c r="I370" s="56" t="s">
        <v>2678</v>
      </c>
      <c r="J370" s="55" t="s">
        <v>2679</v>
      </c>
      <c r="K370" s="26" t="s">
        <v>149</v>
      </c>
      <c r="L370" s="26" t="s">
        <v>2680</v>
      </c>
      <c r="M370" s="49">
        <v>1991.0</v>
      </c>
      <c r="N370" s="31" t="s">
        <v>149</v>
      </c>
      <c r="O370" s="31" t="s">
        <v>149</v>
      </c>
      <c r="P370" s="28" t="s">
        <v>150</v>
      </c>
      <c r="Q370" s="32" t="s">
        <v>151</v>
      </c>
      <c r="R370" s="28" t="s">
        <v>281</v>
      </c>
      <c r="S370" s="32" t="s">
        <v>2681</v>
      </c>
      <c r="T370" s="28" t="s">
        <v>154</v>
      </c>
      <c r="U370" s="28" t="s">
        <v>154</v>
      </c>
      <c r="V370" s="28" t="s">
        <v>2682</v>
      </c>
      <c r="W370" s="32" t="s">
        <v>791</v>
      </c>
      <c r="X370" s="32" t="s">
        <v>792</v>
      </c>
      <c r="Y370" s="28" t="s">
        <v>2683</v>
      </c>
      <c r="Z370" s="26" t="s">
        <v>149</v>
      </c>
      <c r="AA370" s="32" t="s">
        <v>159</v>
      </c>
      <c r="AB370" s="26" t="s">
        <v>149</v>
      </c>
      <c r="AC370" s="26" t="s">
        <v>149</v>
      </c>
      <c r="AD370" s="28" t="s">
        <v>149</v>
      </c>
      <c r="AE370" s="29" t="s">
        <v>149</v>
      </c>
      <c r="AF370" s="28" t="s">
        <v>2684</v>
      </c>
      <c r="AG370" s="26" t="s">
        <v>149</v>
      </c>
      <c r="AH370" s="26" t="s">
        <v>149</v>
      </c>
      <c r="AI370" s="26" t="s">
        <v>149</v>
      </c>
      <c r="AJ370" s="28" t="s">
        <v>149</v>
      </c>
      <c r="AK370" s="29" t="s">
        <v>149</v>
      </c>
      <c r="AL370" s="29" t="s">
        <v>149</v>
      </c>
      <c r="AM370" s="29" t="s">
        <v>149</v>
      </c>
      <c r="AN370" s="28" t="s">
        <v>241</v>
      </c>
      <c r="AO370" s="26" t="s">
        <v>395</v>
      </c>
      <c r="AP370" s="28" t="s">
        <v>396</v>
      </c>
      <c r="AQ370" s="38" t="s">
        <v>541</v>
      </c>
      <c r="AR370" s="26" t="s">
        <v>398</v>
      </c>
      <c r="AS370" s="29" t="s">
        <v>149</v>
      </c>
      <c r="AT370" s="28" t="s">
        <v>2685</v>
      </c>
    </row>
    <row r="371">
      <c r="A371" s="36" t="s">
        <v>2686</v>
      </c>
      <c r="B371" s="26" t="str">
        <f t="shared" si="1"/>
        <v>2023-PH074603000-1991-0416</v>
      </c>
      <c r="C371" s="27">
        <f t="shared" si="5"/>
        <v>2023</v>
      </c>
      <c r="D371" s="37" t="s">
        <v>140</v>
      </c>
      <c r="E371" s="28" t="s">
        <v>141</v>
      </c>
      <c r="F371" s="28" t="s">
        <v>142</v>
      </c>
      <c r="G371" s="29" t="s">
        <v>625</v>
      </c>
      <c r="H371" s="29" t="s">
        <v>632</v>
      </c>
      <c r="I371" s="56" t="s">
        <v>2687</v>
      </c>
      <c r="J371" s="55" t="s">
        <v>2688</v>
      </c>
      <c r="K371" s="26" t="s">
        <v>149</v>
      </c>
      <c r="L371" s="26" t="s">
        <v>2689</v>
      </c>
      <c r="M371" s="49">
        <v>1991.0</v>
      </c>
      <c r="N371" s="31" t="s">
        <v>149</v>
      </c>
      <c r="O371" s="31" t="s">
        <v>149</v>
      </c>
      <c r="P371" s="28" t="s">
        <v>150</v>
      </c>
      <c r="Q371" s="32" t="s">
        <v>151</v>
      </c>
      <c r="R371" s="28" t="s">
        <v>281</v>
      </c>
      <c r="S371" s="32" t="s">
        <v>2681</v>
      </c>
      <c r="T371" s="28" t="s">
        <v>154</v>
      </c>
      <c r="U371" s="28" t="s">
        <v>154</v>
      </c>
      <c r="V371" s="28" t="s">
        <v>2682</v>
      </c>
      <c r="W371" s="32" t="s">
        <v>791</v>
      </c>
      <c r="X371" s="32" t="s">
        <v>792</v>
      </c>
      <c r="Y371" s="28" t="s">
        <v>2683</v>
      </c>
      <c r="Z371" s="26" t="s">
        <v>149</v>
      </c>
      <c r="AA371" s="32" t="s">
        <v>159</v>
      </c>
      <c r="AB371" s="26" t="s">
        <v>149</v>
      </c>
      <c r="AC371" s="26" t="s">
        <v>149</v>
      </c>
      <c r="AD371" s="28" t="s">
        <v>149</v>
      </c>
      <c r="AE371" s="29" t="s">
        <v>149</v>
      </c>
      <c r="AF371" s="28" t="s">
        <v>2690</v>
      </c>
      <c r="AG371" s="26" t="s">
        <v>149</v>
      </c>
      <c r="AH371" s="26" t="s">
        <v>149</v>
      </c>
      <c r="AI371" s="26" t="s">
        <v>149</v>
      </c>
      <c r="AJ371" s="28" t="s">
        <v>149</v>
      </c>
      <c r="AK371" s="29" t="s">
        <v>149</v>
      </c>
      <c r="AL371" s="29" t="s">
        <v>149</v>
      </c>
      <c r="AM371" s="29" t="s">
        <v>149</v>
      </c>
      <c r="AN371" s="28" t="s">
        <v>241</v>
      </c>
      <c r="AO371" s="26" t="s">
        <v>395</v>
      </c>
      <c r="AP371" s="28" t="s">
        <v>396</v>
      </c>
      <c r="AQ371" s="38" t="s">
        <v>541</v>
      </c>
      <c r="AR371" s="26" t="s">
        <v>398</v>
      </c>
      <c r="AS371" s="29" t="s">
        <v>149</v>
      </c>
      <c r="AT371" s="28" t="s">
        <v>2691</v>
      </c>
    </row>
    <row r="372">
      <c r="A372" s="36" t="s">
        <v>2692</v>
      </c>
      <c r="B372" s="26" t="str">
        <f t="shared" si="1"/>
        <v>2023-PH074609000-1991-0419</v>
      </c>
      <c r="C372" s="27">
        <f t="shared" si="5"/>
        <v>2023</v>
      </c>
      <c r="D372" s="28" t="s">
        <v>140</v>
      </c>
      <c r="E372" s="28" t="s">
        <v>141</v>
      </c>
      <c r="F372" s="28" t="s">
        <v>142</v>
      </c>
      <c r="G372" s="29" t="s">
        <v>625</v>
      </c>
      <c r="H372" s="29" t="s">
        <v>632</v>
      </c>
      <c r="I372" s="56" t="s">
        <v>847</v>
      </c>
      <c r="J372" s="55" t="s">
        <v>848</v>
      </c>
      <c r="K372" s="26" t="s">
        <v>149</v>
      </c>
      <c r="L372" s="26" t="s">
        <v>2693</v>
      </c>
      <c r="M372" s="49">
        <v>1991.0</v>
      </c>
      <c r="N372" s="31" t="s">
        <v>149</v>
      </c>
      <c r="O372" s="31" t="s">
        <v>149</v>
      </c>
      <c r="P372" s="28" t="s">
        <v>150</v>
      </c>
      <c r="Q372" s="32" t="s">
        <v>151</v>
      </c>
      <c r="R372" s="28" t="s">
        <v>281</v>
      </c>
      <c r="S372" s="32" t="s">
        <v>2681</v>
      </c>
      <c r="T372" s="28" t="s">
        <v>154</v>
      </c>
      <c r="U372" s="28" t="s">
        <v>154</v>
      </c>
      <c r="V372" s="28" t="s">
        <v>2682</v>
      </c>
      <c r="W372" s="32" t="s">
        <v>791</v>
      </c>
      <c r="X372" s="32" t="s">
        <v>792</v>
      </c>
      <c r="Y372" s="28" t="s">
        <v>2683</v>
      </c>
      <c r="Z372" s="26" t="s">
        <v>149</v>
      </c>
      <c r="AA372" s="32" t="s">
        <v>159</v>
      </c>
      <c r="AB372" s="26" t="s">
        <v>149</v>
      </c>
      <c r="AC372" s="26" t="s">
        <v>149</v>
      </c>
      <c r="AD372" s="28" t="s">
        <v>149</v>
      </c>
      <c r="AE372" s="29" t="s">
        <v>149</v>
      </c>
      <c r="AF372" s="28" t="s">
        <v>2694</v>
      </c>
      <c r="AG372" s="26" t="s">
        <v>149</v>
      </c>
      <c r="AH372" s="26" t="s">
        <v>149</v>
      </c>
      <c r="AI372" s="26" t="s">
        <v>149</v>
      </c>
      <c r="AJ372" s="28" t="s">
        <v>149</v>
      </c>
      <c r="AK372" s="29" t="s">
        <v>149</v>
      </c>
      <c r="AL372" s="29" t="s">
        <v>149</v>
      </c>
      <c r="AM372" s="29" t="s">
        <v>149</v>
      </c>
      <c r="AN372" s="28" t="s">
        <v>241</v>
      </c>
      <c r="AO372" s="26" t="s">
        <v>395</v>
      </c>
      <c r="AP372" s="28" t="s">
        <v>396</v>
      </c>
      <c r="AQ372" s="38" t="s">
        <v>541</v>
      </c>
      <c r="AR372" s="26" t="s">
        <v>398</v>
      </c>
      <c r="AS372" s="29" t="s">
        <v>149</v>
      </c>
      <c r="AT372" s="28" t="s">
        <v>2695</v>
      </c>
    </row>
    <row r="373">
      <c r="A373" s="36" t="s">
        <v>2696</v>
      </c>
      <c r="B373" s="26" t="str">
        <f t="shared" si="1"/>
        <v>2023-PH074612000-1991-0425</v>
      </c>
      <c r="C373" s="27">
        <f t="shared" si="5"/>
        <v>2023</v>
      </c>
      <c r="D373" s="28" t="s">
        <v>140</v>
      </c>
      <c r="E373" s="28" t="s">
        <v>141</v>
      </c>
      <c r="F373" s="28" t="s">
        <v>142</v>
      </c>
      <c r="G373" s="29" t="s">
        <v>625</v>
      </c>
      <c r="H373" s="29" t="s">
        <v>632</v>
      </c>
      <c r="I373" s="56" t="s">
        <v>2697</v>
      </c>
      <c r="J373" s="55" t="s">
        <v>2698</v>
      </c>
      <c r="K373" s="26" t="s">
        <v>149</v>
      </c>
      <c r="L373" s="26" t="s">
        <v>2699</v>
      </c>
      <c r="M373" s="49">
        <v>1991.0</v>
      </c>
      <c r="N373" s="31" t="s">
        <v>149</v>
      </c>
      <c r="O373" s="31" t="s">
        <v>149</v>
      </c>
      <c r="P373" s="28" t="s">
        <v>150</v>
      </c>
      <c r="Q373" s="32" t="s">
        <v>151</v>
      </c>
      <c r="R373" s="28" t="s">
        <v>281</v>
      </c>
      <c r="S373" s="32" t="s">
        <v>2681</v>
      </c>
      <c r="T373" s="28" t="s">
        <v>154</v>
      </c>
      <c r="U373" s="28" t="s">
        <v>154</v>
      </c>
      <c r="V373" s="28" t="s">
        <v>2682</v>
      </c>
      <c r="W373" s="32" t="s">
        <v>791</v>
      </c>
      <c r="X373" s="32" t="s">
        <v>792</v>
      </c>
      <c r="Y373" s="28" t="s">
        <v>2683</v>
      </c>
      <c r="Z373" s="26" t="s">
        <v>149</v>
      </c>
      <c r="AA373" s="32" t="s">
        <v>159</v>
      </c>
      <c r="AB373" s="26" t="s">
        <v>149</v>
      </c>
      <c r="AC373" s="26" t="s">
        <v>149</v>
      </c>
      <c r="AD373" s="28" t="s">
        <v>149</v>
      </c>
      <c r="AE373" s="29" t="s">
        <v>149</v>
      </c>
      <c r="AF373" s="28" t="s">
        <v>2700</v>
      </c>
      <c r="AG373" s="26" t="s">
        <v>149</v>
      </c>
      <c r="AH373" s="26" t="s">
        <v>149</v>
      </c>
      <c r="AI373" s="26" t="s">
        <v>149</v>
      </c>
      <c r="AJ373" s="28" t="s">
        <v>149</v>
      </c>
      <c r="AK373" s="29" t="s">
        <v>149</v>
      </c>
      <c r="AL373" s="29" t="s">
        <v>149</v>
      </c>
      <c r="AM373" s="29" t="s">
        <v>149</v>
      </c>
      <c r="AN373" s="28" t="s">
        <v>241</v>
      </c>
      <c r="AO373" s="26" t="s">
        <v>395</v>
      </c>
      <c r="AP373" s="28" t="s">
        <v>396</v>
      </c>
      <c r="AQ373" s="38" t="s">
        <v>541</v>
      </c>
      <c r="AR373" s="26" t="s">
        <v>398</v>
      </c>
      <c r="AS373" s="29" t="s">
        <v>149</v>
      </c>
      <c r="AT373" s="28" t="s">
        <v>2701</v>
      </c>
    </row>
    <row r="374">
      <c r="A374" s="36" t="s">
        <v>2702</v>
      </c>
      <c r="B374" s="26" t="str">
        <f t="shared" si="1"/>
        <v>2023-PH074617000-1991-0427</v>
      </c>
      <c r="C374" s="27">
        <f t="shared" si="5"/>
        <v>2023</v>
      </c>
      <c r="D374" s="28" t="s">
        <v>140</v>
      </c>
      <c r="E374" s="28" t="s">
        <v>141</v>
      </c>
      <c r="F374" s="28" t="s">
        <v>142</v>
      </c>
      <c r="G374" s="29" t="s">
        <v>625</v>
      </c>
      <c r="H374" s="29" t="s">
        <v>632</v>
      </c>
      <c r="I374" s="56" t="s">
        <v>1667</v>
      </c>
      <c r="J374" s="55" t="s">
        <v>2703</v>
      </c>
      <c r="K374" s="26" t="s">
        <v>149</v>
      </c>
      <c r="L374" s="26" t="s">
        <v>2704</v>
      </c>
      <c r="M374" s="49">
        <v>1991.0</v>
      </c>
      <c r="N374" s="31" t="s">
        <v>149</v>
      </c>
      <c r="O374" s="31" t="s">
        <v>149</v>
      </c>
      <c r="P374" s="28" t="s">
        <v>150</v>
      </c>
      <c r="Q374" s="32" t="s">
        <v>151</v>
      </c>
      <c r="R374" s="28" t="s">
        <v>281</v>
      </c>
      <c r="S374" s="32" t="s">
        <v>2681</v>
      </c>
      <c r="T374" s="28" t="s">
        <v>154</v>
      </c>
      <c r="U374" s="28" t="s">
        <v>154</v>
      </c>
      <c r="V374" s="28" t="s">
        <v>2682</v>
      </c>
      <c r="W374" s="32" t="s">
        <v>791</v>
      </c>
      <c r="X374" s="32" t="s">
        <v>792</v>
      </c>
      <c r="Y374" s="28" t="s">
        <v>2683</v>
      </c>
      <c r="Z374" s="26" t="s">
        <v>149</v>
      </c>
      <c r="AA374" s="32" t="s">
        <v>159</v>
      </c>
      <c r="AB374" s="26" t="s">
        <v>149</v>
      </c>
      <c r="AC374" s="26" t="s">
        <v>149</v>
      </c>
      <c r="AD374" s="28" t="s">
        <v>149</v>
      </c>
      <c r="AE374" s="29" t="s">
        <v>149</v>
      </c>
      <c r="AF374" s="28" t="s">
        <v>2705</v>
      </c>
      <c r="AG374" s="26" t="s">
        <v>149</v>
      </c>
      <c r="AH374" s="26" t="s">
        <v>149</v>
      </c>
      <c r="AI374" s="26" t="s">
        <v>149</v>
      </c>
      <c r="AJ374" s="28" t="s">
        <v>149</v>
      </c>
      <c r="AK374" s="45" t="s">
        <v>149</v>
      </c>
      <c r="AL374" s="45" t="s">
        <v>149</v>
      </c>
      <c r="AM374" s="45" t="s">
        <v>149</v>
      </c>
      <c r="AN374" s="28" t="s">
        <v>241</v>
      </c>
      <c r="AO374" s="26" t="s">
        <v>395</v>
      </c>
      <c r="AP374" s="28" t="s">
        <v>396</v>
      </c>
      <c r="AQ374" s="38" t="s">
        <v>541</v>
      </c>
      <c r="AR374" s="26" t="s">
        <v>398</v>
      </c>
      <c r="AS374" s="45" t="s">
        <v>149</v>
      </c>
      <c r="AT374" s="28" t="s">
        <v>2706</v>
      </c>
    </row>
    <row r="375">
      <c r="A375" s="36" t="s">
        <v>2707</v>
      </c>
      <c r="B375" s="26" t="str">
        <f t="shared" si="1"/>
        <v>2023-PH074619000-1991-0429</v>
      </c>
      <c r="C375" s="27">
        <f t="shared" si="5"/>
        <v>2023</v>
      </c>
      <c r="D375" s="28" t="s">
        <v>140</v>
      </c>
      <c r="E375" s="28" t="s">
        <v>141</v>
      </c>
      <c r="F375" s="28" t="s">
        <v>142</v>
      </c>
      <c r="G375" s="29" t="s">
        <v>625</v>
      </c>
      <c r="H375" s="29" t="s">
        <v>632</v>
      </c>
      <c r="I375" s="56" t="s">
        <v>633</v>
      </c>
      <c r="J375" s="55" t="s">
        <v>634</v>
      </c>
      <c r="K375" s="26" t="s">
        <v>149</v>
      </c>
      <c r="L375" s="26" t="s">
        <v>2708</v>
      </c>
      <c r="M375" s="49">
        <v>1991.0</v>
      </c>
      <c r="N375" s="31" t="s">
        <v>149</v>
      </c>
      <c r="O375" s="31" t="s">
        <v>149</v>
      </c>
      <c r="P375" s="28" t="s">
        <v>150</v>
      </c>
      <c r="Q375" s="32" t="s">
        <v>151</v>
      </c>
      <c r="R375" s="28" t="s">
        <v>281</v>
      </c>
      <c r="S375" s="32" t="s">
        <v>2681</v>
      </c>
      <c r="T375" s="28" t="s">
        <v>154</v>
      </c>
      <c r="U375" s="28" t="s">
        <v>154</v>
      </c>
      <c r="V375" s="28" t="s">
        <v>2682</v>
      </c>
      <c r="W375" s="32" t="s">
        <v>791</v>
      </c>
      <c r="X375" s="109" t="s">
        <v>792</v>
      </c>
      <c r="Y375" s="28" t="s">
        <v>2683</v>
      </c>
      <c r="Z375" s="26" t="s">
        <v>149</v>
      </c>
      <c r="AA375" s="32" t="s">
        <v>159</v>
      </c>
      <c r="AB375" s="26" t="s">
        <v>149</v>
      </c>
      <c r="AC375" s="26" t="s">
        <v>149</v>
      </c>
      <c r="AD375" s="28" t="s">
        <v>149</v>
      </c>
      <c r="AE375" s="29" t="s">
        <v>149</v>
      </c>
      <c r="AF375" s="28" t="s">
        <v>2709</v>
      </c>
      <c r="AG375" s="26" t="s">
        <v>149</v>
      </c>
      <c r="AH375" s="26" t="s">
        <v>149</v>
      </c>
      <c r="AI375" s="26" t="s">
        <v>149</v>
      </c>
      <c r="AJ375" s="28" t="s">
        <v>149</v>
      </c>
      <c r="AK375" s="45" t="s">
        <v>149</v>
      </c>
      <c r="AL375" s="45" t="s">
        <v>149</v>
      </c>
      <c r="AM375" s="45" t="s">
        <v>149</v>
      </c>
      <c r="AN375" s="28" t="s">
        <v>241</v>
      </c>
      <c r="AO375" s="26" t="s">
        <v>395</v>
      </c>
      <c r="AP375" s="28" t="s">
        <v>396</v>
      </c>
      <c r="AQ375" s="38" t="s">
        <v>541</v>
      </c>
      <c r="AR375" s="26" t="s">
        <v>398</v>
      </c>
      <c r="AS375" s="45" t="s">
        <v>149</v>
      </c>
      <c r="AT375" s="28" t="s">
        <v>2710</v>
      </c>
    </row>
    <row r="376">
      <c r="A376" s="36" t="s">
        <v>2711</v>
      </c>
      <c r="B376" s="26" t="str">
        <f t="shared" si="1"/>
        <v>2023-PH074625000-1991-0432</v>
      </c>
      <c r="C376" s="27">
        <f t="shared" si="5"/>
        <v>2023</v>
      </c>
      <c r="D376" s="37" t="s">
        <v>140</v>
      </c>
      <c r="E376" s="28" t="s">
        <v>141</v>
      </c>
      <c r="F376" s="28" t="s">
        <v>142</v>
      </c>
      <c r="G376" s="29" t="s">
        <v>625</v>
      </c>
      <c r="H376" s="29" t="s">
        <v>632</v>
      </c>
      <c r="I376" s="56" t="s">
        <v>637</v>
      </c>
      <c r="J376" s="55" t="s">
        <v>638</v>
      </c>
      <c r="K376" s="26" t="s">
        <v>149</v>
      </c>
      <c r="L376" s="26" t="s">
        <v>2712</v>
      </c>
      <c r="M376" s="49">
        <v>1991.0</v>
      </c>
      <c r="N376" s="31" t="s">
        <v>149</v>
      </c>
      <c r="O376" s="31" t="s">
        <v>149</v>
      </c>
      <c r="P376" s="28" t="s">
        <v>150</v>
      </c>
      <c r="Q376" s="32" t="s">
        <v>151</v>
      </c>
      <c r="R376" s="28" t="s">
        <v>281</v>
      </c>
      <c r="S376" s="32" t="s">
        <v>2681</v>
      </c>
      <c r="T376" s="28" t="s">
        <v>154</v>
      </c>
      <c r="U376" s="28" t="s">
        <v>154</v>
      </c>
      <c r="V376" s="28" t="s">
        <v>2682</v>
      </c>
      <c r="W376" s="32" t="s">
        <v>791</v>
      </c>
      <c r="X376" s="32" t="s">
        <v>792</v>
      </c>
      <c r="Y376" s="28" t="s">
        <v>2683</v>
      </c>
      <c r="Z376" s="26" t="s">
        <v>149</v>
      </c>
      <c r="AA376" s="32" t="s">
        <v>159</v>
      </c>
      <c r="AB376" s="26" t="s">
        <v>149</v>
      </c>
      <c r="AC376" s="26" t="s">
        <v>149</v>
      </c>
      <c r="AD376" s="28" t="s">
        <v>149</v>
      </c>
      <c r="AE376" s="29" t="s">
        <v>149</v>
      </c>
      <c r="AF376" s="28" t="s">
        <v>2713</v>
      </c>
      <c r="AG376" s="45" t="s">
        <v>149</v>
      </c>
      <c r="AH376" s="26" t="s">
        <v>149</v>
      </c>
      <c r="AI376" s="26" t="s">
        <v>149</v>
      </c>
      <c r="AJ376" s="28" t="s">
        <v>149</v>
      </c>
      <c r="AK376" s="45" t="s">
        <v>149</v>
      </c>
      <c r="AL376" s="45" t="s">
        <v>149</v>
      </c>
      <c r="AM376" s="45" t="s">
        <v>149</v>
      </c>
      <c r="AN376" s="28" t="s">
        <v>241</v>
      </c>
      <c r="AO376" s="26" t="s">
        <v>395</v>
      </c>
      <c r="AP376" s="28" t="s">
        <v>396</v>
      </c>
      <c r="AQ376" s="26" t="s">
        <v>541</v>
      </c>
      <c r="AR376" s="26" t="s">
        <v>398</v>
      </c>
      <c r="AS376" s="45" t="s">
        <v>149</v>
      </c>
      <c r="AT376" s="28" t="s">
        <v>2714</v>
      </c>
    </row>
    <row r="377">
      <c r="A377" s="36" t="s">
        <v>2715</v>
      </c>
      <c r="B377" s="26" t="str">
        <f t="shared" si="1"/>
        <v>2023-PH074625000-1991-0433</v>
      </c>
      <c r="C377" s="27">
        <f t="shared" si="5"/>
        <v>2023</v>
      </c>
      <c r="D377" s="37" t="s">
        <v>140</v>
      </c>
      <c r="E377" s="28" t="s">
        <v>141</v>
      </c>
      <c r="F377" s="28" t="s">
        <v>142</v>
      </c>
      <c r="G377" s="29" t="s">
        <v>625</v>
      </c>
      <c r="H377" s="29" t="s">
        <v>632</v>
      </c>
      <c r="I377" s="56" t="s">
        <v>637</v>
      </c>
      <c r="J377" s="55" t="s">
        <v>638</v>
      </c>
      <c r="K377" s="26" t="s">
        <v>149</v>
      </c>
      <c r="L377" s="101" t="s">
        <v>2716</v>
      </c>
      <c r="M377" s="49">
        <v>1991.0</v>
      </c>
      <c r="N377" s="31" t="s">
        <v>149</v>
      </c>
      <c r="O377" s="31" t="s">
        <v>149</v>
      </c>
      <c r="P377" s="28" t="s">
        <v>150</v>
      </c>
      <c r="Q377" s="32" t="s">
        <v>151</v>
      </c>
      <c r="R377" s="28" t="s">
        <v>281</v>
      </c>
      <c r="S377" s="32" t="s">
        <v>2681</v>
      </c>
      <c r="T377" s="28" t="s">
        <v>154</v>
      </c>
      <c r="U377" s="28" t="s">
        <v>154</v>
      </c>
      <c r="V377" s="28" t="s">
        <v>2682</v>
      </c>
      <c r="W377" s="32" t="s">
        <v>791</v>
      </c>
      <c r="X377" s="32" t="s">
        <v>792</v>
      </c>
      <c r="Y377" s="28" t="s">
        <v>2683</v>
      </c>
      <c r="Z377" s="26" t="s">
        <v>149</v>
      </c>
      <c r="AA377" s="32" t="s">
        <v>159</v>
      </c>
      <c r="AB377" s="26" t="s">
        <v>149</v>
      </c>
      <c r="AC377" s="26" t="s">
        <v>149</v>
      </c>
      <c r="AD377" s="28" t="s">
        <v>149</v>
      </c>
      <c r="AE377" s="29" t="s">
        <v>149</v>
      </c>
      <c r="AF377" s="28" t="s">
        <v>2700</v>
      </c>
      <c r="AG377" s="26" t="s">
        <v>149</v>
      </c>
      <c r="AH377" s="26" t="s">
        <v>149</v>
      </c>
      <c r="AI377" s="26" t="s">
        <v>149</v>
      </c>
      <c r="AJ377" s="28" t="s">
        <v>149</v>
      </c>
      <c r="AK377" s="45" t="s">
        <v>149</v>
      </c>
      <c r="AL377" s="45" t="s">
        <v>149</v>
      </c>
      <c r="AM377" s="45" t="s">
        <v>149</v>
      </c>
      <c r="AN377" s="28" t="s">
        <v>241</v>
      </c>
      <c r="AO377" s="26" t="s">
        <v>395</v>
      </c>
      <c r="AP377" s="28" t="s">
        <v>396</v>
      </c>
      <c r="AQ377" s="26" t="s">
        <v>541</v>
      </c>
      <c r="AR377" s="26" t="s">
        <v>398</v>
      </c>
      <c r="AS377" s="45" t="s">
        <v>149</v>
      </c>
      <c r="AT377" s="28" t="s">
        <v>2717</v>
      </c>
    </row>
    <row r="378">
      <c r="A378" s="36" t="s">
        <v>2718</v>
      </c>
      <c r="B378" s="26" t="str">
        <f t="shared" si="1"/>
        <v>2023-PH074625000-1991-0434</v>
      </c>
      <c r="C378" s="27">
        <f t="shared" si="5"/>
        <v>2023</v>
      </c>
      <c r="D378" s="37" t="s">
        <v>140</v>
      </c>
      <c r="E378" s="28" t="s">
        <v>141</v>
      </c>
      <c r="F378" s="28" t="s">
        <v>142</v>
      </c>
      <c r="G378" s="29" t="s">
        <v>625</v>
      </c>
      <c r="H378" s="29" t="s">
        <v>632</v>
      </c>
      <c r="I378" s="56" t="s">
        <v>637</v>
      </c>
      <c r="J378" s="55" t="s">
        <v>638</v>
      </c>
      <c r="K378" s="26" t="s">
        <v>149</v>
      </c>
      <c r="L378" s="26" t="s">
        <v>2719</v>
      </c>
      <c r="M378" s="49">
        <v>1991.0</v>
      </c>
      <c r="N378" s="31" t="s">
        <v>149</v>
      </c>
      <c r="O378" s="31" t="s">
        <v>149</v>
      </c>
      <c r="P378" s="28" t="s">
        <v>150</v>
      </c>
      <c r="Q378" s="32" t="s">
        <v>151</v>
      </c>
      <c r="R378" s="28" t="s">
        <v>281</v>
      </c>
      <c r="S378" s="32" t="s">
        <v>2681</v>
      </c>
      <c r="T378" s="28" t="s">
        <v>154</v>
      </c>
      <c r="U378" s="28" t="s">
        <v>154</v>
      </c>
      <c r="V378" s="28" t="s">
        <v>2682</v>
      </c>
      <c r="W378" s="32" t="s">
        <v>791</v>
      </c>
      <c r="X378" s="32" t="s">
        <v>792</v>
      </c>
      <c r="Y378" s="28" t="s">
        <v>2683</v>
      </c>
      <c r="Z378" s="26" t="s">
        <v>149</v>
      </c>
      <c r="AA378" s="32" t="s">
        <v>159</v>
      </c>
      <c r="AB378" s="26" t="s">
        <v>149</v>
      </c>
      <c r="AC378" s="26" t="s">
        <v>149</v>
      </c>
      <c r="AD378" s="28" t="s">
        <v>149</v>
      </c>
      <c r="AE378" s="29" t="s">
        <v>149</v>
      </c>
      <c r="AF378" s="28" t="s">
        <v>2720</v>
      </c>
      <c r="AG378" s="26" t="s">
        <v>149</v>
      </c>
      <c r="AH378" s="26" t="s">
        <v>149</v>
      </c>
      <c r="AI378" s="26" t="s">
        <v>149</v>
      </c>
      <c r="AJ378" s="28" t="s">
        <v>149</v>
      </c>
      <c r="AK378" s="45" t="s">
        <v>149</v>
      </c>
      <c r="AL378" s="45" t="s">
        <v>149</v>
      </c>
      <c r="AM378" s="45" t="s">
        <v>149</v>
      </c>
      <c r="AN378" s="28" t="s">
        <v>241</v>
      </c>
      <c r="AO378" s="26" t="s">
        <v>395</v>
      </c>
      <c r="AP378" s="28" t="s">
        <v>396</v>
      </c>
      <c r="AQ378" s="38" t="s">
        <v>541</v>
      </c>
      <c r="AR378" s="26" t="s">
        <v>398</v>
      </c>
      <c r="AS378" s="45" t="s">
        <v>149</v>
      </c>
      <c r="AT378" s="28" t="s">
        <v>2721</v>
      </c>
    </row>
    <row r="379">
      <c r="A379" s="25" t="s">
        <v>2722</v>
      </c>
      <c r="B379" s="26" t="str">
        <f t="shared" si="1"/>
        <v>2023-PH013307000-2021-0025</v>
      </c>
      <c r="C379" s="27">
        <f t="shared" si="5"/>
        <v>2023</v>
      </c>
      <c r="D379" s="28" t="s">
        <v>140</v>
      </c>
      <c r="E379" s="28" t="s">
        <v>141</v>
      </c>
      <c r="F379" s="28" t="s">
        <v>142</v>
      </c>
      <c r="G379" s="29" t="s">
        <v>143</v>
      </c>
      <c r="H379" s="29" t="s">
        <v>438</v>
      </c>
      <c r="I379" s="29" t="s">
        <v>2723</v>
      </c>
      <c r="J379" s="29" t="s">
        <v>2724</v>
      </c>
      <c r="K379" s="26" t="s">
        <v>149</v>
      </c>
      <c r="L379" s="70" t="s">
        <v>2725</v>
      </c>
      <c r="M379" s="31">
        <v>2021.0</v>
      </c>
      <c r="N379" s="31" t="s">
        <v>149</v>
      </c>
      <c r="O379" s="31" t="s">
        <v>149</v>
      </c>
      <c r="P379" s="28" t="s">
        <v>150</v>
      </c>
      <c r="Q379" s="32" t="s">
        <v>151</v>
      </c>
      <c r="R379" s="28" t="s">
        <v>152</v>
      </c>
      <c r="S379" s="32" t="s">
        <v>153</v>
      </c>
      <c r="T379" s="28" t="s">
        <v>154</v>
      </c>
      <c r="U379" s="28" t="s">
        <v>154</v>
      </c>
      <c r="V379" s="26" t="s">
        <v>153</v>
      </c>
      <c r="W379" s="32" t="s">
        <v>1322</v>
      </c>
      <c r="X379" s="32" t="s">
        <v>2726</v>
      </c>
      <c r="Y379" s="28" t="s">
        <v>2727</v>
      </c>
      <c r="Z379" s="26" t="s">
        <v>369</v>
      </c>
      <c r="AA379" s="26" t="s">
        <v>159</v>
      </c>
      <c r="AB379" s="26" t="s">
        <v>160</v>
      </c>
      <c r="AC379" s="28" t="s">
        <v>161</v>
      </c>
      <c r="AD379" s="28" t="s">
        <v>369</v>
      </c>
      <c r="AE379" s="29" t="s">
        <v>149</v>
      </c>
      <c r="AF379" s="26" t="s">
        <v>149</v>
      </c>
      <c r="AG379" s="88" t="s">
        <v>2728</v>
      </c>
      <c r="AH379" s="26" t="s">
        <v>369</v>
      </c>
      <c r="AI379" s="28" t="s">
        <v>161</v>
      </c>
      <c r="AJ379" s="28" t="s">
        <v>369</v>
      </c>
      <c r="AK379" s="26" t="s">
        <v>149</v>
      </c>
      <c r="AL379" s="26" t="s">
        <v>149</v>
      </c>
      <c r="AM379" s="26" t="s">
        <v>149</v>
      </c>
      <c r="AN379" s="28" t="s">
        <v>165</v>
      </c>
      <c r="AO379" s="28" t="s">
        <v>689</v>
      </c>
      <c r="AP379" s="26" t="s">
        <v>2729</v>
      </c>
      <c r="AQ379" s="38" t="s">
        <v>2730</v>
      </c>
      <c r="AR379" s="26" t="s">
        <v>2731</v>
      </c>
      <c r="AS379" s="26" t="s">
        <v>149</v>
      </c>
      <c r="AT379" s="28"/>
    </row>
    <row r="380">
      <c r="A380" s="36" t="s">
        <v>2732</v>
      </c>
      <c r="B380" s="26" t="str">
        <f t="shared" si="1"/>
        <v>2023-PH030808000-2011-0095</v>
      </c>
      <c r="C380" s="27">
        <f t="shared" si="5"/>
        <v>2023</v>
      </c>
      <c r="D380" s="28" t="s">
        <v>140</v>
      </c>
      <c r="E380" s="28" t="s">
        <v>141</v>
      </c>
      <c r="F380" s="28" t="s">
        <v>192</v>
      </c>
      <c r="G380" s="29" t="s">
        <v>293</v>
      </c>
      <c r="H380" s="29" t="s">
        <v>1283</v>
      </c>
      <c r="I380" s="29" t="s">
        <v>1795</v>
      </c>
      <c r="J380" s="29" t="s">
        <v>1796</v>
      </c>
      <c r="K380" s="26" t="s">
        <v>149</v>
      </c>
      <c r="L380" s="26" t="s">
        <v>149</v>
      </c>
      <c r="M380" s="31">
        <v>2011.0</v>
      </c>
      <c r="N380" s="31" t="s">
        <v>149</v>
      </c>
      <c r="O380" s="31" t="s">
        <v>149</v>
      </c>
      <c r="P380" s="28" t="s">
        <v>150</v>
      </c>
      <c r="Q380" s="32" t="s">
        <v>151</v>
      </c>
      <c r="R380" s="28" t="s">
        <v>149</v>
      </c>
      <c r="S380" s="32" t="s">
        <v>149</v>
      </c>
      <c r="T380" s="28" t="s">
        <v>154</v>
      </c>
      <c r="U380" s="28" t="s">
        <v>154</v>
      </c>
      <c r="V380" s="26" t="s">
        <v>149</v>
      </c>
      <c r="W380" s="32" t="s">
        <v>2733</v>
      </c>
      <c r="X380" s="32" t="s">
        <v>2734</v>
      </c>
      <c r="Y380" s="26" t="s">
        <v>2735</v>
      </c>
      <c r="Z380" s="26" t="s">
        <v>149</v>
      </c>
      <c r="AA380" s="26" t="s">
        <v>149</v>
      </c>
      <c r="AB380" s="26" t="s">
        <v>149</v>
      </c>
      <c r="AC380" s="26" t="s">
        <v>149</v>
      </c>
      <c r="AD380" s="28" t="s">
        <v>149</v>
      </c>
      <c r="AE380" s="29" t="s">
        <v>149</v>
      </c>
      <c r="AF380" s="26" t="s">
        <v>149</v>
      </c>
      <c r="AG380" s="26" t="s">
        <v>149</v>
      </c>
      <c r="AH380" s="26" t="s">
        <v>228</v>
      </c>
      <c r="AI380" s="28" t="s">
        <v>161</v>
      </c>
      <c r="AJ380" s="28" t="s">
        <v>228</v>
      </c>
      <c r="AK380" s="26" t="s">
        <v>390</v>
      </c>
      <c r="AL380" s="26" t="s">
        <v>149</v>
      </c>
      <c r="AM380" s="26" t="s">
        <v>149</v>
      </c>
      <c r="AN380" s="28" t="s">
        <v>165</v>
      </c>
      <c r="AO380" s="26" t="s">
        <v>166</v>
      </c>
      <c r="AP380" s="26" t="s">
        <v>2736</v>
      </c>
      <c r="AQ380" s="38" t="s">
        <v>2737</v>
      </c>
      <c r="AR380" s="26" t="s">
        <v>149</v>
      </c>
      <c r="AS380" s="26" t="s">
        <v>149</v>
      </c>
      <c r="AT380" s="113"/>
    </row>
    <row r="381">
      <c r="A381" s="36" t="s">
        <v>2738</v>
      </c>
      <c r="B381" s="26" t="str">
        <f t="shared" si="1"/>
        <v>2023-PH160202000-2020-0397</v>
      </c>
      <c r="C381" s="27">
        <f t="shared" si="5"/>
        <v>2023</v>
      </c>
      <c r="D381" s="28" t="s">
        <v>140</v>
      </c>
      <c r="E381" s="28" t="s">
        <v>141</v>
      </c>
      <c r="F381" s="28" t="s">
        <v>192</v>
      </c>
      <c r="G381" s="29" t="s">
        <v>345</v>
      </c>
      <c r="H381" s="29" t="s">
        <v>649</v>
      </c>
      <c r="I381" s="40" t="s">
        <v>2739</v>
      </c>
      <c r="J381" s="29" t="s">
        <v>2740</v>
      </c>
      <c r="K381" s="26" t="s">
        <v>149</v>
      </c>
      <c r="L381" s="26" t="s">
        <v>2741</v>
      </c>
      <c r="M381" s="31">
        <v>2020.0</v>
      </c>
      <c r="N381" s="41" t="s">
        <v>149</v>
      </c>
      <c r="O381" s="41" t="s">
        <v>149</v>
      </c>
      <c r="P381" s="28" t="s">
        <v>150</v>
      </c>
      <c r="Q381" s="32" t="s">
        <v>151</v>
      </c>
      <c r="R381" s="28" t="s">
        <v>152</v>
      </c>
      <c r="S381" s="32" t="s">
        <v>351</v>
      </c>
      <c r="T381" s="28" t="s">
        <v>154</v>
      </c>
      <c r="U381" s="28" t="s">
        <v>154</v>
      </c>
      <c r="V381" s="26" t="s">
        <v>152</v>
      </c>
      <c r="W381" s="32" t="s">
        <v>682</v>
      </c>
      <c r="X381" s="32" t="s">
        <v>683</v>
      </c>
      <c r="Y381" s="26" t="s">
        <v>684</v>
      </c>
      <c r="Z381" s="26" t="s">
        <v>2742</v>
      </c>
      <c r="AA381" s="26" t="s">
        <v>159</v>
      </c>
      <c r="AB381" s="26" t="s">
        <v>160</v>
      </c>
      <c r="AC381" s="28" t="s">
        <v>161</v>
      </c>
      <c r="AD381" s="28" t="s">
        <v>228</v>
      </c>
      <c r="AE381" s="29" t="s">
        <v>149</v>
      </c>
      <c r="AF381" s="26" t="s">
        <v>149</v>
      </c>
      <c r="AG381" s="26" t="s">
        <v>2273</v>
      </c>
      <c r="AH381" s="26" t="s">
        <v>228</v>
      </c>
      <c r="AI381" s="28" t="s">
        <v>161</v>
      </c>
      <c r="AJ381" s="28" t="s">
        <v>228</v>
      </c>
      <c r="AK381" s="26" t="s">
        <v>390</v>
      </c>
      <c r="AL381" s="26" t="s">
        <v>2743</v>
      </c>
      <c r="AM381" s="11" t="s">
        <v>149</v>
      </c>
      <c r="AN381" s="28" t="s">
        <v>165</v>
      </c>
      <c r="AO381" s="28" t="s">
        <v>689</v>
      </c>
      <c r="AP381" s="26" t="s">
        <v>2744</v>
      </c>
      <c r="AQ381" s="38" t="s">
        <v>2745</v>
      </c>
      <c r="AR381" s="11" t="s">
        <v>149</v>
      </c>
      <c r="AS381" s="11" t="s">
        <v>149</v>
      </c>
      <c r="AT381" s="11"/>
    </row>
    <row r="382">
      <c r="A382" s="25" t="s">
        <v>2746</v>
      </c>
      <c r="B382" s="26" t="str">
        <f t="shared" si="1"/>
        <v>2023-PH015501000-1982-0039</v>
      </c>
      <c r="C382" s="27">
        <f t="shared" si="5"/>
        <v>2023</v>
      </c>
      <c r="D382" s="28" t="s">
        <v>140</v>
      </c>
      <c r="E382" s="28" t="s">
        <v>141</v>
      </c>
      <c r="F382" s="28" t="s">
        <v>142</v>
      </c>
      <c r="G382" s="29" t="s">
        <v>143</v>
      </c>
      <c r="H382" s="29" t="s">
        <v>144</v>
      </c>
      <c r="I382" s="29" t="s">
        <v>145</v>
      </c>
      <c r="J382" s="29" t="s">
        <v>146</v>
      </c>
      <c r="K382" s="28" t="s">
        <v>149</v>
      </c>
      <c r="L382" s="43" t="s">
        <v>149</v>
      </c>
      <c r="M382" s="49">
        <v>1982.0</v>
      </c>
      <c r="N382" s="31">
        <v>1982.0</v>
      </c>
      <c r="O382" s="31">
        <v>1990.0</v>
      </c>
      <c r="P382" s="28" t="s">
        <v>150</v>
      </c>
      <c r="Q382" s="32" t="s">
        <v>151</v>
      </c>
      <c r="R382" s="28" t="s">
        <v>149</v>
      </c>
      <c r="S382" s="32" t="s">
        <v>149</v>
      </c>
      <c r="T382" s="28" t="s">
        <v>154</v>
      </c>
      <c r="U382" s="28" t="s">
        <v>154</v>
      </c>
      <c r="V382" s="26" t="s">
        <v>149</v>
      </c>
      <c r="W382" s="32" t="s">
        <v>682</v>
      </c>
      <c r="X382" s="32" t="s">
        <v>683</v>
      </c>
      <c r="Y382" s="28" t="s">
        <v>2747</v>
      </c>
      <c r="Z382" s="26" t="s">
        <v>2111</v>
      </c>
      <c r="AA382" s="26" t="s">
        <v>159</v>
      </c>
      <c r="AB382" s="28" t="s">
        <v>205</v>
      </c>
      <c r="AC382" s="26" t="s">
        <v>206</v>
      </c>
      <c r="AD382" s="28" t="s">
        <v>207</v>
      </c>
      <c r="AE382" s="29" t="s">
        <v>149</v>
      </c>
      <c r="AF382" s="26" t="s">
        <v>149</v>
      </c>
      <c r="AG382" s="26" t="s">
        <v>149</v>
      </c>
      <c r="AH382" s="26" t="s">
        <v>2111</v>
      </c>
      <c r="AI382" s="26" t="s">
        <v>206</v>
      </c>
      <c r="AJ382" s="28" t="s">
        <v>206</v>
      </c>
      <c r="AK382" s="11" t="s">
        <v>149</v>
      </c>
      <c r="AL382" s="11" t="s">
        <v>149</v>
      </c>
      <c r="AM382" s="11" t="s">
        <v>149</v>
      </c>
      <c r="AN382" s="28" t="s">
        <v>241</v>
      </c>
      <c r="AO382" s="26" t="s">
        <v>395</v>
      </c>
      <c r="AP382" s="28" t="s">
        <v>396</v>
      </c>
      <c r="AQ382" s="34" t="s">
        <v>397</v>
      </c>
      <c r="AR382" s="11" t="s">
        <v>149</v>
      </c>
      <c r="AS382" s="11" t="s">
        <v>149</v>
      </c>
      <c r="AT382" s="11" t="s">
        <v>2748</v>
      </c>
    </row>
    <row r="383">
      <c r="A383" s="36" t="s">
        <v>2749</v>
      </c>
      <c r="B383" s="26" t="str">
        <f t="shared" si="1"/>
        <v>2023-PH104319000-Unknown-0359</v>
      </c>
      <c r="C383" s="27">
        <f t="shared" si="5"/>
        <v>2023</v>
      </c>
      <c r="D383" s="37" t="s">
        <v>140</v>
      </c>
      <c r="E383" s="28" t="s">
        <v>141</v>
      </c>
      <c r="F383" s="28" t="s">
        <v>142</v>
      </c>
      <c r="G383" s="29" t="s">
        <v>171</v>
      </c>
      <c r="H383" s="29" t="s">
        <v>172</v>
      </c>
      <c r="I383" s="29" t="s">
        <v>173</v>
      </c>
      <c r="J383" s="29" t="s">
        <v>174</v>
      </c>
      <c r="K383" s="26" t="s">
        <v>149</v>
      </c>
      <c r="L383" s="28" t="s">
        <v>2750</v>
      </c>
      <c r="M383" s="31" t="s">
        <v>149</v>
      </c>
      <c r="N383" s="31" t="s">
        <v>149</v>
      </c>
      <c r="O383" s="31" t="s">
        <v>149</v>
      </c>
      <c r="P383" s="28" t="s">
        <v>150</v>
      </c>
      <c r="Q383" s="32" t="s">
        <v>151</v>
      </c>
      <c r="R383" s="32" t="s">
        <v>1555</v>
      </c>
      <c r="S383" s="32" t="s">
        <v>2217</v>
      </c>
      <c r="T383" s="28" t="s">
        <v>154</v>
      </c>
      <c r="U383" s="28" t="s">
        <v>154</v>
      </c>
      <c r="V383" s="26" t="s">
        <v>2217</v>
      </c>
      <c r="W383" s="32" t="s">
        <v>682</v>
      </c>
      <c r="X383" s="32" t="s">
        <v>683</v>
      </c>
      <c r="Y383" s="28" t="s">
        <v>2751</v>
      </c>
      <c r="Z383" s="26" t="s">
        <v>2752</v>
      </c>
      <c r="AA383" s="26" t="s">
        <v>159</v>
      </c>
      <c r="AB383" s="26" t="s">
        <v>160</v>
      </c>
      <c r="AC383" s="26" t="s">
        <v>184</v>
      </c>
      <c r="AD383" s="28" t="s">
        <v>184</v>
      </c>
      <c r="AE383" s="29" t="s">
        <v>149</v>
      </c>
      <c r="AF383" s="26" t="s">
        <v>149</v>
      </c>
      <c r="AG383" s="26" t="s">
        <v>149</v>
      </c>
      <c r="AH383" s="26" t="s">
        <v>2752</v>
      </c>
      <c r="AI383" s="26" t="s">
        <v>184</v>
      </c>
      <c r="AJ383" s="28" t="s">
        <v>184</v>
      </c>
      <c r="AK383" s="26" t="s">
        <v>149</v>
      </c>
      <c r="AL383" s="26" t="s">
        <v>149</v>
      </c>
      <c r="AM383" s="26" t="s">
        <v>149</v>
      </c>
      <c r="AN383" s="28" t="s">
        <v>165</v>
      </c>
      <c r="AO383" s="28" t="s">
        <v>689</v>
      </c>
      <c r="AP383" s="26" t="s">
        <v>2753</v>
      </c>
      <c r="AQ383" s="38" t="s">
        <v>2754</v>
      </c>
      <c r="AR383" s="26" t="s">
        <v>188</v>
      </c>
      <c r="AS383" s="38" t="s">
        <v>1140</v>
      </c>
      <c r="AT383" s="11"/>
    </row>
    <row r="384">
      <c r="A384" s="36" t="s">
        <v>2755</v>
      </c>
      <c r="B384" s="26" t="str">
        <f t="shared" si="1"/>
        <v>2023-PH104319000-2017-0360</v>
      </c>
      <c r="C384" s="27">
        <f t="shared" si="5"/>
        <v>2023</v>
      </c>
      <c r="D384" s="37" t="s">
        <v>140</v>
      </c>
      <c r="E384" s="28" t="s">
        <v>141</v>
      </c>
      <c r="F384" s="28" t="s">
        <v>192</v>
      </c>
      <c r="G384" s="29" t="s">
        <v>171</v>
      </c>
      <c r="H384" s="29" t="s">
        <v>172</v>
      </c>
      <c r="I384" s="29" t="s">
        <v>173</v>
      </c>
      <c r="J384" s="29" t="s">
        <v>174</v>
      </c>
      <c r="K384" s="26" t="s">
        <v>149</v>
      </c>
      <c r="L384" s="28" t="s">
        <v>2756</v>
      </c>
      <c r="M384" s="31">
        <v>2017.0</v>
      </c>
      <c r="N384" s="31" t="s">
        <v>149</v>
      </c>
      <c r="O384" s="31" t="s">
        <v>149</v>
      </c>
      <c r="P384" s="28" t="s">
        <v>150</v>
      </c>
      <c r="Q384" s="32" t="s">
        <v>151</v>
      </c>
      <c r="R384" s="28" t="s">
        <v>152</v>
      </c>
      <c r="S384" s="32" t="s">
        <v>2757</v>
      </c>
      <c r="T384" s="28" t="s">
        <v>154</v>
      </c>
      <c r="U384" s="28" t="s">
        <v>154</v>
      </c>
      <c r="V384" s="26" t="s">
        <v>2758</v>
      </c>
      <c r="W384" s="32" t="s">
        <v>682</v>
      </c>
      <c r="X384" s="109" t="s">
        <v>683</v>
      </c>
      <c r="Y384" s="28" t="s">
        <v>2751</v>
      </c>
      <c r="Z384" s="26" t="s">
        <v>2752</v>
      </c>
      <c r="AA384" s="26" t="s">
        <v>159</v>
      </c>
      <c r="AB384" s="26" t="s">
        <v>160</v>
      </c>
      <c r="AC384" s="26" t="s">
        <v>184</v>
      </c>
      <c r="AD384" s="28" t="s">
        <v>184</v>
      </c>
      <c r="AE384" s="29" t="s">
        <v>149</v>
      </c>
      <c r="AF384" s="26" t="s">
        <v>149</v>
      </c>
      <c r="AG384" s="26" t="s">
        <v>149</v>
      </c>
      <c r="AH384" s="26" t="s">
        <v>2752</v>
      </c>
      <c r="AI384" s="26" t="s">
        <v>184</v>
      </c>
      <c r="AJ384" s="28" t="s">
        <v>184</v>
      </c>
      <c r="AK384" s="26" t="s">
        <v>149</v>
      </c>
      <c r="AL384" s="26" t="s">
        <v>149</v>
      </c>
      <c r="AM384" s="26" t="s">
        <v>149</v>
      </c>
      <c r="AN384" s="28" t="s">
        <v>165</v>
      </c>
      <c r="AO384" s="28" t="s">
        <v>289</v>
      </c>
      <c r="AP384" s="26" t="s">
        <v>2759</v>
      </c>
      <c r="AQ384" s="26" t="s">
        <v>2760</v>
      </c>
      <c r="AR384" s="26" t="s">
        <v>188</v>
      </c>
      <c r="AS384" s="38" t="s">
        <v>1140</v>
      </c>
      <c r="AT384" s="28"/>
    </row>
    <row r="385">
      <c r="A385" s="36" t="s">
        <v>2761</v>
      </c>
      <c r="B385" s="26" t="str">
        <f t="shared" si="1"/>
        <v>2023-PH112317000-Unknown-0371</v>
      </c>
      <c r="C385" s="27">
        <f t="shared" si="5"/>
        <v>2023</v>
      </c>
      <c r="D385" s="37" t="s">
        <v>140</v>
      </c>
      <c r="E385" s="28" t="s">
        <v>141</v>
      </c>
      <c r="F385" s="28" t="s">
        <v>192</v>
      </c>
      <c r="G385" s="29" t="s">
        <v>330</v>
      </c>
      <c r="H385" s="29" t="s">
        <v>331</v>
      </c>
      <c r="I385" s="40" t="s">
        <v>980</v>
      </c>
      <c r="J385" s="29" t="s">
        <v>981</v>
      </c>
      <c r="K385" s="26" t="s">
        <v>149</v>
      </c>
      <c r="L385" s="26" t="s">
        <v>2762</v>
      </c>
      <c r="M385" s="31" t="s">
        <v>149</v>
      </c>
      <c r="N385" s="31" t="s">
        <v>149</v>
      </c>
      <c r="O385" s="31" t="s">
        <v>149</v>
      </c>
      <c r="P385" s="28" t="s">
        <v>150</v>
      </c>
      <c r="Q385" s="32" t="s">
        <v>151</v>
      </c>
      <c r="R385" s="32" t="s">
        <v>1555</v>
      </c>
      <c r="S385" s="32" t="s">
        <v>2763</v>
      </c>
      <c r="T385" s="28" t="s">
        <v>154</v>
      </c>
      <c r="U385" s="28" t="s">
        <v>154</v>
      </c>
      <c r="V385" s="26" t="s">
        <v>2763</v>
      </c>
      <c r="W385" s="32" t="s">
        <v>682</v>
      </c>
      <c r="X385" s="32" t="s">
        <v>683</v>
      </c>
      <c r="Y385" s="28" t="s">
        <v>2764</v>
      </c>
      <c r="Z385" s="26" t="s">
        <v>2765</v>
      </c>
      <c r="AA385" s="26" t="s">
        <v>159</v>
      </c>
      <c r="AB385" s="26" t="s">
        <v>160</v>
      </c>
      <c r="AC385" s="26" t="s">
        <v>184</v>
      </c>
      <c r="AD385" s="28" t="s">
        <v>184</v>
      </c>
      <c r="AE385" s="29" t="s">
        <v>149</v>
      </c>
      <c r="AF385" s="26" t="s">
        <v>149</v>
      </c>
      <c r="AG385" s="26" t="s">
        <v>149</v>
      </c>
      <c r="AH385" s="26" t="s">
        <v>2765</v>
      </c>
      <c r="AI385" s="26" t="s">
        <v>184</v>
      </c>
      <c r="AJ385" s="28" t="s">
        <v>184</v>
      </c>
      <c r="AK385" s="11" t="s">
        <v>149</v>
      </c>
      <c r="AL385" s="106" t="s">
        <v>149</v>
      </c>
      <c r="AM385" s="11" t="s">
        <v>149</v>
      </c>
      <c r="AN385" s="28" t="s">
        <v>165</v>
      </c>
      <c r="AO385" s="28" t="s">
        <v>166</v>
      </c>
      <c r="AP385" s="26" t="s">
        <v>2766</v>
      </c>
      <c r="AQ385" s="38" t="s">
        <v>2767</v>
      </c>
      <c r="AR385" s="11" t="s">
        <v>149</v>
      </c>
      <c r="AS385" s="11" t="s">
        <v>149</v>
      </c>
      <c r="AT385" s="45"/>
    </row>
    <row r="386">
      <c r="A386" s="36" t="s">
        <v>2768</v>
      </c>
      <c r="B386" s="26" t="str">
        <f t="shared" si="1"/>
        <v>2023-PH156607000-2019-0451</v>
      </c>
      <c r="C386" s="27">
        <f t="shared" si="5"/>
        <v>2023</v>
      </c>
      <c r="D386" s="37" t="s">
        <v>140</v>
      </c>
      <c r="E386" s="28" t="s">
        <v>141</v>
      </c>
      <c r="F386" s="28" t="s">
        <v>142</v>
      </c>
      <c r="G386" s="29" t="s">
        <v>642</v>
      </c>
      <c r="H386" s="29" t="s">
        <v>2769</v>
      </c>
      <c r="I386" s="29" t="s">
        <v>2770</v>
      </c>
      <c r="J386" s="29" t="s">
        <v>2771</v>
      </c>
      <c r="K386" s="26" t="s">
        <v>149</v>
      </c>
      <c r="L386" s="28" t="s">
        <v>2772</v>
      </c>
      <c r="M386" s="31">
        <v>2019.0</v>
      </c>
      <c r="N386" s="31" t="s">
        <v>149</v>
      </c>
      <c r="O386" s="31" t="s">
        <v>149</v>
      </c>
      <c r="P386" s="28" t="s">
        <v>150</v>
      </c>
      <c r="Q386" s="32" t="s">
        <v>151</v>
      </c>
      <c r="R386" s="28" t="s">
        <v>152</v>
      </c>
      <c r="S386" s="32" t="s">
        <v>265</v>
      </c>
      <c r="T386" s="28" t="s">
        <v>154</v>
      </c>
      <c r="U386" s="28" t="s">
        <v>154</v>
      </c>
      <c r="V386" s="28" t="s">
        <v>2773</v>
      </c>
      <c r="W386" s="32" t="s">
        <v>2051</v>
      </c>
      <c r="X386" s="32" t="s">
        <v>2774</v>
      </c>
      <c r="Y386" s="28" t="s">
        <v>2775</v>
      </c>
      <c r="Z386" s="33" t="s">
        <v>2776</v>
      </c>
      <c r="AA386" s="26" t="s">
        <v>159</v>
      </c>
      <c r="AB386" s="26" t="s">
        <v>160</v>
      </c>
      <c r="AC386" s="28" t="s">
        <v>322</v>
      </c>
      <c r="AD386" s="28" t="s">
        <v>686</v>
      </c>
      <c r="AE386" s="29" t="s">
        <v>149</v>
      </c>
      <c r="AF386" s="26" t="s">
        <v>149</v>
      </c>
      <c r="AG386" s="26" t="s">
        <v>149</v>
      </c>
      <c r="AH386" s="26" t="s">
        <v>2777</v>
      </c>
      <c r="AI386" s="28" t="s">
        <v>322</v>
      </c>
      <c r="AJ386" s="28" t="s">
        <v>686</v>
      </c>
      <c r="AK386" s="26" t="s">
        <v>390</v>
      </c>
      <c r="AL386" s="11" t="s">
        <v>149</v>
      </c>
      <c r="AM386" s="11" t="s">
        <v>149</v>
      </c>
      <c r="AN386" s="28" t="s">
        <v>165</v>
      </c>
      <c r="AO386" s="26" t="s">
        <v>166</v>
      </c>
      <c r="AP386" s="28" t="s">
        <v>2778</v>
      </c>
      <c r="AQ386" s="38" t="s">
        <v>2779</v>
      </c>
      <c r="AR386" s="114" t="s">
        <v>2780</v>
      </c>
      <c r="AS386" s="11" t="s">
        <v>149</v>
      </c>
      <c r="AT386" s="28"/>
    </row>
    <row r="387">
      <c r="A387" s="36" t="s">
        <v>2781</v>
      </c>
      <c r="B387" s="26" t="str">
        <f t="shared" si="1"/>
        <v>2025-PH156607000-2019-0452</v>
      </c>
      <c r="C387" s="27">
        <f t="shared" si="5"/>
        <v>2025</v>
      </c>
      <c r="D387" s="28" t="s">
        <v>191</v>
      </c>
      <c r="E387" s="28" t="s">
        <v>191</v>
      </c>
      <c r="F387" s="28" t="s">
        <v>142</v>
      </c>
      <c r="G387" s="29" t="s">
        <v>642</v>
      </c>
      <c r="H387" s="29" t="s">
        <v>2769</v>
      </c>
      <c r="I387" s="29" t="s">
        <v>2770</v>
      </c>
      <c r="J387" s="29" t="s">
        <v>2771</v>
      </c>
      <c r="K387" s="26" t="s">
        <v>149</v>
      </c>
      <c r="L387" s="28" t="s">
        <v>2782</v>
      </c>
      <c r="M387" s="31">
        <v>2019.0</v>
      </c>
      <c r="N387" s="31" t="s">
        <v>149</v>
      </c>
      <c r="O387" s="31" t="s">
        <v>149</v>
      </c>
      <c r="P387" s="28" t="s">
        <v>150</v>
      </c>
      <c r="Q387" s="32" t="s">
        <v>151</v>
      </c>
      <c r="R387" s="28" t="s">
        <v>152</v>
      </c>
      <c r="S387" s="32" t="s">
        <v>265</v>
      </c>
      <c r="T387" s="28" t="s">
        <v>154</v>
      </c>
      <c r="U387" s="28" t="s">
        <v>154</v>
      </c>
      <c r="V387" s="28" t="s">
        <v>2773</v>
      </c>
      <c r="W387" s="32" t="s">
        <v>2051</v>
      </c>
      <c r="X387" s="109" t="s">
        <v>2774</v>
      </c>
      <c r="Y387" s="28" t="s">
        <v>2775</v>
      </c>
      <c r="Z387" s="33" t="s">
        <v>2776</v>
      </c>
      <c r="AA387" s="26" t="s">
        <v>159</v>
      </c>
      <c r="AB387" s="26" t="s">
        <v>160</v>
      </c>
      <c r="AC387" s="28" t="s">
        <v>322</v>
      </c>
      <c r="AD387" s="28" t="s">
        <v>686</v>
      </c>
      <c r="AE387" s="29" t="s">
        <v>149</v>
      </c>
      <c r="AF387" s="26" t="s">
        <v>149</v>
      </c>
      <c r="AG387" s="26" t="s">
        <v>149</v>
      </c>
      <c r="AH387" s="26" t="s">
        <v>2783</v>
      </c>
      <c r="AI387" s="28" t="s">
        <v>322</v>
      </c>
      <c r="AJ387" s="28" t="s">
        <v>686</v>
      </c>
      <c r="AK387" s="26" t="s">
        <v>390</v>
      </c>
      <c r="AL387" s="28" t="s">
        <v>149</v>
      </c>
      <c r="AM387" s="28" t="s">
        <v>149</v>
      </c>
      <c r="AN387" s="28" t="s">
        <v>165</v>
      </c>
      <c r="AO387" s="26" t="s">
        <v>166</v>
      </c>
      <c r="AP387" s="28" t="s">
        <v>2778</v>
      </c>
      <c r="AQ387" s="38" t="s">
        <v>2779</v>
      </c>
      <c r="AR387" s="114" t="s">
        <v>2780</v>
      </c>
      <c r="AS387" s="28" t="s">
        <v>149</v>
      </c>
      <c r="AT387" s="28"/>
    </row>
    <row r="388">
      <c r="A388" s="36" t="s">
        <v>2784</v>
      </c>
      <c r="B388" s="26" t="str">
        <f t="shared" si="1"/>
        <v>2023-PH037114000-2012-0108</v>
      </c>
      <c r="C388" s="27">
        <f t="shared" si="5"/>
        <v>2023</v>
      </c>
      <c r="D388" s="28" t="s">
        <v>140</v>
      </c>
      <c r="E388" s="28" t="s">
        <v>141</v>
      </c>
      <c r="F388" s="28" t="s">
        <v>142</v>
      </c>
      <c r="G388" s="29" t="s">
        <v>293</v>
      </c>
      <c r="H388" s="29" t="s">
        <v>294</v>
      </c>
      <c r="I388" s="29" t="s">
        <v>1291</v>
      </c>
      <c r="J388" s="29" t="s">
        <v>1292</v>
      </c>
      <c r="K388" s="26" t="s">
        <v>149</v>
      </c>
      <c r="L388" s="70" t="s">
        <v>2785</v>
      </c>
      <c r="M388" s="31">
        <v>2012.0</v>
      </c>
      <c r="N388" s="31" t="s">
        <v>149</v>
      </c>
      <c r="O388" s="31" t="s">
        <v>149</v>
      </c>
      <c r="P388" s="28" t="s">
        <v>150</v>
      </c>
      <c r="Q388" s="32" t="s">
        <v>151</v>
      </c>
      <c r="R388" s="28" t="s">
        <v>152</v>
      </c>
      <c r="S388" s="32" t="s">
        <v>2427</v>
      </c>
      <c r="T388" s="28" t="s">
        <v>154</v>
      </c>
      <c r="U388" s="28" t="s">
        <v>154</v>
      </c>
      <c r="V388" s="115" t="s">
        <v>2786</v>
      </c>
      <c r="W388" s="32" t="s">
        <v>155</v>
      </c>
      <c r="X388" s="32" t="s">
        <v>2787</v>
      </c>
      <c r="Y388" s="28" t="s">
        <v>2788</v>
      </c>
      <c r="Z388" s="58" t="s">
        <v>2789</v>
      </c>
      <c r="AA388" s="26" t="s">
        <v>159</v>
      </c>
      <c r="AB388" s="26" t="s">
        <v>160</v>
      </c>
      <c r="AC388" s="28" t="s">
        <v>2790</v>
      </c>
      <c r="AD388" s="28" t="s">
        <v>228</v>
      </c>
      <c r="AE388" s="116" t="s">
        <v>2791</v>
      </c>
      <c r="AF388" s="26" t="s">
        <v>149</v>
      </c>
      <c r="AG388" s="28" t="s">
        <v>1524</v>
      </c>
      <c r="AH388" s="26" t="s">
        <v>228</v>
      </c>
      <c r="AI388" s="28" t="s">
        <v>161</v>
      </c>
      <c r="AJ388" s="28" t="s">
        <v>228</v>
      </c>
      <c r="AK388" s="28" t="s">
        <v>2792</v>
      </c>
      <c r="AL388" s="26" t="s">
        <v>149</v>
      </c>
      <c r="AM388" s="28" t="s">
        <v>2793</v>
      </c>
      <c r="AN388" s="28" t="s">
        <v>165</v>
      </c>
      <c r="AO388" s="26" t="s">
        <v>166</v>
      </c>
      <c r="AP388" s="26" t="s">
        <v>2736</v>
      </c>
      <c r="AQ388" s="34" t="s">
        <v>2794</v>
      </c>
      <c r="AR388" s="115" t="s">
        <v>2795</v>
      </c>
      <c r="AS388" s="26" t="s">
        <v>149</v>
      </c>
      <c r="AT388" s="113"/>
    </row>
    <row r="389">
      <c r="A389" s="36" t="s">
        <v>2796</v>
      </c>
      <c r="B389" s="26" t="str">
        <f t="shared" si="1"/>
        <v>2023-PH050513000-Unknown-0188</v>
      </c>
      <c r="C389" s="27">
        <f t="shared" si="5"/>
        <v>2023</v>
      </c>
      <c r="D389" s="37" t="s">
        <v>140</v>
      </c>
      <c r="E389" s="28" t="s">
        <v>141</v>
      </c>
      <c r="F389" s="28" t="s">
        <v>192</v>
      </c>
      <c r="G389" s="29" t="s">
        <v>535</v>
      </c>
      <c r="H389" s="29" t="s">
        <v>893</v>
      </c>
      <c r="I389" s="29" t="s">
        <v>2797</v>
      </c>
      <c r="J389" s="29" t="s">
        <v>2798</v>
      </c>
      <c r="K389" s="26" t="s">
        <v>149</v>
      </c>
      <c r="L389" s="26" t="s">
        <v>149</v>
      </c>
      <c r="M389" s="31" t="s">
        <v>149</v>
      </c>
      <c r="N389" s="31" t="s">
        <v>149</v>
      </c>
      <c r="O389" s="31" t="s">
        <v>149</v>
      </c>
      <c r="P389" s="28" t="s">
        <v>177</v>
      </c>
      <c r="Q389" s="32" t="s">
        <v>319</v>
      </c>
      <c r="R389" s="28" t="s">
        <v>154</v>
      </c>
      <c r="S389" s="32" t="s">
        <v>154</v>
      </c>
      <c r="T389" s="28" t="s">
        <v>300</v>
      </c>
      <c r="U389" s="28" t="s">
        <v>2799</v>
      </c>
      <c r="V389" s="26" t="s">
        <v>2800</v>
      </c>
      <c r="W389" s="32" t="s">
        <v>2801</v>
      </c>
      <c r="X389" s="32" t="s">
        <v>2075</v>
      </c>
      <c r="Y389" s="28" t="s">
        <v>2802</v>
      </c>
      <c r="Z389" s="26" t="s">
        <v>369</v>
      </c>
      <c r="AA389" s="26" t="s">
        <v>159</v>
      </c>
      <c r="AB389" s="26" t="s">
        <v>160</v>
      </c>
      <c r="AC389" s="28" t="s">
        <v>161</v>
      </c>
      <c r="AD389" s="28" t="s">
        <v>369</v>
      </c>
      <c r="AE389" s="29" t="s">
        <v>149</v>
      </c>
      <c r="AF389" s="26" t="s">
        <v>149</v>
      </c>
      <c r="AG389" s="26" t="s">
        <v>149</v>
      </c>
      <c r="AH389" s="26" t="s">
        <v>369</v>
      </c>
      <c r="AI389" s="28" t="s">
        <v>161</v>
      </c>
      <c r="AJ389" s="28" t="s">
        <v>369</v>
      </c>
      <c r="AK389" s="26" t="s">
        <v>149</v>
      </c>
      <c r="AL389" s="101" t="s">
        <v>149</v>
      </c>
      <c r="AM389" s="101" t="s">
        <v>149</v>
      </c>
      <c r="AN389" s="28" t="s">
        <v>165</v>
      </c>
      <c r="AO389" s="28" t="s">
        <v>1159</v>
      </c>
      <c r="AP389" s="26" t="s">
        <v>1160</v>
      </c>
      <c r="AQ389" s="38" t="s">
        <v>1161</v>
      </c>
      <c r="AR389" s="26" t="s">
        <v>2803</v>
      </c>
      <c r="AS389" s="101" t="s">
        <v>149</v>
      </c>
      <c r="AT389" s="11"/>
    </row>
    <row r="390">
      <c r="A390" s="36" t="s">
        <v>2804</v>
      </c>
      <c r="B390" s="26" t="str">
        <f t="shared" si="1"/>
        <v>2025-PH083707000-1996-0310</v>
      </c>
      <c r="C390" s="27">
        <f t="shared" si="5"/>
        <v>2025</v>
      </c>
      <c r="D390" s="28" t="s">
        <v>191</v>
      </c>
      <c r="E390" s="28" t="s">
        <v>191</v>
      </c>
      <c r="F390" s="28" t="s">
        <v>142</v>
      </c>
      <c r="G390" s="29" t="s">
        <v>579</v>
      </c>
      <c r="H390" s="29" t="s">
        <v>585</v>
      </c>
      <c r="I390" s="29" t="s">
        <v>2805</v>
      </c>
      <c r="J390" s="29" t="s">
        <v>2806</v>
      </c>
      <c r="K390" s="26" t="s">
        <v>149</v>
      </c>
      <c r="L390" s="26" t="s">
        <v>2807</v>
      </c>
      <c r="M390" s="31">
        <v>1996.0</v>
      </c>
      <c r="N390" s="31" t="s">
        <v>149</v>
      </c>
      <c r="O390" s="31" t="s">
        <v>149</v>
      </c>
      <c r="P390" s="28" t="s">
        <v>150</v>
      </c>
      <c r="Q390" s="32" t="s">
        <v>151</v>
      </c>
      <c r="R390" s="28" t="s">
        <v>149</v>
      </c>
      <c r="S390" s="32" t="s">
        <v>149</v>
      </c>
      <c r="T390" s="28" t="s">
        <v>154</v>
      </c>
      <c r="U390" s="28" t="s">
        <v>154</v>
      </c>
      <c r="V390" s="28" t="s">
        <v>2808</v>
      </c>
      <c r="W390" s="32" t="s">
        <v>284</v>
      </c>
      <c r="X390" s="32" t="s">
        <v>285</v>
      </c>
      <c r="Y390" s="26" t="s">
        <v>819</v>
      </c>
      <c r="Z390" s="26" t="s">
        <v>2809</v>
      </c>
      <c r="AA390" s="26" t="s">
        <v>159</v>
      </c>
      <c r="AB390" s="26" t="s">
        <v>160</v>
      </c>
      <c r="AC390" s="26" t="s">
        <v>306</v>
      </c>
      <c r="AD390" s="28" t="s">
        <v>306</v>
      </c>
      <c r="AE390" s="29" t="s">
        <v>149</v>
      </c>
      <c r="AF390" s="26" t="s">
        <v>149</v>
      </c>
      <c r="AG390" s="26" t="s">
        <v>2810</v>
      </c>
      <c r="AH390" s="26" t="s">
        <v>369</v>
      </c>
      <c r="AI390" s="28" t="s">
        <v>161</v>
      </c>
      <c r="AJ390" s="28" t="s">
        <v>369</v>
      </c>
      <c r="AK390" s="28" t="s">
        <v>149</v>
      </c>
      <c r="AL390" s="28" t="s">
        <v>149</v>
      </c>
      <c r="AM390" s="28" t="s">
        <v>149</v>
      </c>
      <c r="AN390" s="28" t="s">
        <v>165</v>
      </c>
      <c r="AO390" s="28" t="s">
        <v>731</v>
      </c>
      <c r="AP390" s="26" t="s">
        <v>823</v>
      </c>
      <c r="AQ390" s="34" t="s">
        <v>824</v>
      </c>
      <c r="AR390" s="28" t="s">
        <v>149</v>
      </c>
      <c r="AS390" s="28" t="s">
        <v>149</v>
      </c>
      <c r="AT390" s="28"/>
    </row>
    <row r="391">
      <c r="A391" s="36" t="s">
        <v>2811</v>
      </c>
      <c r="B391" s="26" t="str">
        <f t="shared" si="1"/>
        <v>2025-PH086402000-1990-0321</v>
      </c>
      <c r="C391" s="27">
        <f t="shared" si="5"/>
        <v>2025</v>
      </c>
      <c r="D391" s="28" t="s">
        <v>191</v>
      </c>
      <c r="E391" s="28" t="s">
        <v>191</v>
      </c>
      <c r="F391" s="28" t="s">
        <v>142</v>
      </c>
      <c r="G391" s="29" t="s">
        <v>579</v>
      </c>
      <c r="H391" s="29" t="s">
        <v>1271</v>
      </c>
      <c r="I391" s="29" t="s">
        <v>2812</v>
      </c>
      <c r="J391" s="29" t="s">
        <v>2813</v>
      </c>
      <c r="K391" s="101" t="s">
        <v>149</v>
      </c>
      <c r="L391" s="102" t="s">
        <v>149</v>
      </c>
      <c r="M391" s="111">
        <v>1990.0</v>
      </c>
      <c r="N391" s="53" t="s">
        <v>149</v>
      </c>
      <c r="O391" s="53" t="s">
        <v>149</v>
      </c>
      <c r="P391" s="28" t="s">
        <v>150</v>
      </c>
      <c r="Q391" s="32" t="s">
        <v>151</v>
      </c>
      <c r="R391" s="28" t="s">
        <v>149</v>
      </c>
      <c r="S391" s="32" t="s">
        <v>149</v>
      </c>
      <c r="T391" s="28" t="s">
        <v>154</v>
      </c>
      <c r="U391" s="28" t="s">
        <v>154</v>
      </c>
      <c r="V391" s="26" t="s">
        <v>149</v>
      </c>
      <c r="W391" s="32" t="s">
        <v>284</v>
      </c>
      <c r="X391" s="32" t="s">
        <v>285</v>
      </c>
      <c r="Y391" s="26" t="s">
        <v>819</v>
      </c>
      <c r="Z391" s="101" t="s">
        <v>149</v>
      </c>
      <c r="AA391" s="26" t="s">
        <v>159</v>
      </c>
      <c r="AB391" s="26" t="s">
        <v>149</v>
      </c>
      <c r="AC391" s="26" t="s">
        <v>149</v>
      </c>
      <c r="AD391" s="28" t="s">
        <v>149</v>
      </c>
      <c r="AE391" s="30" t="s">
        <v>149</v>
      </c>
      <c r="AF391" s="101" t="s">
        <v>149</v>
      </c>
      <c r="AG391" s="101" t="s">
        <v>149</v>
      </c>
      <c r="AH391" s="101" t="s">
        <v>369</v>
      </c>
      <c r="AI391" s="28" t="s">
        <v>161</v>
      </c>
      <c r="AJ391" s="28" t="s">
        <v>369</v>
      </c>
      <c r="AK391" s="102" t="s">
        <v>149</v>
      </c>
      <c r="AL391" s="102" t="s">
        <v>149</v>
      </c>
      <c r="AM391" s="28" t="s">
        <v>149</v>
      </c>
      <c r="AN391" s="28" t="s">
        <v>165</v>
      </c>
      <c r="AO391" s="28" t="s">
        <v>731</v>
      </c>
      <c r="AP391" s="26" t="s">
        <v>823</v>
      </c>
      <c r="AQ391" s="34" t="s">
        <v>824</v>
      </c>
      <c r="AR391" s="102" t="s">
        <v>149</v>
      </c>
      <c r="AS391" s="102" t="s">
        <v>149</v>
      </c>
      <c r="AT391" s="38"/>
    </row>
    <row r="392">
      <c r="A392" s="36" t="s">
        <v>2814</v>
      </c>
      <c r="B392" s="26" t="str">
        <f t="shared" si="1"/>
        <v>2023-PH104314000-2022-0358</v>
      </c>
      <c r="C392" s="27">
        <f t="shared" si="5"/>
        <v>2023</v>
      </c>
      <c r="D392" s="28" t="s">
        <v>140</v>
      </c>
      <c r="E392" s="28" t="s">
        <v>141</v>
      </c>
      <c r="F392" s="28" t="s">
        <v>192</v>
      </c>
      <c r="G392" s="29" t="s">
        <v>171</v>
      </c>
      <c r="H392" s="29" t="s">
        <v>172</v>
      </c>
      <c r="I392" s="29" t="s">
        <v>2642</v>
      </c>
      <c r="J392" s="29" t="s">
        <v>2643</v>
      </c>
      <c r="K392" s="26" t="s">
        <v>149</v>
      </c>
      <c r="L392" s="28" t="s">
        <v>149</v>
      </c>
      <c r="M392" s="31">
        <v>2022.0</v>
      </c>
      <c r="N392" s="31" t="s">
        <v>149</v>
      </c>
      <c r="O392" s="31" t="s">
        <v>149</v>
      </c>
      <c r="P392" s="28" t="s">
        <v>177</v>
      </c>
      <c r="Q392" s="32" t="s">
        <v>178</v>
      </c>
      <c r="R392" s="28" t="s">
        <v>154</v>
      </c>
      <c r="S392" s="32" t="s">
        <v>154</v>
      </c>
      <c r="T392" s="28" t="s">
        <v>154</v>
      </c>
      <c r="U392" s="28" t="s">
        <v>154</v>
      </c>
      <c r="V392" s="26" t="s">
        <v>179</v>
      </c>
      <c r="W392" s="32" t="s">
        <v>284</v>
      </c>
      <c r="X392" s="32" t="s">
        <v>285</v>
      </c>
      <c r="Y392" s="26" t="s">
        <v>2815</v>
      </c>
      <c r="Z392" s="26" t="s">
        <v>2816</v>
      </c>
      <c r="AA392" s="26" t="s">
        <v>159</v>
      </c>
      <c r="AB392" s="26" t="s">
        <v>160</v>
      </c>
      <c r="AC392" s="28" t="s">
        <v>161</v>
      </c>
      <c r="AD392" s="28" t="s">
        <v>228</v>
      </c>
      <c r="AE392" s="29" t="s">
        <v>149</v>
      </c>
      <c r="AF392" s="26" t="s">
        <v>149</v>
      </c>
      <c r="AG392" s="26" t="s">
        <v>149</v>
      </c>
      <c r="AH392" s="26" t="s">
        <v>2816</v>
      </c>
      <c r="AI392" s="28" t="s">
        <v>161</v>
      </c>
      <c r="AJ392" s="28" t="s">
        <v>228</v>
      </c>
      <c r="AK392" s="26" t="s">
        <v>2817</v>
      </c>
      <c r="AL392" s="11" t="s">
        <v>149</v>
      </c>
      <c r="AM392" s="11" t="s">
        <v>149</v>
      </c>
      <c r="AN392" s="28" t="s">
        <v>165</v>
      </c>
      <c r="AO392" s="26" t="s">
        <v>166</v>
      </c>
      <c r="AP392" s="26" t="s">
        <v>2818</v>
      </c>
      <c r="AQ392" s="38" t="s">
        <v>2819</v>
      </c>
      <c r="AR392" s="11" t="s">
        <v>149</v>
      </c>
      <c r="AS392" s="11" t="s">
        <v>149</v>
      </c>
      <c r="AT392" s="11"/>
    </row>
    <row r="393">
      <c r="A393" s="36" t="s">
        <v>2820</v>
      </c>
      <c r="B393" s="26" t="str">
        <f t="shared" si="1"/>
        <v>2025-PH082620000-Unknown-0305</v>
      </c>
      <c r="C393" s="27">
        <f t="shared" si="5"/>
        <v>2025</v>
      </c>
      <c r="D393" s="28" t="s">
        <v>191</v>
      </c>
      <c r="E393" s="28" t="s">
        <v>191</v>
      </c>
      <c r="F393" s="28" t="s">
        <v>142</v>
      </c>
      <c r="G393" s="29" t="s">
        <v>579</v>
      </c>
      <c r="H393" s="29" t="s">
        <v>580</v>
      </c>
      <c r="I393" s="29" t="s">
        <v>2821</v>
      </c>
      <c r="J393" s="29" t="s">
        <v>2822</v>
      </c>
      <c r="K393" s="26" t="s">
        <v>149</v>
      </c>
      <c r="L393" s="26" t="s">
        <v>2823</v>
      </c>
      <c r="M393" s="31" t="s">
        <v>149</v>
      </c>
      <c r="N393" s="31" t="s">
        <v>149</v>
      </c>
      <c r="O393" s="31" t="s">
        <v>149</v>
      </c>
      <c r="P393" s="28" t="s">
        <v>150</v>
      </c>
      <c r="Q393" s="32" t="s">
        <v>151</v>
      </c>
      <c r="R393" s="28" t="s">
        <v>149</v>
      </c>
      <c r="S393" s="32" t="s">
        <v>149</v>
      </c>
      <c r="T393" s="28" t="s">
        <v>154</v>
      </c>
      <c r="U393" s="28" t="s">
        <v>154</v>
      </c>
      <c r="V393" s="26" t="s">
        <v>149</v>
      </c>
      <c r="W393" s="32" t="s">
        <v>2824</v>
      </c>
      <c r="X393" s="109" t="s">
        <v>2825</v>
      </c>
      <c r="Y393" s="28" t="s">
        <v>2826</v>
      </c>
      <c r="Z393" s="26" t="s">
        <v>149</v>
      </c>
      <c r="AA393" s="26" t="s">
        <v>159</v>
      </c>
      <c r="AB393" s="26" t="s">
        <v>149</v>
      </c>
      <c r="AC393" s="26" t="s">
        <v>149</v>
      </c>
      <c r="AD393" s="28" t="s">
        <v>149</v>
      </c>
      <c r="AE393" s="29" t="s">
        <v>149</v>
      </c>
      <c r="AF393" s="26" t="s">
        <v>149</v>
      </c>
      <c r="AG393" s="26" t="s">
        <v>149</v>
      </c>
      <c r="AH393" s="26" t="s">
        <v>369</v>
      </c>
      <c r="AI393" s="28" t="s">
        <v>161</v>
      </c>
      <c r="AJ393" s="28" t="s">
        <v>369</v>
      </c>
      <c r="AK393" s="102" t="s">
        <v>149</v>
      </c>
      <c r="AL393" s="102" t="s">
        <v>149</v>
      </c>
      <c r="AM393" s="102" t="s">
        <v>149</v>
      </c>
      <c r="AN393" s="28" t="s">
        <v>165</v>
      </c>
      <c r="AO393" s="28" t="s">
        <v>731</v>
      </c>
      <c r="AP393" s="26" t="s">
        <v>823</v>
      </c>
      <c r="AQ393" s="34" t="s">
        <v>824</v>
      </c>
      <c r="AR393" s="28" t="s">
        <v>149</v>
      </c>
      <c r="AS393" s="102" t="s">
        <v>149</v>
      </c>
      <c r="AT393" s="26"/>
    </row>
    <row r="394">
      <c r="A394" s="36" t="s">
        <v>2827</v>
      </c>
      <c r="B394" s="26" t="str">
        <f t="shared" si="1"/>
        <v>2023-PH054111000-2018-0209</v>
      </c>
      <c r="C394" s="27">
        <f t="shared" si="5"/>
        <v>2023</v>
      </c>
      <c r="D394" s="28" t="s">
        <v>140</v>
      </c>
      <c r="E394" s="28" t="s">
        <v>141</v>
      </c>
      <c r="F394" s="28" t="s">
        <v>192</v>
      </c>
      <c r="G394" s="29" t="s">
        <v>535</v>
      </c>
      <c r="H394" s="29" t="s">
        <v>1191</v>
      </c>
      <c r="I394" s="40" t="s">
        <v>2828</v>
      </c>
      <c r="J394" s="29" t="s">
        <v>2829</v>
      </c>
      <c r="K394" s="26" t="s">
        <v>149</v>
      </c>
      <c r="L394" s="28" t="s">
        <v>149</v>
      </c>
      <c r="M394" s="31">
        <v>2018.0</v>
      </c>
      <c r="N394" s="31">
        <v>2014.0</v>
      </c>
      <c r="O394" s="31">
        <v>2018.0</v>
      </c>
      <c r="P394" s="28" t="s">
        <v>177</v>
      </c>
      <c r="Q394" s="32" t="s">
        <v>319</v>
      </c>
      <c r="R394" s="28" t="s">
        <v>154</v>
      </c>
      <c r="S394" s="32" t="s">
        <v>154</v>
      </c>
      <c r="T394" s="28" t="s">
        <v>300</v>
      </c>
      <c r="U394" s="28" t="s">
        <v>879</v>
      </c>
      <c r="V394" s="28" t="s">
        <v>2830</v>
      </c>
      <c r="W394" s="32" t="s">
        <v>2831</v>
      </c>
      <c r="X394" s="32" t="s">
        <v>722</v>
      </c>
      <c r="Y394" s="26" t="s">
        <v>2832</v>
      </c>
      <c r="Z394" s="26" t="s">
        <v>2833</v>
      </c>
      <c r="AA394" s="26" t="s">
        <v>149</v>
      </c>
      <c r="AB394" s="26" t="s">
        <v>160</v>
      </c>
      <c r="AC394" s="28" t="s">
        <v>322</v>
      </c>
      <c r="AD394" s="28" t="s">
        <v>2833</v>
      </c>
      <c r="AE394" s="29" t="s">
        <v>149</v>
      </c>
      <c r="AF394" s="26" t="s">
        <v>149</v>
      </c>
      <c r="AG394" s="26" t="s">
        <v>149</v>
      </c>
      <c r="AH394" s="26" t="s">
        <v>1158</v>
      </c>
      <c r="AI394" s="32" t="s">
        <v>209</v>
      </c>
      <c r="AJ394" s="28" t="s">
        <v>227</v>
      </c>
      <c r="AK394" s="26" t="s">
        <v>149</v>
      </c>
      <c r="AL394" s="26" t="s">
        <v>149</v>
      </c>
      <c r="AM394" s="26" t="s">
        <v>149</v>
      </c>
      <c r="AN394" s="28" t="s">
        <v>165</v>
      </c>
      <c r="AO394" s="28" t="s">
        <v>1159</v>
      </c>
      <c r="AP394" s="26" t="s">
        <v>1160</v>
      </c>
      <c r="AQ394" s="38" t="s">
        <v>1161</v>
      </c>
      <c r="AR394" s="26" t="s">
        <v>2834</v>
      </c>
      <c r="AS394" s="26" t="s">
        <v>149</v>
      </c>
      <c r="AT394" s="28"/>
    </row>
    <row r="395">
      <c r="A395" s="25" t="s">
        <v>2835</v>
      </c>
      <c r="B395" s="26" t="str">
        <f t="shared" si="1"/>
        <v>2023-PH012905000-1982-0006</v>
      </c>
      <c r="C395" s="27">
        <f t="shared" si="5"/>
        <v>2023</v>
      </c>
      <c r="D395" s="28" t="s">
        <v>140</v>
      </c>
      <c r="E395" s="28" t="s">
        <v>141</v>
      </c>
      <c r="F395" s="28" t="s">
        <v>142</v>
      </c>
      <c r="G395" s="29" t="s">
        <v>143</v>
      </c>
      <c r="H395" s="29" t="s">
        <v>404</v>
      </c>
      <c r="I395" s="29" t="s">
        <v>405</v>
      </c>
      <c r="J395" s="29" t="s">
        <v>406</v>
      </c>
      <c r="K395" s="28" t="s">
        <v>149</v>
      </c>
      <c r="L395" s="26" t="s">
        <v>2836</v>
      </c>
      <c r="M395" s="31">
        <v>1982.0</v>
      </c>
      <c r="N395" s="49">
        <v>1979.0</v>
      </c>
      <c r="O395" s="49">
        <v>1984.0</v>
      </c>
      <c r="P395" s="28" t="s">
        <v>150</v>
      </c>
      <c r="Q395" s="32" t="s">
        <v>151</v>
      </c>
      <c r="R395" s="28" t="s">
        <v>604</v>
      </c>
      <c r="S395" s="28" t="s">
        <v>605</v>
      </c>
      <c r="T395" s="28" t="s">
        <v>154</v>
      </c>
      <c r="U395" s="28" t="s">
        <v>154</v>
      </c>
      <c r="V395" s="28" t="s">
        <v>2837</v>
      </c>
      <c r="W395" s="32" t="s">
        <v>237</v>
      </c>
      <c r="X395" s="32" t="s">
        <v>238</v>
      </c>
      <c r="Y395" s="26" t="s">
        <v>699</v>
      </c>
      <c r="Z395" s="26" t="s">
        <v>390</v>
      </c>
      <c r="AA395" s="32" t="s">
        <v>204</v>
      </c>
      <c r="AB395" s="26" t="s">
        <v>160</v>
      </c>
      <c r="AC395" s="28" t="s">
        <v>322</v>
      </c>
      <c r="AD395" s="28" t="s">
        <v>390</v>
      </c>
      <c r="AE395" s="29" t="s">
        <v>149</v>
      </c>
      <c r="AF395" s="26" t="s">
        <v>149</v>
      </c>
      <c r="AG395" s="11" t="s">
        <v>2838</v>
      </c>
      <c r="AH395" s="26" t="s">
        <v>390</v>
      </c>
      <c r="AI395" s="28" t="s">
        <v>322</v>
      </c>
      <c r="AJ395" s="28" t="s">
        <v>390</v>
      </c>
      <c r="AK395" s="75" t="s">
        <v>2839</v>
      </c>
      <c r="AL395" s="75" t="s">
        <v>2840</v>
      </c>
      <c r="AM395" s="74" t="s">
        <v>870</v>
      </c>
      <c r="AN395" s="28" t="s">
        <v>241</v>
      </c>
      <c r="AO395" s="26" t="s">
        <v>395</v>
      </c>
      <c r="AP395" s="28" t="s">
        <v>396</v>
      </c>
      <c r="AQ395" s="38" t="s">
        <v>397</v>
      </c>
      <c r="AR395" s="26" t="s">
        <v>398</v>
      </c>
      <c r="AS395" s="26" t="s">
        <v>149</v>
      </c>
      <c r="AT395" s="26"/>
    </row>
    <row r="396">
      <c r="A396" s="25" t="s">
        <v>2841</v>
      </c>
      <c r="B396" s="26" t="str">
        <f t="shared" si="1"/>
        <v>2023-PH012905000-1983-0007</v>
      </c>
      <c r="C396" s="27">
        <f t="shared" si="5"/>
        <v>2023</v>
      </c>
      <c r="D396" s="28" t="s">
        <v>140</v>
      </c>
      <c r="E396" s="28" t="s">
        <v>141</v>
      </c>
      <c r="F396" s="28" t="s">
        <v>142</v>
      </c>
      <c r="G396" s="76" t="s">
        <v>143</v>
      </c>
      <c r="H396" s="76" t="s">
        <v>404</v>
      </c>
      <c r="I396" s="76" t="s">
        <v>405</v>
      </c>
      <c r="J396" s="76" t="s">
        <v>406</v>
      </c>
      <c r="K396" s="28" t="s">
        <v>149</v>
      </c>
      <c r="L396" s="80" t="s">
        <v>2836</v>
      </c>
      <c r="M396" s="85">
        <v>1983.0</v>
      </c>
      <c r="N396" s="49">
        <v>1979.0</v>
      </c>
      <c r="O396" s="49">
        <v>1984.0</v>
      </c>
      <c r="P396" s="74" t="s">
        <v>150</v>
      </c>
      <c r="Q396" s="79" t="s">
        <v>151</v>
      </c>
      <c r="R396" s="28" t="s">
        <v>604</v>
      </c>
      <c r="S396" s="80" t="s">
        <v>605</v>
      </c>
      <c r="T396" s="74" t="s">
        <v>154</v>
      </c>
      <c r="U396" s="74" t="s">
        <v>154</v>
      </c>
      <c r="V396" s="75" t="s">
        <v>2842</v>
      </c>
      <c r="W396" s="32" t="s">
        <v>237</v>
      </c>
      <c r="X396" s="102" t="s">
        <v>238</v>
      </c>
      <c r="Y396" s="26" t="s">
        <v>699</v>
      </c>
      <c r="Z396" s="80" t="s">
        <v>390</v>
      </c>
      <c r="AA396" s="32" t="s">
        <v>204</v>
      </c>
      <c r="AB396" s="80" t="s">
        <v>160</v>
      </c>
      <c r="AC396" s="28" t="s">
        <v>322</v>
      </c>
      <c r="AD396" s="80" t="s">
        <v>390</v>
      </c>
      <c r="AE396" s="76" t="s">
        <v>149</v>
      </c>
      <c r="AF396" s="80" t="s">
        <v>149</v>
      </c>
      <c r="AG396" s="75" t="s">
        <v>2843</v>
      </c>
      <c r="AH396" s="80" t="s">
        <v>390</v>
      </c>
      <c r="AI396" s="28" t="s">
        <v>322</v>
      </c>
      <c r="AJ396" s="74" t="s">
        <v>390</v>
      </c>
      <c r="AK396" s="75" t="s">
        <v>2839</v>
      </c>
      <c r="AL396" s="117" t="s">
        <v>2840</v>
      </c>
      <c r="AM396" s="118" t="s">
        <v>870</v>
      </c>
      <c r="AN396" s="28" t="s">
        <v>241</v>
      </c>
      <c r="AO396" s="80" t="s">
        <v>395</v>
      </c>
      <c r="AP396" s="28" t="s">
        <v>396</v>
      </c>
      <c r="AQ396" s="119" t="s">
        <v>397</v>
      </c>
      <c r="AR396" s="74" t="s">
        <v>398</v>
      </c>
      <c r="AS396" s="74" t="s">
        <v>149</v>
      </c>
      <c r="AT396" s="26"/>
    </row>
    <row r="397">
      <c r="A397" s="25" t="s">
        <v>2844</v>
      </c>
      <c r="B397" s="26" t="str">
        <f t="shared" si="1"/>
        <v>2023-PH013301000-1982-0019</v>
      </c>
      <c r="C397" s="27">
        <f t="shared" si="5"/>
        <v>2023</v>
      </c>
      <c r="D397" s="28" t="s">
        <v>140</v>
      </c>
      <c r="E397" s="28" t="s">
        <v>141</v>
      </c>
      <c r="F397" s="28" t="s">
        <v>142</v>
      </c>
      <c r="G397" s="29" t="s">
        <v>143</v>
      </c>
      <c r="H397" s="29" t="s">
        <v>438</v>
      </c>
      <c r="I397" s="29" t="s">
        <v>2845</v>
      </c>
      <c r="J397" s="29" t="s">
        <v>2846</v>
      </c>
      <c r="K397" s="26" t="s">
        <v>149</v>
      </c>
      <c r="L397" s="26" t="s">
        <v>2847</v>
      </c>
      <c r="M397" s="31">
        <v>1982.0</v>
      </c>
      <c r="N397" s="49">
        <v>1979.0</v>
      </c>
      <c r="O397" s="49">
        <v>1984.0</v>
      </c>
      <c r="P397" s="28" t="s">
        <v>150</v>
      </c>
      <c r="Q397" s="32" t="s">
        <v>151</v>
      </c>
      <c r="R397" s="28" t="s">
        <v>386</v>
      </c>
      <c r="S397" s="28" t="s">
        <v>386</v>
      </c>
      <c r="T397" s="28" t="s">
        <v>154</v>
      </c>
      <c r="U397" s="28" t="s">
        <v>154</v>
      </c>
      <c r="V397" s="28" t="s">
        <v>386</v>
      </c>
      <c r="W397" s="28" t="s">
        <v>237</v>
      </c>
      <c r="X397" s="28" t="s">
        <v>238</v>
      </c>
      <c r="Y397" s="26" t="s">
        <v>699</v>
      </c>
      <c r="Z397" s="26" t="s">
        <v>390</v>
      </c>
      <c r="AA397" s="32" t="s">
        <v>204</v>
      </c>
      <c r="AB397" s="26" t="s">
        <v>160</v>
      </c>
      <c r="AC397" s="28" t="s">
        <v>322</v>
      </c>
      <c r="AD397" s="28" t="s">
        <v>390</v>
      </c>
      <c r="AE397" s="29" t="s">
        <v>149</v>
      </c>
      <c r="AF397" s="26" t="s">
        <v>149</v>
      </c>
      <c r="AG397" s="26" t="s">
        <v>2848</v>
      </c>
      <c r="AH397" s="26" t="s">
        <v>390</v>
      </c>
      <c r="AI397" s="28" t="s">
        <v>322</v>
      </c>
      <c r="AJ397" s="28" t="s">
        <v>390</v>
      </c>
      <c r="AK397" s="75" t="s">
        <v>2839</v>
      </c>
      <c r="AL397" s="117" t="s">
        <v>2840</v>
      </c>
      <c r="AM397" s="118" t="s">
        <v>870</v>
      </c>
      <c r="AN397" s="28" t="s">
        <v>241</v>
      </c>
      <c r="AO397" s="26" t="s">
        <v>395</v>
      </c>
      <c r="AP397" s="28" t="s">
        <v>396</v>
      </c>
      <c r="AQ397" s="38" t="s">
        <v>397</v>
      </c>
      <c r="AR397" s="26" t="s">
        <v>398</v>
      </c>
      <c r="AS397" s="26" t="s">
        <v>149</v>
      </c>
      <c r="AT397" s="11"/>
    </row>
    <row r="398">
      <c r="A398" s="25" t="s">
        <v>2849</v>
      </c>
      <c r="B398" s="26" t="str">
        <f t="shared" si="1"/>
        <v>2023-PH013317000-1981-0029</v>
      </c>
      <c r="C398" s="27">
        <f t="shared" si="5"/>
        <v>2023</v>
      </c>
      <c r="D398" s="28" t="s">
        <v>140</v>
      </c>
      <c r="E398" s="28" t="s">
        <v>141</v>
      </c>
      <c r="F398" s="28" t="s">
        <v>142</v>
      </c>
      <c r="G398" s="29" t="s">
        <v>143</v>
      </c>
      <c r="H398" s="29" t="s">
        <v>438</v>
      </c>
      <c r="I398" s="29" t="s">
        <v>2850</v>
      </c>
      <c r="J398" s="29" t="s">
        <v>2851</v>
      </c>
      <c r="K398" s="28" t="s">
        <v>149</v>
      </c>
      <c r="L398" s="28" t="s">
        <v>2852</v>
      </c>
      <c r="M398" s="31">
        <v>1981.0</v>
      </c>
      <c r="N398" s="49">
        <v>1979.0</v>
      </c>
      <c r="O398" s="49">
        <v>1984.0</v>
      </c>
      <c r="P398" s="28" t="s">
        <v>150</v>
      </c>
      <c r="Q398" s="32" t="s">
        <v>151</v>
      </c>
      <c r="R398" s="28" t="s">
        <v>149</v>
      </c>
      <c r="S398" s="32" t="s">
        <v>149</v>
      </c>
      <c r="T398" s="28" t="s">
        <v>154</v>
      </c>
      <c r="U398" s="28" t="s">
        <v>154</v>
      </c>
      <c r="V398" s="26" t="s">
        <v>149</v>
      </c>
      <c r="W398" s="32" t="s">
        <v>237</v>
      </c>
      <c r="X398" s="32" t="s">
        <v>238</v>
      </c>
      <c r="Y398" s="26" t="s">
        <v>699</v>
      </c>
      <c r="Z398" s="26" t="s">
        <v>390</v>
      </c>
      <c r="AA398" s="32" t="s">
        <v>204</v>
      </c>
      <c r="AB398" s="26" t="s">
        <v>160</v>
      </c>
      <c r="AC398" s="28" t="s">
        <v>322</v>
      </c>
      <c r="AD398" s="28" t="s">
        <v>390</v>
      </c>
      <c r="AE398" s="29" t="s">
        <v>149</v>
      </c>
      <c r="AF398" s="26" t="s">
        <v>149</v>
      </c>
      <c r="AG398" s="26" t="s">
        <v>2853</v>
      </c>
      <c r="AH398" s="26" t="s">
        <v>390</v>
      </c>
      <c r="AI398" s="28" t="s">
        <v>322</v>
      </c>
      <c r="AJ398" s="28" t="s">
        <v>390</v>
      </c>
      <c r="AK398" s="75" t="s">
        <v>2839</v>
      </c>
      <c r="AL398" s="117" t="s">
        <v>2840</v>
      </c>
      <c r="AM398" s="118" t="s">
        <v>870</v>
      </c>
      <c r="AN398" s="28" t="s">
        <v>241</v>
      </c>
      <c r="AO398" s="26" t="s">
        <v>395</v>
      </c>
      <c r="AP398" s="28" t="s">
        <v>396</v>
      </c>
      <c r="AQ398" s="38" t="s">
        <v>397</v>
      </c>
      <c r="AR398" s="26" t="s">
        <v>398</v>
      </c>
      <c r="AS398" s="26" t="s">
        <v>149</v>
      </c>
      <c r="AT398" s="11"/>
    </row>
    <row r="399">
      <c r="A399" s="25" t="s">
        <v>2854</v>
      </c>
      <c r="B399" s="26" t="str">
        <f t="shared" si="1"/>
        <v>2023-PH015503000-1981-0035</v>
      </c>
      <c r="C399" s="27">
        <f t="shared" si="5"/>
        <v>2023</v>
      </c>
      <c r="D399" s="28" t="s">
        <v>140</v>
      </c>
      <c r="E399" s="28" t="s">
        <v>141</v>
      </c>
      <c r="F399" s="28" t="s">
        <v>142</v>
      </c>
      <c r="G399" s="29" t="s">
        <v>143</v>
      </c>
      <c r="H399" s="29" t="s">
        <v>144</v>
      </c>
      <c r="I399" s="40" t="s">
        <v>221</v>
      </c>
      <c r="J399" s="29" t="s">
        <v>222</v>
      </c>
      <c r="K399" s="26" t="s">
        <v>149</v>
      </c>
      <c r="L399" s="26" t="s">
        <v>2855</v>
      </c>
      <c r="M399" s="31">
        <v>1981.0</v>
      </c>
      <c r="N399" s="49">
        <v>1979.0</v>
      </c>
      <c r="O399" s="49">
        <v>1984.0</v>
      </c>
      <c r="P399" s="28" t="s">
        <v>150</v>
      </c>
      <c r="Q399" s="32" t="s">
        <v>151</v>
      </c>
      <c r="R399" s="28" t="s">
        <v>149</v>
      </c>
      <c r="S399" s="28" t="s">
        <v>149</v>
      </c>
      <c r="T399" s="28" t="s">
        <v>154</v>
      </c>
      <c r="U399" s="28" t="s">
        <v>154</v>
      </c>
      <c r="V399" s="26" t="s">
        <v>149</v>
      </c>
      <c r="W399" s="28" t="s">
        <v>237</v>
      </c>
      <c r="X399" s="28" t="s">
        <v>238</v>
      </c>
      <c r="Y399" s="26" t="s">
        <v>699</v>
      </c>
      <c r="Z399" s="26" t="s">
        <v>390</v>
      </c>
      <c r="AA399" s="32" t="s">
        <v>204</v>
      </c>
      <c r="AB399" s="26" t="s">
        <v>160</v>
      </c>
      <c r="AC399" s="28" t="s">
        <v>322</v>
      </c>
      <c r="AD399" s="28" t="s">
        <v>390</v>
      </c>
      <c r="AE399" s="29" t="s">
        <v>149</v>
      </c>
      <c r="AF399" s="26" t="s">
        <v>149</v>
      </c>
      <c r="AG399" s="26" t="s">
        <v>2853</v>
      </c>
      <c r="AH399" s="26" t="s">
        <v>390</v>
      </c>
      <c r="AI399" s="28" t="s">
        <v>322</v>
      </c>
      <c r="AJ399" s="28" t="s">
        <v>390</v>
      </c>
      <c r="AK399" s="75" t="s">
        <v>2839</v>
      </c>
      <c r="AL399" s="75" t="s">
        <v>2840</v>
      </c>
      <c r="AM399" s="118" t="s">
        <v>870</v>
      </c>
      <c r="AN399" s="28" t="s">
        <v>241</v>
      </c>
      <c r="AO399" s="26" t="s">
        <v>395</v>
      </c>
      <c r="AP399" s="28" t="s">
        <v>396</v>
      </c>
      <c r="AQ399" s="38" t="s">
        <v>397</v>
      </c>
      <c r="AR399" s="26" t="s">
        <v>398</v>
      </c>
      <c r="AS399" s="106" t="s">
        <v>149</v>
      </c>
      <c r="AT399" s="28"/>
    </row>
    <row r="400">
      <c r="A400" s="36" t="s">
        <v>2856</v>
      </c>
      <c r="B400" s="26" t="str">
        <f t="shared" si="1"/>
        <v>2023-PH015521000-1981-0084</v>
      </c>
      <c r="C400" s="27">
        <f t="shared" si="5"/>
        <v>2023</v>
      </c>
      <c r="D400" s="28" t="s">
        <v>140</v>
      </c>
      <c r="E400" s="28" t="s">
        <v>141</v>
      </c>
      <c r="F400" s="28" t="s">
        <v>142</v>
      </c>
      <c r="G400" s="29" t="s">
        <v>143</v>
      </c>
      <c r="H400" s="29" t="s">
        <v>144</v>
      </c>
      <c r="I400" s="29" t="s">
        <v>2857</v>
      </c>
      <c r="J400" s="29" t="s">
        <v>2858</v>
      </c>
      <c r="K400" s="26" t="s">
        <v>149</v>
      </c>
      <c r="L400" s="28" t="s">
        <v>2859</v>
      </c>
      <c r="M400" s="31">
        <v>1981.0</v>
      </c>
      <c r="N400" s="49">
        <v>1979.0</v>
      </c>
      <c r="O400" s="49">
        <v>1984.0</v>
      </c>
      <c r="P400" s="28" t="s">
        <v>150</v>
      </c>
      <c r="Q400" s="32" t="s">
        <v>151</v>
      </c>
      <c r="R400" s="28" t="s">
        <v>149</v>
      </c>
      <c r="S400" s="28" t="s">
        <v>149</v>
      </c>
      <c r="T400" s="28" t="s">
        <v>154</v>
      </c>
      <c r="U400" s="28" t="s">
        <v>154</v>
      </c>
      <c r="V400" s="26" t="s">
        <v>149</v>
      </c>
      <c r="W400" s="28" t="s">
        <v>237</v>
      </c>
      <c r="X400" s="28" t="s">
        <v>238</v>
      </c>
      <c r="Y400" s="26" t="s">
        <v>699</v>
      </c>
      <c r="Z400" s="26" t="s">
        <v>390</v>
      </c>
      <c r="AA400" s="32" t="s">
        <v>204</v>
      </c>
      <c r="AB400" s="26" t="s">
        <v>160</v>
      </c>
      <c r="AC400" s="28" t="s">
        <v>322</v>
      </c>
      <c r="AD400" s="28" t="s">
        <v>390</v>
      </c>
      <c r="AE400" s="29" t="s">
        <v>149</v>
      </c>
      <c r="AF400" s="26" t="s">
        <v>149</v>
      </c>
      <c r="AG400" s="26" t="s">
        <v>2860</v>
      </c>
      <c r="AH400" s="26" t="s">
        <v>390</v>
      </c>
      <c r="AI400" s="28" t="s">
        <v>322</v>
      </c>
      <c r="AJ400" s="28" t="s">
        <v>390</v>
      </c>
      <c r="AK400" s="75" t="s">
        <v>2839</v>
      </c>
      <c r="AL400" s="117" t="s">
        <v>2840</v>
      </c>
      <c r="AM400" s="118" t="s">
        <v>870</v>
      </c>
      <c r="AN400" s="28" t="s">
        <v>241</v>
      </c>
      <c r="AO400" s="26" t="s">
        <v>395</v>
      </c>
      <c r="AP400" s="28" t="s">
        <v>396</v>
      </c>
      <c r="AQ400" s="26" t="s">
        <v>397</v>
      </c>
      <c r="AR400" s="26" t="s">
        <v>398</v>
      </c>
      <c r="AS400" s="106" t="s">
        <v>149</v>
      </c>
      <c r="AT400" s="26"/>
    </row>
    <row r="401">
      <c r="A401" s="36" t="s">
        <v>2861</v>
      </c>
      <c r="B401" s="26" t="str">
        <f t="shared" si="1"/>
        <v>2023-PH041023000-1982-0131</v>
      </c>
      <c r="C401" s="27">
        <f t="shared" si="5"/>
        <v>2023</v>
      </c>
      <c r="D401" s="28" t="s">
        <v>140</v>
      </c>
      <c r="E401" s="28" t="s">
        <v>141</v>
      </c>
      <c r="F401" s="28" t="s">
        <v>142</v>
      </c>
      <c r="G401" s="29" t="s">
        <v>257</v>
      </c>
      <c r="H401" s="29" t="s">
        <v>258</v>
      </c>
      <c r="I401" s="29" t="s">
        <v>491</v>
      </c>
      <c r="J401" s="29" t="s">
        <v>492</v>
      </c>
      <c r="K401" s="28" t="s">
        <v>149</v>
      </c>
      <c r="L401" s="26" t="s">
        <v>493</v>
      </c>
      <c r="M401" s="31">
        <v>1982.0</v>
      </c>
      <c r="N401" s="49">
        <v>1979.0</v>
      </c>
      <c r="O401" s="49">
        <v>1984.0</v>
      </c>
      <c r="P401" s="28" t="s">
        <v>150</v>
      </c>
      <c r="Q401" s="32" t="s">
        <v>151</v>
      </c>
      <c r="R401" s="28" t="s">
        <v>604</v>
      </c>
      <c r="S401" s="28" t="s">
        <v>605</v>
      </c>
      <c r="T401" s="28" t="s">
        <v>154</v>
      </c>
      <c r="U401" s="28" t="s">
        <v>154</v>
      </c>
      <c r="V401" s="28" t="s">
        <v>2837</v>
      </c>
      <c r="W401" s="28" t="s">
        <v>237</v>
      </c>
      <c r="X401" s="28" t="s">
        <v>238</v>
      </c>
      <c r="Y401" s="26" t="s">
        <v>699</v>
      </c>
      <c r="Z401" s="26" t="s">
        <v>390</v>
      </c>
      <c r="AA401" s="32" t="s">
        <v>204</v>
      </c>
      <c r="AB401" s="26" t="s">
        <v>160</v>
      </c>
      <c r="AC401" s="28" t="s">
        <v>322</v>
      </c>
      <c r="AD401" s="28" t="s">
        <v>390</v>
      </c>
      <c r="AE401" s="29" t="s">
        <v>149</v>
      </c>
      <c r="AF401" s="26" t="s">
        <v>149</v>
      </c>
      <c r="AG401" s="26" t="s">
        <v>2862</v>
      </c>
      <c r="AH401" s="26" t="s">
        <v>390</v>
      </c>
      <c r="AI401" s="28" t="s">
        <v>322</v>
      </c>
      <c r="AJ401" s="28" t="s">
        <v>390</v>
      </c>
      <c r="AK401" s="75" t="s">
        <v>2839</v>
      </c>
      <c r="AL401" s="117" t="s">
        <v>2840</v>
      </c>
      <c r="AM401" s="118" t="s">
        <v>870</v>
      </c>
      <c r="AN401" s="28" t="s">
        <v>241</v>
      </c>
      <c r="AO401" s="26" t="s">
        <v>395</v>
      </c>
      <c r="AP401" s="28" t="s">
        <v>396</v>
      </c>
      <c r="AQ401" s="26" t="s">
        <v>397</v>
      </c>
      <c r="AR401" s="26" t="s">
        <v>398</v>
      </c>
      <c r="AS401" s="108" t="s">
        <v>149</v>
      </c>
      <c r="AT401" s="26"/>
    </row>
    <row r="402">
      <c r="A402" s="36" t="s">
        <v>2863</v>
      </c>
      <c r="B402" s="26" t="str">
        <f t="shared" si="1"/>
        <v>2023-PH041023000-1984-0132</v>
      </c>
      <c r="C402" s="27">
        <f t="shared" si="5"/>
        <v>2023</v>
      </c>
      <c r="D402" s="28" t="s">
        <v>140</v>
      </c>
      <c r="E402" s="28" t="s">
        <v>141</v>
      </c>
      <c r="F402" s="28" t="s">
        <v>142</v>
      </c>
      <c r="G402" s="29" t="s">
        <v>257</v>
      </c>
      <c r="H402" s="29" t="s">
        <v>258</v>
      </c>
      <c r="I402" s="29" t="s">
        <v>491</v>
      </c>
      <c r="J402" s="29" t="s">
        <v>492</v>
      </c>
      <c r="K402" s="28" t="s">
        <v>149</v>
      </c>
      <c r="L402" s="26" t="s">
        <v>493</v>
      </c>
      <c r="M402" s="31">
        <v>1984.0</v>
      </c>
      <c r="N402" s="49">
        <v>1979.0</v>
      </c>
      <c r="O402" s="49">
        <v>1984.0</v>
      </c>
      <c r="P402" s="28" t="s">
        <v>150</v>
      </c>
      <c r="Q402" s="32" t="s">
        <v>151</v>
      </c>
      <c r="R402" s="28" t="s">
        <v>386</v>
      </c>
      <c r="S402" s="28" t="s">
        <v>386</v>
      </c>
      <c r="T402" s="28" t="s">
        <v>154</v>
      </c>
      <c r="U402" s="28" t="s">
        <v>154</v>
      </c>
      <c r="V402" s="28" t="s">
        <v>613</v>
      </c>
      <c r="W402" s="28" t="s">
        <v>237</v>
      </c>
      <c r="X402" s="28" t="s">
        <v>238</v>
      </c>
      <c r="Y402" s="26" t="s">
        <v>699</v>
      </c>
      <c r="Z402" s="26" t="s">
        <v>390</v>
      </c>
      <c r="AA402" s="32" t="s">
        <v>204</v>
      </c>
      <c r="AB402" s="26" t="s">
        <v>160</v>
      </c>
      <c r="AC402" s="28" t="s">
        <v>322</v>
      </c>
      <c r="AD402" s="28" t="s">
        <v>390</v>
      </c>
      <c r="AE402" s="29" t="s">
        <v>149</v>
      </c>
      <c r="AF402" s="26" t="s">
        <v>149</v>
      </c>
      <c r="AG402" s="26" t="s">
        <v>450</v>
      </c>
      <c r="AH402" s="26" t="s">
        <v>390</v>
      </c>
      <c r="AI402" s="28" t="s">
        <v>322</v>
      </c>
      <c r="AJ402" s="28" t="s">
        <v>390</v>
      </c>
      <c r="AK402" s="75" t="s">
        <v>2839</v>
      </c>
      <c r="AL402" s="117" t="s">
        <v>2840</v>
      </c>
      <c r="AM402" s="118" t="s">
        <v>870</v>
      </c>
      <c r="AN402" s="28" t="s">
        <v>241</v>
      </c>
      <c r="AO402" s="26" t="s">
        <v>395</v>
      </c>
      <c r="AP402" s="28" t="s">
        <v>396</v>
      </c>
      <c r="AQ402" s="26" t="s">
        <v>397</v>
      </c>
      <c r="AR402" s="26" t="s">
        <v>398</v>
      </c>
      <c r="AS402" s="108" t="s">
        <v>149</v>
      </c>
      <c r="AT402" s="26"/>
    </row>
    <row r="403">
      <c r="A403" s="36" t="s">
        <v>2864</v>
      </c>
      <c r="B403" s="26" t="str">
        <f t="shared" si="1"/>
        <v>2023-PH041023000-1984-0133</v>
      </c>
      <c r="C403" s="27">
        <f t="shared" si="5"/>
        <v>2023</v>
      </c>
      <c r="D403" s="28" t="s">
        <v>140</v>
      </c>
      <c r="E403" s="28" t="s">
        <v>141</v>
      </c>
      <c r="F403" s="28" t="s">
        <v>142</v>
      </c>
      <c r="G403" s="29" t="s">
        <v>257</v>
      </c>
      <c r="H403" s="29" t="s">
        <v>258</v>
      </c>
      <c r="I403" s="29" t="s">
        <v>491</v>
      </c>
      <c r="J403" s="29" t="s">
        <v>492</v>
      </c>
      <c r="K403" s="28" t="s">
        <v>149</v>
      </c>
      <c r="L403" s="26" t="s">
        <v>493</v>
      </c>
      <c r="M403" s="31">
        <v>1984.0</v>
      </c>
      <c r="N403" s="49">
        <v>1979.0</v>
      </c>
      <c r="O403" s="49">
        <v>1984.0</v>
      </c>
      <c r="P403" s="28" t="s">
        <v>150</v>
      </c>
      <c r="Q403" s="32" t="s">
        <v>151</v>
      </c>
      <c r="R403" s="28" t="s">
        <v>386</v>
      </c>
      <c r="S403" s="28" t="s">
        <v>386</v>
      </c>
      <c r="T403" s="28" t="s">
        <v>154</v>
      </c>
      <c r="U403" s="28" t="s">
        <v>154</v>
      </c>
      <c r="V403" s="28" t="s">
        <v>2865</v>
      </c>
      <c r="W403" s="28" t="s">
        <v>237</v>
      </c>
      <c r="X403" s="28" t="s">
        <v>238</v>
      </c>
      <c r="Y403" s="26" t="s">
        <v>699</v>
      </c>
      <c r="Z403" s="26" t="s">
        <v>390</v>
      </c>
      <c r="AA403" s="32" t="s">
        <v>204</v>
      </c>
      <c r="AB403" s="26" t="s">
        <v>160</v>
      </c>
      <c r="AC403" s="28" t="s">
        <v>322</v>
      </c>
      <c r="AD403" s="28" t="s">
        <v>390</v>
      </c>
      <c r="AE403" s="29" t="s">
        <v>149</v>
      </c>
      <c r="AF403" s="26" t="s">
        <v>149</v>
      </c>
      <c r="AG403" s="28" t="s">
        <v>2866</v>
      </c>
      <c r="AH403" s="26" t="s">
        <v>390</v>
      </c>
      <c r="AI403" s="28" t="s">
        <v>322</v>
      </c>
      <c r="AJ403" s="28" t="s">
        <v>390</v>
      </c>
      <c r="AK403" s="75" t="s">
        <v>2839</v>
      </c>
      <c r="AL403" s="117" t="s">
        <v>2840</v>
      </c>
      <c r="AM403" s="118" t="s">
        <v>870</v>
      </c>
      <c r="AN403" s="28" t="s">
        <v>241</v>
      </c>
      <c r="AO403" s="26" t="s">
        <v>395</v>
      </c>
      <c r="AP403" s="28" t="s">
        <v>396</v>
      </c>
      <c r="AQ403" s="26" t="s">
        <v>397</v>
      </c>
      <c r="AR403" s="26" t="s">
        <v>398</v>
      </c>
      <c r="AS403" s="108" t="s">
        <v>149</v>
      </c>
      <c r="AT403" s="26"/>
    </row>
    <row r="404">
      <c r="A404" s="36" t="s">
        <v>2867</v>
      </c>
      <c r="B404" s="26" t="str">
        <f t="shared" si="1"/>
        <v>2023-PH050516000-1983-0189</v>
      </c>
      <c r="C404" s="27">
        <f t="shared" si="5"/>
        <v>2023</v>
      </c>
      <c r="D404" s="37" t="s">
        <v>140</v>
      </c>
      <c r="E404" s="28" t="s">
        <v>141</v>
      </c>
      <c r="F404" s="28" t="s">
        <v>142</v>
      </c>
      <c r="G404" s="29" t="s">
        <v>535</v>
      </c>
      <c r="H404" s="29" t="s">
        <v>893</v>
      </c>
      <c r="I404" s="29" t="s">
        <v>894</v>
      </c>
      <c r="J404" s="29" t="s">
        <v>895</v>
      </c>
      <c r="K404" s="26" t="s">
        <v>149</v>
      </c>
      <c r="L404" s="26" t="s">
        <v>2868</v>
      </c>
      <c r="M404" s="31">
        <v>1983.0</v>
      </c>
      <c r="N404" s="49">
        <v>1979.0</v>
      </c>
      <c r="O404" s="49">
        <v>1984.0</v>
      </c>
      <c r="P404" s="28" t="s">
        <v>150</v>
      </c>
      <c r="Q404" s="32" t="s">
        <v>151</v>
      </c>
      <c r="R404" s="28" t="s">
        <v>281</v>
      </c>
      <c r="S404" s="32" t="s">
        <v>468</v>
      </c>
      <c r="T404" s="28" t="s">
        <v>154</v>
      </c>
      <c r="U404" s="28" t="s">
        <v>154</v>
      </c>
      <c r="V404" s="28" t="s">
        <v>2869</v>
      </c>
      <c r="W404" s="28" t="s">
        <v>237</v>
      </c>
      <c r="X404" s="28" t="s">
        <v>238</v>
      </c>
      <c r="Y404" s="26" t="s">
        <v>699</v>
      </c>
      <c r="Z404" s="26" t="s">
        <v>390</v>
      </c>
      <c r="AA404" s="32" t="s">
        <v>204</v>
      </c>
      <c r="AB404" s="26" t="s">
        <v>160</v>
      </c>
      <c r="AC404" s="28" t="s">
        <v>322</v>
      </c>
      <c r="AD404" s="28" t="s">
        <v>390</v>
      </c>
      <c r="AE404" s="29" t="s">
        <v>149</v>
      </c>
      <c r="AF404" s="26" t="s">
        <v>149</v>
      </c>
      <c r="AG404" s="26" t="s">
        <v>2870</v>
      </c>
      <c r="AH404" s="26" t="s">
        <v>390</v>
      </c>
      <c r="AI404" s="28" t="s">
        <v>322</v>
      </c>
      <c r="AJ404" s="28" t="s">
        <v>390</v>
      </c>
      <c r="AK404" s="75" t="s">
        <v>2839</v>
      </c>
      <c r="AL404" s="75" t="s">
        <v>2840</v>
      </c>
      <c r="AM404" s="74" t="s">
        <v>870</v>
      </c>
      <c r="AN404" s="28" t="s">
        <v>241</v>
      </c>
      <c r="AO404" s="26" t="s">
        <v>395</v>
      </c>
      <c r="AP404" s="28" t="s">
        <v>396</v>
      </c>
      <c r="AQ404" s="26" t="s">
        <v>397</v>
      </c>
      <c r="AR404" s="26" t="s">
        <v>398</v>
      </c>
      <c r="AS404" s="26" t="s">
        <v>149</v>
      </c>
      <c r="AT404" s="11"/>
    </row>
    <row r="405">
      <c r="A405" s="36" t="s">
        <v>2871</v>
      </c>
      <c r="B405" s="26" t="str">
        <f t="shared" si="1"/>
        <v>2023-PH054119000-1984-0210</v>
      </c>
      <c r="C405" s="27">
        <f t="shared" si="5"/>
        <v>2023</v>
      </c>
      <c r="D405" s="37" t="s">
        <v>140</v>
      </c>
      <c r="E405" s="28" t="s">
        <v>141</v>
      </c>
      <c r="F405" s="28" t="s">
        <v>142</v>
      </c>
      <c r="G405" s="29" t="s">
        <v>535</v>
      </c>
      <c r="H405" s="29" t="s">
        <v>1191</v>
      </c>
      <c r="I405" s="29" t="s">
        <v>1987</v>
      </c>
      <c r="J405" s="29" t="s">
        <v>1988</v>
      </c>
      <c r="K405" s="28" t="s">
        <v>149</v>
      </c>
      <c r="L405" s="26" t="s">
        <v>2872</v>
      </c>
      <c r="M405" s="31">
        <v>1984.0</v>
      </c>
      <c r="N405" s="49">
        <v>1979.0</v>
      </c>
      <c r="O405" s="49">
        <v>1984.0</v>
      </c>
      <c r="P405" s="28" t="s">
        <v>150</v>
      </c>
      <c r="Q405" s="32" t="s">
        <v>151</v>
      </c>
      <c r="R405" s="28" t="s">
        <v>281</v>
      </c>
      <c r="S405" s="32" t="s">
        <v>468</v>
      </c>
      <c r="T405" s="28" t="s">
        <v>154</v>
      </c>
      <c r="U405" s="28" t="s">
        <v>154</v>
      </c>
      <c r="V405" s="28" t="s">
        <v>2869</v>
      </c>
      <c r="W405" s="28" t="s">
        <v>237</v>
      </c>
      <c r="X405" s="28" t="s">
        <v>238</v>
      </c>
      <c r="Y405" s="26" t="s">
        <v>699</v>
      </c>
      <c r="Z405" s="26" t="s">
        <v>390</v>
      </c>
      <c r="AA405" s="32" t="s">
        <v>204</v>
      </c>
      <c r="AB405" s="26" t="s">
        <v>160</v>
      </c>
      <c r="AC405" s="28" t="s">
        <v>322</v>
      </c>
      <c r="AD405" s="28" t="s">
        <v>390</v>
      </c>
      <c r="AE405" s="29" t="s">
        <v>149</v>
      </c>
      <c r="AF405" s="26" t="s">
        <v>149</v>
      </c>
      <c r="AG405" s="26" t="s">
        <v>2870</v>
      </c>
      <c r="AH405" s="26" t="s">
        <v>390</v>
      </c>
      <c r="AI405" s="28" t="s">
        <v>322</v>
      </c>
      <c r="AJ405" s="28" t="s">
        <v>390</v>
      </c>
      <c r="AK405" s="75" t="s">
        <v>2839</v>
      </c>
      <c r="AL405" s="75" t="s">
        <v>2840</v>
      </c>
      <c r="AM405" s="74" t="s">
        <v>870</v>
      </c>
      <c r="AN405" s="28" t="s">
        <v>241</v>
      </c>
      <c r="AO405" s="26" t="s">
        <v>395</v>
      </c>
      <c r="AP405" s="28" t="s">
        <v>396</v>
      </c>
      <c r="AQ405" s="33" t="s">
        <v>2873</v>
      </c>
      <c r="AR405" s="26" t="s">
        <v>398</v>
      </c>
      <c r="AS405" s="26" t="s">
        <v>149</v>
      </c>
      <c r="AT405" s="11"/>
    </row>
    <row r="406">
      <c r="A406" s="36" t="s">
        <v>2874</v>
      </c>
      <c r="B406" s="26" t="str">
        <f t="shared" si="1"/>
        <v>2023-PH071242000-1979-0269</v>
      </c>
      <c r="C406" s="27">
        <f t="shared" si="5"/>
        <v>2023</v>
      </c>
      <c r="D406" s="28" t="s">
        <v>140</v>
      </c>
      <c r="E406" s="28" t="s">
        <v>141</v>
      </c>
      <c r="F406" s="28" t="s">
        <v>142</v>
      </c>
      <c r="G406" s="29" t="s">
        <v>193</v>
      </c>
      <c r="H406" s="29" t="s">
        <v>563</v>
      </c>
      <c r="I406" s="40" t="s">
        <v>2875</v>
      </c>
      <c r="J406" s="29" t="s">
        <v>2876</v>
      </c>
      <c r="K406" s="28" t="s">
        <v>149</v>
      </c>
      <c r="L406" s="26" t="s">
        <v>2877</v>
      </c>
      <c r="M406" s="49">
        <v>1979.0</v>
      </c>
      <c r="N406" s="49">
        <v>1979.0</v>
      </c>
      <c r="O406" s="49">
        <v>1984.0</v>
      </c>
      <c r="P406" s="28" t="s">
        <v>150</v>
      </c>
      <c r="Q406" s="32" t="s">
        <v>151</v>
      </c>
      <c r="R406" s="28" t="s">
        <v>281</v>
      </c>
      <c r="S406" s="32" t="s">
        <v>468</v>
      </c>
      <c r="T406" s="28" t="s">
        <v>154</v>
      </c>
      <c r="U406" s="28" t="s">
        <v>154</v>
      </c>
      <c r="V406" s="28" t="s">
        <v>2869</v>
      </c>
      <c r="W406" s="28" t="s">
        <v>237</v>
      </c>
      <c r="X406" s="102" t="s">
        <v>238</v>
      </c>
      <c r="Y406" s="26" t="s">
        <v>699</v>
      </c>
      <c r="Z406" s="26" t="s">
        <v>390</v>
      </c>
      <c r="AA406" s="32" t="s">
        <v>204</v>
      </c>
      <c r="AB406" s="26" t="s">
        <v>160</v>
      </c>
      <c r="AC406" s="28" t="s">
        <v>322</v>
      </c>
      <c r="AD406" s="28" t="s">
        <v>390</v>
      </c>
      <c r="AE406" s="29" t="s">
        <v>149</v>
      </c>
      <c r="AF406" s="26" t="s">
        <v>149</v>
      </c>
      <c r="AG406" s="26" t="s">
        <v>2878</v>
      </c>
      <c r="AH406" s="26" t="s">
        <v>390</v>
      </c>
      <c r="AI406" s="28" t="s">
        <v>322</v>
      </c>
      <c r="AJ406" s="28" t="s">
        <v>390</v>
      </c>
      <c r="AK406" s="75" t="s">
        <v>2839</v>
      </c>
      <c r="AL406" s="75" t="s">
        <v>2840</v>
      </c>
      <c r="AM406" s="74" t="s">
        <v>870</v>
      </c>
      <c r="AN406" s="28" t="s">
        <v>241</v>
      </c>
      <c r="AO406" s="26" t="s">
        <v>395</v>
      </c>
      <c r="AP406" s="28" t="s">
        <v>396</v>
      </c>
      <c r="AQ406" s="38" t="s">
        <v>541</v>
      </c>
      <c r="AR406" s="26" t="s">
        <v>398</v>
      </c>
      <c r="AS406" s="45" t="s">
        <v>149</v>
      </c>
      <c r="AT406" s="11"/>
    </row>
    <row r="407">
      <c r="A407" s="36" t="s">
        <v>2879</v>
      </c>
      <c r="B407" s="26" t="str">
        <f t="shared" si="1"/>
        <v>2023-PH072226000-1979-0281</v>
      </c>
      <c r="C407" s="27">
        <f t="shared" si="5"/>
        <v>2023</v>
      </c>
      <c r="D407" s="37" t="s">
        <v>140</v>
      </c>
      <c r="E407" s="28" t="s">
        <v>141</v>
      </c>
      <c r="F407" s="28" t="s">
        <v>142</v>
      </c>
      <c r="G407" s="29" t="s">
        <v>193</v>
      </c>
      <c r="H407" s="29" t="s">
        <v>194</v>
      </c>
      <c r="I407" s="40" t="s">
        <v>216</v>
      </c>
      <c r="J407" s="29" t="s">
        <v>217</v>
      </c>
      <c r="K407" s="26" t="s">
        <v>149</v>
      </c>
      <c r="L407" s="26" t="s">
        <v>2880</v>
      </c>
      <c r="M407" s="49">
        <v>1979.0</v>
      </c>
      <c r="N407" s="49">
        <v>1979.0</v>
      </c>
      <c r="O407" s="49">
        <v>1984.0</v>
      </c>
      <c r="P407" s="28" t="s">
        <v>150</v>
      </c>
      <c r="Q407" s="32" t="s">
        <v>151</v>
      </c>
      <c r="R407" s="28" t="s">
        <v>386</v>
      </c>
      <c r="S407" s="28" t="s">
        <v>386</v>
      </c>
      <c r="T407" s="28" t="s">
        <v>154</v>
      </c>
      <c r="U407" s="28" t="s">
        <v>154</v>
      </c>
      <c r="V407" s="28" t="s">
        <v>386</v>
      </c>
      <c r="W407" s="28" t="s">
        <v>237</v>
      </c>
      <c r="X407" s="28" t="s">
        <v>238</v>
      </c>
      <c r="Y407" s="26" t="s">
        <v>699</v>
      </c>
      <c r="Z407" s="26" t="s">
        <v>390</v>
      </c>
      <c r="AA407" s="32" t="s">
        <v>204</v>
      </c>
      <c r="AB407" s="26" t="s">
        <v>160</v>
      </c>
      <c r="AC407" s="28" t="s">
        <v>322</v>
      </c>
      <c r="AD407" s="28" t="s">
        <v>390</v>
      </c>
      <c r="AE407" s="29" t="s">
        <v>149</v>
      </c>
      <c r="AF407" s="26" t="s">
        <v>149</v>
      </c>
      <c r="AG407" s="26" t="s">
        <v>391</v>
      </c>
      <c r="AH407" s="26" t="s">
        <v>390</v>
      </c>
      <c r="AI407" s="28" t="s">
        <v>322</v>
      </c>
      <c r="AJ407" s="28" t="s">
        <v>390</v>
      </c>
      <c r="AK407" s="75" t="s">
        <v>2839</v>
      </c>
      <c r="AL407" s="75" t="s">
        <v>2840</v>
      </c>
      <c r="AM407" s="74" t="s">
        <v>870</v>
      </c>
      <c r="AN407" s="28" t="s">
        <v>241</v>
      </c>
      <c r="AO407" s="26" t="s">
        <v>395</v>
      </c>
      <c r="AP407" s="28" t="s">
        <v>396</v>
      </c>
      <c r="AQ407" s="26" t="s">
        <v>397</v>
      </c>
      <c r="AR407" s="26" t="s">
        <v>398</v>
      </c>
      <c r="AS407" s="29" t="s">
        <v>149</v>
      </c>
      <c r="AT407" s="11"/>
    </row>
    <row r="408">
      <c r="A408" s="36" t="s">
        <v>2881</v>
      </c>
      <c r="B408" s="26" t="str">
        <f t="shared" si="1"/>
        <v>2023-PH072226000-1982-0282</v>
      </c>
      <c r="C408" s="27">
        <f t="shared" si="5"/>
        <v>2023</v>
      </c>
      <c r="D408" s="28" t="s">
        <v>140</v>
      </c>
      <c r="E408" s="28" t="s">
        <v>141</v>
      </c>
      <c r="F408" s="28" t="s">
        <v>142</v>
      </c>
      <c r="G408" s="29" t="s">
        <v>193</v>
      </c>
      <c r="H408" s="29" t="s">
        <v>194</v>
      </c>
      <c r="I408" s="40" t="s">
        <v>216</v>
      </c>
      <c r="J408" s="29" t="s">
        <v>217</v>
      </c>
      <c r="K408" s="26" t="s">
        <v>149</v>
      </c>
      <c r="L408" s="26" t="s">
        <v>2882</v>
      </c>
      <c r="M408" s="31">
        <v>1982.0</v>
      </c>
      <c r="N408" s="49">
        <v>1979.0</v>
      </c>
      <c r="O408" s="49">
        <v>1984.0</v>
      </c>
      <c r="P408" s="28" t="s">
        <v>150</v>
      </c>
      <c r="Q408" s="32" t="s">
        <v>151</v>
      </c>
      <c r="R408" s="28" t="s">
        <v>386</v>
      </c>
      <c r="S408" s="28" t="s">
        <v>386</v>
      </c>
      <c r="T408" s="28" t="s">
        <v>154</v>
      </c>
      <c r="U408" s="28" t="s">
        <v>154</v>
      </c>
      <c r="V408" s="28" t="s">
        <v>386</v>
      </c>
      <c r="W408" s="28" t="s">
        <v>237</v>
      </c>
      <c r="X408" s="28" t="s">
        <v>238</v>
      </c>
      <c r="Y408" s="26" t="s">
        <v>699</v>
      </c>
      <c r="Z408" s="26" t="s">
        <v>390</v>
      </c>
      <c r="AA408" s="32" t="s">
        <v>204</v>
      </c>
      <c r="AB408" s="26" t="s">
        <v>160</v>
      </c>
      <c r="AC408" s="28" t="s">
        <v>322</v>
      </c>
      <c r="AD408" s="28" t="s">
        <v>390</v>
      </c>
      <c r="AE408" s="29" t="s">
        <v>149</v>
      </c>
      <c r="AF408" s="26" t="s">
        <v>149</v>
      </c>
      <c r="AG408" s="26" t="s">
        <v>414</v>
      </c>
      <c r="AH408" s="26" t="s">
        <v>390</v>
      </c>
      <c r="AI408" s="28" t="s">
        <v>322</v>
      </c>
      <c r="AJ408" s="28" t="s">
        <v>390</v>
      </c>
      <c r="AK408" s="75" t="s">
        <v>2839</v>
      </c>
      <c r="AL408" s="75" t="s">
        <v>2840</v>
      </c>
      <c r="AM408" s="74" t="s">
        <v>870</v>
      </c>
      <c r="AN408" s="28" t="s">
        <v>241</v>
      </c>
      <c r="AO408" s="26" t="s">
        <v>395</v>
      </c>
      <c r="AP408" s="28" t="s">
        <v>396</v>
      </c>
      <c r="AQ408" s="26" t="s">
        <v>397</v>
      </c>
      <c r="AR408" s="26" t="s">
        <v>398</v>
      </c>
      <c r="AS408" s="29" t="s">
        <v>149</v>
      </c>
      <c r="AT408" s="26"/>
    </row>
    <row r="409">
      <c r="A409" s="36" t="s">
        <v>2883</v>
      </c>
      <c r="B409" s="26" t="str">
        <f t="shared" si="1"/>
        <v>2023-PH133900000-1981-0408</v>
      </c>
      <c r="C409" s="27">
        <f t="shared" si="5"/>
        <v>2023</v>
      </c>
      <c r="D409" s="28" t="s">
        <v>140</v>
      </c>
      <c r="E409" s="28" t="s">
        <v>141</v>
      </c>
      <c r="F409" s="28" t="s">
        <v>142</v>
      </c>
      <c r="G409" s="29" t="s">
        <v>619</v>
      </c>
      <c r="H409" s="29" t="s">
        <v>620</v>
      </c>
      <c r="I409" s="54" t="s">
        <v>621</v>
      </c>
      <c r="J409" s="55" t="s">
        <v>622</v>
      </c>
      <c r="K409" s="26" t="s">
        <v>149</v>
      </c>
      <c r="L409" s="28" t="s">
        <v>2884</v>
      </c>
      <c r="M409" s="49">
        <v>1981.0</v>
      </c>
      <c r="N409" s="49">
        <v>1979.0</v>
      </c>
      <c r="O409" s="49">
        <v>1984.0</v>
      </c>
      <c r="P409" s="28" t="s">
        <v>150</v>
      </c>
      <c r="Q409" s="32" t="s">
        <v>151</v>
      </c>
      <c r="R409" s="28" t="s">
        <v>386</v>
      </c>
      <c r="S409" s="28" t="s">
        <v>386</v>
      </c>
      <c r="T409" s="28" t="s">
        <v>154</v>
      </c>
      <c r="U409" s="28" t="s">
        <v>154</v>
      </c>
      <c r="V409" s="28" t="s">
        <v>386</v>
      </c>
      <c r="W409" s="28" t="s">
        <v>237</v>
      </c>
      <c r="X409" s="28" t="s">
        <v>238</v>
      </c>
      <c r="Y409" s="26" t="s">
        <v>699</v>
      </c>
      <c r="Z409" s="26" t="s">
        <v>390</v>
      </c>
      <c r="AA409" s="32" t="s">
        <v>204</v>
      </c>
      <c r="AB409" s="26" t="s">
        <v>160</v>
      </c>
      <c r="AC409" s="28" t="s">
        <v>322</v>
      </c>
      <c r="AD409" s="28" t="s">
        <v>390</v>
      </c>
      <c r="AE409" s="29" t="s">
        <v>149</v>
      </c>
      <c r="AF409" s="26" t="s">
        <v>149</v>
      </c>
      <c r="AG409" s="26" t="s">
        <v>2885</v>
      </c>
      <c r="AH409" s="26" t="s">
        <v>390</v>
      </c>
      <c r="AI409" s="28" t="s">
        <v>322</v>
      </c>
      <c r="AJ409" s="28" t="s">
        <v>390</v>
      </c>
      <c r="AK409" s="75" t="s">
        <v>2839</v>
      </c>
      <c r="AL409" s="75" t="s">
        <v>2840</v>
      </c>
      <c r="AM409" s="74" t="s">
        <v>870</v>
      </c>
      <c r="AN409" s="28" t="s">
        <v>241</v>
      </c>
      <c r="AO409" s="26" t="s">
        <v>395</v>
      </c>
      <c r="AP409" s="28" t="s">
        <v>396</v>
      </c>
      <c r="AQ409" s="38" t="s">
        <v>541</v>
      </c>
      <c r="AR409" s="26" t="s">
        <v>398</v>
      </c>
      <c r="AS409" s="11" t="s">
        <v>149</v>
      </c>
      <c r="AT409" s="26"/>
    </row>
    <row r="410">
      <c r="A410" s="36" t="s">
        <v>2886</v>
      </c>
      <c r="B410" s="26" t="str">
        <f t="shared" si="1"/>
        <v>2025-PH064507000-1998-0411</v>
      </c>
      <c r="C410" s="27">
        <f t="shared" si="5"/>
        <v>2025</v>
      </c>
      <c r="D410" s="28" t="s">
        <v>191</v>
      </c>
      <c r="E410" s="28" t="s">
        <v>191</v>
      </c>
      <c r="F410" s="28" t="s">
        <v>142</v>
      </c>
      <c r="G410" s="29" t="s">
        <v>625</v>
      </c>
      <c r="H410" s="29" t="s">
        <v>626</v>
      </c>
      <c r="I410" s="56" t="s">
        <v>983</v>
      </c>
      <c r="J410" s="55" t="s">
        <v>984</v>
      </c>
      <c r="K410" s="26" t="s">
        <v>149</v>
      </c>
      <c r="L410" s="26" t="s">
        <v>2887</v>
      </c>
      <c r="M410" s="31">
        <v>1998.0</v>
      </c>
      <c r="N410" s="31">
        <v>1998.0</v>
      </c>
      <c r="O410" s="31">
        <v>1998.0</v>
      </c>
      <c r="P410" s="28" t="s">
        <v>150</v>
      </c>
      <c r="Q410" s="32" t="s">
        <v>151</v>
      </c>
      <c r="R410" s="28" t="s">
        <v>281</v>
      </c>
      <c r="S410" s="32" t="s">
        <v>2888</v>
      </c>
      <c r="T410" s="28" t="s">
        <v>154</v>
      </c>
      <c r="U410" s="28" t="s">
        <v>154</v>
      </c>
      <c r="V410" s="26" t="s">
        <v>2889</v>
      </c>
      <c r="W410" s="28" t="s">
        <v>237</v>
      </c>
      <c r="X410" s="28" t="s">
        <v>238</v>
      </c>
      <c r="Y410" s="26" t="s">
        <v>2890</v>
      </c>
      <c r="Z410" s="26" t="s">
        <v>149</v>
      </c>
      <c r="AA410" s="32" t="s">
        <v>204</v>
      </c>
      <c r="AB410" s="26" t="s">
        <v>149</v>
      </c>
      <c r="AC410" s="26" t="s">
        <v>149</v>
      </c>
      <c r="AD410" s="28" t="s">
        <v>149</v>
      </c>
      <c r="AE410" s="29" t="s">
        <v>149</v>
      </c>
      <c r="AF410" s="26" t="s">
        <v>149</v>
      </c>
      <c r="AG410" s="26" t="s">
        <v>149</v>
      </c>
      <c r="AH410" s="28" t="s">
        <v>2891</v>
      </c>
      <c r="AI410" s="32" t="s">
        <v>209</v>
      </c>
      <c r="AJ410" s="28" t="s">
        <v>227</v>
      </c>
      <c r="AK410" s="28" t="s">
        <v>149</v>
      </c>
      <c r="AL410" s="28" t="s">
        <v>2892</v>
      </c>
      <c r="AM410" s="28" t="s">
        <v>149</v>
      </c>
      <c r="AN410" s="28" t="s">
        <v>241</v>
      </c>
      <c r="AO410" s="28" t="s">
        <v>242</v>
      </c>
      <c r="AP410" s="26" t="s">
        <v>2893</v>
      </c>
      <c r="AQ410" s="38" t="s">
        <v>2894</v>
      </c>
      <c r="AR410" s="28" t="s">
        <v>149</v>
      </c>
      <c r="AS410" s="28" t="s">
        <v>149</v>
      </c>
      <c r="AT410" s="28" t="s">
        <v>2895</v>
      </c>
    </row>
    <row r="411">
      <c r="A411" s="25" t="s">
        <v>2896</v>
      </c>
      <c r="B411" s="26" t="str">
        <f t="shared" si="1"/>
        <v>2023-PH015503000-1999-0038</v>
      </c>
      <c r="C411" s="27">
        <f t="shared" si="5"/>
        <v>2023</v>
      </c>
      <c r="D411" s="28" t="s">
        <v>140</v>
      </c>
      <c r="E411" s="28" t="s">
        <v>141</v>
      </c>
      <c r="F411" s="28" t="s">
        <v>192</v>
      </c>
      <c r="G411" s="29" t="s">
        <v>143</v>
      </c>
      <c r="H411" s="29" t="s">
        <v>144</v>
      </c>
      <c r="I411" s="40" t="s">
        <v>221</v>
      </c>
      <c r="J411" s="29" t="s">
        <v>222</v>
      </c>
      <c r="K411" s="26" t="s">
        <v>149</v>
      </c>
      <c r="L411" s="26" t="s">
        <v>2897</v>
      </c>
      <c r="M411" s="31">
        <v>1999.0</v>
      </c>
      <c r="N411" s="31">
        <v>1999.0</v>
      </c>
      <c r="O411" s="31">
        <v>2000.0</v>
      </c>
      <c r="P411" s="28" t="s">
        <v>150</v>
      </c>
      <c r="Q411" s="32" t="s">
        <v>2898</v>
      </c>
      <c r="R411" s="28" t="s">
        <v>154</v>
      </c>
      <c r="S411" s="32" t="s">
        <v>154</v>
      </c>
      <c r="T411" s="28" t="s">
        <v>154</v>
      </c>
      <c r="U411" s="28" t="s">
        <v>154</v>
      </c>
      <c r="V411" s="26" t="s">
        <v>2899</v>
      </c>
      <c r="W411" s="28" t="s">
        <v>237</v>
      </c>
      <c r="X411" s="28" t="s">
        <v>238</v>
      </c>
      <c r="Y411" s="26" t="s">
        <v>2900</v>
      </c>
      <c r="Z411" s="26" t="s">
        <v>2833</v>
      </c>
      <c r="AA411" s="26" t="s">
        <v>204</v>
      </c>
      <c r="AB411" s="26" t="s">
        <v>160</v>
      </c>
      <c r="AC411" s="28" t="s">
        <v>322</v>
      </c>
      <c r="AD411" s="28" t="s">
        <v>2833</v>
      </c>
      <c r="AE411" s="29" t="s">
        <v>149</v>
      </c>
      <c r="AF411" s="26" t="s">
        <v>149</v>
      </c>
      <c r="AG411" s="26" t="s">
        <v>149</v>
      </c>
      <c r="AH411" s="26" t="s">
        <v>233</v>
      </c>
      <c r="AI411" s="32" t="s">
        <v>209</v>
      </c>
      <c r="AJ411" s="28" t="s">
        <v>227</v>
      </c>
      <c r="AK411" s="26" t="s">
        <v>2901</v>
      </c>
      <c r="AL411" s="11" t="s">
        <v>149</v>
      </c>
      <c r="AM411" s="11" t="s">
        <v>149</v>
      </c>
      <c r="AN411" s="28" t="s">
        <v>241</v>
      </c>
      <c r="AO411" s="28" t="s">
        <v>242</v>
      </c>
      <c r="AP411" s="26" t="s">
        <v>2902</v>
      </c>
      <c r="AQ411" s="39" t="s">
        <v>2903</v>
      </c>
      <c r="AR411" s="26" t="s">
        <v>2904</v>
      </c>
      <c r="AS411" s="11" t="s">
        <v>149</v>
      </c>
      <c r="AT411" s="11"/>
    </row>
    <row r="412">
      <c r="A412" s="36" t="s">
        <v>2905</v>
      </c>
      <c r="B412" s="26" t="str">
        <f t="shared" si="1"/>
        <v>2023-PH015505000-2011-0050</v>
      </c>
      <c r="C412" s="27">
        <f t="shared" si="5"/>
        <v>2023</v>
      </c>
      <c r="D412" s="28" t="s">
        <v>140</v>
      </c>
      <c r="E412" s="28" t="s">
        <v>141</v>
      </c>
      <c r="F412" s="28" t="s">
        <v>192</v>
      </c>
      <c r="G412" s="29" t="s">
        <v>143</v>
      </c>
      <c r="H412" s="29" t="s">
        <v>144</v>
      </c>
      <c r="I412" s="29" t="s">
        <v>230</v>
      </c>
      <c r="J412" s="29" t="s">
        <v>231</v>
      </c>
      <c r="K412" s="26" t="s">
        <v>149</v>
      </c>
      <c r="L412" s="102" t="s">
        <v>2906</v>
      </c>
      <c r="M412" s="31">
        <v>2011.0</v>
      </c>
      <c r="N412" s="31">
        <v>2010.0</v>
      </c>
      <c r="O412" s="31" t="s">
        <v>149</v>
      </c>
      <c r="P412" s="28" t="s">
        <v>298</v>
      </c>
      <c r="Q412" s="32" t="s">
        <v>299</v>
      </c>
      <c r="R412" s="28" t="s">
        <v>154</v>
      </c>
      <c r="S412" s="32" t="s">
        <v>154</v>
      </c>
      <c r="T412" s="28" t="s">
        <v>300</v>
      </c>
      <c r="U412" s="28" t="s">
        <v>149</v>
      </c>
      <c r="V412" s="26" t="s">
        <v>2907</v>
      </c>
      <c r="W412" s="28" t="s">
        <v>237</v>
      </c>
      <c r="X412" s="28" t="s">
        <v>238</v>
      </c>
      <c r="Y412" s="26" t="s">
        <v>2908</v>
      </c>
      <c r="Z412" s="26" t="s">
        <v>2909</v>
      </c>
      <c r="AA412" s="26" t="s">
        <v>204</v>
      </c>
      <c r="AB412" s="26" t="s">
        <v>160</v>
      </c>
      <c r="AC412" s="26" t="s">
        <v>209</v>
      </c>
      <c r="AD412" s="28" t="s">
        <v>227</v>
      </c>
      <c r="AE412" s="29" t="s">
        <v>149</v>
      </c>
      <c r="AF412" s="26" t="s">
        <v>149</v>
      </c>
      <c r="AG412" s="26" t="s">
        <v>149</v>
      </c>
      <c r="AH412" s="26" t="s">
        <v>233</v>
      </c>
      <c r="AI412" s="32" t="s">
        <v>209</v>
      </c>
      <c r="AJ412" s="28" t="s">
        <v>227</v>
      </c>
      <c r="AK412" s="26" t="s">
        <v>321</v>
      </c>
      <c r="AL412" s="11" t="s">
        <v>149</v>
      </c>
      <c r="AM412" s="11" t="s">
        <v>149</v>
      </c>
      <c r="AN412" s="28" t="s">
        <v>241</v>
      </c>
      <c r="AO412" s="28" t="s">
        <v>242</v>
      </c>
      <c r="AP412" s="26" t="s">
        <v>2910</v>
      </c>
      <c r="AQ412" s="38" t="s">
        <v>2911</v>
      </c>
      <c r="AR412" s="26" t="s">
        <v>1061</v>
      </c>
      <c r="AS412" s="11" t="s">
        <v>149</v>
      </c>
      <c r="AT412" s="26"/>
    </row>
    <row r="413">
      <c r="A413" s="36" t="s">
        <v>2912</v>
      </c>
      <c r="B413" s="26" t="str">
        <f t="shared" si="1"/>
        <v>2023-PH015505000-2016-0054</v>
      </c>
      <c r="C413" s="27">
        <f t="shared" si="5"/>
        <v>2023</v>
      </c>
      <c r="D413" s="28" t="s">
        <v>140</v>
      </c>
      <c r="E413" s="28" t="s">
        <v>141</v>
      </c>
      <c r="F413" s="28" t="s">
        <v>192</v>
      </c>
      <c r="G413" s="29" t="s">
        <v>143</v>
      </c>
      <c r="H413" s="29" t="s">
        <v>144</v>
      </c>
      <c r="I413" s="29" t="s">
        <v>230</v>
      </c>
      <c r="J413" s="29" t="s">
        <v>231</v>
      </c>
      <c r="K413" s="26" t="s">
        <v>149</v>
      </c>
      <c r="L413" s="28" t="s">
        <v>247</v>
      </c>
      <c r="M413" s="31">
        <v>2016.0</v>
      </c>
      <c r="N413" s="31" t="s">
        <v>149</v>
      </c>
      <c r="O413" s="31" t="s">
        <v>149</v>
      </c>
      <c r="P413" s="28" t="s">
        <v>298</v>
      </c>
      <c r="Q413" s="32" t="s">
        <v>299</v>
      </c>
      <c r="R413" s="28" t="s">
        <v>154</v>
      </c>
      <c r="S413" s="32" t="s">
        <v>154</v>
      </c>
      <c r="T413" s="28" t="s">
        <v>300</v>
      </c>
      <c r="U413" s="28" t="s">
        <v>149</v>
      </c>
      <c r="V413" s="26" t="s">
        <v>2913</v>
      </c>
      <c r="W413" s="28" t="s">
        <v>237</v>
      </c>
      <c r="X413" s="109" t="s">
        <v>238</v>
      </c>
      <c r="Y413" s="28" t="s">
        <v>2914</v>
      </c>
      <c r="Z413" s="26" t="s">
        <v>321</v>
      </c>
      <c r="AA413" s="26" t="s">
        <v>204</v>
      </c>
      <c r="AB413" s="26" t="s">
        <v>160</v>
      </c>
      <c r="AC413" s="28" t="s">
        <v>322</v>
      </c>
      <c r="AD413" s="28" t="s">
        <v>323</v>
      </c>
      <c r="AE413" s="29" t="s">
        <v>149</v>
      </c>
      <c r="AF413" s="26" t="s">
        <v>149</v>
      </c>
      <c r="AG413" s="26" t="s">
        <v>2915</v>
      </c>
      <c r="AH413" s="26" t="s">
        <v>233</v>
      </c>
      <c r="AI413" s="32" t="s">
        <v>209</v>
      </c>
      <c r="AJ413" s="28" t="s">
        <v>227</v>
      </c>
      <c r="AK413" s="11" t="s">
        <v>149</v>
      </c>
      <c r="AL413" s="11" t="s">
        <v>149</v>
      </c>
      <c r="AM413" s="11" t="s">
        <v>149</v>
      </c>
      <c r="AN413" s="28" t="s">
        <v>241</v>
      </c>
      <c r="AO413" s="28" t="s">
        <v>242</v>
      </c>
      <c r="AP413" s="26" t="s">
        <v>2916</v>
      </c>
      <c r="AQ413" s="38" t="s">
        <v>2917</v>
      </c>
      <c r="AR413" s="26" t="s">
        <v>2918</v>
      </c>
      <c r="AS413" s="11" t="s">
        <v>149</v>
      </c>
      <c r="AT413" s="11"/>
    </row>
    <row r="414">
      <c r="A414" s="36" t="s">
        <v>2919</v>
      </c>
      <c r="B414" s="26" t="str">
        <f t="shared" si="1"/>
        <v>2023-PH015505000-2011-0055</v>
      </c>
      <c r="C414" s="27">
        <f t="shared" si="5"/>
        <v>2023</v>
      </c>
      <c r="D414" s="28" t="s">
        <v>140</v>
      </c>
      <c r="E414" s="28" t="s">
        <v>141</v>
      </c>
      <c r="F414" s="28" t="s">
        <v>142</v>
      </c>
      <c r="G414" s="29" t="s">
        <v>143</v>
      </c>
      <c r="H414" s="29" t="s">
        <v>144</v>
      </c>
      <c r="I414" s="29" t="s">
        <v>230</v>
      </c>
      <c r="J414" s="29" t="s">
        <v>231</v>
      </c>
      <c r="K414" s="26" t="s">
        <v>149</v>
      </c>
      <c r="L414" s="28" t="s">
        <v>2920</v>
      </c>
      <c r="M414" s="31">
        <v>2011.0</v>
      </c>
      <c r="N414" s="31">
        <v>2010.0</v>
      </c>
      <c r="O414" s="31">
        <v>2012.0</v>
      </c>
      <c r="P414" s="28" t="s">
        <v>298</v>
      </c>
      <c r="Q414" s="32" t="s">
        <v>299</v>
      </c>
      <c r="R414" s="28" t="s">
        <v>154</v>
      </c>
      <c r="S414" s="32" t="s">
        <v>154</v>
      </c>
      <c r="T414" s="28" t="s">
        <v>300</v>
      </c>
      <c r="U414" s="28" t="s">
        <v>2921</v>
      </c>
      <c r="V414" s="26" t="s">
        <v>2922</v>
      </c>
      <c r="W414" s="28" t="s">
        <v>237</v>
      </c>
      <c r="X414" s="28" t="s">
        <v>238</v>
      </c>
      <c r="Y414" s="26" t="s">
        <v>2923</v>
      </c>
      <c r="Z414" s="26" t="s">
        <v>321</v>
      </c>
      <c r="AA414" s="26" t="s">
        <v>204</v>
      </c>
      <c r="AB414" s="26" t="s">
        <v>160</v>
      </c>
      <c r="AC414" s="28" t="s">
        <v>322</v>
      </c>
      <c r="AD414" s="28" t="s">
        <v>323</v>
      </c>
      <c r="AE414" s="29" t="s">
        <v>149</v>
      </c>
      <c r="AF414" s="26" t="s">
        <v>149</v>
      </c>
      <c r="AG414" s="33" t="s">
        <v>2924</v>
      </c>
      <c r="AH414" s="26" t="s">
        <v>233</v>
      </c>
      <c r="AI414" s="32" t="s">
        <v>209</v>
      </c>
      <c r="AJ414" s="28" t="s">
        <v>227</v>
      </c>
      <c r="AK414" s="11" t="s">
        <v>149</v>
      </c>
      <c r="AL414" s="11" t="s">
        <v>149</v>
      </c>
      <c r="AM414" s="11" t="s">
        <v>149</v>
      </c>
      <c r="AN414" s="28" t="s">
        <v>241</v>
      </c>
      <c r="AO414" s="28" t="s">
        <v>242</v>
      </c>
      <c r="AP414" s="26" t="s">
        <v>2925</v>
      </c>
      <c r="AQ414" s="38" t="s">
        <v>2926</v>
      </c>
      <c r="AR414" s="26" t="s">
        <v>2927</v>
      </c>
      <c r="AS414" s="11" t="s">
        <v>149</v>
      </c>
      <c r="AT414" s="11"/>
    </row>
    <row r="415">
      <c r="A415" s="36" t="s">
        <v>2928</v>
      </c>
      <c r="B415" s="26" t="str">
        <f t="shared" si="1"/>
        <v>2023-PH015505000-2015-0056</v>
      </c>
      <c r="C415" s="27">
        <f t="shared" si="5"/>
        <v>2023</v>
      </c>
      <c r="D415" s="28" t="s">
        <v>140</v>
      </c>
      <c r="E415" s="28" t="s">
        <v>141</v>
      </c>
      <c r="F415" s="28" t="s">
        <v>192</v>
      </c>
      <c r="G415" s="29" t="s">
        <v>143</v>
      </c>
      <c r="H415" s="29" t="s">
        <v>144</v>
      </c>
      <c r="I415" s="29" t="s">
        <v>230</v>
      </c>
      <c r="J415" s="29" t="s">
        <v>231</v>
      </c>
      <c r="K415" s="26" t="s">
        <v>149</v>
      </c>
      <c r="L415" s="48" t="s">
        <v>2929</v>
      </c>
      <c r="M415" s="31">
        <v>2015.0</v>
      </c>
      <c r="N415" s="31" t="s">
        <v>149</v>
      </c>
      <c r="O415" s="31" t="s">
        <v>149</v>
      </c>
      <c r="P415" s="28" t="s">
        <v>199</v>
      </c>
      <c r="Q415" s="32" t="s">
        <v>200</v>
      </c>
      <c r="R415" s="28" t="s">
        <v>154</v>
      </c>
      <c r="S415" s="32" t="s">
        <v>154</v>
      </c>
      <c r="T415" s="28" t="s">
        <v>154</v>
      </c>
      <c r="U415" s="28" t="s">
        <v>154</v>
      </c>
      <c r="V415" s="26" t="s">
        <v>2930</v>
      </c>
      <c r="W415" s="28" t="s">
        <v>237</v>
      </c>
      <c r="X415" s="32" t="s">
        <v>238</v>
      </c>
      <c r="Y415" s="28" t="s">
        <v>2931</v>
      </c>
      <c r="Z415" s="26" t="s">
        <v>149</v>
      </c>
      <c r="AA415" s="26" t="s">
        <v>149</v>
      </c>
      <c r="AB415" s="26" t="s">
        <v>149</v>
      </c>
      <c r="AC415" s="26" t="s">
        <v>149</v>
      </c>
      <c r="AD415" s="28" t="s">
        <v>149</v>
      </c>
      <c r="AE415" s="29" t="s">
        <v>149</v>
      </c>
      <c r="AF415" s="26" t="s">
        <v>149</v>
      </c>
      <c r="AG415" s="26" t="s">
        <v>2932</v>
      </c>
      <c r="AH415" s="26" t="s">
        <v>233</v>
      </c>
      <c r="AI415" s="32" t="s">
        <v>209</v>
      </c>
      <c r="AJ415" s="28" t="s">
        <v>227</v>
      </c>
      <c r="AK415" s="11" t="s">
        <v>149</v>
      </c>
      <c r="AL415" s="11" t="s">
        <v>149</v>
      </c>
      <c r="AM415" s="11" t="s">
        <v>149</v>
      </c>
      <c r="AN415" s="28" t="s">
        <v>241</v>
      </c>
      <c r="AO415" s="28" t="s">
        <v>242</v>
      </c>
      <c r="AP415" s="26" t="s">
        <v>2933</v>
      </c>
      <c r="AQ415" s="38" t="s">
        <v>2934</v>
      </c>
      <c r="AR415" s="26" t="s">
        <v>2935</v>
      </c>
      <c r="AS415" s="11" t="s">
        <v>149</v>
      </c>
      <c r="AT415" s="26"/>
    </row>
    <row r="416">
      <c r="A416" s="36" t="s">
        <v>2936</v>
      </c>
      <c r="B416" s="26" t="str">
        <f t="shared" si="1"/>
        <v>2023-PH015514000-1978-0059</v>
      </c>
      <c r="C416" s="27">
        <f t="shared" si="5"/>
        <v>2023</v>
      </c>
      <c r="D416" s="28" t="s">
        <v>140</v>
      </c>
      <c r="E416" s="28" t="s">
        <v>141</v>
      </c>
      <c r="F416" s="28" t="s">
        <v>142</v>
      </c>
      <c r="G416" s="29" t="s">
        <v>143</v>
      </c>
      <c r="H416" s="29" t="s">
        <v>144</v>
      </c>
      <c r="I416" s="29" t="s">
        <v>693</v>
      </c>
      <c r="J416" s="29" t="s">
        <v>694</v>
      </c>
      <c r="K416" s="26" t="s">
        <v>149</v>
      </c>
      <c r="L416" s="11" t="s">
        <v>149</v>
      </c>
      <c r="M416" s="31">
        <v>1978.0</v>
      </c>
      <c r="N416" s="49">
        <v>1978.0</v>
      </c>
      <c r="O416" s="49">
        <v>1978.0</v>
      </c>
      <c r="P416" s="28" t="s">
        <v>150</v>
      </c>
      <c r="Q416" s="32" t="s">
        <v>151</v>
      </c>
      <c r="R416" s="28" t="s">
        <v>386</v>
      </c>
      <c r="S416" s="28" t="s">
        <v>386</v>
      </c>
      <c r="T416" s="28" t="s">
        <v>154</v>
      </c>
      <c r="U416" s="28" t="s">
        <v>154</v>
      </c>
      <c r="V416" s="51" t="s">
        <v>2937</v>
      </c>
      <c r="W416" s="28" t="s">
        <v>237</v>
      </c>
      <c r="X416" s="28" t="s">
        <v>238</v>
      </c>
      <c r="Y416" s="26" t="s">
        <v>699</v>
      </c>
      <c r="Z416" s="26" t="s">
        <v>2111</v>
      </c>
      <c r="AA416" s="32" t="s">
        <v>204</v>
      </c>
      <c r="AB416" s="28" t="s">
        <v>205</v>
      </c>
      <c r="AC416" s="26" t="s">
        <v>206</v>
      </c>
      <c r="AD416" s="28" t="s">
        <v>207</v>
      </c>
      <c r="AE416" s="29" t="s">
        <v>149</v>
      </c>
      <c r="AF416" s="26" t="s">
        <v>149</v>
      </c>
      <c r="AG416" s="26" t="s">
        <v>2938</v>
      </c>
      <c r="AH416" s="26" t="s">
        <v>233</v>
      </c>
      <c r="AI416" s="32" t="s">
        <v>209</v>
      </c>
      <c r="AJ416" s="28" t="s">
        <v>227</v>
      </c>
      <c r="AK416" s="28" t="s">
        <v>2111</v>
      </c>
      <c r="AL416" s="28" t="s">
        <v>149</v>
      </c>
      <c r="AM416" s="28" t="s">
        <v>149</v>
      </c>
      <c r="AN416" s="28" t="s">
        <v>241</v>
      </c>
      <c r="AO416" s="26" t="s">
        <v>395</v>
      </c>
      <c r="AP416" s="28" t="s">
        <v>396</v>
      </c>
      <c r="AQ416" s="28" t="s">
        <v>2939</v>
      </c>
      <c r="AR416" s="26" t="s">
        <v>398</v>
      </c>
      <c r="AS416" s="11" t="s">
        <v>149</v>
      </c>
      <c r="AT416" s="26"/>
    </row>
    <row r="417">
      <c r="A417" s="36" t="s">
        <v>2940</v>
      </c>
      <c r="B417" s="26" t="str">
        <f t="shared" si="1"/>
        <v>2023-PH015514000-1980-0063</v>
      </c>
      <c r="C417" s="27">
        <f t="shared" si="5"/>
        <v>2023</v>
      </c>
      <c r="D417" s="28" t="s">
        <v>140</v>
      </c>
      <c r="E417" s="28" t="s">
        <v>141</v>
      </c>
      <c r="F417" s="28" t="s">
        <v>142</v>
      </c>
      <c r="G417" s="29" t="s">
        <v>143</v>
      </c>
      <c r="H417" s="29" t="s">
        <v>144</v>
      </c>
      <c r="I417" s="29" t="s">
        <v>693</v>
      </c>
      <c r="J417" s="29" t="s">
        <v>694</v>
      </c>
      <c r="K417" s="26" t="s">
        <v>149</v>
      </c>
      <c r="L417" s="26" t="s">
        <v>2941</v>
      </c>
      <c r="M417" s="31">
        <v>1980.0</v>
      </c>
      <c r="N417" s="31">
        <v>1980.0</v>
      </c>
      <c r="O417" s="31">
        <v>1982.0</v>
      </c>
      <c r="P417" s="28" t="s">
        <v>177</v>
      </c>
      <c r="Q417" s="32" t="s">
        <v>178</v>
      </c>
      <c r="R417" s="28" t="s">
        <v>154</v>
      </c>
      <c r="S417" s="32" t="s">
        <v>154</v>
      </c>
      <c r="T417" s="28" t="s">
        <v>154</v>
      </c>
      <c r="U417" s="28" t="s">
        <v>154</v>
      </c>
      <c r="V417" s="26" t="s">
        <v>179</v>
      </c>
      <c r="W417" s="28" t="s">
        <v>237</v>
      </c>
      <c r="X417" s="32" t="s">
        <v>238</v>
      </c>
      <c r="Y417" s="28" t="s">
        <v>2942</v>
      </c>
      <c r="Z417" s="26" t="s">
        <v>149</v>
      </c>
      <c r="AA417" s="26" t="s">
        <v>204</v>
      </c>
      <c r="AB417" s="26" t="s">
        <v>149</v>
      </c>
      <c r="AC417" s="26" t="s">
        <v>149</v>
      </c>
      <c r="AD417" s="28" t="s">
        <v>149</v>
      </c>
      <c r="AE417" s="29" t="s">
        <v>149</v>
      </c>
      <c r="AF417" s="26" t="s">
        <v>149</v>
      </c>
      <c r="AG417" s="26" t="s">
        <v>149</v>
      </c>
      <c r="AH417" s="26" t="s">
        <v>233</v>
      </c>
      <c r="AI417" s="32" t="s">
        <v>209</v>
      </c>
      <c r="AJ417" s="28" t="s">
        <v>227</v>
      </c>
      <c r="AK417" s="11" t="s">
        <v>149</v>
      </c>
      <c r="AL417" s="11" t="s">
        <v>149</v>
      </c>
      <c r="AM417" s="11" t="s">
        <v>149</v>
      </c>
      <c r="AN417" s="28" t="s">
        <v>241</v>
      </c>
      <c r="AO417" s="28" t="s">
        <v>242</v>
      </c>
      <c r="AP417" s="26" t="s">
        <v>2943</v>
      </c>
      <c r="AQ417" s="38" t="s">
        <v>2944</v>
      </c>
      <c r="AR417" s="26" t="s">
        <v>1068</v>
      </c>
      <c r="AS417" s="11" t="s">
        <v>149</v>
      </c>
      <c r="AT417" s="26"/>
    </row>
    <row r="418">
      <c r="A418" s="36" t="s">
        <v>2945</v>
      </c>
      <c r="B418" s="26" t="str">
        <f t="shared" si="1"/>
        <v>2023-PH015514000-1983-0064</v>
      </c>
      <c r="C418" s="27">
        <f t="shared" si="5"/>
        <v>2023</v>
      </c>
      <c r="D418" s="28" t="s">
        <v>140</v>
      </c>
      <c r="E418" s="28" t="s">
        <v>141</v>
      </c>
      <c r="F418" s="28" t="s">
        <v>142</v>
      </c>
      <c r="G418" s="29" t="s">
        <v>143</v>
      </c>
      <c r="H418" s="29" t="s">
        <v>144</v>
      </c>
      <c r="I418" s="29" t="s">
        <v>693</v>
      </c>
      <c r="J418" s="29" t="s">
        <v>694</v>
      </c>
      <c r="K418" s="26" t="s">
        <v>149</v>
      </c>
      <c r="L418" s="28" t="s">
        <v>2946</v>
      </c>
      <c r="M418" s="31">
        <v>1983.0</v>
      </c>
      <c r="N418" s="31">
        <v>1983.0</v>
      </c>
      <c r="O418" s="31">
        <v>1984.0</v>
      </c>
      <c r="P418" s="28" t="s">
        <v>177</v>
      </c>
      <c r="Q418" s="32" t="s">
        <v>178</v>
      </c>
      <c r="R418" s="28" t="s">
        <v>154</v>
      </c>
      <c r="S418" s="32" t="s">
        <v>154</v>
      </c>
      <c r="T418" s="28" t="s">
        <v>154</v>
      </c>
      <c r="U418" s="28" t="s">
        <v>154</v>
      </c>
      <c r="V418" s="26" t="s">
        <v>179</v>
      </c>
      <c r="W418" s="28" t="s">
        <v>237</v>
      </c>
      <c r="X418" s="28" t="s">
        <v>238</v>
      </c>
      <c r="Y418" s="26" t="s">
        <v>2947</v>
      </c>
      <c r="Z418" s="26" t="s">
        <v>321</v>
      </c>
      <c r="AA418" s="26" t="s">
        <v>204</v>
      </c>
      <c r="AB418" s="26" t="s">
        <v>160</v>
      </c>
      <c r="AC418" s="28" t="s">
        <v>322</v>
      </c>
      <c r="AD418" s="28" t="s">
        <v>323</v>
      </c>
      <c r="AE418" s="29" t="s">
        <v>149</v>
      </c>
      <c r="AF418" s="26" t="s">
        <v>149</v>
      </c>
      <c r="AG418" s="26" t="s">
        <v>149</v>
      </c>
      <c r="AH418" s="26" t="s">
        <v>233</v>
      </c>
      <c r="AI418" s="32" t="s">
        <v>209</v>
      </c>
      <c r="AJ418" s="28" t="s">
        <v>227</v>
      </c>
      <c r="AK418" s="11" t="s">
        <v>149</v>
      </c>
      <c r="AL418" s="11" t="s">
        <v>149</v>
      </c>
      <c r="AM418" s="11" t="s">
        <v>149</v>
      </c>
      <c r="AN418" s="28" t="s">
        <v>241</v>
      </c>
      <c r="AO418" s="28" t="s">
        <v>242</v>
      </c>
      <c r="AP418" s="26" t="s">
        <v>2948</v>
      </c>
      <c r="AQ418" s="38" t="s">
        <v>2949</v>
      </c>
      <c r="AR418" s="26" t="s">
        <v>1068</v>
      </c>
      <c r="AS418" s="11" t="s">
        <v>149</v>
      </c>
      <c r="AT418" s="26"/>
    </row>
    <row r="419">
      <c r="A419" s="36" t="s">
        <v>2950</v>
      </c>
      <c r="B419" s="26" t="str">
        <f t="shared" si="1"/>
        <v>2023-PH015514000-1996-0065</v>
      </c>
      <c r="C419" s="27">
        <f t="shared" si="5"/>
        <v>2023</v>
      </c>
      <c r="D419" s="28" t="s">
        <v>140</v>
      </c>
      <c r="E419" s="28" t="s">
        <v>141</v>
      </c>
      <c r="F419" s="28" t="s">
        <v>192</v>
      </c>
      <c r="G419" s="29" t="s">
        <v>143</v>
      </c>
      <c r="H419" s="29" t="s">
        <v>144</v>
      </c>
      <c r="I419" s="29" t="s">
        <v>693</v>
      </c>
      <c r="J419" s="29" t="s">
        <v>694</v>
      </c>
      <c r="K419" s="26" t="s">
        <v>149</v>
      </c>
      <c r="L419" s="28" t="s">
        <v>2951</v>
      </c>
      <c r="M419" s="31">
        <v>1996.0</v>
      </c>
      <c r="N419" s="31">
        <v>1996.0</v>
      </c>
      <c r="O419" s="31">
        <v>1998.0</v>
      </c>
      <c r="P419" s="28" t="s">
        <v>177</v>
      </c>
      <c r="Q419" s="32" t="s">
        <v>178</v>
      </c>
      <c r="R419" s="28" t="s">
        <v>154</v>
      </c>
      <c r="S419" s="32" t="s">
        <v>154</v>
      </c>
      <c r="T419" s="28" t="s">
        <v>154</v>
      </c>
      <c r="U419" s="28" t="s">
        <v>154</v>
      </c>
      <c r="V419" s="26" t="s">
        <v>179</v>
      </c>
      <c r="W419" s="28" t="s">
        <v>237</v>
      </c>
      <c r="X419" s="32" t="s">
        <v>238</v>
      </c>
      <c r="Y419" s="26" t="s">
        <v>2952</v>
      </c>
      <c r="Z419" s="26" t="s">
        <v>2953</v>
      </c>
      <c r="AA419" s="26" t="s">
        <v>204</v>
      </c>
      <c r="AB419" s="28" t="s">
        <v>205</v>
      </c>
      <c r="AC419" s="26" t="s">
        <v>206</v>
      </c>
      <c r="AD419" s="28" t="s">
        <v>207</v>
      </c>
      <c r="AE419" s="29" t="s">
        <v>149</v>
      </c>
      <c r="AF419" s="26" t="s">
        <v>149</v>
      </c>
      <c r="AG419" s="26" t="s">
        <v>149</v>
      </c>
      <c r="AH419" s="26" t="s">
        <v>233</v>
      </c>
      <c r="AI419" s="32" t="s">
        <v>209</v>
      </c>
      <c r="AJ419" s="28" t="s">
        <v>227</v>
      </c>
      <c r="AK419" s="11" t="s">
        <v>149</v>
      </c>
      <c r="AL419" s="11" t="s">
        <v>149</v>
      </c>
      <c r="AM419" s="11" t="s">
        <v>149</v>
      </c>
      <c r="AN419" s="28" t="s">
        <v>241</v>
      </c>
      <c r="AO419" s="28" t="s">
        <v>242</v>
      </c>
      <c r="AP419" s="26" t="s">
        <v>2954</v>
      </c>
      <c r="AQ419" s="39" t="s">
        <v>2955</v>
      </c>
      <c r="AR419" s="26" t="s">
        <v>1068</v>
      </c>
      <c r="AS419" s="11" t="s">
        <v>149</v>
      </c>
      <c r="AT419" s="11"/>
    </row>
    <row r="420">
      <c r="A420" s="36" t="s">
        <v>2956</v>
      </c>
      <c r="B420" s="26" t="str">
        <f t="shared" si="1"/>
        <v>2023-PH015514000-1998-0066</v>
      </c>
      <c r="C420" s="27">
        <f t="shared" si="5"/>
        <v>2023</v>
      </c>
      <c r="D420" s="28" t="s">
        <v>140</v>
      </c>
      <c r="E420" s="28" t="s">
        <v>141</v>
      </c>
      <c r="F420" s="28" t="s">
        <v>192</v>
      </c>
      <c r="G420" s="29" t="s">
        <v>143</v>
      </c>
      <c r="H420" s="29" t="s">
        <v>144</v>
      </c>
      <c r="I420" s="29" t="s">
        <v>693</v>
      </c>
      <c r="J420" s="29" t="s">
        <v>694</v>
      </c>
      <c r="K420" s="26" t="s">
        <v>149</v>
      </c>
      <c r="L420" s="26" t="s">
        <v>2957</v>
      </c>
      <c r="M420" s="31">
        <v>1998.0</v>
      </c>
      <c r="N420" s="31">
        <v>1998.0</v>
      </c>
      <c r="O420" s="31">
        <v>1998.0</v>
      </c>
      <c r="P420" s="28" t="s">
        <v>177</v>
      </c>
      <c r="Q420" s="32" t="s">
        <v>178</v>
      </c>
      <c r="R420" s="28" t="s">
        <v>154</v>
      </c>
      <c r="S420" s="32" t="s">
        <v>154</v>
      </c>
      <c r="T420" s="28" t="s">
        <v>154</v>
      </c>
      <c r="U420" s="28" t="s">
        <v>154</v>
      </c>
      <c r="V420" s="26" t="s">
        <v>2958</v>
      </c>
      <c r="W420" s="28" t="s">
        <v>237</v>
      </c>
      <c r="X420" s="28" t="s">
        <v>238</v>
      </c>
      <c r="Y420" s="26" t="s">
        <v>2959</v>
      </c>
      <c r="Z420" s="26" t="s">
        <v>149</v>
      </c>
      <c r="AA420" s="26" t="s">
        <v>149</v>
      </c>
      <c r="AB420" s="26" t="s">
        <v>149</v>
      </c>
      <c r="AC420" s="26" t="s">
        <v>149</v>
      </c>
      <c r="AD420" s="28" t="s">
        <v>149</v>
      </c>
      <c r="AE420" s="29" t="s">
        <v>149</v>
      </c>
      <c r="AF420" s="26" t="s">
        <v>149</v>
      </c>
      <c r="AG420" s="26" t="s">
        <v>149</v>
      </c>
      <c r="AH420" s="26" t="s">
        <v>233</v>
      </c>
      <c r="AI420" s="32" t="s">
        <v>209</v>
      </c>
      <c r="AJ420" s="28" t="s">
        <v>227</v>
      </c>
      <c r="AK420" s="11" t="s">
        <v>149</v>
      </c>
      <c r="AL420" s="11" t="s">
        <v>149</v>
      </c>
      <c r="AM420" s="11" t="s">
        <v>149</v>
      </c>
      <c r="AN420" s="28" t="s">
        <v>241</v>
      </c>
      <c r="AO420" s="28" t="s">
        <v>242</v>
      </c>
      <c r="AP420" s="26" t="s">
        <v>2960</v>
      </c>
      <c r="AQ420" s="39" t="s">
        <v>2961</v>
      </c>
      <c r="AR420" s="26" t="s">
        <v>1068</v>
      </c>
      <c r="AS420" s="11" t="s">
        <v>149</v>
      </c>
      <c r="AT420" s="11"/>
    </row>
    <row r="421">
      <c r="A421" s="36" t="s">
        <v>2962</v>
      </c>
      <c r="B421" s="26" t="str">
        <f t="shared" si="1"/>
        <v>2023-PH015514000-2004-0069</v>
      </c>
      <c r="C421" s="27">
        <f t="shared" si="5"/>
        <v>2023</v>
      </c>
      <c r="D421" s="28" t="s">
        <v>140</v>
      </c>
      <c r="E421" s="28" t="s">
        <v>141</v>
      </c>
      <c r="F421" s="28" t="s">
        <v>192</v>
      </c>
      <c r="G421" s="29" t="s">
        <v>143</v>
      </c>
      <c r="H421" s="29" t="s">
        <v>144</v>
      </c>
      <c r="I421" s="29" t="s">
        <v>693</v>
      </c>
      <c r="J421" s="29" t="s">
        <v>694</v>
      </c>
      <c r="K421" s="26" t="s">
        <v>149</v>
      </c>
      <c r="L421" s="28" t="s">
        <v>2963</v>
      </c>
      <c r="M421" s="31">
        <v>2004.0</v>
      </c>
      <c r="N421" s="31">
        <v>2004.0</v>
      </c>
      <c r="O421" s="31">
        <v>2004.0</v>
      </c>
      <c r="P421" s="28" t="s">
        <v>298</v>
      </c>
      <c r="Q421" s="32" t="s">
        <v>299</v>
      </c>
      <c r="R421" s="28" t="s">
        <v>154</v>
      </c>
      <c r="S421" s="32" t="s">
        <v>154</v>
      </c>
      <c r="T421" s="28" t="s">
        <v>300</v>
      </c>
      <c r="U421" s="28" t="s">
        <v>154</v>
      </c>
      <c r="V421" s="26" t="s">
        <v>2964</v>
      </c>
      <c r="W421" s="28" t="s">
        <v>237</v>
      </c>
      <c r="X421" s="32" t="s">
        <v>238</v>
      </c>
      <c r="Y421" s="26" t="s">
        <v>2965</v>
      </c>
      <c r="Z421" s="26" t="s">
        <v>2966</v>
      </c>
      <c r="AA421" s="26" t="s">
        <v>204</v>
      </c>
      <c r="AB421" s="26" t="s">
        <v>160</v>
      </c>
      <c r="AC421" s="26" t="s">
        <v>184</v>
      </c>
      <c r="AD421" s="28" t="s">
        <v>184</v>
      </c>
      <c r="AE421" s="29" t="s">
        <v>149</v>
      </c>
      <c r="AF421" s="26" t="s">
        <v>149</v>
      </c>
      <c r="AG421" s="26" t="s">
        <v>2967</v>
      </c>
      <c r="AH421" s="26" t="s">
        <v>233</v>
      </c>
      <c r="AI421" s="32" t="s">
        <v>209</v>
      </c>
      <c r="AJ421" s="28" t="s">
        <v>227</v>
      </c>
      <c r="AK421" s="11" t="s">
        <v>149</v>
      </c>
      <c r="AL421" s="11" t="s">
        <v>149</v>
      </c>
      <c r="AM421" s="11" t="s">
        <v>149</v>
      </c>
      <c r="AN421" s="28" t="s">
        <v>241</v>
      </c>
      <c r="AO421" s="28" t="s">
        <v>242</v>
      </c>
      <c r="AP421" s="26" t="s">
        <v>2968</v>
      </c>
      <c r="AQ421" s="38" t="s">
        <v>2969</v>
      </c>
      <c r="AR421" s="26" t="s">
        <v>2970</v>
      </c>
      <c r="AS421" s="11" t="s">
        <v>149</v>
      </c>
      <c r="AT421" s="11"/>
    </row>
    <row r="422">
      <c r="A422" s="36" t="s">
        <v>2971</v>
      </c>
      <c r="B422" s="26" t="str">
        <f t="shared" si="1"/>
        <v>2023-PH015514000-2018-0070</v>
      </c>
      <c r="C422" s="27">
        <f t="shared" si="5"/>
        <v>2023</v>
      </c>
      <c r="D422" s="28" t="s">
        <v>140</v>
      </c>
      <c r="E422" s="28" t="s">
        <v>141</v>
      </c>
      <c r="F422" s="28" t="s">
        <v>192</v>
      </c>
      <c r="G422" s="29" t="s">
        <v>143</v>
      </c>
      <c r="H422" s="29" t="s">
        <v>144</v>
      </c>
      <c r="I422" s="29" t="s">
        <v>693</v>
      </c>
      <c r="J422" s="29" t="s">
        <v>694</v>
      </c>
      <c r="K422" s="26" t="s">
        <v>149</v>
      </c>
      <c r="L422" s="28" t="s">
        <v>2972</v>
      </c>
      <c r="M422" s="31">
        <v>2018.0</v>
      </c>
      <c r="N422" s="31">
        <v>2018.0</v>
      </c>
      <c r="O422" s="31">
        <v>2018.0</v>
      </c>
      <c r="P422" s="28" t="s">
        <v>298</v>
      </c>
      <c r="Q422" s="32" t="s">
        <v>200</v>
      </c>
      <c r="R422" s="28" t="s">
        <v>154</v>
      </c>
      <c r="S422" s="32" t="s">
        <v>154</v>
      </c>
      <c r="T422" s="28" t="s">
        <v>154</v>
      </c>
      <c r="U422" s="28" t="s">
        <v>154</v>
      </c>
      <c r="V422" s="28" t="s">
        <v>149</v>
      </c>
      <c r="W422" s="28" t="s">
        <v>237</v>
      </c>
      <c r="X422" s="28" t="s">
        <v>238</v>
      </c>
      <c r="Y422" s="26" t="s">
        <v>2973</v>
      </c>
      <c r="Z422" s="26" t="s">
        <v>2974</v>
      </c>
      <c r="AA422" s="26" t="s">
        <v>204</v>
      </c>
      <c r="AB422" s="26" t="s">
        <v>160</v>
      </c>
      <c r="AC422" s="26" t="s">
        <v>209</v>
      </c>
      <c r="AD422" s="28" t="s">
        <v>227</v>
      </c>
      <c r="AE422" s="29" t="s">
        <v>149</v>
      </c>
      <c r="AF422" s="26" t="s">
        <v>149</v>
      </c>
      <c r="AG422" s="26" t="s">
        <v>149</v>
      </c>
      <c r="AH422" s="26" t="s">
        <v>233</v>
      </c>
      <c r="AI422" s="32" t="s">
        <v>209</v>
      </c>
      <c r="AJ422" s="28" t="s">
        <v>227</v>
      </c>
      <c r="AK422" s="26" t="s">
        <v>321</v>
      </c>
      <c r="AL422" s="11" t="s">
        <v>149</v>
      </c>
      <c r="AM422" s="11" t="s">
        <v>149</v>
      </c>
      <c r="AN422" s="28" t="s">
        <v>241</v>
      </c>
      <c r="AO422" s="28" t="s">
        <v>242</v>
      </c>
      <c r="AP422" s="26" t="s">
        <v>2975</v>
      </c>
      <c r="AQ422" s="38" t="s">
        <v>2976</v>
      </c>
      <c r="AR422" s="26" t="s">
        <v>2977</v>
      </c>
      <c r="AS422" s="11" t="s">
        <v>149</v>
      </c>
      <c r="AT422" s="11"/>
    </row>
    <row r="423">
      <c r="A423" s="36" t="s">
        <v>2978</v>
      </c>
      <c r="B423" s="26" t="str">
        <f t="shared" si="1"/>
        <v>2023-PH015514000-2005-0071</v>
      </c>
      <c r="C423" s="27">
        <f t="shared" si="5"/>
        <v>2023</v>
      </c>
      <c r="D423" s="28" t="s">
        <v>140</v>
      </c>
      <c r="E423" s="28" t="s">
        <v>141</v>
      </c>
      <c r="F423" s="28" t="s">
        <v>192</v>
      </c>
      <c r="G423" s="29" t="s">
        <v>143</v>
      </c>
      <c r="H423" s="29" t="s">
        <v>144</v>
      </c>
      <c r="I423" s="29" t="s">
        <v>693</v>
      </c>
      <c r="J423" s="29" t="s">
        <v>694</v>
      </c>
      <c r="K423" s="26" t="s">
        <v>149</v>
      </c>
      <c r="L423" s="70" t="s">
        <v>2979</v>
      </c>
      <c r="M423" s="31">
        <v>2005.0</v>
      </c>
      <c r="N423" s="31">
        <v>2005.0</v>
      </c>
      <c r="O423" s="31">
        <v>2006.0</v>
      </c>
      <c r="P423" s="28" t="s">
        <v>177</v>
      </c>
      <c r="Q423" s="32" t="s">
        <v>178</v>
      </c>
      <c r="R423" s="28" t="s">
        <v>154</v>
      </c>
      <c r="S423" s="32" t="s">
        <v>154</v>
      </c>
      <c r="T423" s="28" t="s">
        <v>154</v>
      </c>
      <c r="U423" s="28" t="s">
        <v>154</v>
      </c>
      <c r="V423" s="26" t="s">
        <v>2980</v>
      </c>
      <c r="W423" s="28" t="s">
        <v>237</v>
      </c>
      <c r="X423" s="32" t="s">
        <v>238</v>
      </c>
      <c r="Y423" s="26" t="s">
        <v>2981</v>
      </c>
      <c r="Z423" s="26" t="s">
        <v>2982</v>
      </c>
      <c r="AA423" s="26" t="s">
        <v>204</v>
      </c>
      <c r="AB423" s="28" t="s">
        <v>205</v>
      </c>
      <c r="AC423" s="26" t="s">
        <v>206</v>
      </c>
      <c r="AD423" s="28" t="s">
        <v>207</v>
      </c>
      <c r="AE423" s="29" t="s">
        <v>149</v>
      </c>
      <c r="AF423" s="26" t="s">
        <v>149</v>
      </c>
      <c r="AG423" s="33" t="s">
        <v>2983</v>
      </c>
      <c r="AH423" s="26" t="s">
        <v>233</v>
      </c>
      <c r="AI423" s="32" t="s">
        <v>209</v>
      </c>
      <c r="AJ423" s="28" t="s">
        <v>227</v>
      </c>
      <c r="AK423" s="11" t="s">
        <v>149</v>
      </c>
      <c r="AL423" s="11" t="s">
        <v>149</v>
      </c>
      <c r="AM423" s="11" t="s">
        <v>149</v>
      </c>
      <c r="AN423" s="28" t="s">
        <v>241</v>
      </c>
      <c r="AO423" s="28" t="s">
        <v>242</v>
      </c>
      <c r="AP423" s="26" t="s">
        <v>2984</v>
      </c>
      <c r="AQ423" s="38" t="s">
        <v>2985</v>
      </c>
      <c r="AR423" s="26" t="s">
        <v>2986</v>
      </c>
      <c r="AS423" s="11" t="s">
        <v>149</v>
      </c>
      <c r="AT423" s="26"/>
    </row>
    <row r="424">
      <c r="A424" s="36" t="s">
        <v>2987</v>
      </c>
      <c r="B424" s="26" t="str">
        <f t="shared" si="1"/>
        <v>2023-PH015514000-2010-0078</v>
      </c>
      <c r="C424" s="27">
        <f t="shared" si="5"/>
        <v>2023</v>
      </c>
      <c r="D424" s="28" t="s">
        <v>140</v>
      </c>
      <c r="E424" s="28" t="s">
        <v>141</v>
      </c>
      <c r="F424" s="28" t="s">
        <v>142</v>
      </c>
      <c r="G424" s="29" t="s">
        <v>143</v>
      </c>
      <c r="H424" s="29" t="s">
        <v>144</v>
      </c>
      <c r="I424" s="29" t="s">
        <v>693</v>
      </c>
      <c r="J424" s="29" t="s">
        <v>694</v>
      </c>
      <c r="K424" s="26" t="s">
        <v>149</v>
      </c>
      <c r="L424" s="28" t="s">
        <v>2988</v>
      </c>
      <c r="M424" s="31">
        <v>2010.0</v>
      </c>
      <c r="N424" s="31">
        <v>2010.0</v>
      </c>
      <c r="O424" s="31">
        <v>2010.0</v>
      </c>
      <c r="P424" s="28" t="s">
        <v>2989</v>
      </c>
      <c r="Q424" s="32" t="s">
        <v>2990</v>
      </c>
      <c r="R424" s="28" t="s">
        <v>154</v>
      </c>
      <c r="S424" s="32" t="s">
        <v>154</v>
      </c>
      <c r="T424" s="11" t="s">
        <v>154</v>
      </c>
      <c r="U424" s="28" t="s">
        <v>154</v>
      </c>
      <c r="V424" s="28" t="s">
        <v>2991</v>
      </c>
      <c r="W424" s="28" t="s">
        <v>237</v>
      </c>
      <c r="X424" s="28" t="s">
        <v>238</v>
      </c>
      <c r="Y424" s="26" t="s">
        <v>2992</v>
      </c>
      <c r="Z424" s="26" t="s">
        <v>321</v>
      </c>
      <c r="AA424" s="26" t="s">
        <v>204</v>
      </c>
      <c r="AB424" s="26" t="s">
        <v>160</v>
      </c>
      <c r="AC424" s="28" t="s">
        <v>322</v>
      </c>
      <c r="AD424" s="28" t="s">
        <v>323</v>
      </c>
      <c r="AE424" s="29" t="s">
        <v>149</v>
      </c>
      <c r="AF424" s="26" t="s">
        <v>149</v>
      </c>
      <c r="AG424" s="26" t="s">
        <v>149</v>
      </c>
      <c r="AH424" s="26" t="s">
        <v>233</v>
      </c>
      <c r="AI424" s="32" t="s">
        <v>209</v>
      </c>
      <c r="AJ424" s="28" t="s">
        <v>227</v>
      </c>
      <c r="AK424" s="11" t="s">
        <v>149</v>
      </c>
      <c r="AL424" s="11" t="s">
        <v>149</v>
      </c>
      <c r="AM424" s="11" t="s">
        <v>149</v>
      </c>
      <c r="AN424" s="28" t="s">
        <v>241</v>
      </c>
      <c r="AO424" s="28" t="s">
        <v>242</v>
      </c>
      <c r="AP424" s="26" t="s">
        <v>2993</v>
      </c>
      <c r="AQ424" s="38" t="s">
        <v>2994</v>
      </c>
      <c r="AR424" s="26" t="s">
        <v>1061</v>
      </c>
      <c r="AS424" s="11" t="s">
        <v>149</v>
      </c>
      <c r="AT424" s="11"/>
    </row>
    <row r="425">
      <c r="A425" s="36" t="s">
        <v>2995</v>
      </c>
      <c r="B425" s="26" t="str">
        <f t="shared" si="1"/>
        <v>2023-PH015514000-2010-0079</v>
      </c>
      <c r="C425" s="27">
        <f t="shared" si="5"/>
        <v>2023</v>
      </c>
      <c r="D425" s="28" t="s">
        <v>140</v>
      </c>
      <c r="E425" s="28" t="s">
        <v>141</v>
      </c>
      <c r="F425" s="28" t="s">
        <v>192</v>
      </c>
      <c r="G425" s="29" t="s">
        <v>143</v>
      </c>
      <c r="H425" s="29" t="s">
        <v>144</v>
      </c>
      <c r="I425" s="29" t="s">
        <v>693</v>
      </c>
      <c r="J425" s="29" t="s">
        <v>694</v>
      </c>
      <c r="K425" s="26" t="s">
        <v>149</v>
      </c>
      <c r="L425" s="28" t="s">
        <v>2996</v>
      </c>
      <c r="M425" s="31">
        <v>2010.0</v>
      </c>
      <c r="N425" s="31">
        <v>2010.0</v>
      </c>
      <c r="O425" s="31">
        <v>2012.0</v>
      </c>
      <c r="P425" s="28" t="s">
        <v>177</v>
      </c>
      <c r="Q425" s="32" t="s">
        <v>178</v>
      </c>
      <c r="R425" s="28" t="s">
        <v>154</v>
      </c>
      <c r="S425" s="32" t="s">
        <v>154</v>
      </c>
      <c r="T425" s="28" t="s">
        <v>154</v>
      </c>
      <c r="U425" s="28" t="s">
        <v>154</v>
      </c>
      <c r="V425" s="26" t="s">
        <v>179</v>
      </c>
      <c r="W425" s="28" t="s">
        <v>237</v>
      </c>
      <c r="X425" s="109" t="s">
        <v>238</v>
      </c>
      <c r="Y425" s="26" t="s">
        <v>2997</v>
      </c>
      <c r="Z425" s="26" t="s">
        <v>321</v>
      </c>
      <c r="AA425" s="26" t="s">
        <v>204</v>
      </c>
      <c r="AB425" s="26" t="s">
        <v>160</v>
      </c>
      <c r="AC425" s="28" t="s">
        <v>322</v>
      </c>
      <c r="AD425" s="28" t="s">
        <v>323</v>
      </c>
      <c r="AE425" s="29" t="s">
        <v>149</v>
      </c>
      <c r="AF425" s="26" t="s">
        <v>149</v>
      </c>
      <c r="AG425" s="26" t="s">
        <v>2998</v>
      </c>
      <c r="AH425" s="26" t="s">
        <v>233</v>
      </c>
      <c r="AI425" s="32" t="s">
        <v>209</v>
      </c>
      <c r="AJ425" s="28" t="s">
        <v>227</v>
      </c>
      <c r="AK425" s="26" t="s">
        <v>2999</v>
      </c>
      <c r="AL425" s="11" t="s">
        <v>149</v>
      </c>
      <c r="AM425" s="11" t="s">
        <v>149</v>
      </c>
      <c r="AN425" s="28" t="s">
        <v>241</v>
      </c>
      <c r="AO425" s="28" t="s">
        <v>242</v>
      </c>
      <c r="AP425" s="26" t="s">
        <v>3000</v>
      </c>
      <c r="AQ425" s="38" t="s">
        <v>3001</v>
      </c>
      <c r="AR425" s="26" t="s">
        <v>245</v>
      </c>
      <c r="AS425" s="11" t="s">
        <v>149</v>
      </c>
      <c r="AT425" s="11"/>
    </row>
    <row r="426">
      <c r="A426" s="36" t="s">
        <v>3002</v>
      </c>
      <c r="B426" s="26" t="str">
        <f t="shared" si="1"/>
        <v>2023-PH015514000-2015-0082</v>
      </c>
      <c r="C426" s="27">
        <f t="shared" si="5"/>
        <v>2023</v>
      </c>
      <c r="D426" s="28" t="s">
        <v>140</v>
      </c>
      <c r="E426" s="28" t="s">
        <v>141</v>
      </c>
      <c r="F426" s="28" t="s">
        <v>142</v>
      </c>
      <c r="G426" s="29" t="s">
        <v>143</v>
      </c>
      <c r="H426" s="29" t="s">
        <v>144</v>
      </c>
      <c r="I426" s="29" t="s">
        <v>693</v>
      </c>
      <c r="J426" s="29" t="s">
        <v>694</v>
      </c>
      <c r="K426" s="26" t="s">
        <v>149</v>
      </c>
      <c r="L426" s="28" t="s">
        <v>3003</v>
      </c>
      <c r="M426" s="31">
        <v>2015.0</v>
      </c>
      <c r="N426" s="31">
        <v>2015.0</v>
      </c>
      <c r="O426" s="31">
        <v>2015.0</v>
      </c>
      <c r="P426" s="28" t="s">
        <v>199</v>
      </c>
      <c r="Q426" s="32" t="s">
        <v>200</v>
      </c>
      <c r="R426" s="28" t="s">
        <v>154</v>
      </c>
      <c r="S426" s="32" t="s">
        <v>154</v>
      </c>
      <c r="T426" s="28" t="s">
        <v>154</v>
      </c>
      <c r="U426" s="28" t="s">
        <v>154</v>
      </c>
      <c r="V426" s="26" t="s">
        <v>3004</v>
      </c>
      <c r="W426" s="28" t="s">
        <v>237</v>
      </c>
      <c r="X426" s="32" t="s">
        <v>238</v>
      </c>
      <c r="Y426" s="26" t="s">
        <v>3005</v>
      </c>
      <c r="Z426" s="26" t="s">
        <v>233</v>
      </c>
      <c r="AA426" s="26" t="s">
        <v>204</v>
      </c>
      <c r="AB426" s="26" t="s">
        <v>160</v>
      </c>
      <c r="AC426" s="26" t="s">
        <v>209</v>
      </c>
      <c r="AD426" s="28" t="s">
        <v>227</v>
      </c>
      <c r="AE426" s="29" t="s">
        <v>149</v>
      </c>
      <c r="AF426" s="26" t="s">
        <v>149</v>
      </c>
      <c r="AG426" s="26" t="s">
        <v>149</v>
      </c>
      <c r="AH426" s="26" t="s">
        <v>233</v>
      </c>
      <c r="AI426" s="32" t="s">
        <v>209</v>
      </c>
      <c r="AJ426" s="28" t="s">
        <v>227</v>
      </c>
      <c r="AK426" s="11" t="s">
        <v>149</v>
      </c>
      <c r="AL426" s="11" t="s">
        <v>149</v>
      </c>
      <c r="AM426" s="11" t="s">
        <v>149</v>
      </c>
      <c r="AN426" s="28" t="s">
        <v>241</v>
      </c>
      <c r="AO426" s="28" t="s">
        <v>242</v>
      </c>
      <c r="AP426" s="26" t="s">
        <v>3006</v>
      </c>
      <c r="AQ426" s="38" t="s">
        <v>3007</v>
      </c>
      <c r="AR426" s="26" t="s">
        <v>3008</v>
      </c>
      <c r="AS426" s="11" t="s">
        <v>149</v>
      </c>
      <c r="AT426" s="11"/>
    </row>
    <row r="427">
      <c r="A427" s="36" t="s">
        <v>3009</v>
      </c>
      <c r="B427" s="26" t="str">
        <f t="shared" si="1"/>
        <v>2023-PH041022000-1984-0130</v>
      </c>
      <c r="C427" s="27">
        <f t="shared" si="5"/>
        <v>2023</v>
      </c>
      <c r="D427" s="28" t="s">
        <v>140</v>
      </c>
      <c r="E427" s="28" t="s">
        <v>141</v>
      </c>
      <c r="F427" s="28" t="s">
        <v>142</v>
      </c>
      <c r="G427" s="29" t="s">
        <v>257</v>
      </c>
      <c r="H427" s="29" t="s">
        <v>258</v>
      </c>
      <c r="I427" s="29" t="s">
        <v>1667</v>
      </c>
      <c r="J427" s="29" t="s">
        <v>3010</v>
      </c>
      <c r="K427" s="26" t="s">
        <v>149</v>
      </c>
      <c r="L427" s="45" t="s">
        <v>149</v>
      </c>
      <c r="M427" s="31">
        <v>1984.0</v>
      </c>
      <c r="N427" s="49">
        <v>1984.0</v>
      </c>
      <c r="O427" s="49">
        <v>1985.0</v>
      </c>
      <c r="P427" s="28" t="s">
        <v>150</v>
      </c>
      <c r="Q427" s="32" t="s">
        <v>151</v>
      </c>
      <c r="R427" s="28" t="s">
        <v>604</v>
      </c>
      <c r="S427" s="28" t="s">
        <v>3011</v>
      </c>
      <c r="T427" s="28" t="s">
        <v>154</v>
      </c>
      <c r="U427" s="28" t="s">
        <v>154</v>
      </c>
      <c r="V427" s="26" t="s">
        <v>3011</v>
      </c>
      <c r="W427" s="28" t="s">
        <v>237</v>
      </c>
      <c r="X427" s="32" t="s">
        <v>238</v>
      </c>
      <c r="Y427" s="28" t="s">
        <v>3012</v>
      </c>
      <c r="Z427" s="28" t="s">
        <v>149</v>
      </c>
      <c r="AA427" s="32" t="s">
        <v>204</v>
      </c>
      <c r="AB427" s="28" t="s">
        <v>149</v>
      </c>
      <c r="AC427" s="26" t="s">
        <v>149</v>
      </c>
      <c r="AD427" s="28" t="s">
        <v>149</v>
      </c>
      <c r="AE427" s="29" t="s">
        <v>149</v>
      </c>
      <c r="AF427" s="26" t="s">
        <v>149</v>
      </c>
      <c r="AG427" s="26" t="s">
        <v>149</v>
      </c>
      <c r="AH427" s="26" t="s">
        <v>149</v>
      </c>
      <c r="AI427" s="32" t="s">
        <v>149</v>
      </c>
      <c r="AJ427" s="28" t="s">
        <v>149</v>
      </c>
      <c r="AK427" s="75" t="s">
        <v>149</v>
      </c>
      <c r="AL427" s="75" t="s">
        <v>149</v>
      </c>
      <c r="AM427" s="75" t="s">
        <v>149</v>
      </c>
      <c r="AN427" s="28" t="s">
        <v>241</v>
      </c>
      <c r="AO427" s="26" t="s">
        <v>395</v>
      </c>
      <c r="AP427" s="28" t="s">
        <v>396</v>
      </c>
      <c r="AQ427" s="26" t="s">
        <v>397</v>
      </c>
      <c r="AR427" s="26" t="s">
        <v>398</v>
      </c>
      <c r="AS427" s="45" t="s">
        <v>149</v>
      </c>
      <c r="AT427" s="26"/>
    </row>
    <row r="428">
      <c r="A428" s="36" t="s">
        <v>3013</v>
      </c>
      <c r="B428" s="26" t="str">
        <f t="shared" si="1"/>
        <v>2023-PH051727000-1989-0200</v>
      </c>
      <c r="C428" s="27">
        <f t="shared" si="5"/>
        <v>2023</v>
      </c>
      <c r="D428" s="28" t="s">
        <v>140</v>
      </c>
      <c r="E428" s="28" t="s">
        <v>141</v>
      </c>
      <c r="F428" s="28" t="s">
        <v>142</v>
      </c>
      <c r="G428" s="29" t="s">
        <v>535</v>
      </c>
      <c r="H428" s="29" t="s">
        <v>1089</v>
      </c>
      <c r="I428" s="29" t="s">
        <v>1324</v>
      </c>
      <c r="J428" s="29" t="s">
        <v>1325</v>
      </c>
      <c r="K428" s="26" t="s">
        <v>149</v>
      </c>
      <c r="L428" s="26" t="s">
        <v>149</v>
      </c>
      <c r="M428" s="31">
        <v>1989.0</v>
      </c>
      <c r="N428" s="31" t="s">
        <v>149</v>
      </c>
      <c r="O428" s="31" t="s">
        <v>149</v>
      </c>
      <c r="P428" s="28" t="s">
        <v>150</v>
      </c>
      <c r="Q428" s="32" t="s">
        <v>151</v>
      </c>
      <c r="R428" s="28" t="s">
        <v>152</v>
      </c>
      <c r="S428" s="32" t="s">
        <v>2467</v>
      </c>
      <c r="T428" s="28" t="s">
        <v>154</v>
      </c>
      <c r="U428" s="28" t="s">
        <v>154</v>
      </c>
      <c r="V428" s="28" t="s">
        <v>2467</v>
      </c>
      <c r="W428" s="32" t="s">
        <v>237</v>
      </c>
      <c r="X428" s="32" t="s">
        <v>238</v>
      </c>
      <c r="Y428" s="28" t="s">
        <v>3014</v>
      </c>
      <c r="Z428" s="26" t="s">
        <v>149</v>
      </c>
      <c r="AA428" s="32" t="s">
        <v>204</v>
      </c>
      <c r="AB428" s="26" t="s">
        <v>149</v>
      </c>
      <c r="AC428" s="26" t="s">
        <v>149</v>
      </c>
      <c r="AD428" s="28" t="s">
        <v>149</v>
      </c>
      <c r="AE428" s="29" t="s">
        <v>149</v>
      </c>
      <c r="AF428" s="26" t="s">
        <v>149</v>
      </c>
      <c r="AG428" s="26" t="s">
        <v>149</v>
      </c>
      <c r="AH428" s="26" t="s">
        <v>149</v>
      </c>
      <c r="AI428" s="26" t="s">
        <v>149</v>
      </c>
      <c r="AJ428" s="28" t="s">
        <v>149</v>
      </c>
      <c r="AK428" s="26" t="s">
        <v>149</v>
      </c>
      <c r="AL428" s="26" t="s">
        <v>149</v>
      </c>
      <c r="AM428" s="26" t="s">
        <v>149</v>
      </c>
      <c r="AN428" s="28" t="s">
        <v>241</v>
      </c>
      <c r="AO428" s="26" t="s">
        <v>395</v>
      </c>
      <c r="AP428" s="28" t="s">
        <v>396</v>
      </c>
      <c r="AQ428" s="38" t="s">
        <v>541</v>
      </c>
      <c r="AR428" s="26" t="s">
        <v>398</v>
      </c>
      <c r="AS428" s="26" t="s">
        <v>149</v>
      </c>
      <c r="AT428" s="28" t="s">
        <v>3015</v>
      </c>
    </row>
    <row r="429">
      <c r="A429" s="36" t="s">
        <v>3016</v>
      </c>
      <c r="B429" s="26" t="str">
        <f t="shared" si="1"/>
        <v>2023-PH082612000-2013-0302</v>
      </c>
      <c r="C429" s="27">
        <f t="shared" si="5"/>
        <v>2023</v>
      </c>
      <c r="D429" s="28" t="s">
        <v>140</v>
      </c>
      <c r="E429" s="28" t="s">
        <v>141</v>
      </c>
      <c r="F429" s="28" t="s">
        <v>192</v>
      </c>
      <c r="G429" s="29" t="s">
        <v>579</v>
      </c>
      <c r="H429" s="29" t="s">
        <v>580</v>
      </c>
      <c r="I429" s="29" t="s">
        <v>973</v>
      </c>
      <c r="J429" s="29" t="s">
        <v>974</v>
      </c>
      <c r="K429" s="26" t="s">
        <v>149</v>
      </c>
      <c r="L429" s="26" t="s">
        <v>3017</v>
      </c>
      <c r="M429" s="31">
        <v>2013.0</v>
      </c>
      <c r="N429" s="31" t="s">
        <v>149</v>
      </c>
      <c r="O429" s="49" t="s">
        <v>149</v>
      </c>
      <c r="P429" s="28" t="s">
        <v>177</v>
      </c>
      <c r="Q429" s="32" t="s">
        <v>178</v>
      </c>
      <c r="R429" s="28" t="s">
        <v>154</v>
      </c>
      <c r="S429" s="32" t="s">
        <v>154</v>
      </c>
      <c r="T429" s="28" t="s">
        <v>154</v>
      </c>
      <c r="U429" s="28" t="s">
        <v>154</v>
      </c>
      <c r="V429" s="26" t="s">
        <v>3018</v>
      </c>
      <c r="W429" s="28" t="s">
        <v>237</v>
      </c>
      <c r="X429" s="28" t="s">
        <v>238</v>
      </c>
      <c r="Y429" s="26" t="s">
        <v>3019</v>
      </c>
      <c r="Z429" s="26" t="s">
        <v>1546</v>
      </c>
      <c r="AA429" s="26" t="s">
        <v>204</v>
      </c>
      <c r="AB429" s="26" t="s">
        <v>160</v>
      </c>
      <c r="AC429" s="26" t="s">
        <v>306</v>
      </c>
      <c r="AD429" s="28" t="s">
        <v>306</v>
      </c>
      <c r="AE429" s="29" t="s">
        <v>149</v>
      </c>
      <c r="AF429" s="26" t="s">
        <v>149</v>
      </c>
      <c r="AG429" s="26" t="s">
        <v>149</v>
      </c>
      <c r="AH429" s="26" t="s">
        <v>3020</v>
      </c>
      <c r="AI429" s="32" t="s">
        <v>209</v>
      </c>
      <c r="AJ429" s="28" t="s">
        <v>227</v>
      </c>
      <c r="AK429" s="28" t="s">
        <v>149</v>
      </c>
      <c r="AL429" s="28" t="s">
        <v>149</v>
      </c>
      <c r="AM429" s="28" t="s">
        <v>149</v>
      </c>
      <c r="AN429" s="28" t="s">
        <v>241</v>
      </c>
      <c r="AO429" s="28" t="s">
        <v>242</v>
      </c>
      <c r="AP429" s="28" t="s">
        <v>3021</v>
      </c>
      <c r="AQ429" s="38" t="s">
        <v>3022</v>
      </c>
      <c r="AR429" s="28" t="s">
        <v>149</v>
      </c>
      <c r="AS429" s="28" t="s">
        <v>149</v>
      </c>
      <c r="AT429" s="26"/>
    </row>
    <row r="430">
      <c r="A430" s="36" t="s">
        <v>3023</v>
      </c>
      <c r="B430" s="26" t="str">
        <f t="shared" si="1"/>
        <v>2023-PH082612000-2013-0303</v>
      </c>
      <c r="C430" s="27">
        <f t="shared" si="5"/>
        <v>2023</v>
      </c>
      <c r="D430" s="28" t="s">
        <v>140</v>
      </c>
      <c r="E430" s="28" t="s">
        <v>141</v>
      </c>
      <c r="F430" s="28" t="s">
        <v>192</v>
      </c>
      <c r="G430" s="29" t="s">
        <v>579</v>
      </c>
      <c r="H430" s="29" t="s">
        <v>580</v>
      </c>
      <c r="I430" s="29" t="s">
        <v>973</v>
      </c>
      <c r="J430" s="29" t="s">
        <v>974</v>
      </c>
      <c r="K430" s="26" t="s">
        <v>149</v>
      </c>
      <c r="L430" s="26" t="s">
        <v>3024</v>
      </c>
      <c r="M430" s="31">
        <v>2013.0</v>
      </c>
      <c r="N430" s="31" t="s">
        <v>149</v>
      </c>
      <c r="O430" s="31" t="s">
        <v>149</v>
      </c>
      <c r="P430" s="28" t="s">
        <v>177</v>
      </c>
      <c r="Q430" s="32" t="s">
        <v>178</v>
      </c>
      <c r="R430" s="28" t="s">
        <v>154</v>
      </c>
      <c r="S430" s="32" t="s">
        <v>154</v>
      </c>
      <c r="T430" s="28" t="s">
        <v>154</v>
      </c>
      <c r="U430" s="28" t="s">
        <v>154</v>
      </c>
      <c r="V430" s="26" t="s">
        <v>3018</v>
      </c>
      <c r="W430" s="28" t="s">
        <v>237</v>
      </c>
      <c r="X430" s="28" t="s">
        <v>238</v>
      </c>
      <c r="Y430" s="26" t="s">
        <v>3019</v>
      </c>
      <c r="Z430" s="26" t="s">
        <v>1546</v>
      </c>
      <c r="AA430" s="26" t="s">
        <v>204</v>
      </c>
      <c r="AB430" s="26" t="s">
        <v>160</v>
      </c>
      <c r="AC430" s="26" t="s">
        <v>306</v>
      </c>
      <c r="AD430" s="28" t="s">
        <v>306</v>
      </c>
      <c r="AE430" s="29" t="s">
        <v>149</v>
      </c>
      <c r="AF430" s="26" t="s">
        <v>149</v>
      </c>
      <c r="AG430" s="26" t="s">
        <v>149</v>
      </c>
      <c r="AH430" s="26" t="s">
        <v>3020</v>
      </c>
      <c r="AI430" s="32" t="s">
        <v>209</v>
      </c>
      <c r="AJ430" s="28" t="s">
        <v>227</v>
      </c>
      <c r="AK430" s="28" t="s">
        <v>149</v>
      </c>
      <c r="AL430" s="28" t="s">
        <v>149</v>
      </c>
      <c r="AM430" s="28" t="s">
        <v>149</v>
      </c>
      <c r="AN430" s="28" t="s">
        <v>241</v>
      </c>
      <c r="AO430" s="28" t="s">
        <v>242</v>
      </c>
      <c r="AP430" s="28" t="s">
        <v>3021</v>
      </c>
      <c r="AQ430" s="26" t="s">
        <v>3022</v>
      </c>
      <c r="AR430" s="28" t="s">
        <v>149</v>
      </c>
      <c r="AS430" s="28" t="s">
        <v>149</v>
      </c>
      <c r="AT430" s="26"/>
    </row>
    <row r="431" ht="15.0" customHeight="1">
      <c r="A431" s="36" t="s">
        <v>3025</v>
      </c>
      <c r="B431" s="26" t="str">
        <f t="shared" si="1"/>
        <v>2023-PH082618000-2013-0306</v>
      </c>
      <c r="C431" s="27">
        <f t="shared" si="5"/>
        <v>2023</v>
      </c>
      <c r="D431" s="37" t="s">
        <v>140</v>
      </c>
      <c r="E431" s="28" t="s">
        <v>141</v>
      </c>
      <c r="F431" s="28" t="s">
        <v>192</v>
      </c>
      <c r="G431" s="29" t="s">
        <v>579</v>
      </c>
      <c r="H431" s="29" t="s">
        <v>580</v>
      </c>
      <c r="I431" s="29" t="s">
        <v>3026</v>
      </c>
      <c r="J431" s="29" t="s">
        <v>3027</v>
      </c>
      <c r="K431" s="26" t="s">
        <v>149</v>
      </c>
      <c r="L431" s="26" t="s">
        <v>3028</v>
      </c>
      <c r="M431" s="31">
        <v>2013.0</v>
      </c>
      <c r="N431" s="31" t="s">
        <v>149</v>
      </c>
      <c r="O431" s="31" t="s">
        <v>149</v>
      </c>
      <c r="P431" s="28" t="s">
        <v>177</v>
      </c>
      <c r="Q431" s="32" t="s">
        <v>178</v>
      </c>
      <c r="R431" s="28" t="s">
        <v>154</v>
      </c>
      <c r="S431" s="32" t="s">
        <v>154</v>
      </c>
      <c r="T431" s="28" t="s">
        <v>154</v>
      </c>
      <c r="U431" s="28" t="s">
        <v>154</v>
      </c>
      <c r="V431" s="26" t="s">
        <v>3018</v>
      </c>
      <c r="W431" s="28" t="s">
        <v>237</v>
      </c>
      <c r="X431" s="28" t="s">
        <v>238</v>
      </c>
      <c r="Y431" s="26" t="s">
        <v>3019</v>
      </c>
      <c r="Z431" s="26" t="s">
        <v>1546</v>
      </c>
      <c r="AA431" s="26" t="s">
        <v>204</v>
      </c>
      <c r="AB431" s="26" t="s">
        <v>160</v>
      </c>
      <c r="AC431" s="26" t="s">
        <v>306</v>
      </c>
      <c r="AD431" s="28" t="s">
        <v>306</v>
      </c>
      <c r="AE431" s="29" t="s">
        <v>149</v>
      </c>
      <c r="AF431" s="26" t="s">
        <v>149</v>
      </c>
      <c r="AG431" s="26" t="s">
        <v>149</v>
      </c>
      <c r="AH431" s="26" t="s">
        <v>3020</v>
      </c>
      <c r="AI431" s="32" t="s">
        <v>209</v>
      </c>
      <c r="AJ431" s="28" t="s">
        <v>227</v>
      </c>
      <c r="AK431" s="42" t="s">
        <v>149</v>
      </c>
      <c r="AL431" s="42" t="s">
        <v>149</v>
      </c>
      <c r="AM431" s="42" t="s">
        <v>149</v>
      </c>
      <c r="AN431" s="28" t="s">
        <v>241</v>
      </c>
      <c r="AO431" s="28" t="s">
        <v>242</v>
      </c>
      <c r="AP431" s="28" t="s">
        <v>3021</v>
      </c>
      <c r="AQ431" s="26" t="s">
        <v>3022</v>
      </c>
      <c r="AR431" s="42" t="s">
        <v>149</v>
      </c>
      <c r="AS431" s="42" t="s">
        <v>149</v>
      </c>
      <c r="AT431" s="28"/>
    </row>
    <row r="432" ht="13.5" customHeight="1">
      <c r="A432" s="36" t="s">
        <v>3029</v>
      </c>
      <c r="B432" s="26" t="str">
        <f t="shared" si="1"/>
        <v>2023-PH128003000-2017-0387</v>
      </c>
      <c r="C432" s="27">
        <f t="shared" si="5"/>
        <v>2023</v>
      </c>
      <c r="D432" s="37" t="s">
        <v>140</v>
      </c>
      <c r="E432" s="28" t="s">
        <v>141</v>
      </c>
      <c r="F432" s="28" t="s">
        <v>192</v>
      </c>
      <c r="G432" s="29" t="s">
        <v>356</v>
      </c>
      <c r="H432" s="29" t="s">
        <v>357</v>
      </c>
      <c r="I432" s="29" t="s">
        <v>1689</v>
      </c>
      <c r="J432" s="29" t="s">
        <v>1690</v>
      </c>
      <c r="K432" s="26" t="s">
        <v>149</v>
      </c>
      <c r="L432" s="49" t="s">
        <v>149</v>
      </c>
      <c r="M432" s="31">
        <v>2017.0</v>
      </c>
      <c r="N432" s="31">
        <v>2017.0</v>
      </c>
      <c r="O432" s="31">
        <v>2017.0</v>
      </c>
      <c r="P432" s="28" t="s">
        <v>263</v>
      </c>
      <c r="Q432" s="32" t="s">
        <v>926</v>
      </c>
      <c r="R432" s="28" t="s">
        <v>149</v>
      </c>
      <c r="S432" s="32" t="s">
        <v>149</v>
      </c>
      <c r="T432" s="28" t="s">
        <v>300</v>
      </c>
      <c r="U432" s="28" t="s">
        <v>320</v>
      </c>
      <c r="V432" s="26" t="s">
        <v>320</v>
      </c>
      <c r="W432" s="28" t="s">
        <v>237</v>
      </c>
      <c r="X432" s="28" t="s">
        <v>238</v>
      </c>
      <c r="Y432" s="26" t="s">
        <v>3030</v>
      </c>
      <c r="Z432" s="26" t="s">
        <v>1693</v>
      </c>
      <c r="AA432" s="26" t="s">
        <v>204</v>
      </c>
      <c r="AB432" s="26" t="s">
        <v>160</v>
      </c>
      <c r="AC432" s="26" t="s">
        <v>209</v>
      </c>
      <c r="AD432" s="28" t="s">
        <v>227</v>
      </c>
      <c r="AE432" s="29" t="s">
        <v>149</v>
      </c>
      <c r="AF432" s="26" t="s">
        <v>149</v>
      </c>
      <c r="AG432" s="26" t="s">
        <v>149</v>
      </c>
      <c r="AH432" s="26" t="s">
        <v>1693</v>
      </c>
      <c r="AI432" s="32" t="s">
        <v>209</v>
      </c>
      <c r="AJ432" s="28" t="s">
        <v>227</v>
      </c>
      <c r="AK432" s="28" t="s">
        <v>149</v>
      </c>
      <c r="AL432" s="11" t="s">
        <v>149</v>
      </c>
      <c r="AM432" s="11" t="s">
        <v>149</v>
      </c>
      <c r="AN432" s="28" t="s">
        <v>165</v>
      </c>
      <c r="AO432" s="28" t="s">
        <v>1159</v>
      </c>
      <c r="AP432" s="26" t="s">
        <v>3031</v>
      </c>
      <c r="AQ432" s="34" t="s">
        <v>3032</v>
      </c>
      <c r="AR432" s="26" t="s">
        <v>3033</v>
      </c>
      <c r="AS432" s="11" t="s">
        <v>149</v>
      </c>
      <c r="AT432" s="11"/>
    </row>
    <row r="433">
      <c r="A433" s="36" t="s">
        <v>3034</v>
      </c>
      <c r="B433" s="26" t="str">
        <f t="shared" si="1"/>
        <v>2023-PH074610000-1977-0423</v>
      </c>
      <c r="C433" s="27">
        <f t="shared" si="5"/>
        <v>2023</v>
      </c>
      <c r="D433" s="28" t="s">
        <v>140</v>
      </c>
      <c r="E433" s="28" t="s">
        <v>141</v>
      </c>
      <c r="F433" s="28" t="s">
        <v>142</v>
      </c>
      <c r="G433" s="29" t="s">
        <v>625</v>
      </c>
      <c r="H433" s="29" t="s">
        <v>632</v>
      </c>
      <c r="I433" s="55" t="s">
        <v>986</v>
      </c>
      <c r="J433" s="55" t="s">
        <v>987</v>
      </c>
      <c r="K433" s="26" t="s">
        <v>149</v>
      </c>
      <c r="L433" s="26" t="s">
        <v>3035</v>
      </c>
      <c r="M433" s="49">
        <v>1977.0</v>
      </c>
      <c r="N433" s="31">
        <v>1977.0</v>
      </c>
      <c r="O433" s="31">
        <v>1978.0</v>
      </c>
      <c r="P433" s="28" t="s">
        <v>150</v>
      </c>
      <c r="Q433" s="32" t="s">
        <v>151</v>
      </c>
      <c r="R433" s="28" t="s">
        <v>386</v>
      </c>
      <c r="S433" s="28" t="s">
        <v>386</v>
      </c>
      <c r="T433" s="28" t="s">
        <v>154</v>
      </c>
      <c r="U433" s="28" t="s">
        <v>154</v>
      </c>
      <c r="V433" s="51" t="s">
        <v>2937</v>
      </c>
      <c r="W433" s="28" t="s">
        <v>237</v>
      </c>
      <c r="X433" s="28" t="s">
        <v>238</v>
      </c>
      <c r="Y433" s="26" t="s">
        <v>699</v>
      </c>
      <c r="Z433" s="26" t="s">
        <v>2111</v>
      </c>
      <c r="AA433" s="26" t="s">
        <v>204</v>
      </c>
      <c r="AB433" s="28" t="s">
        <v>205</v>
      </c>
      <c r="AC433" s="32" t="s">
        <v>206</v>
      </c>
      <c r="AD433" s="28" t="s">
        <v>207</v>
      </c>
      <c r="AE433" s="29" t="s">
        <v>149</v>
      </c>
      <c r="AF433" s="26" t="s">
        <v>149</v>
      </c>
      <c r="AG433" s="26" t="s">
        <v>3036</v>
      </c>
      <c r="AH433" s="26" t="s">
        <v>3037</v>
      </c>
      <c r="AI433" s="32" t="s">
        <v>209</v>
      </c>
      <c r="AJ433" s="28" t="s">
        <v>886</v>
      </c>
      <c r="AK433" s="26" t="s">
        <v>3038</v>
      </c>
      <c r="AL433" s="29" t="s">
        <v>149</v>
      </c>
      <c r="AM433" s="29" t="s">
        <v>149</v>
      </c>
      <c r="AN433" s="28" t="s">
        <v>241</v>
      </c>
      <c r="AO433" s="26" t="s">
        <v>395</v>
      </c>
      <c r="AP433" s="28" t="s">
        <v>396</v>
      </c>
      <c r="AQ433" s="38" t="s">
        <v>541</v>
      </c>
      <c r="AR433" s="26" t="s">
        <v>398</v>
      </c>
      <c r="AS433" s="29" t="s">
        <v>149</v>
      </c>
      <c r="AT433" s="26"/>
    </row>
    <row r="434">
      <c r="A434" s="36" t="s">
        <v>3039</v>
      </c>
      <c r="B434" s="26" t="str">
        <f t="shared" si="1"/>
        <v>2023-PH041019000-2018-0129</v>
      </c>
      <c r="C434" s="27">
        <f t="shared" si="5"/>
        <v>2023</v>
      </c>
      <c r="D434" s="28" t="s">
        <v>140</v>
      </c>
      <c r="E434" s="28" t="s">
        <v>141</v>
      </c>
      <c r="F434" s="28" t="s">
        <v>192</v>
      </c>
      <c r="G434" s="29" t="s">
        <v>257</v>
      </c>
      <c r="H434" s="29" t="s">
        <v>258</v>
      </c>
      <c r="I434" s="29" t="s">
        <v>259</v>
      </c>
      <c r="J434" s="29" t="s">
        <v>260</v>
      </c>
      <c r="K434" s="26" t="s">
        <v>149</v>
      </c>
      <c r="L434" s="26" t="s">
        <v>3040</v>
      </c>
      <c r="M434" s="31">
        <v>2018.0</v>
      </c>
      <c r="N434" s="31" t="s">
        <v>149</v>
      </c>
      <c r="O434" s="31" t="s">
        <v>149</v>
      </c>
      <c r="P434" s="28" t="s">
        <v>150</v>
      </c>
      <c r="Q434" s="32" t="s">
        <v>151</v>
      </c>
      <c r="R434" s="28" t="s">
        <v>152</v>
      </c>
      <c r="S434" s="32" t="s">
        <v>351</v>
      </c>
      <c r="T434" s="28" t="s">
        <v>154</v>
      </c>
      <c r="U434" s="28" t="s">
        <v>154</v>
      </c>
      <c r="V434" s="26" t="s">
        <v>152</v>
      </c>
      <c r="W434" s="32" t="s">
        <v>149</v>
      </c>
      <c r="X434" s="32" t="s">
        <v>254</v>
      </c>
      <c r="Y434" s="26" t="s">
        <v>149</v>
      </c>
      <c r="Z434" s="26" t="s">
        <v>341</v>
      </c>
      <c r="AA434" s="26" t="s">
        <v>159</v>
      </c>
      <c r="AB434" s="26" t="s">
        <v>160</v>
      </c>
      <c r="AC434" s="28" t="s">
        <v>322</v>
      </c>
      <c r="AD434" s="28" t="s">
        <v>341</v>
      </c>
      <c r="AE434" s="29" t="s">
        <v>149</v>
      </c>
      <c r="AF434" s="26" t="s">
        <v>149</v>
      </c>
      <c r="AG434" s="26" t="s">
        <v>149</v>
      </c>
      <c r="AH434" s="26" t="s">
        <v>369</v>
      </c>
      <c r="AI434" s="28" t="s">
        <v>161</v>
      </c>
      <c r="AJ434" s="28" t="s">
        <v>369</v>
      </c>
      <c r="AK434" s="26" t="s">
        <v>341</v>
      </c>
      <c r="AL434" s="28" t="s">
        <v>3041</v>
      </c>
      <c r="AM434" s="26" t="s">
        <v>3042</v>
      </c>
      <c r="AN434" s="28" t="s">
        <v>165</v>
      </c>
      <c r="AO434" s="28" t="s">
        <v>289</v>
      </c>
      <c r="AP434" s="26" t="s">
        <v>3043</v>
      </c>
      <c r="AQ434" s="38" t="s">
        <v>3044</v>
      </c>
      <c r="AR434" s="45" t="s">
        <v>149</v>
      </c>
      <c r="AS434" s="45" t="s">
        <v>149</v>
      </c>
      <c r="AT434" s="26"/>
    </row>
    <row r="435">
      <c r="A435" s="25" t="s">
        <v>3045</v>
      </c>
      <c r="B435" s="26" t="str">
        <f t="shared" si="1"/>
        <v>2023-PH012906000-2018-0012</v>
      </c>
      <c r="C435" s="27">
        <f t="shared" si="5"/>
        <v>2023</v>
      </c>
      <c r="D435" s="28" t="s">
        <v>140</v>
      </c>
      <c r="E435" s="28" t="s">
        <v>141</v>
      </c>
      <c r="F435" s="28" t="s">
        <v>142</v>
      </c>
      <c r="G435" s="29" t="s">
        <v>143</v>
      </c>
      <c r="H435" s="29" t="s">
        <v>404</v>
      </c>
      <c r="I435" s="29" t="s">
        <v>3046</v>
      </c>
      <c r="J435" s="29" t="s">
        <v>412</v>
      </c>
      <c r="K435" s="26" t="s">
        <v>149</v>
      </c>
      <c r="L435" s="48" t="s">
        <v>3047</v>
      </c>
      <c r="M435" s="31">
        <v>2018.0</v>
      </c>
      <c r="N435" s="31" t="s">
        <v>149</v>
      </c>
      <c r="O435" s="31" t="s">
        <v>149</v>
      </c>
      <c r="P435" s="28" t="s">
        <v>150</v>
      </c>
      <c r="Q435" s="32" t="s">
        <v>151</v>
      </c>
      <c r="R435" s="28" t="s">
        <v>152</v>
      </c>
      <c r="S435" s="32" t="s">
        <v>153</v>
      </c>
      <c r="T435" s="28" t="s">
        <v>154</v>
      </c>
      <c r="U435" s="28" t="s">
        <v>154</v>
      </c>
      <c r="V435" s="26" t="s">
        <v>153</v>
      </c>
      <c r="W435" s="32" t="s">
        <v>149</v>
      </c>
      <c r="X435" s="32" t="s">
        <v>254</v>
      </c>
      <c r="Y435" s="26" t="s">
        <v>149</v>
      </c>
      <c r="Z435" s="26" t="s">
        <v>390</v>
      </c>
      <c r="AA435" s="26" t="s">
        <v>159</v>
      </c>
      <c r="AB435" s="26" t="s">
        <v>160</v>
      </c>
      <c r="AC435" s="28" t="s">
        <v>322</v>
      </c>
      <c r="AD435" s="28" t="s">
        <v>390</v>
      </c>
      <c r="AE435" s="29" t="s">
        <v>149</v>
      </c>
      <c r="AF435" s="26" t="s">
        <v>149</v>
      </c>
      <c r="AG435" s="26" t="s">
        <v>149</v>
      </c>
      <c r="AH435" s="26" t="s">
        <v>390</v>
      </c>
      <c r="AI435" s="28" t="s">
        <v>322</v>
      </c>
      <c r="AJ435" s="28" t="s">
        <v>390</v>
      </c>
      <c r="AK435" s="26" t="s">
        <v>3048</v>
      </c>
      <c r="AL435" s="26" t="s">
        <v>149</v>
      </c>
      <c r="AM435" s="26" t="s">
        <v>149</v>
      </c>
      <c r="AN435" s="28" t="s">
        <v>165</v>
      </c>
      <c r="AO435" s="28" t="s">
        <v>689</v>
      </c>
      <c r="AP435" s="34" t="s">
        <v>3049</v>
      </c>
      <c r="AQ435" s="38" t="s">
        <v>3050</v>
      </c>
      <c r="AR435" s="26" t="s">
        <v>149</v>
      </c>
      <c r="AS435" s="26" t="s">
        <v>149</v>
      </c>
      <c r="AT435" s="26"/>
    </row>
    <row r="436">
      <c r="A436" s="25" t="s">
        <v>3051</v>
      </c>
      <c r="B436" s="26" t="str">
        <f t="shared" si="1"/>
        <v>2023-PH012927000-Unknown-0015</v>
      </c>
      <c r="C436" s="27">
        <f t="shared" si="5"/>
        <v>2023</v>
      </c>
      <c r="D436" s="28" t="s">
        <v>140</v>
      </c>
      <c r="E436" s="28" t="s">
        <v>141</v>
      </c>
      <c r="F436" s="28" t="s">
        <v>142</v>
      </c>
      <c r="G436" s="29" t="s">
        <v>143</v>
      </c>
      <c r="H436" s="29" t="s">
        <v>404</v>
      </c>
      <c r="I436" s="29" t="s">
        <v>3052</v>
      </c>
      <c r="J436" s="29" t="s">
        <v>3053</v>
      </c>
      <c r="K436" s="120" t="s">
        <v>149</v>
      </c>
      <c r="L436" s="26" t="s">
        <v>3054</v>
      </c>
      <c r="M436" s="31" t="s">
        <v>149</v>
      </c>
      <c r="N436" s="31" t="s">
        <v>149</v>
      </c>
      <c r="O436" s="31" t="s">
        <v>149</v>
      </c>
      <c r="P436" s="28" t="s">
        <v>150</v>
      </c>
      <c r="Q436" s="32" t="s">
        <v>151</v>
      </c>
      <c r="R436" s="28" t="s">
        <v>152</v>
      </c>
      <c r="S436" s="32" t="s">
        <v>2049</v>
      </c>
      <c r="T436" s="28" t="s">
        <v>154</v>
      </c>
      <c r="U436" s="28" t="s">
        <v>154</v>
      </c>
      <c r="V436" s="26" t="s">
        <v>2049</v>
      </c>
      <c r="W436" s="32" t="s">
        <v>149</v>
      </c>
      <c r="X436" s="32" t="s">
        <v>254</v>
      </c>
      <c r="Y436" s="26" t="s">
        <v>149</v>
      </c>
      <c r="Z436" s="26" t="s">
        <v>3055</v>
      </c>
      <c r="AA436" s="26" t="s">
        <v>159</v>
      </c>
      <c r="AB436" s="26" t="s">
        <v>160</v>
      </c>
      <c r="AC436" s="26" t="s">
        <v>184</v>
      </c>
      <c r="AD436" s="28" t="s">
        <v>184</v>
      </c>
      <c r="AE436" s="29" t="s">
        <v>149</v>
      </c>
      <c r="AF436" s="26" t="s">
        <v>149</v>
      </c>
      <c r="AG436" s="26" t="s">
        <v>149</v>
      </c>
      <c r="AH436" s="26" t="s">
        <v>3055</v>
      </c>
      <c r="AI436" s="28" t="s">
        <v>184</v>
      </c>
      <c r="AJ436" s="28" t="s">
        <v>184</v>
      </c>
      <c r="AK436" s="26" t="s">
        <v>149</v>
      </c>
      <c r="AL436" s="26" t="s">
        <v>149</v>
      </c>
      <c r="AM436" s="26" t="s">
        <v>149</v>
      </c>
      <c r="AN436" s="28" t="s">
        <v>165</v>
      </c>
      <c r="AO436" s="28" t="s">
        <v>689</v>
      </c>
      <c r="AP436" s="34" t="s">
        <v>3056</v>
      </c>
      <c r="AQ436" s="39" t="s">
        <v>3057</v>
      </c>
      <c r="AR436" s="26" t="s">
        <v>149</v>
      </c>
      <c r="AS436" s="26" t="s">
        <v>149</v>
      </c>
      <c r="AT436" s="26"/>
    </row>
    <row r="437">
      <c r="A437" s="25" t="s">
        <v>3058</v>
      </c>
      <c r="B437" s="26" t="str">
        <f t="shared" si="1"/>
        <v>2023-PH030807000-Unknown-0094</v>
      </c>
      <c r="C437" s="27">
        <f t="shared" si="5"/>
        <v>2023</v>
      </c>
      <c r="D437" s="28" t="s">
        <v>140</v>
      </c>
      <c r="E437" s="28" t="s">
        <v>141</v>
      </c>
      <c r="F437" s="28" t="s">
        <v>192</v>
      </c>
      <c r="G437" s="29" t="s">
        <v>293</v>
      </c>
      <c r="H437" s="29" t="s">
        <v>1283</v>
      </c>
      <c r="I437" s="29" t="s">
        <v>1375</v>
      </c>
      <c r="J437" s="29" t="s">
        <v>1376</v>
      </c>
      <c r="K437" s="26" t="s">
        <v>149</v>
      </c>
      <c r="L437" s="26" t="s">
        <v>3059</v>
      </c>
      <c r="M437" s="31" t="s">
        <v>149</v>
      </c>
      <c r="N437" s="31" t="s">
        <v>149</v>
      </c>
      <c r="O437" s="31" t="s">
        <v>149</v>
      </c>
      <c r="P437" s="28" t="s">
        <v>177</v>
      </c>
      <c r="Q437" s="32" t="s">
        <v>319</v>
      </c>
      <c r="R437" s="28" t="s">
        <v>154</v>
      </c>
      <c r="S437" s="32" t="s">
        <v>154</v>
      </c>
      <c r="T437" s="28" t="s">
        <v>300</v>
      </c>
      <c r="U437" s="28" t="s">
        <v>149</v>
      </c>
      <c r="V437" s="26" t="s">
        <v>179</v>
      </c>
      <c r="W437" s="32" t="s">
        <v>149</v>
      </c>
      <c r="X437" s="32" t="s">
        <v>254</v>
      </c>
      <c r="Y437" s="26" t="s">
        <v>149</v>
      </c>
      <c r="Z437" s="26" t="s">
        <v>3060</v>
      </c>
      <c r="AA437" s="26" t="s">
        <v>159</v>
      </c>
      <c r="AB437" s="26" t="s">
        <v>160</v>
      </c>
      <c r="AC437" s="26" t="s">
        <v>184</v>
      </c>
      <c r="AD437" s="28" t="s">
        <v>184</v>
      </c>
      <c r="AE437" s="29" t="s">
        <v>149</v>
      </c>
      <c r="AF437" s="26" t="s">
        <v>149</v>
      </c>
      <c r="AG437" s="26" t="s">
        <v>149</v>
      </c>
      <c r="AH437" s="26" t="s">
        <v>3061</v>
      </c>
      <c r="AI437" s="28" t="s">
        <v>322</v>
      </c>
      <c r="AJ437" s="28" t="s">
        <v>341</v>
      </c>
      <c r="AK437" s="26" t="s">
        <v>149</v>
      </c>
      <c r="AL437" s="26" t="s">
        <v>149</v>
      </c>
      <c r="AM437" s="26" t="s">
        <v>149</v>
      </c>
      <c r="AN437" s="28" t="s">
        <v>165</v>
      </c>
      <c r="AO437" s="28" t="s">
        <v>731</v>
      </c>
      <c r="AP437" s="26" t="s">
        <v>3062</v>
      </c>
      <c r="AQ437" s="38" t="s">
        <v>3063</v>
      </c>
      <c r="AR437" s="26" t="s">
        <v>149</v>
      </c>
      <c r="AS437" s="26" t="s">
        <v>149</v>
      </c>
      <c r="AT437" s="26"/>
    </row>
    <row r="438">
      <c r="A438" s="25" t="s">
        <v>3064</v>
      </c>
      <c r="B438" s="26" t="str">
        <f t="shared" si="1"/>
        <v>2023-PH030808000-2015-0096</v>
      </c>
      <c r="C438" s="27">
        <f t="shared" si="5"/>
        <v>2023</v>
      </c>
      <c r="D438" s="28" t="s">
        <v>140</v>
      </c>
      <c r="E438" s="28" t="s">
        <v>141</v>
      </c>
      <c r="F438" s="28" t="s">
        <v>192</v>
      </c>
      <c r="G438" s="29" t="s">
        <v>293</v>
      </c>
      <c r="H438" s="29" t="s">
        <v>1283</v>
      </c>
      <c r="I438" s="29" t="s">
        <v>1795</v>
      </c>
      <c r="J438" s="29" t="s">
        <v>1796</v>
      </c>
      <c r="K438" s="26" t="s">
        <v>149</v>
      </c>
      <c r="L438" s="26" t="s">
        <v>507</v>
      </c>
      <c r="M438" s="31">
        <v>2015.0</v>
      </c>
      <c r="N438" s="31" t="s">
        <v>149</v>
      </c>
      <c r="O438" s="31" t="s">
        <v>149</v>
      </c>
      <c r="P438" s="28" t="s">
        <v>150</v>
      </c>
      <c r="Q438" s="32" t="s">
        <v>151</v>
      </c>
      <c r="R438" s="28" t="s">
        <v>149</v>
      </c>
      <c r="S438" s="32" t="s">
        <v>149</v>
      </c>
      <c r="T438" s="28" t="s">
        <v>154</v>
      </c>
      <c r="U438" s="28" t="s">
        <v>154</v>
      </c>
      <c r="V438" s="26" t="s">
        <v>149</v>
      </c>
      <c r="W438" s="32" t="s">
        <v>149</v>
      </c>
      <c r="X438" s="32" t="s">
        <v>254</v>
      </c>
      <c r="Y438" s="26" t="s">
        <v>149</v>
      </c>
      <c r="Z438" s="26" t="s">
        <v>158</v>
      </c>
      <c r="AA438" s="26" t="s">
        <v>159</v>
      </c>
      <c r="AB438" s="26" t="s">
        <v>160</v>
      </c>
      <c r="AC438" s="28" t="s">
        <v>161</v>
      </c>
      <c r="AD438" s="28" t="s">
        <v>158</v>
      </c>
      <c r="AE438" s="29" t="s">
        <v>149</v>
      </c>
      <c r="AF438" s="26" t="s">
        <v>149</v>
      </c>
      <c r="AG438" s="26" t="s">
        <v>149</v>
      </c>
      <c r="AH438" s="26" t="s">
        <v>158</v>
      </c>
      <c r="AI438" s="28" t="s">
        <v>161</v>
      </c>
      <c r="AJ438" s="28" t="s">
        <v>158</v>
      </c>
      <c r="AK438" s="26" t="s">
        <v>149</v>
      </c>
      <c r="AL438" s="26" t="s">
        <v>149</v>
      </c>
      <c r="AM438" s="26" t="s">
        <v>149</v>
      </c>
      <c r="AN438" s="28" t="s">
        <v>165</v>
      </c>
      <c r="AO438" s="28" t="s">
        <v>166</v>
      </c>
      <c r="AP438" s="26" t="s">
        <v>3065</v>
      </c>
      <c r="AQ438" s="38" t="s">
        <v>3066</v>
      </c>
      <c r="AR438" s="26" t="s">
        <v>149</v>
      </c>
      <c r="AS438" s="26" t="s">
        <v>149</v>
      </c>
      <c r="AT438" s="26"/>
    </row>
    <row r="439">
      <c r="A439" s="36" t="s">
        <v>3067</v>
      </c>
      <c r="B439" s="26" t="str">
        <f t="shared" si="1"/>
        <v>2023-PH030808000-2017-0097</v>
      </c>
      <c r="C439" s="27">
        <f t="shared" si="5"/>
        <v>2023</v>
      </c>
      <c r="D439" s="28" t="s">
        <v>140</v>
      </c>
      <c r="E439" s="28" t="s">
        <v>141</v>
      </c>
      <c r="F439" s="28" t="s">
        <v>192</v>
      </c>
      <c r="G439" s="29" t="s">
        <v>293</v>
      </c>
      <c r="H439" s="29" t="s">
        <v>1283</v>
      </c>
      <c r="I439" s="29" t="s">
        <v>1795</v>
      </c>
      <c r="J439" s="29" t="s">
        <v>1796</v>
      </c>
      <c r="K439" s="26" t="s">
        <v>149</v>
      </c>
      <c r="L439" s="26" t="s">
        <v>3068</v>
      </c>
      <c r="M439" s="31">
        <v>2017.0</v>
      </c>
      <c r="N439" s="31" t="s">
        <v>149</v>
      </c>
      <c r="O439" s="31" t="s">
        <v>149</v>
      </c>
      <c r="P439" s="28" t="s">
        <v>150</v>
      </c>
      <c r="Q439" s="32" t="s">
        <v>151</v>
      </c>
      <c r="R439" s="28" t="s">
        <v>149</v>
      </c>
      <c r="S439" s="32" t="s">
        <v>149</v>
      </c>
      <c r="T439" s="28" t="s">
        <v>154</v>
      </c>
      <c r="U439" s="28" t="s">
        <v>154</v>
      </c>
      <c r="V439" s="26" t="s">
        <v>149</v>
      </c>
      <c r="W439" s="32" t="s">
        <v>149</v>
      </c>
      <c r="X439" s="32" t="s">
        <v>254</v>
      </c>
      <c r="Y439" s="26" t="s">
        <v>149</v>
      </c>
      <c r="Z439" s="26" t="s">
        <v>158</v>
      </c>
      <c r="AA439" s="26" t="s">
        <v>159</v>
      </c>
      <c r="AB439" s="26" t="s">
        <v>160</v>
      </c>
      <c r="AC439" s="28" t="s">
        <v>161</v>
      </c>
      <c r="AD439" s="28" t="s">
        <v>158</v>
      </c>
      <c r="AE439" s="29" t="s">
        <v>149</v>
      </c>
      <c r="AF439" s="26" t="s">
        <v>149</v>
      </c>
      <c r="AG439" s="26" t="s">
        <v>149</v>
      </c>
      <c r="AH439" s="26" t="s">
        <v>158</v>
      </c>
      <c r="AI439" s="28" t="s">
        <v>161</v>
      </c>
      <c r="AJ439" s="28" t="s">
        <v>158</v>
      </c>
      <c r="AK439" s="26" t="s">
        <v>149</v>
      </c>
      <c r="AL439" s="26" t="s">
        <v>149</v>
      </c>
      <c r="AM439" s="26" t="s">
        <v>149</v>
      </c>
      <c r="AN439" s="28" t="s">
        <v>165</v>
      </c>
      <c r="AO439" s="28" t="s">
        <v>166</v>
      </c>
      <c r="AP439" s="26" t="s">
        <v>3065</v>
      </c>
      <c r="AQ439" s="38" t="s">
        <v>3066</v>
      </c>
      <c r="AR439" s="26" t="s">
        <v>149</v>
      </c>
      <c r="AS439" s="26" t="s">
        <v>149</v>
      </c>
      <c r="AT439" s="28"/>
    </row>
    <row r="440">
      <c r="A440" s="36" t="s">
        <v>3069</v>
      </c>
      <c r="B440" s="26" t="str">
        <f t="shared" si="1"/>
        <v>2023-PH037109000-Unknown-0104</v>
      </c>
      <c r="C440" s="27">
        <f t="shared" si="5"/>
        <v>2023</v>
      </c>
      <c r="D440" s="28" t="s">
        <v>140</v>
      </c>
      <c r="E440" s="28" t="s">
        <v>141</v>
      </c>
      <c r="F440" s="28" t="s">
        <v>192</v>
      </c>
      <c r="G440" s="29" t="s">
        <v>293</v>
      </c>
      <c r="H440" s="29" t="s">
        <v>294</v>
      </c>
      <c r="I440" s="29" t="s">
        <v>3070</v>
      </c>
      <c r="J440" s="29" t="s">
        <v>3071</v>
      </c>
      <c r="K440" s="26" t="s">
        <v>149</v>
      </c>
      <c r="L440" s="26" t="s">
        <v>149</v>
      </c>
      <c r="M440" s="31" t="s">
        <v>149</v>
      </c>
      <c r="N440" s="31" t="s">
        <v>149</v>
      </c>
      <c r="O440" s="31" t="s">
        <v>149</v>
      </c>
      <c r="P440" s="28" t="s">
        <v>150</v>
      </c>
      <c r="Q440" s="32" t="s">
        <v>151</v>
      </c>
      <c r="R440" s="28" t="s">
        <v>149</v>
      </c>
      <c r="S440" s="32" t="s">
        <v>149</v>
      </c>
      <c r="T440" s="28" t="s">
        <v>154</v>
      </c>
      <c r="U440" s="28" t="s">
        <v>154</v>
      </c>
      <c r="V440" s="26" t="s">
        <v>149</v>
      </c>
      <c r="W440" s="32" t="s">
        <v>149</v>
      </c>
      <c r="X440" s="32" t="s">
        <v>254</v>
      </c>
      <c r="Y440" s="26" t="s">
        <v>149</v>
      </c>
      <c r="Z440" s="26" t="s">
        <v>228</v>
      </c>
      <c r="AA440" s="26" t="s">
        <v>159</v>
      </c>
      <c r="AB440" s="26" t="s">
        <v>160</v>
      </c>
      <c r="AC440" s="28" t="s">
        <v>161</v>
      </c>
      <c r="AD440" s="28" t="s">
        <v>228</v>
      </c>
      <c r="AE440" s="29" t="s">
        <v>149</v>
      </c>
      <c r="AF440" s="26" t="s">
        <v>149</v>
      </c>
      <c r="AG440" s="26" t="s">
        <v>3072</v>
      </c>
      <c r="AH440" s="26" t="s">
        <v>228</v>
      </c>
      <c r="AI440" s="28" t="s">
        <v>161</v>
      </c>
      <c r="AJ440" s="28" t="s">
        <v>228</v>
      </c>
      <c r="AK440" s="26" t="s">
        <v>390</v>
      </c>
      <c r="AL440" s="26" t="s">
        <v>149</v>
      </c>
      <c r="AM440" s="26" t="s">
        <v>149</v>
      </c>
      <c r="AN440" s="28" t="s">
        <v>165</v>
      </c>
      <c r="AO440" s="26" t="s">
        <v>166</v>
      </c>
      <c r="AP440" s="26" t="s">
        <v>2736</v>
      </c>
      <c r="AQ440" s="34" t="s">
        <v>3073</v>
      </c>
      <c r="AR440" s="26" t="s">
        <v>149</v>
      </c>
      <c r="AS440" s="26" t="s">
        <v>149</v>
      </c>
      <c r="AT440" s="26"/>
    </row>
    <row r="441">
      <c r="A441" s="36" t="s">
        <v>3074</v>
      </c>
      <c r="B441" s="26" t="str">
        <f t="shared" si="1"/>
        <v>2025-PH041003000-2022-0110</v>
      </c>
      <c r="C441" s="27">
        <f t="shared" si="5"/>
        <v>2025</v>
      </c>
      <c r="D441" s="28" t="s">
        <v>191</v>
      </c>
      <c r="E441" s="28" t="s">
        <v>191</v>
      </c>
      <c r="F441" s="28" t="s">
        <v>192</v>
      </c>
      <c r="G441" s="29" t="s">
        <v>257</v>
      </c>
      <c r="H441" s="29" t="s">
        <v>258</v>
      </c>
      <c r="I441" s="29" t="s">
        <v>3075</v>
      </c>
      <c r="J441" s="29" t="s">
        <v>3076</v>
      </c>
      <c r="K441" s="26" t="s">
        <v>149</v>
      </c>
      <c r="L441" s="28" t="s">
        <v>3077</v>
      </c>
      <c r="M441" s="31">
        <v>2022.0</v>
      </c>
      <c r="N441" s="31" t="s">
        <v>149</v>
      </c>
      <c r="O441" s="31" t="s">
        <v>149</v>
      </c>
      <c r="P441" s="28" t="s">
        <v>150</v>
      </c>
      <c r="Q441" s="32" t="s">
        <v>151</v>
      </c>
      <c r="R441" s="28" t="s">
        <v>149</v>
      </c>
      <c r="S441" s="32" t="s">
        <v>149</v>
      </c>
      <c r="T441" s="28" t="s">
        <v>154</v>
      </c>
      <c r="U441" s="28" t="s">
        <v>154</v>
      </c>
      <c r="V441" s="26" t="s">
        <v>149</v>
      </c>
      <c r="W441" s="32" t="s">
        <v>149</v>
      </c>
      <c r="X441" s="32" t="s">
        <v>254</v>
      </c>
      <c r="Y441" s="26" t="s">
        <v>149</v>
      </c>
      <c r="Z441" s="26" t="s">
        <v>2664</v>
      </c>
      <c r="AA441" s="26" t="s">
        <v>159</v>
      </c>
      <c r="AB441" s="26" t="s">
        <v>160</v>
      </c>
      <c r="AC441" s="26" t="s">
        <v>184</v>
      </c>
      <c r="AD441" s="28" t="s">
        <v>184</v>
      </c>
      <c r="AE441" s="29" t="s">
        <v>149</v>
      </c>
      <c r="AF441" s="26" t="s">
        <v>149</v>
      </c>
      <c r="AG441" s="26" t="s">
        <v>795</v>
      </c>
      <c r="AH441" s="26" t="s">
        <v>3078</v>
      </c>
      <c r="AI441" s="26" t="s">
        <v>184</v>
      </c>
      <c r="AJ441" s="28" t="s">
        <v>184</v>
      </c>
      <c r="AK441" s="26" t="s">
        <v>3079</v>
      </c>
      <c r="AL441" s="28" t="s">
        <v>149</v>
      </c>
      <c r="AM441" s="28" t="s">
        <v>149</v>
      </c>
      <c r="AN441" s="28" t="s">
        <v>165</v>
      </c>
      <c r="AO441" s="26" t="s">
        <v>166</v>
      </c>
      <c r="AP441" s="26" t="s">
        <v>2665</v>
      </c>
      <c r="AQ441" s="38" t="s">
        <v>2666</v>
      </c>
      <c r="AR441" s="28" t="s">
        <v>149</v>
      </c>
      <c r="AS441" s="28" t="s">
        <v>149</v>
      </c>
      <c r="AT441" s="39"/>
    </row>
    <row r="442">
      <c r="A442" s="36" t="s">
        <v>3080</v>
      </c>
      <c r="B442" s="26" t="str">
        <f t="shared" si="1"/>
        <v>2023-PH051711000-Unknown-0197</v>
      </c>
      <c r="C442" s="27">
        <f t="shared" si="5"/>
        <v>2023</v>
      </c>
      <c r="D442" s="37" t="s">
        <v>140</v>
      </c>
      <c r="E442" s="28" t="s">
        <v>141</v>
      </c>
      <c r="F442" s="28" t="s">
        <v>192</v>
      </c>
      <c r="G442" s="29" t="s">
        <v>535</v>
      </c>
      <c r="H442" s="29" t="s">
        <v>1089</v>
      </c>
      <c r="I442" s="29" t="s">
        <v>3081</v>
      </c>
      <c r="J442" s="29" t="s">
        <v>3082</v>
      </c>
      <c r="K442" s="26" t="s">
        <v>149</v>
      </c>
      <c r="L442" s="26" t="s">
        <v>149</v>
      </c>
      <c r="M442" s="31" t="s">
        <v>149</v>
      </c>
      <c r="N442" s="31" t="s">
        <v>149</v>
      </c>
      <c r="O442" s="31" t="s">
        <v>149</v>
      </c>
      <c r="P442" s="28" t="s">
        <v>177</v>
      </c>
      <c r="Q442" s="32" t="s">
        <v>319</v>
      </c>
      <c r="R442" s="28" t="s">
        <v>154</v>
      </c>
      <c r="S442" s="32" t="s">
        <v>154</v>
      </c>
      <c r="T442" s="28" t="s">
        <v>300</v>
      </c>
      <c r="U442" s="28" t="s">
        <v>149</v>
      </c>
      <c r="V442" s="26" t="s">
        <v>179</v>
      </c>
      <c r="W442" s="32" t="s">
        <v>149</v>
      </c>
      <c r="X442" s="32" t="s">
        <v>254</v>
      </c>
      <c r="Y442" s="26" t="s">
        <v>149</v>
      </c>
      <c r="Z442" s="26" t="s">
        <v>3083</v>
      </c>
      <c r="AA442" s="26" t="s">
        <v>159</v>
      </c>
      <c r="AB442" s="26" t="s">
        <v>160</v>
      </c>
      <c r="AC442" s="26" t="s">
        <v>306</v>
      </c>
      <c r="AD442" s="28" t="s">
        <v>306</v>
      </c>
      <c r="AE442" s="29" t="s">
        <v>149</v>
      </c>
      <c r="AF442" s="26" t="s">
        <v>3084</v>
      </c>
      <c r="AG442" s="26" t="s">
        <v>149</v>
      </c>
      <c r="AH442" s="26" t="s">
        <v>3083</v>
      </c>
      <c r="AI442" s="26" t="s">
        <v>306</v>
      </c>
      <c r="AJ442" s="28" t="s">
        <v>306</v>
      </c>
      <c r="AK442" s="26" t="s">
        <v>369</v>
      </c>
      <c r="AL442" s="26" t="s">
        <v>149</v>
      </c>
      <c r="AM442" s="26" t="s">
        <v>149</v>
      </c>
      <c r="AN442" s="28" t="s">
        <v>165</v>
      </c>
      <c r="AO442" s="28" t="s">
        <v>689</v>
      </c>
      <c r="AP442" s="26" t="s">
        <v>3085</v>
      </c>
      <c r="AQ442" s="39" t="s">
        <v>3086</v>
      </c>
      <c r="AR442" s="26" t="s">
        <v>3087</v>
      </c>
      <c r="AS442" s="26" t="s">
        <v>3088</v>
      </c>
      <c r="AT442" s="28"/>
    </row>
    <row r="443">
      <c r="A443" s="36" t="s">
        <v>3089</v>
      </c>
      <c r="B443" s="26" t="str">
        <f t="shared" si="1"/>
        <v>2025-PH060404000-2017-0220</v>
      </c>
      <c r="C443" s="27">
        <f t="shared" si="5"/>
        <v>2025</v>
      </c>
      <c r="D443" s="28" t="s">
        <v>191</v>
      </c>
      <c r="E443" s="28" t="s">
        <v>191</v>
      </c>
      <c r="F443" s="28" t="s">
        <v>192</v>
      </c>
      <c r="G443" s="29" t="s">
        <v>314</v>
      </c>
      <c r="H443" s="29" t="s">
        <v>315</v>
      </c>
      <c r="I443" s="29" t="s">
        <v>3090</v>
      </c>
      <c r="J443" s="29" t="s">
        <v>3091</v>
      </c>
      <c r="K443" s="26" t="s">
        <v>149</v>
      </c>
      <c r="L443" s="28" t="s">
        <v>149</v>
      </c>
      <c r="M443" s="31">
        <v>2017.0</v>
      </c>
      <c r="N443" s="31" t="s">
        <v>149</v>
      </c>
      <c r="O443" s="31" t="s">
        <v>149</v>
      </c>
      <c r="P443" s="28" t="s">
        <v>150</v>
      </c>
      <c r="Q443" s="32" t="s">
        <v>151</v>
      </c>
      <c r="R443" s="28" t="s">
        <v>149</v>
      </c>
      <c r="S443" s="32" t="s">
        <v>149</v>
      </c>
      <c r="T443" s="28" t="s">
        <v>154</v>
      </c>
      <c r="U443" s="28" t="s">
        <v>154</v>
      </c>
      <c r="V443" s="26" t="s">
        <v>149</v>
      </c>
      <c r="W443" s="32" t="s">
        <v>149</v>
      </c>
      <c r="X443" s="32" t="s">
        <v>254</v>
      </c>
      <c r="Y443" s="26" t="s">
        <v>149</v>
      </c>
      <c r="Z443" s="26" t="s">
        <v>158</v>
      </c>
      <c r="AA443" s="26" t="s">
        <v>159</v>
      </c>
      <c r="AB443" s="26" t="s">
        <v>160</v>
      </c>
      <c r="AC443" s="28" t="s">
        <v>161</v>
      </c>
      <c r="AD443" s="28" t="s">
        <v>158</v>
      </c>
      <c r="AE443" s="29" t="s">
        <v>149</v>
      </c>
      <c r="AF443" s="26" t="s">
        <v>149</v>
      </c>
      <c r="AG443" s="26" t="s">
        <v>149</v>
      </c>
      <c r="AH443" s="26" t="s">
        <v>158</v>
      </c>
      <c r="AI443" s="28" t="s">
        <v>161</v>
      </c>
      <c r="AJ443" s="28" t="s">
        <v>158</v>
      </c>
      <c r="AK443" s="28" t="s">
        <v>149</v>
      </c>
      <c r="AL443" s="28" t="s">
        <v>149</v>
      </c>
      <c r="AM443" s="28" t="s">
        <v>149</v>
      </c>
      <c r="AN443" s="28" t="s">
        <v>165</v>
      </c>
      <c r="AO443" s="26" t="s">
        <v>166</v>
      </c>
      <c r="AP443" s="26" t="s">
        <v>3092</v>
      </c>
      <c r="AQ443" s="38" t="s">
        <v>3093</v>
      </c>
      <c r="AR443" s="28" t="s">
        <v>149</v>
      </c>
      <c r="AS443" s="28" t="s">
        <v>149</v>
      </c>
      <c r="AT443" s="29"/>
    </row>
    <row r="444">
      <c r="A444" s="36" t="s">
        <v>3094</v>
      </c>
      <c r="B444" s="26" t="str">
        <f t="shared" si="1"/>
        <v>2025-PH060406000-2017-0222</v>
      </c>
      <c r="C444" s="27">
        <f t="shared" si="5"/>
        <v>2025</v>
      </c>
      <c r="D444" s="28" t="s">
        <v>191</v>
      </c>
      <c r="E444" s="28" t="s">
        <v>191</v>
      </c>
      <c r="F444" s="28" t="s">
        <v>192</v>
      </c>
      <c r="G444" s="29" t="s">
        <v>314</v>
      </c>
      <c r="H444" s="29" t="s">
        <v>315</v>
      </c>
      <c r="I444" s="29" t="s">
        <v>747</v>
      </c>
      <c r="J444" s="29" t="s">
        <v>748</v>
      </c>
      <c r="K444" s="26" t="s">
        <v>149</v>
      </c>
      <c r="L444" s="28" t="s">
        <v>149</v>
      </c>
      <c r="M444" s="31">
        <v>2017.0</v>
      </c>
      <c r="N444" s="31" t="s">
        <v>149</v>
      </c>
      <c r="O444" s="31" t="s">
        <v>149</v>
      </c>
      <c r="P444" s="28" t="s">
        <v>150</v>
      </c>
      <c r="Q444" s="32" t="s">
        <v>151</v>
      </c>
      <c r="R444" s="28" t="s">
        <v>149</v>
      </c>
      <c r="S444" s="32" t="s">
        <v>149</v>
      </c>
      <c r="T444" s="28" t="s">
        <v>154</v>
      </c>
      <c r="U444" s="28" t="s">
        <v>154</v>
      </c>
      <c r="V444" s="26" t="s">
        <v>149</v>
      </c>
      <c r="W444" s="32" t="s">
        <v>149</v>
      </c>
      <c r="X444" s="32" t="s">
        <v>254</v>
      </c>
      <c r="Y444" s="26" t="s">
        <v>149</v>
      </c>
      <c r="Z444" s="26" t="s">
        <v>158</v>
      </c>
      <c r="AA444" s="26" t="s">
        <v>159</v>
      </c>
      <c r="AB444" s="26" t="s">
        <v>160</v>
      </c>
      <c r="AC444" s="28" t="s">
        <v>161</v>
      </c>
      <c r="AD444" s="28" t="s">
        <v>158</v>
      </c>
      <c r="AE444" s="29" t="s">
        <v>149</v>
      </c>
      <c r="AF444" s="26" t="s">
        <v>149</v>
      </c>
      <c r="AG444" s="26" t="s">
        <v>149</v>
      </c>
      <c r="AH444" s="26" t="s">
        <v>158</v>
      </c>
      <c r="AI444" s="28" t="s">
        <v>161</v>
      </c>
      <c r="AJ444" s="28" t="s">
        <v>158</v>
      </c>
      <c r="AK444" s="28" t="s">
        <v>149</v>
      </c>
      <c r="AL444" s="28" t="s">
        <v>149</v>
      </c>
      <c r="AM444" s="28" t="s">
        <v>149</v>
      </c>
      <c r="AN444" s="28" t="s">
        <v>165</v>
      </c>
      <c r="AO444" s="26" t="s">
        <v>166</v>
      </c>
      <c r="AP444" s="26" t="s">
        <v>3092</v>
      </c>
      <c r="AQ444" s="38" t="s">
        <v>3093</v>
      </c>
      <c r="AR444" s="28" t="s">
        <v>149</v>
      </c>
      <c r="AS444" s="28" t="s">
        <v>149</v>
      </c>
      <c r="AT444" s="29"/>
    </row>
    <row r="445">
      <c r="A445" s="36" t="s">
        <v>3095</v>
      </c>
      <c r="B445" s="26" t="str">
        <f t="shared" si="1"/>
        <v>2025-PH060407000-Unknown-0224</v>
      </c>
      <c r="C445" s="27">
        <f t="shared" si="5"/>
        <v>2025</v>
      </c>
      <c r="D445" s="28" t="s">
        <v>191</v>
      </c>
      <c r="E445" s="28" t="s">
        <v>191</v>
      </c>
      <c r="F445" s="28" t="s">
        <v>192</v>
      </c>
      <c r="G445" s="29" t="s">
        <v>314</v>
      </c>
      <c r="H445" s="29" t="s">
        <v>315</v>
      </c>
      <c r="I445" s="29" t="s">
        <v>3096</v>
      </c>
      <c r="J445" s="29" t="s">
        <v>3097</v>
      </c>
      <c r="K445" s="26" t="s">
        <v>149</v>
      </c>
      <c r="L445" s="28" t="s">
        <v>149</v>
      </c>
      <c r="M445" s="31" t="s">
        <v>149</v>
      </c>
      <c r="N445" s="31" t="s">
        <v>149</v>
      </c>
      <c r="O445" s="31" t="s">
        <v>149</v>
      </c>
      <c r="P445" s="28" t="s">
        <v>150</v>
      </c>
      <c r="Q445" s="32" t="s">
        <v>151</v>
      </c>
      <c r="R445" s="28" t="s">
        <v>386</v>
      </c>
      <c r="S445" s="28" t="s">
        <v>386</v>
      </c>
      <c r="T445" s="28" t="s">
        <v>154</v>
      </c>
      <c r="U445" s="28" t="s">
        <v>154</v>
      </c>
      <c r="V445" s="28" t="s">
        <v>386</v>
      </c>
      <c r="W445" s="32" t="s">
        <v>149</v>
      </c>
      <c r="X445" s="32" t="s">
        <v>254</v>
      </c>
      <c r="Y445" s="26" t="s">
        <v>149</v>
      </c>
      <c r="Z445" s="26" t="s">
        <v>149</v>
      </c>
      <c r="AA445" s="26" t="s">
        <v>149</v>
      </c>
      <c r="AB445" s="26" t="s">
        <v>149</v>
      </c>
      <c r="AC445" s="26" t="s">
        <v>149</v>
      </c>
      <c r="AD445" s="28" t="s">
        <v>149</v>
      </c>
      <c r="AE445" s="29" t="s">
        <v>149</v>
      </c>
      <c r="AF445" s="26" t="s">
        <v>149</v>
      </c>
      <c r="AG445" s="26" t="s">
        <v>149</v>
      </c>
      <c r="AH445" s="26" t="s">
        <v>149</v>
      </c>
      <c r="AI445" s="26" t="s">
        <v>149</v>
      </c>
      <c r="AJ445" s="28" t="s">
        <v>149</v>
      </c>
      <c r="AK445" s="28" t="s">
        <v>149</v>
      </c>
      <c r="AL445" s="28" t="s">
        <v>149</v>
      </c>
      <c r="AM445" s="28" t="s">
        <v>149</v>
      </c>
      <c r="AN445" s="28" t="s">
        <v>165</v>
      </c>
      <c r="AO445" s="28" t="s">
        <v>1159</v>
      </c>
      <c r="AP445" s="26" t="s">
        <v>3098</v>
      </c>
      <c r="AQ445" s="38" t="s">
        <v>3099</v>
      </c>
      <c r="AR445" s="28" t="s">
        <v>149</v>
      </c>
      <c r="AS445" s="28" t="s">
        <v>149</v>
      </c>
      <c r="AT445" s="28"/>
    </row>
    <row r="446">
      <c r="A446" s="36" t="s">
        <v>3100</v>
      </c>
      <c r="B446" s="26" t="str">
        <f t="shared" si="1"/>
        <v>2023-PH060412000-2003-0225</v>
      </c>
      <c r="C446" s="27">
        <f t="shared" si="5"/>
        <v>2023</v>
      </c>
      <c r="D446" s="28" t="s">
        <v>648</v>
      </c>
      <c r="E446" s="28" t="s">
        <v>141</v>
      </c>
      <c r="F446" s="28" t="s">
        <v>192</v>
      </c>
      <c r="G446" s="29" t="s">
        <v>314</v>
      </c>
      <c r="H446" s="29" t="s">
        <v>315</v>
      </c>
      <c r="I446" s="29" t="s">
        <v>316</v>
      </c>
      <c r="J446" s="29" t="s">
        <v>317</v>
      </c>
      <c r="K446" s="26" t="s">
        <v>149</v>
      </c>
      <c r="L446" s="28" t="s">
        <v>3101</v>
      </c>
      <c r="M446" s="31">
        <v>2003.0</v>
      </c>
      <c r="N446" s="31" t="s">
        <v>149</v>
      </c>
      <c r="O446" s="31" t="s">
        <v>149</v>
      </c>
      <c r="P446" s="28" t="s">
        <v>150</v>
      </c>
      <c r="Q446" s="32" t="s">
        <v>151</v>
      </c>
      <c r="R446" s="28" t="s">
        <v>152</v>
      </c>
      <c r="S446" s="32" t="s">
        <v>789</v>
      </c>
      <c r="T446" s="28" t="s">
        <v>154</v>
      </c>
      <c r="U446" s="28" t="s">
        <v>154</v>
      </c>
      <c r="V446" s="26" t="s">
        <v>790</v>
      </c>
      <c r="W446" s="32" t="s">
        <v>149</v>
      </c>
      <c r="X446" s="32" t="s">
        <v>254</v>
      </c>
      <c r="Y446" s="26" t="s">
        <v>149</v>
      </c>
      <c r="Z446" s="26" t="s">
        <v>149</v>
      </c>
      <c r="AA446" s="26" t="s">
        <v>149</v>
      </c>
      <c r="AB446" s="26" t="s">
        <v>149</v>
      </c>
      <c r="AC446" s="26" t="s">
        <v>149</v>
      </c>
      <c r="AD446" s="28" t="s">
        <v>149</v>
      </c>
      <c r="AE446" s="29" t="s">
        <v>149</v>
      </c>
      <c r="AF446" s="26" t="s">
        <v>149</v>
      </c>
      <c r="AG446" s="26" t="s">
        <v>149</v>
      </c>
      <c r="AH446" s="26" t="s">
        <v>149</v>
      </c>
      <c r="AI446" s="26" t="s">
        <v>149</v>
      </c>
      <c r="AJ446" s="28" t="s">
        <v>149</v>
      </c>
      <c r="AK446" s="11" t="s">
        <v>149</v>
      </c>
      <c r="AL446" s="11" t="s">
        <v>149</v>
      </c>
      <c r="AM446" s="11" t="s">
        <v>149</v>
      </c>
      <c r="AN446" s="28" t="s">
        <v>165</v>
      </c>
      <c r="AO446" s="28" t="s">
        <v>1159</v>
      </c>
      <c r="AP446" s="26" t="s">
        <v>3098</v>
      </c>
      <c r="AQ446" s="38" t="s">
        <v>3099</v>
      </c>
      <c r="AR446" s="11" t="s">
        <v>149</v>
      </c>
      <c r="AS446" s="11" t="s">
        <v>149</v>
      </c>
      <c r="AT446" s="28"/>
    </row>
    <row r="447">
      <c r="A447" s="36" t="s">
        <v>3102</v>
      </c>
      <c r="B447" s="26" t="str">
        <f t="shared" si="1"/>
        <v>2023-PH060412000-Unknown-0229</v>
      </c>
      <c r="C447" s="27">
        <f t="shared" si="5"/>
        <v>2023</v>
      </c>
      <c r="D447" s="28" t="s">
        <v>140</v>
      </c>
      <c r="E447" s="28" t="s">
        <v>141</v>
      </c>
      <c r="F447" s="28" t="s">
        <v>192</v>
      </c>
      <c r="G447" s="29" t="s">
        <v>314</v>
      </c>
      <c r="H447" s="29" t="s">
        <v>315</v>
      </c>
      <c r="I447" s="29" t="s">
        <v>316</v>
      </c>
      <c r="J447" s="29" t="s">
        <v>317</v>
      </c>
      <c r="K447" s="26" t="s">
        <v>149</v>
      </c>
      <c r="L447" s="49" t="s">
        <v>149</v>
      </c>
      <c r="M447" s="31" t="s">
        <v>149</v>
      </c>
      <c r="N447" s="31" t="s">
        <v>149</v>
      </c>
      <c r="O447" s="31" t="s">
        <v>149</v>
      </c>
      <c r="P447" s="28" t="s">
        <v>150</v>
      </c>
      <c r="Q447" s="32" t="s">
        <v>151</v>
      </c>
      <c r="R447" s="32" t="s">
        <v>336</v>
      </c>
      <c r="S447" s="32" t="s">
        <v>337</v>
      </c>
      <c r="T447" s="28" t="s">
        <v>154</v>
      </c>
      <c r="U447" s="28" t="s">
        <v>154</v>
      </c>
      <c r="V447" s="26" t="s">
        <v>337</v>
      </c>
      <c r="W447" s="32" t="s">
        <v>149</v>
      </c>
      <c r="X447" s="32" t="s">
        <v>254</v>
      </c>
      <c r="Y447" s="26" t="s">
        <v>149</v>
      </c>
      <c r="Z447" s="26" t="s">
        <v>3103</v>
      </c>
      <c r="AA447" s="26" t="s">
        <v>159</v>
      </c>
      <c r="AB447" s="26" t="s">
        <v>160</v>
      </c>
      <c r="AC447" s="26" t="s">
        <v>271</v>
      </c>
      <c r="AD447" s="28" t="s">
        <v>271</v>
      </c>
      <c r="AE447" s="29" t="s">
        <v>149</v>
      </c>
      <c r="AF447" s="26" t="s">
        <v>149</v>
      </c>
      <c r="AG447" s="26" t="s">
        <v>3104</v>
      </c>
      <c r="AH447" s="26" t="s">
        <v>3103</v>
      </c>
      <c r="AI447" s="26" t="s">
        <v>271</v>
      </c>
      <c r="AJ447" s="28" t="s">
        <v>271</v>
      </c>
      <c r="AK447" s="11" t="s">
        <v>149</v>
      </c>
      <c r="AL447" s="11" t="s">
        <v>149</v>
      </c>
      <c r="AM447" s="11" t="s">
        <v>149</v>
      </c>
      <c r="AN447" s="28" t="s">
        <v>165</v>
      </c>
      <c r="AO447" s="28" t="s">
        <v>289</v>
      </c>
      <c r="AP447" s="26" t="s">
        <v>3105</v>
      </c>
      <c r="AQ447" s="38" t="s">
        <v>3106</v>
      </c>
      <c r="AR447" s="11" t="s">
        <v>149</v>
      </c>
      <c r="AS447" s="11" t="s">
        <v>149</v>
      </c>
      <c r="AT447" s="29"/>
    </row>
    <row r="448">
      <c r="A448" s="36" t="s">
        <v>3107</v>
      </c>
      <c r="B448" s="26" t="str">
        <f t="shared" si="1"/>
        <v>2025-PH060414000-2017-0233</v>
      </c>
      <c r="C448" s="27">
        <f t="shared" si="5"/>
        <v>2025</v>
      </c>
      <c r="D448" s="28" t="s">
        <v>191</v>
      </c>
      <c r="E448" s="28" t="s">
        <v>191</v>
      </c>
      <c r="F448" s="28" t="s">
        <v>192</v>
      </c>
      <c r="G448" s="29" t="s">
        <v>314</v>
      </c>
      <c r="H448" s="29" t="s">
        <v>315</v>
      </c>
      <c r="I448" s="29" t="s">
        <v>3108</v>
      </c>
      <c r="J448" s="29" t="s">
        <v>3109</v>
      </c>
      <c r="K448" s="26" t="s">
        <v>149</v>
      </c>
      <c r="L448" s="28" t="s">
        <v>149</v>
      </c>
      <c r="M448" s="31">
        <v>2017.0</v>
      </c>
      <c r="N448" s="31" t="s">
        <v>149</v>
      </c>
      <c r="O448" s="31" t="s">
        <v>149</v>
      </c>
      <c r="P448" s="28" t="s">
        <v>150</v>
      </c>
      <c r="Q448" s="32" t="s">
        <v>151</v>
      </c>
      <c r="R448" s="28" t="s">
        <v>149</v>
      </c>
      <c r="S448" s="32" t="s">
        <v>149</v>
      </c>
      <c r="T448" s="28" t="s">
        <v>154</v>
      </c>
      <c r="U448" s="28" t="s">
        <v>154</v>
      </c>
      <c r="V448" s="26" t="s">
        <v>149</v>
      </c>
      <c r="W448" s="32" t="s">
        <v>149</v>
      </c>
      <c r="X448" s="32" t="s">
        <v>254</v>
      </c>
      <c r="Y448" s="26" t="s">
        <v>149</v>
      </c>
      <c r="Z448" s="26" t="s">
        <v>158</v>
      </c>
      <c r="AA448" s="26" t="s">
        <v>159</v>
      </c>
      <c r="AB448" s="26" t="s">
        <v>160</v>
      </c>
      <c r="AC448" s="28" t="s">
        <v>161</v>
      </c>
      <c r="AD448" s="28" t="s">
        <v>158</v>
      </c>
      <c r="AE448" s="29" t="s">
        <v>149</v>
      </c>
      <c r="AF448" s="26" t="s">
        <v>149</v>
      </c>
      <c r="AG448" s="26" t="s">
        <v>149</v>
      </c>
      <c r="AH448" s="26" t="s">
        <v>158</v>
      </c>
      <c r="AI448" s="28" t="s">
        <v>161</v>
      </c>
      <c r="AJ448" s="28" t="s">
        <v>158</v>
      </c>
      <c r="AK448" s="28" t="s">
        <v>149</v>
      </c>
      <c r="AL448" s="28" t="s">
        <v>149</v>
      </c>
      <c r="AM448" s="28" t="s">
        <v>149</v>
      </c>
      <c r="AN448" s="28" t="s">
        <v>165</v>
      </c>
      <c r="AO448" s="26" t="s">
        <v>166</v>
      </c>
      <c r="AP448" s="26" t="s">
        <v>3092</v>
      </c>
      <c r="AQ448" s="38" t="s">
        <v>3093</v>
      </c>
      <c r="AR448" s="28" t="s">
        <v>149</v>
      </c>
      <c r="AS448" s="28" t="s">
        <v>149</v>
      </c>
      <c r="AT448" s="29"/>
    </row>
    <row r="449">
      <c r="A449" s="36" t="s">
        <v>3110</v>
      </c>
      <c r="B449" s="26" t="str">
        <f t="shared" si="1"/>
        <v>2025-PH060415000-Unknown-0234</v>
      </c>
      <c r="C449" s="27">
        <f t="shared" si="5"/>
        <v>2025</v>
      </c>
      <c r="D449" s="28" t="s">
        <v>191</v>
      </c>
      <c r="E449" s="28" t="s">
        <v>191</v>
      </c>
      <c r="F449" s="28" t="s">
        <v>192</v>
      </c>
      <c r="G449" s="29" t="s">
        <v>314</v>
      </c>
      <c r="H449" s="29" t="s">
        <v>315</v>
      </c>
      <c r="I449" s="29" t="s">
        <v>3111</v>
      </c>
      <c r="J449" s="29" t="s">
        <v>3112</v>
      </c>
      <c r="K449" s="26" t="s">
        <v>149</v>
      </c>
      <c r="L449" s="28" t="s">
        <v>149</v>
      </c>
      <c r="M449" s="31" t="s">
        <v>149</v>
      </c>
      <c r="N449" s="31" t="s">
        <v>149</v>
      </c>
      <c r="O449" s="31" t="s">
        <v>149</v>
      </c>
      <c r="P449" s="28" t="s">
        <v>150</v>
      </c>
      <c r="Q449" s="32" t="s">
        <v>151</v>
      </c>
      <c r="R449" s="28" t="s">
        <v>149</v>
      </c>
      <c r="S449" s="32" t="s">
        <v>149</v>
      </c>
      <c r="T449" s="28" t="s">
        <v>154</v>
      </c>
      <c r="U449" s="28" t="s">
        <v>154</v>
      </c>
      <c r="V449" s="26" t="s">
        <v>3113</v>
      </c>
      <c r="W449" s="32" t="s">
        <v>149</v>
      </c>
      <c r="X449" s="32" t="s">
        <v>254</v>
      </c>
      <c r="Y449" s="26" t="s">
        <v>149</v>
      </c>
      <c r="Z449" s="26" t="s">
        <v>149</v>
      </c>
      <c r="AA449" s="26" t="s">
        <v>149</v>
      </c>
      <c r="AB449" s="26" t="s">
        <v>149</v>
      </c>
      <c r="AC449" s="26" t="s">
        <v>149</v>
      </c>
      <c r="AD449" s="28" t="s">
        <v>149</v>
      </c>
      <c r="AE449" s="29" t="s">
        <v>149</v>
      </c>
      <c r="AF449" s="26" t="s">
        <v>149</v>
      </c>
      <c r="AG449" s="26" t="s">
        <v>149</v>
      </c>
      <c r="AH449" s="26" t="s">
        <v>149</v>
      </c>
      <c r="AI449" s="26" t="s">
        <v>149</v>
      </c>
      <c r="AJ449" s="28" t="s">
        <v>149</v>
      </c>
      <c r="AK449" s="28" t="s">
        <v>149</v>
      </c>
      <c r="AL449" s="28" t="s">
        <v>149</v>
      </c>
      <c r="AM449" s="28" t="s">
        <v>149</v>
      </c>
      <c r="AN449" s="28" t="s">
        <v>165</v>
      </c>
      <c r="AO449" s="28" t="s">
        <v>1159</v>
      </c>
      <c r="AP449" s="26" t="s">
        <v>3098</v>
      </c>
      <c r="AQ449" s="38" t="s">
        <v>3099</v>
      </c>
      <c r="AR449" s="28" t="s">
        <v>149</v>
      </c>
      <c r="AS449" s="28" t="s">
        <v>149</v>
      </c>
      <c r="AT449" s="28"/>
    </row>
    <row r="450">
      <c r="A450" s="36" t="s">
        <v>3114</v>
      </c>
      <c r="B450" s="26" t="str">
        <f t="shared" si="1"/>
        <v>2025-PH060416000-2017-0235</v>
      </c>
      <c r="C450" s="27">
        <f t="shared" si="5"/>
        <v>2025</v>
      </c>
      <c r="D450" s="28" t="s">
        <v>191</v>
      </c>
      <c r="E450" s="28" t="s">
        <v>191</v>
      </c>
      <c r="F450" s="28" t="s">
        <v>192</v>
      </c>
      <c r="G450" s="29" t="s">
        <v>314</v>
      </c>
      <c r="H450" s="29" t="s">
        <v>315</v>
      </c>
      <c r="I450" s="29" t="s">
        <v>3115</v>
      </c>
      <c r="J450" s="29" t="s">
        <v>3116</v>
      </c>
      <c r="K450" s="26" t="s">
        <v>149</v>
      </c>
      <c r="L450" s="28" t="s">
        <v>3117</v>
      </c>
      <c r="M450" s="31">
        <v>2017.0</v>
      </c>
      <c r="N450" s="31" t="s">
        <v>149</v>
      </c>
      <c r="O450" s="31" t="s">
        <v>149</v>
      </c>
      <c r="P450" s="28" t="s">
        <v>150</v>
      </c>
      <c r="Q450" s="32" t="s">
        <v>151</v>
      </c>
      <c r="R450" s="28" t="s">
        <v>149</v>
      </c>
      <c r="S450" s="32" t="s">
        <v>149</v>
      </c>
      <c r="T450" s="28" t="s">
        <v>154</v>
      </c>
      <c r="U450" s="28" t="s">
        <v>154</v>
      </c>
      <c r="V450" s="26" t="s">
        <v>149</v>
      </c>
      <c r="W450" s="32" t="s">
        <v>149</v>
      </c>
      <c r="X450" s="32" t="s">
        <v>254</v>
      </c>
      <c r="Y450" s="26" t="s">
        <v>149</v>
      </c>
      <c r="Z450" s="26" t="s">
        <v>158</v>
      </c>
      <c r="AA450" s="26" t="s">
        <v>159</v>
      </c>
      <c r="AB450" s="26" t="s">
        <v>160</v>
      </c>
      <c r="AC450" s="28" t="s">
        <v>161</v>
      </c>
      <c r="AD450" s="28" t="s">
        <v>158</v>
      </c>
      <c r="AE450" s="29" t="s">
        <v>149</v>
      </c>
      <c r="AF450" s="26" t="s">
        <v>149</v>
      </c>
      <c r="AG450" s="26" t="s">
        <v>149</v>
      </c>
      <c r="AH450" s="26" t="s">
        <v>158</v>
      </c>
      <c r="AI450" s="28" t="s">
        <v>161</v>
      </c>
      <c r="AJ450" s="28" t="s">
        <v>158</v>
      </c>
      <c r="AK450" s="28" t="s">
        <v>149</v>
      </c>
      <c r="AL450" s="28" t="s">
        <v>149</v>
      </c>
      <c r="AM450" s="28" t="s">
        <v>149</v>
      </c>
      <c r="AN450" s="28" t="s">
        <v>165</v>
      </c>
      <c r="AO450" s="26" t="s">
        <v>166</v>
      </c>
      <c r="AP450" s="26" t="s">
        <v>3092</v>
      </c>
      <c r="AQ450" s="38" t="s">
        <v>3093</v>
      </c>
      <c r="AR450" s="28" t="s">
        <v>149</v>
      </c>
      <c r="AS450" s="28" t="s">
        <v>149</v>
      </c>
      <c r="AT450" s="11"/>
    </row>
    <row r="451" ht="14.25" customHeight="1">
      <c r="A451" s="36" t="s">
        <v>3118</v>
      </c>
      <c r="B451" s="26" t="str">
        <f t="shared" si="1"/>
        <v>2025-PH060417000-2003-0236</v>
      </c>
      <c r="C451" s="27">
        <f t="shared" si="5"/>
        <v>2025</v>
      </c>
      <c r="D451" s="28" t="s">
        <v>191</v>
      </c>
      <c r="E451" s="28" t="s">
        <v>191</v>
      </c>
      <c r="F451" s="28" t="s">
        <v>192</v>
      </c>
      <c r="G451" s="29" t="s">
        <v>314</v>
      </c>
      <c r="H451" s="29" t="s">
        <v>315</v>
      </c>
      <c r="I451" s="29" t="s">
        <v>1199</v>
      </c>
      <c r="J451" s="29" t="s">
        <v>1200</v>
      </c>
      <c r="K451" s="26" t="s">
        <v>149</v>
      </c>
      <c r="L451" s="28" t="s">
        <v>3101</v>
      </c>
      <c r="M451" s="31">
        <v>2003.0</v>
      </c>
      <c r="N451" s="31" t="s">
        <v>149</v>
      </c>
      <c r="O451" s="31" t="s">
        <v>149</v>
      </c>
      <c r="P451" s="28" t="s">
        <v>150</v>
      </c>
      <c r="Q451" s="32" t="s">
        <v>151</v>
      </c>
      <c r="R451" s="28" t="s">
        <v>149</v>
      </c>
      <c r="S451" s="32" t="s">
        <v>149</v>
      </c>
      <c r="T451" s="28" t="s">
        <v>154</v>
      </c>
      <c r="U451" s="28" t="s">
        <v>154</v>
      </c>
      <c r="V451" s="26" t="s">
        <v>3119</v>
      </c>
      <c r="W451" s="32" t="s">
        <v>149</v>
      </c>
      <c r="X451" s="32" t="s">
        <v>254</v>
      </c>
      <c r="Y451" s="26" t="s">
        <v>149</v>
      </c>
      <c r="Z451" s="26" t="s">
        <v>149</v>
      </c>
      <c r="AA451" s="26" t="s">
        <v>149</v>
      </c>
      <c r="AB451" s="26" t="s">
        <v>149</v>
      </c>
      <c r="AC451" s="26" t="s">
        <v>149</v>
      </c>
      <c r="AD451" s="28" t="s">
        <v>149</v>
      </c>
      <c r="AE451" s="29" t="s">
        <v>149</v>
      </c>
      <c r="AF451" s="26" t="s">
        <v>149</v>
      </c>
      <c r="AG451" s="26" t="s">
        <v>3120</v>
      </c>
      <c r="AH451" s="26" t="s">
        <v>149</v>
      </c>
      <c r="AI451" s="26" t="s">
        <v>149</v>
      </c>
      <c r="AJ451" s="28" t="s">
        <v>149</v>
      </c>
      <c r="AK451" s="28" t="s">
        <v>149</v>
      </c>
      <c r="AL451" s="28" t="s">
        <v>149</v>
      </c>
      <c r="AM451" s="28" t="s">
        <v>149</v>
      </c>
      <c r="AN451" s="28" t="s">
        <v>165</v>
      </c>
      <c r="AO451" s="28" t="s">
        <v>1159</v>
      </c>
      <c r="AP451" s="26" t="s">
        <v>3098</v>
      </c>
      <c r="AQ451" s="38" t="s">
        <v>3099</v>
      </c>
      <c r="AR451" s="28" t="s">
        <v>149</v>
      </c>
      <c r="AS451" s="28" t="s">
        <v>149</v>
      </c>
      <c r="AT451" s="42"/>
    </row>
    <row r="452" ht="15.0" customHeight="1">
      <c r="A452" s="36" t="s">
        <v>3121</v>
      </c>
      <c r="B452" s="26" t="str">
        <f t="shared" si="1"/>
        <v>2025-PH060602000-2015-0241</v>
      </c>
      <c r="C452" s="27">
        <f t="shared" si="5"/>
        <v>2025</v>
      </c>
      <c r="D452" s="28" t="s">
        <v>191</v>
      </c>
      <c r="E452" s="28" t="s">
        <v>191</v>
      </c>
      <c r="F452" s="28" t="s">
        <v>192</v>
      </c>
      <c r="G452" s="29" t="s">
        <v>314</v>
      </c>
      <c r="H452" s="29" t="s">
        <v>858</v>
      </c>
      <c r="I452" s="29" t="s">
        <v>3122</v>
      </c>
      <c r="J452" s="29" t="s">
        <v>3123</v>
      </c>
      <c r="K452" s="26" t="s">
        <v>149</v>
      </c>
      <c r="L452" s="28" t="s">
        <v>149</v>
      </c>
      <c r="M452" s="31">
        <v>2015.0</v>
      </c>
      <c r="N452" s="31" t="s">
        <v>149</v>
      </c>
      <c r="O452" s="31" t="s">
        <v>149</v>
      </c>
      <c r="P452" s="28" t="s">
        <v>150</v>
      </c>
      <c r="Q452" s="32" t="s">
        <v>151</v>
      </c>
      <c r="R452" s="28" t="s">
        <v>152</v>
      </c>
      <c r="S452" s="32" t="s">
        <v>789</v>
      </c>
      <c r="T452" s="28" t="s">
        <v>154</v>
      </c>
      <c r="U452" s="28" t="s">
        <v>154</v>
      </c>
      <c r="V452" s="26" t="s">
        <v>790</v>
      </c>
      <c r="W452" s="32" t="s">
        <v>149</v>
      </c>
      <c r="X452" s="32" t="s">
        <v>254</v>
      </c>
      <c r="Y452" s="26" t="s">
        <v>149</v>
      </c>
      <c r="Z452" s="26" t="s">
        <v>3124</v>
      </c>
      <c r="AA452" s="26" t="s">
        <v>159</v>
      </c>
      <c r="AB452" s="26" t="s">
        <v>160</v>
      </c>
      <c r="AC452" s="28" t="s">
        <v>322</v>
      </c>
      <c r="AD452" s="28" t="s">
        <v>3125</v>
      </c>
      <c r="AE452" s="29" t="s">
        <v>149</v>
      </c>
      <c r="AF452" s="26" t="s">
        <v>149</v>
      </c>
      <c r="AG452" s="26" t="s">
        <v>149</v>
      </c>
      <c r="AH452" s="26" t="s">
        <v>3124</v>
      </c>
      <c r="AI452" s="28" t="s">
        <v>322</v>
      </c>
      <c r="AJ452" s="28" t="s">
        <v>3125</v>
      </c>
      <c r="AK452" s="28" t="s">
        <v>3126</v>
      </c>
      <c r="AL452" s="28" t="s">
        <v>149</v>
      </c>
      <c r="AM452" s="28" t="s">
        <v>149</v>
      </c>
      <c r="AN452" s="28" t="s">
        <v>165</v>
      </c>
      <c r="AO452" s="28" t="s">
        <v>689</v>
      </c>
      <c r="AP452" s="26" t="s">
        <v>3127</v>
      </c>
      <c r="AQ452" s="38" t="s">
        <v>3128</v>
      </c>
      <c r="AR452" s="39" t="s">
        <v>149</v>
      </c>
      <c r="AS452" s="28" t="s">
        <v>149</v>
      </c>
      <c r="AT452" s="28"/>
    </row>
    <row r="453">
      <c r="A453" s="36" t="s">
        <v>3129</v>
      </c>
      <c r="B453" s="26" t="str">
        <f t="shared" si="1"/>
        <v>2023-PH061914000-Unknown-0244</v>
      </c>
      <c r="C453" s="27">
        <f t="shared" si="5"/>
        <v>2023</v>
      </c>
      <c r="D453" s="28" t="s">
        <v>140</v>
      </c>
      <c r="E453" s="28" t="s">
        <v>141</v>
      </c>
      <c r="F453" s="28" t="s">
        <v>192</v>
      </c>
      <c r="G453" s="29" t="s">
        <v>314</v>
      </c>
      <c r="H453" s="29" t="s">
        <v>1364</v>
      </c>
      <c r="I453" s="40" t="s">
        <v>3130</v>
      </c>
      <c r="J453" s="29" t="s">
        <v>3131</v>
      </c>
      <c r="K453" s="26" t="s">
        <v>149</v>
      </c>
      <c r="L453" s="49" t="s">
        <v>149</v>
      </c>
      <c r="M453" s="31" t="s">
        <v>149</v>
      </c>
      <c r="N453" s="31" t="s">
        <v>149</v>
      </c>
      <c r="O453" s="31" t="s">
        <v>149</v>
      </c>
      <c r="P453" s="28" t="s">
        <v>150</v>
      </c>
      <c r="Q453" s="32" t="s">
        <v>151</v>
      </c>
      <c r="R453" s="28" t="s">
        <v>152</v>
      </c>
      <c r="S453" s="32" t="s">
        <v>789</v>
      </c>
      <c r="T453" s="28" t="s">
        <v>154</v>
      </c>
      <c r="U453" s="28" t="s">
        <v>154</v>
      </c>
      <c r="V453" s="26" t="s">
        <v>790</v>
      </c>
      <c r="W453" s="32" t="s">
        <v>149</v>
      </c>
      <c r="X453" s="32" t="s">
        <v>254</v>
      </c>
      <c r="Y453" s="26" t="s">
        <v>149</v>
      </c>
      <c r="Z453" s="26" t="s">
        <v>390</v>
      </c>
      <c r="AA453" s="26" t="s">
        <v>159</v>
      </c>
      <c r="AB453" s="26" t="s">
        <v>160</v>
      </c>
      <c r="AC453" s="28" t="s">
        <v>322</v>
      </c>
      <c r="AD453" s="28" t="s">
        <v>390</v>
      </c>
      <c r="AE453" s="40" t="s">
        <v>3132</v>
      </c>
      <c r="AF453" s="26" t="s">
        <v>149</v>
      </c>
      <c r="AG453" s="26" t="s">
        <v>3133</v>
      </c>
      <c r="AH453" s="26" t="s">
        <v>228</v>
      </c>
      <c r="AI453" s="28" t="s">
        <v>161</v>
      </c>
      <c r="AJ453" s="28" t="s">
        <v>228</v>
      </c>
      <c r="AK453" s="11" t="s">
        <v>149</v>
      </c>
      <c r="AL453" s="11" t="s">
        <v>149</v>
      </c>
      <c r="AM453" s="11" t="s">
        <v>149</v>
      </c>
      <c r="AN453" s="28" t="s">
        <v>165</v>
      </c>
      <c r="AO453" s="28" t="s">
        <v>166</v>
      </c>
      <c r="AP453" s="26" t="s">
        <v>3134</v>
      </c>
      <c r="AQ453" s="38" t="s">
        <v>3135</v>
      </c>
      <c r="AR453" s="11" t="s">
        <v>149</v>
      </c>
      <c r="AS453" s="11" t="s">
        <v>149</v>
      </c>
      <c r="AT453" s="26"/>
    </row>
    <row r="454">
      <c r="A454" s="36" t="s">
        <v>3136</v>
      </c>
      <c r="B454" s="26" t="str">
        <f t="shared" si="1"/>
        <v>2023-PH063009000-1998-0250</v>
      </c>
      <c r="C454" s="27">
        <f t="shared" si="5"/>
        <v>2023</v>
      </c>
      <c r="D454" s="37" t="s">
        <v>140</v>
      </c>
      <c r="E454" s="28" t="s">
        <v>141</v>
      </c>
      <c r="F454" s="28" t="s">
        <v>142</v>
      </c>
      <c r="G454" s="29" t="s">
        <v>314</v>
      </c>
      <c r="H454" s="29" t="s">
        <v>558</v>
      </c>
      <c r="I454" s="29" t="s">
        <v>3137</v>
      </c>
      <c r="J454" s="29" t="s">
        <v>3138</v>
      </c>
      <c r="K454" s="26" t="s">
        <v>149</v>
      </c>
      <c r="L454" s="70" t="s">
        <v>3139</v>
      </c>
      <c r="M454" s="49">
        <v>1998.0</v>
      </c>
      <c r="N454" s="31" t="s">
        <v>149</v>
      </c>
      <c r="O454" s="31" t="s">
        <v>149</v>
      </c>
      <c r="P454" s="28" t="s">
        <v>150</v>
      </c>
      <c r="Q454" s="32" t="s">
        <v>151</v>
      </c>
      <c r="R454" s="28" t="s">
        <v>149</v>
      </c>
      <c r="S454" s="32" t="s">
        <v>149</v>
      </c>
      <c r="T454" s="28" t="s">
        <v>154</v>
      </c>
      <c r="U454" s="28" t="s">
        <v>154</v>
      </c>
      <c r="V454" s="26" t="s">
        <v>149</v>
      </c>
      <c r="W454" s="32" t="s">
        <v>149</v>
      </c>
      <c r="X454" s="32" t="s">
        <v>254</v>
      </c>
      <c r="Y454" s="26" t="s">
        <v>149</v>
      </c>
      <c r="Z454" s="26" t="s">
        <v>149</v>
      </c>
      <c r="AA454" s="26" t="s">
        <v>149</v>
      </c>
      <c r="AB454" s="26" t="s">
        <v>149</v>
      </c>
      <c r="AC454" s="26" t="s">
        <v>149</v>
      </c>
      <c r="AD454" s="28" t="s">
        <v>149</v>
      </c>
      <c r="AE454" s="29" t="s">
        <v>149</v>
      </c>
      <c r="AF454" s="26" t="s">
        <v>149</v>
      </c>
      <c r="AG454" s="26" t="s">
        <v>149</v>
      </c>
      <c r="AH454" s="26" t="s">
        <v>149</v>
      </c>
      <c r="AI454" s="26" t="s">
        <v>149</v>
      </c>
      <c r="AJ454" s="28" t="s">
        <v>149</v>
      </c>
      <c r="AK454" s="11" t="s">
        <v>149</v>
      </c>
      <c r="AL454" s="11" t="s">
        <v>149</v>
      </c>
      <c r="AM454" s="11" t="s">
        <v>149</v>
      </c>
      <c r="AN454" s="28" t="s">
        <v>165</v>
      </c>
      <c r="AO454" s="28" t="s">
        <v>731</v>
      </c>
      <c r="AP454" s="34" t="s">
        <v>3140</v>
      </c>
      <c r="AQ454" s="38" t="s">
        <v>3141</v>
      </c>
      <c r="AR454" s="11" t="s">
        <v>149</v>
      </c>
      <c r="AS454" s="11" t="s">
        <v>149</v>
      </c>
      <c r="AT454" s="42"/>
    </row>
    <row r="455">
      <c r="A455" s="36" t="s">
        <v>3142</v>
      </c>
      <c r="B455" s="26" t="str">
        <f t="shared" si="1"/>
        <v>2023-PH063019000-Unknown-0255</v>
      </c>
      <c r="C455" s="27">
        <f t="shared" si="5"/>
        <v>2023</v>
      </c>
      <c r="D455" s="37" t="s">
        <v>140</v>
      </c>
      <c r="E455" s="28" t="s">
        <v>141</v>
      </c>
      <c r="F455" s="28" t="s">
        <v>192</v>
      </c>
      <c r="G455" s="29" t="s">
        <v>314</v>
      </c>
      <c r="H455" s="29" t="s">
        <v>558</v>
      </c>
      <c r="I455" s="29" t="s">
        <v>3143</v>
      </c>
      <c r="J455" s="29" t="s">
        <v>3144</v>
      </c>
      <c r="K455" s="26" t="s">
        <v>149</v>
      </c>
      <c r="L455" s="28" t="s">
        <v>3145</v>
      </c>
      <c r="M455" s="31" t="s">
        <v>149</v>
      </c>
      <c r="N455" s="31" t="s">
        <v>149</v>
      </c>
      <c r="O455" s="31" t="s">
        <v>149</v>
      </c>
      <c r="P455" s="28" t="s">
        <v>150</v>
      </c>
      <c r="Q455" s="32" t="s">
        <v>151</v>
      </c>
      <c r="R455" s="28" t="s">
        <v>149</v>
      </c>
      <c r="S455" s="32" t="s">
        <v>149</v>
      </c>
      <c r="T455" s="28" t="s">
        <v>154</v>
      </c>
      <c r="U455" s="28" t="s">
        <v>154</v>
      </c>
      <c r="V455" s="26" t="s">
        <v>149</v>
      </c>
      <c r="W455" s="32" t="s">
        <v>149</v>
      </c>
      <c r="X455" s="32" t="s">
        <v>254</v>
      </c>
      <c r="Y455" s="26" t="s">
        <v>149</v>
      </c>
      <c r="Z455" s="26" t="s">
        <v>149</v>
      </c>
      <c r="AA455" s="26" t="s">
        <v>149</v>
      </c>
      <c r="AB455" s="26" t="s">
        <v>149</v>
      </c>
      <c r="AC455" s="26" t="s">
        <v>149</v>
      </c>
      <c r="AD455" s="28" t="s">
        <v>149</v>
      </c>
      <c r="AE455" s="29" t="s">
        <v>149</v>
      </c>
      <c r="AF455" s="26" t="s">
        <v>149</v>
      </c>
      <c r="AG455" s="26" t="s">
        <v>149</v>
      </c>
      <c r="AH455" s="26" t="s">
        <v>149</v>
      </c>
      <c r="AI455" s="26" t="s">
        <v>149</v>
      </c>
      <c r="AJ455" s="28" t="s">
        <v>149</v>
      </c>
      <c r="AK455" s="11" t="s">
        <v>149</v>
      </c>
      <c r="AL455" s="11" t="s">
        <v>149</v>
      </c>
      <c r="AM455" s="11" t="s">
        <v>149</v>
      </c>
      <c r="AN455" s="28" t="s">
        <v>165</v>
      </c>
      <c r="AO455" s="28" t="s">
        <v>289</v>
      </c>
      <c r="AP455" s="26" t="s">
        <v>2104</v>
      </c>
      <c r="AQ455" s="38" t="s">
        <v>2105</v>
      </c>
      <c r="AR455" s="11" t="s">
        <v>149</v>
      </c>
      <c r="AS455" s="11" t="s">
        <v>149</v>
      </c>
      <c r="AT455" s="42"/>
    </row>
    <row r="456">
      <c r="A456" s="36" t="s">
        <v>3146</v>
      </c>
      <c r="B456" s="26" t="str">
        <f t="shared" si="1"/>
        <v>2023-PH072220000-2022-0277</v>
      </c>
      <c r="C456" s="27">
        <f t="shared" si="5"/>
        <v>2023</v>
      </c>
      <c r="D456" s="37" t="s">
        <v>140</v>
      </c>
      <c r="E456" s="28" t="s">
        <v>141</v>
      </c>
      <c r="F456" s="28" t="s">
        <v>192</v>
      </c>
      <c r="G456" s="29" t="s">
        <v>193</v>
      </c>
      <c r="H456" s="29" t="s">
        <v>194</v>
      </c>
      <c r="I456" s="29" t="s">
        <v>195</v>
      </c>
      <c r="J456" s="29" t="s">
        <v>196</v>
      </c>
      <c r="K456" s="26" t="s">
        <v>149</v>
      </c>
      <c r="L456" s="29" t="s">
        <v>149</v>
      </c>
      <c r="M456" s="31">
        <v>2022.0</v>
      </c>
      <c r="N456" s="31" t="s">
        <v>149</v>
      </c>
      <c r="O456" s="31" t="s">
        <v>149</v>
      </c>
      <c r="P456" s="28" t="s">
        <v>177</v>
      </c>
      <c r="Q456" s="32" t="s">
        <v>178</v>
      </c>
      <c r="R456" s="28" t="s">
        <v>154</v>
      </c>
      <c r="S456" s="32" t="s">
        <v>154</v>
      </c>
      <c r="T456" s="28" t="s">
        <v>154</v>
      </c>
      <c r="U456" s="28" t="s">
        <v>154</v>
      </c>
      <c r="V456" s="26" t="s">
        <v>179</v>
      </c>
      <c r="W456" s="32" t="s">
        <v>149</v>
      </c>
      <c r="X456" s="32" t="s">
        <v>254</v>
      </c>
      <c r="Y456" s="26" t="s">
        <v>149</v>
      </c>
      <c r="Z456" s="26" t="s">
        <v>3147</v>
      </c>
      <c r="AA456" s="26" t="s">
        <v>159</v>
      </c>
      <c r="AB456" s="26" t="s">
        <v>160</v>
      </c>
      <c r="AC456" s="26" t="s">
        <v>306</v>
      </c>
      <c r="AD456" s="28" t="s">
        <v>306</v>
      </c>
      <c r="AE456" s="29" t="s">
        <v>149</v>
      </c>
      <c r="AF456" s="26" t="s">
        <v>149</v>
      </c>
      <c r="AG456" s="26" t="s">
        <v>149</v>
      </c>
      <c r="AH456" s="26" t="s">
        <v>3147</v>
      </c>
      <c r="AI456" s="26" t="s">
        <v>306</v>
      </c>
      <c r="AJ456" s="28" t="s">
        <v>306</v>
      </c>
      <c r="AK456" s="29" t="s">
        <v>149</v>
      </c>
      <c r="AL456" s="29" t="s">
        <v>149</v>
      </c>
      <c r="AM456" s="29" t="s">
        <v>149</v>
      </c>
      <c r="AN456" s="28" t="s">
        <v>213</v>
      </c>
      <c r="AO456" s="26" t="s">
        <v>214</v>
      </c>
      <c r="AP456" s="26" t="s">
        <v>214</v>
      </c>
      <c r="AQ456" s="29" t="s">
        <v>149</v>
      </c>
      <c r="AR456" s="26" t="s">
        <v>3148</v>
      </c>
      <c r="AS456" s="29" t="s">
        <v>149</v>
      </c>
      <c r="AT456" s="11"/>
    </row>
    <row r="457">
      <c r="A457" s="36" t="s">
        <v>3149</v>
      </c>
      <c r="B457" s="26" t="str">
        <f t="shared" si="1"/>
        <v>2023-PH072226000-2014-0284</v>
      </c>
      <c r="C457" s="27">
        <f t="shared" si="5"/>
        <v>2023</v>
      </c>
      <c r="D457" s="28" t="s">
        <v>140</v>
      </c>
      <c r="E457" s="28" t="s">
        <v>141</v>
      </c>
      <c r="F457" s="28" t="s">
        <v>192</v>
      </c>
      <c r="G457" s="29" t="s">
        <v>193</v>
      </c>
      <c r="H457" s="29" t="s">
        <v>194</v>
      </c>
      <c r="I457" s="40" t="s">
        <v>216</v>
      </c>
      <c r="J457" s="29" t="s">
        <v>217</v>
      </c>
      <c r="K457" s="26" t="s">
        <v>149</v>
      </c>
      <c r="L457" s="26" t="s">
        <v>3150</v>
      </c>
      <c r="M457" s="31">
        <v>2014.0</v>
      </c>
      <c r="N457" s="31">
        <v>2014.0</v>
      </c>
      <c r="O457" s="31">
        <v>2015.0</v>
      </c>
      <c r="P457" s="28" t="s">
        <v>177</v>
      </c>
      <c r="Q457" s="32" t="s">
        <v>178</v>
      </c>
      <c r="R457" s="28" t="s">
        <v>154</v>
      </c>
      <c r="S457" s="32" t="s">
        <v>154</v>
      </c>
      <c r="T457" s="28" t="s">
        <v>154</v>
      </c>
      <c r="U457" s="28" t="s">
        <v>154</v>
      </c>
      <c r="V457" s="26" t="s">
        <v>179</v>
      </c>
      <c r="W457" s="32" t="s">
        <v>149</v>
      </c>
      <c r="X457" s="32" t="s">
        <v>254</v>
      </c>
      <c r="Y457" s="26" t="s">
        <v>149</v>
      </c>
      <c r="Z457" s="26" t="s">
        <v>149</v>
      </c>
      <c r="AA457" s="26" t="s">
        <v>149</v>
      </c>
      <c r="AB457" s="26" t="s">
        <v>149</v>
      </c>
      <c r="AC457" s="26" t="s">
        <v>149</v>
      </c>
      <c r="AD457" s="28" t="s">
        <v>149</v>
      </c>
      <c r="AE457" s="29" t="s">
        <v>149</v>
      </c>
      <c r="AF457" s="26" t="s">
        <v>149</v>
      </c>
      <c r="AG457" s="26" t="s">
        <v>149</v>
      </c>
      <c r="AH457" s="26" t="s">
        <v>885</v>
      </c>
      <c r="AI457" s="32" t="s">
        <v>209</v>
      </c>
      <c r="AJ457" s="28" t="s">
        <v>886</v>
      </c>
      <c r="AK457" s="28" t="s">
        <v>149</v>
      </c>
      <c r="AL457" s="29" t="s">
        <v>149</v>
      </c>
      <c r="AM457" s="29" t="s">
        <v>149</v>
      </c>
      <c r="AN457" s="28" t="s">
        <v>165</v>
      </c>
      <c r="AO457" s="28" t="s">
        <v>1159</v>
      </c>
      <c r="AP457" s="26" t="s">
        <v>3151</v>
      </c>
      <c r="AQ457" s="39" t="s">
        <v>3152</v>
      </c>
      <c r="AR457" s="29" t="s">
        <v>149</v>
      </c>
      <c r="AS457" s="29" t="s">
        <v>149</v>
      </c>
      <c r="AT457" s="26"/>
    </row>
    <row r="458">
      <c r="A458" s="36" t="s">
        <v>3153</v>
      </c>
      <c r="B458" s="26" t="str">
        <f t="shared" si="1"/>
        <v>2023-PH072226000-2014-0285</v>
      </c>
      <c r="C458" s="27">
        <f t="shared" si="5"/>
        <v>2023</v>
      </c>
      <c r="D458" s="28" t="s">
        <v>140</v>
      </c>
      <c r="E458" s="28" t="s">
        <v>141</v>
      </c>
      <c r="F458" s="28" t="s">
        <v>192</v>
      </c>
      <c r="G458" s="29" t="s">
        <v>193</v>
      </c>
      <c r="H458" s="29" t="s">
        <v>194</v>
      </c>
      <c r="I458" s="40" t="s">
        <v>216</v>
      </c>
      <c r="J458" s="29" t="s">
        <v>217</v>
      </c>
      <c r="K458" s="26" t="s">
        <v>149</v>
      </c>
      <c r="L458" s="26" t="s">
        <v>218</v>
      </c>
      <c r="M458" s="31">
        <v>2014.0</v>
      </c>
      <c r="N458" s="31">
        <v>2014.0</v>
      </c>
      <c r="O458" s="31">
        <v>2015.0</v>
      </c>
      <c r="P458" s="28" t="s">
        <v>263</v>
      </c>
      <c r="Q458" s="32" t="s">
        <v>264</v>
      </c>
      <c r="R458" s="28" t="s">
        <v>149</v>
      </c>
      <c r="S458" s="32" t="s">
        <v>149</v>
      </c>
      <c r="T458" s="28" t="s">
        <v>154</v>
      </c>
      <c r="U458" s="28" t="s">
        <v>154</v>
      </c>
      <c r="V458" s="26" t="s">
        <v>179</v>
      </c>
      <c r="W458" s="32" t="s">
        <v>149</v>
      </c>
      <c r="X458" s="32" t="s">
        <v>254</v>
      </c>
      <c r="Y458" s="26" t="s">
        <v>149</v>
      </c>
      <c r="Z458" s="26" t="s">
        <v>149</v>
      </c>
      <c r="AA458" s="26" t="s">
        <v>149</v>
      </c>
      <c r="AB458" s="26" t="s">
        <v>149</v>
      </c>
      <c r="AC458" s="26" t="s">
        <v>149</v>
      </c>
      <c r="AD458" s="28" t="s">
        <v>149</v>
      </c>
      <c r="AE458" s="29" t="s">
        <v>149</v>
      </c>
      <c r="AF458" s="26" t="s">
        <v>149</v>
      </c>
      <c r="AG458" s="26" t="s">
        <v>149</v>
      </c>
      <c r="AH458" s="26" t="s">
        <v>885</v>
      </c>
      <c r="AI458" s="32" t="s">
        <v>209</v>
      </c>
      <c r="AJ458" s="28" t="s">
        <v>886</v>
      </c>
      <c r="AK458" s="28" t="s">
        <v>149</v>
      </c>
      <c r="AL458" s="29" t="s">
        <v>149</v>
      </c>
      <c r="AM458" s="29" t="s">
        <v>149</v>
      </c>
      <c r="AN458" s="28" t="s">
        <v>165</v>
      </c>
      <c r="AO458" s="28" t="s">
        <v>1159</v>
      </c>
      <c r="AP458" s="26" t="s">
        <v>3151</v>
      </c>
      <c r="AQ458" s="39" t="s">
        <v>3152</v>
      </c>
      <c r="AR458" s="29" t="s">
        <v>149</v>
      </c>
      <c r="AS458" s="29" t="s">
        <v>149</v>
      </c>
      <c r="AT458" s="26"/>
    </row>
    <row r="459">
      <c r="A459" s="36" t="s">
        <v>3154</v>
      </c>
      <c r="B459" s="26" t="str">
        <f t="shared" si="1"/>
        <v>2023-PH082619000-Unknown-0304</v>
      </c>
      <c r="C459" s="27">
        <f t="shared" si="5"/>
        <v>2023</v>
      </c>
      <c r="D459" s="37" t="s">
        <v>140</v>
      </c>
      <c r="E459" s="28" t="s">
        <v>141</v>
      </c>
      <c r="F459" s="28" t="s">
        <v>192</v>
      </c>
      <c r="G459" s="29" t="s">
        <v>579</v>
      </c>
      <c r="H459" s="29" t="s">
        <v>580</v>
      </c>
      <c r="I459" s="29" t="s">
        <v>3155</v>
      </c>
      <c r="J459" s="29" t="s">
        <v>3156</v>
      </c>
      <c r="K459" s="26" t="s">
        <v>149</v>
      </c>
      <c r="L459" s="28" t="s">
        <v>3157</v>
      </c>
      <c r="M459" s="31" t="s">
        <v>149</v>
      </c>
      <c r="N459" s="31" t="s">
        <v>149</v>
      </c>
      <c r="O459" s="31" t="s">
        <v>149</v>
      </c>
      <c r="P459" s="28" t="s">
        <v>150</v>
      </c>
      <c r="Q459" s="32" t="s">
        <v>151</v>
      </c>
      <c r="R459" s="28" t="s">
        <v>149</v>
      </c>
      <c r="S459" s="32" t="s">
        <v>149</v>
      </c>
      <c r="T459" s="28" t="s">
        <v>154</v>
      </c>
      <c r="U459" s="28" t="s">
        <v>154</v>
      </c>
      <c r="V459" s="26" t="s">
        <v>149</v>
      </c>
      <c r="W459" s="32" t="s">
        <v>149</v>
      </c>
      <c r="X459" s="32" t="s">
        <v>254</v>
      </c>
      <c r="Y459" s="26" t="s">
        <v>149</v>
      </c>
      <c r="Z459" s="26" t="s">
        <v>149</v>
      </c>
      <c r="AA459" s="26" t="s">
        <v>149</v>
      </c>
      <c r="AB459" s="26" t="s">
        <v>149</v>
      </c>
      <c r="AC459" s="26" t="s">
        <v>149</v>
      </c>
      <c r="AD459" s="28" t="s">
        <v>149</v>
      </c>
      <c r="AE459" s="29" t="s">
        <v>149</v>
      </c>
      <c r="AF459" s="26" t="s">
        <v>149</v>
      </c>
      <c r="AG459" s="26" t="s">
        <v>149</v>
      </c>
      <c r="AH459" s="26" t="s">
        <v>149</v>
      </c>
      <c r="AI459" s="26" t="s">
        <v>149</v>
      </c>
      <c r="AJ459" s="28" t="s">
        <v>149</v>
      </c>
      <c r="AK459" s="42" t="s">
        <v>149</v>
      </c>
      <c r="AL459" s="28" t="s">
        <v>149</v>
      </c>
      <c r="AM459" s="42" t="s">
        <v>149</v>
      </c>
      <c r="AN459" s="28" t="s">
        <v>165</v>
      </c>
      <c r="AO459" s="28" t="s">
        <v>731</v>
      </c>
      <c r="AP459" s="26" t="s">
        <v>3158</v>
      </c>
      <c r="AQ459" s="38" t="s">
        <v>3159</v>
      </c>
      <c r="AR459" s="28" t="s">
        <v>149</v>
      </c>
      <c r="AS459" s="28" t="s">
        <v>149</v>
      </c>
      <c r="AT459" s="28"/>
    </row>
    <row r="460">
      <c r="A460" s="36" t="s">
        <v>3160</v>
      </c>
      <c r="B460" s="26" t="str">
        <f t="shared" si="1"/>
        <v>2025-PH086409000-2017-0322</v>
      </c>
      <c r="C460" s="27">
        <f t="shared" si="5"/>
        <v>2025</v>
      </c>
      <c r="D460" s="28" t="s">
        <v>191</v>
      </c>
      <c r="E460" s="28" t="s">
        <v>191</v>
      </c>
      <c r="F460" s="28" t="s">
        <v>192</v>
      </c>
      <c r="G460" s="29" t="s">
        <v>579</v>
      </c>
      <c r="H460" s="29" t="s">
        <v>1271</v>
      </c>
      <c r="I460" s="29" t="s">
        <v>3161</v>
      </c>
      <c r="J460" s="29" t="s">
        <v>3162</v>
      </c>
      <c r="K460" s="26" t="s">
        <v>149</v>
      </c>
      <c r="L460" s="28" t="s">
        <v>149</v>
      </c>
      <c r="M460" s="31">
        <v>2017.0</v>
      </c>
      <c r="N460" s="31">
        <v>2017.0</v>
      </c>
      <c r="O460" s="31" t="s">
        <v>149</v>
      </c>
      <c r="P460" s="28" t="s">
        <v>177</v>
      </c>
      <c r="Q460" s="32" t="s">
        <v>319</v>
      </c>
      <c r="R460" s="28" t="s">
        <v>154</v>
      </c>
      <c r="S460" s="32" t="s">
        <v>154</v>
      </c>
      <c r="T460" s="28" t="s">
        <v>300</v>
      </c>
      <c r="U460" s="28" t="s">
        <v>1037</v>
      </c>
      <c r="V460" s="26" t="s">
        <v>3163</v>
      </c>
      <c r="W460" s="32" t="s">
        <v>149</v>
      </c>
      <c r="X460" s="32" t="s">
        <v>254</v>
      </c>
      <c r="Y460" s="26" t="s">
        <v>149</v>
      </c>
      <c r="Z460" s="26" t="s">
        <v>149</v>
      </c>
      <c r="AA460" s="26" t="s">
        <v>149</v>
      </c>
      <c r="AB460" s="26" t="s">
        <v>149</v>
      </c>
      <c r="AC460" s="26" t="s">
        <v>2635</v>
      </c>
      <c r="AD460" s="28" t="s">
        <v>2635</v>
      </c>
      <c r="AE460" s="29" t="s">
        <v>149</v>
      </c>
      <c r="AF460" s="26" t="s">
        <v>149</v>
      </c>
      <c r="AG460" s="28" t="s">
        <v>3164</v>
      </c>
      <c r="AH460" s="26" t="s">
        <v>3165</v>
      </c>
      <c r="AI460" s="32" t="s">
        <v>929</v>
      </c>
      <c r="AJ460" s="28" t="s">
        <v>929</v>
      </c>
      <c r="AK460" s="28" t="s">
        <v>149</v>
      </c>
      <c r="AL460" s="28" t="s">
        <v>149</v>
      </c>
      <c r="AM460" s="28" t="s">
        <v>149</v>
      </c>
      <c r="AN460" s="28" t="s">
        <v>165</v>
      </c>
      <c r="AO460" s="28" t="s">
        <v>689</v>
      </c>
      <c r="AP460" s="26" t="s">
        <v>3166</v>
      </c>
      <c r="AQ460" s="38" t="s">
        <v>3167</v>
      </c>
      <c r="AR460" s="26" t="s">
        <v>3165</v>
      </c>
      <c r="AS460" s="28" t="s">
        <v>149</v>
      </c>
      <c r="AT460" s="11"/>
    </row>
    <row r="461">
      <c r="A461" s="36" t="s">
        <v>3168</v>
      </c>
      <c r="B461" s="26" t="str">
        <f t="shared" si="1"/>
        <v>2023-PH097322000-Unknown-0334</v>
      </c>
      <c r="C461" s="27">
        <f t="shared" si="5"/>
        <v>2023</v>
      </c>
      <c r="D461" s="37" t="s">
        <v>140</v>
      </c>
      <c r="E461" s="28" t="s">
        <v>141</v>
      </c>
      <c r="F461" s="28" t="s">
        <v>192</v>
      </c>
      <c r="G461" s="29" t="s">
        <v>590</v>
      </c>
      <c r="H461" s="29" t="s">
        <v>769</v>
      </c>
      <c r="I461" s="40" t="s">
        <v>770</v>
      </c>
      <c r="J461" s="29" t="s">
        <v>771</v>
      </c>
      <c r="K461" s="26" t="s">
        <v>149</v>
      </c>
      <c r="L461" s="28" t="s">
        <v>3169</v>
      </c>
      <c r="M461" s="31" t="s">
        <v>149</v>
      </c>
      <c r="N461" s="31" t="s">
        <v>149</v>
      </c>
      <c r="O461" s="31" t="s">
        <v>149</v>
      </c>
      <c r="P461" s="28" t="s">
        <v>150</v>
      </c>
      <c r="Q461" s="32" t="s">
        <v>151</v>
      </c>
      <c r="R461" s="28" t="s">
        <v>149</v>
      </c>
      <c r="S461" s="32" t="s">
        <v>149</v>
      </c>
      <c r="T461" s="28" t="s">
        <v>154</v>
      </c>
      <c r="U461" s="28" t="s">
        <v>154</v>
      </c>
      <c r="V461" s="26" t="s">
        <v>149</v>
      </c>
      <c r="W461" s="32" t="s">
        <v>149</v>
      </c>
      <c r="X461" s="32" t="s">
        <v>254</v>
      </c>
      <c r="Y461" s="26" t="s">
        <v>149</v>
      </c>
      <c r="Z461" s="26" t="s">
        <v>149</v>
      </c>
      <c r="AA461" s="26" t="s">
        <v>149</v>
      </c>
      <c r="AB461" s="26" t="s">
        <v>149</v>
      </c>
      <c r="AC461" s="26" t="s">
        <v>149</v>
      </c>
      <c r="AD461" s="28" t="s">
        <v>149</v>
      </c>
      <c r="AE461" s="29" t="s">
        <v>149</v>
      </c>
      <c r="AF461" s="26" t="s">
        <v>149</v>
      </c>
      <c r="AG461" s="26" t="s">
        <v>149</v>
      </c>
      <c r="AH461" s="26" t="s">
        <v>149</v>
      </c>
      <c r="AI461" s="26" t="s">
        <v>149</v>
      </c>
      <c r="AJ461" s="28" t="s">
        <v>149</v>
      </c>
      <c r="AK461" s="26" t="s">
        <v>149</v>
      </c>
      <c r="AL461" s="26" t="s">
        <v>149</v>
      </c>
      <c r="AM461" s="101" t="s">
        <v>149</v>
      </c>
      <c r="AN461" s="28" t="s">
        <v>165</v>
      </c>
      <c r="AO461" s="28" t="s">
        <v>289</v>
      </c>
      <c r="AP461" s="26" t="s">
        <v>3170</v>
      </c>
      <c r="AQ461" s="38" t="s">
        <v>3171</v>
      </c>
      <c r="AR461" s="26" t="s">
        <v>149</v>
      </c>
      <c r="AS461" s="101" t="s">
        <v>149</v>
      </c>
      <c r="AT461" s="26"/>
    </row>
    <row r="462">
      <c r="A462" s="36" t="s">
        <v>3172</v>
      </c>
      <c r="B462" s="26" t="str">
        <f t="shared" si="1"/>
        <v>2023-PH104321000-2016-0364</v>
      </c>
      <c r="C462" s="27">
        <f t="shared" si="5"/>
        <v>2023</v>
      </c>
      <c r="D462" s="37" t="s">
        <v>140</v>
      </c>
      <c r="E462" s="28" t="s">
        <v>141</v>
      </c>
      <c r="F462" s="28" t="s">
        <v>192</v>
      </c>
      <c r="G462" s="29" t="s">
        <v>171</v>
      </c>
      <c r="H462" s="29" t="s">
        <v>172</v>
      </c>
      <c r="I462" s="29" t="s">
        <v>3173</v>
      </c>
      <c r="J462" s="30" t="s">
        <v>3174</v>
      </c>
      <c r="K462" s="26" t="s">
        <v>149</v>
      </c>
      <c r="L462" s="28" t="s">
        <v>149</v>
      </c>
      <c r="M462" s="31">
        <v>2016.0</v>
      </c>
      <c r="N462" s="31" t="s">
        <v>149</v>
      </c>
      <c r="O462" s="31" t="s">
        <v>149</v>
      </c>
      <c r="P462" s="28" t="s">
        <v>150</v>
      </c>
      <c r="Q462" s="32" t="s">
        <v>151</v>
      </c>
      <c r="R462" s="28" t="s">
        <v>149</v>
      </c>
      <c r="S462" s="32" t="s">
        <v>149</v>
      </c>
      <c r="T462" s="28" t="s">
        <v>154</v>
      </c>
      <c r="U462" s="28" t="s">
        <v>154</v>
      </c>
      <c r="V462" s="26" t="s">
        <v>149</v>
      </c>
      <c r="W462" s="32" t="s">
        <v>149</v>
      </c>
      <c r="X462" s="32" t="s">
        <v>254</v>
      </c>
      <c r="Y462" s="26" t="s">
        <v>149</v>
      </c>
      <c r="Z462" s="26" t="s">
        <v>149</v>
      </c>
      <c r="AA462" s="26" t="s">
        <v>149</v>
      </c>
      <c r="AB462" s="26" t="s">
        <v>149</v>
      </c>
      <c r="AC462" s="26" t="s">
        <v>149</v>
      </c>
      <c r="AD462" s="28" t="s">
        <v>149</v>
      </c>
      <c r="AE462" s="29" t="s">
        <v>149</v>
      </c>
      <c r="AF462" s="26" t="s">
        <v>149</v>
      </c>
      <c r="AG462" s="26" t="s">
        <v>149</v>
      </c>
      <c r="AH462" s="26" t="s">
        <v>149</v>
      </c>
      <c r="AI462" s="26" t="s">
        <v>149</v>
      </c>
      <c r="AJ462" s="28" t="s">
        <v>149</v>
      </c>
      <c r="AK462" s="26" t="s">
        <v>149</v>
      </c>
      <c r="AL462" s="26" t="s">
        <v>149</v>
      </c>
      <c r="AM462" s="26" t="s">
        <v>149</v>
      </c>
      <c r="AN462" s="28" t="s">
        <v>165</v>
      </c>
      <c r="AO462" s="26" t="s">
        <v>166</v>
      </c>
      <c r="AP462" s="26" t="s">
        <v>3175</v>
      </c>
      <c r="AQ462" s="38" t="s">
        <v>3176</v>
      </c>
      <c r="AR462" s="26" t="s">
        <v>149</v>
      </c>
      <c r="AS462" s="26" t="s">
        <v>149</v>
      </c>
      <c r="AT462" s="28"/>
    </row>
    <row r="463">
      <c r="A463" s="36" t="s">
        <v>3177</v>
      </c>
      <c r="B463" s="26" t="str">
        <f t="shared" si="1"/>
        <v>2023-PH112510000-Unknown-0382</v>
      </c>
      <c r="C463" s="27">
        <f t="shared" si="5"/>
        <v>2023</v>
      </c>
      <c r="D463" s="28" t="s">
        <v>140</v>
      </c>
      <c r="E463" s="28" t="s">
        <v>141</v>
      </c>
      <c r="F463" s="28" t="s">
        <v>192</v>
      </c>
      <c r="G463" s="29" t="s">
        <v>330</v>
      </c>
      <c r="H463" s="29" t="s">
        <v>999</v>
      </c>
      <c r="I463" s="29" t="s">
        <v>3178</v>
      </c>
      <c r="J463" s="30" t="s">
        <v>3179</v>
      </c>
      <c r="K463" s="26" t="s">
        <v>149</v>
      </c>
      <c r="L463" s="28" t="s">
        <v>149</v>
      </c>
      <c r="M463" s="31" t="s">
        <v>149</v>
      </c>
      <c r="N463" s="31" t="s">
        <v>149</v>
      </c>
      <c r="O463" s="31" t="s">
        <v>149</v>
      </c>
      <c r="P463" s="28" t="s">
        <v>150</v>
      </c>
      <c r="Q463" s="32" t="s">
        <v>151</v>
      </c>
      <c r="R463" s="28" t="s">
        <v>149</v>
      </c>
      <c r="S463" s="32" t="s">
        <v>149</v>
      </c>
      <c r="T463" s="28" t="s">
        <v>154</v>
      </c>
      <c r="U463" s="28" t="s">
        <v>154</v>
      </c>
      <c r="V463" s="26" t="s">
        <v>149</v>
      </c>
      <c r="W463" s="32" t="s">
        <v>149</v>
      </c>
      <c r="X463" s="32" t="s">
        <v>254</v>
      </c>
      <c r="Y463" s="26" t="s">
        <v>149</v>
      </c>
      <c r="Z463" s="26" t="s">
        <v>149</v>
      </c>
      <c r="AA463" s="26" t="s">
        <v>149</v>
      </c>
      <c r="AB463" s="26" t="s">
        <v>149</v>
      </c>
      <c r="AC463" s="26" t="s">
        <v>149</v>
      </c>
      <c r="AD463" s="28" t="s">
        <v>149</v>
      </c>
      <c r="AE463" s="29" t="s">
        <v>149</v>
      </c>
      <c r="AF463" s="26" t="s">
        <v>149</v>
      </c>
      <c r="AG463" s="26" t="s">
        <v>149</v>
      </c>
      <c r="AH463" s="26" t="s">
        <v>369</v>
      </c>
      <c r="AI463" s="28" t="s">
        <v>161</v>
      </c>
      <c r="AJ463" s="28" t="s">
        <v>369</v>
      </c>
      <c r="AK463" s="11" t="s">
        <v>149</v>
      </c>
      <c r="AL463" s="11" t="s">
        <v>149</v>
      </c>
      <c r="AM463" s="11" t="s">
        <v>149</v>
      </c>
      <c r="AN463" s="28" t="s">
        <v>165</v>
      </c>
      <c r="AO463" s="28" t="s">
        <v>289</v>
      </c>
      <c r="AP463" s="26" t="s">
        <v>2104</v>
      </c>
      <c r="AQ463" s="38" t="s">
        <v>2105</v>
      </c>
      <c r="AR463" s="11" t="s">
        <v>149</v>
      </c>
      <c r="AS463" s="11" t="s">
        <v>149</v>
      </c>
      <c r="AT463" s="45"/>
    </row>
    <row r="464">
      <c r="A464" s="36" t="s">
        <v>3180</v>
      </c>
      <c r="B464" s="26" t="str">
        <f t="shared" si="1"/>
        <v>2023-PH126303000-Unknown-0384</v>
      </c>
      <c r="C464" s="27">
        <f t="shared" si="5"/>
        <v>2023</v>
      </c>
      <c r="D464" s="28" t="s">
        <v>140</v>
      </c>
      <c r="E464" s="28" t="s">
        <v>141</v>
      </c>
      <c r="F464" s="28" t="s">
        <v>192</v>
      </c>
      <c r="G464" s="29" t="s">
        <v>356</v>
      </c>
      <c r="H464" s="29" t="s">
        <v>1997</v>
      </c>
      <c r="I464" s="40" t="s">
        <v>1998</v>
      </c>
      <c r="J464" s="30" t="s">
        <v>1999</v>
      </c>
      <c r="K464" s="26" t="s">
        <v>149</v>
      </c>
      <c r="L464" s="28" t="s">
        <v>3181</v>
      </c>
      <c r="M464" s="31" t="s">
        <v>149</v>
      </c>
      <c r="N464" s="31" t="s">
        <v>149</v>
      </c>
      <c r="O464" s="31" t="s">
        <v>149</v>
      </c>
      <c r="P464" s="28" t="s">
        <v>150</v>
      </c>
      <c r="Q464" s="32" t="s">
        <v>151</v>
      </c>
      <c r="R464" s="50" t="s">
        <v>152</v>
      </c>
      <c r="S464" s="32" t="s">
        <v>361</v>
      </c>
      <c r="T464" s="28" t="s">
        <v>154</v>
      </c>
      <c r="U464" s="28" t="s">
        <v>154</v>
      </c>
      <c r="V464" s="26" t="s">
        <v>362</v>
      </c>
      <c r="W464" s="32" t="s">
        <v>149</v>
      </c>
      <c r="X464" s="32" t="s">
        <v>254</v>
      </c>
      <c r="Y464" s="26" t="s">
        <v>149</v>
      </c>
      <c r="Z464" s="26" t="s">
        <v>149</v>
      </c>
      <c r="AA464" s="26" t="s">
        <v>149</v>
      </c>
      <c r="AB464" s="26" t="s">
        <v>149</v>
      </c>
      <c r="AC464" s="26" t="s">
        <v>149</v>
      </c>
      <c r="AD464" s="28" t="s">
        <v>149</v>
      </c>
      <c r="AE464" s="29" t="s">
        <v>149</v>
      </c>
      <c r="AF464" s="26" t="s">
        <v>149</v>
      </c>
      <c r="AG464" s="26" t="s">
        <v>3182</v>
      </c>
      <c r="AH464" s="26" t="s">
        <v>149</v>
      </c>
      <c r="AI464" s="26" t="s">
        <v>149</v>
      </c>
      <c r="AJ464" s="28" t="s">
        <v>149</v>
      </c>
      <c r="AK464" s="11" t="s">
        <v>149</v>
      </c>
      <c r="AL464" s="11" t="s">
        <v>149</v>
      </c>
      <c r="AM464" s="11" t="s">
        <v>149</v>
      </c>
      <c r="AN464" s="28" t="s">
        <v>165</v>
      </c>
      <c r="AO464" s="26" t="s">
        <v>166</v>
      </c>
      <c r="AP464" s="26" t="s">
        <v>3183</v>
      </c>
      <c r="AQ464" s="38" t="s">
        <v>3184</v>
      </c>
      <c r="AR464" s="11" t="s">
        <v>149</v>
      </c>
      <c r="AS464" s="11" t="s">
        <v>149</v>
      </c>
      <c r="AT464" s="28"/>
    </row>
    <row r="465">
      <c r="A465" s="36" t="s">
        <v>3185</v>
      </c>
      <c r="B465" s="26" t="str">
        <f t="shared" si="1"/>
        <v>2025-PH128002000-2012-0390</v>
      </c>
      <c r="C465" s="27">
        <f t="shared" si="5"/>
        <v>2025</v>
      </c>
      <c r="D465" s="28" t="s">
        <v>191</v>
      </c>
      <c r="E465" s="28" t="s">
        <v>191</v>
      </c>
      <c r="F465" s="28" t="s">
        <v>192</v>
      </c>
      <c r="G465" s="29" t="s">
        <v>356</v>
      </c>
      <c r="H465" s="29" t="s">
        <v>357</v>
      </c>
      <c r="I465" s="29" t="s">
        <v>3186</v>
      </c>
      <c r="J465" s="30" t="s">
        <v>3187</v>
      </c>
      <c r="K465" s="26" t="s">
        <v>149</v>
      </c>
      <c r="L465" s="26" t="s">
        <v>3188</v>
      </c>
      <c r="M465" s="31">
        <v>2012.0</v>
      </c>
      <c r="N465" s="31" t="s">
        <v>149</v>
      </c>
      <c r="O465" s="31" t="s">
        <v>149</v>
      </c>
      <c r="P465" s="28" t="s">
        <v>263</v>
      </c>
      <c r="Q465" s="32" t="s">
        <v>264</v>
      </c>
      <c r="R465" s="28" t="s">
        <v>152</v>
      </c>
      <c r="S465" s="32" t="s">
        <v>265</v>
      </c>
      <c r="T465" s="28" t="s">
        <v>154</v>
      </c>
      <c r="U465" s="28" t="s">
        <v>154</v>
      </c>
      <c r="V465" s="26" t="s">
        <v>3189</v>
      </c>
      <c r="W465" s="32" t="s">
        <v>149</v>
      </c>
      <c r="X465" s="32" t="s">
        <v>254</v>
      </c>
      <c r="Y465" s="26" t="s">
        <v>149</v>
      </c>
      <c r="Z465" s="26" t="s">
        <v>341</v>
      </c>
      <c r="AA465" s="26" t="s">
        <v>159</v>
      </c>
      <c r="AB465" s="26" t="s">
        <v>160</v>
      </c>
      <c r="AC465" s="28" t="s">
        <v>322</v>
      </c>
      <c r="AD465" s="28" t="s">
        <v>341</v>
      </c>
      <c r="AE465" s="29" t="s">
        <v>149</v>
      </c>
      <c r="AF465" s="26" t="s">
        <v>149</v>
      </c>
      <c r="AG465" s="26" t="s">
        <v>149</v>
      </c>
      <c r="AH465" s="26" t="s">
        <v>341</v>
      </c>
      <c r="AI465" s="28" t="s">
        <v>322</v>
      </c>
      <c r="AJ465" s="28" t="s">
        <v>341</v>
      </c>
      <c r="AK465" s="28" t="s">
        <v>149</v>
      </c>
      <c r="AL465" s="28" t="s">
        <v>149</v>
      </c>
      <c r="AM465" s="28" t="s">
        <v>149</v>
      </c>
      <c r="AN465" s="28" t="s">
        <v>165</v>
      </c>
      <c r="AO465" s="28" t="s">
        <v>1159</v>
      </c>
      <c r="AP465" s="26" t="s">
        <v>3190</v>
      </c>
      <c r="AQ465" s="38" t="s">
        <v>3191</v>
      </c>
      <c r="AR465" s="28" t="s">
        <v>149</v>
      </c>
      <c r="AS465" s="28" t="s">
        <v>149</v>
      </c>
      <c r="AT465" s="28"/>
    </row>
    <row r="466">
      <c r="A466" s="36" t="s">
        <v>3192</v>
      </c>
      <c r="B466" s="26" t="str">
        <f t="shared" si="1"/>
        <v>2023-PH166708000-Unknown-0401</v>
      </c>
      <c r="C466" s="27">
        <f t="shared" si="5"/>
        <v>2023</v>
      </c>
      <c r="D466" s="37" t="s">
        <v>140</v>
      </c>
      <c r="E466" s="28" t="s">
        <v>141</v>
      </c>
      <c r="F466" s="28" t="s">
        <v>192</v>
      </c>
      <c r="G466" s="29" t="s">
        <v>345</v>
      </c>
      <c r="H466" s="29" t="s">
        <v>346</v>
      </c>
      <c r="I466" s="29" t="s">
        <v>3193</v>
      </c>
      <c r="J466" s="30" t="s">
        <v>3194</v>
      </c>
      <c r="K466" s="26" t="s">
        <v>149</v>
      </c>
      <c r="L466" s="29" t="s">
        <v>149</v>
      </c>
      <c r="M466" s="31" t="s">
        <v>149</v>
      </c>
      <c r="N466" s="41" t="s">
        <v>149</v>
      </c>
      <c r="O466" s="41" t="s">
        <v>149</v>
      </c>
      <c r="P466" s="28" t="s">
        <v>150</v>
      </c>
      <c r="Q466" s="32" t="s">
        <v>151</v>
      </c>
      <c r="R466" s="28" t="s">
        <v>152</v>
      </c>
      <c r="S466" s="32" t="s">
        <v>911</v>
      </c>
      <c r="T466" s="28" t="s">
        <v>154</v>
      </c>
      <c r="U466" s="28" t="s">
        <v>154</v>
      </c>
      <c r="V466" s="26" t="s">
        <v>911</v>
      </c>
      <c r="W466" s="32" t="s">
        <v>149</v>
      </c>
      <c r="X466" s="32" t="s">
        <v>254</v>
      </c>
      <c r="Y466" s="26" t="s">
        <v>149</v>
      </c>
      <c r="Z466" s="26" t="s">
        <v>149</v>
      </c>
      <c r="AA466" s="26" t="s">
        <v>149</v>
      </c>
      <c r="AB466" s="26" t="s">
        <v>149</v>
      </c>
      <c r="AC466" s="26" t="s">
        <v>149</v>
      </c>
      <c r="AD466" s="28" t="s">
        <v>149</v>
      </c>
      <c r="AE466" s="29" t="s">
        <v>149</v>
      </c>
      <c r="AF466" s="26" t="s">
        <v>149</v>
      </c>
      <c r="AG466" s="26" t="s">
        <v>149</v>
      </c>
      <c r="AH466" s="26" t="s">
        <v>149</v>
      </c>
      <c r="AI466" s="26" t="s">
        <v>149</v>
      </c>
      <c r="AJ466" s="28" t="s">
        <v>149</v>
      </c>
      <c r="AK466" s="11" t="s">
        <v>149</v>
      </c>
      <c r="AL466" s="11" t="s">
        <v>149</v>
      </c>
      <c r="AM466" s="11" t="s">
        <v>149</v>
      </c>
      <c r="AN466" s="28" t="s">
        <v>165</v>
      </c>
      <c r="AO466" s="28" t="s">
        <v>289</v>
      </c>
      <c r="AP466" s="26" t="s">
        <v>3195</v>
      </c>
      <c r="AQ466" s="38" t="s">
        <v>3196</v>
      </c>
      <c r="AR466" s="11" t="s">
        <v>149</v>
      </c>
      <c r="AS466" s="11" t="s">
        <v>149</v>
      </c>
      <c r="AT466" s="11"/>
    </row>
    <row r="467">
      <c r="A467" s="36" t="s">
        <v>3197</v>
      </c>
      <c r="B467" s="26" t="str">
        <f t="shared" si="1"/>
        <v>2023-PH166715000-2020-0402</v>
      </c>
      <c r="C467" s="27">
        <f t="shared" si="5"/>
        <v>2023</v>
      </c>
      <c r="D467" s="37" t="s">
        <v>140</v>
      </c>
      <c r="E467" s="28" t="s">
        <v>141</v>
      </c>
      <c r="F467" s="28" t="s">
        <v>192</v>
      </c>
      <c r="G467" s="29" t="s">
        <v>345</v>
      </c>
      <c r="H467" s="29" t="s">
        <v>346</v>
      </c>
      <c r="I467" s="29" t="s">
        <v>3198</v>
      </c>
      <c r="J467" s="30" t="s">
        <v>3199</v>
      </c>
      <c r="K467" s="26" t="s">
        <v>149</v>
      </c>
      <c r="L467" s="26" t="s">
        <v>3200</v>
      </c>
      <c r="M467" s="31">
        <v>2020.0</v>
      </c>
      <c r="N467" s="41" t="s">
        <v>149</v>
      </c>
      <c r="O467" s="41" t="s">
        <v>149</v>
      </c>
      <c r="P467" s="28" t="s">
        <v>150</v>
      </c>
      <c r="Q467" s="32" t="s">
        <v>151</v>
      </c>
      <c r="R467" s="28" t="s">
        <v>149</v>
      </c>
      <c r="S467" s="32" t="s">
        <v>149</v>
      </c>
      <c r="T467" s="28" t="s">
        <v>154</v>
      </c>
      <c r="U467" s="28" t="s">
        <v>154</v>
      </c>
      <c r="V467" s="26" t="s">
        <v>149</v>
      </c>
      <c r="W467" s="32" t="s">
        <v>149</v>
      </c>
      <c r="X467" s="32" t="s">
        <v>254</v>
      </c>
      <c r="Y467" s="26" t="s">
        <v>149</v>
      </c>
      <c r="Z467" s="26" t="s">
        <v>149</v>
      </c>
      <c r="AA467" s="26" t="s">
        <v>149</v>
      </c>
      <c r="AB467" s="26" t="s">
        <v>149</v>
      </c>
      <c r="AC467" s="26" t="s">
        <v>149</v>
      </c>
      <c r="AD467" s="28" t="s">
        <v>149</v>
      </c>
      <c r="AE467" s="29" t="s">
        <v>149</v>
      </c>
      <c r="AF467" s="26" t="s">
        <v>149</v>
      </c>
      <c r="AG467" s="26" t="s">
        <v>571</v>
      </c>
      <c r="AH467" s="26" t="s">
        <v>369</v>
      </c>
      <c r="AI467" s="28" t="s">
        <v>161</v>
      </c>
      <c r="AJ467" s="28" t="s">
        <v>369</v>
      </c>
      <c r="AK467" s="26" t="s">
        <v>390</v>
      </c>
      <c r="AL467" s="11" t="s">
        <v>149</v>
      </c>
      <c r="AM467" s="11" t="s">
        <v>149</v>
      </c>
      <c r="AN467" s="28" t="s">
        <v>165</v>
      </c>
      <c r="AO467" s="28" t="s">
        <v>1147</v>
      </c>
      <c r="AP467" s="26" t="s">
        <v>3201</v>
      </c>
      <c r="AQ467" s="38" t="s">
        <v>3202</v>
      </c>
      <c r="AR467" s="11" t="s">
        <v>149</v>
      </c>
      <c r="AS467" s="11" t="s">
        <v>149</v>
      </c>
      <c r="AT467" s="11"/>
    </row>
    <row r="468">
      <c r="A468" s="36" t="s">
        <v>3203</v>
      </c>
      <c r="B468" s="26" t="str">
        <f t="shared" si="1"/>
        <v>2023-PH166808000-Unknown-0406</v>
      </c>
      <c r="C468" s="27">
        <f t="shared" si="5"/>
        <v>2023</v>
      </c>
      <c r="D468" s="37" t="s">
        <v>140</v>
      </c>
      <c r="E468" s="28" t="s">
        <v>141</v>
      </c>
      <c r="F468" s="28" t="s">
        <v>192</v>
      </c>
      <c r="G468" s="29" t="s">
        <v>345</v>
      </c>
      <c r="H468" s="29" t="s">
        <v>3204</v>
      </c>
      <c r="I468" s="29" t="s">
        <v>3205</v>
      </c>
      <c r="J468" s="30" t="s">
        <v>3206</v>
      </c>
      <c r="K468" s="26" t="s">
        <v>149</v>
      </c>
      <c r="L468" s="28" t="s">
        <v>149</v>
      </c>
      <c r="M468" s="31" t="s">
        <v>149</v>
      </c>
      <c r="N468" s="41" t="s">
        <v>149</v>
      </c>
      <c r="O468" s="41" t="s">
        <v>149</v>
      </c>
      <c r="P468" s="28" t="s">
        <v>150</v>
      </c>
      <c r="Q468" s="32" t="s">
        <v>151</v>
      </c>
      <c r="R468" s="28" t="s">
        <v>149</v>
      </c>
      <c r="S468" s="32" t="s">
        <v>149</v>
      </c>
      <c r="T468" s="28" t="s">
        <v>154</v>
      </c>
      <c r="U468" s="28" t="s">
        <v>154</v>
      </c>
      <c r="V468" s="26" t="s">
        <v>149</v>
      </c>
      <c r="W468" s="32" t="s">
        <v>149</v>
      </c>
      <c r="X468" s="32" t="s">
        <v>254</v>
      </c>
      <c r="Y468" s="26" t="s">
        <v>149</v>
      </c>
      <c r="Z468" s="26" t="s">
        <v>149</v>
      </c>
      <c r="AA468" s="26" t="s">
        <v>149</v>
      </c>
      <c r="AB468" s="26" t="s">
        <v>149</v>
      </c>
      <c r="AC468" s="26" t="s">
        <v>149</v>
      </c>
      <c r="AD468" s="28" t="s">
        <v>149</v>
      </c>
      <c r="AE468" s="29" t="s">
        <v>149</v>
      </c>
      <c r="AF468" s="26" t="s">
        <v>149</v>
      </c>
      <c r="AG468" s="26" t="s">
        <v>149</v>
      </c>
      <c r="AH468" s="26" t="s">
        <v>3207</v>
      </c>
      <c r="AI468" s="26" t="s">
        <v>662</v>
      </c>
      <c r="AJ468" s="28" t="s">
        <v>662</v>
      </c>
      <c r="AK468" s="11" t="s">
        <v>149</v>
      </c>
      <c r="AL468" s="11" t="s">
        <v>149</v>
      </c>
      <c r="AM468" s="11" t="s">
        <v>149</v>
      </c>
      <c r="AN468" s="28" t="s">
        <v>165</v>
      </c>
      <c r="AO468" s="28" t="s">
        <v>731</v>
      </c>
      <c r="AP468" s="26" t="s">
        <v>3208</v>
      </c>
      <c r="AQ468" s="38" t="s">
        <v>3209</v>
      </c>
      <c r="AR468" s="11" t="s">
        <v>149</v>
      </c>
      <c r="AS468" s="11" t="s">
        <v>149</v>
      </c>
      <c r="AT468" s="11"/>
    </row>
    <row r="469">
      <c r="A469" s="36" t="s">
        <v>3210</v>
      </c>
      <c r="B469" s="26" t="str">
        <f t="shared" si="1"/>
        <v>2025-PH074603000-Unknown-0417</v>
      </c>
      <c r="C469" s="27">
        <f t="shared" si="5"/>
        <v>2025</v>
      </c>
      <c r="D469" s="28" t="s">
        <v>191</v>
      </c>
      <c r="E469" s="28" t="s">
        <v>191</v>
      </c>
      <c r="F469" s="28" t="s">
        <v>142</v>
      </c>
      <c r="G469" s="29" t="s">
        <v>625</v>
      </c>
      <c r="H469" s="29" t="s">
        <v>632</v>
      </c>
      <c r="I469" s="56" t="s">
        <v>2687</v>
      </c>
      <c r="J469" s="55" t="s">
        <v>2688</v>
      </c>
      <c r="K469" s="26" t="s">
        <v>149</v>
      </c>
      <c r="L469" s="28" t="s">
        <v>149</v>
      </c>
      <c r="M469" s="31" t="s">
        <v>149</v>
      </c>
      <c r="N469" s="31" t="s">
        <v>149</v>
      </c>
      <c r="O469" s="31" t="s">
        <v>149</v>
      </c>
      <c r="P469" s="28" t="s">
        <v>150</v>
      </c>
      <c r="Q469" s="32" t="s">
        <v>151</v>
      </c>
      <c r="R469" s="50" t="s">
        <v>152</v>
      </c>
      <c r="S469" s="32" t="s">
        <v>361</v>
      </c>
      <c r="T469" s="28" t="s">
        <v>154</v>
      </c>
      <c r="U469" s="28" t="s">
        <v>154</v>
      </c>
      <c r="V469" s="26" t="s">
        <v>3211</v>
      </c>
      <c r="W469" s="32" t="s">
        <v>149</v>
      </c>
      <c r="X469" s="32" t="s">
        <v>254</v>
      </c>
      <c r="Y469" s="26" t="s">
        <v>149</v>
      </c>
      <c r="Z469" s="26" t="s">
        <v>3212</v>
      </c>
      <c r="AA469" s="26" t="s">
        <v>159</v>
      </c>
      <c r="AB469" s="26" t="s">
        <v>160</v>
      </c>
      <c r="AC469" s="26" t="s">
        <v>184</v>
      </c>
      <c r="AD469" s="28" t="s">
        <v>184</v>
      </c>
      <c r="AE469" s="29" t="s">
        <v>149</v>
      </c>
      <c r="AF469" s="26" t="s">
        <v>149</v>
      </c>
      <c r="AG469" s="28" t="s">
        <v>3213</v>
      </c>
      <c r="AH469" s="33" t="s">
        <v>3214</v>
      </c>
      <c r="AI469" s="26" t="s">
        <v>184</v>
      </c>
      <c r="AJ469" s="28" t="s">
        <v>184</v>
      </c>
      <c r="AK469" s="28" t="s">
        <v>149</v>
      </c>
      <c r="AL469" s="28" t="s">
        <v>149</v>
      </c>
      <c r="AM469" s="28" t="s">
        <v>149</v>
      </c>
      <c r="AN469" s="28" t="s">
        <v>165</v>
      </c>
      <c r="AO469" s="28" t="s">
        <v>689</v>
      </c>
      <c r="AP469" s="26" t="s">
        <v>3215</v>
      </c>
      <c r="AQ469" s="38" t="s">
        <v>3216</v>
      </c>
      <c r="AR469" s="28" t="s">
        <v>149</v>
      </c>
      <c r="AS469" s="28" t="s">
        <v>149</v>
      </c>
      <c r="AT469" s="28"/>
    </row>
    <row r="470">
      <c r="A470" s="36" t="s">
        <v>3217</v>
      </c>
      <c r="B470" s="26" t="str">
        <f t="shared" si="1"/>
        <v>2025-PH074609000-2017-0421</v>
      </c>
      <c r="C470" s="27">
        <f t="shared" si="5"/>
        <v>2025</v>
      </c>
      <c r="D470" s="28" t="s">
        <v>191</v>
      </c>
      <c r="E470" s="28" t="s">
        <v>191</v>
      </c>
      <c r="F470" s="28" t="s">
        <v>142</v>
      </c>
      <c r="G470" s="29" t="s">
        <v>625</v>
      </c>
      <c r="H470" s="29" t="s">
        <v>632</v>
      </c>
      <c r="I470" s="56" t="s">
        <v>847</v>
      </c>
      <c r="J470" s="55" t="s">
        <v>848</v>
      </c>
      <c r="K470" s="26" t="s">
        <v>149</v>
      </c>
      <c r="L470" s="26" t="s">
        <v>3218</v>
      </c>
      <c r="M470" s="31">
        <v>2017.0</v>
      </c>
      <c r="N470" s="31" t="s">
        <v>149</v>
      </c>
      <c r="O470" s="31" t="s">
        <v>149</v>
      </c>
      <c r="P470" s="28" t="s">
        <v>150</v>
      </c>
      <c r="Q470" s="32" t="s">
        <v>151</v>
      </c>
      <c r="R470" s="28" t="s">
        <v>1733</v>
      </c>
      <c r="S470" s="32" t="s">
        <v>2630</v>
      </c>
      <c r="T470" s="28" t="s">
        <v>154</v>
      </c>
      <c r="U470" s="28" t="s">
        <v>154</v>
      </c>
      <c r="V470" s="26" t="s">
        <v>2630</v>
      </c>
      <c r="W470" s="32" t="s">
        <v>149</v>
      </c>
      <c r="X470" s="32" t="s">
        <v>254</v>
      </c>
      <c r="Y470" s="26" t="s">
        <v>149</v>
      </c>
      <c r="Z470" s="26" t="s">
        <v>3219</v>
      </c>
      <c r="AA470" s="26" t="s">
        <v>159</v>
      </c>
      <c r="AB470" s="26" t="s">
        <v>160</v>
      </c>
      <c r="AC470" s="26" t="s">
        <v>184</v>
      </c>
      <c r="AD470" s="28" t="s">
        <v>184</v>
      </c>
      <c r="AE470" s="29" t="s">
        <v>149</v>
      </c>
      <c r="AF470" s="26" t="s">
        <v>149</v>
      </c>
      <c r="AG470" s="58" t="s">
        <v>3220</v>
      </c>
      <c r="AH470" s="33" t="s">
        <v>3221</v>
      </c>
      <c r="AI470" s="26" t="s">
        <v>184</v>
      </c>
      <c r="AJ470" s="28" t="s">
        <v>184</v>
      </c>
      <c r="AK470" s="28" t="s">
        <v>149</v>
      </c>
      <c r="AL470" s="28" t="s">
        <v>149</v>
      </c>
      <c r="AM470" s="28" t="s">
        <v>149</v>
      </c>
      <c r="AN470" s="28" t="s">
        <v>165</v>
      </c>
      <c r="AO470" s="28" t="s">
        <v>689</v>
      </c>
      <c r="AP470" s="26" t="s">
        <v>3215</v>
      </c>
      <c r="AQ470" s="38" t="s">
        <v>3216</v>
      </c>
      <c r="AR470" s="28" t="s">
        <v>149</v>
      </c>
      <c r="AS470" s="28" t="s">
        <v>149</v>
      </c>
      <c r="AT470" s="45"/>
    </row>
    <row r="471">
      <c r="A471" s="36" t="s">
        <v>3222</v>
      </c>
      <c r="B471" s="26" t="str">
        <f t="shared" si="1"/>
        <v>2023-PH157002000-2012-0453</v>
      </c>
      <c r="C471" s="27">
        <f t="shared" si="5"/>
        <v>2023</v>
      </c>
      <c r="D471" s="37" t="s">
        <v>140</v>
      </c>
      <c r="E471" s="28" t="s">
        <v>141</v>
      </c>
      <c r="F471" s="28" t="s">
        <v>142</v>
      </c>
      <c r="G471" s="29" t="s">
        <v>642</v>
      </c>
      <c r="H471" s="29" t="s">
        <v>1217</v>
      </c>
      <c r="I471" s="29" t="s">
        <v>1218</v>
      </c>
      <c r="J471" s="29" t="s">
        <v>1219</v>
      </c>
      <c r="K471" s="26" t="s">
        <v>149</v>
      </c>
      <c r="L471" s="26" t="s">
        <v>3223</v>
      </c>
      <c r="M471" s="31">
        <v>2012.0</v>
      </c>
      <c r="N471" s="31" t="s">
        <v>149</v>
      </c>
      <c r="O471" s="31" t="s">
        <v>149</v>
      </c>
      <c r="P471" s="28" t="s">
        <v>150</v>
      </c>
      <c r="Q471" s="32" t="s">
        <v>151</v>
      </c>
      <c r="R471" s="28" t="s">
        <v>1733</v>
      </c>
      <c r="S471" s="32" t="s">
        <v>3224</v>
      </c>
      <c r="T471" s="28" t="s">
        <v>154</v>
      </c>
      <c r="U471" s="28" t="s">
        <v>154</v>
      </c>
      <c r="V471" s="28" t="s">
        <v>3225</v>
      </c>
      <c r="W471" s="32" t="s">
        <v>149</v>
      </c>
      <c r="X471" s="32" t="s">
        <v>254</v>
      </c>
      <c r="Y471" s="26" t="s">
        <v>149</v>
      </c>
      <c r="Z471" s="28" t="s">
        <v>3226</v>
      </c>
      <c r="AA471" s="26" t="s">
        <v>149</v>
      </c>
      <c r="AB471" s="26" t="s">
        <v>160</v>
      </c>
      <c r="AC471" s="26" t="s">
        <v>209</v>
      </c>
      <c r="AD471" s="28" t="s">
        <v>227</v>
      </c>
      <c r="AE471" s="29" t="s">
        <v>149</v>
      </c>
      <c r="AF471" s="26" t="s">
        <v>149</v>
      </c>
      <c r="AG471" s="26" t="s">
        <v>149</v>
      </c>
      <c r="AH471" s="26" t="s">
        <v>3227</v>
      </c>
      <c r="AI471" s="32" t="s">
        <v>209</v>
      </c>
      <c r="AJ471" s="28" t="s">
        <v>227</v>
      </c>
      <c r="AK471" s="11" t="s">
        <v>149</v>
      </c>
      <c r="AL471" s="26" t="s">
        <v>3228</v>
      </c>
      <c r="AM471" s="11" t="s">
        <v>149</v>
      </c>
      <c r="AN471" s="28" t="s">
        <v>165</v>
      </c>
      <c r="AO471" s="28" t="s">
        <v>166</v>
      </c>
      <c r="AP471" s="26" t="s">
        <v>3229</v>
      </c>
      <c r="AQ471" s="34" t="s">
        <v>3230</v>
      </c>
      <c r="AR471" s="11" t="s">
        <v>149</v>
      </c>
      <c r="AS471" s="11" t="s">
        <v>149</v>
      </c>
      <c r="AT471" s="11"/>
    </row>
  </sheetData>
  <autoFilter ref="$A$1:$AT$471">
    <sortState ref="A1:AT471">
      <sortCondition ref="K1:K471"/>
      <sortCondition ref="X1:X471"/>
      <sortCondition ref="AL1:AL471"/>
      <sortCondition ref="AM1:AM471"/>
      <sortCondition ref="A1:A471"/>
      <sortCondition ref="Q1:Q471"/>
      <sortCondition ref="AO1:AO471"/>
      <sortCondition ref="M1:M471"/>
      <sortCondition ref="R1:R471"/>
      <sortCondition ref="AG1:AG471"/>
      <sortCondition ref="AQ1:AQ471"/>
      <sortCondition ref="AP1:AP471"/>
      <sortCondition ref="AJ1:AJ471"/>
      <sortCondition ref="AK1:AK471"/>
    </sortState>
  </autoFilter>
  <dataValidations>
    <dataValidation type="list" allowBlank="1" showErrorMessage="1" sqref="Q178:Q184 Q286 Q312">
      <formula1>InterventionsDD1!B146:AT146</formula1>
    </dataValidation>
    <dataValidation type="list" allowBlank="1" showErrorMessage="1" sqref="Q368">
      <formula1>InterventionsDD1!B258:AT258</formula1>
    </dataValidation>
    <dataValidation type="list" allowBlank="1" showErrorMessage="1" sqref="J405">
      <formula1>'Mun DD3'!B210:AT210</formula1>
    </dataValidation>
    <dataValidation type="list" allowBlank="1" showErrorMessage="1" sqref="J201">
      <formula1>'Mun DD3'!B205:AT205</formula1>
    </dataValidation>
    <dataValidation type="list" allowBlank="1" showErrorMessage="1" sqref="R232">
      <formula1>InterventionsDD2!B30:AT30</formula1>
    </dataValidation>
    <dataValidation type="list" allowBlank="1" showErrorMessage="1" sqref="H43 H135 H147 H245 H352">
      <formula1>'Mun DD1'!B134:AT134</formula1>
    </dataValidation>
    <dataValidation type="list" allowBlank="1" showErrorMessage="1" sqref="H324">
      <formula1>'Mun DD1'!B447:AT447</formula1>
    </dataValidation>
    <dataValidation type="list" allowBlank="1" showErrorMessage="1" sqref="Q382 Q437">
      <formula1>InterventionsDD1!B39:AT39</formula1>
    </dataValidation>
    <dataValidation type="list" allowBlank="1" showErrorMessage="1" sqref="I133">
      <formula1>'Mun DD2'!B76:AT76</formula1>
    </dataValidation>
    <dataValidation type="list" allowBlank="1" showErrorMessage="1" sqref="H398">
      <formula1>'Mun DD1'!B29:AT29</formula1>
    </dataValidation>
    <dataValidation type="list" allowBlank="1" showErrorMessage="1" sqref="I109">
      <formula1>'Mun DD2'!B403:AT403</formula1>
    </dataValidation>
    <dataValidation type="list" allowBlank="1" showErrorMessage="1" sqref="Q232">
      <formula1>InterventionsDD1!B30:AT30</formula1>
    </dataValidation>
    <dataValidation type="list" allowBlank="1" showErrorMessage="1" sqref="J332">
      <formula1>'Mun DD3'!B405:AT405</formula1>
    </dataValidation>
    <dataValidation type="list" allowBlank="1" showErrorMessage="1" sqref="H35:H36">
      <formula1>'Mun DD1'!B44:AT44</formula1>
    </dataValidation>
    <dataValidation type="list" allowBlank="1" showErrorMessage="1" sqref="R46">
      <formula1>InterventionsDD2!B145:AT145</formula1>
    </dataValidation>
    <dataValidation type="list" allowBlank="1" showErrorMessage="1" sqref="R2">
      <formula1>InterventionsDD2!B34:AT34</formula1>
    </dataValidation>
    <dataValidation type="list" allowBlank="1" showErrorMessage="1" sqref="J269">
      <formula1>'Mun DD3'!B125:AT125</formula1>
    </dataValidation>
    <dataValidation type="list" allowBlank="1" showErrorMessage="1" sqref="Q337:Q338">
      <formula1>InterventionsDD1!B111:AT111</formula1>
    </dataValidation>
    <dataValidation type="list" allowBlank="1" showErrorMessage="1" sqref="R382 R437">
      <formula1>InterventionsDD2!B39:AT39</formula1>
    </dataValidation>
    <dataValidation type="list" allowBlank="1" showErrorMessage="1" sqref="I105">
      <formula1>'Mun DD2'!B243:AT243</formula1>
    </dataValidation>
    <dataValidation type="list" allowBlank="1" showErrorMessage="1" sqref="H383:H384">
      <formula1>'Mun DD1'!B359:AT359</formula1>
    </dataValidation>
    <dataValidation type="list" allowBlank="1" showErrorMessage="1" sqref="J71">
      <formula1>'Mun DD3'!B355:AT355</formula1>
    </dataValidation>
    <dataValidation type="list" allowBlank="1" showErrorMessage="1" sqref="Q172">
      <formula1>InterventionsDD1!B470:AT470</formula1>
    </dataValidation>
    <dataValidation type="list" allowBlank="1" showErrorMessage="1" sqref="Q470">
      <formula1>InterventionsDD1!B421:AT421</formula1>
    </dataValidation>
    <dataValidation type="list" allowBlank="1" showErrorMessage="1" sqref="J367 J431">
      <formula1>'Mun DD3'!B242:AT242</formula1>
    </dataValidation>
    <dataValidation type="list" allowBlank="1" showErrorMessage="1" sqref="Q111 Q158 Q279">
      <formula1>InterventionsDD1!B43:AT43</formula1>
    </dataValidation>
    <dataValidation type="list" allowBlank="1" showErrorMessage="1" sqref="J185:J192">
      <formula1>'Mun DD3'!B156:AT156</formula1>
    </dataValidation>
    <dataValidation type="list" allowBlank="1" showErrorMessage="1" sqref="R368">
      <formula1>InterventionsDD2!B258:AT258</formula1>
    </dataValidation>
    <dataValidation type="list" allowBlank="1" showErrorMessage="1" sqref="I264">
      <formula1>'Mun DD2'!B278:AT278</formula1>
    </dataValidation>
    <dataValidation type="list" allowBlank="1" showErrorMessage="1" sqref="H265">
      <formula1>'Mun DD1'!B288:AT288</formula1>
    </dataValidation>
    <dataValidation type="list" allowBlank="1" showErrorMessage="1" sqref="J121">
      <formula1>'Mun DD3'!B301:AT301</formula1>
    </dataValidation>
    <dataValidation type="list" allowBlank="1" showErrorMessage="1" sqref="Q256">
      <formula1>InterventionsDD1!B98:AT98</formula1>
    </dataValidation>
    <dataValidation type="list" allowBlank="1" showErrorMessage="1" sqref="I332">
      <formula1>'Mun DD2'!B405:AT405</formula1>
    </dataValidation>
    <dataValidation type="list" allowBlank="1" showErrorMessage="1" sqref="I272">
      <formula1>'Mun DD2'!B139:AT139</formula1>
    </dataValidation>
    <dataValidation type="list" allowBlank="1" showErrorMessage="1" sqref="J319">
      <formula1>'Mun DD3'!B92:AT92</formula1>
    </dataValidation>
    <dataValidation type="list" allowBlank="1" showErrorMessage="1" sqref="J176">
      <formula1>'Mun DD3'!B138:AT138</formula1>
    </dataValidation>
    <dataValidation type="list" allowBlank="1" showErrorMessage="1" sqref="R7">
      <formula1>InterventionsDD2!B48:AT48</formula1>
    </dataValidation>
    <dataValidation type="list" allowBlank="1" showErrorMessage="1" sqref="I94 I106">
      <formula1>'Mun DD2'!B275:AT275</formula1>
    </dataValidation>
    <dataValidation type="list" allowBlank="1" showErrorMessage="1" sqref="I376:I378">
      <formula1>'Mun DD2'!B432:AT432</formula1>
    </dataValidation>
    <dataValidation type="list" allowBlank="1" showErrorMessage="1" sqref="R407:R408">
      <formula1>InterventionsDD2!B281:AT281</formula1>
    </dataValidation>
    <dataValidation type="list" allowBlank="1" showErrorMessage="1" sqref="H110 H386:H387">
      <formula1>'Mun DD1'!B175:AT175</formula1>
    </dataValidation>
    <dataValidation type="list" allowBlank="1" showErrorMessage="1" sqref="J231">
      <formula1>'Mun DD3'!B23:AT23</formula1>
    </dataValidation>
    <dataValidation type="list" allowBlank="1" showErrorMessage="1" sqref="J270">
      <formula1>'Mun DD3'!B407:AT407</formula1>
    </dataValidation>
    <dataValidation type="list" allowBlank="1" showErrorMessage="1" sqref="I5">
      <formula1>'Mun DD2'!B290:AT290</formula1>
    </dataValidation>
    <dataValidation type="list" allowBlank="1" showErrorMessage="1" sqref="H421:H423">
      <formula1>'Mun DD1'!B69:AT69</formula1>
    </dataValidation>
    <dataValidation type="list" allowBlank="1" showErrorMessage="1" sqref="Q170:Q171">
      <formula1>InterventionsDD1!B449:AT449</formula1>
    </dataValidation>
    <dataValidation type="list" allowBlank="1" showErrorMessage="1" sqref="J4">
      <formula1>'Mun DD3'!B279:AT279</formula1>
    </dataValidation>
    <dataValidation type="list" allowBlank="1" showErrorMessage="1" sqref="R256">
      <formula1>InterventionsDD2!B98:AT98</formula1>
    </dataValidation>
    <dataValidation type="list" allowBlank="1" showErrorMessage="1" sqref="J361">
      <formula1>'Mun DD3'!B100:AT100</formula1>
    </dataValidation>
    <dataValidation type="list" allowBlank="1" showErrorMessage="1" sqref="H20">
      <formula1>'Mun DD1'!B5:AT5</formula1>
    </dataValidation>
    <dataValidation type="list" allowBlank="1" showErrorMessage="1" sqref="Q117">
      <formula1>InterventionsDD1!B262:AT262</formula1>
    </dataValidation>
    <dataValidation type="list" allowBlank="1" showErrorMessage="1" sqref="R277 R307">
      <formula1>InterventionsDD2!B396:AT396</formula1>
    </dataValidation>
    <dataValidation type="list" allowBlank="1" showErrorMessage="1" sqref="H218">
      <formula1>'Mun DD1'!B62:AT62</formula1>
    </dataValidation>
    <dataValidation type="list" allowBlank="1" showErrorMessage="1" sqref="I424:I425">
      <formula1>'Mun DD2'!B78:AT78</formula1>
    </dataValidation>
    <dataValidation type="list" allowBlank="1" showErrorMessage="1" sqref="R413:R415">
      <formula1>InterventionsDD2!B54:AT54</formula1>
    </dataValidation>
    <dataValidation type="list" allowBlank="1" showErrorMessage="1" sqref="I44:I45">
      <formula1>'Mun DD2'!B142:AT142</formula1>
    </dataValidation>
    <dataValidation type="list" allowBlank="1" showErrorMessage="1" sqref="J416">
      <formula1>'Mun DD3'!B59:AT59</formula1>
    </dataValidation>
    <dataValidation type="list" allowBlank="1" showErrorMessage="1" sqref="Q65">
      <formula1>InterventionsDD1!B312:AT312</formula1>
    </dataValidation>
    <dataValidation type="list" allowBlank="1" showErrorMessage="1" sqref="H86:H87">
      <formula1>'Mun DD1'!B227:AT227</formula1>
    </dataValidation>
    <dataValidation type="list" allowBlank="1" showErrorMessage="1" sqref="J376:J378">
      <formula1>'Mun DD3'!B432:AT432</formula1>
    </dataValidation>
    <dataValidation type="list" allowBlank="1" showErrorMessage="1" sqref="I108 I285 I318">
      <formula1>'Mun DD2'!B190:AT190</formula1>
    </dataValidation>
    <dataValidation type="list" allowBlank="1" showErrorMessage="1" sqref="R264">
      <formula1>InterventionsDD2!B278:AT278</formula1>
    </dataValidation>
    <dataValidation type="list" allowBlank="1" showErrorMessage="1" sqref="J426">
      <formula1>'Mun DD3'!B82:AT82</formula1>
    </dataValidation>
    <dataValidation type="list" allowBlank="1" showErrorMessage="1" sqref="H175 H334">
      <formula1>'Mun DD1'!B135:AT135</formula1>
    </dataValidation>
    <dataValidation type="list" allowBlank="1" showErrorMessage="1" sqref="Q407:Q408">
      <formula1>InterventionsDD1!B281:AT281</formula1>
    </dataValidation>
    <dataValidation type="list" allowBlank="1" showErrorMessage="1" sqref="R447">
      <formula1>InterventionsDD2!B229:AT229</formula1>
    </dataValidation>
    <dataValidation type="list" allowBlank="1" showErrorMessage="1" sqref="J112">
      <formula1>'Mun DD3'!B49:AT49</formula1>
    </dataValidation>
    <dataValidation type="list" allowBlank="1" showErrorMessage="1" sqref="I13">
      <formula1>'Mun DD2'!B102:AT102</formula1>
    </dataValidation>
    <dataValidation type="list" allowBlank="1" showErrorMessage="1" sqref="Q21:Q22">
      <formula1>InterventionsDD1!B8:AT8</formula1>
    </dataValidation>
    <dataValidation type="list" allowBlank="1" showErrorMessage="1" sqref="J128:J129 J296">
      <formula1>'Mun DD3'!B72:AT72</formula1>
    </dataValidation>
    <dataValidation type="list" allowBlank="1" showErrorMessage="1" sqref="I29">
      <formula1>'Mun DD2'!B20:AT20</formula1>
    </dataValidation>
    <dataValidation type="list" allowBlank="1" showErrorMessage="1" sqref="R159">
      <formula1>InterventionsDD2!B106:AT106</formula1>
    </dataValidation>
    <dataValidation type="list" allowBlank="1" showErrorMessage="1" sqref="R337:R338">
      <formula1>InterventionsDD2!B111:AT111</formula1>
    </dataValidation>
    <dataValidation type="list" allowBlank="1" showErrorMessage="1" sqref="J118">
      <formula1>'Mun DD3'!B271:AT271</formula1>
    </dataValidation>
    <dataValidation type="list" allowBlank="1" showErrorMessage="1" sqref="H96:H103">
      <formula1>'Mun DD1'!B461:AT461</formula1>
    </dataValidation>
    <dataValidation type="list" allowBlank="1" showErrorMessage="1" sqref="R298 R392">
      <formula1>InterventionsDD2!B264:AT264</formula1>
    </dataValidation>
    <dataValidation type="list" allowBlank="1" showErrorMessage="1" sqref="J16">
      <formula1>'Mun DD3'!B404:AT404</formula1>
    </dataValidation>
    <dataValidation type="list" allowBlank="1" showErrorMessage="1" sqref="R175 R334">
      <formula1>InterventionsDD2!B135:AT135</formula1>
    </dataValidation>
    <dataValidation type="list" allowBlank="1" showErrorMessage="1" sqref="Q238">
      <formula1>InterventionsDD1!B4:AT4</formula1>
    </dataValidation>
    <dataValidation type="list" allowBlank="1" showErrorMessage="1" sqref="I138">
      <formula1>'Mun DD2'!B267:AT267</formula1>
    </dataValidation>
    <dataValidation type="list" allowBlank="1" showErrorMessage="1" sqref="R144">
      <formula1>InterventionsDD2!B169:AT169</formula1>
    </dataValidation>
    <dataValidation type="list" allowBlank="1" showErrorMessage="1" sqref="J40:J41 J348 J372">
      <formula1>'Mun DD3'!B87:AT87</formula1>
    </dataValidation>
    <dataValidation type="list" allowBlank="1" showErrorMessage="1" sqref="I143">
      <formula1>'Mun DD2'!B77:AT77</formula1>
    </dataValidation>
    <dataValidation type="list" allowBlank="1" showErrorMessage="1" sqref="H299">
      <formula1>'Mun DD1'!B266:AT266</formula1>
    </dataValidation>
    <dataValidation type="list" allowBlank="1" showErrorMessage="1" sqref="J277 J307">
      <formula1>'Mun DD3'!B396:AT396</formula1>
    </dataValidation>
    <dataValidation type="list" allowBlank="1" showErrorMessage="1" sqref="J410">
      <formula1>'Mun DD3'!B411:AT411</formula1>
    </dataValidation>
    <dataValidation type="list" allowBlank="1" showErrorMessage="1" sqref="R238">
      <formula1>InterventionsDD2!B4:AT4</formula1>
    </dataValidation>
    <dataValidation type="list" allowBlank="1" showErrorMessage="1" sqref="R94 R106">
      <formula1>InterventionsDD2!B275:AT275</formula1>
    </dataValidation>
    <dataValidation type="list" allowBlank="1" showErrorMessage="1" sqref="H355 H462">
      <formula1>'Mun DD1'!B257:AT257</formula1>
    </dataValidation>
    <dataValidation type="list" allowBlank="1" showErrorMessage="1" sqref="H406">
      <formula1>'Mun DD1'!B269:AT269</formula1>
    </dataValidation>
    <dataValidation type="list" allowBlank="1" showErrorMessage="1" sqref="J435">
      <formula1>'Mun DD3'!B12:AT12</formula1>
    </dataValidation>
    <dataValidation type="list" allowBlank="1" showErrorMessage="1" sqref="I421:I423">
      <formula1>'Mun DD2'!B69:AT69</formula1>
    </dataValidation>
    <dataValidation type="list" allowBlank="1" showErrorMessage="1" sqref="J229 J432">
      <formula1>'Mun DD3'!B184:AT184</formula1>
    </dataValidation>
    <dataValidation type="list" allowBlank="1" showErrorMessage="1" sqref="Q13">
      <formula1>InterventionsDD1!B102:AT102</formula1>
    </dataValidation>
    <dataValidation type="list" allowBlank="1" showErrorMessage="1" sqref="J115">
      <formula1>'Mun DD3'!B154:AT154</formula1>
    </dataValidation>
    <dataValidation type="list" allowBlank="1" showErrorMessage="1" sqref="Q86:Q87">
      <formula1>InterventionsDD1!B227:AT227</formula1>
    </dataValidation>
    <dataValidation type="list" allowBlank="1" showErrorMessage="1" sqref="H198">
      <formula1>'Mun DD1'!B195:AT195</formula1>
    </dataValidation>
    <dataValidation type="list" allowBlank="1" showErrorMessage="1" sqref="Q4">
      <formula1>InterventionsDD1!B279:AT279</formula1>
    </dataValidation>
    <dataValidation type="list" allowBlank="1" showErrorMessage="1" sqref="H213">
      <formula1>'Mun DD1'!B329:AT329</formula1>
    </dataValidation>
    <dataValidation type="list" allowBlank="1" showErrorMessage="1" sqref="I406">
      <formula1>'Mun DD2'!B269:AT269</formula1>
    </dataValidation>
    <dataValidation type="list" allowBlank="1" showErrorMessage="1" sqref="Q229 Q432">
      <formula1>InterventionsDD1!B184:AT184</formula1>
    </dataValidation>
    <dataValidation type="list" allowBlank="1" showErrorMessage="1" sqref="I265">
      <formula1>'Mun DD2'!B288:AT288</formula1>
    </dataValidation>
    <dataValidation type="list" allowBlank="1" showErrorMessage="1" sqref="I78">
      <formula1>'Mun DD2'!B398:AT398</formula1>
    </dataValidation>
    <dataValidation type="list" allowBlank="1" showErrorMessage="1" sqref="I397">
      <formula1>'Mun DD2'!B19:AT19</formula1>
    </dataValidation>
    <dataValidation type="list" allowBlank="1" showErrorMessage="1" sqref="R315">
      <formula1>InterventionsDD2!B345:AT345</formula1>
    </dataValidation>
    <dataValidation type="list" allowBlank="1" showErrorMessage="1" sqref="I149:I153">
      <formula1>'Mun DD2'!B455:AT455</formula1>
    </dataValidation>
    <dataValidation type="list" allowBlank="1" showErrorMessage="1" sqref="H48">
      <formula1>'Mun DD1'!B155:AT155</formula1>
    </dataValidation>
    <dataValidation type="list" allowBlank="1" showErrorMessage="1" sqref="R365">
      <formula1>InterventionsDD2!B357:AT357</formula1>
    </dataValidation>
    <dataValidation type="list" allowBlank="1" showErrorMessage="1" sqref="I130">
      <formula1>'Mun DD2'!B75:AT75</formula1>
    </dataValidation>
    <dataValidation type="list" allowBlank="1" showErrorMessage="1" sqref="R105">
      <formula1>InterventionsDD2!B243:AT243</formula1>
    </dataValidation>
    <dataValidation type="list" allowBlank="1" showErrorMessage="1" sqref="H90">
      <formula1>'Mun DD1'!B335:AT335</formula1>
    </dataValidation>
    <dataValidation type="list" allowBlank="1" showErrorMessage="1" sqref="J162:J164">
      <formula1>'Mun DD3'!B444:AT444</formula1>
    </dataValidation>
    <dataValidation type="list" allowBlank="1" showErrorMessage="1" sqref="Q202">
      <formula1>InterventionsDD1!B207:AT207</formula1>
    </dataValidation>
    <dataValidation type="list" allowBlank="1" showErrorMessage="1" sqref="I288">
      <formula1>'Mun DD2'!B127:AT127</formula1>
    </dataValidation>
    <dataValidation type="list" allowBlank="1" showErrorMessage="1" sqref="H108 H285 H318">
      <formula1>'Mun DD1'!B190:AT190</formula1>
    </dataValidation>
    <dataValidation type="list" allowBlank="1" showErrorMessage="1" sqref="H353">
      <formula1>'Mun DD1'!B33:AT33</formula1>
    </dataValidation>
    <dataValidation type="list" allowBlank="1" showErrorMessage="1" sqref="Q11">
      <formula1>InterventionsDD1!B128:AT128</formula1>
    </dataValidation>
    <dataValidation type="list" allowBlank="1" showErrorMessage="1" sqref="Q48">
      <formula1>InterventionsDD1!B155:AT155</formula1>
    </dataValidation>
    <dataValidation type="list" allowBlank="1" showErrorMessage="1" sqref="I429:I430 I461">
      <formula1>'Mun DD2'!B302:AT302</formula1>
    </dataValidation>
    <dataValidation type="list" allowBlank="1" showErrorMessage="1" sqref="H424:H425">
      <formula1>'Mun DD1'!B78:AT78</formula1>
    </dataValidation>
    <dataValidation type="list" allowBlank="1" showErrorMessage="1" sqref="I83 I358">
      <formula1>'Mun DD2'!B105:AT105</formula1>
    </dataValidation>
    <dataValidation type="list" allowBlank="1" showErrorMessage="1" sqref="J366">
      <formula1>'Mun DD3'!B330:AT330</formula1>
    </dataValidation>
    <dataValidation type="list" allowBlank="1" showErrorMessage="1" sqref="J369">
      <formula1>'Mun DD3'!B248:AT248</formula1>
    </dataValidation>
    <dataValidation type="list" allowBlank="1" showErrorMessage="1" sqref="Q5">
      <formula1>InterventionsDD1!B290:AT290</formula1>
    </dataValidation>
    <dataValidation type="list" allowBlank="1" showErrorMessage="1" sqref="I137">
      <formula1>'Mun DD2'!B420:AT420</formula1>
    </dataValidation>
    <dataValidation type="list" allowBlank="1" showErrorMessage="1" sqref="Q413:Q415">
      <formula1>InterventionsDD1!B54:AT54</formula1>
    </dataValidation>
    <dataValidation type="list" allowBlank="1" showErrorMessage="1" sqref="H123">
      <formula1>'Mun DD1'!B373:AT373</formula1>
    </dataValidation>
    <dataValidation type="list" allowBlank="1" showErrorMessage="1" sqref="J326:J327">
      <formula1>'Mun DD3'!B252:AT252</formula1>
    </dataValidation>
    <dataValidation type="list" allowBlank="1" showErrorMessage="1" sqref="AN2:AN471">
      <formula1>Glossary!$AZ$2:$AZ471</formula1>
    </dataValidation>
    <dataValidation type="list" allowBlank="1" showErrorMessage="1" sqref="R8:R10">
      <formula1>InterventionsDD2!B51:AT51</formula1>
    </dataValidation>
    <dataValidation type="list" allowBlank="1" showErrorMessage="1" sqref="H264">
      <formula1>'Mun DD1'!B278:AT278</formula1>
    </dataValidation>
    <dataValidation type="list" allowBlank="1" showErrorMessage="1" sqref="I239">
      <formula1>'Mun DD2'!B388:AT388</formula1>
    </dataValidation>
    <dataValidation type="list" allowBlank="1" showErrorMessage="1" sqref="R260">
      <formula1>InterventionsDD2!B68:AT68</formula1>
    </dataValidation>
    <dataValidation type="list" allowBlank="1" showErrorMessage="1" sqref="H21:H22">
      <formula1>'Mun DD1'!B8:AT8</formula1>
    </dataValidation>
    <dataValidation type="list" allowBlank="1" showErrorMessage="1" sqref="R95">
      <formula1>InterventionsDD2!B438:AT438</formula1>
    </dataValidation>
    <dataValidation type="list" allowBlank="1" showErrorMessage="1" sqref="I115">
      <formula1>'Mun DD2'!B154:AT154</formula1>
    </dataValidation>
    <dataValidation type="list" allowBlank="1" showErrorMessage="1" sqref="J166:J169">
      <formula1>'Mun DD3'!B439:AT439</formula1>
    </dataValidation>
    <dataValidation type="list" allowBlank="1" showErrorMessage="1" sqref="H79:H80 H125">
      <formula1>'Mun DD1'!B378:AT378</formula1>
    </dataValidation>
    <dataValidation type="list" allowBlank="1" showErrorMessage="1" sqref="J157">
      <formula1>'Mun DD3'!B323:AT323</formula1>
    </dataValidation>
    <dataValidation type="list" allowBlank="1" showErrorMessage="1" sqref="H17">
      <formula1>'Mun DD1'!B391:AT391</formula1>
    </dataValidation>
    <dataValidation type="list" allowBlank="1" showErrorMessage="1" sqref="J11">
      <formula1>'Mun DD3'!B128:AT128</formula1>
    </dataValidation>
    <dataValidation type="list" allowBlank="1" showErrorMessage="1" sqref="R300 R322">
      <formula1>InterventionsDD2!B270:AT270</formula1>
    </dataValidation>
    <dataValidation type="list" allowBlank="1" showErrorMessage="1" sqref="H2">
      <formula1>'Mun DD1'!B34:AT34</formula1>
    </dataValidation>
    <dataValidation type="list" allowBlank="1" showErrorMessage="1" sqref="H116">
      <formula1>'Mun DD1'!B259:AT259</formula1>
    </dataValidation>
    <dataValidation type="list" allowBlank="1" showErrorMessage="1" sqref="Q109">
      <formula1>InterventionsDD1!B403:AT403</formula1>
    </dataValidation>
    <dataValidation type="list" allowBlank="1" showErrorMessage="1" sqref="R157">
      <formula1>InterventionsDD2!B323:AT323</formula1>
    </dataValidation>
    <dataValidation type="list" allowBlank="1" showErrorMessage="1" sqref="I218">
      <formula1>'Mun DD2'!B62:AT62</formula1>
    </dataValidation>
    <dataValidation type="list" allowBlank="1" showErrorMessage="1" sqref="J43 J135 J147 J245 J352">
      <formula1>'Mun DD3'!B134:AT134</formula1>
    </dataValidation>
    <dataValidation type="list" allowBlank="1" showErrorMessage="1" sqref="I155">
      <formula1>'Mun DD2'!B136:AT136</formula1>
    </dataValidation>
    <dataValidation type="list" allowBlank="1" showErrorMessage="1" sqref="Q359">
      <formula1>InterventionsDD1!B1:AT1</formula1>
    </dataValidation>
    <dataValidation type="list" allowBlank="1" showErrorMessage="1" sqref="Q241">
      <formula1>InterventionsDD1!B91:AT91</formula1>
    </dataValidation>
    <dataValidation type="list" allowBlank="1" showErrorMessage="1" sqref="T2:T471">
      <formula1>Glossary!$X$2:$X471</formula1>
    </dataValidation>
    <dataValidation type="list" allowBlank="1" showErrorMessage="1" sqref="I107">
      <formula1>'Mun DD2'!B283:AT283</formula1>
    </dataValidation>
    <dataValidation type="list" allowBlank="1" showErrorMessage="1" sqref="R381">
      <formula1>InterventionsDD2!B397:AT397</formula1>
    </dataValidation>
    <dataValidation type="list" allowBlank="1" showErrorMessage="1" sqref="J29">
      <formula1>'Mun DD3'!B20:AT20</formula1>
    </dataValidation>
    <dataValidation type="list" allowBlank="1" showErrorMessage="1" sqref="H140 H237">
      <formula1>'Mun DD1'!B363:AT363</formula1>
    </dataValidation>
    <dataValidation type="list" allowBlank="1" showErrorMessage="1" sqref="Q230 Q453">
      <formula1>InterventionsDD1!B21:AT21</formula1>
    </dataValidation>
    <dataValidation type="list" allowBlank="1" showErrorMessage="1" sqref="J264">
      <formula1>'Mun DD3'!B278:AT278</formula1>
    </dataValidation>
    <dataValidation type="list" allowBlank="1" showErrorMessage="1" sqref="I314">
      <formula1>'Mun DD2'!B369:AT369</formula1>
    </dataValidation>
    <dataValidation type="list" allowBlank="1" showErrorMessage="1" sqref="H206 H280:H281">
      <formula1>'Mun DD1'!B311:AT311</formula1>
    </dataValidation>
    <dataValidation type="list" allowBlank="1" showErrorMessage="1" sqref="H337:H338">
      <formula1>'Mun DD1'!B111:AT111</formula1>
    </dataValidation>
    <dataValidation type="list" allowBlank="1" showErrorMessage="1" sqref="J13">
      <formula1>'Mun DD3'!B102:AT102</formula1>
    </dataValidation>
    <dataValidation type="list" allowBlank="1" showErrorMessage="1" sqref="I72">
      <formula1>'Mun DD2'!B376:AT376</formula1>
    </dataValidation>
    <dataValidation type="list" allowBlank="1" showErrorMessage="1" sqref="H40:H41 H348 H372">
      <formula1>'Mun DD1'!B87:AT87</formula1>
    </dataValidation>
    <dataValidation type="list" allowBlank="1" showErrorMessage="1" sqref="H214:H217 H234">
      <formula1>'Mun DD1'!B346:AT346</formula1>
    </dataValidation>
    <dataValidation type="list" allowBlank="1" showErrorMessage="1" sqref="I356">
      <formula1>'Mun DD2'!B394:AT394</formula1>
    </dataValidation>
    <dataValidation type="list" allowBlank="1" showErrorMessage="1" sqref="I438:I439">
      <formula1>'Mun DD2'!B96:AT96</formula1>
    </dataValidation>
    <dataValidation type="list" allowBlank="1" showErrorMessage="1" sqref="J3 J15">
      <formula1>'Mun DD3'!B362:AT362</formula1>
    </dataValidation>
    <dataValidation type="list" allowBlank="1" showErrorMessage="1" sqref="H59">
      <formula1>'Mun DD1'!B256:AT256</formula1>
    </dataValidation>
    <dataValidation type="list" allowBlank="1" showErrorMessage="1" sqref="U2:U471">
      <formula1>Glossary!$AA$2:$AA471</formula1>
    </dataValidation>
    <dataValidation type="list" allowBlank="1" showErrorMessage="1" sqref="Q61">
      <formula1>InterventionsDD1!B291:AT291</formula1>
    </dataValidation>
    <dataValidation type="list" allowBlank="1" showErrorMessage="1" sqref="H73:H74">
      <formula1>'Mun DD1'!B409:AT409</formula1>
    </dataValidation>
    <dataValidation type="list" allowBlank="1" showErrorMessage="1" sqref="I111 I158 I279">
      <formula1>'Mun DD2'!B43:AT43</formula1>
    </dataValidation>
    <dataValidation type="list" allowBlank="1" showErrorMessage="1" sqref="R114 R145">
      <formula1>InterventionsDD2!B141:AT141</formula1>
    </dataValidation>
    <dataValidation type="list" allowBlank="1" showErrorMessage="1" sqref="J132">
      <formula1>'Mun DD3'!B74:AT74</formula1>
    </dataValidation>
    <dataValidation type="list" allowBlank="1" showErrorMessage="1" sqref="H62:H63">
      <formula1>'Mun DD1'!B296:AT296</formula1>
    </dataValidation>
    <dataValidation type="list" allowBlank="1" showErrorMessage="1" sqref="R85">
      <formula1>InterventionsDD2!B60:AT60</formula1>
    </dataValidation>
    <dataValidation type="list" allowBlank="1" showErrorMessage="1" sqref="I50 I104 I309:I310">
      <formula1>'Mun DD2'!B177:AT177</formula1>
    </dataValidation>
    <dataValidation type="list" allowBlank="1" showErrorMessage="1" sqref="Q223 Q389">
      <formula1>InterventionsDD1!B22:AT22</formula1>
    </dataValidation>
    <dataValidation type="list" allowBlank="1" showErrorMessage="1" sqref="R426">
      <formula1>InterventionsDD2!B82:AT82</formula1>
    </dataValidation>
    <dataValidation type="list" allowBlank="1" showErrorMessage="1" sqref="H81 H345">
      <formula1>'Mun DD1'!B61:AT61</formula1>
    </dataValidation>
    <dataValidation type="list" allowBlank="1" showErrorMessage="1" sqref="R149:R153">
      <formula1>InterventionsDD2!B455:AT455</formula1>
    </dataValidation>
    <dataValidation type="list" allowBlank="1" showErrorMessage="1" sqref="I320">
      <formula1>'Mun DD2'!B114:AT114</formula1>
    </dataValidation>
    <dataValidation type="list" allowBlank="1" showErrorMessage="1" sqref="R185:R192">
      <formula1>InterventionsDD2!B156:AT156</formula1>
    </dataValidation>
    <dataValidation type="list" allowBlank="1" showErrorMessage="1" sqref="H397">
      <formula1>'Mun DD1'!B19:AT19</formula1>
    </dataValidation>
    <dataValidation type="list" allowBlank="1" showErrorMessage="1" sqref="Q438:Q439">
      <formula1>InterventionsDD1!B96:AT96</formula1>
    </dataValidation>
    <dataValidation type="list" allowBlank="1" showErrorMessage="1" sqref="R319">
      <formula1>InterventionsDD2!B92:AT92</formula1>
    </dataValidation>
    <dataValidation type="list" allowBlank="1" showErrorMessage="1" sqref="H382 H437">
      <formula1>'Mun DD1'!B39:AT39</formula1>
    </dataValidation>
    <dataValidation type="list" allowBlank="1" showErrorMessage="1" sqref="J18">
      <formula1>'Mun DD3'!B393:AT393</formula1>
    </dataValidation>
    <dataValidation type="list" allowBlank="1" showErrorMessage="1" sqref="Q82">
      <formula1>InterventionsDD1!B469:AT469</formula1>
    </dataValidation>
    <dataValidation type="list" allowBlank="1" showErrorMessage="1" sqref="R112">
      <formula1>InterventionsDD2!B49:AT49</formula1>
    </dataValidation>
    <dataValidation type="list" allowBlank="1" showErrorMessage="1" sqref="R18">
      <formula1>InterventionsDD2!B393:AT393</formula1>
    </dataValidation>
    <dataValidation type="list" allowBlank="1" showErrorMessage="1" sqref="H368">
      <formula1>'Mun DD1'!B258:AT258</formula1>
    </dataValidation>
    <dataValidation type="list" allowBlank="1" showErrorMessage="1" sqref="H146 H323">
      <formula1>'Mun DD1'!B212:AT212</formula1>
    </dataValidation>
    <dataValidation type="list" allowBlank="1" showErrorMessage="1" sqref="R355 R462">
      <formula1>InterventionsDD2!B257:AT257</formula1>
    </dataValidation>
    <dataValidation type="list" allowBlank="1" showErrorMessage="1" sqref="H119">
      <formula1>'Mun DD1'!B289:AT289</formula1>
    </dataValidation>
    <dataValidation type="list" allowBlank="1" showErrorMessage="1" sqref="J242 J250">
      <formula1>'Mun DD3'!B107:AT107</formula1>
    </dataValidation>
    <dataValidation type="list" allowBlank="1" showErrorMessage="1" sqref="H321">
      <formula1>'Mun DD1'!B193:AT193</formula1>
    </dataValidation>
    <dataValidation type="list" allowBlank="1" showErrorMessage="1" sqref="R268">
      <formula1>InterventionsDD2!B119:AT119</formula1>
    </dataValidation>
    <dataValidation type="list" allowBlank="1" showErrorMessage="1" sqref="J360">
      <formula1>'Mun DD3'!B10:AT10</formula1>
    </dataValidation>
    <dataValidation type="list" allowBlank="1" showErrorMessage="1" sqref="J124">
      <formula1>'Mun DD3'!B412:AT412</formula1>
    </dataValidation>
    <dataValidation type="list" allowBlank="1" showErrorMessage="1" sqref="Q242 Q250">
      <formula1>InterventionsDD1!B107:AT107</formula1>
    </dataValidation>
    <dataValidation type="list" allowBlank="1" showErrorMessage="1" sqref="Q148">
      <formula1>InterventionsDD1!B89:AT89</formula1>
    </dataValidation>
    <dataValidation type="list" allowBlank="1" showErrorMessage="1" sqref="H66:H68">
      <formula1>'Mun DD1'!B331:AT331</formula1>
    </dataValidation>
    <dataValidation type="list" allowBlank="1" showErrorMessage="1" sqref="J447">
      <formula1>'Mun DD3'!B229:AT229</formula1>
    </dataValidation>
    <dataValidation type="list" allowBlank="1" showErrorMessage="1" sqref="H159">
      <formula1>'Mun DD1'!B106:AT106</formula1>
    </dataValidation>
    <dataValidation type="list" allowBlank="1" showErrorMessage="1" sqref="H278 H456">
      <formula1>'Mun DD1'!B99:AT99</formula1>
    </dataValidation>
    <dataValidation type="list" allowBlank="1" showErrorMessage="1" sqref="J60">
      <formula1>'Mun DD3'!B263:AT263</formula1>
    </dataValidation>
    <dataValidation type="list" allowBlank="1" showErrorMessage="1" sqref="Q93">
      <formula1>InterventionsDD1!B171:AT171</formula1>
    </dataValidation>
    <dataValidation type="list" allowBlank="1" showErrorMessage="1" sqref="H305">
      <formula1>'Mun DD1'!B415:AT415</formula1>
    </dataValidation>
    <dataValidation type="list" allowBlank="1" showErrorMessage="1" sqref="H336">
      <formula1>'Mun DD1'!B28:AT28</formula1>
    </dataValidation>
    <dataValidation type="list" allowBlank="1" showErrorMessage="1" sqref="J120">
      <formula1>'Mun DD3'!B295:AT295</formula1>
    </dataValidation>
    <dataValidation type="list" allowBlank="1" showErrorMessage="1" sqref="H155">
      <formula1>'Mun DD1'!B136:AT136</formula1>
    </dataValidation>
    <dataValidation type="list" allowBlank="1" showErrorMessage="1" sqref="Q291">
      <formula1>InterventionsDD1!B268:AT268</formula1>
    </dataValidation>
    <dataValidation type="list" allowBlank="1" showErrorMessage="1" sqref="H325">
      <formula1>'Mun DD1'!B247:AT247</formula1>
    </dataValidation>
    <dataValidation type="list" allowBlank="1" showErrorMessage="1" sqref="I65">
      <formula1>'Mun DD2'!B312:AT312</formula1>
    </dataValidation>
    <dataValidation type="list" allowBlank="1" showErrorMessage="1" sqref="Q132">
      <formula1>InterventionsDD1!B74:AT74</formula1>
    </dataValidation>
    <dataValidation type="list" allowBlank="1" showErrorMessage="1" sqref="H236">
      <formula1>'Mun DD1'!B413:AT413</formula1>
    </dataValidation>
    <dataValidation type="list" allowBlank="1" showErrorMessage="1" sqref="R438:R439">
      <formula1>InterventionsDD2!B96:AT96</formula1>
    </dataValidation>
    <dataValidation type="list" allowBlank="1" showErrorMessage="1" sqref="J391">
      <formula1>'Mun DD3'!B321:AT321</formula1>
    </dataValidation>
    <dataValidation type="list" allowBlank="1" showErrorMessage="1" sqref="J254">
      <formula1>'Mun DD3'!B342:AT342</formula1>
    </dataValidation>
    <dataValidation type="list" allowBlank="1" showErrorMessage="1" sqref="I436">
      <formula1>'Mun DD2'!B15:AT15</formula1>
    </dataValidation>
    <dataValidation type="list" allowBlank="1" showErrorMessage="1" sqref="J313">
      <formula1>'Mun DD3'!B237:AT237</formula1>
    </dataValidation>
    <dataValidation type="list" allowBlank="1" showErrorMessage="1" sqref="R371">
      <formula1>InterventionsDD2!B416:AT416</formula1>
    </dataValidation>
    <dataValidation type="list" allowBlank="1" showErrorMessage="1" sqref="J223 J389">
      <formula1>'Mun DD3'!B22:AT22</formula1>
    </dataValidation>
    <dataValidation type="list" allowBlank="1" showErrorMessage="1" sqref="H33:H34 H200 H347">
      <formula1>'Mun DD1'!B36:AT36</formula1>
    </dataValidation>
    <dataValidation type="list" allowBlank="1" showErrorMessage="1" sqref="Q367 Q431">
      <formula1>InterventionsDD1!B242:AT242</formula1>
    </dataValidation>
    <dataValidation type="list" allowBlank="1" showErrorMessage="1" sqref="Q62:Q63">
      <formula1>InterventionsDD1!B296:AT296</formula1>
    </dataValidation>
    <dataValidation type="list" allowBlank="1" showErrorMessage="1" sqref="I295 I357">
      <formula1>'Mun DD2'!B117:AT117</formula1>
    </dataValidation>
    <dataValidation type="list" allowBlank="1" showErrorMessage="1" sqref="J333">
      <formula1>'Mun DD3'!B144:AT144</formula1>
    </dataValidation>
    <dataValidation type="list" allowBlank="1" showErrorMessage="1" sqref="I413:I415">
      <formula1>'Mun DD2'!B54:AT54</formula1>
    </dataValidation>
    <dataValidation type="list" allowBlank="1" showErrorMessage="1" sqref="I154 I193:I196 I301:I302">
      <formula1>'Mun DD2'!B126:AT126</formula1>
    </dataValidation>
    <dataValidation type="list" allowBlank="1" showErrorMessage="1" sqref="Q353">
      <formula1>InterventionsDD1!B33:AT33</formula1>
    </dataValidation>
    <dataValidation type="list" allowBlank="1" showErrorMessage="1" sqref="J401:J403">
      <formula1>'Mun DD3'!B131:AT131</formula1>
    </dataValidation>
    <dataValidation type="list" allowBlank="1" showErrorMessage="1" sqref="R362">
      <formula1>InterventionsDD2!B113:AT113</formula1>
    </dataValidation>
    <dataValidation type="list" allowBlank="1" showErrorMessage="1" sqref="I219">
      <formula1>'Mun DD2'!B337:AT337</formula1>
    </dataValidation>
    <dataValidation type="list" allowBlank="1" showErrorMessage="1" sqref="R206 R280:R281">
      <formula1>InterventionsDD2!B311:AT311</formula1>
    </dataValidation>
    <dataValidation type="list" allowBlank="1" showErrorMessage="1" sqref="J344 J460">
      <formula1>'Mun DD3'!B206:AT206</formula1>
    </dataValidation>
    <dataValidation type="list" allowBlank="1" showErrorMessage="1" sqref="R160 R221 R247:R248">
      <formula1>InterventionsDD2!B239:AT239</formula1>
    </dataValidation>
    <dataValidation type="list" allowBlank="1" showErrorMessage="1" sqref="R116">
      <formula1>InterventionsDD2!B259:AT259</formula1>
    </dataValidation>
    <dataValidation type="list" allowBlank="1" showErrorMessage="1" sqref="Q272">
      <formula1>InterventionsDD1!B139:AT139</formula1>
    </dataValidation>
    <dataValidation type="list" allowBlank="1" showErrorMessage="1" sqref="R339:R341">
      <formula1>InterventionsDD2!B120:AT120</formula1>
    </dataValidation>
    <dataValidation type="list" allowBlank="1" showErrorMessage="1" sqref="J314">
      <formula1>'Mun DD3'!B369:AT369</formula1>
    </dataValidation>
    <dataValidation type="list" allowBlank="1" showErrorMessage="1" sqref="I257 I282">
      <formula1>'Mun DD2'!B340:AT340</formula1>
    </dataValidation>
    <dataValidation type="list" allowBlank="1" showErrorMessage="1" sqref="R367 R431">
      <formula1>InterventionsDD2!B242:AT242</formula1>
    </dataValidation>
    <dataValidation type="list" allowBlank="1" showErrorMessage="1" sqref="Q319">
      <formula1>InterventionsDD1!B92:AT92</formula1>
    </dataValidation>
    <dataValidation type="list" allowBlank="1" showErrorMessage="1" sqref="J240 J455">
      <formula1>'Mun DD3'!B40:AT40</formula1>
    </dataValidation>
    <dataValidation type="list" allowBlank="1" showErrorMessage="1" sqref="R140 R237">
      <formula1>InterventionsDD2!B363:AT363</formula1>
    </dataValidation>
    <dataValidation type="list" allowBlank="1" showErrorMessage="1" sqref="Q426">
      <formula1>InterventionsDD1!B82:AT82</formula1>
    </dataValidation>
    <dataValidation type="list" allowBlank="1" showErrorMessage="1" sqref="R20">
      <formula1>InterventionsDD2!B5:AT5</formula1>
    </dataValidation>
    <dataValidation type="list" allowBlank="1" showErrorMessage="1" sqref="R440">
      <formula1>InterventionsDD2!B104:AT104</formula1>
    </dataValidation>
    <dataValidation type="list" allowBlank="1" showErrorMessage="1" sqref="H249">
      <formula1>'Mun DD1'!B324:AT324</formula1>
    </dataValidation>
    <dataValidation type="list" allowBlank="1" showErrorMessage="1" sqref="I232">
      <formula1>'Mun DD2'!B30:AT30</formula1>
    </dataValidation>
    <dataValidation type="list" allowBlank="1" showErrorMessage="1" sqref="I353">
      <formula1>'Mun DD2'!B33:AT33</formula1>
    </dataValidation>
    <dataValidation type="list" allowBlank="1" showErrorMessage="1" sqref="J49">
      <formula1>'Mun DD3'!B164:AT164</formula1>
    </dataValidation>
    <dataValidation type="list" allowBlank="1" showErrorMessage="1" sqref="I468">
      <formula1>'Mun DD2'!B406:AT406</formula1>
    </dataValidation>
    <dataValidation type="list" allowBlank="1" showErrorMessage="1" sqref="H177 H297">
      <formula1>'Mun DD1'!B140:AT140</formula1>
    </dataValidation>
    <dataValidation type="list" allowBlank="1" showErrorMessage="1" sqref="H29">
      <formula1>'Mun DD1'!B20:AT20</formula1>
    </dataValidation>
    <dataValidation type="list" allowBlank="1" showErrorMessage="1" sqref="R69:R70">
      <formula1>InterventionsDD2!B343:AT343</formula1>
    </dataValidation>
    <dataValidation type="list" allowBlank="1" showErrorMessage="1" sqref="Q421:Q423">
      <formula1>InterventionsDD1!B69:AT69</formula1>
    </dataValidation>
    <dataValidation type="list" allowBlank="1" showErrorMessage="1" sqref="R127">
      <formula1>InterventionsDD2!B381:AT381</formula1>
    </dataValidation>
    <dataValidation type="list" allowBlank="1" showErrorMessage="1" sqref="Q213">
      <formula1>InterventionsDD1!B329:AT329</formula1>
    </dataValidation>
    <dataValidation type="list" allowBlank="1" showErrorMessage="1" sqref="J331">
      <formula1>'Mun DD3'!B2:AT2</formula1>
    </dataValidation>
    <dataValidation type="list" allowBlank="1" showErrorMessage="1" sqref="J233">
      <formula1>'Mun DD3'!B85:AT85</formula1>
    </dataValidation>
    <dataValidation type="list" allowBlank="1" showErrorMessage="1" sqref="H362">
      <formula1>'Mun DD1'!B113:AT113</formula1>
    </dataValidation>
    <dataValidation type="list" allowBlank="1" showErrorMessage="1" sqref="Q26:Q28 Q113 Q364 Q433">
      <formula1>InterventionsDD1!B16:AT16</formula1>
    </dataValidation>
    <dataValidation type="list" allowBlank="1" showErrorMessage="1" sqref="Q83 Q358">
      <formula1>InterventionsDD1!B105:AT105</formula1>
    </dataValidation>
    <dataValidation type="list" allowBlank="1" showErrorMessage="1" sqref="J83 J358">
      <formula1>'Mun DD3'!B105:AT105</formula1>
    </dataValidation>
    <dataValidation type="list" allowBlank="1" showErrorMessage="1" sqref="R231">
      <formula1>InterventionsDD2!B23:AT23</formula1>
    </dataValidation>
    <dataValidation type="list" allowBlank="1" showErrorMessage="1" sqref="H444">
      <formula1>'Mun DD1'!B222:AT222</formula1>
    </dataValidation>
    <dataValidation type="list" allowBlank="1" showErrorMessage="1" sqref="Q244">
      <formula1>InterventionsDD1!B261:AT261</formula1>
    </dataValidation>
    <dataValidation type="list" allowBlank="1" showErrorMessage="1" sqref="J454">
      <formula1>'Mun DD3'!B250:AT250</formula1>
    </dataValidation>
    <dataValidation type="list" allowBlank="1" showErrorMessage="1" sqref="R12">
      <formula1>InterventionsDD2!B356:AT356</formula1>
    </dataValidation>
    <dataValidation type="list" allowBlank="1" showErrorMessage="1" sqref="H266">
      <formula1>'Mun DD1'!B454:AT454</formula1>
    </dataValidation>
    <dataValidation type="list" allowBlank="1" showErrorMessage="1" sqref="I82">
      <formula1>'Mun DD2'!B469:AT469</formula1>
    </dataValidation>
    <dataValidation type="list" allowBlank="1" showErrorMessage="1" sqref="J283">
      <formula1>'Mun DD3'!B27:AT27</formula1>
    </dataValidation>
    <dataValidation type="list" allowBlank="1" showErrorMessage="1" sqref="J470">
      <formula1>'Mun DD3'!B421:AT421</formula1>
    </dataValidation>
    <dataValidation type="list" allowBlank="1" showErrorMessage="1" sqref="R173 R289">
      <formula1>InterventionsDD2!B245:AT245</formula1>
    </dataValidation>
    <dataValidation type="list" allowBlank="1" showErrorMessage="1" sqref="H44:H45">
      <formula1>'Mun DD1'!B142:AT142</formula1>
    </dataValidation>
    <dataValidation type="list" allowBlank="1" showErrorMessage="1" sqref="J257 J282">
      <formula1>'Mun DD3'!B340:AT340</formula1>
    </dataValidation>
    <dataValidation type="list" allowBlank="1" showErrorMessage="1" sqref="J160 J221 J247:J248">
      <formula1>'Mun DD3'!B239:AT239</formula1>
    </dataValidation>
    <dataValidation type="list" allowBlank="1" showErrorMessage="1" sqref="R287 R409">
      <formula1>InterventionsDD2!B286:AT286</formula1>
    </dataValidation>
    <dataValidation type="list" allowBlank="1" showErrorMessage="1" sqref="I398">
      <formula1>'Mun DD2'!B29:AT29</formula1>
    </dataValidation>
    <dataValidation type="list" allowBlank="1" showErrorMessage="1" sqref="I252">
      <formula1>'Mun DD2'!B116:AT116</formula1>
    </dataValidation>
    <dataValidation type="list" allowBlank="1" showErrorMessage="1" sqref="Q324">
      <formula1>InterventionsDD1!B447:AT447</formula1>
    </dataValidation>
    <dataValidation type="list" allowBlank="1" showErrorMessage="1" sqref="I160 I221 I247:I248">
      <formula1>'Mun DD2'!B239:AT239</formula1>
    </dataValidation>
    <dataValidation type="list" allowBlank="1" showErrorMessage="1" sqref="J290">
      <formula1>'Mun DD3'!B118:AT118</formula1>
    </dataValidation>
    <dataValidation type="list" allowBlank="1" showErrorMessage="1" sqref="Q333">
      <formula1>InterventionsDD1!B144:AT144</formula1>
    </dataValidation>
    <dataValidation type="list" allowBlank="1" showErrorMessage="1" sqref="Q360">
      <formula1>InterventionsDD1!B10:AT10</formula1>
    </dataValidation>
    <dataValidation type="list" allowBlank="1" showErrorMessage="1" sqref="Q303">
      <formula1>InterventionsDD1!B276:AT276</formula1>
    </dataValidation>
    <dataValidation type="list" allowBlank="1" showErrorMessage="1" sqref="Q314">
      <formula1>InterventionsDD1!B369:AT369</formula1>
    </dataValidation>
    <dataValidation type="list" allowBlank="1" showErrorMessage="1" sqref="R138">
      <formula1>InterventionsDD2!B267:AT267</formula1>
    </dataValidation>
    <dataValidation type="list" allowBlank="1" showErrorMessage="1" sqref="H46">
      <formula1>'Mun DD1'!B145:AT145</formula1>
    </dataValidation>
    <dataValidation type="list" allowBlank="1" showErrorMessage="1" sqref="I48">
      <formula1>'Mun DD2'!B155:AT155</formula1>
    </dataValidation>
    <dataValidation type="list" allowBlank="1" showErrorMessage="1" sqref="Q429:Q430 Q461">
      <formula1>InterventionsDD1!B302:AT302</formula1>
    </dataValidation>
    <dataValidation type="list" allowBlank="1" showErrorMessage="1" sqref="Q29">
      <formula1>InterventionsDD1!B20:AT20</formula1>
    </dataValidation>
    <dataValidation type="list" allowBlank="1" showErrorMessage="1" sqref="J108 J285 J318">
      <formula1>'Mun DD3'!B190:AT190</formula1>
    </dataValidation>
    <dataValidation type="list" allowBlank="1" showErrorMessage="1" sqref="I117">
      <formula1>'Mun DD2'!B262:AT262</formula1>
    </dataValidation>
    <dataValidation type="list" allowBlank="1" showErrorMessage="1" sqref="Q447">
      <formula1>InterventionsDD1!B229:AT229</formula1>
    </dataValidation>
    <dataValidation type="list" allowBlank="1" showErrorMessage="1" sqref="P2:P471">
      <formula1>Interventions!$A$2:$A471</formula1>
    </dataValidation>
    <dataValidation type="list" allowBlank="1" showErrorMessage="1" sqref="Q3 Q15">
      <formula1>InterventionsDD1!B362:AT362</formula1>
    </dataValidation>
    <dataValidation type="list" allowBlank="1" showErrorMessage="1" sqref="J388">
      <formula1>'Mun DD3'!B108:AT108</formula1>
    </dataValidation>
    <dataValidation type="list" allowBlank="1" showErrorMessage="1" sqref="I393">
      <formula1>'Mun DD2'!B305:AT305</formula1>
    </dataValidation>
    <dataValidation type="list" allowBlank="1" showErrorMessage="1" sqref="J265">
      <formula1>'Mun DD3'!B288:AT288</formula1>
    </dataValidation>
    <dataValidation type="list" allowBlank="1" showErrorMessage="1" sqref="J362">
      <formula1>'Mun DD3'!B113:AT113</formula1>
    </dataValidation>
    <dataValidation type="list" allowBlank="1" showErrorMessage="1" sqref="H434">
      <formula1>'Mun DD1'!B129:AT129</formula1>
    </dataValidation>
    <dataValidation type="list" allowBlank="1" showErrorMessage="1" sqref="H14">
      <formula1>'Mun DD1'!B230:AT230</formula1>
    </dataValidation>
    <dataValidation type="list" allowBlank="1" showErrorMessage="1" sqref="I349">
      <formula1>'Mun DD2'!B399:AT399</formula1>
    </dataValidation>
    <dataValidation type="list" allowBlank="1" showErrorMessage="1" sqref="H170:H171">
      <formula1>'Mun DD1'!B449:AT449</formula1>
    </dataValidation>
    <dataValidation type="list" allowBlank="1" showErrorMessage="1" sqref="Q130">
      <formula1>InterventionsDD1!B75:AT75</formula1>
    </dataValidation>
    <dataValidation type="list" allowBlank="1" showErrorMessage="1" sqref="J178:J184 J286 J312">
      <formula1>'Mun DD3'!B146:AT146</formula1>
    </dataValidation>
    <dataValidation type="list" allowBlank="1" showErrorMessage="1" sqref="R354">
      <formula1>InterventionsDD2!B86:AT86</formula1>
    </dataValidation>
    <dataValidation type="list" allowBlank="1" showErrorMessage="1" sqref="H127">
      <formula1>'Mun DD1'!B381:AT381</formula1>
    </dataValidation>
    <dataValidation type="list" allowBlank="1" showErrorMessage="1" sqref="Q276">
      <formula1>InterventionsDD1!B180:AT180</formula1>
    </dataValidation>
    <dataValidation type="list" allowBlank="1" showErrorMessage="1" sqref="Q224">
      <formula1>InterventionsDD1!B375:AT375</formula1>
    </dataValidation>
    <dataValidation type="list" allowBlank="1" showErrorMessage="1" sqref="I161 I203:I205">
      <formula1>'Mun DD2'!B265:AT265</formula1>
    </dataValidation>
    <dataValidation type="list" allowBlank="1" showErrorMessage="1" sqref="I26:I28 I113 I364 I433">
      <formula1>'Mun DD2'!B16:AT16</formula1>
    </dataValidation>
    <dataValidation type="list" allowBlank="1" showErrorMessage="1" sqref="H356">
      <formula1>'Mun DD1'!B394:AT394</formula1>
    </dataValidation>
    <dataValidation type="list" allowBlank="1" showErrorMessage="1" sqref="H332">
      <formula1>'Mun DD1'!B405:AT405</formula1>
    </dataValidation>
    <dataValidation type="list" allowBlank="1" showErrorMessage="1" sqref="R133">
      <formula1>InterventionsDD2!B76:AT76</formula1>
    </dataValidation>
    <dataValidation type="list" allowBlank="1" showErrorMessage="1" sqref="Q361">
      <formula1>InterventionsDD1!B100:AT100</formula1>
    </dataValidation>
    <dataValidation type="list" allowBlank="1" showErrorMessage="1" sqref="Q39 Q139 Q370">
      <formula1>InterventionsDD1!B83:AT83</formula1>
    </dataValidation>
    <dataValidation type="list" allowBlank="1" showErrorMessage="1" sqref="R118">
      <formula1>InterventionsDD2!B271:AT271</formula1>
    </dataValidation>
    <dataValidation type="list" allowBlank="1" showErrorMessage="1" sqref="J317 J335 J343">
      <formula1>'Mun DD3'!B176:AT176</formula1>
    </dataValidation>
    <dataValidation type="list" allowBlank="1" showErrorMessage="1" sqref="I40:I41 I348 I372">
      <formula1>'Mun DD2'!B87:AT87</formula1>
    </dataValidation>
    <dataValidation type="list" allowBlank="1" showErrorMessage="1" sqref="Q52:Q58">
      <formula1>InterventionsDD1!B213:AT213</formula1>
    </dataValidation>
    <dataValidation type="list" allowBlank="1" showErrorMessage="1" sqref="H157">
      <formula1>'Mun DD1'!B323:AT323</formula1>
    </dataValidation>
    <dataValidation type="list" allowBlank="1" showErrorMessage="1" sqref="J303">
      <formula1>'Mun DD3'!B276:AT276</formula1>
    </dataValidation>
    <dataValidation type="list" allowBlank="1" showErrorMessage="1" sqref="I96:I103">
      <formula1>'Mun DD2'!B461:AT461</formula1>
    </dataValidation>
    <dataValidation type="list" allowBlank="1" showErrorMessage="1" sqref="Q243 Q466:Q467">
      <formula1>InterventionsDD1!B178:AT178</formula1>
    </dataValidation>
    <dataValidation type="list" allowBlank="1" showErrorMessage="1" sqref="I412">
      <formula1>'Mun DD2'!B50:AT50</formula1>
    </dataValidation>
    <dataValidation type="list" allowBlank="1" showErrorMessage="1" sqref="I69:I70">
      <formula1>'Mun DD2'!B343:AT343</formula1>
    </dataValidation>
    <dataValidation type="list" allowBlank="1" showErrorMessage="1" sqref="J174 J267 J463">
      <formula1>'Mun DD3'!B93:AT93</formula1>
    </dataValidation>
    <dataValidation type="list" allowBlank="1" showErrorMessage="1" sqref="R349">
      <formula1>InterventionsDD2!B399:AT399</formula1>
    </dataValidation>
    <dataValidation type="list" allowBlank="1" showErrorMessage="1" sqref="J427">
      <formula1>'Mun DD3'!B130:AT130</formula1>
    </dataValidation>
    <dataValidation type="list" allowBlank="1" showErrorMessage="1" sqref="H115">
      <formula1>'Mun DD1'!B154:AT154</formula1>
    </dataValidation>
    <dataValidation type="list" allowBlank="1" showErrorMessage="1" sqref="R78">
      <formula1>InterventionsDD2!B398:AT398</formula1>
    </dataValidation>
    <dataValidation type="list" allowBlank="1" showErrorMessage="1" sqref="X2:X471">
      <formula1>Glossary!$AE$2:$AE471</formula1>
    </dataValidation>
    <dataValidation type="list" allowBlank="1" showErrorMessage="1" sqref="J243 J466:J467">
      <formula1>'Mun DD3'!B178:AT178</formula1>
    </dataValidation>
    <dataValidation type="list" allowBlank="1" showErrorMessage="1" sqref="H235">
      <formula1>'Mun DD1'!B204:AT204</formula1>
    </dataValidation>
    <dataValidation type="list" allowBlank="1" showErrorMessage="1" sqref="J228 J351">
      <formula1>'Mun DD3'!B249:AT249</formula1>
    </dataValidation>
    <dataValidation type="list" allowBlank="1" showErrorMessage="1" sqref="R23">
      <formula1>InterventionsDD2!B11:AT11</formula1>
    </dataValidation>
    <dataValidation type="list" allowBlank="1" showErrorMessage="1" sqref="Q108 Q285 Q318">
      <formula1>InterventionsDD1!B190:AT190</formula1>
    </dataValidation>
    <dataValidation type="list" allowBlank="1" showErrorMessage="1" sqref="I410">
      <formula1>'Mun DD2'!B411:AT411</formula1>
    </dataValidation>
    <dataValidation type="list" allowBlank="1" showErrorMessage="1" sqref="I89">
      <formula1>'Mun DD2'!B435:AT435</formula1>
    </dataValidation>
    <dataValidation type="list" allowBlank="1" showErrorMessage="1" sqref="H390 H464">
      <formula1>'Mun DD1'!B310:AT310</formula1>
    </dataValidation>
    <dataValidation type="list" allowBlank="1" showErrorMessage="1" sqref="Q72">
      <formula1>InterventionsDD1!B376:AT376</formula1>
    </dataValidation>
    <dataValidation type="list" allowBlank="1" showErrorMessage="1" sqref="R174 R267 R463">
      <formula1>InterventionsDD2!B93:AT93</formula1>
    </dataValidation>
    <dataValidation type="list" allowBlank="1" showErrorMessage="1" sqref="H275">
      <formula1>'Mun DD1'!B123:AT123</formula1>
    </dataValidation>
    <dataValidation type="list" allowBlank="1" showErrorMessage="1" sqref="H7">
      <formula1>'Mun DD1'!B48:AT48</formula1>
    </dataValidation>
    <dataValidation type="list" allowBlank="1" showErrorMessage="1" sqref="R131 R258">
      <formula1>InterventionsDD2!B81:AT81</formula1>
    </dataValidation>
    <dataValidation type="list" allowBlank="1" showErrorMessage="1" sqref="I324">
      <formula1>'Mun DD2'!B447:AT447</formula1>
    </dataValidation>
    <dataValidation type="list" allowBlank="1" showErrorMessage="1" sqref="J19">
      <formula1>'Mun DD3'!B3:AT3</formula1>
    </dataValidation>
    <dataValidation type="list" allowBlank="1" showErrorMessage="1" sqref="J79:J80 J125">
      <formula1>'Mun DD3'!B378:AT378</formula1>
    </dataValidation>
    <dataValidation type="list" allowBlank="1" showErrorMessage="1" sqref="R155">
      <formula1>InterventionsDD2!B136:AT136</formula1>
    </dataValidation>
    <dataValidation type="list" allowBlank="1" showErrorMessage="1" sqref="H173 H289">
      <formula1>'Mun DD1'!B245:AT245</formula1>
    </dataValidation>
    <dataValidation type="list" allowBlank="1" showErrorMessage="1" sqref="J92">
      <formula1>'Mun DD3'!B251:AT251</formula1>
    </dataValidation>
    <dataValidation type="list" allowBlank="1" showErrorMessage="1" sqref="H363">
      <formula1>'Mun DD1'!B173:AT173</formula1>
    </dataValidation>
    <dataValidation type="list" allowBlank="1" showErrorMessage="1" sqref="I52:I58">
      <formula1>'Mun DD2'!B213:AT213</formula1>
    </dataValidation>
    <dataValidation type="list" allowBlank="1" showErrorMessage="1" sqref="R265">
      <formula1>InterventionsDD2!B288:AT288</formula1>
    </dataValidation>
    <dataValidation type="list" allowBlank="1" showErrorMessage="1" sqref="Q269">
      <formula1>InterventionsDD1!B125:AT125</formula1>
    </dataValidation>
    <dataValidation type="list" allowBlank="1" showErrorMessage="1" sqref="R380">
      <formula1>InterventionsDD2!B95:AT95</formula1>
    </dataValidation>
    <dataValidation type="list" allowBlank="1" showErrorMessage="1" sqref="R49">
      <formula1>InterventionsDD2!B164:AT164</formula1>
    </dataValidation>
    <dataValidation type="list" allowBlank="1" showErrorMessage="1" sqref="J134">
      <formula1>'Mun DD3'!B80:AT80</formula1>
    </dataValidation>
    <dataValidation type="list" allowBlank="1" showErrorMessage="1" sqref="J266">
      <formula1>'Mun DD3'!B454:AT454</formula1>
    </dataValidation>
    <dataValidation type="list" allowBlank="1" showErrorMessage="1" sqref="H339:H341">
      <formula1>'Mun DD1'!B120:AT120</formula1>
    </dataValidation>
    <dataValidation type="list" allowBlank="1" showErrorMessage="1" sqref="R252">
      <formula1>InterventionsDD2!B116:AT116</formula1>
    </dataValidation>
    <dataValidation type="list" allowBlank="1" showErrorMessage="1" sqref="Q12">
      <formula1>InterventionsDD1!B356:AT356</formula1>
    </dataValidation>
    <dataValidation type="list" allowBlank="1" showErrorMessage="1" sqref="I51 I222">
      <formula1>'Mun DD2'!B182:AT182</formula1>
    </dataValidation>
    <dataValidation type="list" allowBlank="1" showErrorMessage="1" sqref="R71">
      <formula1>InterventionsDD2!B355:AT355</formula1>
    </dataValidation>
    <dataValidation type="list" allowBlank="1" showErrorMessage="1" sqref="Q138">
      <formula1>InterventionsDD1!B267:AT267</formula1>
    </dataValidation>
    <dataValidation type="list" allowBlank="1" showErrorMessage="1" sqref="J142">
      <formula1>'Mun DD3'!B191:AT191</formula1>
    </dataValidation>
    <dataValidation type="list" allowBlank="1" showErrorMessage="1" sqref="Q146 Q323">
      <formula1>InterventionsDD1!B212:AT212</formula1>
    </dataValidation>
    <dataValidation type="list" allowBlank="1" showErrorMessage="1" sqref="J230 J453">
      <formula1>'Mun DD3'!B21:AT21</formula1>
    </dataValidation>
    <dataValidation type="list" allowBlank="1" showErrorMessage="1" sqref="Q249">
      <formula1>InterventionsDD1!B324:AT324</formula1>
    </dataValidation>
    <dataValidation type="list" allowBlank="1" showErrorMessage="1" sqref="R177 R297">
      <formula1>InterventionsDD2!B140:AT140</formula1>
    </dataValidation>
    <dataValidation type="list" allowBlank="1" showErrorMessage="1" sqref="I249">
      <formula1>'Mun DD2'!B324:AT324</formula1>
    </dataValidation>
    <dataValidation type="list" allowBlank="1" showErrorMessage="1" sqref="R416">
      <formula1>InterventionsDD2!B59:AT59</formula1>
    </dataValidation>
    <dataValidation type="list" allowBlank="1" showErrorMessage="1" sqref="H240 H455">
      <formula1>'Mun DD1'!B40:AT40</formula1>
    </dataValidation>
    <dataValidation type="list" allowBlank="1" showErrorMessage="1" sqref="J161 J203:J205">
      <formula1>'Mun DD3'!B265:AT265</formula1>
    </dataValidation>
    <dataValidation type="list" allowBlank="1" showErrorMessage="1" sqref="J278 J456">
      <formula1>'Mun DD3'!B99:AT99</formula1>
    </dataValidation>
    <dataValidation type="list" allowBlank="1" showErrorMessage="1" sqref="R198">
      <formula1>InterventionsDD2!B195:AT195</formula1>
    </dataValidation>
    <dataValidation type="list" allowBlank="1" showErrorMessage="1" sqref="Q31:Q32 Q199">
      <formula1>InterventionsDD1!B31:AT31</formula1>
    </dataValidation>
    <dataValidation type="list" allowBlank="1" showErrorMessage="1" sqref="J126">
      <formula1>'Mun DD3'!B368:AT368</formula1>
    </dataValidation>
    <dataValidation type="list" allowBlank="1" showErrorMessage="1" sqref="H143">
      <formula1>'Mun DD1'!B77:AT77</formula1>
    </dataValidation>
    <dataValidation type="list" allowBlank="1" showErrorMessage="1" sqref="H316">
      <formula1>'Mun DD1'!B383:AT383</formula1>
    </dataValidation>
    <dataValidation type="list" allowBlank="1" showErrorMessage="1" sqref="Q257 Q282">
      <formula1>InterventionsDD1!B340:AT340</formula1>
    </dataValidation>
    <dataValidation type="list" allowBlank="1" showErrorMessage="1" sqref="R454">
      <formula1>InterventionsDD2!B250:AT250</formula1>
    </dataValidation>
    <dataValidation type="list" allowBlank="1" showErrorMessage="1" sqref="S2:S471">
      <formula1>Glossary!$U$2:$U471</formula1>
    </dataValidation>
    <dataValidation type="list" allowBlank="1" showErrorMessage="1" sqref="J306">
      <formula1>'Mun DD3'!B418:AT418</formula1>
    </dataValidation>
    <dataValidation type="list" allowBlank="1" showErrorMessage="1" sqref="H440">
      <formula1>'Mun DD1'!B104:AT104</formula1>
    </dataValidation>
    <dataValidation type="list" allowBlank="1" showErrorMessage="1" sqref="J359">
      <formula1>'Mun DD3'!B1:AT1</formula1>
    </dataValidation>
    <dataValidation type="list" allowBlank="1" showErrorMessage="1" sqref="I62:I63">
      <formula1>'Mun DD2'!B296:AT296</formula1>
    </dataValidation>
    <dataValidation type="list" allowBlank="1" showErrorMessage="1" sqref="R394">
      <formula1>InterventionsDD2!B209:AT209</formula1>
    </dataValidation>
    <dataValidation type="list" allowBlank="1" showErrorMessage="1" sqref="H254">
      <formula1>'Mun DD1'!B342:AT342</formula1>
    </dataValidation>
    <dataValidation type="list" allowBlank="1" showErrorMessage="1" sqref="R88">
      <formula1>InterventionsDD2!B223:AT223</formula1>
    </dataValidation>
    <dataValidation type="list" allowBlank="1" showErrorMessage="1" sqref="Q240 Q455">
      <formula1>InterventionsDD1!B40:AT40</formula1>
    </dataValidation>
    <dataValidation type="list" allowBlank="1" showErrorMessage="1" sqref="Q299">
      <formula1>InterventionsDD1!B266:AT266</formula1>
    </dataValidation>
    <dataValidation type="list" allowBlank="1" showErrorMessage="1" sqref="R457:R458">
      <formula1>InterventionsDD2!B284:AT284</formula1>
    </dataValidation>
    <dataValidation type="list" allowBlank="1" showErrorMessage="1" sqref="Q122">
      <formula1>InterventionsDD1!B351:AT351</formula1>
    </dataValidation>
    <dataValidation type="list" allowBlank="1" showErrorMessage="1" sqref="H274">
      <formula1>'Mun DD1'!B174:AT174</formula1>
    </dataValidation>
    <dataValidation type="list" allowBlank="1" showErrorMessage="1" sqref="J321">
      <formula1>'Mun DD3'!B193:AT193</formula1>
    </dataValidation>
    <dataValidation type="list" allowBlank="1" showErrorMessage="1" sqref="R336">
      <formula1>InterventionsDD2!B28:AT28</formula1>
    </dataValidation>
    <dataValidation type="list" allowBlank="1" showErrorMessage="1" sqref="Q457:Q458">
      <formula1>InterventionsDD1!B284:AT284</formula1>
    </dataValidation>
    <dataValidation type="list" allowBlank="1" showErrorMessage="1" sqref="H238">
      <formula1>'Mun DD1'!B4:AT4</formula1>
    </dataValidation>
    <dataValidation type="list" allowBlank="1" showErrorMessage="1" sqref="I308">
      <formula1>'Mun DD2'!B430:AT430</formula1>
    </dataValidation>
    <dataValidation type="list" allowBlank="1" showErrorMessage="1" sqref="H333">
      <formula1>'Mun DD1'!B144:AT144</formula1>
    </dataValidation>
    <dataValidation type="list" allowBlank="1" showErrorMessage="1" sqref="J375">
      <formula1>'Mun DD3'!B429:AT429</formula1>
    </dataValidation>
    <dataValidation type="list" allowBlank="1" showErrorMessage="1" sqref="I291">
      <formula1>'Mun DD2'!B268:AT268</formula1>
    </dataValidation>
    <dataValidation type="list" allowBlank="1" showErrorMessage="1" sqref="R123">
      <formula1>InterventionsDD2!B373:AT373</formula1>
    </dataValidation>
    <dataValidation type="list" allowBlank="1" showErrorMessage="1" sqref="J123">
      <formula1>'Mun DD3'!B373:AT373</formula1>
    </dataValidation>
    <dataValidation type="list" allowBlank="1" showErrorMessage="1" sqref="H326:H327">
      <formula1>'Mun DD1'!B252:AT252</formula1>
    </dataValidation>
    <dataValidation type="list" allowBlank="1" showErrorMessage="1" sqref="J21:J22">
      <formula1>'Mun DD3'!B8:AT8</formula1>
    </dataValidation>
    <dataValidation type="list" allowBlank="1" showErrorMessage="1" sqref="R146 R323">
      <formula1>InterventionsDD2!B212:AT212</formula1>
    </dataValidation>
    <dataValidation type="list" allowBlank="1" showErrorMessage="1" sqref="R333">
      <formula1>InterventionsDD2!B144:AT144</formula1>
    </dataValidation>
    <dataValidation type="list" allowBlank="1" showErrorMessage="1" sqref="I235">
      <formula1>'Mun DD2'!B204:AT204</formula1>
    </dataValidation>
    <dataValidation type="list" allowBlank="1" showErrorMessage="1" sqref="W2:W471">
      <formula1>Glossary!$AD$2:$AD471</formula1>
    </dataValidation>
    <dataValidation type="list" allowBlank="1" showErrorMessage="1" sqref="J308">
      <formula1>'Mun DD3'!B430:AT430</formula1>
    </dataValidation>
    <dataValidation type="list" allowBlank="1" showErrorMessage="1" sqref="H105">
      <formula1>'Mun DD1'!B243:AT243</formula1>
    </dataValidation>
    <dataValidation type="list" allowBlank="1" showErrorMessage="1" sqref="Q454">
      <formula1>InterventionsDD1!B250:AT250</formula1>
    </dataValidation>
    <dataValidation type="list" allowBlank="1" showErrorMessage="1" sqref="J75">
      <formula1>'Mun DD3'!B428:AT428</formula1>
    </dataValidation>
    <dataValidation type="list" allowBlank="1" showErrorMessage="1" sqref="I246">
      <formula1>'Mun DD2'!B338:AT338</formula1>
    </dataValidation>
    <dataValidation type="list" allowBlank="1" showErrorMessage="1" sqref="Q274">
      <formula1>InterventionsDD1!B174:AT174</formula1>
    </dataValidation>
    <dataValidation type="list" allowBlank="1" showErrorMessage="1" sqref="H354">
      <formula1>'Mun DD1'!B86:AT86</formula1>
    </dataValidation>
    <dataValidation type="list" allowBlank="1" showErrorMessage="1" sqref="R469">
      <formula1>InterventionsDD2!B417:AT417</formula1>
    </dataValidation>
    <dataValidation type="list" allowBlank="1" showErrorMessage="1" sqref="R64 R84">
      <formula1>InterventionsDD2!B299:AT299</formula1>
    </dataValidation>
    <dataValidation type="list" allowBlank="1" showErrorMessage="1" sqref="H72">
      <formula1>'Mun DD1'!B376:AT376</formula1>
    </dataValidation>
    <dataValidation type="list" allowBlank="1" showErrorMessage="1" sqref="Q115">
      <formula1>InterventionsDD1!B154:AT154</formula1>
    </dataValidation>
    <dataValidation type="list" allowBlank="1" showErrorMessage="1" sqref="H16">
      <formula1>'Mun DD1'!B404:AT404</formula1>
    </dataValidation>
    <dataValidation type="list" allowBlank="1" showErrorMessage="1" sqref="I131 I258">
      <formula1>'Mun DD2'!B81:AT81</formula1>
    </dataValidation>
    <dataValidation type="list" allowBlank="1" showErrorMessage="1" sqref="J442">
      <formula1>'Mun DD3'!B197:AT197</formula1>
    </dataValidation>
    <dataValidation type="list" allowBlank="1" showErrorMessage="1" sqref="H255">
      <formula1>'Mun DD1'!B339:AT339</formula1>
    </dataValidation>
    <dataValidation type="list" allowBlank="1" showErrorMessage="1" sqref="Q43 Q135 Q147 Q245 Q352">
      <formula1>InterventionsDD1!B134:AT134</formula1>
    </dataValidation>
    <dataValidation type="list" allowBlank="1" showErrorMessage="1" sqref="Q471">
      <formula1>InterventionsDD1!B453:AT453</formula1>
    </dataValidation>
    <dataValidation type="list" allowBlank="1" showErrorMessage="1" sqref="J175 J334">
      <formula1>'Mun DD3'!B135:AT135</formula1>
    </dataValidation>
    <dataValidation type="list" allowBlank="1" showErrorMessage="1" sqref="Q50 Q104 Q309:Q310">
      <formula1>InterventionsDD1!B177:AT177</formula1>
    </dataValidation>
    <dataValidation type="list" allowBlank="1" showErrorMessage="1" sqref="H5">
      <formula1>'Mun DD1'!B290:AT290</formula1>
    </dataValidation>
    <dataValidation type="list" allowBlank="1" showErrorMessage="1" sqref="H342 H459">
      <formula1>'Mun DD1'!B187:AT187</formula1>
    </dataValidation>
    <dataValidation type="list" allowBlank="1" showErrorMessage="1" sqref="Q233">
      <formula1>InterventionsDD1!B85:AT85</formula1>
    </dataValidation>
    <dataValidation type="list" allowBlank="1" showErrorMessage="1" sqref="H315">
      <formula1>'Mun DD1'!B345:AT345</formula1>
    </dataValidation>
    <dataValidation type="list" allowBlank="1" showErrorMessage="1" sqref="H239">
      <formula1>'Mun DD1'!B388:AT388</formula1>
    </dataValidation>
    <dataValidation type="list" allowBlank="1" showErrorMessage="1" sqref="Q294">
      <formula1>InterventionsDD1!B352:AT352</formula1>
    </dataValidation>
    <dataValidation type="list" allowBlank="1" showErrorMessage="1" sqref="I394">
      <formula1>'Mun DD2'!B209:AT209</formula1>
    </dataValidation>
    <dataValidation type="list" allowBlank="1" showErrorMessage="1" sqref="Q66:Q68">
      <formula1>InterventionsDD1!B331:AT331</formula1>
    </dataValidation>
    <dataValidation type="list" allowBlank="1" showErrorMessage="1" sqref="J89">
      <formula1>'Mun DD3'!B435:AT435</formula1>
    </dataValidation>
    <dataValidation type="list" allowBlank="1" showErrorMessage="1" sqref="J256">
      <formula1>'Mun DD3'!B98:AT98</formula1>
    </dataValidation>
    <dataValidation type="list" allowBlank="1" showErrorMessage="1" sqref="R274">
      <formula1>InterventionsDD2!B174:AT174</formula1>
    </dataValidation>
    <dataValidation type="list" allowBlank="1" showErrorMessage="1" sqref="Q393">
      <formula1>InterventionsDD1!B305:AT305</formula1>
    </dataValidation>
    <dataValidation type="list" allowBlank="1" showErrorMessage="1" sqref="J273">
      <formula1>'Mun DD3'!B109:AT109</formula1>
    </dataValidation>
    <dataValidation type="list" allowBlank="1" showErrorMessage="1" sqref="J381">
      <formula1>'Mun DD3'!B397:AT397</formula1>
    </dataValidation>
    <dataValidation type="list" allowBlank="1" showErrorMessage="1" sqref="Q23">
      <formula1>InterventionsDD1!B11:AT11</formula1>
    </dataValidation>
    <dataValidation type="list" allowBlank="1" showErrorMessage="1" sqref="Q59">
      <formula1>InterventionsDD1!B256:AT256</formula1>
    </dataValidation>
    <dataValidation type="list" allowBlank="1" showErrorMessage="1" sqref="R266">
      <formula1>InterventionsDD2!B454:AT454</formula1>
    </dataValidation>
    <dataValidation type="list" allowBlank="1" showErrorMessage="1" sqref="I126">
      <formula1>'Mun DD2'!B368:AT368</formula1>
    </dataValidation>
    <dataValidation type="list" allowBlank="1" showErrorMessage="1" sqref="I142">
      <formula1>'Mun DD2'!B191:AT191</formula1>
    </dataValidation>
    <dataValidation type="list" allowBlank="1" showErrorMessage="1" sqref="J382 J437">
      <formula1>'Mun DD3'!B39:AT39</formula1>
    </dataValidation>
    <dataValidation type="list" allowBlank="1" showErrorMessage="1" sqref="R108 R285 R318">
      <formula1>InterventionsDD2!B190:AT190</formula1>
    </dataValidation>
    <dataValidation type="list" allowBlank="1" showErrorMessage="1" sqref="R233">
      <formula1>InterventionsDD2!B85:AT85</formula1>
    </dataValidation>
    <dataValidation type="list" allowBlank="1" showErrorMessage="1" sqref="I47 I207:I212">
      <formula1>'Mun DD2'!B153:AT153</formula1>
    </dataValidation>
    <dataValidation type="list" allowBlank="1" showErrorMessage="1" sqref="Q235">
      <formula1>InterventionsDD1!B204:AT204</formula1>
    </dataValidation>
    <dataValidation type="list" allowBlank="1" showErrorMessage="1" sqref="H156">
      <formula1>'Mun DD1'!B232:AT232</formula1>
    </dataValidation>
    <dataValidation type="list" allowBlank="1" showErrorMessage="1" sqref="J324">
      <formula1>'Mun DD3'!B447:AT447</formula1>
    </dataValidation>
    <dataValidation type="list" allowBlank="1" showErrorMessage="1" sqref="J131 J258">
      <formula1>'Mun DD3'!B81:AT81</formula1>
    </dataValidation>
    <dataValidation type="list" allowBlank="1" showErrorMessage="1" sqref="I90">
      <formula1>'Mun DD2'!B335:AT335</formula1>
    </dataValidation>
    <dataValidation type="list" allowBlank="1" showErrorMessage="1" sqref="Q107">
      <formula1>InterventionsDD1!B283:AT283</formula1>
    </dataValidation>
    <dataValidation type="list" allowBlank="1" showErrorMessage="1" sqref="Q328">
      <formula1>InterventionsDD1!B422:AT422</formula1>
    </dataValidation>
    <dataValidation type="list" allowBlank="1" showErrorMessage="1" sqref="J363">
      <formula1>'Mun DD3'!B173:AT173</formula1>
    </dataValidation>
    <dataValidation type="list" allowBlank="1" showErrorMessage="1" sqref="Q140 Q237">
      <formula1>InterventionsDD1!B363:AT363</formula1>
    </dataValidation>
    <dataValidation type="list" allowBlank="1" showErrorMessage="1" sqref="R306">
      <formula1>InterventionsDD2!B418:AT418</formula1>
    </dataValidation>
    <dataValidation type="list" allowBlank="1" showErrorMessage="1" sqref="Q411">
      <formula1>InterventionsDD1!B38:AT38</formula1>
    </dataValidation>
    <dataValidation type="list" allowBlank="1" showErrorMessage="1" sqref="R19">
      <formula1>InterventionsDD2!B3:AT3</formula1>
    </dataValidation>
    <dataValidation type="list" allowBlank="1" showErrorMessage="1" sqref="R122">
      <formula1>InterventionsDD2!B351:AT351</formula1>
    </dataValidation>
    <dataValidation type="list" allowBlank="1" showErrorMessage="1" sqref="I339:I341">
      <formula1>'Mun DD2'!B120:AT120</formula1>
    </dataValidation>
    <dataValidation type="list" allowBlank="1" showErrorMessage="1" sqref="I365">
      <formula1>'Mun DD2'!B357:AT357</formula1>
    </dataValidation>
    <dataValidation type="list" allowBlank="1" showErrorMessage="1" sqref="J81 J345">
      <formula1>'Mun DD3'!B61:AT61</formula1>
    </dataValidation>
    <dataValidation type="list" allowBlank="1" showErrorMessage="1" sqref="R360">
      <formula1>InterventionsDD2!B10:AT10</formula1>
    </dataValidation>
    <dataValidation type="list" allowBlank="1" showErrorMessage="1" sqref="Q134">
      <formula1>InterventionsDD1!B80:AT80</formula1>
    </dataValidation>
    <dataValidation type="list" allowBlank="1" showErrorMessage="1" sqref="Q401:Q403">
      <formula1>InterventionsDD1!B131:AT131</formula1>
    </dataValidation>
    <dataValidation type="list" allowBlank="1" showErrorMessage="1" sqref="R442">
      <formula1>InterventionsDD2!B197:AT197</formula1>
    </dataValidation>
    <dataValidation type="list" allowBlank="1" showErrorMessage="1" sqref="J268">
      <formula1>'Mun DD3'!B119:AT119</formula1>
    </dataValidation>
    <dataValidation type="list" allowBlank="1" showErrorMessage="1" sqref="J236">
      <formula1>'Mun DD3'!B413:AT413</formula1>
    </dataValidation>
    <dataValidation type="list" allowBlank="1" showErrorMessage="1" sqref="R77">
      <formula1>InterventionsDD2!B448:AT448</formula1>
    </dataValidation>
    <dataValidation type="list" allowBlank="1" showErrorMessage="1" sqref="R132">
      <formula1>InterventionsDD2!B74:AT74</formula1>
    </dataValidation>
    <dataValidation type="list" allowBlank="1" showErrorMessage="1" sqref="I79:I80 I125">
      <formula1>'Mun DD2'!B378:AT378</formula1>
    </dataValidation>
    <dataValidation type="list" allowBlank="1" showErrorMessage="1" sqref="Q14">
      <formula1>InterventionsDD1!B230:AT230</formula1>
    </dataValidation>
    <dataValidation type="list" allowBlank="1" showErrorMessage="1" sqref="J47 J207:J212">
      <formula1>'Mun DD3'!B153:AT153</formula1>
    </dataValidation>
    <dataValidation type="list" allowBlank="1" showErrorMessage="1" sqref="I86:I87">
      <formula1>'Mun DD2'!B227:AT227</formula1>
    </dataValidation>
    <dataValidation type="list" allowBlank="1" showErrorMessage="1" sqref="J136">
      <formula1>'Mun DD3'!B198:AT198</formula1>
    </dataValidation>
    <dataValidation type="list" allowBlank="1" showErrorMessage="1" sqref="Q390 Q464">
      <formula1>InterventionsDD1!B310:AT310</formula1>
    </dataValidation>
    <dataValidation type="list" allowBlank="1" showErrorMessage="1" sqref="J399">
      <formula1>'Mun DD3'!B35:AT35</formula1>
    </dataValidation>
    <dataValidation type="list" allowBlank="1" showErrorMessage="1" sqref="I75">
      <formula1>'Mun DD2'!B428:AT428</formula1>
    </dataValidation>
    <dataValidation type="list" allowBlank="1" showErrorMessage="1" sqref="H78">
      <formula1>'Mun DD1'!B398:AT398</formula1>
    </dataValidation>
    <dataValidation type="list" allowBlank="1" showErrorMessage="1" sqref="Q354">
      <formula1>InterventionsDD1!B86:AT86</formula1>
    </dataValidation>
    <dataValidation type="list" allowBlank="1" showErrorMessage="1" sqref="H445:H446">
      <formula1>'Mun DD1'!B224:AT224</formula1>
    </dataValidation>
    <dataValidation type="list" allowBlank="1" showErrorMessage="1" sqref="J51 J222">
      <formula1>'Mun DD3'!B182:AT182</formula1>
    </dataValidation>
    <dataValidation type="list" allowBlank="1" showErrorMessage="1" sqref="J95">
      <formula1>'Mun DD3'!B438:AT438</formula1>
    </dataValidation>
    <dataValidation type="list" allowBlank="1" showErrorMessage="1" sqref="Q42 Q261 Q311">
      <formula1>InterventionsDD1!B101:AT101</formula1>
    </dataValidation>
    <dataValidation type="list" allowBlank="1" showErrorMessage="1" sqref="Q469">
      <formula1>InterventionsDD1!B417:AT417</formula1>
    </dataValidation>
    <dataValidation type="list" allowBlank="1" showErrorMessage="1" sqref="Q96:Q103">
      <formula1>InterventionsDD1!B461:AT461</formula1>
    </dataValidation>
    <dataValidation type="list" allowBlank="1" showErrorMessage="1" sqref="I337:I338">
      <formula1>'Mun DD2'!B111:AT111</formula1>
    </dataValidation>
    <dataValidation type="list" allowBlank="1" showErrorMessage="1" sqref="Q336">
      <formula1>InterventionsDD1!B28:AT28</formula1>
    </dataValidation>
    <dataValidation type="list" allowBlank="1" showErrorMessage="1" sqref="J411">
      <formula1>'Mun DD3'!B38:AT38</formula1>
    </dataValidation>
    <dataValidation type="list" allowBlank="1" showErrorMessage="1" sqref="I442">
      <formula1>'Mun DD2'!B197:AT197</formula1>
    </dataValidation>
    <dataValidation type="list" allowBlank="1" showErrorMessage="1" sqref="I255">
      <formula1>'Mun DD2'!B339:AT339</formula1>
    </dataValidation>
    <dataValidation type="list" allowBlank="1" showErrorMessage="1" sqref="R317 R335 R343">
      <formula1>InterventionsDD2!B176:AT176</formula1>
    </dataValidation>
    <dataValidation type="list" allowBlank="1" showErrorMessage="1" sqref="J218">
      <formula1>'Mun DD3'!B62:AT62</formula1>
    </dataValidation>
    <dataValidation type="list" allowBlank="1" showErrorMessage="1" sqref="J20">
      <formula1>'Mun DD3'!B5:AT5</formula1>
    </dataValidation>
    <dataValidation type="list" allowBlank="1" showErrorMessage="1" sqref="J202">
      <formula1>'Mun DD3'!B207:AT207</formula1>
    </dataValidation>
    <dataValidation type="list" allowBlank="1" showErrorMessage="1" sqref="J406">
      <formula1>'Mun DD3'!B269:AT269</formula1>
    </dataValidation>
    <dataValidation type="list" allowBlank="1" showErrorMessage="1" sqref="H395:H396">
      <formula1>'Mun DD1'!B6:AT6</formula1>
    </dataValidation>
    <dataValidation type="list" allowBlank="1" showErrorMessage="1" sqref="Q316">
      <formula1>InterventionsDD1!B383:AT383</formula1>
    </dataValidation>
    <dataValidation type="list" allowBlank="1" showErrorMessage="1" sqref="Q79:Q80 Q125">
      <formula1>InterventionsDD1!B378:AT378</formula1>
    </dataValidation>
    <dataValidation type="list" allowBlank="1" showErrorMessage="1" sqref="R240 R455">
      <formula1>InterventionsDD2!B40:AT40</formula1>
    </dataValidation>
    <dataValidation type="list" allowBlank="1" showErrorMessage="1" sqref="H329">
      <formula1>'Mun DD1'!B392:AT392</formula1>
    </dataValidation>
    <dataValidation type="list" allowBlank="1" showErrorMessage="1" sqref="J421:J423">
      <formula1>'Mun DD3'!B69:AT69</formula1>
    </dataValidation>
    <dataValidation type="list" allowBlank="1" showErrorMessage="1" sqref="R162:R164">
      <formula1>InterventionsDD2!B444:AT444</formula1>
    </dataValidation>
    <dataValidation type="list" allowBlank="1" showErrorMessage="1" sqref="H149:H153">
      <formula1>'Mun DD1'!B455:AT455</formula1>
    </dataValidation>
    <dataValidation type="list" allowBlank="1" showErrorMessage="1" sqref="Q201">
      <formula1>InterventionsDD1!B205:AT205</formula1>
    </dataValidation>
    <dataValidation type="list" allowBlank="1" showErrorMessage="1" sqref="J262 J404 J448:J451">
      <formula1>'Mun DD3'!B47:AT47</formula1>
    </dataValidation>
    <dataValidation type="list" allowBlank="1" showErrorMessage="1" sqref="R400">
      <formula1>InterventionsDD2!B84:AT84</formula1>
    </dataValidation>
    <dataValidation type="list" allowBlank="1" showErrorMessage="1" sqref="R330">
      <formula1>InterventionsDD2!B185:AT185</formula1>
    </dataValidation>
    <dataValidation type="list" allowBlank="1" showErrorMessage="1" sqref="R471">
      <formula1>InterventionsDD2!B453:AT453</formula1>
    </dataValidation>
    <dataValidation type="list" allowBlank="1" showErrorMessage="1" sqref="AA2:AA471">
      <formula1>Glossary!$AK$2:$AK471</formula1>
    </dataValidation>
    <dataValidation type="list" allowBlank="1" showErrorMessage="1" sqref="J371">
      <formula1>'Mun DD3'!B416:AT416</formula1>
    </dataValidation>
    <dataValidation type="list" allowBlank="1" showErrorMessage="1" sqref="J291">
      <formula1>'Mun DD3'!B268:AT268</formula1>
    </dataValidation>
    <dataValidation type="list" allowBlank="1" showErrorMessage="1" sqref="J394">
      <formula1>'Mun DD3'!B209:AT209</formula1>
    </dataValidation>
    <dataValidation type="list" allowBlank="1" showErrorMessage="1" sqref="H124">
      <formula1>'Mun DD1'!B412:AT412</formula1>
    </dataValidation>
    <dataValidation type="list" allowBlank="1" showErrorMessage="1" sqref="Q376:Q378">
      <formula1>InterventionsDD1!B432:AT432</formula1>
    </dataValidation>
    <dataValidation type="list" allowBlank="1" showErrorMessage="1" sqref="Q231">
      <formula1>InterventionsDD1!B23:AT23</formula1>
    </dataValidation>
    <dataValidation type="list" allowBlank="1" showErrorMessage="1" sqref="R59">
      <formula1>InterventionsDD2!B256:AT256</formula1>
    </dataValidation>
    <dataValidation type="list" allowBlank="1" showErrorMessage="1" sqref="H429:H430 H461">
      <formula1>'Mun DD1'!B302:AT302</formula1>
    </dataValidation>
    <dataValidation type="list" allowBlank="1" showErrorMessage="1" sqref="J294">
      <formula1>'Mun DD3'!B352:AT352</formula1>
    </dataValidation>
    <dataValidation type="list" allowBlank="1" showErrorMessage="1" sqref="H381">
      <formula1>'Mun DD1'!B397:AT397</formula1>
    </dataValidation>
    <dataValidation type="list" allowBlank="1" showErrorMessage="1" sqref="H94 H106">
      <formula1>'Mun DD1'!B275:AT275</formula1>
    </dataValidation>
    <dataValidation type="list" allowBlank="1" showErrorMessage="1" sqref="Q252">
      <formula1>InterventionsDD1!B116:AT116</formula1>
    </dataValidation>
    <dataValidation type="list" allowBlank="1" showErrorMessage="1" sqref="R269">
      <formula1>InterventionsDD2!B125:AT125</formula1>
    </dataValidation>
    <dataValidation type="list" allowBlank="1" showErrorMessage="1" sqref="I122">
      <formula1>'Mun DD2'!B351:AT351</formula1>
    </dataValidation>
    <dataValidation type="list" allowBlank="1" showErrorMessage="1" sqref="J444">
      <formula1>'Mun DD3'!B222:AT222</formula1>
    </dataValidation>
    <dataValidation type="list" allowBlank="1" showErrorMessage="1" sqref="J235">
      <formula1>'Mun DD3'!B204:AT204</formula1>
    </dataValidation>
    <dataValidation type="list" allowBlank="1" showErrorMessage="1" sqref="Q126">
      <formula1>InterventionsDD1!B368:AT368</formula1>
    </dataValidation>
    <dataValidation type="list" allowBlank="1" showErrorMessage="1" sqref="J260">
      <formula1>'Mun DD3'!B68:AT68</formula1>
    </dataValidation>
    <dataValidation type="list" allowBlank="1" showErrorMessage="1" sqref="R293">
      <formula1>InterventionsDD2!B181:AT181</formula1>
    </dataValidation>
    <dataValidation type="list" allowBlank="1" showErrorMessage="1" sqref="J23">
      <formula1>'Mun DD3'!B11:AT11</formula1>
    </dataValidation>
    <dataValidation type="list" allowBlank="1" showErrorMessage="1" sqref="I159">
      <formula1>'Mun DD2'!B106:AT106</formula1>
    </dataValidation>
    <dataValidation type="list" allowBlank="1" showErrorMessage="1" sqref="R24:R25">
      <formula1>InterventionsDD2!B13:AT13</formula1>
    </dataValidation>
    <dataValidation type="list" allowBlank="1" showErrorMessage="1" sqref="H162:H164">
      <formula1>'Mun DD1'!B444:AT444</formula1>
    </dataValidation>
    <dataValidation type="list" allowBlank="1" showErrorMessage="1" sqref="H361">
      <formula1>'Mun DD1'!B100:AT100</formula1>
    </dataValidation>
    <dataValidation type="list" allowBlank="1" showErrorMessage="1" sqref="Q371">
      <formula1>InterventionsDD1!B416:AT416</formula1>
    </dataValidation>
    <dataValidation type="list" allowBlank="1" showErrorMessage="1" sqref="J287 J409">
      <formula1>'Mun DD3'!B286:AT286</formula1>
    </dataValidation>
    <dataValidation type="list" allowBlank="1" showErrorMessage="1" sqref="I3 I15">
      <formula1>'Mun DD2'!B362:AT362</formula1>
    </dataValidation>
    <dataValidation type="list" allowBlank="1" showErrorMessage="1" sqref="I434">
      <formula1>'Mun DD2'!B129:AT129</formula1>
    </dataValidation>
    <dataValidation type="list" allowBlank="1" showErrorMessage="1" sqref="H88">
      <formula1>'Mun DD1'!B223:AT223</formula1>
    </dataValidation>
    <dataValidation type="list" allowBlank="1" showErrorMessage="1" sqref="J400">
      <formula1>'Mun DD3'!B84:AT84</formula1>
    </dataValidation>
    <dataValidation type="list" allowBlank="1" showErrorMessage="1" sqref="H319">
      <formula1>'Mun DD1'!B92:AT92</formula1>
    </dataValidation>
    <dataValidation type="list" allowBlank="1" showErrorMessage="1" sqref="Q175 Q334">
      <formula1>InterventionsDD1!B135:AT135</formula1>
    </dataValidation>
    <dataValidation type="list" allowBlank="1" showErrorMessage="1" sqref="R165">
      <formula1>InterventionsDD2!B201:AT201</formula1>
    </dataValidation>
    <dataValidation type="list" allowBlank="1" showErrorMessage="1" sqref="I236">
      <formula1>'Mun DD2'!B413:AT413</formula1>
    </dataValidation>
    <dataValidation type="list" allowBlank="1" showErrorMessage="1" sqref="I325">
      <formula1>'Mun DD2'!B247:AT247</formula1>
    </dataValidation>
    <dataValidation type="list" allowBlank="1" showErrorMessage="1" sqref="H65">
      <formula1>'Mun DD1'!B312:AT312</formula1>
    </dataValidation>
    <dataValidation type="list" allowBlank="1" showErrorMessage="1" sqref="R30 R227 R304">
      <formula1>InterventionsDD2!B24:AT24</formula1>
    </dataValidation>
    <dataValidation type="list" allowBlank="1" showErrorMessage="1" sqref="Q73:Q74">
      <formula1>InterventionsDD1!B409:AT409</formula1>
    </dataValidation>
    <dataValidation type="list" allowBlank="1" showErrorMessage="1" sqref="R241">
      <formula1>InterventionsDD2!B91:AT91</formula1>
    </dataValidation>
    <dataValidation type="list" allowBlank="1" showErrorMessage="1" sqref="R86:R87">
      <formula1>InterventionsDD2!B227:AT227</formula1>
    </dataValidation>
    <dataValidation type="list" allowBlank="1" showErrorMessage="1" sqref="R107">
      <formula1>InterventionsDD2!B283:AT283</formula1>
    </dataValidation>
    <dataValidation type="list" allowBlank="1" showErrorMessage="1" sqref="H263">
      <formula1>'Mun DD1'!B67:AT67</formula1>
    </dataValidation>
    <dataValidation type="list" allowBlank="1" showErrorMessage="1" sqref="R242 R250">
      <formula1>InterventionsDD2!B107:AT107</formula1>
    </dataValidation>
    <dataValidation type="list" allowBlank="1" showErrorMessage="1" sqref="I256">
      <formula1>'Mun DD2'!B98:AT98</formula1>
    </dataValidation>
    <dataValidation type="list" allowBlank="1" showErrorMessage="1" sqref="H288">
      <formula1>'Mun DD1'!B127:AT127</formula1>
    </dataValidation>
    <dataValidation type="list" allowBlank="1" showErrorMessage="1" sqref="Q263">
      <formula1>InterventionsDD1!B67:AT67</formula1>
    </dataValidation>
    <dataValidation type="list" allowBlank="1" showErrorMessage="1" sqref="H438:H439">
      <formula1>'Mun DD1'!B96:AT96</formula1>
    </dataValidation>
    <dataValidation type="list" allowBlank="1" showErrorMessage="1" sqref="I11">
      <formula1>'Mun DD2'!B128:AT128</formula1>
    </dataValidation>
    <dataValidation type="list" allowBlank="1" showErrorMessage="1" sqref="R48">
      <formula1>InterventionsDD2!B155:AT155</formula1>
    </dataValidation>
    <dataValidation type="list" allowBlank="1" showErrorMessage="1" sqref="Q119">
      <formula1>InterventionsDD1!B289:AT289</formula1>
    </dataValidation>
    <dataValidation type="list" allowBlank="1" showErrorMessage="1" sqref="Q326:Q327">
      <formula1>InterventionsDD1!B252:AT252</formula1>
    </dataValidation>
    <dataValidation type="list" allowBlank="1" showErrorMessage="1" sqref="H50 H104 H309:H310">
      <formula1>'Mun DD1'!B177:AT177</formula1>
    </dataValidation>
    <dataValidation type="list" allowBlank="1" showErrorMessage="1" sqref="R26:R28 R113 R364 R433">
      <formula1>InterventionsDD2!B16:AT16</formula1>
    </dataValidation>
    <dataValidation type="list" allowBlank="1" showErrorMessage="1" sqref="R229 R432">
      <formula1>InterventionsDD2!B184:AT184</formula1>
    </dataValidation>
    <dataValidation type="list" allowBlank="1" showErrorMessage="1" sqref="R259">
      <formula1>InterventionsDD2!B46:AT46</formula1>
    </dataValidation>
    <dataValidation type="list" allowBlank="1" showErrorMessage="1" sqref="R359">
      <formula1>InterventionsDD2!B1:AT1</formula1>
    </dataValidation>
    <dataValidation type="list" allowBlank="1" showErrorMessage="1" sqref="I471">
      <formula1>'Mun DD2'!B453:AT453</formula1>
    </dataValidation>
    <dataValidation type="list" allowBlank="1" showErrorMessage="1" sqref="Q77">
      <formula1>InterventionsDD1!B448:AT448</formula1>
    </dataValidation>
    <dataValidation type="list" allowBlank="1" showErrorMessage="1" sqref="J148">
      <formula1>'Mun DD3'!B89:AT89</formula1>
    </dataValidation>
    <dataValidation type="list" allowBlank="1" showErrorMessage="1" sqref="R379 R417:R420">
      <formula1>InterventionsDD2!B25:AT25</formula1>
    </dataValidation>
    <dataValidation type="list" allowBlank="1" showErrorMessage="1" sqref="AB2:AB471">
      <formula1>Glossary!$AH$2:$AH471</formula1>
    </dataValidation>
    <dataValidation type="list" allowBlank="1" showErrorMessage="1" sqref="Q37:Q38 Q226">
      <formula1>InterventionsDD1!B57:AT57</formula1>
    </dataValidation>
    <dataValidation type="list" allowBlank="1" showErrorMessage="1" sqref="H405">
      <formula1>'Mun DD1'!B210:AT210</formula1>
    </dataValidation>
    <dataValidation type="list" allowBlank="1" showErrorMessage="1" sqref="R390 R464">
      <formula1>InterventionsDD2!B310:AT310</formula1>
    </dataValidation>
    <dataValidation type="list" allowBlank="1" showErrorMessage="1" sqref="Q362">
      <formula1>InterventionsDD1!B113:AT113</formula1>
    </dataValidation>
    <dataValidation type="list" allowBlank="1" showErrorMessage="1" sqref="H24:H25">
      <formula1>'Mun DD1'!B13:AT13</formula1>
    </dataValidation>
    <dataValidation type="list" allowBlank="1" showErrorMessage="1" sqref="H366">
      <formula1>'Mun DD1'!B330:AT330</formula1>
    </dataValidation>
    <dataValidation type="list" allowBlank="1" showErrorMessage="1" sqref="I454">
      <formula1>'Mun DD2'!B250:AT250</formula1>
    </dataValidation>
    <dataValidation type="list" allowBlank="1" showErrorMessage="1" sqref="Q259">
      <formula1>InterventionsDD1!B46:AT46</formula1>
    </dataValidation>
    <dataValidation type="list" allowBlank="1" showErrorMessage="1" sqref="I201">
      <formula1>'Mun DD2'!B205:AT205</formula1>
    </dataValidation>
    <dataValidation type="list" allowBlank="1" showErrorMessage="1" sqref="J298 J392">
      <formula1>'Mun DD3'!B264:AT264</formula1>
    </dataValidation>
    <dataValidation type="list" allowBlank="1" showErrorMessage="1" sqref="R52:R58">
      <formula1>InterventionsDD2!B213:AT213</formula1>
    </dataValidation>
    <dataValidation type="list" allowBlank="1" showErrorMessage="1" sqref="I165">
      <formula1>'Mun DD2'!B201:AT201</formula1>
    </dataValidation>
    <dataValidation type="list" allowBlank="1" showErrorMessage="1" sqref="Q173 Q289">
      <formula1>InterventionsDD1!B245:AT245</formula1>
    </dataValidation>
    <dataValidation type="list" allowBlank="1" showErrorMessage="1" sqref="G2:G471">
      <formula1>Municipality!$A$2:$A471</formula1>
    </dataValidation>
    <dataValidation type="list" allowBlank="1" showErrorMessage="1" sqref="Q308">
      <formula1>InterventionsDD1!B430:AT430</formula1>
    </dataValidation>
    <dataValidation type="list" allowBlank="1" showErrorMessage="1" sqref="I316">
      <formula1>'Mun DD2'!B383:AT383</formula1>
    </dataValidation>
    <dataValidation type="list" allowBlank="1" showErrorMessage="1" sqref="I140 I237">
      <formula1>'Mun DD2'!B363:AT363</formula1>
    </dataValidation>
    <dataValidation type="list" allowBlank="1" showErrorMessage="1" sqref="J471">
      <formula1>'Mun DD3'!B453:AT453</formula1>
    </dataValidation>
    <dataValidation type="list" allowBlank="1" showErrorMessage="1" sqref="R243 R466:R467">
      <formula1>InterventionsDD2!B178:AT178</formula1>
    </dataValidation>
    <dataValidation type="list" allowBlank="1" showErrorMessage="1" sqref="I315">
      <formula1>'Mun DD2'!B345:AT345</formula1>
    </dataValidation>
    <dataValidation type="list" allowBlank="1" showErrorMessage="1" sqref="I457:I458">
      <formula1>'Mun DD2'!B284:AT284</formula1>
    </dataValidation>
    <dataValidation type="list" allowBlank="1" showErrorMessage="1" sqref="Q88">
      <formula1>InterventionsDD1!B223:AT223</formula1>
    </dataValidation>
    <dataValidation type="list" allowBlank="1" showErrorMessage="1" sqref="I254">
      <formula1>'Mun DD2'!B342:AT342</formula1>
    </dataValidation>
    <dataValidation type="list" allowBlank="1" showErrorMessage="1" sqref="H42 H261 H311">
      <formula1>'Mun DD1'!B101:AT101</formula1>
    </dataValidation>
    <dataValidation type="list" allowBlank="1" showErrorMessage="1" sqref="R47 R207:R212">
      <formula1>InterventionsDD2!B153:AT153</formula1>
    </dataValidation>
    <dataValidation type="list" allowBlank="1" showErrorMessage="1" sqref="H142">
      <formula1>'Mun DD1'!B191:AT191</formula1>
    </dataValidation>
    <dataValidation type="list" allowBlank="1" showErrorMessage="1" sqref="H83 H358">
      <formula1>'Mun DD1'!B105:AT105</formula1>
    </dataValidation>
    <dataValidation type="list" allowBlank="1" showErrorMessage="1" sqref="I23">
      <formula1>'Mun DD2'!B11:AT11</formula1>
    </dataValidation>
    <dataValidation type="list" allowBlank="1" showErrorMessage="1" sqref="J122">
      <formula1>'Mun DD3'!B351:AT351</formula1>
    </dataValidation>
    <dataValidation type="list" allowBlank="1" showErrorMessage="1" sqref="H293">
      <formula1>'Mun DD1'!B181:AT181</formula1>
    </dataValidation>
    <dataValidation type="list" allowBlank="1" showErrorMessage="1" sqref="Q374">
      <formula1>InterventionsDD1!B427:AT427</formula1>
    </dataValidation>
    <dataValidation type="list" allowBlank="1" showErrorMessage="1" sqref="J441">
      <formula1>'Mun DD3'!B110:AT110</formula1>
    </dataValidation>
    <dataValidation type="list" allowBlank="1" showErrorMessage="1" sqref="H112">
      <formula1>'Mun DD1'!B49:AT49</formula1>
    </dataValidation>
    <dataValidation type="list" allowBlank="1" showErrorMessage="1" sqref="R220 R373">
      <formula1>InterventionsDD2!B272:AT272</formula1>
    </dataValidation>
    <dataValidation type="list" allowBlank="1" showErrorMessage="1" sqref="J241">
      <formula1>'Mun DD3'!B91:AT91</formula1>
    </dataValidation>
    <dataValidation type="list" allowBlank="1" showErrorMessage="1" sqref="I81 I345">
      <formula1>'Mun DD2'!B61:AT61</formula1>
    </dataValidation>
    <dataValidation type="list" allowBlank="1" showErrorMessage="1" sqref="R126">
      <formula1>InterventionsDD2!B368:AT368</formula1>
    </dataValidation>
    <dataValidation type="list" allowBlank="1" showErrorMessage="1" sqref="I290">
      <formula1>'Mun DD2'!B118:AT118</formula1>
    </dataValidation>
    <dataValidation type="list" allowBlank="1" showErrorMessage="1" sqref="I148">
      <formula1>'Mun DD2'!B89:AT89</formula1>
    </dataValidation>
    <dataValidation type="list" allowBlank="1" showErrorMessage="1" sqref="H246">
      <formula1>'Mun DD1'!B338:AT338</formula1>
    </dataValidation>
    <dataValidation type="list" allowBlank="1" showErrorMessage="1" sqref="I18">
      <formula1>'Mun DD2'!B393:AT393</formula1>
    </dataValidation>
    <dataValidation type="list" allowBlank="1" showErrorMessage="1" sqref="H107">
      <formula1>'Mun DD1'!B283:AT283</formula1>
    </dataValidation>
    <dataValidation type="list" allowBlank="1" showErrorMessage="1" sqref="I278 I456">
      <formula1>'Mun DD2'!B99:AT99</formula1>
    </dataValidation>
    <dataValidation type="list" allowBlank="1" showErrorMessage="1" sqref="J173 J289">
      <formula1>'Mun DD3'!B245:AT245</formula1>
    </dataValidation>
    <dataValidation type="list" allowBlank="1" showErrorMessage="1" sqref="Q273">
      <formula1>InterventionsDD1!B109:AT109</formula1>
    </dataValidation>
    <dataValidation type="list" allowBlank="1" showErrorMessage="1" sqref="J7">
      <formula1>'Mun DD3'!B48:AT48</formula1>
    </dataValidation>
    <dataValidation type="list" allowBlank="1" showErrorMessage="1" sqref="H69:H70">
      <formula1>'Mun DD1'!B343:AT343</formula1>
    </dataValidation>
    <dataValidation type="list" allowBlank="1" showErrorMessage="1" sqref="H436">
      <formula1>'Mun DD1'!B15:AT15</formula1>
    </dataValidation>
    <dataValidation type="list" allowBlank="1" showErrorMessage="1" sqref="H277 H307">
      <formula1>'Mun DD1'!B396:AT396</formula1>
    </dataValidation>
    <dataValidation type="list" allowBlank="1" showErrorMessage="1" sqref="Q268">
      <formula1>InterventionsDD1!B119:AT119</formula1>
    </dataValidation>
    <dataValidation type="list" allowBlank="1" showErrorMessage="1" sqref="R143">
      <formula1>InterventionsDD2!B77:AT77</formula1>
    </dataValidation>
    <dataValidation type="list" allowBlank="1" showErrorMessage="1" sqref="H469">
      <formula1>'Mun DD1'!B417:AT417</formula1>
    </dataValidation>
    <dataValidation type="list" allowBlank="1" showErrorMessage="1" sqref="R120">
      <formula1>InterventionsDD2!B295:AT295</formula1>
    </dataValidation>
    <dataValidation type="list" allowBlank="1" showErrorMessage="1" sqref="R329">
      <formula1>InterventionsDD2!B392:AT392</formula1>
    </dataValidation>
    <dataValidation type="list" allowBlank="1" showErrorMessage="1" sqref="Q85">
      <formula1>InterventionsDD1!B60:AT60</formula1>
    </dataValidation>
    <dataValidation type="list" allowBlank="1" showErrorMessage="1" sqref="R39 R139 R370">
      <formula1>InterventionsDD2!B83:AT83</formula1>
    </dataValidation>
    <dataValidation type="list" allowBlank="1" showErrorMessage="1" sqref="R31:R32 R199">
      <formula1>InterventionsDD2!B31:AT31</formula1>
    </dataValidation>
    <dataValidation type="list" allowBlank="1" showErrorMessage="1" sqref="J465">
      <formula1>'Mun DD3'!B390:AT390</formula1>
    </dataValidation>
    <dataValidation type="list" allowBlank="1" showErrorMessage="1" sqref="R148">
      <formula1>InterventionsDD2!B89:AT89</formula1>
    </dataValidation>
    <dataValidation type="list" allowBlank="1" showErrorMessage="1" sqref="Q442">
      <formula1>InterventionsDD1!B197:AT197</formula1>
    </dataValidation>
    <dataValidation type="list" allowBlank="1" showErrorMessage="1" sqref="I185:I192">
      <formula1>'Mun DD2'!B156:AT156</formula1>
    </dataValidation>
    <dataValidation type="list" allowBlank="1" showErrorMessage="1" sqref="Q317 Q335 Q343">
      <formula1>InterventionsDD1!B176:AT176</formula1>
    </dataValidation>
    <dataValidation type="list" allowBlank="1" showErrorMessage="1" sqref="J292">
      <formula1>'Mun DD3'!B170:AT170</formula1>
    </dataValidation>
    <dataValidation type="list" allowBlank="1" showErrorMessage="1" sqref="I330">
      <formula1>'Mun DD2'!B185:AT185</formula1>
    </dataValidation>
    <dataValidation type="list" allowBlank="1" showErrorMessage="1" sqref="I368">
      <formula1>'Mun DD2'!B258:AT258</formula1>
    </dataValidation>
    <dataValidation type="list" allowBlank="1" showErrorMessage="1" sqref="Q71">
      <formula1>InterventionsDD1!B355:AT355</formula1>
    </dataValidation>
    <dataValidation type="list" allowBlank="1" showErrorMessage="1" sqref="I298 I392">
      <formula1>'Mun DD2'!B264:AT264</formula1>
    </dataValidation>
    <dataValidation type="list" allowBlank="1" showErrorMessage="1" sqref="J91">
      <formula1>'Mun DD3'!B377:AT377</formula1>
    </dataValidation>
    <dataValidation type="list" allowBlank="1" showErrorMessage="1" sqref="I110 I386:I387">
      <formula1>'Mun DD2'!B175:AT175</formula1>
    </dataValidation>
    <dataValidation type="list" allowBlank="1" showErrorMessage="1" sqref="I123">
      <formula1>'Mun DD2'!B373:AT373</formula1>
    </dataValidation>
    <dataValidation type="list" allowBlank="1" showErrorMessage="1" sqref="Q440">
      <formula1>InterventionsDD1!B104:AT104</formula1>
    </dataValidation>
    <dataValidation type="list" allowBlank="1" showErrorMessage="1" sqref="R383:R384">
      <formula1>InterventionsDD2!B359:AT359</formula1>
    </dataValidation>
    <dataValidation type="list" allowBlank="1" showErrorMessage="1" sqref="H60">
      <formula1>'Mun DD1'!B263:AT263</formula1>
    </dataValidation>
    <dataValidation type="list" allowBlank="1" showErrorMessage="1" sqref="J140 J237">
      <formula1>'Mun DD3'!B363:AT363</formula1>
    </dataValidation>
    <dataValidation type="list" allowBlank="1" showErrorMessage="1" sqref="H259">
      <formula1>'Mun DD1'!B46:AT46</formula1>
    </dataValidation>
    <dataValidation type="list" allowBlank="1" showErrorMessage="1" sqref="R314">
      <formula1>InterventionsDD2!B369:AT369</formula1>
    </dataValidation>
    <dataValidation type="list" allowBlank="1" showErrorMessage="1" sqref="J325">
      <formula1>'Mun DD3'!B247:AT247</formula1>
    </dataValidation>
    <dataValidation type="list" allowBlank="1" showErrorMessage="1" sqref="R244">
      <formula1>InterventionsDD2!B261:AT261</formula1>
    </dataValidation>
    <dataValidation type="list" allowBlank="1" showErrorMessage="1" sqref="I177 I297">
      <formula1>'Mun DD2'!B140:AT140</formula1>
    </dataValidation>
    <dataValidation type="list" allowBlank="1" showErrorMessage="1" sqref="Q236">
      <formula1>InterventionsDD1!B413:AT413</formula1>
    </dataValidation>
    <dataValidation type="list" allowBlank="1" showErrorMessage="1" sqref="R350">
      <formula1>InterventionsDD2!B196:AT196</formula1>
    </dataValidation>
    <dataValidation type="list" allowBlank="1" showErrorMessage="1" sqref="Q287 Q409">
      <formula1>InterventionsDD1!B286:AT286</formula1>
    </dataValidation>
    <dataValidation type="list" allowBlank="1" showErrorMessage="1" sqref="J46">
      <formula1>'Mun DD3'!B145:AT145</formula1>
    </dataValidation>
    <dataValidation type="list" allowBlank="1" showErrorMessage="1" sqref="J197 J346">
      <formula1>'Mun DD3'!B192:AT192</formula1>
    </dataValidation>
    <dataValidation type="list" allowBlank="1" showErrorMessage="1" sqref="Q260">
      <formula1>InterventionsDD1!B68:AT68</formula1>
    </dataValidation>
    <dataValidation type="list" allowBlank="1" showErrorMessage="1" sqref="R40:R41 R348 R372">
      <formula1>InterventionsDD2!B87:AT87</formula1>
    </dataValidation>
    <dataValidation type="list" allowBlank="1" showErrorMessage="1" sqref="R411">
      <formula1>InterventionsDD2!B38:AT38</formula1>
    </dataValidation>
    <dataValidation type="list" allowBlank="1" showErrorMessage="1" sqref="I42 I261 I311">
      <formula1>'Mun DD2'!B101:AT101</formula1>
    </dataValidation>
    <dataValidation type="list" allowBlank="1" showErrorMessage="1" sqref="I157">
      <formula1>'Mun DD2'!B323:AT323</formula1>
    </dataValidation>
    <dataValidation type="list" allowBlank="1" showErrorMessage="1" sqref="M2:O471">
      <formula1>Glossary!$I$2:$I471</formula1>
    </dataValidation>
    <dataValidation type="list" allowBlank="1" showErrorMessage="1" sqref="J141">
      <formula1>'Mun DD3'!B26:AT26</formula1>
    </dataValidation>
    <dataValidation type="list" allowBlank="1" showErrorMessage="1" sqref="I275">
      <formula1>'Mun DD2'!B123:AT123</formula1>
    </dataValidation>
    <dataValidation type="list" allowBlank="1" showErrorMessage="1" sqref="J109">
      <formula1>'Mun DD3'!B403:AT403</formula1>
    </dataValidation>
    <dataValidation type="list" allowBlank="1" showErrorMessage="1" sqref="Q123">
      <formula1>InterventionsDD1!B373:AT373</formula1>
    </dataValidation>
    <dataValidation type="list" allowBlank="1" showErrorMessage="1" sqref="H320">
      <formula1>'Mun DD1'!B114:AT114</formula1>
    </dataValidation>
    <dataValidation type="list" allowBlank="1" showErrorMessage="1" sqref="I390 I464">
      <formula1>'Mun DD2'!B310:AT310</formula1>
    </dataValidation>
    <dataValidation type="list" allowBlank="1" showErrorMessage="1" sqref="D2:D471">
      <formula1>Glossary!$A$2:$A471</formula1>
    </dataValidation>
    <dataValidation type="list" allowBlank="1" showErrorMessage="1" sqref="H130">
      <formula1>'Mun DD1'!B75:AT75</formula1>
    </dataValidation>
    <dataValidation type="list" allowBlank="1" showErrorMessage="1" sqref="Q399">
      <formula1>InterventionsDD1!B35:AT35</formula1>
    </dataValidation>
    <dataValidation type="list" allowBlank="1" showErrorMessage="1" sqref="I465">
      <formula1>'Mun DD2'!B390:AT390</formula1>
    </dataValidation>
    <dataValidation type="list" allowBlank="1" showErrorMessage="1" sqref="H407:H408">
      <formula1>'Mun DD1'!B281:AT281</formula1>
    </dataValidation>
    <dataValidation type="list" allowBlank="1" showErrorMessage="1" sqref="H412">
      <formula1>'Mun DD1'!B50:AT50</formula1>
    </dataValidation>
    <dataValidation type="list" allowBlank="1" showErrorMessage="1" sqref="J443">
      <formula1>'Mun DD3'!B220:AT220</formula1>
    </dataValidation>
    <dataValidation type="list" allowBlank="1" showErrorMessage="1" sqref="R201">
      <formula1>InterventionsDD2!B205:AT205</formula1>
    </dataValidation>
    <dataValidation type="list" allowBlank="1" showErrorMessage="1" sqref="H271 H284">
      <formula1>'Mun DD1'!B124:AT124</formula1>
    </dataValidation>
    <dataValidation type="list" allowBlank="1" showErrorMessage="1" sqref="I388">
      <formula1>'Mun DD2'!B108:AT108</formula1>
    </dataValidation>
    <dataValidation type="list" allowBlank="1" showErrorMessage="1" sqref="R294">
      <formula1>InterventionsDD2!B352:AT352</formula1>
    </dataValidation>
    <dataValidation type="list" allowBlank="1" showErrorMessage="1" sqref="J146 J323">
      <formula1>'Mun DD3'!B212:AT212</formula1>
    </dataValidation>
    <dataValidation type="list" allowBlank="1" showErrorMessage="1" sqref="I128:I129 I296">
      <formula1>'Mun DD2'!B72:AT72</formula1>
    </dataValidation>
    <dataValidation type="list" allowBlank="1" showErrorMessage="1" sqref="Q239">
      <formula1>InterventionsDD1!B388:AT388</formula1>
    </dataValidation>
    <dataValidation type="list" allowBlank="1" showErrorMessage="1" sqref="J6">
      <formula1>'Mun DD3'!B41:AT41</formula1>
    </dataValidation>
    <dataValidation type="list" allowBlank="1" showErrorMessage="1" sqref="J137">
      <formula1>'Mun DD3'!B420:AT420</formula1>
    </dataValidation>
    <dataValidation type="list" allowBlank="1" showErrorMessage="1" sqref="H154 H193:H196 H301:H302">
      <formula1>'Mun DD1'!B126:AT126</formula1>
    </dataValidation>
    <dataValidation type="list" allowBlank="1" showErrorMessage="1" sqref="J198">
      <formula1>'Mun DD3'!B195:AT195</formula1>
    </dataValidation>
    <dataValidation type="list" allowBlank="1" showErrorMessage="1" sqref="J232">
      <formula1>'Mun DD3'!B30:AT30</formula1>
    </dataValidation>
    <dataValidation type="list" allowBlank="1" showErrorMessage="1" sqref="Q330">
      <formula1>InterventionsDD1!B185:AT185</formula1>
    </dataValidation>
    <dataValidation type="list" allowBlank="1" showErrorMessage="1" sqref="J90">
      <formula1>'Mun DD3'!B335:AT335</formula1>
    </dataValidation>
    <dataValidation type="list" allowBlank="1" showErrorMessage="1" sqref="R50 R104 R309:R310">
      <formula1>InterventionsDD2!B177:AT177</formula1>
    </dataValidation>
    <dataValidation type="list" allowBlank="1" showErrorMessage="1" sqref="I253 I452">
      <formula1>'Mun DD2'!B42:AT42</formula1>
    </dataValidation>
    <dataValidation type="list" allowBlank="1" showErrorMessage="1" sqref="H393">
      <formula1>'Mun DD1'!B305:AT305</formula1>
    </dataValidation>
    <dataValidation type="list" allowBlank="1" showErrorMessage="1" sqref="R251">
      <formula1>InterventionsDD2!B328:AT328</formula1>
    </dataValidation>
    <dataValidation type="list" allowBlank="1" showErrorMessage="1" sqref="R115">
      <formula1>InterventionsDD2!B154:AT154</formula1>
    </dataValidation>
    <dataValidation type="list" allowBlank="1" showErrorMessage="1" sqref="I20">
      <formula1>'Mun DD2'!B5:AT5</formula1>
    </dataValidation>
    <dataValidation type="list" allowBlank="1" showErrorMessage="1" sqref="H272">
      <formula1>'Mun DD1'!B139:AT139</formula1>
    </dataValidation>
    <dataValidation type="list" allowBlank="1" showErrorMessage="1" sqref="J252">
      <formula1>'Mun DD3'!B116:AT116</formula1>
    </dataValidation>
    <dataValidation type="list" allowBlank="1" showErrorMessage="1" sqref="I447">
      <formula1>'Mun DD2'!B229:AT229</formula1>
    </dataValidation>
    <dataValidation type="list" allowBlank="1" showErrorMessage="1" sqref="R137">
      <formula1>InterventionsDD2!B420:AT420</formula1>
    </dataValidation>
    <dataValidation type="list" allowBlank="1" showErrorMessage="1" sqref="I344 I460">
      <formula1>'Mun DD2'!B206:AT206</formula1>
    </dataValidation>
    <dataValidation type="list" allowBlank="1" showErrorMessage="1" sqref="I2">
      <formula1>'Mun DD2'!B34:AT34</formula1>
    </dataValidation>
    <dataValidation type="list" allowBlank="1" showErrorMessage="1" sqref="J31:J32 J199">
      <formula1>'Mun DD3'!B31:AT31</formula1>
    </dataValidation>
    <dataValidation type="list" allowBlank="1" showErrorMessage="1" sqref="H61">
      <formula1>'Mun DD1'!B291:AT291</formula1>
    </dataValidation>
    <dataValidation type="list" allowBlank="1" showErrorMessage="1" sqref="I266">
      <formula1>'Mun DD2'!B454:AT454</formula1>
    </dataValidation>
    <dataValidation type="list" allowBlank="1" showErrorMessage="1" sqref="I329">
      <formula1>'Mun DD2'!B392:AT392</formula1>
    </dataValidation>
    <dataValidation type="list" allowBlank="1" showErrorMessage="1" sqref="I328">
      <formula1>'Mun DD2'!B422:AT422</formula1>
    </dataValidation>
    <dataValidation type="list" allowBlank="1" showErrorMessage="1" sqref="R176">
      <formula1>InterventionsDD2!B138:AT138</formula1>
    </dataValidation>
    <dataValidation type="list" allowBlank="1" showErrorMessage="1" sqref="I229 I432">
      <formula1>'Mun DD2'!B184:AT184</formula1>
    </dataValidation>
    <dataValidation type="list" allowBlank="1" showErrorMessage="1" sqref="Q159">
      <formula1>InterventionsDD1!B106:AT106</formula1>
    </dataValidation>
    <dataValidation type="list" allowBlank="1" showErrorMessage="1" sqref="H132">
      <formula1>'Mun DD1'!B74:AT74</formula1>
    </dataValidation>
    <dataValidation type="list" allowBlank="1" showErrorMessage="1" sqref="H314">
      <formula1>'Mun DD1'!B369:AT369</formula1>
    </dataValidation>
    <dataValidation type="list" allowBlank="1" showErrorMessage="1" sqref="J380">
      <formula1>'Mun DD3'!B95:AT95</formula1>
    </dataValidation>
    <dataValidation type="list" allowBlank="1" showErrorMessage="1" sqref="J62:J63">
      <formula1>'Mun DD3'!B296:AT296</formula1>
    </dataValidation>
    <dataValidation type="list" allowBlank="1" showErrorMessage="1" sqref="R254">
      <formula1>InterventionsDD2!B342:AT342</formula1>
    </dataValidation>
    <dataValidation type="list" allowBlank="1" showErrorMessage="1" sqref="H276">
      <formula1>'Mun DD1'!B180:AT180</formula1>
    </dataValidation>
    <dataValidation type="list" allowBlank="1" showErrorMessage="1" sqref="R235">
      <formula1>InterventionsDD2!B204:AT204</formula1>
    </dataValidation>
    <dataValidation type="list" allowBlank="1" showErrorMessage="1" sqref="R444">
      <formula1>InterventionsDD2!B222:AT222</formula1>
    </dataValidation>
    <dataValidation type="list" allowBlank="1" showErrorMessage="1" sqref="Q349">
      <formula1>InterventionsDD1!B399:AT399</formula1>
    </dataValidation>
    <dataValidation type="list" allowBlank="1" showErrorMessage="1" sqref="Q90">
      <formula1>InterventionsDD1!B335:AT335</formula1>
    </dataValidation>
    <dataValidation type="list" allowBlank="1" showErrorMessage="1" sqref="J295 J357">
      <formula1>'Mun DD3'!B117:AT117</formula1>
    </dataValidation>
    <dataValidation type="list" allowBlank="1" showErrorMessage="1" sqref="Q292">
      <formula1>InterventionsDD1!B170:AT170</formula1>
    </dataValidation>
    <dataValidation type="list" allowBlank="1" showErrorMessage="1" sqref="I326:I327">
      <formula1>'Mun DD2'!B252:AT252</formula1>
    </dataValidation>
    <dataValidation type="list" allowBlank="1" showErrorMessage="1" sqref="R435">
      <formula1>InterventionsDD2!B12:AT12</formula1>
    </dataValidation>
    <dataValidation type="list" allowBlank="1" showErrorMessage="1" sqref="R11">
      <formula1>InterventionsDD2!B128:AT128</formula1>
    </dataValidation>
    <dataValidation type="list" allowBlank="1" showErrorMessage="1" sqref="Q20">
      <formula1>InterventionsDD1!B5:AT5</formula1>
    </dataValidation>
    <dataValidation type="list" allowBlank="1" showErrorMessage="1" sqref="J328">
      <formula1>'Mun DD3'!B422:AT422</formula1>
    </dataValidation>
    <dataValidation type="list" allowBlank="1" showErrorMessage="1" sqref="J336">
      <formula1>'Mun DD3'!B28:AT28</formula1>
    </dataValidation>
    <dataValidation type="list" allowBlank="1" showErrorMessage="1" sqref="R441">
      <formula1>InterventionsDD2!B110:AT110</formula1>
    </dataValidation>
    <dataValidation type="list" allowBlank="1" showErrorMessage="1" sqref="J429:J430 J461">
      <formula1>'Mun DD3'!B302:AT302</formula1>
    </dataValidation>
    <dataValidation type="list" allowBlank="1" showErrorMessage="1" sqref="H447">
      <formula1>'Mun DD1'!B229:AT229</formula1>
    </dataValidation>
    <dataValidation type="list" allowBlank="1" showErrorMessage="1" sqref="J438:J439">
      <formula1>'Mun DD3'!B96:AT96</formula1>
    </dataValidation>
    <dataValidation type="list" allowBlank="1" showErrorMessage="1" sqref="J138">
      <formula1>'Mun DD3'!B267:AT267</formula1>
    </dataValidation>
    <dataValidation type="list" allowBlank="1" showErrorMessage="1" sqref="I243 I466:I467">
      <formula1>'Mun DD2'!B178:AT178</formula1>
    </dataValidation>
    <dataValidation type="list" allowBlank="1" showErrorMessage="1" sqref="R214:R217 R234">
      <formula1>InterventionsDD2!B346:AT346</formula1>
    </dataValidation>
    <dataValidation type="list" allowBlank="1" showErrorMessage="1" sqref="Q441">
      <formula1>InterventionsDD1!B110:AT110</formula1>
    </dataValidation>
    <dataValidation type="list" allowBlank="1" showErrorMessage="1" sqref="J78">
      <formula1>'Mun DD3'!B398:AT398</formula1>
    </dataValidation>
    <dataValidation type="list" allowBlank="1" showErrorMessage="1" sqref="Q46">
      <formula1>InterventionsDD1!B145:AT145</formula1>
    </dataValidation>
    <dataValidation type="list" allowBlank="1" showErrorMessage="1" sqref="H51 H222">
      <formula1>'Mun DD1'!B182:AT182</formula1>
    </dataValidation>
    <dataValidation type="list" allowBlank="1" showErrorMessage="1" sqref="J225">
      <formula1>'Mun DD3'!B293:AT293</formula1>
    </dataValidation>
    <dataValidation type="list" allowBlank="1" showErrorMessage="1" sqref="R391">
      <formula1>InterventionsDD2!B321:AT321</formula1>
    </dataValidation>
    <dataValidation type="list" allowBlank="1" showErrorMessage="1" sqref="I441">
      <formula1>'Mun DD2'!B110:AT110</formula1>
    </dataValidation>
    <dataValidation type="list" allowBlank="1" showErrorMessage="1" sqref="J82">
      <formula1>'Mun DD3'!B469:AT469</formula1>
    </dataValidation>
    <dataValidation type="list" allowBlank="1" showErrorMessage="1" sqref="H242 H250">
      <formula1>'Mun DD1'!B107:AT107</formula1>
    </dataValidation>
    <dataValidation type="list" allowBlank="1" showErrorMessage="1" sqref="R344 R460">
      <formula1>InterventionsDD2!B206:AT206</formula1>
    </dataValidation>
    <dataValidation type="list" allowBlank="1" showErrorMessage="1" sqref="H350">
      <formula1>'Mun DD1'!B196:AT196</formula1>
    </dataValidation>
    <dataValidation type="list" allowBlank="1" showErrorMessage="1" sqref="Q7">
      <formula1>InterventionsDD1!B48:AT48</formula1>
    </dataValidation>
    <dataValidation type="list" allowBlank="1" showErrorMessage="1" sqref="R292">
      <formula1>InterventionsDD2!B170:AT170</formula1>
    </dataValidation>
    <dataValidation type="list" allowBlank="1" showErrorMessage="1" sqref="H64 H84">
      <formula1>'Mun DD1'!B299:AT299</formula1>
    </dataValidation>
    <dataValidation type="list" allowBlank="1" showErrorMessage="1" sqref="R5">
      <formula1>InterventionsDD2!B290:AT290</formula1>
    </dataValidation>
    <dataValidation type="list" allowBlank="1" showErrorMessage="1" sqref="R366">
      <formula1>InterventionsDD2!B330:AT330</formula1>
    </dataValidation>
    <dataValidation type="list" allowBlank="1" showErrorMessage="1" sqref="R130">
      <formula1>InterventionsDD2!B75:AT75</formula1>
    </dataValidation>
    <dataValidation type="list" allowBlank="1" showErrorMessage="1" sqref="H178:H184 H286 H312">
      <formula1>'Mun DD1'!B146:AT146</formula1>
    </dataValidation>
    <dataValidation type="list" allowBlank="1" showErrorMessage="1" sqref="J130">
      <formula1>'Mun DD3'!B75:AT75</formula1>
    </dataValidation>
    <dataValidation type="list" allowBlank="1" showErrorMessage="1" sqref="Q95">
      <formula1>InterventionsDD1!B438:AT438</formula1>
    </dataValidation>
    <dataValidation type="list" allowBlank="1" showErrorMessage="1" sqref="R224">
      <formula1>InterventionsDD2!B375:AT375</formula1>
    </dataValidation>
    <dataValidation type="list" allowBlank="1" showErrorMessage="1" sqref="H49">
      <formula1>'Mun DD1'!B164:AT164</formula1>
    </dataValidation>
    <dataValidation type="list" allowBlank="1" showErrorMessage="1" sqref="I233">
      <formula1>'Mun DD2'!B85:AT85</formula1>
    </dataValidation>
    <dataValidation type="list" allowBlank="1" showErrorMessage="1" sqref="J320">
      <formula1>'Mun DD3'!B114:AT114</formula1>
    </dataValidation>
    <dataValidation type="list" allowBlank="1" showErrorMessage="1" sqref="H379 H417:H420">
      <formula1>'Mun DD1'!B25:AT25</formula1>
    </dataValidation>
    <dataValidation type="list" allowBlank="1" showErrorMessage="1" sqref="J117">
      <formula1>'Mun DD3'!B262:AT262</formula1>
    </dataValidation>
    <dataValidation type="list" allowBlank="1" showErrorMessage="1" sqref="Q265">
      <formula1>InterventionsDD1!B288:AT288</formula1>
    </dataValidation>
    <dataValidation type="list" allowBlank="1" showErrorMessage="1" sqref="R239">
      <formula1>InterventionsDD2!B388:AT388</formula1>
    </dataValidation>
    <dataValidation type="list" allowBlank="1" showErrorMessage="1" sqref="J251">
      <formula1>'Mun DD3'!B328:AT328</formula1>
    </dataValidation>
    <dataValidation type="list" allowBlank="1" showErrorMessage="1" sqref="R29">
      <formula1>InterventionsDD2!B20:AT20</formula1>
    </dataValidation>
    <dataValidation type="list" allowBlank="1" showErrorMessage="1" sqref="Q388">
      <formula1>InterventionsDD1!B108:AT108</formula1>
    </dataValidation>
    <dataValidation type="list" allowBlank="1" showErrorMessage="1" sqref="Q174 Q267 Q463">
      <formula1>InterventionsDD1!B93:AT93</formula1>
    </dataValidation>
    <dataValidation type="list" allowBlank="1" showErrorMessage="1" sqref="I35:I36">
      <formula1>'Mun DD2'!B44:AT44</formula1>
    </dataValidation>
    <dataValidation type="list" allowBlank="1" showErrorMessage="1" sqref="R61">
      <formula1>InterventionsDD2!B291:AT291</formula1>
    </dataValidation>
    <dataValidation type="list" allowBlank="1" showErrorMessage="1" sqref="H308">
      <formula1>'Mun DD1'!B430:AT430</formula1>
    </dataValidation>
    <dataValidation type="list" allowBlank="1" showErrorMessage="1" sqref="J72">
      <formula1>'Mun DD3'!B376:AT376</formula1>
    </dataValidation>
    <dataValidation type="list" allowBlank="1" showErrorMessage="1" sqref="H89">
      <formula1>'Mun DD1'!B435:AT435</formula1>
    </dataValidation>
    <dataValidation type="list" allowBlank="1" showErrorMessage="1" sqref="H374">
      <formula1>'Mun DD1'!B427:AT427</formula1>
    </dataValidation>
    <dataValidation type="list" allowBlank="1" showErrorMessage="1" sqref="Q381">
      <formula1>InterventionsDD1!B397:AT397</formula1>
    </dataValidation>
    <dataValidation type="list" allowBlank="1" showErrorMessage="1" sqref="R405">
      <formula1>InterventionsDD2!B210:AT210</formula1>
    </dataValidation>
    <dataValidation type="list" allowBlank="1" showErrorMessage="1" sqref="Q300 Q322">
      <formula1>InterventionsDD1!B270:AT270</formula1>
    </dataValidation>
    <dataValidation type="list" allowBlank="1" showErrorMessage="1" sqref="H410">
      <formula1>'Mun DD1'!B411:AT411</formula1>
    </dataValidation>
    <dataValidation type="list" allowBlank="1" showErrorMessage="1" sqref="H85">
      <formula1>'Mun DD1'!B60:AT60</formula1>
    </dataValidation>
    <dataValidation type="list" allowBlank="1" showErrorMessage="1" sqref="J5">
      <formula1>'Mun DD3'!B290:AT290</formula1>
    </dataValidation>
    <dataValidation type="list" allowBlank="1" showErrorMessage="1" sqref="R44:R45">
      <formula1>InterventionsDD2!B142:AT142</formula1>
    </dataValidation>
    <dataValidation type="list" allowBlank="1" showErrorMessage="1" sqref="I270">
      <formula1>'Mun DD2'!B407:AT407</formula1>
    </dataValidation>
    <dataValidation type="list" allowBlank="1" showErrorMessage="1" sqref="Q155">
      <formula1>InterventionsDD1!B136:AT136</formula1>
    </dataValidation>
    <dataValidation type="list" allowBlank="1" showErrorMessage="1" sqref="I220 I373">
      <formula1>'Mun DD2'!B272:AT272</formula1>
    </dataValidation>
    <dataValidation type="list" allowBlank="1" showErrorMessage="1" sqref="R388">
      <formula1>InterventionsDD2!B108:AT108</formula1>
    </dataValidation>
    <dataValidation type="list" allowBlank="1" showErrorMessage="1" sqref="Q157">
      <formula1>InterventionsDD1!B323:AT323</formula1>
    </dataValidation>
    <dataValidation type="list" allowBlank="1" showErrorMessage="1" sqref="I6">
      <formula1>'Mun DD2'!B41:AT41</formula1>
    </dataValidation>
    <dataValidation type="list" allowBlank="1" showErrorMessage="1" sqref="H39 H139 H370">
      <formula1>'Mun DD1'!B83:AT83</formula1>
    </dataValidation>
    <dataValidation type="list" allowBlank="1" showErrorMessage="1" sqref="I427">
      <formula1>'Mun DD2'!B130:AT130</formula1>
    </dataValidation>
    <dataValidation type="list" allowBlank="1" showErrorMessage="1" sqref="J177 J297">
      <formula1>'Mun DD3'!B140:AT140</formula1>
    </dataValidation>
    <dataValidation type="list" allowBlank="1" showErrorMessage="1" sqref="I71">
      <formula1>'Mun DD2'!B355:AT355</formula1>
    </dataValidation>
    <dataValidation type="list" allowBlank="1" showErrorMessage="1" sqref="H114 H145">
      <formula1>'Mun DD1'!B141:AT141</formula1>
    </dataValidation>
    <dataValidation type="list" allowBlank="1" showErrorMessage="1" sqref="Q435">
      <formula1>InterventionsDD1!B12:AT12</formula1>
    </dataValidation>
    <dataValidation type="list" allowBlank="1" showErrorMessage="1" sqref="H400">
      <formula1>'Mun DD1'!B84:AT84</formula1>
    </dataValidation>
    <dataValidation type="list" allowBlank="1" showErrorMessage="1" sqref="J105">
      <formula1>'Mun DD3'!B243:AT243</formula1>
    </dataValidation>
    <dataValidation type="list" allowBlank="1" showErrorMessage="1" sqref="I174 I267 I463">
      <formula1>'Mun DD2'!B93:AT93</formula1>
    </dataValidation>
    <dataValidation type="list" allowBlank="1" showErrorMessage="1" sqref="Q405">
      <formula1>InterventionsDD1!B210:AT210</formula1>
    </dataValidation>
    <dataValidation type="list" allowBlank="1" showErrorMessage="1" sqref="I242 I250">
      <formula1>'Mun DD2'!B107:AT107</formula1>
    </dataValidation>
    <dataValidation type="list" allowBlank="1" showErrorMessage="1" sqref="AC2:AC471 AI2:AI471">
      <formula1>Glossary!$AQ$2:$AQ471</formula1>
    </dataValidation>
    <dataValidation type="list" allowBlank="1" showErrorMessage="1" sqref="J69:J70">
      <formula1>'Mun DD3'!B343:AT343</formula1>
    </dataValidation>
    <dataValidation type="list" allowBlank="1" showErrorMessage="1" sqref="H385">
      <formula1>'Mun DD1'!B371:AT371</formula1>
    </dataValidation>
    <dataValidation type="list" allowBlank="1" showErrorMessage="1" sqref="Q49">
      <formula1>InterventionsDD1!B164:AT164</formula1>
    </dataValidation>
    <dataValidation type="list" allowBlank="1" showErrorMessage="1" sqref="I350">
      <formula1>'Mun DD2'!B196:AT196</formula1>
    </dataValidation>
    <dataValidation type="list" allowBlank="1" showErrorMessage="1" sqref="J8:J10">
      <formula1>'Mun DD3'!B51:AT51</formula1>
    </dataValidation>
    <dataValidation type="list" allowBlank="1" showErrorMessage="1" sqref="R73:R74">
      <formula1>InterventionsDD2!B409:AT409</formula1>
    </dataValidation>
    <dataValidation type="list" allowBlank="1" showErrorMessage="1" sqref="H6">
      <formula1>'Mun DD1'!B41:AT41</formula1>
    </dataValidation>
    <dataValidation type="list" allowBlank="1" showErrorMessage="1" sqref="H411">
      <formula1>'Mun DD1'!B38:AT38</formula1>
    </dataValidation>
    <dataValidation type="list" allowBlank="1" showErrorMessage="1" sqref="I313">
      <formula1>'Mun DD2'!B237:AT237</formula1>
    </dataValidation>
    <dataValidation type="list" allowBlank="1" showErrorMessage="1" sqref="I33:I34 I200 I347">
      <formula1>'Mun DD2'!B36:AT36</formula1>
    </dataValidation>
    <dataValidation type="list" allowBlank="1" showErrorMessage="1" sqref="Q154 Q193:Q196 Q301:Q302">
      <formula1>InterventionsDD1!B126:AT126</formula1>
    </dataValidation>
    <dataValidation type="list" allowBlank="1" showErrorMessage="1" sqref="R278 R456">
      <formula1>InterventionsDD2!B99:AT99</formula1>
    </dataValidation>
    <dataValidation type="list" allowBlank="1" showErrorMessage="1" sqref="H256">
      <formula1>'Mun DD1'!B98:AT98</formula1>
    </dataValidation>
    <dataValidation type="list" allowBlank="1" showErrorMessage="1" sqref="Q320">
      <formula1>InterventionsDD1!B114:AT114</formula1>
    </dataValidation>
    <dataValidation type="list" allowBlank="1" showErrorMessage="1" sqref="J42 J261 J311">
      <formula1>'Mun DD3'!B101:AT101</formula1>
    </dataValidation>
    <dataValidation type="list" allowBlank="1" showErrorMessage="1" sqref="R178:R184 R286 R312">
      <formula1>InterventionsDD2!B146:AT146</formula1>
    </dataValidation>
    <dataValidation type="list" allowBlank="1" showErrorMessage="1" sqref="Q24:Q25">
      <formula1>InterventionsDD1!B13:AT13</formula1>
    </dataValidation>
    <dataValidation type="list" allowBlank="1" showErrorMessage="1" sqref="H251">
      <formula1>'Mun DD1'!B328:AT328</formula1>
    </dataValidation>
    <dataValidation type="list" allowBlank="1" showErrorMessage="1" sqref="J390 J464">
      <formula1>'Mun DD3'!B310:AT310</formula1>
    </dataValidation>
    <dataValidation type="list" allowBlank="1" showErrorMessage="1" sqref="I4">
      <formula1>'Mun DD2'!B279:AT279</formula1>
    </dataValidation>
    <dataValidation type="list" allowBlank="1" showErrorMessage="1" sqref="J154 J193:J196 J301:J302">
      <formula1>'Mun DD3'!B126:AT126</formula1>
    </dataValidation>
    <dataValidation type="list" allowBlank="1" showErrorMessage="1" sqref="H126">
      <formula1>'Mun DD1'!B368:AT368</formula1>
    </dataValidation>
    <dataValidation type="list" allowBlank="1" showErrorMessage="1" sqref="I277 I307">
      <formula1>'Mun DD2'!B396:AT396</formula1>
    </dataValidation>
    <dataValidation type="list" allowBlank="1" showErrorMessage="1" sqref="J66:J68">
      <formula1>'Mun DD3'!B331:AT331</formula1>
    </dataValidation>
    <dataValidation type="list" allowBlank="1" showErrorMessage="1" sqref="J143">
      <formula1>'Mun DD3'!B77:AT77</formula1>
    </dataValidation>
    <dataValidation type="list" allowBlank="1" showErrorMessage="1" sqref="R83 R358">
      <formula1>InterventionsDD2!B105:AT105</formula1>
    </dataValidation>
    <dataValidation type="list" allowBlank="1" showErrorMessage="1" sqref="R291">
      <formula1>InterventionsDD2!B268:AT268</formula1>
    </dataValidation>
    <dataValidation type="list" allowBlank="1" showErrorMessage="1" sqref="R295 R357">
      <formula1>InterventionsDD2!B117:AT117</formula1>
    </dataValidation>
    <dataValidation type="list" allowBlank="1" showErrorMessage="1" sqref="H37:H38 H226">
      <formula1>'Mun DD1'!B57:AT57</formula1>
    </dataValidation>
    <dataValidation type="list" allowBlank="1" showErrorMessage="1" sqref="H292">
      <formula1>'Mun DD1'!B170:AT170</formula1>
    </dataValidation>
    <dataValidation type="list" allowBlank="1" showErrorMessage="1" sqref="J52:J58">
      <formula1>'Mun DD3'!B213:AT213</formula1>
    </dataValidation>
    <dataValidation type="list" allowBlank="1" showErrorMessage="1" sqref="J159">
      <formula1>'Mun DD3'!B106:AT106</formula1>
    </dataValidation>
    <dataValidation type="list" allowBlank="1" showErrorMessage="1" sqref="R172">
      <formula1>InterventionsDD2!B470:AT470</formula1>
    </dataValidation>
    <dataValidation type="list" allowBlank="1" showErrorMessage="1" sqref="H317 H335 H343">
      <formula1>'Mun DD1'!B176:AT176</formula1>
    </dataValidation>
    <dataValidation type="list" allowBlank="1" showErrorMessage="1" sqref="R470">
      <formula1>InterventionsDD2!B421:AT421</formula1>
    </dataValidation>
    <dataValidation type="list" allowBlank="1" showErrorMessage="1" sqref="R161 R203:R205">
      <formula1>InterventionsDD2!B265:AT265</formula1>
    </dataValidation>
    <dataValidation type="list" allowBlank="1" showErrorMessage="1" sqref="Q8:Q10">
      <formula1>InterventionsDD1!B51:AT51</formula1>
    </dataValidation>
    <dataValidation type="list" allowBlank="1" showErrorMessage="1" sqref="R111 R158 R279">
      <formula1>InterventionsDD2!B43:AT43</formula1>
    </dataValidation>
    <dataValidation type="list" allowBlank="1" showErrorMessage="1" sqref="H136">
      <formula1>'Mun DD1'!B198:AT198</formula1>
    </dataValidation>
    <dataValidation type="list" allowBlank="1" showErrorMessage="1" sqref="H77">
      <formula1>'Mun DD1'!B448:AT448</formula1>
    </dataValidation>
    <dataValidation type="list" allowBlank="1" showErrorMessage="1" sqref="Q350">
      <formula1>InterventionsDD1!B196:AT196</formula1>
    </dataValidation>
    <dataValidation type="list" allowBlank="1" showErrorMessage="1" sqref="I426">
      <formula1>'Mun DD2'!B82:AT82</formula1>
    </dataValidation>
    <dataValidation type="list" allowBlank="1" showErrorMessage="1" sqref="R170:R171">
      <formula1>InterventionsDD2!B449:AT449</formula1>
    </dataValidation>
    <dataValidation type="list" allowBlank="1" showErrorMessage="1" sqref="R13">
      <formula1>InterventionsDD2!B102:AT102</formula1>
    </dataValidation>
    <dataValidation type="list" allowBlank="1" showErrorMessage="1" sqref="I112">
      <formula1>'Mun DD2'!B49:AT49</formula1>
    </dataValidation>
    <dataValidation type="list" allowBlank="1" showErrorMessage="1" sqref="H233">
      <formula1>'Mun DD1'!B85:AT85</formula1>
    </dataValidation>
    <dataValidation type="list" allowBlank="1" showErrorMessage="1" sqref="H300 H322">
      <formula1>'Mun DD1'!B270:AT270</formula1>
    </dataValidation>
    <dataValidation type="list" allowBlank="1" showErrorMessage="1" sqref="R117">
      <formula1>InterventionsDD2!B262:AT262</formula1>
    </dataValidation>
    <dataValidation type="list" allowBlank="1" showErrorMessage="1" sqref="H19">
      <formula1>'Mun DD1'!B3:AT3</formula1>
    </dataValidation>
    <dataValidation type="list" allowBlank="1" showErrorMessage="1" sqref="I400">
      <formula1>'Mun DD2'!B84:AT84</formula1>
    </dataValidation>
    <dataValidation type="list" allowBlank="1" showErrorMessage="1" sqref="I470">
      <formula1>'Mun DD2'!B421:AT421</formula1>
    </dataValidation>
    <dataValidation type="list" allowBlank="1" showErrorMessage="1" sqref="Q206 Q280:Q281">
      <formula1>InterventionsDD1!B311:AT311</formula1>
    </dataValidation>
    <dataValidation type="list" allowBlank="1" showErrorMessage="1" sqref="Q406">
      <formula1>InterventionsDD1!B269:AT269</formula1>
    </dataValidation>
    <dataValidation type="list" allowBlank="1" showErrorMessage="1" sqref="Q443">
      <formula1>InterventionsDD1!B220:AT220</formula1>
    </dataValidation>
    <dataValidation type="list" allowBlank="1" showErrorMessage="1" sqref="I379 I417:I420">
      <formula1>'Mun DD2'!B25:AT25</formula1>
    </dataValidation>
    <dataValidation type="list" allowBlank="1" showErrorMessage="1" sqref="H328">
      <formula1>'Mun DD1'!B422:AT422</formula1>
    </dataValidation>
    <dataValidation type="list" allowBlank="1" showErrorMessage="1" sqref="Q277 Q307">
      <formula1>InterventionsDD1!B396:AT396</formula1>
    </dataValidation>
    <dataValidation type="list" allowBlank="1" showErrorMessage="1" sqref="H12">
      <formula1>'Mun DD1'!B356:AT356</formula1>
    </dataValidation>
    <dataValidation type="list" allowBlank="1" showErrorMessage="1" sqref="H201">
      <formula1>'Mun DD1'!B205:AT205</formula1>
    </dataValidation>
    <dataValidation type="list" allowBlank="1" showErrorMessage="1" sqref="Q344 Q460">
      <formula1>InterventionsDD1!B206:AT206</formula1>
    </dataValidation>
    <dataValidation type="list" allowBlank="1" showErrorMessage="1" sqref="I197 I346">
      <formula1>'Mun DD2'!B192:AT192</formula1>
    </dataValidation>
    <dataValidation type="list" allowBlank="1" showErrorMessage="1" sqref="R62:R63">
      <formula1>InterventionsDD2!B296:AT296</formula1>
    </dataValidation>
    <dataValidation type="list" allowBlank="1" showErrorMessage="1" sqref="Q2">
      <formula1>InterventionsDD1!B34:AT34</formula1>
    </dataValidation>
    <dataValidation type="list" allowBlank="1" showErrorMessage="1" sqref="I16">
      <formula1>'Mun DD2'!B404:AT404</formula1>
    </dataValidation>
    <dataValidation type="list" allowBlank="1" showErrorMessage="1" sqref="I225">
      <formula1>'Mun DD2'!B293:AT293</formula1>
    </dataValidation>
    <dataValidation type="list" allowBlank="1" showErrorMessage="1" sqref="J156">
      <formula1>'Mun DD3'!B232:AT232</formula1>
    </dataValidation>
    <dataValidation type="list" allowBlank="1" showErrorMessage="1" sqref="Q166:Q169">
      <formula1>InterventionsDD1!B439:AT439</formula1>
    </dataValidation>
    <dataValidation type="list" allowBlank="1" showErrorMessage="1" sqref="H359">
      <formula1>'Mun DD1'!B1:AT1</formula1>
    </dataValidation>
    <dataValidation type="list" allowBlank="1" showErrorMessage="1" sqref="R6">
      <formula1>InterventionsDD2!B41:AT41</formula1>
    </dataValidation>
    <dataValidation type="list" allowBlank="1" showErrorMessage="1" sqref="R21:R22">
      <formula1>InterventionsDD2!B8:AT8</formula1>
    </dataValidation>
    <dataValidation type="list" allowBlank="1" showErrorMessage="1" sqref="I176">
      <formula1>'Mun DD2'!B138:AT138</formula1>
    </dataValidation>
    <dataValidation type="list" allowBlank="1" showErrorMessage="1" sqref="J288">
      <formula1>'Mun DD3'!B127:AT127</formula1>
    </dataValidation>
    <dataValidation type="list" allowBlank="1" showErrorMessage="1" sqref="J114 J145">
      <formula1>'Mun DD3'!B141:AT141</formula1>
    </dataValidation>
    <dataValidation type="list" allowBlank="1" showErrorMessage="1" sqref="I367 I431">
      <formula1>'Mun DD2'!B242:AT242</formula1>
    </dataValidation>
    <dataValidation type="list" allowBlank="1" showErrorMessage="1" sqref="I30 I227 I304">
      <formula1>'Mun DD2'!B24:AT24</formula1>
    </dataValidation>
    <dataValidation type="list" allowBlank="1" showErrorMessage="1" sqref="R92">
      <formula1>InterventionsDD2!B251:AT251</formula1>
    </dataValidation>
    <dataValidation type="list" allowBlank="1" showErrorMessage="1" sqref="H93">
      <formula1>'Mun DD1'!B171:AT171</formula1>
    </dataValidation>
    <dataValidation type="list" allowBlank="1" showErrorMessage="1" sqref="H426">
      <formula1>'Mun DD1'!B82:AT82</formula1>
    </dataValidation>
    <dataValidation type="list" allowBlank="1" showErrorMessage="1" sqref="R399">
      <formula1>InterventionsDD2!B35:AT35</formula1>
    </dataValidation>
    <dataValidation type="list" allowBlank="1" showErrorMessage="1" sqref="I269">
      <formula1>'Mun DD2'!B125:AT125</formula1>
    </dataValidation>
    <dataValidation type="list" allowBlank="1" showErrorMessage="1" sqref="H224">
      <formula1>'Mun DD1'!B375:AT375</formula1>
    </dataValidation>
    <dataValidation type="list" allowBlank="1" showErrorMessage="1" sqref="J39 J139 J370">
      <formula1>'Mun DD3'!B83:AT83</formula1>
    </dataValidation>
    <dataValidation type="list" allowBlank="1" showErrorMessage="1" sqref="H76">
      <formula1>'Mun DD1'!B431:AT431</formula1>
    </dataValidation>
    <dataValidation type="list" allowBlank="1" showErrorMessage="1" sqref="Q116">
      <formula1>InterventionsDD1!B259:AT259</formula1>
    </dataValidation>
    <dataValidation type="list" allowBlank="1" showErrorMessage="1" sqref="Q444">
      <formula1>InterventionsDD1!B222:AT222</formula1>
    </dataValidation>
    <dataValidation type="list" allowBlank="1" showErrorMessage="1" sqref="J35:J36">
      <formula1>'Mun DD3'!B44:AT44</formula1>
    </dataValidation>
    <dataValidation type="list" allowBlank="1" showErrorMessage="1" sqref="I91">
      <formula1>'Mun DD2'!B377:AT377</formula1>
    </dataValidation>
    <dataValidation type="list" allowBlank="1" showErrorMessage="1" sqref="Q228 Q351">
      <formula1>InterventionsDD1!B249:AT249</formula1>
    </dataValidation>
    <dataValidation type="list" allowBlank="1" showErrorMessage="1" sqref="Q143">
      <formula1>InterventionsDD1!B77:AT77</formula1>
    </dataValidation>
    <dataValidation type="list" allowBlank="1" showErrorMessage="1" sqref="J397">
      <formula1>'Mun DD3'!B19:AT19</formula1>
    </dataValidation>
    <dataValidation type="list" allowBlank="1" showErrorMessage="1" sqref="Q94 Q106">
      <formula1>InterventionsDD1!B275:AT275</formula1>
    </dataValidation>
    <dataValidation type="list" allowBlank="1" showErrorMessage="1" sqref="J413:J415">
      <formula1>'Mun DD3'!B54:AT54</formula1>
    </dataValidation>
    <dataValidation type="list" allowBlank="1" showErrorMessage="1" sqref="I303">
      <formula1>'Mun DD2'!B276:AT276</formula1>
    </dataValidation>
    <dataValidation type="list" allowBlank="1" showErrorMessage="1" sqref="H371">
      <formula1>'Mun DD1'!B416:AT416</formula1>
    </dataValidation>
    <dataValidation type="list" allowBlank="1" showErrorMessage="1" sqref="H330">
      <formula1>'Mun DD1'!B185:AT185</formula1>
    </dataValidation>
    <dataValidation type="list" allowBlank="1" showErrorMessage="1" sqref="Q331">
      <formula1>InterventionsDD1!B2:AT2</formula1>
    </dataValidation>
    <dataValidation type="list" allowBlank="1" showErrorMessage="1" sqref="R262 R404 R448:R451">
      <formula1>InterventionsDD2!B47:AT47</formula1>
    </dataValidation>
    <dataValidation type="list" allowBlank="1" showErrorMessage="1" sqref="R236">
      <formula1>InterventionsDD2!B413:AT413</formula1>
    </dataValidation>
    <dataValidation type="list" allowBlank="1" showErrorMessage="1" sqref="Q465">
      <formula1>InterventionsDD1!B390:AT390</formula1>
    </dataValidation>
    <dataValidation type="list" allowBlank="1" showErrorMessage="1" sqref="J274">
      <formula1>'Mun DD3'!B174:AT174</formula1>
    </dataValidation>
    <dataValidation type="list" allowBlank="1" showErrorMessage="1" sqref="I260">
      <formula1>'Mun DD2'!B68:AT68</formula1>
    </dataValidation>
    <dataValidation type="list" allowBlank="1" showErrorMessage="1" sqref="J374">
      <formula1>'Mun DD3'!B427:AT427</formula1>
    </dataValidation>
    <dataValidation type="list" allowBlank="1" showErrorMessage="1" sqref="I411">
      <formula1>'Mun DD2'!B38:AT38</formula1>
    </dataValidation>
    <dataValidation type="list" allowBlank="1" showErrorMessage="1" sqref="Q434">
      <formula1>InterventionsDD1!B129:AT129</formula1>
    </dataValidation>
    <dataValidation type="list" allowBlank="1" showErrorMessage="1" sqref="Q75">
      <formula1>InterventionsDD1!B428:AT428</formula1>
    </dataValidation>
    <dataValidation type="list" allowBlank="1" showErrorMessage="1" sqref="Q313">
      <formula1>InterventionsDD1!B237:AT237</formula1>
    </dataValidation>
    <dataValidation type="list" allowBlank="1" showErrorMessage="1" sqref="J275">
      <formula1>'Mun DD3'!B123:AT123</formula1>
    </dataValidation>
    <dataValidation type="list" allowBlank="1" showErrorMessage="1" sqref="I95">
      <formula1>'Mun DD2'!B438:AT438</formula1>
    </dataValidation>
    <dataValidation type="list" allowBlank="1" showErrorMessage="1" sqref="R4">
      <formula1>InterventionsDD2!B279:AT279</formula1>
    </dataValidation>
    <dataValidation type="list" allowBlank="1" showErrorMessage="1" sqref="R93">
      <formula1>InterventionsDD2!B171:AT171</formula1>
    </dataValidation>
    <dataValidation type="list" allowBlank="1" showErrorMessage="1" sqref="Q290">
      <formula1>InterventionsDD1!B118:AT118</formula1>
    </dataValidation>
    <dataValidation type="list" allowBlank="1" showErrorMessage="1" sqref="R374">
      <formula1>InterventionsDD2!B427:AT427</formula1>
    </dataValidation>
    <dataValidation type="list" allowBlank="1" showErrorMessage="1" sqref="I391">
      <formula1>'Mun DD2'!B321:AT321</formula1>
    </dataValidation>
    <dataValidation type="list" allowBlank="1" showErrorMessage="1" sqref="Q383:Q384">
      <formula1>InterventionsDD1!B359:AT359</formula1>
    </dataValidation>
    <dataValidation type="list" allowBlank="1" showErrorMessage="1" sqref="J111 J158 J279">
      <formula1>'Mun DD3'!B43:AT43</formula1>
    </dataValidation>
    <dataValidation type="list" allowBlank="1" showErrorMessage="1" sqref="I92">
      <formula1>'Mun DD2'!B251:AT251</formula1>
    </dataValidation>
    <dataValidation type="list" allowBlank="1" showErrorMessage="1" sqref="R271 R284">
      <formula1>InterventionsDD2!B124:AT124</formula1>
    </dataValidation>
    <dataValidation type="list" allowBlank="1" showErrorMessage="1" sqref="H229 H432">
      <formula1>'Mun DD1'!B184:AT184</formula1>
    </dataValidation>
    <dataValidation type="list" allowBlank="1" showErrorMessage="1" sqref="Q369">
      <formula1>InterventionsDD1!B248:AT248</formula1>
    </dataValidation>
    <dataValidation type="list" allowBlank="1" showErrorMessage="1" sqref="H303">
      <formula1>'Mun DD1'!B276:AT276</formula1>
    </dataValidation>
    <dataValidation type="list" allowBlank="1" showErrorMessage="1" sqref="H427">
      <formula1>'Mun DD1'!B130:AT130</formula1>
    </dataValidation>
    <dataValidation type="list" allowBlank="1" showErrorMessage="1" sqref="I156">
      <formula1>'Mun DD2'!B232:AT232</formula1>
    </dataValidation>
    <dataValidation type="list" allowBlank="1" showErrorMessage="1" sqref="Q397">
      <formula1>InterventionsDD1!B19:AT19</formula1>
    </dataValidation>
    <dataValidation type="list" allowBlank="1" showErrorMessage="1" sqref="Q165">
      <formula1>InterventionsDD1!B201:AT201</formula1>
    </dataValidation>
    <dataValidation type="list" allowBlank="1" showErrorMessage="1" sqref="Q64 Q84">
      <formula1>InterventionsDD1!B299:AT299</formula1>
    </dataValidation>
    <dataValidation type="list" allowBlank="1" showErrorMessage="1" sqref="R290">
      <formula1>InterventionsDD2!B118:AT118</formula1>
    </dataValidation>
    <dataValidation type="list" allowBlank="1" showErrorMessage="1" sqref="H225">
      <formula1>'Mun DD1'!B293:AT293</formula1>
    </dataValidation>
    <dataValidation type="list" allowBlank="1" showErrorMessage="1" sqref="R424:R425">
      <formula1>InterventionsDD2!B78:AT78</formula1>
    </dataValidation>
    <dataValidation type="list" allowBlank="1" showErrorMessage="1" sqref="H428">
      <formula1>'Mun DD1'!B200:AT200</formula1>
    </dataValidation>
    <dataValidation type="list" allowBlank="1" showErrorMessage="1" sqref="Q379 Q417:Q420">
      <formula1>InterventionsDD1!B25:AT25</formula1>
    </dataValidation>
    <dataValidation type="list" allowBlank="1" showErrorMessage="1" sqref="I374">
      <formula1>'Mun DD2'!B427:AT427</formula1>
    </dataValidation>
    <dataValidation type="list" allowBlank="1" showErrorMessage="1" sqref="R37:R38 R226">
      <formula1>InterventionsDD2!B57:AT57</formula1>
    </dataValidation>
    <dataValidation type="list" allowBlank="1" showErrorMessage="1" sqref="Q60">
      <formula1>InterventionsDD1!B263:AT263</formula1>
    </dataValidation>
    <dataValidation type="list" allowBlank="1" showErrorMessage="1" sqref="J127">
      <formula1>'Mun DD3'!B381:AT381</formula1>
    </dataValidation>
    <dataValidation type="list" allowBlank="1" showErrorMessage="1" sqref="H166:H169">
      <formula1>'Mun DD1'!B439:AT439</formula1>
    </dataValidation>
    <dataValidation type="list" allowBlank="1" showErrorMessage="1" sqref="H172">
      <formula1>'Mun DD1'!B470:AT470</formula1>
    </dataValidation>
    <dataValidation type="list" allowBlank="1" showErrorMessage="1" sqref="R397">
      <formula1>InterventionsDD2!B19:AT19</formula1>
    </dataValidation>
    <dataValidation type="list" allowBlank="1" showErrorMessage="1" sqref="H435">
      <formula1>'Mun DD1'!B12:AT12</formula1>
    </dataValidation>
    <dataValidation type="list" allowBlank="1" showErrorMessage="1" sqref="I443">
      <formula1>'Mun DD2'!B220:AT220</formula1>
    </dataValidation>
    <dataValidation type="list" allowBlank="1" showErrorMessage="1" sqref="I124">
      <formula1>'Mun DD2'!B412:AT412</formula1>
    </dataValidation>
    <dataValidation type="list" allowBlank="1" showErrorMessage="1" sqref="I134">
      <formula1>'Mun DD2'!B80:AT80</formula1>
    </dataValidation>
    <dataValidation type="list" allowBlank="1" showErrorMessage="1" sqref="I276">
      <formula1>'Mun DD2'!B180:AT180</formula1>
    </dataValidation>
    <dataValidation type="list" allowBlank="1" showErrorMessage="1" sqref="H388">
      <formula1>'Mun DD1'!B108:AT108</formula1>
    </dataValidation>
    <dataValidation type="list" allowBlank="1" showErrorMessage="1" sqref="H75">
      <formula1>'Mun DD1'!B428:AT428</formula1>
    </dataValidation>
    <dataValidation type="list" allowBlank="1" showErrorMessage="1" sqref="Q254">
      <formula1>InterventionsDD1!B342:AT342</formula1>
    </dataValidation>
    <dataValidation type="list" allowBlank="1" showErrorMessage="1" sqref="R263">
      <formula1>InterventionsDD2!B67:AT67</formula1>
    </dataValidation>
    <dataValidation type="list" allowBlank="1" showErrorMessage="1" sqref="I395:I396">
      <formula1>'Mun DD2'!B6:AT6</formula1>
    </dataValidation>
    <dataValidation type="list" allowBlank="1" showErrorMessage="1" sqref="I37:I38 I226">
      <formula1>'Mun DD2'!B57:AT57</formula1>
    </dataValidation>
    <dataValidation type="list" allowBlank="1" showErrorMessage="1" sqref="I61">
      <formula1>'Mun DD2'!B291:AT291</formula1>
    </dataValidation>
    <dataValidation type="list" allowBlank="1" showErrorMessage="1" sqref="J86:J87">
      <formula1>'Mun DD3'!B227:AT227</formula1>
    </dataValidation>
    <dataValidation type="list" allowBlank="1" showErrorMessage="1" sqref="R141">
      <formula1>InterventionsDD2!B26:AT26</formula1>
    </dataValidation>
    <dataValidation type="list" allowBlank="1" showErrorMessage="1" sqref="J144">
      <formula1>'Mun DD3'!B169:AT169</formula1>
    </dataValidation>
    <dataValidation type="list" allowBlank="1" showErrorMessage="1" sqref="H253 H452">
      <formula1>'Mun DD1'!B42:AT42</formula1>
    </dataValidation>
    <dataValidation type="list" allowBlank="1" showErrorMessage="1" sqref="Q315">
      <formula1>InterventionsDD1!B345:AT345</formula1>
    </dataValidation>
    <dataValidation type="list" allowBlank="1" showErrorMessage="1" sqref="H367 H431">
      <formula1>'Mun DD1'!B242:AT242</formula1>
    </dataValidation>
    <dataValidation type="list" allowBlank="1" showErrorMessage="1" sqref="H8:H10">
      <formula1>'Mun DD1'!B51:AT51</formula1>
    </dataValidation>
    <dataValidation type="list" allowBlank="1" showErrorMessage="1" sqref="Q424:Q425">
      <formula1>InterventionsDD1!B78:AT78</formula1>
    </dataValidation>
    <dataValidation type="list" allowBlank="1" showErrorMessage="1" sqref="R328">
      <formula1>InterventionsDD2!B422:AT422</formula1>
    </dataValidation>
    <dataValidation type="list" allowBlank="1" showErrorMessage="1" sqref="Q342 Q459">
      <formula1>InterventionsDD1!B187:AT187</formula1>
    </dataValidation>
    <dataValidation type="list" allowBlank="1" showErrorMessage="1" sqref="R273">
      <formula1>InterventionsDD2!B109:AT109</formula1>
    </dataValidation>
    <dataValidation type="list" allowBlank="1" showErrorMessage="1" sqref="J440">
      <formula1>'Mun DD3'!B104:AT104</formula1>
    </dataValidation>
    <dataValidation type="list" allowBlank="1" showErrorMessage="1" sqref="R76">
      <formula1>InterventionsDD2!B431:AT431</formula1>
    </dataValidation>
    <dataValidation type="list" allowBlank="1" showErrorMessage="1" sqref="R325">
      <formula1>InterventionsDD2!B247:AT247</formula1>
    </dataValidation>
    <dataValidation type="list" allowBlank="1" showErrorMessage="1" sqref="J48">
      <formula1>'Mun DD3'!B155:AT155</formula1>
    </dataValidation>
    <dataValidation type="list" allowBlank="1" showErrorMessage="1" sqref="R331">
      <formula1>InterventionsDD2!B2:AT2</formula1>
    </dataValidation>
    <dataValidation type="list" allowBlank="1" showErrorMessage="1" sqref="I359">
      <formula1>'Mun DD2'!B1:AT1</formula1>
    </dataValidation>
    <dataValidation type="list" allowBlank="1" showErrorMessage="1" sqref="Q176">
      <formula1>InterventionsDD1!B138:AT138</formula1>
    </dataValidation>
    <dataValidation type="list" allowBlank="1" showErrorMessage="1" sqref="I366">
      <formula1>'Mun DD2'!B330:AT330</formula1>
    </dataValidation>
    <dataValidation type="list" allowBlank="1" showErrorMessage="1" sqref="Q251">
      <formula1>InterventionsDD1!B328:AT328</formula1>
    </dataValidation>
    <dataValidation type="list" allowBlank="1" showErrorMessage="1" sqref="J96:J103">
      <formula1>'Mun DD3'!B461:AT461</formula1>
    </dataValidation>
    <dataValidation type="list" allowBlank="1" showErrorMessage="1" sqref="Q410">
      <formula1>InterventionsDD1!B411:AT411</formula1>
    </dataValidation>
    <dataValidation type="list" allowBlank="1" showErrorMessage="1" sqref="J93">
      <formula1>'Mun DD3'!B171:AT171</formula1>
    </dataValidation>
    <dataValidation type="list" allowBlank="1" showErrorMessage="1" sqref="I292">
      <formula1>'Mun DD2'!B170:AT170</formula1>
    </dataValidation>
    <dataValidation type="list" allowBlank="1" showErrorMessage="1" sqref="AJ2:AJ291 AJ293:AJ381 AD2:AD471 AJ383:AJ471">
      <formula1>Glossary!$AW$2:$AW471</formula1>
    </dataValidation>
    <dataValidation type="list" allowBlank="1" showErrorMessage="1" sqref="I230 I453">
      <formula1>'Mun DD2'!B21:AT21</formula1>
    </dataValidation>
    <dataValidation type="list" allowBlank="1" showErrorMessage="1" sqref="I31:I32 I199">
      <formula1>'Mun DD2'!B31:AT31</formula1>
    </dataValidation>
    <dataValidation type="list" allowBlank="1" showErrorMessage="1" sqref="H471">
      <formula1>'Mun DD1'!B453:AT453</formula1>
    </dataValidation>
    <dataValidation type="list" allowBlank="1" showErrorMessage="1" sqref="J26:J28 J113 J364 J433">
      <formula1>'Mun DD3'!B16:AT16</formula1>
    </dataValidation>
    <dataValidation type="list" allowBlank="1" showErrorMessage="1" sqref="I8:I10">
      <formula1>'Mun DD2'!B51:AT51</formula1>
    </dataValidation>
    <dataValidation type="list" allowBlank="1" showErrorMessage="1" sqref="H331">
      <formula1>'Mun DD1'!B2:AT2</formula1>
    </dataValidation>
    <dataValidation type="list" allowBlank="1" showErrorMessage="1" sqref="J155">
      <formula1>'Mun DD3'!B136:AT136</formula1>
    </dataValidation>
    <dataValidation type="list" allowBlank="1" showErrorMessage="1" sqref="J219">
      <formula1>'Mun DD3'!B337:AT337</formula1>
    </dataValidation>
    <dataValidation type="list" allowBlank="1" showErrorMessage="1" sqref="R342 R459">
      <formula1>InterventionsDD2!B187:AT187</formula1>
    </dataValidation>
    <dataValidation type="list" allowBlank="1" showErrorMessage="1" sqref="Q295 Q357">
      <formula1>InterventionsDD1!B117:AT117</formula1>
    </dataValidation>
    <dataValidation type="list" allowBlank="1" showErrorMessage="1" sqref="J424:J425">
      <formula1>'Mun DD3'!B78:AT78</formula1>
    </dataValidation>
    <dataValidation type="list" allowBlank="1" showErrorMessage="1" sqref="Q468">
      <formula1>InterventionsDD1!B406:AT406</formula1>
    </dataValidation>
    <dataValidation type="list" allowBlank="1" showErrorMessage="1" sqref="Q40:Q41 Q348 Q372">
      <formula1>InterventionsDD1!B87:AT87</formula1>
    </dataValidation>
    <dataValidation type="list" allowBlank="1" showErrorMessage="1" sqref="H18">
      <formula1>'Mun DD1'!B393:AT393</formula1>
    </dataValidation>
    <dataValidation type="list" allowBlank="1" showErrorMessage="1" sqref="I121">
      <formula1>'Mun DD2'!B301:AT301</formula1>
    </dataValidation>
    <dataValidation type="list" allowBlank="1" showErrorMessage="1" sqref="J255">
      <formula1>'Mun DD3'!B339:AT339</formula1>
    </dataValidation>
    <dataValidation type="list" allowBlank="1" showErrorMessage="1" sqref="R299">
      <formula1>InterventionsDD2!B266:AT266</formula1>
    </dataValidation>
    <dataValidation type="list" allowBlank="1" showErrorMessage="1" sqref="I361">
      <formula1>'Mun DD2'!B100:AT100</formula1>
    </dataValidation>
    <dataValidation type="list" allowBlank="1" showErrorMessage="1" sqref="Q137">
      <formula1>InterventionsDD1!B420:AT420</formula1>
    </dataValidation>
    <dataValidation type="list" allowBlank="1" showErrorMessage="1" sqref="J33:J34 J200 J347">
      <formula1>'Mun DD3'!B36:AT36</formula1>
    </dataValidation>
    <dataValidation type="list" allowBlank="1" showErrorMessage="1" sqref="I39 I139 I370">
      <formula1>'Mun DD2'!B83:AT83</formula1>
    </dataValidation>
    <dataValidation type="list" allowBlank="1" showErrorMessage="1" sqref="R445:R446">
      <formula1>InterventionsDD2!B224:AT224</formula1>
    </dataValidation>
    <dataValidation type="list" allowBlank="1" showErrorMessage="1" sqref="I306">
      <formula1>'Mun DD2'!B418:AT418</formula1>
    </dataValidation>
    <dataValidation type="list" allowBlank="1" showErrorMessage="1" sqref="H399">
      <formula1>'Mun DD1'!B35:AT35</formula1>
    </dataValidation>
    <dataValidation type="list" allowBlank="1" showErrorMessage="1" sqref="J445:J446">
      <formula1>'Mun DD3'!B224:AT224</formula1>
    </dataValidation>
    <dataValidation type="list" allowBlank="1" showErrorMessage="1" sqref="Q220 Q373">
      <formula1>InterventionsDD1!B272:AT272</formula1>
    </dataValidation>
    <dataValidation type="list" allowBlank="1" showErrorMessage="1" sqref="I21:I22">
      <formula1>'Mun DD2'!B8:AT8</formula1>
    </dataValidation>
    <dataValidation type="list" allowBlank="1" showErrorMessage="1" sqref="I319">
      <formula1>'Mun DD2'!B92:AT92</formula1>
    </dataValidation>
    <dataValidation type="list" allowBlank="1" showErrorMessage="1" sqref="F2:F471">
      <formula1>"Yes,No"</formula1>
    </dataValidation>
    <dataValidation type="list" allowBlank="1" showErrorMessage="1" sqref="J468">
      <formula1>'Mun DD3'!B406:AT406</formula1>
    </dataValidation>
    <dataValidation type="list" allowBlank="1" showErrorMessage="1" sqref="I120">
      <formula1>'Mun DD2'!B295:AT295</formula1>
    </dataValidation>
    <dataValidation type="list" allowBlank="1" showErrorMessage="1" sqref="H71">
      <formula1>'Mun DD1'!B355:AT355</formula1>
    </dataValidation>
    <dataValidation type="list" allowBlank="1" showErrorMessage="1" sqref="H268">
      <formula1>'Mun DD1'!B119:AT119</formula1>
    </dataValidation>
    <dataValidation type="list" allowBlank="1" showErrorMessage="1" sqref="J383:J384">
      <formula1>'Mun DD3'!B359:AT359</formula1>
    </dataValidation>
    <dataValidation type="list" allowBlank="1" showErrorMessage="1" sqref="H165">
      <formula1>'Mun DD1'!B201:AT201</formula1>
    </dataValidation>
    <dataValidation type="list" allowBlank="1" showErrorMessage="1" sqref="J244">
      <formula1>'Mun DD3'!B261:AT261</formula1>
    </dataValidation>
    <dataValidation type="list" allowBlank="1" showErrorMessage="1" sqref="J65">
      <formula1>'Mun DD3'!B312:AT312</formula1>
    </dataValidation>
    <dataValidation type="list" allowBlank="1" showErrorMessage="1" sqref="Q81 Q345">
      <formula1>InterventionsDD1!B61:AT61</formula1>
    </dataValidation>
    <dataValidation type="list" allowBlank="1" showErrorMessage="1" sqref="I244">
      <formula1>'Mun DD2'!B261:AT261</formula1>
    </dataValidation>
    <dataValidation type="list" allowBlank="1" showErrorMessage="1" sqref="I371">
      <formula1>'Mun DD2'!B416:AT416</formula1>
    </dataValidation>
    <dataValidation type="list" allowBlank="1" showErrorMessage="1" sqref="R124">
      <formula1>InterventionsDD2!B412:AT412</formula1>
    </dataValidation>
    <dataValidation type="list" allowBlank="1" showErrorMessage="1" sqref="I132">
      <formula1>'Mun DD2'!B74:AT74</formula1>
    </dataValidation>
    <dataValidation type="list" allowBlank="1" showErrorMessage="1" sqref="H262 H404 H448:H451">
      <formula1>'Mun DD1'!B47:AT47</formula1>
    </dataValidation>
    <dataValidation type="list" allowBlank="1" showErrorMessage="1" sqref="R401:R403">
      <formula1>InterventionsDD2!B131:AT131</formula1>
    </dataValidation>
    <dataValidation type="list" allowBlank="1" showErrorMessage="1" sqref="H283">
      <formula1>'Mun DD1'!B27:AT27</formula1>
    </dataValidation>
    <dataValidation type="list" allowBlank="1" showErrorMessage="1" sqref="J253 J452">
      <formula1>'Mun DD3'!B42:AT42</formula1>
    </dataValidation>
    <dataValidation type="list" allowBlank="1" showErrorMessage="1" sqref="R65">
      <formula1>InterventionsDD2!B312:AT312</formula1>
    </dataValidation>
    <dataValidation type="list" allowBlank="1" showErrorMessage="1" sqref="H197 H346">
      <formula1>'Mun DD1'!B192:AT192</formula1>
    </dataValidation>
    <dataValidation type="list" allowBlank="1" showErrorMessage="1" sqref="R119">
      <formula1>InterventionsDD2!B289:AT289</formula1>
    </dataValidation>
    <dataValidation type="list" allowBlank="1" showErrorMessage="1" sqref="I60">
      <formula1>'Mun DD2'!B263:AT263</formula1>
    </dataValidation>
    <dataValidation type="list" allowBlank="1" showErrorMessage="1" sqref="R326:R327">
      <formula1>InterventionsDD2!B252:AT252</formula1>
    </dataValidation>
    <dataValidation type="list" allowBlank="1" showErrorMessage="1" sqref="J37:J38 J226">
      <formula1>'Mun DD3'!B57:AT57</formula1>
    </dataValidation>
    <dataValidation type="list" allowBlank="1" showErrorMessage="1" sqref="J133">
      <formula1>'Mun DD3'!B76:AT76</formula1>
    </dataValidation>
    <dataValidation type="list" allowBlank="1" showErrorMessage="1" sqref="H298 H392">
      <formula1>'Mun DD1'!B264:AT264</formula1>
    </dataValidation>
    <dataValidation type="list" allowBlank="1" showErrorMessage="1" sqref="H457:H458">
      <formula1>'Mun DD1'!B284:AT284</formula1>
    </dataValidation>
    <dataValidation type="list" allowBlank="1" showErrorMessage="1" sqref="R369">
      <formula1>InterventionsDD2!B248:AT248</formula1>
    </dataValidation>
    <dataValidation type="list" allowBlank="1" showErrorMessage="1" sqref="H30 H227 H304">
      <formula1>'Mun DD1'!B24:AT24</formula1>
    </dataValidation>
    <dataValidation type="list" allowBlank="1" showErrorMessage="1" sqref="Q91">
      <formula1>InterventionsDD1!B377:AT377</formula1>
    </dataValidation>
    <dataValidation type="list" allowBlank="1" showErrorMessage="1" sqref="I118">
      <formula1>'Mun DD2'!B271:AT271</formula1>
    </dataValidation>
    <dataValidation type="list" allowBlank="1" showErrorMessage="1" sqref="H231">
      <formula1>'Mun DD1'!B23:AT23</formula1>
    </dataValidation>
    <dataValidation type="list" allowBlank="1" showErrorMessage="1" sqref="H369">
      <formula1>'Mun DD1'!B248:AT248</formula1>
    </dataValidation>
    <dataValidation type="list" allowBlank="1" showErrorMessage="1" sqref="J428">
      <formula1>'Mun DD3'!B200:AT200</formula1>
    </dataValidation>
    <dataValidation type="list" allowBlank="1" showErrorMessage="1" sqref="Q144">
      <formula1>InterventionsDD1!B169:AT169</formula1>
    </dataValidation>
    <dataValidation type="list" allowBlank="1" showErrorMessage="1" sqref="I407:I408">
      <formula1>'Mun DD2'!B281:AT281</formula1>
    </dataValidation>
    <dataValidation type="list" allowBlank="1" showErrorMessage="1" sqref="Q298 Q392">
      <formula1>InterventionsDD1!B264:AT264</formula1>
    </dataValidation>
    <dataValidation type="list" allowBlank="1" showErrorMessage="1" sqref="I381">
      <formula1>'Mun DD2'!B397:AT397</formula1>
    </dataValidation>
    <dataValidation type="list" allowBlank="1" showErrorMessage="1" sqref="Q30 Q227 Q304">
      <formula1>InterventionsDD1!B24:AT24</formula1>
    </dataValidation>
    <dataValidation type="list" allowBlank="1" showErrorMessage="1" sqref="I93">
      <formula1>'Mun DD2'!B171:AT171</formula1>
    </dataValidation>
    <dataValidation type="list" allowBlank="1" showErrorMessage="1" sqref="R320">
      <formula1>InterventionsDD2!B114:AT114</formula1>
    </dataValidation>
    <dataValidation type="list" allowBlank="1" showErrorMessage="1" sqref="R308">
      <formula1>InterventionsDD2!B430:AT430</formula1>
    </dataValidation>
    <dataValidation type="list" allowBlank="1" showErrorMessage="1" sqref="I354">
      <formula1>'Mun DD2'!B86:AT86</formula1>
    </dataValidation>
    <dataValidation type="list" allowBlank="1" showErrorMessage="1" sqref="H47 H207:H212">
      <formula1>'Mun DD1'!B153:AT153</formula1>
    </dataValidation>
    <dataValidation type="list" allowBlank="1" showErrorMessage="1" sqref="I273">
      <formula1>'Mun DD2'!B109:AT109</formula1>
    </dataValidation>
    <dataValidation type="list" allowBlank="1" showErrorMessage="1" sqref="R395:R396">
      <formula1>InterventionsDD2!B6:AT6</formula1>
    </dataValidation>
    <dataValidation type="list" allowBlank="1" showErrorMessage="1" sqref="H291">
      <formula1>'Mun DD1'!B268:AT268</formula1>
    </dataValidation>
    <dataValidation type="list" allowBlank="1" showErrorMessage="1" sqref="I293">
      <formula1>'Mun DD2'!B181:AT181</formula1>
    </dataValidation>
    <dataValidation type="list" allowBlank="1" showErrorMessage="1" sqref="I49">
      <formula1>'Mun DD2'!B164:AT164</formula1>
    </dataValidation>
    <dataValidation type="list" allowBlank="1" showErrorMessage="1" sqref="R393">
      <formula1>InterventionsDD2!B305:AT305</formula1>
    </dataValidation>
    <dataValidation type="list" allowBlank="1" showErrorMessage="1" sqref="R443">
      <formula1>InterventionsDD2!B220:AT220</formula1>
    </dataValidation>
    <dataValidation type="list" allowBlank="1" showErrorMessage="1" sqref="J220 J373">
      <formula1>'Mun DD3'!B272:AT272</formula1>
    </dataValidation>
    <dataValidation type="list" allowBlank="1" showErrorMessage="1" sqref="J342 J459">
      <formula1>'Mun DD3'!B187:AT187</formula1>
    </dataValidation>
    <dataValidation type="list" allowBlank="1" showErrorMessage="1" sqref="I162:I164">
      <formula1>'Mun DD2'!B444:AT444</formula1>
    </dataValidation>
    <dataValidation type="list" allowBlank="1" showErrorMessage="1" sqref="R43 R135 R147 R245 R352">
      <formula1>InterventionsDD2!B134:AT134</formula1>
    </dataValidation>
    <dataValidation type="list" allowBlank="1" showErrorMessage="1" sqref="H360">
      <formula1>'Mun DD1'!B10:AT10</formula1>
    </dataValidation>
    <dataValidation type="list" allowBlank="1" showErrorMessage="1" sqref="J59">
      <formula1>'Mun DD3'!B256:AT256</formula1>
    </dataValidation>
    <dataValidation type="list" allowBlank="1" showErrorMessage="1" sqref="I241">
      <formula1>'Mun DD2'!B91:AT91</formula1>
    </dataValidation>
    <dataValidation type="list" allowBlank="1" showErrorMessage="1" sqref="Q264">
      <formula1>InterventionsDD1!B278:AT278</formula1>
    </dataValidation>
    <dataValidation type="list" allowBlank="1" showErrorMessage="1" sqref="H3 H15">
      <formula1>'Mun DD1'!B362:AT362</formula1>
    </dataValidation>
    <dataValidation type="list" allowBlank="1" showErrorMessage="1" sqref="Q47 Q207:Q212">
      <formula1>InterventionsDD1!B153:AT153</formula1>
    </dataValidation>
    <dataValidation type="list" allowBlank="1" showErrorMessage="1" sqref="H131 H258">
      <formula1>'Mun DD1'!B81:AT81</formula1>
    </dataValidation>
    <dataValidation type="list" allowBlank="1" showErrorMessage="1" sqref="Q270">
      <formula1>InterventionsDD1!B407:AT407</formula1>
    </dataValidation>
    <dataValidation type="list" allowBlank="1" showErrorMessage="1" sqref="Q293">
      <formula1>InterventionsDD1!B181:AT181</formula1>
    </dataValidation>
    <dataValidation type="list" allowBlank="1" showErrorMessage="1" sqref="H416">
      <formula1>'Mun DD1'!B59:AT59</formula1>
    </dataValidation>
    <dataValidation type="list" allowBlank="1" showErrorMessage="1" sqref="H401:H403">
      <formula1>'Mun DD1'!B131:AT131</formula1>
    </dataValidation>
    <dataValidation type="list" allowBlank="1" showErrorMessage="1" sqref="J368">
      <formula1>'Mun DD3'!B258:AT258</formula1>
    </dataValidation>
    <dataValidation type="list" allowBlank="1" showErrorMessage="1" sqref="H11">
      <formula1>'Mun DD1'!B128:AT128</formula1>
    </dataValidation>
    <dataValidation type="list" allowBlank="1" showErrorMessage="1" sqref="Q329">
      <formula1>InterventionsDD1!B392:AT392</formula1>
    </dataValidation>
    <dataValidation type="list" allowBlank="1" showErrorMessage="1" sqref="H23">
      <formula1>'Mun DD1'!B11:AT11</formula1>
    </dataValidation>
    <dataValidation type="list" allowBlank="1" showErrorMessage="1" sqref="Q120">
      <formula1>InterventionsDD1!B295:AT295</formula1>
    </dataValidation>
    <dataValidation type="list" allowBlank="1" showErrorMessage="1" sqref="I251">
      <formula1>'Mun DD2'!B328:AT328</formula1>
    </dataValidation>
    <dataValidation type="list" allowBlank="1" showErrorMessage="1" sqref="H223 H389">
      <formula1>'Mun DD1'!B22:AT22</formula1>
    </dataValidation>
    <dataValidation type="list" allowBlank="1" showErrorMessage="1" sqref="I405">
      <formula1>'Mun DD2'!B210:AT210</formula1>
    </dataValidation>
    <dataValidation type="list" allowBlank="1" showErrorMessage="1" sqref="Q436">
      <formula1>InterventionsDD1!B15:AT15</formula1>
    </dataValidation>
    <dataValidation type="list" allowBlank="1" showErrorMessage="1" sqref="I178:I184 I286 I312">
      <formula1>'Mun DD2'!B146:AT146</formula1>
    </dataValidation>
    <dataValidation type="list" allowBlank="1" showErrorMessage="1" sqref="Q198">
      <formula1>InterventionsDD1!B195:AT195</formula1>
    </dataValidation>
    <dataValidation type="list" allowBlank="1" showErrorMessage="1" sqref="I375">
      <formula1>'Mun DD2'!B429:AT429</formula1>
    </dataValidation>
    <dataValidation type="list" allowBlank="1" showErrorMessage="1" sqref="I362">
      <formula1>'Mun DD2'!B113:AT113</formula1>
    </dataValidation>
    <dataValidation type="list" allowBlank="1" showErrorMessage="1" sqref="H144">
      <formula1>'Mun DD1'!B169:AT169</formula1>
    </dataValidation>
    <dataValidation type="list" allowBlank="1" showErrorMessage="1" sqref="I141">
      <formula1>'Mun DD2'!B26:AT26</formula1>
    </dataValidation>
    <dataValidation type="list" allowBlank="1" showErrorMessage="1" sqref="R213">
      <formula1>InterventionsDD2!B329:AT329</formula1>
    </dataValidation>
    <dataValidation type="list" allowBlank="1" showErrorMessage="1" sqref="R398">
      <formula1>InterventionsDD2!B29:AT29</formula1>
    </dataValidation>
    <dataValidation type="list" allowBlank="1" showErrorMessage="1" sqref="Q121">
      <formula1>InterventionsDD1!B301:AT301</formula1>
    </dataValidation>
    <dataValidation type="list" allowBlank="1" showErrorMessage="1" sqref="H252">
      <formula1>'Mun DD1'!B116:AT116</formula1>
    </dataValidation>
    <dataValidation type="list" allowBlank="1" showErrorMessage="1" sqref="J337:J338">
      <formula1>'Mun DD3'!B111:AT111</formula1>
    </dataValidation>
    <dataValidation type="list" allowBlank="1" showErrorMessage="1" sqref="Q246">
      <formula1>InterventionsDD1!B338:AT338</formula1>
    </dataValidation>
    <dataValidation type="list" allowBlank="1" showErrorMessage="1" sqref="R134">
      <formula1>InterventionsDD2!B80:AT80</formula1>
    </dataValidation>
    <dataValidation type="list" allowBlank="1" showErrorMessage="1" sqref="R428">
      <formula1>InterventionsDD2!B200:AT200</formula1>
    </dataValidation>
    <dataValidation type="list" allowBlank="1" showErrorMessage="1" sqref="H91">
      <formula1>'Mun DD1'!B377:AT377</formula1>
    </dataValidation>
    <dataValidation type="list" allowBlank="1" showErrorMessage="1" sqref="AJ292 AJ382">
      <formula1>Glossary!$AT$2:$AT471</formula1>
    </dataValidation>
    <dataValidation type="list" allowBlank="1" showErrorMessage="1" sqref="R96:R103">
      <formula1>InterventionsDD2!B461:AT461</formula1>
    </dataValidation>
    <dataValidation type="list" allowBlank="1" showErrorMessage="1" sqref="H232">
      <formula1>'Mun DD1'!B30:AT30</formula1>
    </dataValidation>
    <dataValidation type="list" allowBlank="1" showErrorMessage="1" sqref="R246">
      <formula1>InterventionsDD2!B338:AT338</formula1>
    </dataValidation>
    <dataValidation type="list" allowBlank="1" showErrorMessage="1" sqref="H344 H460">
      <formula1>'Mun DD1'!B206:AT206</formula1>
    </dataValidation>
    <dataValidation type="list" allowBlank="1" showErrorMessage="1" sqref="Q385">
      <formula1>InterventionsDD1!B371:AT371</formula1>
    </dataValidation>
    <dataValidation type="list" allowBlank="1" showErrorMessage="1" sqref="J77">
      <formula1>'Mun DD3'!B448:AT448</formula1>
    </dataValidation>
    <dataValidation type="list" allowBlank="1" showErrorMessage="1" sqref="H365">
      <formula1>'Mun DD1'!B357:AT357</formula1>
    </dataValidation>
    <dataValidation type="list" allowBlank="1" showErrorMessage="1" sqref="R436">
      <formula1>InterventionsDD2!B15:AT15</formula1>
    </dataValidation>
    <dataValidation type="list" allowBlank="1" showErrorMessage="1" sqref="I259">
      <formula1>'Mun DD2'!B46:AT46</formula1>
    </dataValidation>
    <dataValidation type="list" allowBlank="1" showErrorMessage="1" sqref="I268">
      <formula1>'Mun DD2'!B119:AT119</formula1>
    </dataValidation>
    <dataValidation type="list" allowBlank="1" showErrorMessage="1" sqref="Q142">
      <formula1>InterventionsDD1!B191:AT191</formula1>
    </dataValidation>
    <dataValidation type="list" allowBlank="1" showErrorMessage="1" sqref="I76">
      <formula1>'Mun DD2'!B431:AT431</formula1>
    </dataValidation>
    <dataValidation type="list" allowBlank="1" showErrorMessage="1" sqref="R288">
      <formula1>InterventionsDD2!B127:AT127</formula1>
    </dataValidation>
    <dataValidation type="list" allowBlank="1" showErrorMessage="1" sqref="R81 R345">
      <formula1>InterventionsDD2!B61:AT61</formula1>
    </dataValidation>
    <dataValidation type="list" allowBlank="1" showErrorMessage="1" sqref="Q400">
      <formula1>InterventionsDD1!B84:AT84</formula1>
    </dataValidation>
    <dataValidation type="list" allowBlank="1" showErrorMessage="1" sqref="R14">
      <formula1>InterventionsDD2!B230:AT230</formula1>
    </dataValidation>
    <dataValidation type="list" allowBlank="1" showErrorMessage="1" sqref="J14">
      <formula1>'Mun DD3'!B230:AT230</formula1>
    </dataValidation>
    <dataValidation type="list" allowBlank="1" showErrorMessage="1" sqref="H109">
      <formula1>'Mun DD1'!B403:AT403</formula1>
    </dataValidation>
    <dataValidation type="list" allowBlank="1" showErrorMessage="1" sqref="J300 J322">
      <formula1>'Mun DD3'!B270:AT270</formula1>
    </dataValidation>
    <dataValidation type="list" allowBlank="1" showErrorMessage="1" sqref="R142">
      <formula1>InterventionsDD2!B191:AT191</formula1>
    </dataValidation>
    <dataValidation type="list" allowBlank="1" showErrorMessage="1" sqref="I175 I334">
      <formula1>'Mun DD2'!B135:AT135</formula1>
    </dataValidation>
    <dataValidation type="list" allowBlank="1" showErrorMessage="1" sqref="R257 R282">
      <formula1>InterventionsDD2!B340:AT340</formula1>
    </dataValidation>
    <dataValidation type="list" allowBlank="1" showErrorMessage="1" sqref="Q394">
      <formula1>InterventionsDD1!B209:AT209</formula1>
    </dataValidation>
    <dataValidation type="list" allowBlank="1" showErrorMessage="1" sqref="Q305">
      <formula1>InterventionsDD1!B415:AT415</formula1>
    </dataValidation>
    <dataValidation type="list" allowBlank="1" showErrorMessage="1" sqref="H133">
      <formula1>'Mun DD1'!B76:AT76</formula1>
    </dataValidation>
    <dataValidation type="list" allowBlank="1" showErrorMessage="1" sqref="I206 I280:I281">
      <formula1>'Mun DD2'!B311:AT311</formula1>
    </dataValidation>
    <dataValidation type="list" allowBlank="1" showErrorMessage="1" sqref="Q288">
      <formula1>InterventionsDD1!B127:AT127</formula1>
    </dataValidation>
    <dataValidation type="list" allowBlank="1" showErrorMessage="1" sqref="H380">
      <formula1>'Mun DD1'!B95:AT95</formula1>
    </dataValidation>
    <dataValidation type="list" allowBlank="1" showErrorMessage="1" sqref="J434">
      <formula1>'Mun DD3'!B129:AT129</formula1>
    </dataValidation>
    <dataValidation type="list" allowBlank="1" showErrorMessage="1" sqref="R51 R222">
      <formula1>InterventionsDD2!B182:AT182</formula1>
    </dataValidation>
    <dataValidation type="list" allowBlank="1" showErrorMessage="1" sqref="J349">
      <formula1>'Mun DD3'!B399:AT399</formula1>
    </dataValidation>
    <dataValidation type="list" allowBlank="1" showErrorMessage="1" sqref="I14">
      <formula1>'Mun DD2'!B230:AT230</formula1>
    </dataValidation>
    <dataValidation type="list" allowBlank="1" showErrorMessage="1" sqref="Q428">
      <formula1>InterventionsDD1!B200:AT200</formula1>
    </dataValidation>
    <dataValidation type="list" allowBlank="1" showErrorMessage="1" sqref="Q89">
      <formula1>InterventionsDD1!B435:AT435</formula1>
    </dataValidation>
    <dataValidation type="list" allowBlank="1" showErrorMessage="1" sqref="I380">
      <formula1>'Mun DD2'!B95:AT95</formula1>
    </dataValidation>
    <dataValidation type="list" allowBlank="1" showErrorMessage="1" sqref="Q427">
      <formula1>InterventionsDD1!B130:AT130</formula1>
    </dataValidation>
    <dataValidation type="list" allowBlank="1" showErrorMessage="1" sqref="R91">
      <formula1>InterventionsDD2!B377:AT377</formula1>
    </dataValidation>
    <dataValidation type="list" allowBlank="1" showErrorMessage="1" sqref="R79:R80 R125">
      <formula1>InterventionsDD2!B378:AT378</formula1>
    </dataValidation>
    <dataValidation type="list" allowBlank="1" showErrorMessage="1" sqref="Q156">
      <formula1>InterventionsDD1!B232:AT232</formula1>
    </dataValidation>
    <dataValidation type="list" allowBlank="1" showErrorMessage="1" sqref="I214:I217 I234">
      <formula1>'Mun DD2'!B346:AT346</formula1>
    </dataValidation>
    <dataValidation type="list" allowBlank="1" showErrorMessage="1" sqref="R376:R378">
      <formula1>InterventionsDD2!B432:AT432</formula1>
    </dataValidation>
    <dataValidation type="list" allowBlank="1" showErrorMessage="1" sqref="H202">
      <formula1>'Mun DD1'!B207:AT207</formula1>
    </dataValidation>
    <dataValidation type="list" allowBlank="1" showErrorMessage="1" sqref="R249">
      <formula1>InterventionsDD2!B324:AT324</formula1>
    </dataValidation>
    <dataValidation type="list" allowBlank="1" showErrorMessage="1" sqref="I59">
      <formula1>'Mun DD2'!B256:AT256</formula1>
    </dataValidation>
    <dataValidation type="list" allowBlank="1" showErrorMessage="1" sqref="I271 I284">
      <formula1>'Mun DD2'!B124:AT124</formula1>
    </dataValidation>
    <dataValidation type="list" allowBlank="1" showErrorMessage="1" sqref="I294">
      <formula1>'Mun DD2'!B352:AT352</formula1>
    </dataValidation>
    <dataValidation type="list" allowBlank="1" showErrorMessage="1" sqref="R270">
      <formula1>InterventionsDD2!B407:AT407</formula1>
    </dataValidation>
    <dataValidation type="list" allowBlank="1" showErrorMessage="1" sqref="H465">
      <formula1>'Mun DD1'!B390:AT390</formula1>
    </dataValidation>
    <dataValidation type="list" allowBlank="1" showErrorMessage="1" sqref="Q131 Q258">
      <formula1>InterventionsDD1!B81:AT81</formula1>
    </dataValidation>
    <dataValidation type="list" allowBlank="1" showErrorMessage="1" sqref="I228 I351">
      <formula1>'Mun DD2'!B249:AT249</formula1>
    </dataValidation>
    <dataValidation type="list" allowBlank="1" showErrorMessage="1" sqref="I399">
      <formula1>'Mun DD2'!B35:AT35</formula1>
    </dataValidation>
    <dataValidation type="list" allowBlank="1" showErrorMessage="1" sqref="J263">
      <formula1>'Mun DD3'!B67:AT67</formula1>
    </dataValidation>
    <dataValidation type="list" allowBlank="1" showErrorMessage="1" sqref="H470">
      <formula1>'Mun DD1'!B421:AT421</formula1>
    </dataValidation>
    <dataValidation type="list" allowBlank="1" showErrorMessage="1" sqref="Q255">
      <formula1>InterventionsDD1!B339:AT339</formula1>
    </dataValidation>
    <dataValidation type="list" allowBlank="1" showErrorMessage="1" sqref="I64 I84">
      <formula1>'Mun DD2'!B299:AT299</formula1>
    </dataValidation>
    <dataValidation type="list" allowBlank="1" showErrorMessage="1" sqref="Q112">
      <formula1>InterventionsDD1!B49:AT49</formula1>
    </dataValidation>
    <dataValidation type="list" allowBlank="1" showErrorMessage="1" sqref="R218">
      <formula1>InterventionsDD2!B62:AT62</formula1>
    </dataValidation>
    <dataValidation type="list" allowBlank="1" showErrorMessage="1" sqref="I77">
      <formula1>'Mun DD2'!B448:AT448</formula1>
    </dataValidation>
    <dataValidation type="list" allowBlank="1" showErrorMessage="1" sqref="R219">
      <formula1>InterventionsDD2!B337:AT337</formula1>
    </dataValidation>
    <dataValidation type="list" allowBlank="1" showErrorMessage="1" sqref="H454">
      <formula1>'Mun DD1'!B250:AT250</formula1>
    </dataValidation>
    <dataValidation type="list" allowBlank="1" showErrorMessage="1" sqref="I146 I323">
      <formula1>'Mun DD2'!B212:AT212</formula1>
    </dataValidation>
    <dataValidation type="list" allowBlank="1" showErrorMessage="1" sqref="R427">
      <formula1>InterventionsDD2!B130:AT130</formula1>
    </dataValidation>
    <dataValidation type="list" allowBlank="1" showErrorMessage="1" sqref="J412">
      <formula1>'Mun DD3'!B50:AT50</formula1>
    </dataValidation>
    <dataValidation type="list" allowBlank="1" showErrorMessage="1" sqref="Q110 Q386:Q387">
      <formula1>InterventionsDD1!B175:AT175</formula1>
    </dataValidation>
    <dataValidation type="list" allowBlank="1" showErrorMessage="1" sqref="I262 I404 I448:I451">
      <formula1>'Mun DD2'!B47:AT47</formula1>
    </dataValidation>
    <dataValidation type="list" allowBlank="1" showErrorMessage="1" sqref="Q398">
      <formula1>InterventionsDD1!B29:AT29</formula1>
    </dataValidation>
    <dataValidation type="list" allowBlank="1" showErrorMessage="1" sqref="I383:I384">
      <formula1>'Mun DD2'!B359:AT359</formula1>
    </dataValidation>
    <dataValidation type="list" allowBlank="1" showErrorMessage="1" sqref="J330">
      <formula1>'Mun DD3'!B185:AT185</formula1>
    </dataValidation>
    <dataValidation type="list" allowBlank="1" showErrorMessage="1" sqref="R316">
      <formula1>InterventionsDD2!B383:AT383</formula1>
    </dataValidation>
    <dataValidation type="list" allowBlank="1" showErrorMessage="1" sqref="J355 J462">
      <formula1>'Mun DD3'!B257:AT257</formula1>
    </dataValidation>
    <dataValidation type="list" allowBlank="1" showErrorMessage="1" sqref="J385">
      <formula1>'Mun DD3'!B371:AT371</formula1>
    </dataValidation>
    <dataValidation type="list" allowBlank="1" showErrorMessage="1" sqref="H294">
      <formula1>'Mun DD1'!B352:AT352</formula1>
    </dataValidation>
    <dataValidation type="list" allowBlank="1" showErrorMessage="1" sqref="I238">
      <formula1>'Mun DD2'!B4:AT4</formula1>
    </dataValidation>
    <dataValidation type="list" allowBlank="1" showErrorMessage="1" sqref="Q218">
      <formula1>InterventionsDD1!B62:AT62</formula1>
    </dataValidation>
    <dataValidation type="list" allowBlank="1" showErrorMessage="1" sqref="J407:J408">
      <formula1>'Mun DD3'!B281:AT281</formula1>
    </dataValidation>
    <dataValidation type="list" allowBlank="1" showErrorMessage="1" sqref="I428">
      <formula1>'Mun DD2'!B200:AT200</formula1>
    </dataValidation>
    <dataValidation type="list" allowBlank="1" showErrorMessage="1" sqref="H128:H129 H296">
      <formula1>'Mun DD1'!B72:AT72</formula1>
    </dataValidation>
    <dataValidation type="list" allowBlank="1" showErrorMessage="1" sqref="H228 H351">
      <formula1>'Mun DD1'!B249:AT249</formula1>
    </dataValidation>
    <dataValidation type="list" allowBlank="1" showErrorMessage="1" sqref="Q17">
      <formula1>InterventionsDD1!B391:AT391</formula1>
    </dataValidation>
    <dataValidation type="list" allowBlank="1" showErrorMessage="1" sqref="I333">
      <formula1>'Mun DD2'!B144:AT144</formula1>
    </dataValidation>
    <dataValidation type="list" allowBlank="1" showErrorMessage="1" sqref="J457:J458">
      <formula1>'Mun DD3'!B284:AT284</formula1>
    </dataValidation>
    <dataValidation type="list" allowBlank="1" showErrorMessage="1" sqref="R16">
      <formula1>InterventionsDD2!B404:AT404</formula1>
    </dataValidation>
    <dataValidation type="list" allowBlank="1" showErrorMessage="1" sqref="H148">
      <formula1>'Mun DD1'!B89:AT89</formula1>
    </dataValidation>
    <dataValidation type="list" allowBlank="1" showErrorMessage="1" sqref="H176">
      <formula1>'Mun DD1'!B138:AT138</formula1>
    </dataValidation>
    <dataValidation type="list" allowBlank="1" showErrorMessage="1" sqref="H141">
      <formula1>'Mun DD1'!B26:AT26</formula1>
    </dataValidation>
    <dataValidation type="list" allowBlank="1" showErrorMessage="1" sqref="I73:I74">
      <formula1>'Mun DD2'!B409:AT409</formula1>
    </dataValidation>
    <dataValidation type="list" allowBlank="1" showErrorMessage="1" sqref="Q332">
      <formula1>InterventionsDD1!B405:AT405</formula1>
    </dataValidation>
    <dataValidation type="list" allowBlank="1" showErrorMessage="1" sqref="H270">
      <formula1>'Mun DD1'!B407:AT407</formula1>
    </dataValidation>
    <dataValidation type="list" allowBlank="1" showErrorMessage="1" sqref="Q92">
      <formula1>InterventionsDD1!B251:AT251</formula1>
    </dataValidation>
    <dataValidation type="list" allowBlank="1" showErrorMessage="1" sqref="I85">
      <formula1>'Mun DD2'!B60:AT60</formula1>
    </dataValidation>
    <dataValidation type="list" allowBlank="1" showErrorMessage="1" sqref="Q197 Q346">
      <formula1>InterventionsDD1!B192:AT192</formula1>
    </dataValidation>
    <dataValidation type="list" allowBlank="1" showErrorMessage="1" sqref="J329">
      <formula1>'Mun DD3'!B392:AT392</formula1>
    </dataValidation>
    <dataValidation type="list" allowBlank="1" showErrorMessage="1" sqref="R412">
      <formula1>InterventionsDD2!B50:AT50</formula1>
    </dataValidation>
    <dataValidation type="list" allowBlank="1" showErrorMessage="1" sqref="H185:H192">
      <formula1>'Mun DD1'!B156:AT156</formula1>
    </dataValidation>
    <dataValidation type="list" allowBlank="1" showErrorMessage="1" sqref="H174 H267 H463">
      <formula1>'Mun DD1'!B93:AT93</formula1>
    </dataValidation>
    <dataValidation type="list" allowBlank="1" showErrorMessage="1" sqref="R42 R261 R311">
      <formula1>InterventionsDD2!B101:AT101</formula1>
    </dataValidation>
    <dataValidation type="list" allowBlank="1" showErrorMessage="1" sqref="R121">
      <formula1>InterventionsDD2!B301:AT301</formula1>
    </dataValidation>
    <dataValidation type="list" allowBlank="1" showErrorMessage="1" sqref="I300 I322">
      <formula1>'Mun DD2'!B270:AT270</formula1>
    </dataValidation>
    <dataValidation type="list" allowBlank="1" showErrorMessage="1" sqref="R356">
      <formula1>InterventionsDD2!B394:AT394</formula1>
    </dataValidation>
    <dataValidation type="list" allowBlank="1" showErrorMessage="1" sqref="Q177 Q297">
      <formula1>InterventionsDD1!B140:AT140</formula1>
    </dataValidation>
    <dataValidation type="list" allowBlank="1" showErrorMessage="1" sqref="H111 H158 H279">
      <formula1>'Mun DD1'!B43:AT43</formula1>
    </dataValidation>
    <dataValidation type="list" allowBlank="1" showErrorMessage="1" sqref="R156">
      <formula1>InterventionsDD2!B232:AT232</formula1>
    </dataValidation>
    <dataValidation type="list" allowBlank="1" showErrorMessage="1" sqref="J259">
      <formula1>'Mun DD3'!B46:AT46</formula1>
    </dataValidation>
    <dataValidation type="list" allowBlank="1" showErrorMessage="1" sqref="I17">
      <formula1>'Mun DD2'!B391:AT391</formula1>
    </dataValidation>
    <dataValidation type="list" allowBlank="1" showErrorMessage="1" sqref="I240 I455">
      <formula1>'Mun DD2'!B40:AT40</formula1>
    </dataValidation>
    <dataValidation type="list" allowBlank="1" showErrorMessage="1" sqref="I19">
      <formula1>'Mun DD2'!B3:AT3</formula1>
    </dataValidation>
    <dataValidation type="list" allowBlank="1" showErrorMessage="1" sqref="I263">
      <formula1>'Mun DD2'!B67:AT67</formula1>
    </dataValidation>
    <dataValidation type="list" allowBlank="1" showErrorMessage="1" sqref="Q445:Q446">
      <formula1>InterventionsDD1!B224:AT224</formula1>
    </dataValidation>
    <dataValidation type="list" allowBlank="1" showErrorMessage="1" sqref="Q162:Q164">
      <formula1>InterventionsDD1!B444:AT444</formula1>
    </dataValidation>
    <dataValidation type="list" allowBlank="1" showErrorMessage="1" sqref="J271 J284">
      <formula1>'Mun DD3'!B124:AT124</formula1>
    </dataValidation>
    <dataValidation type="list" allowBlank="1" showErrorMessage="1" sqref="H82">
      <formula1>'Mun DD1'!B469:AT469</formula1>
    </dataValidation>
    <dataValidation type="list" allowBlank="1" showErrorMessage="1" sqref="H120">
      <formula1>'Mun DD1'!B295:AT295</formula1>
    </dataValidation>
    <dataValidation type="list" allowBlank="1" showErrorMessage="1" sqref="Q283">
      <formula1>InterventionsDD1!B27:AT27</formula1>
    </dataValidation>
    <dataValidation type="list" allowBlank="1" showErrorMessage="1" sqref="J365">
      <formula1>'Mun DD3'!B357:AT357</formula1>
    </dataValidation>
    <dataValidation type="list" allowBlank="1" showErrorMessage="1" sqref="I144">
      <formula1>'Mun DD2'!B169:AT169</formula1>
    </dataValidation>
    <dataValidation type="list" allowBlank="1" showErrorMessage="1" sqref="J64 J84">
      <formula1>'Mun DD3'!B299:AT299</formula1>
    </dataValidation>
    <dataValidation type="list" allowBlank="1" showErrorMessage="1" sqref="R60">
      <formula1>InterventionsDD2!B263:AT263</formula1>
    </dataValidation>
    <dataValidation type="list" allowBlank="1" showErrorMessage="1" sqref="J172">
      <formula1>'Mun DD3'!B470:AT470</formula1>
    </dataValidation>
    <dataValidation type="list" allowBlank="1" showErrorMessage="1" sqref="R225">
      <formula1>InterventionsDD2!B293:AT293</formula1>
    </dataValidation>
    <dataValidation type="list" allowBlank="1" showErrorMessage="1" sqref="J379 J417:J420">
      <formula1>'Mun DD3'!B25:AT25</formula1>
    </dataValidation>
    <dataValidation type="list" allowBlank="1" showErrorMessage="1" sqref="H4">
      <formula1>'Mun DD1'!B279:AT279</formula1>
    </dataValidation>
    <dataValidation type="list" allowBlank="1" showErrorMessage="1" sqref="H244">
      <formula1>'Mun DD1'!B261:AT261</formula1>
    </dataValidation>
    <dataValidation type="list" allowBlank="1" showErrorMessage="1" sqref="H313">
      <formula1>'Mun DD1'!B237:AT237</formula1>
    </dataValidation>
    <dataValidation type="list" allowBlank="1" showErrorMessage="1" sqref="H160 H221 H247:H248">
      <formula1>'Mun DD1'!B239:AT239</formula1>
    </dataValidation>
    <dataValidation type="list" allowBlank="1" showErrorMessage="1" sqref="R363">
      <formula1>InterventionsDD2!B173:AT173</formula1>
    </dataValidation>
    <dataValidation type="list" allowBlank="1" showErrorMessage="1" sqref="I355 I462">
      <formula1>'Mun DD2'!B257:AT257</formula1>
    </dataValidation>
    <dataValidation type="list" allowBlank="1" showErrorMessage="1" sqref="H92">
      <formula1>'Mun DD1'!B251:AT251</formula1>
    </dataValidation>
    <dataValidation type="list" allowBlank="1" showErrorMessage="1" sqref="J350">
      <formula1>'Mun DD3'!B196:AT196</formula1>
    </dataValidation>
    <dataValidation type="list" allowBlank="1" showErrorMessage="1" sqref="Q416">
      <formula1>InterventionsDD1!B59:AT59</formula1>
    </dataValidation>
    <dataValidation type="list" allowBlank="1" showErrorMessage="1" sqref="Q380">
      <formula1>InterventionsDD1!B95:AT95</formula1>
    </dataValidation>
    <dataValidation type="list" allowBlank="1" showErrorMessage="1" sqref="R66:R68">
      <formula1>InterventionsDD2!B331:AT331</formula1>
    </dataValidation>
    <dataValidation type="list" allowBlank="1" showErrorMessage="1" sqref="R429:R430 R461">
      <formula1>InterventionsDD2!B302:AT302</formula1>
    </dataValidation>
    <dataValidation type="list" allowBlank="1" showErrorMessage="1" sqref="H138">
      <formula1>'Mun DD1'!B267:AT267</formula1>
    </dataValidation>
    <dataValidation type="list" allowBlank="1" showErrorMessage="1" sqref="Q51 Q222">
      <formula1>InterventionsDD1!B182:AT182</formula1>
    </dataValidation>
    <dataValidation type="list" allowBlank="1" showErrorMessage="1" sqref="R332">
      <formula1>InterventionsDD2!B405:AT405</formula1>
    </dataValidation>
    <dataValidation type="list" allowBlank="1" showErrorMessage="1" sqref="I7">
      <formula1>'Mun DD2'!B48:AT48</formula1>
    </dataValidation>
    <dataValidation type="list" allowBlank="1" showErrorMessage="1" sqref="H290">
      <formula1>'Mun DD1'!B118:AT118</formula1>
    </dataValidation>
    <dataValidation type="list" allowBlank="1" showErrorMessage="1" sqref="Q395:Q396">
      <formula1>InterventionsDD1!B6:AT6</formula1>
    </dataValidation>
    <dataValidation type="list" allowBlank="1" showErrorMessage="1" sqref="R128:R129 R296">
      <formula1>InterventionsDD2!B72:AT72</formula1>
    </dataValidation>
    <dataValidation type="list" allowBlank="1" showErrorMessage="1" sqref="I385">
      <formula1>'Mun DD2'!B371:AT371</formula1>
    </dataValidation>
    <dataValidation type="list" allowBlank="1" showErrorMessage="1" sqref="I173 I289">
      <formula1>'Mun DD2'!B245:AT245</formula1>
    </dataValidation>
    <dataValidation type="list" allowBlank="1" showErrorMessage="1" sqref="I299">
      <formula1>'Mun DD2'!B266:AT266</formula1>
    </dataValidation>
    <dataValidation type="list" allowBlank="1" showErrorMessage="1" sqref="Q33:Q34 Q200 Q347">
      <formula1>InterventionsDD1!B36:AT36</formula1>
    </dataValidation>
    <dataValidation type="list" allowBlank="1" showErrorMessage="1" sqref="I46">
      <formula1>'Mun DD2'!B145:AT145</formula1>
    </dataValidation>
    <dataValidation type="list" allowBlank="1" showErrorMessage="1" sqref="H137">
      <formula1>'Mun DD1'!B420:AT420</formula1>
    </dataValidation>
    <dataValidation type="list" allowBlank="1" showErrorMessage="1" sqref="H287 H409">
      <formula1>'Mun DD1'!B286:AT286</formula1>
    </dataValidation>
    <dataValidation type="list" allowBlank="1" showErrorMessage="1" sqref="I469">
      <formula1>'Mun DD2'!B417:AT417</formula1>
    </dataValidation>
    <dataValidation type="list" allowBlank="1" showErrorMessage="1" sqref="H243 H466:H467">
      <formula1>'Mun DD1'!B178:AT178</formula1>
    </dataValidation>
    <dataValidation type="list" allowBlank="1" showErrorMessage="1" sqref="J393">
      <formula1>'Mun DD3'!B305:AT305</formula1>
    </dataValidation>
    <dataValidation type="list" allowBlank="1" showErrorMessage="1" sqref="Q76">
      <formula1>InterventionsDD1!B431:AT431</formula1>
    </dataValidation>
    <dataValidation type="list" allowBlank="1" showErrorMessage="1" sqref="Q325">
      <formula1>InterventionsDD1!B247:AT247</formula1>
    </dataValidation>
    <dataValidation type="list" allowBlank="1" showErrorMessage="1" sqref="R375">
      <formula1>InterventionsDD2!B429:AT429</formula1>
    </dataValidation>
    <dataValidation type="list" allowBlank="1" showErrorMessage="1" sqref="I213">
      <formula1>'Mun DD2'!B329:AT329</formula1>
    </dataValidation>
    <dataValidation type="list" allowBlank="1" showErrorMessage="1" sqref="J61">
      <formula1>'Mun DD3'!B291:AT291</formula1>
    </dataValidation>
    <dataValidation type="list" allowBlank="1" showErrorMessage="1" sqref="Q275">
      <formula1>InterventionsDD1!B123:AT123</formula1>
    </dataValidation>
    <dataValidation type="list" allowBlank="1" showErrorMessage="1" sqref="R361">
      <formula1>InterventionsDD2!B100:AT100</formula1>
    </dataValidation>
    <dataValidation type="list" allowBlank="1" showErrorMessage="1" sqref="R321">
      <formula1>InterventionsDD2!B193:AT193</formula1>
    </dataValidation>
    <dataValidation type="list" allowBlank="1" showErrorMessage="1" sqref="Q266">
      <formula1>InterventionsDD1!B454:AT454</formula1>
    </dataValidation>
    <dataValidation type="list" allowBlank="1" showErrorMessage="1" sqref="R35:R36">
      <formula1>InterventionsDD2!B44:AT44</formula1>
    </dataValidation>
    <dataValidation type="list" allowBlank="1" showErrorMessage="1" sqref="R465">
      <formula1>InterventionsDD2!B390:AT390</formula1>
    </dataValidation>
    <dataValidation type="list" allowBlank="1" showErrorMessage="1" sqref="Q306">
      <formula1>InterventionsDD1!B418:AT418</formula1>
    </dataValidation>
    <dataValidation type="list" allowBlank="1" showErrorMessage="1" sqref="Q19">
      <formula1>InterventionsDD1!B3:AT3</formula1>
    </dataValidation>
    <dataValidation type="list" allowBlank="1" showErrorMessage="1" sqref="J249">
      <formula1>'Mun DD3'!B324:AT324</formula1>
    </dataValidation>
    <dataValidation type="list" allowBlank="1" showErrorMessage="1" sqref="H442">
      <formula1>'Mun DD1'!B197:AT197</formula1>
    </dataValidation>
    <dataValidation type="list" allowBlank="1" showErrorMessage="1" sqref="R255">
      <formula1>InterventionsDD2!B339:AT339</formula1>
    </dataValidation>
    <dataValidation type="list" allowBlank="1" showErrorMessage="1" sqref="J246">
      <formula1>'Mun DD3'!B338:AT338</formula1>
    </dataValidation>
    <dataValidation type="list" allowBlank="1" showErrorMessage="1" sqref="H134">
      <formula1>'Mun DD1'!B80:AT80</formula1>
    </dataValidation>
    <dataValidation type="list" allowBlank="1" showErrorMessage="1" sqref="J315">
      <formula1>'Mun DD3'!B345:AT345</formula1>
    </dataValidation>
    <dataValidation type="list" allowBlank="1" showErrorMessage="1" sqref="R110 R386:R387">
      <formula1>InterventionsDD2!B175:AT175</formula1>
    </dataValidation>
    <dataValidation type="list" allowBlank="1" showErrorMessage="1" sqref="J276">
      <formula1>'Mun DD3'!B180:AT180</formula1>
    </dataValidation>
    <dataValidation type="list" allowBlank="1" showErrorMessage="1" sqref="I287 I409">
      <formula1>'Mun DD2'!B286:AT286</formula1>
    </dataValidation>
    <dataValidation type="list" allowBlank="1" showErrorMessage="1" sqref="J170:J171">
      <formula1>'Mun DD3'!B449:AT449</formula1>
    </dataValidation>
    <dataValidation type="list" allowBlank="1" showErrorMessage="1" sqref="Q124">
      <formula1>InterventionsDD1!B412:AT412</formula1>
    </dataValidation>
    <dataValidation type="list" allowBlank="1" showErrorMessage="1" sqref="Q271 Q284">
      <formula1>InterventionsDD1!B124:AT124</formula1>
    </dataValidation>
    <dataValidation type="list" allowBlank="1" showErrorMessage="1" sqref="J238">
      <formula1>'Mun DD3'!B4:AT4</formula1>
    </dataValidation>
    <dataValidation type="list" allowBlank="1" showErrorMessage="1" sqref="J224">
      <formula1>'Mun DD3'!B375:AT375</formula1>
    </dataValidation>
    <dataValidation type="list" allowBlank="1" showErrorMessage="1" sqref="H52:H58">
      <formula1>'Mun DD1'!B213:AT213</formula1>
    </dataValidation>
    <dataValidation type="list" allowBlank="1" showErrorMessage="1" sqref="R17">
      <formula1>InterventionsDD2!B391:AT391</formula1>
    </dataValidation>
    <dataValidation type="list" allowBlank="1" showErrorMessage="1" sqref="Q127">
      <formula1>InterventionsDD1!B381:AT381</formula1>
    </dataValidation>
    <dataValidation type="list" allowBlank="1" showErrorMessage="1" sqref="Q16">
      <formula1>InterventionsDD1!B404:AT404</formula1>
    </dataValidation>
    <dataValidation type="list" allowBlank="1" showErrorMessage="1" sqref="I166:I169">
      <formula1>'Mun DD2'!B439:AT439</formula1>
    </dataValidation>
    <dataValidation type="list" allowBlank="1" showErrorMessage="1" sqref="Q375">
      <formula1>InterventionsDD1!B429:AT429</formula1>
    </dataValidation>
    <dataValidation type="list" allowBlank="1" showErrorMessage="1" sqref="J2">
      <formula1>'Mun DD3'!B34:AT34</formula1>
    </dataValidation>
    <dataValidation type="list" allowBlank="1" showErrorMessage="1" sqref="H349">
      <formula1>'Mun DD1'!B399:AT399</formula1>
    </dataValidation>
    <dataValidation type="list" allowBlank="1" showErrorMessage="1" sqref="R406">
      <formula1>InterventionsDD2!B269:AT269</formula1>
    </dataValidation>
    <dataValidation type="list" allowBlank="1" showErrorMessage="1" sqref="R468">
      <formula1>InterventionsDD2!B406:AT406</formula1>
    </dataValidation>
    <dataValidation type="list" allowBlank="1" showErrorMessage="1" sqref="I24:I25">
      <formula1>'Mun DD2'!B13:AT13</formula1>
    </dataValidation>
    <dataValidation type="list" allowBlank="1" showErrorMessage="1" sqref="I88">
      <formula1>'Mun DD2'!B223:AT223</formula1>
    </dataValidation>
    <dataValidation type="list" allowBlank="1" showErrorMessage="1" sqref="I305">
      <formula1>'Mun DD2'!B415:AT415</formula1>
    </dataValidation>
    <dataValidation type="list" allowBlank="1" showErrorMessage="1" sqref="I444">
      <formula1>'Mun DD2'!B222:AT222</formula1>
    </dataValidation>
    <dataValidation type="list" allowBlank="1" showErrorMessage="1" sqref="Q105">
      <formula1>InterventionsDD1!B243:AT243</formula1>
    </dataValidation>
    <dataValidation type="list" allowBlank="1" showErrorMessage="1" sqref="H468">
      <formula1>'Mun DD1'!B406:AT406</formula1>
    </dataValidation>
    <dataValidation type="list" allowBlank="1" showErrorMessage="1" sqref="Q161 Q203:Q205">
      <formula1>InterventionsDD1!B265:AT265</formula1>
    </dataValidation>
    <dataValidation type="list" allowBlank="1" showErrorMessage="1" sqref="H269">
      <formula1>'Mun DD1'!B125:AT125</formula1>
    </dataValidation>
    <dataValidation type="list" allowBlank="1" showErrorMessage="1" sqref="Q136">
      <formula1>InterventionsDD1!B198:AT198</formula1>
    </dataValidation>
    <dataValidation type="list" allowBlank="1" showErrorMessage="1" sqref="R3 R15">
      <formula1>InterventionsDD2!B362:AT362</formula1>
    </dataValidation>
    <dataValidation type="list" allowBlank="1" showErrorMessage="1" sqref="H31:H32 H199">
      <formula1>'Mun DD1'!B31:AT31</formula1>
    </dataValidation>
    <dataValidation type="list" allowBlank="1" showErrorMessage="1" sqref="R109">
      <formula1>InterventionsDD2!B403:AT403</formula1>
    </dataValidation>
    <dataValidation type="list" allowBlank="1" showErrorMessage="1" sqref="H95">
      <formula1>'Mun DD1'!B438:AT438</formula1>
    </dataValidation>
    <dataValidation type="list" allowBlank="1" showErrorMessage="1" sqref="R223 R389">
      <formula1>InterventionsDD2!B22:AT22</formula1>
    </dataValidation>
    <dataValidation type="list" allowBlank="1" showErrorMessage="1" sqref="H230 H453">
      <formula1>'Mun DD1'!B21:AT21</formula1>
    </dataValidation>
    <dataValidation type="list" allowBlank="1" showErrorMessage="1" sqref="H219">
      <formula1>'Mun DD1'!B337:AT337</formula1>
    </dataValidation>
    <dataValidation type="list" allowBlank="1" showErrorMessage="1" sqref="R136">
      <formula1>InterventionsDD2!B198:AT198</formula1>
    </dataValidation>
    <dataValidation type="list" allowBlank="1" showErrorMessage="1" sqref="R324">
      <formula1>InterventionsDD2!B447:AT447</formula1>
    </dataValidation>
    <dataValidation type="list" allowBlank="1" showErrorMessage="1" sqref="J354">
      <formula1>'Mun DD3'!B86:AT86</formula1>
    </dataValidation>
    <dataValidation type="list" allowBlank="1" showErrorMessage="1" sqref="J213">
      <formula1>'Mun DD3'!B329:AT329</formula1>
    </dataValidation>
    <dataValidation type="list" allowBlank="1" showErrorMessage="1" sqref="I116">
      <formula1>'Mun DD2'!B259:AT259</formula1>
    </dataValidation>
    <dataValidation type="list" allowBlank="1" showErrorMessage="1" sqref="H413:H415">
      <formula1>'Mun DD1'!B54:AT54</formula1>
    </dataValidation>
    <dataValidation type="list" allowBlank="1" showErrorMessage="1" sqref="I416">
      <formula1>'Mun DD2'!B59:AT59</formula1>
    </dataValidation>
    <dataValidation type="list" allowBlank="1" showErrorMessage="1" sqref="R276">
      <formula1>InterventionsDD2!B180:AT180</formula1>
    </dataValidation>
    <dataValidation type="list" allowBlank="1" showErrorMessage="1" sqref="H122">
      <formula1>'Mun DD1'!B351:AT351</formula1>
    </dataValidation>
    <dataValidation type="list" allowBlank="1" showErrorMessage="1" sqref="I363">
      <formula1>'Mun DD2'!B173:AT173</formula1>
    </dataValidation>
    <dataValidation type="list" allowBlank="1" showErrorMessage="1" sqref="I66:I68">
      <formula1>'Mun DD2'!B331:AT331</formula1>
    </dataValidation>
    <dataValidation type="list" allowBlank="1" showErrorMessage="1" sqref="Q128:Q129 Q296">
      <formula1>InterventionsDD1!B72:AT72</formula1>
    </dataValidation>
    <dataValidation type="list" allowBlank="1" showErrorMessage="1" sqref="I224">
      <formula1>'Mun DD2'!B375:AT375</formula1>
    </dataValidation>
    <dataValidation type="list" allowBlank="1" showErrorMessage="1" sqref="H391">
      <formula1>'Mun DD1'!B321:AT321</formula1>
    </dataValidation>
    <dataValidation type="list" allowBlank="1" showErrorMessage="1" sqref="R72">
      <formula1>InterventionsDD2!B376:AT376</formula1>
    </dataValidation>
    <dataValidation type="list" allowBlank="1" showErrorMessage="1" sqref="R303">
      <formula1>InterventionsDD2!B276:AT276</formula1>
    </dataValidation>
    <dataValidation type="list" allowBlank="1" showErrorMessage="1" sqref="R272">
      <formula1>InterventionsDD2!B139:AT139</formula1>
    </dataValidation>
    <dataValidation type="list" allowBlank="1" showErrorMessage="1" sqref="Q253 Q452">
      <formula1>InterventionsDD1!B42:AT42</formula1>
    </dataValidation>
    <dataValidation type="list" allowBlank="1" showErrorMessage="1" sqref="Q365">
      <formula1>InterventionsDD1!B357:AT357</formula1>
    </dataValidation>
    <dataValidation type="list" allowBlank="1" showErrorMessage="1" sqref="I369">
      <formula1>'Mun DD2'!B248:AT248</formula1>
    </dataValidation>
    <dataValidation type="list" allowBlank="1" showErrorMessage="1" sqref="I12">
      <formula1>'Mun DD2'!B356:AT356</formula1>
    </dataValidation>
    <dataValidation type="list" allowBlank="1" showErrorMessage="1" sqref="R202">
      <formula1>InterventionsDD2!B207:AT207</formula1>
    </dataValidation>
    <dataValidation type="list" allowBlank="1" showErrorMessage="1" sqref="I231">
      <formula1>'Mun DD2'!B23:AT23</formula1>
    </dataValidation>
    <dataValidation type="list" allowBlank="1" showErrorMessage="1" sqref="H117">
      <formula1>'Mun DD1'!B262:AT262</formula1>
    </dataValidation>
    <dataValidation type="list" allowBlank="1" showErrorMessage="1" sqref="I119">
      <formula1>'Mun DD2'!B289:AT289</formula1>
    </dataValidation>
    <dataValidation type="list" allowBlank="1" showErrorMessage="1" sqref="J272">
      <formula1>'Mun DD3'!B139:AT139</formula1>
    </dataValidation>
    <dataValidation type="list" allowBlank="1" showErrorMessage="1" sqref="J85">
      <formula1>'Mun DD3'!B60:AT60</formula1>
    </dataValidation>
    <dataValidation type="list" allowBlank="1" showErrorMessage="1" sqref="J239">
      <formula1>'Mun DD3'!B388:AT388</formula1>
    </dataValidation>
    <dataValidation type="list" allowBlank="1" showErrorMessage="1" sqref="R253 R452">
      <formula1>InterventionsDD2!B42:AT42</formula1>
    </dataValidation>
    <dataValidation type="list" allowBlank="1" showErrorMessage="1" sqref="R166:R169">
      <formula1>InterventionsDD2!B439:AT439</formula1>
    </dataValidation>
    <dataValidation type="list" allowBlank="1" showErrorMessage="1" sqref="R197 R346">
      <formula1>InterventionsDD2!B192:AT192</formula1>
    </dataValidation>
    <dataValidation type="list" allowBlank="1" showErrorMessage="1" sqref="I114 I145">
      <formula1>'Mun DD2'!B141:AT141</formula1>
    </dataValidation>
    <dataValidation type="list" allowBlank="1" showErrorMessage="1" sqref="Q78">
      <formula1>InterventionsDD1!B398:AT398</formula1>
    </dataValidation>
    <dataValidation type="list" allowBlank="1" showErrorMessage="1" sqref="R421:R423">
      <formula1>InterventionsDD2!B69:AT69</formula1>
    </dataValidation>
    <dataValidation type="list" allowBlank="1" showErrorMessage="1" sqref="Q6">
      <formula1>InterventionsDD1!B41:AT41</formula1>
    </dataValidation>
    <dataValidation type="list" allowBlank="1" showErrorMessage="1" sqref="H26:H28 H113 H364 H433">
      <formula1>'Mun DD1'!B16:AT16</formula1>
    </dataValidation>
    <dataValidation type="list" allowBlank="1" showErrorMessage="1" sqref="R154 R193:R196 R301:R302">
      <formula1>InterventionsDD2!B126:AT126</formula1>
    </dataValidation>
    <dataValidation type="list" allowBlank="1" showErrorMessage="1" sqref="I127">
      <formula1>'Mun DD2'!B381:AT381</formula1>
    </dataValidation>
    <dataValidation type="list" allowBlank="1" showErrorMessage="1" sqref="Q133">
      <formula1>InterventionsDD1!B76:AT76</formula1>
    </dataValidation>
    <dataValidation type="list" allowBlank="1" showErrorMessage="1" sqref="J398">
      <formula1>'Mun DD3'!B29:AT29</formula1>
    </dataValidation>
    <dataValidation type="list" allowBlank="1" showErrorMessage="1" sqref="J107">
      <formula1>'Mun DD3'!B283:AT283</formula1>
    </dataValidation>
    <dataValidation type="list" allowBlank="1" showErrorMessage="1" sqref="I198">
      <formula1>'Mun DD2'!B195:AT195</formula1>
    </dataValidation>
    <dataValidation type="list" allowBlank="1" showErrorMessage="1" sqref="Q118">
      <formula1>InterventionsDD1!B271:AT271</formula1>
    </dataValidation>
    <dataValidation type="list" allowBlank="1" showErrorMessage="1" sqref="H118">
      <formula1>'Mun DD1'!B271:AT271</formula1>
    </dataValidation>
    <dataValidation type="list" allowBlank="1" showErrorMessage="1" sqref="Q114 Q145">
      <formula1>InterventionsDD1!B141:AT141</formula1>
    </dataValidation>
    <dataValidation type="list" allowBlank="1" showErrorMessage="1" sqref="I445:I446">
      <formula1>'Mun DD2'!B224:AT224</formula1>
    </dataValidation>
    <dataValidation type="list" allowBlank="1" showErrorMessage="1" sqref="I43 I135 I147 I245 I352">
      <formula1>'Mun DD2'!B134:AT134</formula1>
    </dataValidation>
    <dataValidation type="list" allowBlank="1" showErrorMessage="1" sqref="I336">
      <formula1>'Mun DD2'!B28:AT28</formula1>
    </dataValidation>
    <dataValidation type="list" allowBlank="1" showErrorMessage="1" sqref="R434">
      <formula1>InterventionsDD2!B129:AT129</formula1>
    </dataValidation>
    <dataValidation type="list" allowBlank="1" showErrorMessage="1" sqref="H443">
      <formula1>'Mun DD1'!B220:AT220</formula1>
    </dataValidation>
    <dataValidation type="list" allowBlank="1" showErrorMessage="1" sqref="H13">
      <formula1>'Mun DD1'!B102:AT102</formula1>
    </dataValidation>
    <dataValidation type="list" allowBlank="1" showErrorMessage="1" sqref="I317 I335 I343">
      <formula1>'Mun DD2'!B176:AT176</formula1>
    </dataValidation>
    <dataValidation type="list" allowBlank="1" showErrorMessage="1" sqref="J339:J341">
      <formula1>'Mun DD3'!B120:AT120</formula1>
    </dataValidation>
    <dataValidation type="list" allowBlank="1" showErrorMessage="1" sqref="R228 R351">
      <formula1>InterventionsDD2!B249:AT249</formula1>
    </dataValidation>
    <dataValidation type="list" allowBlank="1" showErrorMessage="1" sqref="H257 H282">
      <formula1>'Mun DD1'!B340:AT340</formula1>
    </dataValidation>
    <dataValidation type="list" allowBlank="1" showErrorMessage="1" sqref="J469">
      <formula1>'Mun DD3'!B417:AT417</formula1>
    </dataValidation>
    <dataValidation type="list" allowBlank="1" showErrorMessage="1" sqref="R353">
      <formula1>InterventionsDD2!B33:AT33</formula1>
    </dataValidation>
    <dataValidation type="list" allowBlank="1" showErrorMessage="1" sqref="H220 H373">
      <formula1>'Mun DD1'!B272:AT272</formula1>
    </dataValidation>
    <dataValidation type="list" allowBlank="1" showErrorMessage="1" sqref="J299">
      <formula1>'Mun DD3'!B266:AT266</formula1>
    </dataValidation>
    <dataValidation type="list" allowBlank="1" showErrorMessage="1" sqref="R75">
      <formula1>InterventionsDD2!B428:AT428</formula1>
    </dataValidation>
    <dataValidation type="list" allowBlank="1" showErrorMessage="1" sqref="H260">
      <formula1>'Mun DD1'!B68:AT68</formula1>
    </dataValidation>
    <dataValidation type="list" allowBlank="1" showErrorMessage="1" sqref="R313">
      <formula1>InterventionsDD2!B237:AT237</formula1>
    </dataValidation>
    <dataValidation type="list" allowBlank="1" showErrorMessage="1" sqref="R410">
      <formula1>InterventionsDD2!B411:AT411</formula1>
    </dataValidation>
    <dataValidation type="list" allowBlank="1" showErrorMessage="1" sqref="Q339:Q341">
      <formula1>InterventionsDD1!B120:AT120</formula1>
    </dataValidation>
    <dataValidation type="list" allowBlank="1" showErrorMessage="1" sqref="I223 I389">
      <formula1>'Mun DD2'!B22:AT22</formula1>
    </dataValidation>
    <dataValidation type="list" allowBlank="1" showErrorMessage="1" sqref="J119">
      <formula1>'Mun DD3'!B289:AT289</formula1>
    </dataValidation>
    <dataValidation type="list" allowBlank="1" showErrorMessage="1" sqref="Q225">
      <formula1>InterventionsDD1!B293:AT293</formula1>
    </dataValidation>
    <dataValidation type="list" allowBlank="1" showErrorMessage="1" sqref="H376:H378">
      <formula1>'Mun DD1'!B432:AT432</formula1>
    </dataValidation>
    <dataValidation type="list" allowBlank="1" showErrorMessage="1" sqref="Q391">
      <formula1>InterventionsDD1!B321:AT321</formula1>
    </dataValidation>
    <dataValidation type="list" allowBlank="1" showErrorMessage="1" sqref="I202">
      <formula1>'Mun DD2'!B207:AT207</formula1>
    </dataValidation>
    <dataValidation type="list" allowBlank="1" showErrorMessage="1" sqref="I382 I437">
      <formula1>'Mun DD2'!B39:AT39</formula1>
    </dataValidation>
    <dataValidation type="list" allowBlank="1" showErrorMessage="1" sqref="R90">
      <formula1>InterventionsDD2!B335:AT335</formula1>
    </dataValidation>
    <dataValidation type="list" allowBlank="1" showErrorMessage="1" sqref="Q356">
      <formula1>InterventionsDD1!B394:AT394</formula1>
    </dataValidation>
    <dataValidation type="list" allowBlank="1" showErrorMessage="1" sqref="J353">
      <formula1>'Mun DD3'!B33:AT33</formula1>
    </dataValidation>
    <dataValidation type="list" allowBlank="1" showErrorMessage="1" sqref="Q149:Q153">
      <formula1>InterventionsDD1!B455:AT455</formula1>
    </dataValidation>
    <dataValidation type="list" allowBlank="1" showErrorMessage="1" sqref="Q185:Q192">
      <formula1>InterventionsDD1!B156:AT156</formula1>
    </dataValidation>
    <dataValidation type="list" allowBlank="1" showErrorMessage="1" sqref="I321">
      <formula1>'Mun DD2'!B193:AT193</formula1>
    </dataValidation>
    <dataValidation type="list" allowBlank="1" showErrorMessage="1" sqref="J356">
      <formula1>'Mun DD3'!B394:AT394</formula1>
    </dataValidation>
    <dataValidation type="list" allowBlank="1" showErrorMessage="1" sqref="J50 J104 J309:J310">
      <formula1>'Mun DD3'!B177:AT177</formula1>
    </dataValidation>
    <dataValidation type="list" allowBlank="1" showErrorMessage="1" sqref="Q321">
      <formula1>InterventionsDD1!B193:AT193</formula1>
    </dataValidation>
    <dataValidation type="list" allowBlank="1" showErrorMessage="1" sqref="J30 J227 J304">
      <formula1>'Mun DD3'!B24:AT24</formula1>
    </dataValidation>
    <dataValidation type="list" allowBlank="1" showErrorMessage="1" sqref="Q278 Q456">
      <formula1>InterventionsDD1!B99:AT99</formula1>
    </dataValidation>
    <dataValidation type="list" allowBlank="1" showErrorMessage="1" sqref="H161 H203:H205">
      <formula1>'Mun DD1'!B265:AT265</formula1>
    </dataValidation>
    <dataValidation type="list" allowBlank="1" showErrorMessage="1" sqref="AO2:AO471">
      <formula1>Glossary!$BC$2:$BC471</formula1>
    </dataValidation>
    <dataValidation type="list" allowBlank="1" showErrorMessage="1" sqref="H241">
      <formula1>'Mun DD1'!B91:AT91</formula1>
    </dataValidation>
    <dataValidation type="list" allowBlank="1" showErrorMessage="1" sqref="H375">
      <formula1>'Mun DD1'!B429:AT429</formula1>
    </dataValidation>
    <dataValidation type="list" allowBlank="1" showErrorMessage="1" sqref="J88">
      <formula1>'Mun DD3'!B223:AT223</formula1>
    </dataValidation>
    <dataValidation type="list" allowBlank="1" showErrorMessage="1" sqref="J110 J386:J387">
      <formula1>'Mun DD3'!B175:AT175</formula1>
    </dataValidation>
    <dataValidation type="list" allowBlank="1" showErrorMessage="1" sqref="J293">
      <formula1>'Mun DD3'!B181:AT181</formula1>
    </dataValidation>
    <dataValidation type="list" allowBlank="1" showErrorMessage="1" sqref="J305">
      <formula1>'Mun DD3'!B415:AT415</formula1>
    </dataValidation>
    <dataValidation type="list" allowBlank="1" showErrorMessage="1" sqref="I342 I459">
      <formula1>'Mun DD2'!B187:AT187</formula1>
    </dataValidation>
    <dataValidation type="list" allowBlank="1" showErrorMessage="1" sqref="R82">
      <formula1>InterventionsDD2!B469:AT469</formula1>
    </dataValidation>
    <dataValidation type="list" allowBlank="1" showErrorMessage="1" sqref="H121">
      <formula1>'Mun DD1'!B301:AT301</formula1>
    </dataValidation>
    <dataValidation type="list" allowBlank="1" showErrorMessage="1" sqref="Q18">
      <formula1>InterventionsDD1!B393:AT393</formula1>
    </dataValidation>
    <dataValidation type="list" allowBlank="1" showErrorMessage="1" sqref="R230 R453">
      <formula1>InterventionsDD2!B21:AT21</formula1>
    </dataValidation>
    <dataValidation type="list" allowBlank="1" showErrorMessage="1" sqref="R89">
      <formula1>InterventionsDD2!B435:AT435</formula1>
    </dataValidation>
    <dataValidation type="list" allowBlank="1" showErrorMessage="1" sqref="R385">
      <formula1>InterventionsDD2!B371:AT371</formula1>
    </dataValidation>
    <dataValidation type="list" allowBlank="1" showErrorMessage="1" sqref="H306">
      <formula1>'Mun DD1'!B418:AT418</formula1>
    </dataValidation>
    <dataValidation type="list" allowBlank="1" showErrorMessage="1" sqref="I360">
      <formula1>'Mun DD2'!B10:AT10</formula1>
    </dataValidation>
    <dataValidation type="list" allowBlank="1" showErrorMessage="1" sqref="Q214:Q217 Q234">
      <formula1>InterventionsDD1!B346:AT346</formula1>
    </dataValidation>
    <dataValidation type="list" allowBlank="1" showErrorMessage="1" sqref="Q412">
      <formula1>InterventionsDD1!B50:AT50</formula1>
    </dataValidation>
    <dataValidation type="list" allowBlank="1" showErrorMessage="1" sqref="J24:J25">
      <formula1>'Mun DD3'!B13:AT13</formula1>
    </dataValidation>
    <dataValidation type="list" allowBlank="1" showErrorMessage="1" sqref="Q366">
      <formula1>InterventionsDD1!B330:AT330</formula1>
    </dataValidation>
    <dataValidation type="list" allowBlank="1" showErrorMessage="1" sqref="Q141">
      <formula1>InterventionsDD1!B26:AT26</formula1>
    </dataValidation>
    <dataValidation type="list" allowBlank="1" showErrorMessage="1" sqref="R283">
      <formula1>InterventionsDD2!B27:AT27</formula1>
    </dataValidation>
    <dataValidation type="list" allowBlank="1" showErrorMessage="1" sqref="I401:I403">
      <formula1>'Mun DD2'!B131:AT131</formula1>
    </dataValidation>
    <dataValidation type="list" allowBlank="1" showErrorMessage="1" sqref="R305">
      <formula1>InterventionsDD2!B415:AT415</formula1>
    </dataValidation>
    <dataValidation type="list" allowBlank="1" showErrorMessage="1" sqref="J395:J396">
      <formula1>'Mun DD3'!B6:AT6</formula1>
    </dataValidation>
    <dataValidation type="list" allowBlank="1" showErrorMessage="1" sqref="J316">
      <formula1>'Mun DD3'!B383:AT383</formula1>
    </dataValidation>
    <dataValidation type="list" allowBlank="1" showErrorMessage="1" sqref="J149:J153">
      <formula1>'Mun DD3'!B455:AT455</formula1>
    </dataValidation>
    <dataValidation type="list" allowBlank="1" showErrorMessage="1" sqref="J165">
      <formula1>'Mun DD3'!B201:AT201</formula1>
    </dataValidation>
    <dataValidation type="list" allowBlank="1" showErrorMessage="1" sqref="I331">
      <formula1>'Mun DD2'!B2:AT2</formula1>
    </dataValidation>
    <dataValidation type="list" allowBlank="1" showErrorMessage="1" sqref="I435">
      <formula1>'Mun DD2'!B12:AT12</formula1>
    </dataValidation>
    <dataValidation type="list" allowBlank="1" showErrorMessage="1" sqref="J116">
      <formula1>'Mun DD3'!B259:AT259</formula1>
    </dataValidation>
    <dataValidation type="list" allowBlank="1" showErrorMessage="1" sqref="J436">
      <formula1>'Mun DD3'!B15:AT15</formula1>
    </dataValidation>
    <dataValidation type="list" allowBlank="1" showErrorMessage="1" sqref="J17">
      <formula1>'Mun DD3'!B391:AT391</formula1>
    </dataValidation>
    <dataValidation type="list" allowBlank="1" showErrorMessage="1" sqref="Q219">
      <formula1>InterventionsDD1!B337:AT337</formula1>
    </dataValidation>
    <dataValidation type="list" allowBlank="1" showErrorMessage="1" sqref="J76">
      <formula1>'Mun DD3'!B431:AT431</formula1>
    </dataValidation>
    <dataValidation type="list" allowBlank="1" showErrorMessage="1" sqref="H273">
      <formula1>'Mun DD1'!B109:AT109</formula1>
    </dataValidation>
    <dataValidation type="list" allowBlank="1" showErrorMessage="1" sqref="J73:J74">
      <formula1>'Mun DD3'!B409:AT409</formula1>
    </dataValidation>
    <dataValidation type="list" allowBlank="1" showErrorMessage="1" sqref="Q35:Q36">
      <formula1>InterventionsDD1!B44:AT44</formula1>
    </dataValidation>
    <dataValidation type="list" allowBlank="1" showErrorMessage="1" sqref="J206 J280:J281">
      <formula1>'Mun DD3'!B311:AT311</formula1>
    </dataValidation>
    <dataValidation type="list" allowBlank="1" showErrorMessage="1" sqref="E2:E471">
      <formula1>Glossary!$D$2:$D471</formula1>
    </dataValidation>
    <dataValidation type="list" allowBlank="1" showErrorMessage="1" sqref="I136">
      <formula1>'Mun DD2'!B198:AT198</formula1>
    </dataValidation>
    <dataValidation type="list" allowBlank="1" showErrorMessage="1" sqref="H394">
      <formula1>'Mun DD1'!B209:AT209</formula1>
    </dataValidation>
    <dataValidation type="list" allowBlank="1" showErrorMessage="1" sqref="R275">
      <formula1>InterventionsDD2!B123:AT123</formula1>
    </dataValidation>
    <dataValidation type="list" allowBlank="1" showErrorMessage="1" sqref="Q363">
      <formula1>InterventionsDD1!B173:AT173</formula1>
    </dataValidation>
    <dataValidation type="list" allowBlank="1" showErrorMessage="1" sqref="I172">
      <formula1>'Mun DD2'!B470:AT470</formula1>
    </dataValidation>
    <dataValidation type="list" allowBlank="1" showErrorMessage="1" sqref="H441">
      <formula1>'Mun DD1'!B110:AT110</formula1>
    </dataValidation>
    <dataValidation type="list" allowBlank="1" showErrorMessage="1" sqref="Q44:Q45">
      <formula1>InterventionsDD1!B142:AT142</formula1>
    </dataValidation>
    <dataValidation type="list" allowBlank="1" showErrorMessage="1" sqref="I170:I171">
      <formula1>'Mun DD2'!B449:AT449</formula1>
    </dataValidation>
    <dataValidation type="list" allowBlank="1" showErrorMessage="1" sqref="J214:J217 J234">
      <formula1>'Mun DD3'!B346:AT346</formula1>
    </dataValidation>
    <dataValidation type="list" allowBlank="1" showErrorMessage="1" sqref="Q355 Q462">
      <formula1>InterventionsDD1!B257:AT257</formula1>
    </dataValidation>
    <dataValidation type="list" allowBlank="1" showErrorMessage="1" sqref="Q160 Q221 Q247:Q248">
      <formula1>InterventionsDD1!B239:AT239</formula1>
    </dataValidation>
    <dataValidation type="list" allowBlank="1" showErrorMessage="1" sqref="I440">
      <formula1>'Mun DD2'!B104:AT104</formula1>
    </dataValidation>
    <dataValidation type="list" allowBlank="1" showErrorMessage="1" sqref="J12">
      <formula1>'Mun DD3'!B356:AT356</formula1>
    </dataValidation>
    <dataValidation type="list" allowBlank="1" showErrorMessage="1" sqref="J94 J106">
      <formula1>'Mun DD3'!B275:AT275</formula1>
    </dataValidation>
    <dataValidation type="list" allowBlank="1" showErrorMessage="1" sqref="I283">
      <formula1>'Mun DD2'!B27:AT27</formula1>
    </dataValidation>
    <dataValidation type="list" allowBlank="1" showErrorMessage="1" sqref="Q262 Q404 Q448:Q451">
      <formula1>InterventionsDD1!B47:AT47</formula1>
    </dataValidation>
    <dataValidation type="list" allowBlank="1" showErrorMessage="1" sqref="H295 H357">
      <formula1>'Mun DD1'!B117:AT117</formula1>
    </dataValidation>
    <dataValidation type="list" allowBlank="1" showErrorMessage="1" sqref="R33:R34 R200 R347">
      <formula1>InterventionsDD2!B36:AT36</formula1>
    </dataValidation>
    <dataValidation type="list" allowBlank="1" showErrorMessage="1" sqref="Q69:Q70">
      <formula1>InterventionsDD1!B343:AT343</formula1>
    </dataValidation>
    <dataValidation type="list" allowBlank="1" showErrorMessage="1" sqref="I274">
      <formula1>'Mun DD2'!B174:AT174</formula1>
    </dataValidation>
    <dataValidation type="list" allowBlank="1" showErrorMessage="1" sqref="J44:J45">
      <formula1>'Mun DD3'!B142:AT142</formula1>
    </dataValidation>
  </dataValidations>
  <hyperlinks>
    <hyperlink r:id="rId1" ref="AQ2"/>
    <hyperlink r:id="rId2" ref="AQ3"/>
    <hyperlink r:id="rId3" ref="AQ8"/>
    <hyperlink r:id="rId4" ref="AQ9"/>
    <hyperlink r:id="rId5" ref="AQ11"/>
    <hyperlink r:id="rId6" ref="AP12"/>
    <hyperlink r:id="rId7" ref="AQ12"/>
    <hyperlink r:id="rId8" ref="AQ14"/>
    <hyperlink r:id="rId9" ref="AQ15"/>
    <hyperlink r:id="rId10" ref="AQ16"/>
    <hyperlink r:id="rId11" ref="AQ17"/>
    <hyperlink r:id="rId12" ref="AQ18"/>
    <hyperlink r:id="rId13" ref="AQ19"/>
    <hyperlink r:id="rId14" ref="AQ20"/>
    <hyperlink r:id="rId15" ref="AQ21"/>
    <hyperlink r:id="rId16" ref="AQ22"/>
    <hyperlink r:id="rId17" ref="AQ23"/>
    <hyperlink r:id="rId18" ref="AQ24"/>
    <hyperlink r:id="rId19" ref="AQ25"/>
    <hyperlink r:id="rId20" ref="AQ26"/>
    <hyperlink r:id="rId21" ref="AQ27"/>
    <hyperlink r:id="rId22" ref="AQ28"/>
    <hyperlink r:id="rId23" ref="AQ29"/>
    <hyperlink r:id="rId24" ref="AQ30"/>
    <hyperlink r:id="rId25" ref="AQ31"/>
    <hyperlink r:id="rId26" ref="AQ32"/>
    <hyperlink r:id="rId27" ref="AQ33"/>
    <hyperlink r:id="rId28" ref="AQ34"/>
    <hyperlink r:id="rId29" ref="AQ35"/>
    <hyperlink r:id="rId30" ref="AQ36"/>
    <hyperlink r:id="rId31" ref="AQ52"/>
    <hyperlink r:id="rId32" ref="AQ53"/>
    <hyperlink r:id="rId33" ref="AQ54"/>
    <hyperlink r:id="rId34" ref="AQ55"/>
    <hyperlink r:id="rId35" ref="AQ56"/>
    <hyperlink r:id="rId36" ref="AQ57"/>
    <hyperlink r:id="rId37" ref="AQ58"/>
    <hyperlink r:id="rId38" ref="AQ59"/>
    <hyperlink r:id="rId39" ref="AQ60"/>
    <hyperlink r:id="rId40" ref="AQ61"/>
    <hyperlink r:id="rId41" ref="AQ62"/>
    <hyperlink r:id="rId42" ref="AQ63"/>
    <hyperlink r:id="rId43" ref="AQ64"/>
    <hyperlink r:id="rId44" ref="AQ65"/>
    <hyperlink r:id="rId45" ref="AQ66"/>
    <hyperlink r:id="rId46" ref="AQ67"/>
    <hyperlink r:id="rId47" ref="AQ68"/>
    <hyperlink r:id="rId48" ref="AQ69"/>
    <hyperlink r:id="rId49" ref="AQ70"/>
    <hyperlink r:id="rId50" ref="AQ71"/>
    <hyperlink r:id="rId51" ref="AQ72"/>
    <hyperlink r:id="rId52" ref="AQ73"/>
    <hyperlink r:id="rId53" ref="AQ74"/>
    <hyperlink r:id="rId54" ref="AQ75"/>
    <hyperlink r:id="rId55" ref="AQ76"/>
    <hyperlink r:id="rId56" ref="AQ77"/>
    <hyperlink r:id="rId57" ref="AQ78"/>
    <hyperlink r:id="rId58" ref="AQ81"/>
    <hyperlink r:id="rId59" ref="AQ82"/>
    <hyperlink r:id="rId60" ref="AQ84"/>
    <hyperlink r:id="rId61" ref="AQ85"/>
    <hyperlink r:id="rId62" ref="AQ86"/>
    <hyperlink r:id="rId63" ref="AQ87"/>
    <hyperlink r:id="rId64" ref="AQ89"/>
    <hyperlink r:id="rId65" ref="AQ90"/>
    <hyperlink r:id="rId66" ref="AQ91"/>
    <hyperlink r:id="rId67" ref="AQ92"/>
    <hyperlink r:id="rId68" ref="AQ93"/>
    <hyperlink r:id="rId69" ref="AQ94"/>
    <hyperlink r:id="rId70" ref="AQ95"/>
    <hyperlink r:id="rId71" ref="AP96"/>
    <hyperlink r:id="rId72" ref="AQ96"/>
    <hyperlink r:id="rId73" ref="AQ97"/>
    <hyperlink r:id="rId74" ref="AQ98"/>
    <hyperlink r:id="rId75" ref="AQ99"/>
    <hyperlink r:id="rId76" ref="AQ100"/>
    <hyperlink r:id="rId77" ref="AQ101"/>
    <hyperlink r:id="rId78" ref="AQ102"/>
    <hyperlink r:id="rId79" ref="AQ103"/>
    <hyperlink r:id="rId80" ref="AQ105"/>
    <hyperlink r:id="rId81" ref="AQ106"/>
    <hyperlink r:id="rId82" ref="AQ107"/>
    <hyperlink r:id="rId83" location="ixzz5IKRlKWsE" ref="AQ108"/>
    <hyperlink r:id="rId84" ref="AQ109"/>
    <hyperlink r:id="rId85" ref="AQ110"/>
    <hyperlink r:id="rId86" ref="AQ111"/>
    <hyperlink r:id="rId87" ref="AQ112"/>
    <hyperlink r:id="rId88" ref="AQ114"/>
    <hyperlink r:id="rId89" ref="AQ120"/>
    <hyperlink r:id="rId90" ref="AQ125"/>
    <hyperlink r:id="rId91" ref="AP126"/>
    <hyperlink r:id="rId92" ref="AQ126"/>
    <hyperlink r:id="rId93" ref="AQ128"/>
    <hyperlink r:id="rId94" ref="AS128"/>
    <hyperlink r:id="rId95" ref="AQ129"/>
    <hyperlink r:id="rId96" ref="AS129"/>
    <hyperlink r:id="rId97" ref="AQ130"/>
    <hyperlink r:id="rId98" ref="AS130"/>
    <hyperlink r:id="rId99" ref="AQ131"/>
    <hyperlink r:id="rId100" ref="AQ132"/>
    <hyperlink r:id="rId101" ref="AQ133"/>
    <hyperlink r:id="rId102" ref="AQ134"/>
    <hyperlink r:id="rId103" ref="AS134"/>
    <hyperlink r:id="rId104" ref="AQ135"/>
    <hyperlink r:id="rId105" ref="AQ136"/>
    <hyperlink r:id="rId106" ref="AQ137"/>
    <hyperlink r:id="rId107" ref="AQ138"/>
    <hyperlink r:id="rId108" ref="AQ139"/>
    <hyperlink r:id="rId109" ref="AQ140"/>
    <hyperlink r:id="rId110" ref="AS140"/>
    <hyperlink r:id="rId111" ref="AQ142"/>
    <hyperlink r:id="rId112" ref="AQ143"/>
    <hyperlink r:id="rId113" ref="AS143"/>
    <hyperlink r:id="rId114" ref="AQ144"/>
    <hyperlink r:id="rId115" ref="AQ146"/>
    <hyperlink r:id="rId116" ref="AQ147"/>
    <hyperlink r:id="rId117" ref="AQ148"/>
    <hyperlink r:id="rId118" ref="AQ149"/>
    <hyperlink r:id="rId119" ref="AQ150"/>
    <hyperlink r:id="rId120" ref="AQ151"/>
    <hyperlink r:id="rId121" ref="AQ152"/>
    <hyperlink r:id="rId122" ref="AQ153"/>
    <hyperlink r:id="rId123" ref="AQ154"/>
    <hyperlink r:id="rId124" ref="AQ155"/>
    <hyperlink r:id="rId125" ref="AQ156"/>
    <hyperlink r:id="rId126" ref="AQ157"/>
    <hyperlink r:id="rId127" ref="AS157"/>
    <hyperlink r:id="rId128" ref="AQ158"/>
    <hyperlink r:id="rId129" ref="AQ159"/>
    <hyperlink r:id="rId130" ref="AQ160"/>
    <hyperlink r:id="rId131" ref="AQ161"/>
    <hyperlink r:id="rId132" ref="AS161"/>
    <hyperlink r:id="rId133" ref="AQ162"/>
    <hyperlink r:id="rId134" ref="AQ166"/>
    <hyperlink r:id="rId135" ref="AQ167"/>
    <hyperlink r:id="rId136" ref="AQ168"/>
    <hyperlink r:id="rId137" ref="AQ170"/>
    <hyperlink r:id="rId138" ref="AQ171"/>
    <hyperlink r:id="rId139" ref="AQ172"/>
    <hyperlink r:id="rId140" ref="AQ173"/>
    <hyperlink r:id="rId141" ref="AQ176"/>
    <hyperlink r:id="rId142" ref="AQ178"/>
    <hyperlink r:id="rId143" ref="AQ179"/>
    <hyperlink r:id="rId144" ref="AQ180"/>
    <hyperlink r:id="rId145" ref="AQ181"/>
    <hyperlink r:id="rId146" ref="AQ182"/>
    <hyperlink r:id="rId147" ref="AQ183"/>
    <hyperlink r:id="rId148" ref="AQ184"/>
    <hyperlink r:id="rId149" ref="AQ185"/>
    <hyperlink r:id="rId150" ref="AQ186"/>
    <hyperlink r:id="rId151" ref="AQ187"/>
    <hyperlink r:id="rId152" ref="AQ188"/>
    <hyperlink r:id="rId153" ref="AQ189"/>
    <hyperlink r:id="rId154" ref="AQ190"/>
    <hyperlink r:id="rId155" ref="AQ191"/>
    <hyperlink r:id="rId156" ref="AQ192"/>
    <hyperlink r:id="rId157" ref="AQ193"/>
    <hyperlink r:id="rId158" ref="AQ194"/>
    <hyperlink r:id="rId159" ref="AQ195"/>
    <hyperlink r:id="rId160" ref="AQ196"/>
    <hyperlink r:id="rId161" ref="AQ197"/>
    <hyperlink r:id="rId162" ref="AQ198"/>
    <hyperlink r:id="rId163" ref="AQ199"/>
    <hyperlink r:id="rId164" ref="AQ200"/>
    <hyperlink r:id="rId165" ref="AQ201"/>
    <hyperlink r:id="rId166" ref="AQ202"/>
    <hyperlink r:id="rId167" ref="AQ203"/>
    <hyperlink r:id="rId168" ref="AQ204"/>
    <hyperlink r:id="rId169" ref="AQ205"/>
    <hyperlink r:id="rId170" ref="AQ206"/>
    <hyperlink r:id="rId171" ref="AQ207"/>
    <hyperlink r:id="rId172" ref="AQ208"/>
    <hyperlink r:id="rId173" ref="AQ209"/>
    <hyperlink r:id="rId174" ref="AQ210"/>
    <hyperlink r:id="rId175" ref="AQ211"/>
    <hyperlink r:id="rId176" ref="AQ212"/>
    <hyperlink r:id="rId177" ref="AQ213"/>
    <hyperlink r:id="rId178" ref="AQ214"/>
    <hyperlink r:id="rId179" ref="AQ215"/>
    <hyperlink r:id="rId180" ref="AQ216"/>
    <hyperlink r:id="rId181" ref="AQ217"/>
    <hyperlink r:id="rId182" ref="AQ218"/>
    <hyperlink r:id="rId183" ref="AP219"/>
    <hyperlink r:id="rId184" ref="AQ219"/>
    <hyperlink r:id="rId185" ref="AQ220"/>
    <hyperlink r:id="rId186" ref="AQ222"/>
    <hyperlink r:id="rId187" ref="AQ223"/>
    <hyperlink r:id="rId188" ref="AQ224"/>
    <hyperlink r:id="rId189" ref="AQ225"/>
    <hyperlink r:id="rId190" ref="AQ226"/>
    <hyperlink r:id="rId191" ref="AQ227"/>
    <hyperlink r:id="rId192" ref="AQ228"/>
    <hyperlink r:id="rId193" ref="AQ229"/>
    <hyperlink r:id="rId194" ref="AQ230"/>
    <hyperlink r:id="rId195" ref="AQ232"/>
    <hyperlink r:id="rId196" ref="AQ233"/>
    <hyperlink r:id="rId197" ref="AQ234"/>
    <hyperlink r:id="rId198" ref="AQ235"/>
    <hyperlink r:id="rId199" ref="AQ236"/>
    <hyperlink r:id="rId200" ref="AQ237"/>
    <hyperlink r:id="rId201" ref="AQ238"/>
    <hyperlink r:id="rId202" ref="AQ239"/>
    <hyperlink r:id="rId203" ref="AQ240"/>
    <hyperlink r:id="rId204" ref="AQ241"/>
    <hyperlink r:id="rId205" ref="AQ242"/>
    <hyperlink r:id="rId206" ref="AQ243"/>
    <hyperlink r:id="rId207" ref="AQ244"/>
    <hyperlink r:id="rId208" ref="AS244"/>
    <hyperlink r:id="rId209" ref="AQ245"/>
    <hyperlink r:id="rId210" ref="AS245"/>
    <hyperlink r:id="rId211" ref="AQ246"/>
    <hyperlink r:id="rId212" ref="AS246"/>
    <hyperlink r:id="rId213" ref="AQ248"/>
    <hyperlink r:id="rId214" ref="AQ249"/>
    <hyperlink r:id="rId215" ref="AQ250"/>
    <hyperlink r:id="rId216" ref="AQ251"/>
    <hyperlink r:id="rId217" ref="AQ252"/>
    <hyperlink r:id="rId218" ref="AQ253"/>
    <hyperlink r:id="rId219" ref="AQ254"/>
    <hyperlink r:id="rId220" ref="AQ255"/>
    <hyperlink r:id="rId221" ref="AQ256"/>
    <hyperlink r:id="rId222" ref="AQ257"/>
    <hyperlink r:id="rId223" ref="AQ259"/>
    <hyperlink r:id="rId224" ref="AQ260"/>
    <hyperlink r:id="rId225" ref="AQ261"/>
    <hyperlink r:id="rId226" ref="AQ262"/>
    <hyperlink r:id="rId227" ref="AQ263"/>
    <hyperlink r:id="rId228" ref="AQ264"/>
    <hyperlink r:id="rId229" ref="AQ265"/>
    <hyperlink r:id="rId230" ref="AQ266"/>
    <hyperlink r:id="rId231" ref="AS266"/>
    <hyperlink r:id="rId232" ref="AQ267"/>
    <hyperlink r:id="rId233" ref="AQ268"/>
    <hyperlink r:id="rId234" ref="AQ269"/>
    <hyperlink r:id="rId235" ref="AQ270"/>
    <hyperlink r:id="rId236" ref="AQ271"/>
    <hyperlink r:id="rId237" ref="AP272"/>
    <hyperlink r:id="rId238" ref="AQ272"/>
    <hyperlink r:id="rId239" ref="AQ273"/>
    <hyperlink r:id="rId240" ref="AQ274"/>
    <hyperlink r:id="rId241" ref="AQ277"/>
    <hyperlink r:id="rId242" ref="AQ278"/>
    <hyperlink r:id="rId243" ref="AQ279"/>
    <hyperlink r:id="rId244" ref="AQ280"/>
    <hyperlink r:id="rId245" ref="AS280"/>
    <hyperlink r:id="rId246" ref="AQ281"/>
    <hyperlink r:id="rId247" ref="AQ282"/>
    <hyperlink r:id="rId248" ref="AQ283"/>
    <hyperlink r:id="rId249" ref="AQ284"/>
    <hyperlink r:id="rId250" ref="AQ285"/>
    <hyperlink r:id="rId251" ref="AQ286"/>
    <hyperlink r:id="rId252" ref="AQ287"/>
    <hyperlink r:id="rId253" ref="AQ288"/>
    <hyperlink r:id="rId254" ref="AQ289"/>
    <hyperlink r:id="rId255" ref="AQ290"/>
    <hyperlink r:id="rId256" ref="AQ291"/>
    <hyperlink r:id="rId257" ref="AQ292"/>
    <hyperlink r:id="rId258" ref="AQ293"/>
    <hyperlink r:id="rId259" ref="AS293"/>
    <hyperlink r:id="rId260" ref="AQ294"/>
    <hyperlink r:id="rId261" ref="AQ295"/>
    <hyperlink r:id="rId262" ref="AQ296"/>
    <hyperlink r:id="rId263" ref="AQ297"/>
    <hyperlink r:id="rId264" ref="AQ298"/>
    <hyperlink r:id="rId265" ref="AQ299"/>
    <hyperlink r:id="rId266" ref="AQ300"/>
    <hyperlink r:id="rId267" ref="AQ301"/>
    <hyperlink r:id="rId268" ref="AQ302"/>
    <hyperlink r:id="rId269" ref="AQ303"/>
    <hyperlink r:id="rId270" ref="AQ304"/>
    <hyperlink r:id="rId271" ref="AQ305"/>
    <hyperlink r:id="rId272" ref="AQ306"/>
    <hyperlink r:id="rId273" ref="AQ307"/>
    <hyperlink r:id="rId274" ref="AQ308"/>
    <hyperlink r:id="rId275" ref="AQ309"/>
    <hyperlink r:id="rId276" ref="AQ310"/>
    <hyperlink r:id="rId277" ref="AQ311"/>
    <hyperlink r:id="rId278" ref="AQ312"/>
    <hyperlink r:id="rId279" ref="AS312"/>
    <hyperlink r:id="rId280" ref="AQ313"/>
    <hyperlink r:id="rId281" ref="AQ314"/>
    <hyperlink r:id="rId282" ref="AQ315"/>
    <hyperlink r:id="rId283" ref="AQ316"/>
    <hyperlink r:id="rId284" ref="AQ318"/>
    <hyperlink r:id="rId285" ref="AQ320"/>
    <hyperlink r:id="rId286" ref="AQ321"/>
    <hyperlink r:id="rId287" ref="AQ322"/>
    <hyperlink r:id="rId288" ref="AQ323"/>
    <hyperlink r:id="rId289" ref="AQ324"/>
    <hyperlink r:id="rId290" ref="AQ325"/>
    <hyperlink r:id="rId291" ref="AQ327"/>
    <hyperlink r:id="rId292" ref="AQ328"/>
    <hyperlink r:id="rId293" ref="AQ329"/>
    <hyperlink r:id="rId294" ref="AQ330"/>
    <hyperlink r:id="rId295" ref="AQ331"/>
    <hyperlink r:id="rId296" ref="AQ332"/>
    <hyperlink r:id="rId297" ref="AQ333"/>
    <hyperlink r:id="rId298" ref="AQ334"/>
    <hyperlink r:id="rId299" ref="AQ335"/>
    <hyperlink r:id="rId300" ref="AQ336"/>
    <hyperlink r:id="rId301" ref="AQ337"/>
    <hyperlink r:id="rId302" ref="AQ338"/>
    <hyperlink r:id="rId303" ref="AP339"/>
    <hyperlink r:id="rId304" ref="AQ339"/>
    <hyperlink r:id="rId305" ref="AQ342"/>
    <hyperlink r:id="rId306" ref="AQ343"/>
    <hyperlink r:id="rId307" ref="AQ344"/>
    <hyperlink r:id="rId308" ref="AQ345"/>
    <hyperlink r:id="rId309" ref="AQ346"/>
    <hyperlink r:id="rId310" ref="AQ347"/>
    <hyperlink r:id="rId311" ref="AQ348"/>
    <hyperlink r:id="rId312" ref="AQ349"/>
    <hyperlink r:id="rId313" ref="AQ350"/>
    <hyperlink r:id="rId314" ref="AQ352"/>
    <hyperlink r:id="rId315" ref="AQ353"/>
    <hyperlink r:id="rId316" ref="AP354"/>
    <hyperlink r:id="rId317" ref="AQ354"/>
    <hyperlink r:id="rId318" ref="AQ355"/>
    <hyperlink r:id="rId319" ref="AQ356"/>
    <hyperlink r:id="rId320" ref="AQ357"/>
    <hyperlink r:id="rId321" ref="AQ358"/>
    <hyperlink r:id="rId322" ref="AQ359"/>
    <hyperlink r:id="rId323" ref="AQ360"/>
    <hyperlink r:id="rId324" ref="AQ361"/>
    <hyperlink r:id="rId325" ref="AQ362"/>
    <hyperlink r:id="rId326" ref="AQ363"/>
    <hyperlink r:id="rId327" ref="AQ364"/>
    <hyperlink r:id="rId328" ref="AQ365"/>
    <hyperlink r:id="rId329" ref="AQ366"/>
    <hyperlink r:id="rId330" ref="AQ367"/>
    <hyperlink r:id="rId331" ref="AQ368"/>
    <hyperlink r:id="rId332" ref="AS368"/>
    <hyperlink r:id="rId333" ref="AQ369"/>
    <hyperlink r:id="rId334" ref="AQ370"/>
    <hyperlink r:id="rId335" ref="AQ371"/>
    <hyperlink r:id="rId336" ref="AQ372"/>
    <hyperlink r:id="rId337" ref="AQ373"/>
    <hyperlink r:id="rId338" ref="AQ374"/>
    <hyperlink r:id="rId339" ref="AQ375"/>
    <hyperlink r:id="rId340" ref="AQ378"/>
    <hyperlink r:id="rId341" ref="AQ379"/>
    <hyperlink r:id="rId342" ref="AQ380"/>
    <hyperlink r:id="rId343" ref="AQ381"/>
    <hyperlink r:id="rId344" ref="AQ382"/>
    <hyperlink r:id="rId345" ref="AQ383"/>
    <hyperlink r:id="rId346" ref="AS383"/>
    <hyperlink r:id="rId347" ref="AS384"/>
    <hyperlink r:id="rId348" ref="AQ385"/>
    <hyperlink r:id="rId349" ref="AQ386"/>
    <hyperlink r:id="rId350" ref="AQ387"/>
    <hyperlink r:id="rId351" ref="AQ388"/>
    <hyperlink r:id="rId352" ref="AQ389"/>
    <hyperlink r:id="rId353" ref="AQ390"/>
    <hyperlink r:id="rId354" ref="AQ391"/>
    <hyperlink r:id="rId355" ref="AQ392"/>
    <hyperlink r:id="rId356" ref="AQ393"/>
    <hyperlink r:id="rId357" ref="AQ394"/>
    <hyperlink r:id="rId358" ref="AQ395"/>
    <hyperlink r:id="rId359" ref="AQ396"/>
    <hyperlink r:id="rId360" ref="AQ397"/>
    <hyperlink r:id="rId361" ref="AQ398"/>
    <hyperlink r:id="rId362" ref="AQ399"/>
    <hyperlink r:id="rId363" ref="AQ406"/>
    <hyperlink r:id="rId364" ref="AQ409"/>
    <hyperlink r:id="rId365" ref="AQ410"/>
    <hyperlink r:id="rId366" ref="AQ411"/>
    <hyperlink r:id="rId367" ref="AQ412"/>
    <hyperlink r:id="rId368" ref="AQ413"/>
    <hyperlink r:id="rId369" ref="AQ414"/>
    <hyperlink r:id="rId370" ref="AQ415"/>
    <hyperlink r:id="rId371" ref="AQ417"/>
    <hyperlink r:id="rId372" ref="AQ418"/>
    <hyperlink r:id="rId373" ref="AQ419"/>
    <hyperlink r:id="rId374" ref="AQ420"/>
    <hyperlink r:id="rId375" ref="AQ421"/>
    <hyperlink r:id="rId376" ref="AQ422"/>
    <hyperlink r:id="rId377" ref="AQ423"/>
    <hyperlink r:id="rId378" ref="AQ424"/>
    <hyperlink r:id="rId379" ref="AQ425"/>
    <hyperlink r:id="rId380" ref="AQ426"/>
    <hyperlink r:id="rId381" ref="AQ428"/>
    <hyperlink r:id="rId382" ref="AQ429"/>
    <hyperlink r:id="rId383" ref="AQ432"/>
    <hyperlink r:id="rId384" ref="AQ433"/>
    <hyperlink r:id="rId385" ref="AQ434"/>
    <hyperlink r:id="rId386" ref="AP435"/>
    <hyperlink r:id="rId387" ref="AQ435"/>
    <hyperlink r:id="rId388" ref="AP436"/>
    <hyperlink r:id="rId389" ref="AQ436"/>
    <hyperlink r:id="rId390" ref="AQ437"/>
    <hyperlink r:id="rId391" ref="AQ438"/>
    <hyperlink r:id="rId392" ref="AQ439"/>
    <hyperlink r:id="rId393" ref="AQ440"/>
    <hyperlink r:id="rId394" ref="AQ441"/>
    <hyperlink r:id="rId395" ref="AQ442"/>
    <hyperlink r:id="rId396" ref="AQ443"/>
    <hyperlink r:id="rId397" ref="AQ444"/>
    <hyperlink r:id="rId398" ref="AQ445"/>
    <hyperlink r:id="rId399" ref="AQ446"/>
    <hyperlink r:id="rId400" ref="AQ447"/>
    <hyperlink r:id="rId401" ref="AQ448"/>
    <hyperlink r:id="rId402" ref="AQ449"/>
    <hyperlink r:id="rId403" ref="AQ450"/>
    <hyperlink r:id="rId404" ref="AQ451"/>
    <hyperlink r:id="rId405" ref="AQ452"/>
    <hyperlink r:id="rId406" ref="AQ453"/>
    <hyperlink r:id="rId407" ref="AP454"/>
    <hyperlink r:id="rId408" ref="AQ454"/>
    <hyperlink r:id="rId409" ref="AQ455"/>
    <hyperlink r:id="rId410" ref="AQ457"/>
    <hyperlink r:id="rId411" ref="AQ458"/>
    <hyperlink r:id="rId412" ref="AQ459"/>
    <hyperlink r:id="rId413" ref="AQ460"/>
    <hyperlink r:id="rId414" ref="AQ461"/>
    <hyperlink r:id="rId415" ref="AQ462"/>
    <hyperlink r:id="rId416" ref="AQ463"/>
    <hyperlink r:id="rId417" ref="AQ464"/>
    <hyperlink r:id="rId418" location=":~:text=This%20is%20sought%20as%20one%20of%20the,but%20throughout%20Sarangani%20Bay.%20The%20preparation%20of." ref="AQ465"/>
    <hyperlink r:id="rId419" ref="AQ466"/>
    <hyperlink r:id="rId420" ref="AQ467"/>
    <hyperlink r:id="rId421" ref="AQ468"/>
    <hyperlink r:id="rId422" ref="AQ469"/>
    <hyperlink r:id="rId423" ref="AQ470"/>
    <hyperlink r:id="rId424" ref="AQ471"/>
  </hyperlinks>
  <drawing r:id="rId42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1.22" defaultRowHeight="15.0"/>
  <cols>
    <col customWidth="1" min="1" max="1" width="13.22"/>
    <col customWidth="1" min="2" max="2" width="20.56"/>
    <col customWidth="1" min="3" max="3" width="2.11"/>
    <col customWidth="1" min="4" max="4" width="11.22"/>
    <col customWidth="1" min="5" max="5" width="28.11"/>
    <col customWidth="1" min="6" max="6" width="1.89"/>
    <col customWidth="1" min="7" max="7" width="29.78"/>
    <col customWidth="1" min="8" max="8" width="1.89"/>
    <col customWidth="1" min="9" max="9" width="8.33"/>
    <col customWidth="1" min="10" max="10" width="17.11"/>
    <col customWidth="1" min="11" max="11" width="1.89"/>
    <col customWidth="1" min="12" max="12" width="19.22"/>
    <col customWidth="1" min="13" max="13" width="19.78"/>
    <col customWidth="1" min="14" max="14" width="2.11"/>
    <col customWidth="1" min="15" max="15" width="18.22"/>
    <col customWidth="1" min="16" max="16" width="20.89"/>
    <col customWidth="1" min="17" max="17" width="2.0"/>
    <col customWidth="1" min="18" max="18" width="18.67"/>
    <col customWidth="1" min="19" max="19" width="24.0"/>
    <col customWidth="1" min="20" max="20" width="1.78"/>
    <col customWidth="1" min="21" max="21" width="15.78"/>
    <col customWidth="1" min="22" max="22" width="16.0"/>
    <col customWidth="1" min="23" max="23" width="2.11"/>
    <col customWidth="1" min="24" max="25" width="17.89"/>
    <col customWidth="1" min="26" max="26" width="2.11"/>
    <col customWidth="1" min="27" max="28" width="17.89"/>
    <col customWidth="1" min="29" max="29" width="1.89"/>
    <col customWidth="1" min="30" max="30" width="38.0"/>
    <col customWidth="1" min="31" max="31" width="6.33"/>
    <col customWidth="1" min="32" max="32" width="47.0"/>
    <col customWidth="1" min="33" max="33" width="1.89"/>
    <col customWidth="1" min="35" max="35" width="20.0"/>
    <col customWidth="1" min="36" max="36" width="1.78"/>
    <col customWidth="1" min="38" max="38" width="42.0"/>
    <col customWidth="1" min="39" max="39" width="2.0"/>
    <col customWidth="1" min="40" max="40" width="12.22"/>
    <col customWidth="1" min="41" max="41" width="27.89"/>
    <col customWidth="1" min="42" max="42" width="2.11"/>
    <col customWidth="1" min="43" max="43" width="21.33"/>
    <col customWidth="1" min="44" max="44" width="24.56"/>
    <col customWidth="1" min="45" max="45" width="2.0"/>
    <col customWidth="1" min="46" max="46" width="21.33"/>
    <col customWidth="1" min="47" max="47" width="24.56"/>
    <col customWidth="1" min="48" max="48" width="2.0"/>
    <col customWidth="1" min="49" max="50" width="24.56"/>
    <col customWidth="1" min="51" max="51" width="2.0"/>
    <col customWidth="1" min="52" max="52" width="18.11"/>
    <col customWidth="1" min="53" max="53" width="30.11"/>
    <col customWidth="1" min="54" max="54" width="2.0"/>
    <col customWidth="1" min="55" max="55" width="18.11"/>
    <col customWidth="1" min="56" max="56" width="38.78"/>
    <col customWidth="1" min="57" max="57" width="2.0"/>
  </cols>
  <sheetData>
    <row r="1">
      <c r="A1" s="121" t="s">
        <v>44</v>
      </c>
      <c r="B1" s="121" t="s">
        <v>3231</v>
      </c>
      <c r="C1" s="122"/>
      <c r="D1" s="121" t="s">
        <v>135</v>
      </c>
      <c r="E1" s="121" t="s">
        <v>3231</v>
      </c>
      <c r="F1" s="123"/>
      <c r="G1" s="121" t="s">
        <v>3232</v>
      </c>
      <c r="H1" s="123"/>
      <c r="I1" s="121" t="s">
        <v>3233</v>
      </c>
      <c r="J1" s="121" t="s">
        <v>3231</v>
      </c>
      <c r="K1" s="123"/>
      <c r="L1" s="121" t="s">
        <v>69</v>
      </c>
      <c r="M1" s="121" t="s">
        <v>3234</v>
      </c>
      <c r="N1" s="122"/>
      <c r="O1" s="121" t="s">
        <v>71</v>
      </c>
      <c r="P1" s="121" t="s">
        <v>3231</v>
      </c>
      <c r="Q1" s="122"/>
      <c r="R1" s="121" t="s">
        <v>73</v>
      </c>
      <c r="S1" s="121" t="s">
        <v>3234</v>
      </c>
      <c r="T1" s="122"/>
      <c r="U1" s="121" t="s">
        <v>3235</v>
      </c>
      <c r="V1" s="121" t="s">
        <v>3231</v>
      </c>
      <c r="W1" s="122"/>
      <c r="X1" s="124" t="s">
        <v>77</v>
      </c>
      <c r="Y1" s="124" t="s">
        <v>3231</v>
      </c>
      <c r="Z1" s="122"/>
      <c r="AA1" s="124" t="s">
        <v>79</v>
      </c>
      <c r="AB1" s="124" t="s">
        <v>3231</v>
      </c>
      <c r="AC1" s="123"/>
      <c r="AD1" s="124" t="s">
        <v>3236</v>
      </c>
      <c r="AE1" s="124" t="s">
        <v>3237</v>
      </c>
      <c r="AF1" s="121" t="s">
        <v>3231</v>
      </c>
      <c r="AG1" s="122"/>
      <c r="AH1" s="121" t="s">
        <v>95</v>
      </c>
      <c r="AI1" s="121" t="s">
        <v>3231</v>
      </c>
      <c r="AJ1" s="122"/>
      <c r="AK1" s="121" t="s">
        <v>93</v>
      </c>
      <c r="AL1" s="121" t="s">
        <v>3231</v>
      </c>
      <c r="AM1" s="122"/>
      <c r="AN1" s="121" t="s">
        <v>97</v>
      </c>
      <c r="AO1" s="121" t="s">
        <v>3231</v>
      </c>
      <c r="AP1" s="122"/>
      <c r="AQ1" s="121" t="s">
        <v>110</v>
      </c>
      <c r="AR1" s="121" t="s">
        <v>3231</v>
      </c>
      <c r="AS1" s="122"/>
      <c r="AT1" s="121" t="s">
        <v>3238</v>
      </c>
      <c r="AU1" s="121" t="s">
        <v>3231</v>
      </c>
      <c r="AV1" s="122"/>
      <c r="AW1" s="121" t="s">
        <v>3239</v>
      </c>
      <c r="AX1" s="121" t="s">
        <v>3231</v>
      </c>
      <c r="AY1" s="122"/>
      <c r="AZ1" s="121" t="s">
        <v>121</v>
      </c>
      <c r="BA1" s="121" t="s">
        <v>3231</v>
      </c>
      <c r="BB1" s="122"/>
      <c r="BC1" s="121" t="s">
        <v>3240</v>
      </c>
      <c r="BD1" s="125" t="s">
        <v>3231</v>
      </c>
      <c r="BE1" s="122"/>
      <c r="BF1" s="126"/>
      <c r="BG1" s="126"/>
      <c r="BH1" s="126"/>
      <c r="BI1" s="126"/>
      <c r="BJ1" s="126"/>
      <c r="BK1" s="126"/>
      <c r="BL1" s="126"/>
      <c r="BM1" s="126"/>
      <c r="BN1" s="126"/>
      <c r="BO1" s="126"/>
      <c r="BP1" s="126"/>
      <c r="BQ1" s="126"/>
      <c r="BR1" s="126"/>
      <c r="BS1" s="126"/>
      <c r="BT1" s="126"/>
      <c r="BU1" s="126"/>
      <c r="BV1" s="126"/>
      <c r="BW1" s="126"/>
      <c r="BX1" s="126"/>
    </row>
    <row r="2">
      <c r="A2" s="126" t="s">
        <v>140</v>
      </c>
      <c r="B2" s="87" t="s">
        <v>3241</v>
      </c>
      <c r="C2" s="127"/>
      <c r="D2" s="87" t="s">
        <v>141</v>
      </c>
      <c r="E2" s="87" t="s">
        <v>3242</v>
      </c>
      <c r="F2" s="128"/>
      <c r="G2" s="129" t="s">
        <v>147</v>
      </c>
      <c r="H2" s="128"/>
      <c r="I2" s="3" t="s">
        <v>149</v>
      </c>
      <c r="J2" s="130" t="s">
        <v>3243</v>
      </c>
      <c r="K2" s="128"/>
      <c r="L2" s="126" t="s">
        <v>177</v>
      </c>
      <c r="M2" s="87" t="s">
        <v>3244</v>
      </c>
      <c r="N2" s="127"/>
      <c r="O2" s="126" t="s">
        <v>3245</v>
      </c>
      <c r="P2" s="87" t="s">
        <v>3246</v>
      </c>
      <c r="Q2" s="127"/>
      <c r="R2" s="87" t="s">
        <v>152</v>
      </c>
      <c r="S2" s="130" t="s">
        <v>3247</v>
      </c>
      <c r="T2" s="127"/>
      <c r="U2" s="87" t="s">
        <v>154</v>
      </c>
      <c r="V2" s="87" t="s">
        <v>3248</v>
      </c>
      <c r="W2" s="127"/>
      <c r="X2" s="87" t="s">
        <v>154</v>
      </c>
      <c r="Y2" s="87" t="s">
        <v>3249</v>
      </c>
      <c r="Z2" s="127"/>
      <c r="AA2" s="87" t="s">
        <v>154</v>
      </c>
      <c r="AB2" s="87" t="s">
        <v>3250</v>
      </c>
      <c r="AC2" s="128"/>
      <c r="AD2" s="131" t="s">
        <v>913</v>
      </c>
      <c r="AE2" s="87" t="s">
        <v>914</v>
      </c>
      <c r="AF2" s="87" t="s">
        <v>3251</v>
      </c>
      <c r="AG2" s="132"/>
      <c r="AH2" s="87" t="s">
        <v>160</v>
      </c>
      <c r="AI2" s="87" t="s">
        <v>3252</v>
      </c>
      <c r="AJ2" s="127"/>
      <c r="AK2" s="87" t="s">
        <v>2625</v>
      </c>
      <c r="AL2" s="87" t="s">
        <v>3253</v>
      </c>
      <c r="AM2" s="127"/>
      <c r="AN2" s="87" t="s">
        <v>209</v>
      </c>
      <c r="AO2" s="87" t="s">
        <v>3254</v>
      </c>
      <c r="AP2" s="127"/>
      <c r="AQ2" s="87" t="s">
        <v>209</v>
      </c>
      <c r="AR2" s="87" t="s">
        <v>3255</v>
      </c>
      <c r="AS2" s="127"/>
      <c r="AT2" s="126" t="s">
        <v>149</v>
      </c>
      <c r="AU2" s="87" t="s">
        <v>3256</v>
      </c>
      <c r="AV2" s="127"/>
      <c r="AW2" s="87" t="s">
        <v>149</v>
      </c>
      <c r="AX2" s="87"/>
      <c r="AY2" s="127"/>
      <c r="AZ2" s="87" t="s">
        <v>241</v>
      </c>
      <c r="BA2" s="87" t="s">
        <v>3257</v>
      </c>
      <c r="BB2" s="127"/>
      <c r="BC2" s="133" t="s">
        <v>889</v>
      </c>
      <c r="BD2" s="134"/>
      <c r="BE2" s="127"/>
      <c r="BF2" s="126"/>
      <c r="BG2" s="126"/>
      <c r="BH2" s="126"/>
      <c r="BI2" s="126"/>
      <c r="BJ2" s="126"/>
      <c r="BK2" s="126"/>
      <c r="BL2" s="126"/>
      <c r="BM2" s="126"/>
      <c r="BN2" s="126"/>
      <c r="BO2" s="126"/>
      <c r="BP2" s="126"/>
      <c r="BQ2" s="126"/>
      <c r="BR2" s="126"/>
      <c r="BS2" s="126"/>
      <c r="BT2" s="126"/>
      <c r="BU2" s="126"/>
      <c r="BV2" s="126"/>
      <c r="BW2" s="126"/>
      <c r="BX2" s="126"/>
    </row>
    <row r="3">
      <c r="A3" s="126" t="s">
        <v>648</v>
      </c>
      <c r="B3" s="87" t="s">
        <v>3258</v>
      </c>
      <c r="C3" s="127"/>
      <c r="D3" s="126" t="s">
        <v>707</v>
      </c>
      <c r="E3" s="87" t="s">
        <v>3259</v>
      </c>
      <c r="F3" s="128"/>
      <c r="G3" s="131" t="s">
        <v>175</v>
      </c>
      <c r="H3" s="128"/>
      <c r="I3" s="87">
        <v>1970.0</v>
      </c>
      <c r="J3" s="87"/>
      <c r="K3" s="128"/>
      <c r="L3" s="126" t="s">
        <v>199</v>
      </c>
      <c r="M3" s="87" t="s">
        <v>3260</v>
      </c>
      <c r="N3" s="127"/>
      <c r="O3" s="87" t="s">
        <v>1359</v>
      </c>
      <c r="P3" s="87" t="s">
        <v>3261</v>
      </c>
      <c r="Q3" s="132"/>
      <c r="R3" s="87" t="s">
        <v>386</v>
      </c>
      <c r="S3" s="130" t="s">
        <v>3262</v>
      </c>
      <c r="T3" s="127"/>
      <c r="U3" s="87" t="s">
        <v>605</v>
      </c>
      <c r="V3" s="87" t="s">
        <v>3263</v>
      </c>
      <c r="W3" s="127"/>
      <c r="X3" s="133" t="s">
        <v>3264</v>
      </c>
      <c r="Y3" s="87" t="s">
        <v>3265</v>
      </c>
      <c r="Z3" s="127"/>
      <c r="AA3" s="130" t="s">
        <v>1081</v>
      </c>
      <c r="AB3" s="130" t="s">
        <v>3266</v>
      </c>
      <c r="AC3" s="128"/>
      <c r="AD3" s="131" t="s">
        <v>3267</v>
      </c>
      <c r="AE3" s="87" t="s">
        <v>181</v>
      </c>
      <c r="AF3" s="87" t="s">
        <v>3268</v>
      </c>
      <c r="AG3" s="132"/>
      <c r="AH3" s="87" t="s">
        <v>205</v>
      </c>
      <c r="AI3" s="87" t="s">
        <v>3269</v>
      </c>
      <c r="AJ3" s="127"/>
      <c r="AK3" s="87" t="s">
        <v>159</v>
      </c>
      <c r="AL3" s="87" t="s">
        <v>3270</v>
      </c>
      <c r="AM3" s="127"/>
      <c r="AN3" s="87" t="s">
        <v>271</v>
      </c>
      <c r="AO3" s="87" t="s">
        <v>3271</v>
      </c>
      <c r="AP3" s="127"/>
      <c r="AQ3" s="126" t="s">
        <v>271</v>
      </c>
      <c r="AR3" s="87" t="s">
        <v>3272</v>
      </c>
      <c r="AS3" s="127"/>
      <c r="AT3" s="87" t="s">
        <v>3273</v>
      </c>
      <c r="AU3" s="87" t="s">
        <v>3274</v>
      </c>
      <c r="AV3" s="127"/>
      <c r="AW3" s="87" t="s">
        <v>341</v>
      </c>
      <c r="AX3" s="87" t="s">
        <v>3275</v>
      </c>
      <c r="AY3" s="127"/>
      <c r="AZ3" s="87" t="s">
        <v>165</v>
      </c>
      <c r="BA3" s="87" t="s">
        <v>3276</v>
      </c>
      <c r="BB3" s="127"/>
      <c r="BC3" s="135" t="s">
        <v>3277</v>
      </c>
      <c r="BD3" s="134"/>
      <c r="BE3" s="127"/>
      <c r="BF3" s="126"/>
      <c r="BG3" s="126"/>
      <c r="BH3" s="126"/>
      <c r="BI3" s="126"/>
      <c r="BJ3" s="126"/>
      <c r="BK3" s="126"/>
      <c r="BL3" s="126"/>
      <c r="BM3" s="126"/>
      <c r="BN3" s="126"/>
      <c r="BO3" s="126"/>
      <c r="BP3" s="126"/>
      <c r="BQ3" s="126"/>
      <c r="BR3" s="126"/>
      <c r="BS3" s="126"/>
      <c r="BT3" s="126"/>
      <c r="BU3" s="126"/>
      <c r="BV3" s="126"/>
      <c r="BW3" s="126"/>
      <c r="BX3" s="126"/>
    </row>
    <row r="4">
      <c r="A4" s="126" t="s">
        <v>191</v>
      </c>
      <c r="B4" s="87" t="s">
        <v>3278</v>
      </c>
      <c r="C4" s="132"/>
      <c r="D4" s="126" t="s">
        <v>3279</v>
      </c>
      <c r="E4" s="87" t="s">
        <v>3280</v>
      </c>
      <c r="F4" s="128"/>
      <c r="G4" s="131" t="s">
        <v>197</v>
      </c>
      <c r="H4" s="128"/>
      <c r="I4" s="87">
        <v>1971.0</v>
      </c>
      <c r="J4" s="87"/>
      <c r="K4" s="128"/>
      <c r="L4" s="126" t="s">
        <v>150</v>
      </c>
      <c r="M4" s="87" t="s">
        <v>3281</v>
      </c>
      <c r="N4" s="127"/>
      <c r="O4" s="126" t="s">
        <v>3282</v>
      </c>
      <c r="P4" s="87" t="s">
        <v>3283</v>
      </c>
      <c r="Q4" s="127"/>
      <c r="R4" s="87" t="s">
        <v>604</v>
      </c>
      <c r="S4" s="130" t="s">
        <v>3284</v>
      </c>
      <c r="T4" s="127"/>
      <c r="U4" s="87" t="s">
        <v>3011</v>
      </c>
      <c r="V4" s="87"/>
      <c r="W4" s="127"/>
      <c r="X4" s="133" t="s">
        <v>300</v>
      </c>
      <c r="Y4" s="87" t="s">
        <v>3285</v>
      </c>
      <c r="Z4" s="127"/>
      <c r="AA4" s="87" t="s">
        <v>1099</v>
      </c>
      <c r="AB4" s="130" t="s">
        <v>3286</v>
      </c>
      <c r="AC4" s="128"/>
      <c r="AD4" s="131" t="s">
        <v>2651</v>
      </c>
      <c r="AE4" s="87" t="s">
        <v>2652</v>
      </c>
      <c r="AF4" s="87" t="s">
        <v>3287</v>
      </c>
      <c r="AG4" s="132"/>
      <c r="AH4" s="87" t="s">
        <v>149</v>
      </c>
      <c r="AI4" s="87" t="s">
        <v>3288</v>
      </c>
      <c r="AJ4" s="127"/>
      <c r="AK4" s="87" t="s">
        <v>204</v>
      </c>
      <c r="AL4" s="87" t="s">
        <v>3289</v>
      </c>
      <c r="AM4" s="127"/>
      <c r="AN4" s="87" t="s">
        <v>184</v>
      </c>
      <c r="AO4" s="87" t="s">
        <v>3290</v>
      </c>
      <c r="AP4" s="127"/>
      <c r="AQ4" s="126" t="s">
        <v>184</v>
      </c>
      <c r="AR4" s="87" t="s">
        <v>3291</v>
      </c>
      <c r="AS4" s="127"/>
      <c r="AT4" s="87" t="s">
        <v>3292</v>
      </c>
      <c r="AU4" s="87" t="s">
        <v>3293</v>
      </c>
      <c r="AV4" s="127"/>
      <c r="AW4" s="87" t="s">
        <v>323</v>
      </c>
      <c r="AX4" s="87" t="s">
        <v>3294</v>
      </c>
      <c r="AY4" s="127"/>
      <c r="AZ4" s="87" t="s">
        <v>213</v>
      </c>
      <c r="BA4" s="87" t="s">
        <v>3295</v>
      </c>
      <c r="BB4" s="127"/>
      <c r="BC4" s="136" t="s">
        <v>395</v>
      </c>
      <c r="BD4" s="130" t="s">
        <v>3296</v>
      </c>
      <c r="BE4" s="127"/>
      <c r="BF4" s="126"/>
      <c r="BG4" s="126"/>
      <c r="BH4" s="126"/>
      <c r="BI4" s="126"/>
      <c r="BJ4" s="126"/>
      <c r="BK4" s="126"/>
      <c r="BL4" s="126"/>
      <c r="BM4" s="126"/>
      <c r="BN4" s="126"/>
      <c r="BO4" s="126"/>
      <c r="BP4" s="126"/>
      <c r="BQ4" s="126"/>
      <c r="BR4" s="126"/>
      <c r="BS4" s="126"/>
      <c r="BT4" s="126"/>
      <c r="BU4" s="126"/>
      <c r="BV4" s="126"/>
      <c r="BW4" s="126"/>
      <c r="BX4" s="126"/>
    </row>
    <row r="5">
      <c r="A5" s="126"/>
      <c r="B5" s="126"/>
      <c r="C5" s="127"/>
      <c r="D5" s="126" t="s">
        <v>191</v>
      </c>
      <c r="E5" s="87" t="s">
        <v>3297</v>
      </c>
      <c r="F5" s="128"/>
      <c r="G5" s="131" t="s">
        <v>261</v>
      </c>
      <c r="H5" s="128"/>
      <c r="I5" s="87">
        <v>1972.0</v>
      </c>
      <c r="J5" s="87"/>
      <c r="K5" s="128"/>
      <c r="L5" s="126" t="s">
        <v>149</v>
      </c>
      <c r="M5" s="87" t="s">
        <v>3298</v>
      </c>
      <c r="N5" s="127"/>
      <c r="O5" s="126" t="s">
        <v>3299</v>
      </c>
      <c r="P5" s="87" t="s">
        <v>3300</v>
      </c>
      <c r="Q5" s="127"/>
      <c r="R5" s="133" t="s">
        <v>1555</v>
      </c>
      <c r="S5" s="130" t="s">
        <v>3301</v>
      </c>
      <c r="T5" s="127"/>
      <c r="U5" s="87" t="s">
        <v>386</v>
      </c>
      <c r="V5" s="87"/>
      <c r="W5" s="127"/>
      <c r="X5" s="133" t="s">
        <v>149</v>
      </c>
      <c r="Y5" s="87" t="s">
        <v>3302</v>
      </c>
      <c r="Z5" s="127"/>
      <c r="AA5" s="134"/>
      <c r="AB5" s="134"/>
      <c r="AC5" s="128"/>
      <c r="AD5" s="131" t="s">
        <v>791</v>
      </c>
      <c r="AE5" s="87" t="s">
        <v>792</v>
      </c>
      <c r="AF5" s="87" t="s">
        <v>3303</v>
      </c>
      <c r="AG5" s="127"/>
      <c r="AH5" s="126"/>
      <c r="AI5" s="126"/>
      <c r="AJ5" s="127"/>
      <c r="AK5" s="87" t="s">
        <v>149</v>
      </c>
      <c r="AL5" s="87" t="s">
        <v>3304</v>
      </c>
      <c r="AM5" s="127"/>
      <c r="AN5" s="137" t="s">
        <v>322</v>
      </c>
      <c r="AO5" s="87" t="s">
        <v>3305</v>
      </c>
      <c r="AP5" s="127"/>
      <c r="AQ5" s="137" t="s">
        <v>322</v>
      </c>
      <c r="AR5" s="87" t="s">
        <v>3306</v>
      </c>
      <c r="AS5" s="127"/>
      <c r="AT5" s="133" t="s">
        <v>3307</v>
      </c>
      <c r="AU5" s="130" t="s">
        <v>3308</v>
      </c>
      <c r="AV5" s="127"/>
      <c r="AW5" s="130" t="s">
        <v>1312</v>
      </c>
      <c r="AX5" s="130" t="s">
        <v>3309</v>
      </c>
      <c r="AY5" s="127"/>
      <c r="BB5" s="127"/>
      <c r="BC5" s="3" t="s">
        <v>242</v>
      </c>
      <c r="BD5" s="130" t="s">
        <v>3310</v>
      </c>
      <c r="BE5" s="127"/>
      <c r="BF5" s="126"/>
      <c r="BG5" s="126"/>
      <c r="BH5" s="126"/>
      <c r="BI5" s="126"/>
      <c r="BJ5" s="126"/>
      <c r="BK5" s="126"/>
      <c r="BL5" s="126"/>
      <c r="BM5" s="126"/>
      <c r="BN5" s="126"/>
      <c r="BO5" s="126"/>
      <c r="BP5" s="126"/>
      <c r="BQ5" s="126"/>
      <c r="BR5" s="126"/>
      <c r="BS5" s="126"/>
      <c r="BT5" s="126"/>
      <c r="BU5" s="126"/>
      <c r="BV5" s="126"/>
      <c r="BW5" s="126"/>
      <c r="BX5" s="126"/>
    </row>
    <row r="6">
      <c r="A6" s="126"/>
      <c r="B6" s="126"/>
      <c r="C6" s="127"/>
      <c r="D6" s="126"/>
      <c r="E6" s="131"/>
      <c r="F6" s="128"/>
      <c r="G6" s="131" t="s">
        <v>279</v>
      </c>
      <c r="H6" s="128"/>
      <c r="I6" s="87">
        <v>1973.0</v>
      </c>
      <c r="J6" s="87"/>
      <c r="K6" s="128"/>
      <c r="L6" s="126"/>
      <c r="M6" s="126"/>
      <c r="N6" s="127"/>
      <c r="O6" s="87" t="s">
        <v>3311</v>
      </c>
      <c r="P6" s="87" t="s">
        <v>3312</v>
      </c>
      <c r="Q6" s="127"/>
      <c r="R6" s="87" t="s">
        <v>336</v>
      </c>
      <c r="S6" s="130" t="s">
        <v>3313</v>
      </c>
      <c r="T6" s="127"/>
      <c r="U6" s="87" t="s">
        <v>351</v>
      </c>
      <c r="V6" s="87" t="s">
        <v>3314</v>
      </c>
      <c r="W6" s="127"/>
      <c r="X6" s="133"/>
      <c r="Y6" s="87"/>
      <c r="Z6" s="127"/>
      <c r="AA6" s="87" t="s">
        <v>149</v>
      </c>
      <c r="AB6" s="87" t="s">
        <v>3315</v>
      </c>
      <c r="AC6" s="128"/>
      <c r="AD6" s="131" t="s">
        <v>3316</v>
      </c>
      <c r="AE6" s="87" t="s">
        <v>683</v>
      </c>
      <c r="AF6" s="87" t="s">
        <v>3317</v>
      </c>
      <c r="AG6" s="127"/>
      <c r="AH6" s="126"/>
      <c r="AI6" s="126"/>
      <c r="AJ6" s="127"/>
      <c r="AK6" s="126"/>
      <c r="AL6" s="126"/>
      <c r="AM6" s="127"/>
      <c r="AN6" s="137" t="s">
        <v>161</v>
      </c>
      <c r="AO6" s="87" t="s">
        <v>3318</v>
      </c>
      <c r="AP6" s="127"/>
      <c r="AQ6" s="137" t="s">
        <v>161</v>
      </c>
      <c r="AR6" s="87" t="s">
        <v>3319</v>
      </c>
      <c r="AS6" s="127"/>
      <c r="AT6" s="133" t="s">
        <v>3320</v>
      </c>
      <c r="AU6" s="130" t="s">
        <v>3321</v>
      </c>
      <c r="AV6" s="127"/>
      <c r="AW6" s="3" t="s">
        <v>390</v>
      </c>
      <c r="AX6" s="130" t="s">
        <v>3322</v>
      </c>
      <c r="AY6" s="127"/>
      <c r="AZ6" s="126"/>
      <c r="BA6" s="126"/>
      <c r="BB6" s="127"/>
      <c r="BC6" s="126" t="s">
        <v>214</v>
      </c>
      <c r="BD6" s="138" t="s">
        <v>3323</v>
      </c>
      <c r="BE6" s="127"/>
      <c r="BF6" s="126"/>
      <c r="BG6" s="126"/>
      <c r="BH6" s="126"/>
      <c r="BI6" s="126"/>
      <c r="BJ6" s="126"/>
      <c r="BK6" s="126"/>
      <c r="BL6" s="126"/>
      <c r="BM6" s="126"/>
      <c r="BN6" s="126"/>
      <c r="BO6" s="126"/>
      <c r="BP6" s="126"/>
      <c r="BQ6" s="126"/>
      <c r="BR6" s="126"/>
      <c r="BS6" s="126"/>
      <c r="BT6" s="126"/>
      <c r="BU6" s="126"/>
      <c r="BV6" s="126"/>
      <c r="BW6" s="126"/>
      <c r="BX6" s="126"/>
    </row>
    <row r="7">
      <c r="A7" s="126"/>
      <c r="B7" s="126"/>
      <c r="C7" s="127"/>
      <c r="D7" s="126"/>
      <c r="E7" s="131"/>
      <c r="F7" s="128"/>
      <c r="G7" s="131" t="s">
        <v>297</v>
      </c>
      <c r="H7" s="128"/>
      <c r="I7" s="87">
        <v>1974.0</v>
      </c>
      <c r="J7" s="87"/>
      <c r="K7" s="128"/>
      <c r="L7" s="139"/>
      <c r="M7" s="126"/>
      <c r="N7" s="127"/>
      <c r="O7" s="126" t="s">
        <v>3324</v>
      </c>
      <c r="P7" s="87" t="s">
        <v>3325</v>
      </c>
      <c r="Q7" s="127"/>
      <c r="R7" s="87" t="s">
        <v>1733</v>
      </c>
      <c r="S7" s="130" t="s">
        <v>3326</v>
      </c>
      <c r="T7" s="127"/>
      <c r="U7" s="87" t="s">
        <v>2467</v>
      </c>
      <c r="V7" s="87" t="s">
        <v>3327</v>
      </c>
      <c r="W7" s="127"/>
      <c r="X7" s="133"/>
      <c r="Y7" s="131"/>
      <c r="Z7" s="127"/>
      <c r="AA7" s="87" t="s">
        <v>1155</v>
      </c>
      <c r="AB7" s="131"/>
      <c r="AC7" s="128"/>
      <c r="AD7" s="131" t="s">
        <v>284</v>
      </c>
      <c r="AE7" s="87" t="s">
        <v>285</v>
      </c>
      <c r="AF7" s="87" t="s">
        <v>3328</v>
      </c>
      <c r="AG7" s="127"/>
      <c r="AH7" s="126"/>
      <c r="AI7" s="126"/>
      <c r="AJ7" s="127"/>
      <c r="AK7" s="126"/>
      <c r="AL7" s="126"/>
      <c r="AM7" s="127"/>
      <c r="AN7" s="137" t="s">
        <v>1313</v>
      </c>
      <c r="AO7" s="87" t="s">
        <v>3329</v>
      </c>
      <c r="AP7" s="127"/>
      <c r="AQ7" s="137" t="s">
        <v>1313</v>
      </c>
      <c r="AR7" s="87" t="s">
        <v>3330</v>
      </c>
      <c r="AS7" s="127"/>
      <c r="AT7" s="133" t="s">
        <v>209</v>
      </c>
      <c r="AU7" s="3" t="s">
        <v>3331</v>
      </c>
      <c r="AV7" s="127"/>
      <c r="AW7" s="130" t="s">
        <v>686</v>
      </c>
      <c r="AX7" s="3" t="s">
        <v>3332</v>
      </c>
      <c r="AY7" s="127"/>
      <c r="AZ7" s="126"/>
      <c r="BA7" s="126"/>
      <c r="BB7" s="127"/>
      <c r="BC7" s="3" t="s">
        <v>310</v>
      </c>
      <c r="BD7" s="130" t="s">
        <v>3333</v>
      </c>
      <c r="BE7" s="127"/>
      <c r="BF7" s="126"/>
      <c r="BG7" s="126"/>
      <c r="BH7" s="126"/>
      <c r="BI7" s="126"/>
      <c r="BJ7" s="126"/>
      <c r="BK7" s="126"/>
      <c r="BL7" s="126"/>
      <c r="BM7" s="126"/>
      <c r="BN7" s="126"/>
      <c r="BO7" s="126"/>
      <c r="BP7" s="126"/>
      <c r="BQ7" s="126"/>
      <c r="BR7" s="126"/>
      <c r="BS7" s="126"/>
      <c r="BT7" s="126"/>
      <c r="BU7" s="126"/>
      <c r="BV7" s="126"/>
      <c r="BW7" s="126"/>
      <c r="BX7" s="126"/>
    </row>
    <row r="8">
      <c r="A8" s="126"/>
      <c r="B8" s="87"/>
      <c r="C8" s="132"/>
      <c r="D8" s="87"/>
      <c r="E8" s="131"/>
      <c r="F8" s="128"/>
      <c r="G8" s="131" t="s">
        <v>318</v>
      </c>
      <c r="H8" s="128"/>
      <c r="I8" s="87">
        <v>1975.0</v>
      </c>
      <c r="J8" s="87"/>
      <c r="K8" s="128"/>
      <c r="L8" s="126"/>
      <c r="M8" s="126"/>
      <c r="N8" s="127"/>
      <c r="O8" s="87" t="s">
        <v>3334</v>
      </c>
      <c r="P8" s="87" t="s">
        <v>3335</v>
      </c>
      <c r="Q8" s="132"/>
      <c r="R8" s="87" t="s">
        <v>281</v>
      </c>
      <c r="S8" s="130" t="s">
        <v>3336</v>
      </c>
      <c r="T8" s="127"/>
      <c r="U8" s="87" t="s">
        <v>911</v>
      </c>
      <c r="V8" s="87"/>
      <c r="W8" s="127"/>
      <c r="X8" s="133"/>
      <c r="Y8" s="131"/>
      <c r="Z8" s="127"/>
      <c r="AA8" s="87" t="s">
        <v>320</v>
      </c>
      <c r="AB8" s="87" t="s">
        <v>3337</v>
      </c>
      <c r="AC8" s="128"/>
      <c r="AD8" s="131" t="s">
        <v>237</v>
      </c>
      <c r="AE8" s="87" t="s">
        <v>238</v>
      </c>
      <c r="AF8" s="87" t="s">
        <v>3338</v>
      </c>
      <c r="AG8" s="127"/>
      <c r="AH8" s="126"/>
      <c r="AI8" s="126"/>
      <c r="AJ8" s="127"/>
      <c r="AK8" s="126"/>
      <c r="AL8" s="126"/>
      <c r="AM8" s="127"/>
      <c r="AN8" s="87" t="s">
        <v>306</v>
      </c>
      <c r="AO8" s="87" t="s">
        <v>3339</v>
      </c>
      <c r="AP8" s="127"/>
      <c r="AQ8" s="126" t="s">
        <v>306</v>
      </c>
      <c r="AR8" s="87" t="s">
        <v>3340</v>
      </c>
      <c r="AS8" s="127"/>
      <c r="AT8" s="3" t="s">
        <v>271</v>
      </c>
      <c r="AU8" s="3" t="s">
        <v>3331</v>
      </c>
      <c r="AV8" s="127"/>
      <c r="AW8" s="3" t="s">
        <v>761</v>
      </c>
      <c r="AX8" s="3" t="s">
        <v>760</v>
      </c>
      <c r="AY8" s="127"/>
      <c r="AZ8" s="126"/>
      <c r="BA8" s="126"/>
      <c r="BB8" s="127"/>
      <c r="BC8" s="3" t="s">
        <v>689</v>
      </c>
      <c r="BD8" s="130" t="s">
        <v>3341</v>
      </c>
      <c r="BE8" s="127"/>
      <c r="BF8" s="126"/>
      <c r="BG8" s="126"/>
      <c r="BH8" s="126"/>
      <c r="BI8" s="126"/>
      <c r="BJ8" s="126"/>
      <c r="BK8" s="126"/>
      <c r="BL8" s="126"/>
      <c r="BM8" s="126"/>
      <c r="BN8" s="126"/>
      <c r="BO8" s="126"/>
      <c r="BP8" s="126"/>
      <c r="BQ8" s="126"/>
      <c r="BR8" s="126"/>
      <c r="BS8" s="126"/>
      <c r="BT8" s="126"/>
      <c r="BU8" s="126"/>
      <c r="BV8" s="126"/>
      <c r="BW8" s="126"/>
      <c r="BX8" s="126"/>
    </row>
    <row r="9">
      <c r="A9" s="126"/>
      <c r="B9" s="87"/>
      <c r="C9" s="132"/>
      <c r="D9" s="87"/>
      <c r="E9" s="131"/>
      <c r="F9" s="128"/>
      <c r="G9" s="131" t="s">
        <v>334</v>
      </c>
      <c r="H9" s="128"/>
      <c r="I9" s="87">
        <v>1976.0</v>
      </c>
      <c r="J9" s="87"/>
      <c r="K9" s="128"/>
      <c r="L9" s="139"/>
      <c r="M9" s="126"/>
      <c r="N9" s="127"/>
      <c r="O9" s="87" t="s">
        <v>3342</v>
      </c>
      <c r="P9" s="87" t="s">
        <v>3343</v>
      </c>
      <c r="Q9" s="132"/>
      <c r="R9" s="87" t="s">
        <v>154</v>
      </c>
      <c r="S9" s="130" t="s">
        <v>3344</v>
      </c>
      <c r="T9" s="127"/>
      <c r="U9" s="87" t="s">
        <v>361</v>
      </c>
      <c r="V9" s="87" t="s">
        <v>3345</v>
      </c>
      <c r="W9" s="127"/>
      <c r="X9" s="133"/>
      <c r="Y9" s="131"/>
      <c r="Z9" s="127"/>
      <c r="AA9" s="87" t="s">
        <v>3346</v>
      </c>
      <c r="AB9" s="131"/>
      <c r="AC9" s="128"/>
      <c r="AD9" s="131" t="s">
        <v>1952</v>
      </c>
      <c r="AE9" s="87" t="s">
        <v>1953</v>
      </c>
      <c r="AF9" s="87" t="s">
        <v>3347</v>
      </c>
      <c r="AG9" s="127"/>
      <c r="AH9" s="126"/>
      <c r="AI9" s="126"/>
      <c r="AJ9" s="127"/>
      <c r="AK9" s="126"/>
      <c r="AL9" s="126"/>
      <c r="AM9" s="127"/>
      <c r="AN9" s="87" t="s">
        <v>206</v>
      </c>
      <c r="AO9" s="87" t="s">
        <v>3348</v>
      </c>
      <c r="AP9" s="127"/>
      <c r="AQ9" s="126" t="s">
        <v>206</v>
      </c>
      <c r="AR9" s="87" t="s">
        <v>3349</v>
      </c>
      <c r="AS9" s="127"/>
      <c r="AT9" s="87" t="s">
        <v>206</v>
      </c>
      <c r="AU9" s="87"/>
      <c r="AV9" s="127"/>
      <c r="AW9" s="3" t="s">
        <v>228</v>
      </c>
      <c r="AX9" s="87" t="s">
        <v>3350</v>
      </c>
      <c r="AY9" s="127"/>
      <c r="AZ9" s="126"/>
      <c r="BA9" s="126"/>
      <c r="BB9" s="127"/>
      <c r="BC9" s="3" t="s">
        <v>289</v>
      </c>
      <c r="BD9" s="130" t="s">
        <v>3351</v>
      </c>
      <c r="BE9" s="127"/>
      <c r="BF9" s="126"/>
      <c r="BG9" s="126"/>
      <c r="BH9" s="126"/>
      <c r="BI9" s="126"/>
      <c r="BJ9" s="126"/>
      <c r="BK9" s="126"/>
      <c r="BL9" s="126"/>
      <c r="BM9" s="126"/>
      <c r="BN9" s="126"/>
      <c r="BO9" s="126"/>
      <c r="BP9" s="126"/>
      <c r="BQ9" s="126"/>
      <c r="BR9" s="126"/>
      <c r="BS9" s="126"/>
      <c r="BT9" s="126"/>
      <c r="BU9" s="126"/>
      <c r="BV9" s="126"/>
      <c r="BW9" s="126"/>
      <c r="BX9" s="126"/>
    </row>
    <row r="10">
      <c r="A10" s="126"/>
      <c r="B10" s="126"/>
      <c r="C10" s="127"/>
      <c r="D10" s="126"/>
      <c r="E10" s="87"/>
      <c r="F10" s="132"/>
      <c r="G10" s="131" t="s">
        <v>349</v>
      </c>
      <c r="H10" s="132"/>
      <c r="I10" s="87">
        <v>1977.0</v>
      </c>
      <c r="J10" s="87"/>
      <c r="K10" s="132"/>
      <c r="L10" s="126"/>
      <c r="M10" s="126"/>
      <c r="N10" s="127"/>
      <c r="Q10" s="127"/>
      <c r="R10" s="87" t="s">
        <v>149</v>
      </c>
      <c r="S10" s="87" t="s">
        <v>3352</v>
      </c>
      <c r="T10" s="127"/>
      <c r="U10" s="87" t="s">
        <v>851</v>
      </c>
      <c r="V10" s="87" t="s">
        <v>3353</v>
      </c>
      <c r="W10" s="127"/>
      <c r="X10" s="133"/>
      <c r="Y10" s="87"/>
      <c r="Z10" s="127"/>
      <c r="AA10" s="87" t="s">
        <v>3354</v>
      </c>
      <c r="AB10" s="131"/>
      <c r="AC10" s="132"/>
      <c r="AD10" s="87" t="s">
        <v>149</v>
      </c>
      <c r="AE10" s="87" t="s">
        <v>254</v>
      </c>
      <c r="AF10" s="87" t="s">
        <v>3355</v>
      </c>
      <c r="AG10" s="127"/>
      <c r="AH10" s="126"/>
      <c r="AI10" s="126"/>
      <c r="AJ10" s="127"/>
      <c r="AK10" s="126"/>
      <c r="AL10" s="126"/>
      <c r="AM10" s="127"/>
      <c r="AN10" s="133" t="s">
        <v>2635</v>
      </c>
      <c r="AO10" s="87" t="s">
        <v>3356</v>
      </c>
      <c r="AP10" s="127"/>
      <c r="AQ10" s="3" t="s">
        <v>929</v>
      </c>
      <c r="AR10" s="140" t="s">
        <v>3357</v>
      </c>
      <c r="AS10" s="127"/>
      <c r="AT10" s="87" t="s">
        <v>306</v>
      </c>
      <c r="AV10" s="127"/>
      <c r="AW10" s="87" t="s">
        <v>369</v>
      </c>
      <c r="AX10" s="3" t="s">
        <v>3358</v>
      </c>
      <c r="AY10" s="127"/>
      <c r="AZ10" s="126"/>
      <c r="BA10" s="126"/>
      <c r="BB10" s="127"/>
      <c r="BC10" s="3" t="s">
        <v>166</v>
      </c>
      <c r="BD10" s="130" t="s">
        <v>3359</v>
      </c>
      <c r="BE10" s="127"/>
      <c r="BF10" s="126"/>
      <c r="BG10" s="126"/>
      <c r="BH10" s="126"/>
      <c r="BI10" s="126"/>
      <c r="BJ10" s="126"/>
      <c r="BK10" s="126"/>
      <c r="BL10" s="126"/>
      <c r="BM10" s="126"/>
      <c r="BN10" s="126"/>
      <c r="BO10" s="126"/>
      <c r="BP10" s="126"/>
      <c r="BQ10" s="126"/>
      <c r="BR10" s="126"/>
      <c r="BS10" s="126"/>
      <c r="BT10" s="126"/>
      <c r="BU10" s="126"/>
      <c r="BV10" s="126"/>
      <c r="BW10" s="126"/>
      <c r="BX10" s="126"/>
    </row>
    <row r="11">
      <c r="A11" s="126"/>
      <c r="B11" s="126"/>
      <c r="C11" s="127"/>
      <c r="D11" s="126"/>
      <c r="E11" s="126"/>
      <c r="F11" s="127"/>
      <c r="G11" s="131" t="s">
        <v>360</v>
      </c>
      <c r="H11" s="127"/>
      <c r="I11" s="87">
        <v>1978.0</v>
      </c>
      <c r="J11" s="87"/>
      <c r="K11" s="127"/>
      <c r="L11" s="126"/>
      <c r="M11" s="126"/>
      <c r="N11" s="127"/>
      <c r="O11" s="126" t="s">
        <v>149</v>
      </c>
      <c r="P11" s="87" t="s">
        <v>3360</v>
      </c>
      <c r="Q11" s="127"/>
      <c r="R11" s="126"/>
      <c r="S11" s="126"/>
      <c r="T11" s="127"/>
      <c r="U11" s="87" t="s">
        <v>789</v>
      </c>
      <c r="V11" s="87" t="s">
        <v>3361</v>
      </c>
      <c r="W11" s="127"/>
      <c r="X11" s="133"/>
      <c r="Y11" s="126"/>
      <c r="Z11" s="127"/>
      <c r="AA11" s="87" t="s">
        <v>2799</v>
      </c>
      <c r="AB11" s="87"/>
      <c r="AC11" s="127"/>
      <c r="AD11" s="126"/>
      <c r="AE11" s="126"/>
      <c r="AF11" s="126"/>
      <c r="AG11" s="127"/>
      <c r="AH11" s="126"/>
      <c r="AI11" s="126"/>
      <c r="AJ11" s="127"/>
      <c r="AK11" s="126"/>
      <c r="AL11" s="126"/>
      <c r="AM11" s="127"/>
      <c r="AN11" s="87" t="s">
        <v>149</v>
      </c>
      <c r="AO11" s="87" t="s">
        <v>3362</v>
      </c>
      <c r="AP11" s="127"/>
      <c r="AQ11" s="126" t="s">
        <v>662</v>
      </c>
      <c r="AR11" s="130" t="s">
        <v>3363</v>
      </c>
      <c r="AS11" s="127"/>
      <c r="AT11" s="3" t="s">
        <v>184</v>
      </c>
      <c r="AV11" s="127"/>
      <c r="AW11" s="3" t="s">
        <v>158</v>
      </c>
      <c r="AX11" s="3" t="s">
        <v>3364</v>
      </c>
      <c r="AY11" s="127"/>
      <c r="AZ11" s="126"/>
      <c r="BA11" s="126"/>
      <c r="BB11" s="127"/>
      <c r="BC11" s="136" t="s">
        <v>1147</v>
      </c>
      <c r="BD11" s="136" t="s">
        <v>3365</v>
      </c>
      <c r="BE11" s="127"/>
      <c r="BF11" s="126"/>
      <c r="BG11" s="126"/>
      <c r="BH11" s="126"/>
      <c r="BI11" s="126"/>
      <c r="BJ11" s="126"/>
      <c r="BK11" s="126"/>
      <c r="BL11" s="126"/>
      <c r="BM11" s="126"/>
      <c r="BN11" s="126"/>
      <c r="BO11" s="126"/>
      <c r="BP11" s="126"/>
      <c r="BQ11" s="126"/>
      <c r="BR11" s="126"/>
      <c r="BS11" s="126"/>
      <c r="BT11" s="126"/>
      <c r="BU11" s="126"/>
      <c r="BV11" s="126"/>
      <c r="BW11" s="126"/>
      <c r="BX11" s="126"/>
    </row>
    <row r="12">
      <c r="A12" s="126"/>
      <c r="B12" s="126"/>
      <c r="C12" s="127"/>
      <c r="D12" s="126"/>
      <c r="E12" s="126"/>
      <c r="F12" s="127"/>
      <c r="G12" s="131" t="s">
        <v>384</v>
      </c>
      <c r="H12" s="127"/>
      <c r="I12" s="87">
        <v>1979.0</v>
      </c>
      <c r="J12" s="87"/>
      <c r="K12" s="127"/>
      <c r="L12" s="126"/>
      <c r="M12" s="126"/>
      <c r="N12" s="127"/>
      <c r="O12" s="126"/>
      <c r="P12" s="126"/>
      <c r="Q12" s="127"/>
      <c r="R12" s="126"/>
      <c r="S12" s="126"/>
      <c r="T12" s="127"/>
      <c r="U12" s="87" t="s">
        <v>2427</v>
      </c>
      <c r="V12" s="87" t="s">
        <v>3366</v>
      </c>
      <c r="W12" s="127"/>
      <c r="X12" s="133"/>
      <c r="Y12" s="126"/>
      <c r="Z12" s="127"/>
      <c r="AA12" s="87" t="s">
        <v>879</v>
      </c>
      <c r="AB12" s="87" t="s">
        <v>3367</v>
      </c>
      <c r="AC12" s="127"/>
      <c r="AD12" s="126"/>
      <c r="AE12" s="126"/>
      <c r="AF12" s="126"/>
      <c r="AG12" s="127"/>
      <c r="AH12" s="126"/>
      <c r="AI12" s="126"/>
      <c r="AJ12" s="127"/>
      <c r="AK12" s="126"/>
      <c r="AL12" s="126"/>
      <c r="AM12" s="127"/>
      <c r="AO12" s="87"/>
      <c r="AP12" s="127"/>
      <c r="AQ12" s="126" t="s">
        <v>869</v>
      </c>
      <c r="AR12" s="87" t="s">
        <v>3368</v>
      </c>
      <c r="AS12" s="127"/>
      <c r="AT12" s="87" t="s">
        <v>2635</v>
      </c>
      <c r="AV12" s="127"/>
      <c r="AW12" s="3" t="s">
        <v>227</v>
      </c>
      <c r="AX12" s="3" t="s">
        <v>3369</v>
      </c>
      <c r="AY12" s="127"/>
      <c r="AZ12" s="126"/>
      <c r="BA12" s="126"/>
      <c r="BB12" s="127"/>
      <c r="BC12" s="3" t="s">
        <v>1159</v>
      </c>
      <c r="BD12" s="130" t="s">
        <v>3370</v>
      </c>
      <c r="BE12" s="127"/>
      <c r="BF12" s="126"/>
      <c r="BG12" s="126"/>
      <c r="BH12" s="126"/>
      <c r="BI12" s="126"/>
      <c r="BJ12" s="126"/>
      <c r="BK12" s="126"/>
      <c r="BL12" s="126"/>
      <c r="BM12" s="126"/>
      <c r="BN12" s="126"/>
      <c r="BO12" s="126"/>
      <c r="BP12" s="126"/>
      <c r="BQ12" s="126"/>
      <c r="BR12" s="126"/>
      <c r="BS12" s="126"/>
      <c r="BT12" s="126"/>
      <c r="BU12" s="126"/>
      <c r="BV12" s="126"/>
      <c r="BW12" s="126"/>
      <c r="BX12" s="126"/>
    </row>
    <row r="13">
      <c r="A13" s="126"/>
      <c r="B13" s="121"/>
      <c r="C13" s="122"/>
      <c r="D13" s="121"/>
      <c r="E13" s="126"/>
      <c r="F13" s="127"/>
      <c r="G13" s="131" t="s">
        <v>652</v>
      </c>
      <c r="H13" s="127"/>
      <c r="I13" s="87">
        <v>1980.0</v>
      </c>
      <c r="J13" s="87"/>
      <c r="K13" s="127"/>
      <c r="L13" s="121"/>
      <c r="M13" s="121"/>
      <c r="N13" s="122"/>
      <c r="O13" s="126"/>
      <c r="P13" s="126"/>
      <c r="Q13" s="127"/>
      <c r="R13" s="126"/>
      <c r="S13" s="126"/>
      <c r="T13" s="127"/>
      <c r="U13" s="87" t="s">
        <v>3371</v>
      </c>
      <c r="V13" s="87"/>
      <c r="W13" s="127"/>
      <c r="X13" s="133"/>
      <c r="Y13" s="126"/>
      <c r="Z13" s="127"/>
      <c r="AA13" s="87" t="s">
        <v>3372</v>
      </c>
      <c r="AB13" s="126"/>
      <c r="AC13" s="127"/>
      <c r="AD13" s="126"/>
      <c r="AE13" s="126"/>
      <c r="AF13" s="121"/>
      <c r="AG13" s="127"/>
      <c r="AH13" s="126"/>
      <c r="AI13" s="126"/>
      <c r="AJ13" s="127"/>
      <c r="AK13" s="126"/>
      <c r="AL13" s="126"/>
      <c r="AM13" s="127"/>
      <c r="AO13" s="87"/>
      <c r="AP13" s="127"/>
      <c r="AQ13" s="126" t="s">
        <v>149</v>
      </c>
      <c r="AR13" s="87" t="s">
        <v>3256</v>
      </c>
      <c r="AS13" s="127"/>
      <c r="AT13" s="3" t="s">
        <v>662</v>
      </c>
      <c r="AV13" s="127"/>
      <c r="AW13" s="3" t="s">
        <v>886</v>
      </c>
      <c r="AX13" s="3" t="s">
        <v>3373</v>
      </c>
      <c r="AY13" s="127"/>
      <c r="AZ13" s="126"/>
      <c r="BA13" s="126"/>
      <c r="BB13" s="127"/>
      <c r="BC13" s="3" t="s">
        <v>731</v>
      </c>
      <c r="BD13" s="130" t="s">
        <v>3374</v>
      </c>
      <c r="BE13" s="127"/>
      <c r="BF13" s="126"/>
      <c r="BG13" s="126"/>
      <c r="BH13" s="126"/>
      <c r="BI13" s="126"/>
      <c r="BJ13" s="126"/>
      <c r="BK13" s="126"/>
      <c r="BL13" s="126"/>
      <c r="BM13" s="126"/>
      <c r="BN13" s="126"/>
      <c r="BO13" s="126"/>
      <c r="BP13" s="126"/>
      <c r="BQ13" s="126"/>
      <c r="BR13" s="126"/>
      <c r="BS13" s="126"/>
      <c r="BT13" s="126"/>
      <c r="BU13" s="126"/>
      <c r="BV13" s="126"/>
      <c r="BW13" s="126"/>
      <c r="BX13" s="126"/>
    </row>
    <row r="14">
      <c r="A14" s="126"/>
      <c r="B14" s="126"/>
      <c r="C14" s="127"/>
      <c r="D14" s="126"/>
      <c r="E14" s="126"/>
      <c r="F14" s="127"/>
      <c r="G14" s="131" t="s">
        <v>668</v>
      </c>
      <c r="H14" s="127"/>
      <c r="I14" s="87">
        <v>1981.0</v>
      </c>
      <c r="J14" s="87"/>
      <c r="K14" s="127"/>
      <c r="L14" s="126"/>
      <c r="M14" s="126"/>
      <c r="N14" s="127"/>
      <c r="O14" s="126"/>
      <c r="P14" s="126"/>
      <c r="Q14" s="127"/>
      <c r="R14" s="126"/>
      <c r="S14" s="126"/>
      <c r="T14" s="127"/>
      <c r="U14" s="87" t="s">
        <v>2049</v>
      </c>
      <c r="V14" s="87" t="s">
        <v>3375</v>
      </c>
      <c r="W14" s="127"/>
      <c r="X14" s="133"/>
      <c r="Y14" s="126"/>
      <c r="Z14" s="127"/>
      <c r="AA14" s="87" t="s">
        <v>1071</v>
      </c>
      <c r="AB14" s="126"/>
      <c r="AC14" s="127"/>
      <c r="AD14" s="126"/>
      <c r="AE14" s="126"/>
      <c r="AF14" s="126"/>
      <c r="AG14" s="127"/>
      <c r="AH14" s="126"/>
      <c r="AI14" s="126"/>
      <c r="AJ14" s="127"/>
      <c r="AK14" s="126"/>
      <c r="AL14" s="126"/>
      <c r="AM14" s="127"/>
      <c r="AO14" s="87"/>
      <c r="AP14" s="127"/>
      <c r="AS14" s="127"/>
      <c r="AT14" s="87" t="s">
        <v>869</v>
      </c>
      <c r="AU14" s="87"/>
      <c r="AV14" s="127"/>
      <c r="AW14" s="87" t="s">
        <v>210</v>
      </c>
      <c r="AX14" s="87"/>
      <c r="AY14" s="127"/>
      <c r="AZ14" s="126"/>
      <c r="BA14" s="126"/>
      <c r="BB14" s="127"/>
      <c r="BE14" s="127"/>
      <c r="BF14" s="126"/>
      <c r="BG14" s="126"/>
      <c r="BH14" s="126"/>
      <c r="BI14" s="126"/>
      <c r="BJ14" s="126"/>
      <c r="BK14" s="126"/>
      <c r="BL14" s="126"/>
      <c r="BM14" s="126"/>
      <c r="BN14" s="126"/>
      <c r="BO14" s="126"/>
      <c r="BP14" s="126"/>
      <c r="BQ14" s="126"/>
      <c r="BR14" s="126"/>
      <c r="BS14" s="126"/>
      <c r="BT14" s="126"/>
      <c r="BU14" s="126"/>
      <c r="BV14" s="126"/>
      <c r="BW14" s="126"/>
      <c r="BX14" s="126"/>
    </row>
    <row r="15">
      <c r="A15" s="126"/>
      <c r="B15" s="126"/>
      <c r="C15" s="127"/>
      <c r="D15" s="126"/>
      <c r="E15" s="126"/>
      <c r="F15" s="127"/>
      <c r="G15" s="131" t="s">
        <v>695</v>
      </c>
      <c r="H15" s="127"/>
      <c r="I15" s="87">
        <v>1982.0</v>
      </c>
      <c r="J15" s="87"/>
      <c r="K15" s="127"/>
      <c r="L15" s="126"/>
      <c r="M15" s="126"/>
      <c r="N15" s="127"/>
      <c r="O15" s="126"/>
      <c r="P15" s="126"/>
      <c r="Q15" s="127"/>
      <c r="R15" s="126"/>
      <c r="S15" s="126"/>
      <c r="T15" s="127"/>
      <c r="U15" s="87" t="s">
        <v>3376</v>
      </c>
      <c r="V15" s="87"/>
      <c r="W15" s="127"/>
      <c r="X15" s="133"/>
      <c r="Y15" s="126"/>
      <c r="Z15" s="127"/>
      <c r="AA15" s="87" t="s">
        <v>3377</v>
      </c>
      <c r="AB15" s="126"/>
      <c r="AC15" s="127"/>
      <c r="AD15" s="126"/>
      <c r="AE15" s="126"/>
      <c r="AF15" s="126"/>
      <c r="AG15" s="127"/>
      <c r="AH15" s="126"/>
      <c r="AI15" s="126"/>
      <c r="AJ15" s="127"/>
      <c r="AK15" s="126"/>
      <c r="AL15" s="126"/>
      <c r="AM15" s="127"/>
      <c r="AO15" s="87"/>
      <c r="AP15" s="127"/>
      <c r="AS15" s="127"/>
      <c r="AT15" s="126"/>
      <c r="AU15" s="87"/>
      <c r="AV15" s="127"/>
      <c r="AW15" s="87" t="s">
        <v>2306</v>
      </c>
      <c r="AX15" s="87" t="s">
        <v>3378</v>
      </c>
      <c r="AY15" s="127"/>
      <c r="AZ15" s="126"/>
      <c r="BA15" s="126"/>
      <c r="BB15" s="127"/>
      <c r="BE15" s="127"/>
      <c r="BF15" s="126"/>
      <c r="BG15" s="126"/>
      <c r="BH15" s="126"/>
      <c r="BI15" s="126"/>
      <c r="BJ15" s="126"/>
      <c r="BK15" s="126"/>
      <c r="BL15" s="126"/>
      <c r="BM15" s="126"/>
      <c r="BN15" s="126"/>
      <c r="BO15" s="126"/>
      <c r="BP15" s="126"/>
      <c r="BQ15" s="126"/>
      <c r="BR15" s="126"/>
      <c r="BS15" s="126"/>
      <c r="BT15" s="126"/>
      <c r="BU15" s="126"/>
      <c r="BV15" s="126"/>
      <c r="BW15" s="126"/>
      <c r="BX15" s="126"/>
    </row>
    <row r="16">
      <c r="A16" s="126"/>
      <c r="B16" s="126"/>
      <c r="C16" s="127"/>
      <c r="D16" s="126"/>
      <c r="E16" s="126"/>
      <c r="F16" s="127"/>
      <c r="G16" s="131" t="s">
        <v>709</v>
      </c>
      <c r="H16" s="127"/>
      <c r="I16" s="87">
        <v>1983.0</v>
      </c>
      <c r="J16" s="87"/>
      <c r="K16" s="127"/>
      <c r="L16" s="126"/>
      <c r="M16" s="126"/>
      <c r="N16" s="127"/>
      <c r="O16" s="126"/>
      <c r="P16" s="126"/>
      <c r="Q16" s="127"/>
      <c r="R16" s="126"/>
      <c r="S16" s="126"/>
      <c r="T16" s="127"/>
      <c r="U16" s="87" t="s">
        <v>2757</v>
      </c>
      <c r="V16" s="87"/>
      <c r="W16" s="127"/>
      <c r="X16" s="133"/>
      <c r="Y16" s="126"/>
      <c r="Z16" s="127"/>
      <c r="AA16" s="87" t="s">
        <v>1037</v>
      </c>
      <c r="AB16" s="126"/>
      <c r="AC16" s="127"/>
      <c r="AD16" s="126"/>
      <c r="AE16" s="126"/>
      <c r="AF16" s="126"/>
      <c r="AG16" s="127"/>
      <c r="AH16" s="126"/>
      <c r="AI16" s="126"/>
      <c r="AJ16" s="127"/>
      <c r="AK16" s="126"/>
      <c r="AL16" s="126"/>
      <c r="AM16" s="127"/>
      <c r="AN16" s="126"/>
      <c r="AO16" s="126"/>
      <c r="AP16" s="127"/>
      <c r="AS16" s="127"/>
      <c r="AT16" s="126"/>
      <c r="AU16" s="130"/>
      <c r="AV16" s="127"/>
      <c r="AW16" s="3" t="s">
        <v>660</v>
      </c>
      <c r="AX16" s="130" t="s">
        <v>3379</v>
      </c>
      <c r="AY16" s="127"/>
      <c r="AZ16" s="126"/>
      <c r="BA16" s="126"/>
      <c r="BB16" s="127"/>
      <c r="BD16" s="134"/>
      <c r="BE16" s="127"/>
      <c r="BF16" s="126"/>
      <c r="BG16" s="126"/>
      <c r="BH16" s="126"/>
      <c r="BI16" s="126"/>
      <c r="BJ16" s="126"/>
      <c r="BK16" s="126"/>
      <c r="BL16" s="126"/>
      <c r="BM16" s="126"/>
      <c r="BN16" s="126"/>
      <c r="BO16" s="126"/>
      <c r="BP16" s="126"/>
      <c r="BQ16" s="126"/>
      <c r="BR16" s="126"/>
      <c r="BS16" s="126"/>
      <c r="BT16" s="126"/>
      <c r="BU16" s="126"/>
      <c r="BV16" s="126"/>
      <c r="BW16" s="126"/>
      <c r="BX16" s="126"/>
    </row>
    <row r="17">
      <c r="A17" s="126"/>
      <c r="B17" s="126"/>
      <c r="C17" s="127"/>
      <c r="D17" s="126"/>
      <c r="E17" s="87"/>
      <c r="F17" s="132"/>
      <c r="G17" s="131" t="s">
        <v>717</v>
      </c>
      <c r="H17" s="132"/>
      <c r="I17" s="87">
        <v>1984.0</v>
      </c>
      <c r="J17" s="87"/>
      <c r="K17" s="132"/>
      <c r="L17" s="126"/>
      <c r="M17" s="126"/>
      <c r="N17" s="127"/>
      <c r="O17" s="126"/>
      <c r="P17" s="126"/>
      <c r="Q17" s="127"/>
      <c r="R17" s="126"/>
      <c r="S17" s="126"/>
      <c r="T17" s="127"/>
      <c r="U17" s="87" t="s">
        <v>697</v>
      </c>
      <c r="V17" s="87"/>
      <c r="W17" s="132"/>
      <c r="X17" s="133"/>
      <c r="Y17" s="87"/>
      <c r="Z17" s="132"/>
      <c r="AA17" s="87" t="s">
        <v>3380</v>
      </c>
      <c r="AB17" s="126"/>
      <c r="AC17" s="132"/>
      <c r="AD17" s="87"/>
      <c r="AE17" s="87"/>
      <c r="AF17" s="126"/>
      <c r="AG17" s="127"/>
      <c r="AH17" s="126"/>
      <c r="AI17" s="126"/>
      <c r="AJ17" s="127"/>
      <c r="AK17" s="126"/>
      <c r="AL17" s="126"/>
      <c r="AM17" s="127"/>
      <c r="AN17" s="126"/>
      <c r="AO17" s="126"/>
      <c r="AP17" s="127"/>
      <c r="AS17" s="127"/>
      <c r="AT17" s="126"/>
      <c r="AU17" s="87"/>
      <c r="AV17" s="127"/>
      <c r="AW17" s="87" t="s">
        <v>1594</v>
      </c>
      <c r="AX17" s="87" t="s">
        <v>3381</v>
      </c>
      <c r="AY17" s="127"/>
      <c r="AZ17" s="126"/>
      <c r="BA17" s="126"/>
      <c r="BB17" s="127"/>
      <c r="BD17" s="134"/>
      <c r="BE17" s="127"/>
      <c r="BF17" s="126"/>
      <c r="BG17" s="126"/>
      <c r="BH17" s="126"/>
      <c r="BI17" s="126"/>
      <c r="BJ17" s="126"/>
      <c r="BK17" s="126"/>
      <c r="BL17" s="126"/>
      <c r="BM17" s="126"/>
      <c r="BN17" s="126"/>
      <c r="BO17" s="126"/>
      <c r="BP17" s="126"/>
      <c r="BQ17" s="126"/>
      <c r="BR17" s="126"/>
      <c r="BS17" s="126"/>
      <c r="BT17" s="126"/>
      <c r="BU17" s="126"/>
      <c r="BV17" s="126"/>
      <c r="BW17" s="126"/>
      <c r="BX17" s="126"/>
    </row>
    <row r="18">
      <c r="A18" s="126"/>
      <c r="B18" s="126"/>
      <c r="C18" s="127"/>
      <c r="D18" s="126"/>
      <c r="E18" s="126"/>
      <c r="F18" s="127"/>
      <c r="G18" s="131" t="s">
        <v>729</v>
      </c>
      <c r="H18" s="127"/>
      <c r="I18" s="87">
        <v>1985.0</v>
      </c>
      <c r="J18" s="87"/>
      <c r="K18" s="127"/>
      <c r="L18" s="126"/>
      <c r="M18" s="126"/>
      <c r="N18" s="127"/>
      <c r="O18" s="126"/>
      <c r="P18" s="126"/>
      <c r="Q18" s="127"/>
      <c r="R18" s="126"/>
      <c r="S18" s="126"/>
      <c r="T18" s="127"/>
      <c r="U18" s="87" t="s">
        <v>654</v>
      </c>
      <c r="V18" s="87"/>
      <c r="W18" s="127"/>
      <c r="X18" s="126"/>
      <c r="Y18" s="126"/>
      <c r="Z18" s="127"/>
      <c r="AA18" s="87" t="s">
        <v>2921</v>
      </c>
      <c r="AB18" s="126"/>
      <c r="AC18" s="127"/>
      <c r="AD18" s="126"/>
      <c r="AE18" s="126"/>
      <c r="AF18" s="126"/>
      <c r="AG18" s="127"/>
      <c r="AH18" s="126"/>
      <c r="AI18" s="126"/>
      <c r="AJ18" s="127"/>
      <c r="AK18" s="126"/>
      <c r="AL18" s="126"/>
      <c r="AM18" s="127"/>
      <c r="AN18" s="126"/>
      <c r="AO18" s="126"/>
      <c r="AP18" s="127"/>
      <c r="AS18" s="127"/>
      <c r="AT18" s="126"/>
      <c r="AU18" s="87"/>
      <c r="AV18" s="127"/>
      <c r="AW18" s="87" t="s">
        <v>3125</v>
      </c>
      <c r="AX18" s="87" t="s">
        <v>3382</v>
      </c>
      <c r="AY18" s="127"/>
      <c r="AZ18" s="126"/>
      <c r="BA18" s="126"/>
      <c r="BB18" s="127"/>
      <c r="BD18" s="134"/>
      <c r="BE18" s="127"/>
      <c r="BF18" s="126"/>
      <c r="BG18" s="126"/>
      <c r="BH18" s="126"/>
      <c r="BI18" s="126"/>
      <c r="BJ18" s="126"/>
      <c r="BK18" s="126"/>
      <c r="BL18" s="126"/>
      <c r="BM18" s="126"/>
      <c r="BN18" s="126"/>
      <c r="BO18" s="126"/>
      <c r="BP18" s="126"/>
      <c r="BQ18" s="126"/>
      <c r="BR18" s="126"/>
      <c r="BS18" s="126"/>
      <c r="BT18" s="126"/>
      <c r="BU18" s="126"/>
      <c r="BV18" s="126"/>
      <c r="BW18" s="126"/>
      <c r="BX18" s="126"/>
    </row>
    <row r="19">
      <c r="A19" s="126"/>
      <c r="B19" s="126"/>
      <c r="C19" s="127"/>
      <c r="D19" s="126"/>
      <c r="E19" s="126"/>
      <c r="F19" s="127"/>
      <c r="G19" s="131" t="s">
        <v>736</v>
      </c>
      <c r="H19" s="127"/>
      <c r="I19" s="87">
        <v>1986.0</v>
      </c>
      <c r="J19" s="87"/>
      <c r="K19" s="127"/>
      <c r="L19" s="126"/>
      <c r="M19" s="126"/>
      <c r="N19" s="127"/>
      <c r="O19" s="126"/>
      <c r="P19" s="126"/>
      <c r="Q19" s="127"/>
      <c r="R19" s="126"/>
      <c r="S19" s="126"/>
      <c r="T19" s="127"/>
      <c r="U19" s="87" t="s">
        <v>153</v>
      </c>
      <c r="V19" s="87" t="s">
        <v>3383</v>
      </c>
      <c r="W19" s="127"/>
      <c r="X19" s="126"/>
      <c r="Y19" s="126"/>
      <c r="Z19" s="127"/>
      <c r="AC19" s="127"/>
      <c r="AD19" s="126"/>
      <c r="AE19" s="126"/>
      <c r="AF19" s="126"/>
      <c r="AG19" s="127"/>
      <c r="AH19" s="126"/>
      <c r="AI19" s="126"/>
      <c r="AJ19" s="127"/>
      <c r="AK19" s="126"/>
      <c r="AL19" s="126"/>
      <c r="AM19" s="127"/>
      <c r="AN19" s="126"/>
      <c r="AO19" s="126"/>
      <c r="AP19" s="127"/>
      <c r="AS19" s="127"/>
      <c r="AV19" s="127"/>
      <c r="AW19" s="87" t="s">
        <v>2833</v>
      </c>
      <c r="AX19" s="3" t="s">
        <v>3384</v>
      </c>
      <c r="AY19" s="127"/>
      <c r="AZ19" s="126"/>
      <c r="BA19" s="126"/>
      <c r="BB19" s="127"/>
      <c r="BD19" s="134"/>
      <c r="BE19" s="127"/>
      <c r="BF19" s="126"/>
      <c r="BG19" s="126"/>
      <c r="BH19" s="126"/>
      <c r="BI19" s="126"/>
      <c r="BJ19" s="126"/>
      <c r="BK19" s="126"/>
      <c r="BL19" s="126"/>
      <c r="BM19" s="126"/>
      <c r="BN19" s="126"/>
      <c r="BO19" s="126"/>
      <c r="BP19" s="126"/>
      <c r="BQ19" s="126"/>
      <c r="BR19" s="126"/>
      <c r="BS19" s="126"/>
      <c r="BT19" s="126"/>
      <c r="BU19" s="126"/>
      <c r="BV19" s="126"/>
      <c r="BW19" s="126"/>
      <c r="BX19" s="126"/>
    </row>
    <row r="20">
      <c r="A20" s="126"/>
      <c r="B20" s="126"/>
      <c r="C20" s="127"/>
      <c r="D20" s="126"/>
      <c r="E20" s="126"/>
      <c r="F20" s="127"/>
      <c r="G20" s="131" t="s">
        <v>749</v>
      </c>
      <c r="H20" s="127"/>
      <c r="I20" s="87">
        <v>1987.0</v>
      </c>
      <c r="J20" s="87"/>
      <c r="K20" s="127"/>
      <c r="L20" s="126"/>
      <c r="M20" s="126"/>
      <c r="N20" s="127"/>
      <c r="O20" s="126"/>
      <c r="P20" s="126"/>
      <c r="Q20" s="127"/>
      <c r="R20" s="126"/>
      <c r="S20" s="126"/>
      <c r="T20" s="127"/>
      <c r="U20" s="87" t="s">
        <v>3385</v>
      </c>
      <c r="V20" s="87"/>
      <c r="W20" s="127"/>
      <c r="X20" s="126"/>
      <c r="Y20" s="126"/>
      <c r="Z20" s="127"/>
      <c r="AC20" s="127"/>
      <c r="AD20" s="126"/>
      <c r="AE20" s="126"/>
      <c r="AF20" s="126"/>
      <c r="AG20" s="127"/>
      <c r="AH20" s="126"/>
      <c r="AI20" s="126"/>
      <c r="AJ20" s="127"/>
      <c r="AK20" s="126"/>
      <c r="AL20" s="126"/>
      <c r="AM20" s="127"/>
      <c r="AN20" s="126"/>
      <c r="AO20" s="126"/>
      <c r="AP20" s="127"/>
      <c r="AS20" s="127"/>
      <c r="AV20" s="127"/>
      <c r="AW20" s="87" t="s">
        <v>1628</v>
      </c>
      <c r="AX20" s="3" t="s">
        <v>3386</v>
      </c>
      <c r="AY20" s="127"/>
      <c r="AZ20" s="126"/>
      <c r="BA20" s="126"/>
      <c r="BB20" s="127"/>
      <c r="BD20" s="134"/>
      <c r="BE20" s="127"/>
      <c r="BF20" s="126"/>
      <c r="BG20" s="126"/>
      <c r="BH20" s="126"/>
      <c r="BI20" s="126"/>
      <c r="BJ20" s="126"/>
      <c r="BK20" s="126"/>
      <c r="BL20" s="126"/>
      <c r="BM20" s="126"/>
      <c r="BN20" s="126"/>
      <c r="BO20" s="126"/>
      <c r="BP20" s="126"/>
      <c r="BQ20" s="126"/>
      <c r="BR20" s="126"/>
      <c r="BS20" s="126"/>
      <c r="BT20" s="126"/>
      <c r="BU20" s="126"/>
      <c r="BV20" s="126"/>
      <c r="BW20" s="126"/>
      <c r="BX20" s="126"/>
    </row>
    <row r="21">
      <c r="A21" s="126"/>
      <c r="B21" s="126"/>
      <c r="C21" s="127"/>
      <c r="D21" s="126"/>
      <c r="E21" s="126"/>
      <c r="F21" s="127"/>
      <c r="G21" s="131" t="s">
        <v>756</v>
      </c>
      <c r="H21" s="127"/>
      <c r="I21" s="87">
        <v>1988.0</v>
      </c>
      <c r="J21" s="87"/>
      <c r="K21" s="127"/>
      <c r="L21" s="126"/>
      <c r="M21" s="126"/>
      <c r="N21" s="127"/>
      <c r="O21" s="126"/>
      <c r="P21" s="126"/>
      <c r="Q21" s="127"/>
      <c r="R21" s="126"/>
      <c r="S21" s="126"/>
      <c r="T21" s="127"/>
      <c r="U21" s="87" t="s">
        <v>1734</v>
      </c>
      <c r="V21" s="87"/>
      <c r="W21" s="127"/>
      <c r="X21" s="126"/>
      <c r="Y21" s="126"/>
      <c r="Z21" s="127"/>
      <c r="AA21" s="126"/>
      <c r="AB21" s="126"/>
      <c r="AC21" s="127"/>
      <c r="AD21" s="126"/>
      <c r="AE21" s="126"/>
      <c r="AF21" s="126"/>
      <c r="AG21" s="127"/>
      <c r="AH21" s="126"/>
      <c r="AI21" s="126"/>
      <c r="AJ21" s="127"/>
      <c r="AK21" s="126"/>
      <c r="AL21" s="126"/>
      <c r="AM21" s="127"/>
      <c r="AN21" s="126"/>
      <c r="AO21" s="126"/>
      <c r="AP21" s="127"/>
      <c r="AQ21" s="126"/>
      <c r="AR21" s="126"/>
      <c r="AS21" s="127"/>
      <c r="AT21" s="126"/>
      <c r="AU21" s="126"/>
      <c r="AV21" s="127"/>
      <c r="AY21" s="127"/>
      <c r="AZ21" s="126"/>
      <c r="BA21" s="126"/>
      <c r="BB21" s="127"/>
      <c r="BD21" s="134"/>
      <c r="BE21" s="127"/>
      <c r="BF21" s="126"/>
      <c r="BG21" s="126"/>
      <c r="BH21" s="126"/>
      <c r="BI21" s="126"/>
      <c r="BJ21" s="126"/>
      <c r="BK21" s="126"/>
      <c r="BL21" s="126"/>
      <c r="BM21" s="126"/>
      <c r="BN21" s="126"/>
      <c r="BO21" s="126"/>
      <c r="BP21" s="126"/>
      <c r="BQ21" s="126"/>
      <c r="BR21" s="126"/>
      <c r="BS21" s="126"/>
      <c r="BT21" s="126"/>
      <c r="BU21" s="126"/>
      <c r="BV21" s="126"/>
      <c r="BW21" s="126"/>
      <c r="BX21" s="126"/>
    </row>
    <row r="22">
      <c r="A22" s="126"/>
      <c r="B22" s="126"/>
      <c r="C22" s="127"/>
      <c r="D22" s="126"/>
      <c r="E22" s="126"/>
      <c r="F22" s="127"/>
      <c r="G22" s="131" t="s">
        <v>772</v>
      </c>
      <c r="H22" s="127"/>
      <c r="I22" s="87">
        <v>1989.0</v>
      </c>
      <c r="J22" s="87"/>
      <c r="K22" s="127"/>
      <c r="L22" s="126"/>
      <c r="M22" s="126"/>
      <c r="N22" s="127"/>
      <c r="O22" s="126"/>
      <c r="P22" s="126"/>
      <c r="Q22" s="127"/>
      <c r="R22" s="126"/>
      <c r="S22" s="126"/>
      <c r="T22" s="127"/>
      <c r="U22" s="87" t="s">
        <v>2630</v>
      </c>
      <c r="V22" s="87"/>
      <c r="W22" s="127"/>
      <c r="X22" s="126"/>
      <c r="Y22" s="126"/>
      <c r="Z22" s="127"/>
      <c r="AA22" s="126"/>
      <c r="AB22" s="126"/>
      <c r="AC22" s="127"/>
      <c r="AD22" s="126"/>
      <c r="AE22" s="126"/>
      <c r="AF22" s="126"/>
      <c r="AG22" s="127"/>
      <c r="AH22" s="126"/>
      <c r="AI22" s="126"/>
      <c r="AJ22" s="127"/>
      <c r="AK22" s="126"/>
      <c r="AL22" s="126"/>
      <c r="AM22" s="127"/>
      <c r="AN22" s="126"/>
      <c r="AO22" s="126"/>
      <c r="AP22" s="127"/>
      <c r="AQ22" s="126"/>
      <c r="AR22" s="126"/>
      <c r="AS22" s="127"/>
      <c r="AT22" s="126"/>
      <c r="AU22" s="126"/>
      <c r="AV22" s="127"/>
      <c r="AY22" s="127"/>
      <c r="AZ22" s="126"/>
      <c r="BA22" s="126"/>
      <c r="BB22" s="127"/>
      <c r="BC22" s="126"/>
      <c r="BD22" s="134"/>
      <c r="BE22" s="127"/>
      <c r="BF22" s="126"/>
      <c r="BG22" s="126"/>
      <c r="BH22" s="126"/>
      <c r="BI22" s="126"/>
      <c r="BJ22" s="126"/>
      <c r="BK22" s="126"/>
      <c r="BL22" s="126"/>
      <c r="BM22" s="126"/>
      <c r="BN22" s="126"/>
      <c r="BO22" s="126"/>
      <c r="BP22" s="126"/>
      <c r="BQ22" s="126"/>
      <c r="BR22" s="126"/>
      <c r="BS22" s="126"/>
      <c r="BT22" s="126"/>
      <c r="BU22" s="126"/>
      <c r="BV22" s="126"/>
      <c r="BW22" s="126"/>
      <c r="BX22" s="126"/>
    </row>
    <row r="23">
      <c r="A23" s="126"/>
      <c r="B23" s="126"/>
      <c r="C23" s="127"/>
      <c r="D23" s="126"/>
      <c r="E23" s="126"/>
      <c r="F23" s="127"/>
      <c r="G23" s="131" t="s">
        <v>777</v>
      </c>
      <c r="H23" s="127"/>
      <c r="I23" s="87">
        <v>1990.0</v>
      </c>
      <c r="J23" s="87"/>
      <c r="K23" s="127"/>
      <c r="L23" s="126"/>
      <c r="M23" s="126"/>
      <c r="N23" s="127"/>
      <c r="O23" s="126"/>
      <c r="P23" s="126"/>
      <c r="Q23" s="127"/>
      <c r="R23" s="126"/>
      <c r="S23" s="126"/>
      <c r="T23" s="127"/>
      <c r="U23" s="87" t="s">
        <v>3387</v>
      </c>
      <c r="V23" s="87"/>
      <c r="W23" s="127"/>
      <c r="X23" s="126"/>
      <c r="Y23" s="126"/>
      <c r="Z23" s="127"/>
      <c r="AA23" s="126"/>
      <c r="AB23" s="126"/>
      <c r="AC23" s="127"/>
      <c r="AD23" s="126"/>
      <c r="AE23" s="126"/>
      <c r="AF23" s="126"/>
      <c r="AG23" s="127"/>
      <c r="AH23" s="126"/>
      <c r="AI23" s="126"/>
      <c r="AJ23" s="127"/>
      <c r="AK23" s="126"/>
      <c r="AL23" s="126"/>
      <c r="AM23" s="127"/>
      <c r="AN23" s="126"/>
      <c r="AO23" s="126"/>
      <c r="AP23" s="127"/>
      <c r="AQ23" s="126"/>
      <c r="AR23" s="126"/>
      <c r="AS23" s="127"/>
      <c r="AT23" s="126"/>
      <c r="AU23" s="126"/>
      <c r="AV23" s="127"/>
      <c r="AY23" s="127"/>
      <c r="AZ23" s="126"/>
      <c r="BA23" s="126"/>
      <c r="BB23" s="127"/>
      <c r="BC23" s="126"/>
      <c r="BD23" s="134"/>
      <c r="BE23" s="127"/>
      <c r="BF23" s="126"/>
      <c r="BG23" s="126"/>
      <c r="BH23" s="126"/>
      <c r="BI23" s="126"/>
      <c r="BJ23" s="126"/>
      <c r="BK23" s="126"/>
      <c r="BL23" s="126"/>
      <c r="BM23" s="126"/>
      <c r="BN23" s="126"/>
      <c r="BO23" s="126"/>
      <c r="BP23" s="126"/>
      <c r="BQ23" s="126"/>
      <c r="BR23" s="126"/>
      <c r="BS23" s="126"/>
      <c r="BT23" s="126"/>
      <c r="BU23" s="126"/>
      <c r="BV23" s="126"/>
      <c r="BW23" s="126"/>
      <c r="BX23" s="126"/>
    </row>
    <row r="24">
      <c r="A24" s="126"/>
      <c r="B24" s="126"/>
      <c r="C24" s="127"/>
      <c r="D24" s="126"/>
      <c r="E24" s="126"/>
      <c r="F24" s="127"/>
      <c r="G24" s="131" t="s">
        <v>788</v>
      </c>
      <c r="H24" s="127"/>
      <c r="I24" s="87">
        <v>1991.0</v>
      </c>
      <c r="J24" s="87"/>
      <c r="K24" s="127"/>
      <c r="L24" s="126"/>
      <c r="M24" s="126"/>
      <c r="N24" s="127"/>
      <c r="O24" s="126"/>
      <c r="P24" s="126"/>
      <c r="Q24" s="127"/>
      <c r="R24" s="126"/>
      <c r="S24" s="126"/>
      <c r="T24" s="127"/>
      <c r="U24" s="87" t="s">
        <v>3388</v>
      </c>
      <c r="V24" s="87"/>
      <c r="W24" s="127"/>
      <c r="X24" s="126"/>
      <c r="Y24" s="126"/>
      <c r="Z24" s="127"/>
      <c r="AA24" s="126"/>
      <c r="AB24" s="126"/>
      <c r="AC24" s="127"/>
      <c r="AD24" s="126"/>
      <c r="AE24" s="126"/>
      <c r="AF24" s="126"/>
      <c r="AG24" s="127"/>
      <c r="AH24" s="126"/>
      <c r="AI24" s="126"/>
      <c r="AJ24" s="127"/>
      <c r="AK24" s="126"/>
      <c r="AL24" s="126"/>
      <c r="AM24" s="127"/>
      <c r="AN24" s="126"/>
      <c r="AO24" s="126"/>
      <c r="AP24" s="127"/>
      <c r="AQ24" s="126"/>
      <c r="AR24" s="126"/>
      <c r="AS24" s="127"/>
      <c r="AT24" s="126"/>
      <c r="AU24" s="126"/>
      <c r="AV24" s="127"/>
      <c r="AW24" s="3" t="s">
        <v>271</v>
      </c>
      <c r="AX24" s="3" t="s">
        <v>3389</v>
      </c>
      <c r="AY24" s="127"/>
      <c r="AZ24" s="126"/>
      <c r="BA24" s="126"/>
      <c r="BB24" s="127"/>
      <c r="BC24" s="126"/>
      <c r="BD24" s="134"/>
      <c r="BE24" s="127"/>
      <c r="BF24" s="126"/>
      <c r="BG24" s="126"/>
      <c r="BH24" s="126"/>
      <c r="BI24" s="126"/>
      <c r="BJ24" s="126"/>
      <c r="BK24" s="126"/>
      <c r="BL24" s="126"/>
      <c r="BM24" s="126"/>
      <c r="BN24" s="126"/>
      <c r="BO24" s="126"/>
      <c r="BP24" s="126"/>
      <c r="BQ24" s="126"/>
      <c r="BR24" s="126"/>
      <c r="BS24" s="126"/>
      <c r="BT24" s="126"/>
      <c r="BU24" s="126"/>
      <c r="BV24" s="126"/>
      <c r="BW24" s="126"/>
      <c r="BX24" s="126"/>
    </row>
    <row r="25">
      <c r="A25" s="126"/>
      <c r="B25" s="126"/>
      <c r="C25" s="127"/>
      <c r="D25" s="126"/>
      <c r="E25" s="126"/>
      <c r="F25" s="127"/>
      <c r="G25" s="131" t="s">
        <v>804</v>
      </c>
      <c r="H25" s="127"/>
      <c r="I25" s="87">
        <v>1992.0</v>
      </c>
      <c r="J25" s="87"/>
      <c r="K25" s="127"/>
      <c r="L25" s="126"/>
      <c r="M25" s="126"/>
      <c r="N25" s="127"/>
      <c r="O25" s="126"/>
      <c r="P25" s="126"/>
      <c r="Q25" s="127"/>
      <c r="R25" s="126"/>
      <c r="S25" s="126"/>
      <c r="T25" s="127"/>
      <c r="U25" s="87" t="s">
        <v>2082</v>
      </c>
      <c r="V25" s="87"/>
      <c r="W25" s="127"/>
      <c r="X25" s="126"/>
      <c r="Y25" s="126"/>
      <c r="Z25" s="127"/>
      <c r="AA25" s="126"/>
      <c r="AB25" s="126"/>
      <c r="AC25" s="127"/>
      <c r="AD25" s="126"/>
      <c r="AE25" s="126"/>
      <c r="AF25" s="126"/>
      <c r="AG25" s="127"/>
      <c r="AH25" s="126"/>
      <c r="AI25" s="126"/>
      <c r="AJ25" s="127"/>
      <c r="AK25" s="126"/>
      <c r="AL25" s="126"/>
      <c r="AM25" s="127"/>
      <c r="AN25" s="126"/>
      <c r="AO25" s="126"/>
      <c r="AP25" s="127"/>
      <c r="AQ25" s="126"/>
      <c r="AR25" s="126"/>
      <c r="AS25" s="127"/>
      <c r="AT25" s="126"/>
      <c r="AU25" s="126"/>
      <c r="AV25" s="127"/>
      <c r="AW25" s="87" t="s">
        <v>207</v>
      </c>
      <c r="AX25" s="3" t="s">
        <v>3389</v>
      </c>
      <c r="AY25" s="127"/>
      <c r="AZ25" s="126"/>
      <c r="BA25" s="126"/>
      <c r="BB25" s="127"/>
      <c r="BC25" s="126"/>
      <c r="BD25" s="134"/>
      <c r="BE25" s="127"/>
      <c r="BF25" s="126"/>
      <c r="BG25" s="126"/>
      <c r="BH25" s="126"/>
      <c r="BI25" s="126"/>
      <c r="BJ25" s="126"/>
      <c r="BK25" s="126"/>
      <c r="BL25" s="126"/>
      <c r="BM25" s="126"/>
      <c r="BN25" s="126"/>
      <c r="BO25" s="126"/>
      <c r="BP25" s="126"/>
      <c r="BQ25" s="126"/>
      <c r="BR25" s="126"/>
      <c r="BS25" s="126"/>
      <c r="BT25" s="126"/>
      <c r="BU25" s="126"/>
      <c r="BV25" s="126"/>
      <c r="BW25" s="126"/>
      <c r="BX25" s="126"/>
    </row>
    <row r="26">
      <c r="A26" s="126"/>
      <c r="B26" s="126"/>
      <c r="C26" s="127"/>
      <c r="D26" s="126"/>
      <c r="E26" s="87"/>
      <c r="F26" s="132"/>
      <c r="G26" s="131" t="s">
        <v>816</v>
      </c>
      <c r="H26" s="132"/>
      <c r="I26" s="87">
        <v>1993.0</v>
      </c>
      <c r="J26" s="87"/>
      <c r="K26" s="132"/>
      <c r="L26" s="126"/>
      <c r="M26" s="126"/>
      <c r="N26" s="127"/>
      <c r="O26" s="126"/>
      <c r="P26" s="126"/>
      <c r="Q26" s="127"/>
      <c r="R26" s="126"/>
      <c r="S26" s="126"/>
      <c r="T26" s="127"/>
      <c r="U26" s="87" t="s">
        <v>2282</v>
      </c>
      <c r="V26" s="87" t="s">
        <v>3390</v>
      </c>
      <c r="W26" s="132"/>
      <c r="X26" s="87"/>
      <c r="Y26" s="87"/>
      <c r="Z26" s="132"/>
      <c r="AA26" s="87"/>
      <c r="AB26" s="87"/>
      <c r="AC26" s="132"/>
      <c r="AD26" s="87"/>
      <c r="AE26" s="87"/>
      <c r="AF26" s="126"/>
      <c r="AG26" s="127"/>
      <c r="AH26" s="126"/>
      <c r="AI26" s="126"/>
      <c r="AJ26" s="127"/>
      <c r="AK26" s="126"/>
      <c r="AL26" s="126"/>
      <c r="AM26" s="127"/>
      <c r="AN26" s="126"/>
      <c r="AO26" s="126"/>
      <c r="AP26" s="127"/>
      <c r="AQ26" s="126"/>
      <c r="AR26" s="126"/>
      <c r="AS26" s="127"/>
      <c r="AT26" s="126"/>
      <c r="AU26" s="126"/>
      <c r="AV26" s="127"/>
      <c r="AW26" s="87"/>
      <c r="AX26" s="126"/>
      <c r="AY26" s="127"/>
      <c r="AZ26" s="126"/>
      <c r="BA26" s="126"/>
      <c r="BB26" s="127"/>
      <c r="BC26" s="126"/>
      <c r="BD26" s="134"/>
      <c r="BE26" s="127"/>
      <c r="BF26" s="126"/>
      <c r="BG26" s="126"/>
      <c r="BH26" s="126"/>
      <c r="BI26" s="126"/>
      <c r="BJ26" s="126"/>
      <c r="BK26" s="126"/>
      <c r="BL26" s="126"/>
      <c r="BM26" s="126"/>
      <c r="BN26" s="126"/>
      <c r="BO26" s="126"/>
      <c r="BP26" s="126"/>
      <c r="BQ26" s="126"/>
      <c r="BR26" s="126"/>
      <c r="BS26" s="126"/>
      <c r="BT26" s="126"/>
      <c r="BU26" s="126"/>
      <c r="BV26" s="126"/>
      <c r="BW26" s="126"/>
      <c r="BX26" s="126"/>
    </row>
    <row r="27">
      <c r="A27" s="126"/>
      <c r="B27" s="126"/>
      <c r="C27" s="127"/>
      <c r="D27" s="126"/>
      <c r="E27" s="126"/>
      <c r="F27" s="127"/>
      <c r="G27" s="131" t="s">
        <v>850</v>
      </c>
      <c r="H27" s="127"/>
      <c r="I27" s="87">
        <v>1994.0</v>
      </c>
      <c r="J27" s="87"/>
      <c r="K27" s="127"/>
      <c r="L27" s="126"/>
      <c r="M27" s="126"/>
      <c r="N27" s="127"/>
      <c r="O27" s="126"/>
      <c r="P27" s="126"/>
      <c r="Q27" s="127"/>
      <c r="R27" s="126"/>
      <c r="S27" s="126"/>
      <c r="T27" s="127"/>
      <c r="U27" s="87" t="s">
        <v>3391</v>
      </c>
      <c r="V27" s="87"/>
      <c r="W27" s="127"/>
      <c r="X27" s="126"/>
      <c r="Y27" s="126"/>
      <c r="Z27" s="127"/>
      <c r="AA27" s="126"/>
      <c r="AB27" s="126"/>
      <c r="AC27" s="127"/>
      <c r="AD27" s="126"/>
      <c r="AE27" s="126"/>
      <c r="AF27" s="126"/>
      <c r="AG27" s="127"/>
      <c r="AH27" s="126"/>
      <c r="AI27" s="126"/>
      <c r="AJ27" s="127"/>
      <c r="AK27" s="126"/>
      <c r="AL27" s="126"/>
      <c r="AM27" s="127"/>
      <c r="AN27" s="126"/>
      <c r="AO27" s="126"/>
      <c r="AP27" s="127"/>
      <c r="AQ27" s="126"/>
      <c r="AR27" s="126"/>
      <c r="AS27" s="127"/>
      <c r="AT27" s="126"/>
      <c r="AU27" s="126"/>
      <c r="AV27" s="127"/>
      <c r="AW27" s="87" t="s">
        <v>306</v>
      </c>
      <c r="AX27" s="3" t="s">
        <v>3389</v>
      </c>
      <c r="AY27" s="127"/>
      <c r="AZ27" s="126"/>
      <c r="BA27" s="126"/>
      <c r="BB27" s="127"/>
      <c r="BC27" s="126"/>
      <c r="BD27" s="134"/>
      <c r="BE27" s="127"/>
      <c r="BF27" s="126"/>
      <c r="BG27" s="126"/>
      <c r="BH27" s="126"/>
      <c r="BI27" s="126"/>
      <c r="BJ27" s="126"/>
      <c r="BK27" s="126"/>
      <c r="BL27" s="126"/>
      <c r="BM27" s="126"/>
      <c r="BN27" s="126"/>
      <c r="BO27" s="126"/>
      <c r="BP27" s="126"/>
      <c r="BQ27" s="126"/>
      <c r="BR27" s="126"/>
      <c r="BS27" s="126"/>
      <c r="BT27" s="126"/>
      <c r="BU27" s="126"/>
      <c r="BV27" s="126"/>
      <c r="BW27" s="126"/>
      <c r="BX27" s="126"/>
    </row>
    <row r="28">
      <c r="A28" s="126"/>
      <c r="B28" s="126"/>
      <c r="C28" s="127"/>
      <c r="D28" s="126"/>
      <c r="E28" s="126"/>
      <c r="F28" s="127"/>
      <c r="G28" s="131" t="s">
        <v>861</v>
      </c>
      <c r="H28" s="127"/>
      <c r="I28" s="87">
        <v>1995.0</v>
      </c>
      <c r="J28" s="87"/>
      <c r="K28" s="127"/>
      <c r="L28" s="126"/>
      <c r="M28" s="126"/>
      <c r="N28" s="127"/>
      <c r="O28" s="126"/>
      <c r="P28" s="126"/>
      <c r="Q28" s="127"/>
      <c r="R28" s="126"/>
      <c r="S28" s="126"/>
      <c r="T28" s="127"/>
      <c r="U28" s="87" t="s">
        <v>3392</v>
      </c>
      <c r="V28" s="87"/>
      <c r="W28" s="127"/>
      <c r="X28" s="126"/>
      <c r="Y28" s="126"/>
      <c r="Z28" s="127"/>
      <c r="AA28" s="126"/>
      <c r="AB28" s="126"/>
      <c r="AC28" s="127"/>
      <c r="AD28" s="126"/>
      <c r="AE28" s="126"/>
      <c r="AF28" s="126"/>
      <c r="AG28" s="127"/>
      <c r="AH28" s="126"/>
      <c r="AI28" s="126"/>
      <c r="AJ28" s="127"/>
      <c r="AK28" s="126"/>
      <c r="AL28" s="126"/>
      <c r="AM28" s="127"/>
      <c r="AN28" s="126"/>
      <c r="AO28" s="126"/>
      <c r="AP28" s="127"/>
      <c r="AQ28" s="126"/>
      <c r="AR28" s="126"/>
      <c r="AS28" s="127"/>
      <c r="AT28" s="126"/>
      <c r="AU28" s="126"/>
      <c r="AV28" s="127"/>
      <c r="AW28" s="87" t="s">
        <v>184</v>
      </c>
      <c r="AX28" s="3" t="s">
        <v>3389</v>
      </c>
      <c r="AY28" s="127"/>
      <c r="AZ28" s="126"/>
      <c r="BA28" s="126"/>
      <c r="BB28" s="127"/>
      <c r="BC28" s="126"/>
      <c r="BD28" s="134"/>
      <c r="BE28" s="127"/>
      <c r="BF28" s="126"/>
      <c r="BG28" s="126"/>
      <c r="BH28" s="126"/>
      <c r="BI28" s="126"/>
      <c r="BJ28" s="126"/>
      <c r="BK28" s="126"/>
      <c r="BL28" s="126"/>
      <c r="BM28" s="126"/>
      <c r="BN28" s="126"/>
      <c r="BO28" s="126"/>
      <c r="BP28" s="126"/>
      <c r="BQ28" s="126"/>
      <c r="BR28" s="126"/>
      <c r="BS28" s="126"/>
      <c r="BT28" s="126"/>
      <c r="BU28" s="126"/>
      <c r="BV28" s="126"/>
      <c r="BW28" s="126"/>
      <c r="BX28" s="126"/>
    </row>
    <row r="29">
      <c r="A29" s="126"/>
      <c r="B29" s="126"/>
      <c r="C29" s="127"/>
      <c r="D29" s="126"/>
      <c r="E29" s="126"/>
      <c r="F29" s="127"/>
      <c r="G29" s="131" t="s">
        <v>872</v>
      </c>
      <c r="H29" s="127"/>
      <c r="I29" s="87">
        <v>1996.0</v>
      </c>
      <c r="J29" s="87"/>
      <c r="K29" s="127"/>
      <c r="L29" s="126"/>
      <c r="M29" s="126"/>
      <c r="N29" s="127"/>
      <c r="O29" s="126"/>
      <c r="P29" s="126"/>
      <c r="Q29" s="127"/>
      <c r="R29" s="126"/>
      <c r="S29" s="126"/>
      <c r="T29" s="127"/>
      <c r="U29" s="87" t="s">
        <v>3393</v>
      </c>
      <c r="V29" s="87"/>
      <c r="W29" s="127"/>
      <c r="X29" s="126"/>
      <c r="Y29" s="126"/>
      <c r="Z29" s="127"/>
      <c r="AA29" s="126"/>
      <c r="AB29" s="126"/>
      <c r="AC29" s="127"/>
      <c r="AD29" s="126"/>
      <c r="AE29" s="126"/>
      <c r="AF29" s="126"/>
      <c r="AG29" s="127"/>
      <c r="AH29" s="126"/>
      <c r="AI29" s="126"/>
      <c r="AJ29" s="127"/>
      <c r="AK29" s="126"/>
      <c r="AL29" s="126"/>
      <c r="AM29" s="127"/>
      <c r="AN29" s="126"/>
      <c r="AO29" s="126"/>
      <c r="AP29" s="127"/>
      <c r="AQ29" s="126"/>
      <c r="AR29" s="126"/>
      <c r="AS29" s="127"/>
      <c r="AT29" s="126"/>
      <c r="AU29" s="126"/>
      <c r="AV29" s="127"/>
      <c r="AW29" s="87" t="s">
        <v>929</v>
      </c>
      <c r="AX29" s="3" t="s">
        <v>3389</v>
      </c>
      <c r="AY29" s="127"/>
      <c r="AZ29" s="126"/>
      <c r="BA29" s="126"/>
      <c r="BB29" s="127"/>
      <c r="BC29" s="126"/>
      <c r="BD29" s="134"/>
      <c r="BE29" s="127"/>
      <c r="BF29" s="126"/>
      <c r="BG29" s="126"/>
      <c r="BH29" s="126"/>
      <c r="BI29" s="126"/>
      <c r="BJ29" s="126"/>
      <c r="BK29" s="126"/>
      <c r="BL29" s="126"/>
      <c r="BM29" s="126"/>
      <c r="BN29" s="126"/>
      <c r="BO29" s="126"/>
      <c r="BP29" s="126"/>
      <c r="BQ29" s="126"/>
      <c r="BR29" s="126"/>
      <c r="BS29" s="126"/>
      <c r="BT29" s="126"/>
      <c r="BU29" s="126"/>
      <c r="BV29" s="126"/>
      <c r="BW29" s="126"/>
      <c r="BX29" s="126"/>
    </row>
    <row r="30">
      <c r="A30" s="126"/>
      <c r="B30" s="126"/>
      <c r="C30" s="127"/>
      <c r="D30" s="126"/>
      <c r="E30" s="126"/>
      <c r="F30" s="127"/>
      <c r="G30" s="131" t="s">
        <v>877</v>
      </c>
      <c r="H30" s="127"/>
      <c r="I30" s="87">
        <v>1997.0</v>
      </c>
      <c r="J30" s="87"/>
      <c r="K30" s="127"/>
      <c r="L30" s="126"/>
      <c r="M30" s="126"/>
      <c r="N30" s="127"/>
      <c r="O30" s="126"/>
      <c r="P30" s="126"/>
      <c r="Q30" s="127"/>
      <c r="R30" s="126"/>
      <c r="S30" s="126"/>
      <c r="T30" s="127"/>
      <c r="U30" s="87" t="s">
        <v>3394</v>
      </c>
      <c r="V30" s="87"/>
      <c r="W30" s="127"/>
      <c r="X30" s="126"/>
      <c r="Y30" s="126"/>
      <c r="Z30" s="127"/>
      <c r="AA30" s="126"/>
      <c r="AB30" s="126"/>
      <c r="AC30" s="127"/>
      <c r="AD30" s="126"/>
      <c r="AE30" s="126"/>
      <c r="AF30" s="126"/>
      <c r="AG30" s="127"/>
      <c r="AH30" s="126"/>
      <c r="AI30" s="126"/>
      <c r="AJ30" s="127"/>
      <c r="AK30" s="126"/>
      <c r="AL30" s="126"/>
      <c r="AM30" s="127"/>
      <c r="AN30" s="126"/>
      <c r="AO30" s="126"/>
      <c r="AP30" s="127"/>
      <c r="AQ30" s="126"/>
      <c r="AR30" s="126"/>
      <c r="AS30" s="127"/>
      <c r="AT30" s="126"/>
      <c r="AU30" s="126"/>
      <c r="AV30" s="127"/>
      <c r="AW30" s="26" t="s">
        <v>821</v>
      </c>
      <c r="AX30" s="126"/>
      <c r="AY30" s="127"/>
      <c r="AZ30" s="126"/>
      <c r="BA30" s="126"/>
      <c r="BB30" s="127"/>
      <c r="BC30" s="126"/>
      <c r="BD30" s="134"/>
      <c r="BE30" s="127"/>
      <c r="BF30" s="126"/>
      <c r="BG30" s="126"/>
      <c r="BH30" s="126"/>
      <c r="BI30" s="126"/>
      <c r="BJ30" s="126"/>
      <c r="BK30" s="126"/>
      <c r="BL30" s="126"/>
      <c r="BM30" s="126"/>
      <c r="BN30" s="126"/>
      <c r="BO30" s="126"/>
      <c r="BP30" s="126"/>
      <c r="BQ30" s="126"/>
      <c r="BR30" s="126"/>
      <c r="BS30" s="126"/>
      <c r="BT30" s="126"/>
      <c r="BU30" s="126"/>
      <c r="BV30" s="126"/>
      <c r="BW30" s="126"/>
      <c r="BX30" s="126"/>
    </row>
    <row r="31">
      <c r="A31" s="126"/>
      <c r="B31" s="126"/>
      <c r="C31" s="127"/>
      <c r="D31" s="126"/>
      <c r="E31" s="126"/>
      <c r="F31" s="127"/>
      <c r="G31" s="131" t="s">
        <v>896</v>
      </c>
      <c r="H31" s="127"/>
      <c r="I31" s="87">
        <v>1998.0</v>
      </c>
      <c r="J31" s="87"/>
      <c r="K31" s="127"/>
      <c r="L31" s="126"/>
      <c r="M31" s="126"/>
      <c r="N31" s="127"/>
      <c r="O31" s="126"/>
      <c r="P31" s="126"/>
      <c r="Q31" s="127"/>
      <c r="R31" s="126"/>
      <c r="S31" s="126"/>
      <c r="T31" s="127"/>
      <c r="U31" s="87" t="s">
        <v>1556</v>
      </c>
      <c r="V31" s="87"/>
      <c r="W31" s="127"/>
      <c r="X31" s="126"/>
      <c r="Y31" s="126"/>
      <c r="Z31" s="127"/>
      <c r="AA31" s="126"/>
      <c r="AB31" s="126"/>
      <c r="AC31" s="127"/>
      <c r="AD31" s="126"/>
      <c r="AE31" s="126"/>
      <c r="AF31" s="126"/>
      <c r="AG31" s="127"/>
      <c r="AH31" s="126"/>
      <c r="AI31" s="126"/>
      <c r="AJ31" s="127"/>
      <c r="AK31" s="126"/>
      <c r="AL31" s="126"/>
      <c r="AM31" s="127"/>
      <c r="AN31" s="126"/>
      <c r="AO31" s="126"/>
      <c r="AP31" s="127"/>
      <c r="AQ31" s="126"/>
      <c r="AR31" s="126"/>
      <c r="AS31" s="127"/>
      <c r="AT31" s="126"/>
      <c r="AU31" s="126"/>
      <c r="AV31" s="127"/>
      <c r="AW31" s="26" t="s">
        <v>1993</v>
      </c>
      <c r="AX31" s="126"/>
      <c r="AY31" s="127"/>
      <c r="AZ31" s="126"/>
      <c r="BA31" s="126"/>
      <c r="BB31" s="127"/>
      <c r="BD31" s="134"/>
      <c r="BE31" s="127"/>
      <c r="BF31" s="126"/>
      <c r="BG31" s="126"/>
      <c r="BH31" s="126"/>
      <c r="BI31" s="126"/>
      <c r="BJ31" s="126"/>
      <c r="BK31" s="126"/>
      <c r="BL31" s="126"/>
      <c r="BM31" s="126"/>
      <c r="BN31" s="126"/>
      <c r="BO31" s="126"/>
      <c r="BP31" s="126"/>
      <c r="BQ31" s="126"/>
      <c r="BR31" s="126"/>
      <c r="BS31" s="126"/>
      <c r="BT31" s="126"/>
      <c r="BU31" s="126"/>
      <c r="BV31" s="126"/>
      <c r="BW31" s="126"/>
      <c r="BX31" s="126"/>
    </row>
    <row r="32">
      <c r="A32" s="126"/>
      <c r="B32" s="126"/>
      <c r="C32" s="127"/>
      <c r="D32" s="126"/>
      <c r="E32" s="87"/>
      <c r="F32" s="132"/>
      <c r="G32" s="131" t="s">
        <v>908</v>
      </c>
      <c r="H32" s="132"/>
      <c r="I32" s="87">
        <v>1999.0</v>
      </c>
      <c r="J32" s="87"/>
      <c r="K32" s="132"/>
      <c r="L32" s="126"/>
      <c r="M32" s="126"/>
      <c r="N32" s="127"/>
      <c r="O32" s="126"/>
      <c r="P32" s="126"/>
      <c r="Q32" s="127"/>
      <c r="R32" s="126"/>
      <c r="S32" s="126"/>
      <c r="T32" s="127"/>
      <c r="U32" s="87" t="s">
        <v>337</v>
      </c>
      <c r="V32" s="87" t="s">
        <v>3395</v>
      </c>
      <c r="W32" s="132"/>
      <c r="X32" s="87"/>
      <c r="Y32" s="87"/>
      <c r="Z32" s="132"/>
      <c r="AA32" s="87"/>
      <c r="AB32" s="87"/>
      <c r="AC32" s="132"/>
      <c r="AD32" s="87"/>
      <c r="AE32" s="87"/>
      <c r="AF32" s="126"/>
      <c r="AG32" s="127"/>
      <c r="AH32" s="126"/>
      <c r="AI32" s="126"/>
      <c r="AJ32" s="127"/>
      <c r="AK32" s="126"/>
      <c r="AL32" s="126"/>
      <c r="AM32" s="127"/>
      <c r="AN32" s="126"/>
      <c r="AO32" s="126"/>
      <c r="AP32" s="127"/>
      <c r="AQ32" s="126"/>
      <c r="AR32" s="126"/>
      <c r="AS32" s="127"/>
      <c r="AT32" s="126"/>
      <c r="AU32" s="126"/>
      <c r="AV32" s="127"/>
      <c r="AW32" s="87" t="s">
        <v>662</v>
      </c>
      <c r="AX32" s="126"/>
      <c r="AY32" s="127"/>
      <c r="AZ32" s="126"/>
      <c r="BA32" s="126"/>
      <c r="BB32" s="127"/>
      <c r="BC32" s="126"/>
      <c r="BD32" s="134"/>
      <c r="BE32" s="127"/>
      <c r="BF32" s="126"/>
      <c r="BG32" s="126"/>
      <c r="BH32" s="126"/>
      <c r="BI32" s="126"/>
      <c r="BJ32" s="126"/>
      <c r="BK32" s="126"/>
      <c r="BL32" s="126"/>
      <c r="BM32" s="126"/>
      <c r="BN32" s="126"/>
      <c r="BO32" s="126"/>
      <c r="BP32" s="126"/>
      <c r="BQ32" s="126"/>
      <c r="BR32" s="126"/>
      <c r="BS32" s="126"/>
      <c r="BT32" s="126"/>
      <c r="BU32" s="126"/>
      <c r="BV32" s="126"/>
      <c r="BW32" s="126"/>
      <c r="BX32" s="126"/>
    </row>
    <row r="33">
      <c r="A33" s="126"/>
      <c r="B33" s="126"/>
      <c r="C33" s="127"/>
      <c r="D33" s="126"/>
      <c r="E33" s="87"/>
      <c r="F33" s="132"/>
      <c r="G33" s="131" t="s">
        <v>924</v>
      </c>
      <c r="H33" s="132"/>
      <c r="I33" s="87">
        <v>2000.0</v>
      </c>
      <c r="J33" s="87"/>
      <c r="K33" s="132"/>
      <c r="L33" s="126"/>
      <c r="M33" s="126"/>
      <c r="N33" s="127"/>
      <c r="O33" s="126"/>
      <c r="P33" s="126"/>
      <c r="Q33" s="127"/>
      <c r="R33" s="126"/>
      <c r="S33" s="126"/>
      <c r="T33" s="127"/>
      <c r="U33" s="87" t="s">
        <v>3396</v>
      </c>
      <c r="V33" s="87"/>
      <c r="W33" s="132"/>
      <c r="X33" s="87"/>
      <c r="Y33" s="87"/>
      <c r="Z33" s="132"/>
      <c r="AA33" s="87"/>
      <c r="AB33" s="87"/>
      <c r="AC33" s="132"/>
      <c r="AD33" s="87"/>
      <c r="AE33" s="87"/>
      <c r="AF33" s="126"/>
      <c r="AG33" s="127"/>
      <c r="AH33" s="126"/>
      <c r="AI33" s="126"/>
      <c r="AJ33" s="127"/>
      <c r="AK33" s="126"/>
      <c r="AL33" s="126"/>
      <c r="AM33" s="127"/>
      <c r="AN33" s="126"/>
      <c r="AO33" s="126"/>
      <c r="AP33" s="127"/>
      <c r="AQ33" s="126"/>
      <c r="AR33" s="126"/>
      <c r="AS33" s="127"/>
      <c r="AT33" s="126"/>
      <c r="AU33" s="126"/>
      <c r="AV33" s="127"/>
      <c r="AW33" s="87" t="s">
        <v>869</v>
      </c>
      <c r="AX33" s="3" t="s">
        <v>3389</v>
      </c>
      <c r="AY33" s="127"/>
      <c r="AZ33" s="126"/>
      <c r="BA33" s="126"/>
      <c r="BB33" s="127"/>
      <c r="BC33" s="126"/>
      <c r="BD33" s="134"/>
      <c r="BE33" s="127"/>
      <c r="BF33" s="126"/>
      <c r="BG33" s="126"/>
      <c r="BH33" s="126"/>
      <c r="BI33" s="126"/>
      <c r="BJ33" s="126"/>
      <c r="BK33" s="126"/>
      <c r="BL33" s="126"/>
      <c r="BM33" s="126"/>
      <c r="BN33" s="126"/>
      <c r="BO33" s="126"/>
      <c r="BP33" s="126"/>
      <c r="BQ33" s="126"/>
      <c r="BR33" s="126"/>
      <c r="BS33" s="126"/>
      <c r="BT33" s="126"/>
      <c r="BU33" s="126"/>
      <c r="BV33" s="126"/>
      <c r="BW33" s="126"/>
      <c r="BX33" s="126"/>
    </row>
    <row r="34">
      <c r="A34" s="126"/>
      <c r="B34" s="126"/>
      <c r="C34" s="127"/>
      <c r="D34" s="126"/>
      <c r="E34" s="87"/>
      <c r="F34" s="132"/>
      <c r="G34" s="131" t="s">
        <v>934</v>
      </c>
      <c r="H34" s="132"/>
      <c r="I34" s="87">
        <v>2001.0</v>
      </c>
      <c r="J34" s="87"/>
      <c r="K34" s="132"/>
      <c r="L34" s="126"/>
      <c r="M34" s="126"/>
      <c r="N34" s="127"/>
      <c r="O34" s="126"/>
      <c r="P34" s="126"/>
      <c r="Q34" s="127"/>
      <c r="R34" s="126"/>
      <c r="S34" s="126"/>
      <c r="T34" s="127"/>
      <c r="U34" s="87" t="s">
        <v>3397</v>
      </c>
      <c r="V34" s="87"/>
      <c r="W34" s="132"/>
      <c r="X34" s="87"/>
      <c r="Y34" s="87"/>
      <c r="Z34" s="132"/>
      <c r="AA34" s="87"/>
      <c r="AB34" s="87"/>
      <c r="AC34" s="132"/>
      <c r="AD34" s="87"/>
      <c r="AE34" s="87"/>
      <c r="AF34" s="126"/>
      <c r="AG34" s="127"/>
      <c r="AH34" s="126"/>
      <c r="AI34" s="126"/>
      <c r="AJ34" s="127"/>
      <c r="AK34" s="126"/>
      <c r="AL34" s="126"/>
      <c r="AM34" s="127"/>
      <c r="AN34" s="126"/>
      <c r="AO34" s="126"/>
      <c r="AP34" s="127"/>
      <c r="AQ34" s="126"/>
      <c r="AR34" s="126"/>
      <c r="AS34" s="127"/>
      <c r="AT34" s="126"/>
      <c r="AU34" s="126"/>
      <c r="AV34" s="127"/>
      <c r="AW34" s="130"/>
      <c r="AX34" s="126"/>
      <c r="AY34" s="127"/>
      <c r="AZ34" s="126"/>
      <c r="BA34" s="126"/>
      <c r="BB34" s="127"/>
      <c r="BC34" s="126"/>
      <c r="BD34" s="134"/>
      <c r="BE34" s="127"/>
      <c r="BF34" s="126"/>
      <c r="BG34" s="126"/>
      <c r="BH34" s="126"/>
      <c r="BI34" s="126"/>
      <c r="BJ34" s="126"/>
      <c r="BK34" s="126"/>
      <c r="BL34" s="126"/>
      <c r="BM34" s="126"/>
      <c r="BN34" s="126"/>
      <c r="BO34" s="126"/>
      <c r="BP34" s="126"/>
      <c r="BQ34" s="126"/>
      <c r="BR34" s="126"/>
      <c r="BS34" s="126"/>
      <c r="BT34" s="126"/>
      <c r="BU34" s="126"/>
      <c r="BV34" s="126"/>
      <c r="BW34" s="126"/>
      <c r="BX34" s="126"/>
    </row>
    <row r="35">
      <c r="A35" s="126"/>
      <c r="B35" s="126"/>
      <c r="C35" s="127"/>
      <c r="D35" s="126"/>
      <c r="E35" s="87"/>
      <c r="F35" s="132"/>
      <c r="G35" s="131" t="s">
        <v>989</v>
      </c>
      <c r="H35" s="132"/>
      <c r="I35" s="87">
        <v>2002.0</v>
      </c>
      <c r="J35" s="87"/>
      <c r="K35" s="132"/>
      <c r="L35" s="126"/>
      <c r="M35" s="126"/>
      <c r="N35" s="127"/>
      <c r="O35" s="126"/>
      <c r="P35" s="126"/>
      <c r="Q35" s="127"/>
      <c r="R35" s="126"/>
      <c r="S35" s="126"/>
      <c r="T35" s="127"/>
      <c r="U35" s="87" t="s">
        <v>2763</v>
      </c>
      <c r="V35" s="87"/>
      <c r="W35" s="132"/>
      <c r="X35" s="87"/>
      <c r="Y35" s="87"/>
      <c r="Z35" s="132"/>
      <c r="AA35" s="87"/>
      <c r="AB35" s="87"/>
      <c r="AC35" s="132"/>
      <c r="AD35" s="87"/>
      <c r="AE35" s="87"/>
      <c r="AF35" s="126"/>
      <c r="AG35" s="127"/>
      <c r="AH35" s="126"/>
      <c r="AI35" s="126"/>
      <c r="AJ35" s="127"/>
      <c r="AK35" s="126"/>
      <c r="AL35" s="126"/>
      <c r="AM35" s="127"/>
      <c r="AN35" s="126"/>
      <c r="AO35" s="126"/>
      <c r="AP35" s="127"/>
      <c r="AQ35" s="126"/>
      <c r="AR35" s="126"/>
      <c r="AS35" s="127"/>
      <c r="AT35" s="126"/>
      <c r="AU35" s="126"/>
      <c r="AV35" s="127"/>
      <c r="AW35" s="126"/>
      <c r="AX35" s="126"/>
      <c r="AY35" s="127"/>
      <c r="AZ35" s="126"/>
      <c r="BA35" s="126"/>
      <c r="BB35" s="127"/>
      <c r="BC35" s="126"/>
      <c r="BD35" s="134"/>
      <c r="BE35" s="127"/>
      <c r="BF35" s="126"/>
      <c r="BG35" s="126"/>
      <c r="BH35" s="126"/>
      <c r="BI35" s="126"/>
      <c r="BJ35" s="126"/>
      <c r="BK35" s="126"/>
      <c r="BL35" s="126"/>
      <c r="BM35" s="126"/>
      <c r="BN35" s="126"/>
      <c r="BO35" s="126"/>
      <c r="BP35" s="126"/>
      <c r="BQ35" s="126"/>
      <c r="BR35" s="126"/>
      <c r="BS35" s="126"/>
      <c r="BT35" s="126"/>
      <c r="BU35" s="126"/>
      <c r="BV35" s="126"/>
      <c r="BW35" s="126"/>
      <c r="BX35" s="126"/>
    </row>
    <row r="36">
      <c r="A36" s="126"/>
      <c r="B36" s="126"/>
      <c r="C36" s="127"/>
      <c r="D36" s="126"/>
      <c r="E36" s="87"/>
      <c r="F36" s="132"/>
      <c r="G36" s="131" t="s">
        <v>1002</v>
      </c>
      <c r="H36" s="132"/>
      <c r="I36" s="87">
        <v>2003.0</v>
      </c>
      <c r="J36" s="87"/>
      <c r="K36" s="132"/>
      <c r="L36" s="126"/>
      <c r="M36" s="126"/>
      <c r="N36" s="127"/>
      <c r="O36" s="126"/>
      <c r="P36" s="126"/>
      <c r="Q36" s="127"/>
      <c r="R36" s="126"/>
      <c r="S36" s="126"/>
      <c r="T36" s="127"/>
      <c r="U36" s="87" t="s">
        <v>3224</v>
      </c>
      <c r="V36" s="87" t="s">
        <v>3398</v>
      </c>
      <c r="W36" s="132"/>
      <c r="X36" s="87"/>
      <c r="Y36" s="87"/>
      <c r="Z36" s="132"/>
      <c r="AA36" s="87"/>
      <c r="AB36" s="87"/>
      <c r="AC36" s="132"/>
      <c r="AD36" s="87"/>
      <c r="AE36" s="87"/>
      <c r="AF36" s="126"/>
      <c r="AG36" s="127"/>
      <c r="AH36" s="126"/>
      <c r="AI36" s="126"/>
      <c r="AJ36" s="127"/>
      <c r="AK36" s="126"/>
      <c r="AL36" s="126"/>
      <c r="AM36" s="127"/>
      <c r="AN36" s="126"/>
      <c r="AO36" s="126"/>
      <c r="AP36" s="127"/>
      <c r="AQ36" s="126"/>
      <c r="AR36" s="126"/>
      <c r="AS36" s="127"/>
      <c r="AT36" s="126"/>
      <c r="AU36" s="126"/>
      <c r="AV36" s="127"/>
      <c r="AW36" s="126"/>
      <c r="AX36" s="126"/>
      <c r="AY36" s="127"/>
      <c r="AZ36" s="126"/>
      <c r="BA36" s="126"/>
      <c r="BB36" s="127"/>
      <c r="BC36" s="126"/>
      <c r="BD36" s="134"/>
      <c r="BE36" s="127"/>
      <c r="BF36" s="126"/>
      <c r="BG36" s="126"/>
      <c r="BH36" s="126"/>
      <c r="BI36" s="126"/>
      <c r="BJ36" s="126"/>
      <c r="BK36" s="126"/>
      <c r="BL36" s="126"/>
      <c r="BM36" s="126"/>
      <c r="BN36" s="126"/>
      <c r="BO36" s="126"/>
      <c r="BP36" s="126"/>
      <c r="BQ36" s="126"/>
      <c r="BR36" s="126"/>
      <c r="BS36" s="126"/>
      <c r="BT36" s="126"/>
      <c r="BU36" s="126"/>
      <c r="BV36" s="126"/>
      <c r="BW36" s="126"/>
      <c r="BX36" s="126"/>
    </row>
    <row r="37">
      <c r="A37" s="126"/>
      <c r="B37" s="126"/>
      <c r="C37" s="127"/>
      <c r="D37" s="126"/>
      <c r="E37" s="87"/>
      <c r="F37" s="132"/>
      <c r="G37" s="131" t="s">
        <v>1015</v>
      </c>
      <c r="H37" s="132"/>
      <c r="I37" s="87">
        <v>2004.0</v>
      </c>
      <c r="J37" s="87"/>
      <c r="K37" s="132"/>
      <c r="L37" s="126"/>
      <c r="M37" s="126"/>
      <c r="N37" s="127"/>
      <c r="O37" s="126"/>
      <c r="P37" s="126"/>
      <c r="Q37" s="127"/>
      <c r="R37" s="126"/>
      <c r="S37" s="126"/>
      <c r="T37" s="127"/>
      <c r="U37" s="87" t="s">
        <v>2217</v>
      </c>
      <c r="V37" s="87"/>
      <c r="W37" s="132"/>
      <c r="X37" s="87"/>
      <c r="Y37" s="87"/>
      <c r="Z37" s="132"/>
      <c r="AA37" s="87"/>
      <c r="AB37" s="87"/>
      <c r="AC37" s="132"/>
      <c r="AD37" s="87"/>
      <c r="AE37" s="87"/>
      <c r="AF37" s="126"/>
      <c r="AG37" s="127"/>
      <c r="AH37" s="126"/>
      <c r="AI37" s="126"/>
      <c r="AJ37" s="127"/>
      <c r="AK37" s="126"/>
      <c r="AL37" s="126"/>
      <c r="AM37" s="127"/>
      <c r="AN37" s="126"/>
      <c r="AO37" s="126"/>
      <c r="AP37" s="127"/>
      <c r="AQ37" s="126"/>
      <c r="AR37" s="126"/>
      <c r="AS37" s="127"/>
      <c r="AT37" s="126"/>
      <c r="AU37" s="126"/>
      <c r="AV37" s="127"/>
      <c r="AW37" s="126"/>
      <c r="AX37" s="126"/>
      <c r="AY37" s="127"/>
      <c r="AZ37" s="126"/>
      <c r="BA37" s="126"/>
      <c r="BB37" s="127"/>
      <c r="BC37" s="126"/>
      <c r="BD37" s="134"/>
      <c r="BE37" s="127"/>
      <c r="BF37" s="126"/>
      <c r="BG37" s="126"/>
      <c r="BH37" s="126"/>
      <c r="BI37" s="126"/>
      <c r="BJ37" s="126"/>
      <c r="BK37" s="126"/>
      <c r="BL37" s="126"/>
      <c r="BM37" s="126"/>
      <c r="BN37" s="126"/>
      <c r="BO37" s="126"/>
      <c r="BP37" s="126"/>
      <c r="BQ37" s="126"/>
      <c r="BR37" s="126"/>
      <c r="BS37" s="126"/>
      <c r="BT37" s="126"/>
      <c r="BU37" s="126"/>
      <c r="BV37" s="126"/>
      <c r="BW37" s="126"/>
      <c r="BX37" s="126"/>
    </row>
    <row r="38">
      <c r="A38" s="126"/>
      <c r="B38" s="126"/>
      <c r="C38" s="127"/>
      <c r="D38" s="126"/>
      <c r="E38" s="87"/>
      <c r="F38" s="132"/>
      <c r="G38" s="131" t="s">
        <v>1080</v>
      </c>
      <c r="H38" s="132"/>
      <c r="I38" s="87">
        <v>2005.0</v>
      </c>
      <c r="J38" s="87"/>
      <c r="K38" s="132"/>
      <c r="L38" s="126"/>
      <c r="M38" s="126"/>
      <c r="N38" s="127"/>
      <c r="O38" s="126"/>
      <c r="P38" s="126"/>
      <c r="Q38" s="127"/>
      <c r="R38" s="126"/>
      <c r="S38" s="126"/>
      <c r="T38" s="127"/>
      <c r="U38" s="87" t="s">
        <v>149</v>
      </c>
      <c r="V38" s="87"/>
      <c r="W38" s="132"/>
      <c r="X38" s="87"/>
      <c r="Y38" s="87"/>
      <c r="Z38" s="132"/>
      <c r="AA38" s="87"/>
      <c r="AB38" s="87"/>
      <c r="AC38" s="132"/>
      <c r="AD38" s="87"/>
      <c r="AE38" s="87"/>
      <c r="AF38" s="126"/>
      <c r="AG38" s="127"/>
      <c r="AH38" s="126"/>
      <c r="AI38" s="126"/>
      <c r="AJ38" s="127"/>
      <c r="AK38" s="126"/>
      <c r="AL38" s="126"/>
      <c r="AM38" s="127"/>
      <c r="AN38" s="126"/>
      <c r="AO38" s="126"/>
      <c r="AP38" s="127"/>
      <c r="AQ38" s="126"/>
      <c r="AR38" s="126"/>
      <c r="AS38" s="127"/>
      <c r="AT38" s="126"/>
      <c r="AU38" s="126"/>
      <c r="AV38" s="127"/>
      <c r="AW38" s="126"/>
      <c r="AX38" s="126"/>
      <c r="AY38" s="127"/>
      <c r="AZ38" s="126"/>
      <c r="BA38" s="126"/>
      <c r="BB38" s="127"/>
      <c r="BC38" s="126"/>
      <c r="BD38" s="134"/>
      <c r="BE38" s="127"/>
      <c r="BF38" s="126"/>
      <c r="BG38" s="126"/>
      <c r="BH38" s="126"/>
      <c r="BI38" s="126"/>
      <c r="BJ38" s="126"/>
      <c r="BK38" s="126"/>
      <c r="BL38" s="126"/>
      <c r="BM38" s="126"/>
      <c r="BN38" s="126"/>
      <c r="BO38" s="126"/>
      <c r="BP38" s="126"/>
      <c r="BQ38" s="126"/>
      <c r="BR38" s="126"/>
      <c r="BS38" s="126"/>
      <c r="BT38" s="126"/>
      <c r="BU38" s="126"/>
      <c r="BV38" s="126"/>
      <c r="BW38" s="126"/>
      <c r="BX38" s="126"/>
    </row>
    <row r="39">
      <c r="A39" s="126"/>
      <c r="B39" s="126"/>
      <c r="C39" s="127"/>
      <c r="D39" s="126"/>
      <c r="E39" s="87"/>
      <c r="F39" s="132"/>
      <c r="G39" s="131" t="s">
        <v>1092</v>
      </c>
      <c r="H39" s="132"/>
      <c r="I39" s="87">
        <v>2006.0</v>
      </c>
      <c r="J39" s="87"/>
      <c r="K39" s="132"/>
      <c r="L39" s="126"/>
      <c r="M39" s="126"/>
      <c r="N39" s="127"/>
      <c r="O39" s="126"/>
      <c r="P39" s="126"/>
      <c r="Q39" s="127"/>
      <c r="R39" s="126"/>
      <c r="S39" s="126"/>
      <c r="T39" s="127"/>
      <c r="U39" s="87" t="s">
        <v>3399</v>
      </c>
      <c r="V39" s="87"/>
      <c r="W39" s="132"/>
      <c r="X39" s="87"/>
      <c r="Y39" s="87"/>
      <c r="Z39" s="132"/>
      <c r="AA39" s="87"/>
      <c r="AB39" s="87"/>
      <c r="AC39" s="132"/>
      <c r="AD39" s="87"/>
      <c r="AE39" s="87"/>
      <c r="AF39" s="126"/>
      <c r="AG39" s="127"/>
      <c r="AH39" s="126"/>
      <c r="AI39" s="126"/>
      <c r="AJ39" s="127"/>
      <c r="AK39" s="126"/>
      <c r="AL39" s="126"/>
      <c r="AM39" s="127"/>
      <c r="AN39" s="126"/>
      <c r="AO39" s="126"/>
      <c r="AP39" s="127"/>
      <c r="AQ39" s="126"/>
      <c r="AR39" s="126"/>
      <c r="AS39" s="127"/>
      <c r="AT39" s="126"/>
      <c r="AU39" s="126"/>
      <c r="AV39" s="127"/>
      <c r="AW39" s="126"/>
      <c r="AX39" s="126"/>
      <c r="AY39" s="127"/>
      <c r="AZ39" s="126"/>
      <c r="BA39" s="126"/>
      <c r="BB39" s="127"/>
      <c r="BC39" s="126"/>
      <c r="BD39" s="134"/>
      <c r="BE39" s="127"/>
      <c r="BF39" s="126"/>
      <c r="BG39" s="126"/>
      <c r="BH39" s="126"/>
      <c r="BI39" s="126"/>
      <c r="BJ39" s="126"/>
      <c r="BK39" s="126"/>
      <c r="BL39" s="126"/>
      <c r="BM39" s="126"/>
      <c r="BN39" s="126"/>
      <c r="BO39" s="126"/>
      <c r="BP39" s="126"/>
      <c r="BQ39" s="126"/>
      <c r="BR39" s="126"/>
      <c r="BS39" s="126"/>
      <c r="BT39" s="126"/>
      <c r="BU39" s="126"/>
      <c r="BV39" s="126"/>
      <c r="BW39" s="126"/>
      <c r="BX39" s="126"/>
    </row>
    <row r="40">
      <c r="A40" s="126"/>
      <c r="B40" s="126"/>
      <c r="C40" s="127"/>
      <c r="D40" s="126"/>
      <c r="E40" s="126"/>
      <c r="F40" s="127"/>
      <c r="G40" s="131" t="s">
        <v>1097</v>
      </c>
      <c r="H40" s="127"/>
      <c r="I40" s="87">
        <v>2007.0</v>
      </c>
      <c r="J40" s="87"/>
      <c r="K40" s="127"/>
      <c r="L40" s="126"/>
      <c r="M40" s="126"/>
      <c r="N40" s="127"/>
      <c r="O40" s="126"/>
      <c r="P40" s="126"/>
      <c r="Q40" s="127"/>
      <c r="R40" s="126"/>
      <c r="S40" s="126"/>
      <c r="T40" s="127"/>
      <c r="U40" s="87" t="s">
        <v>2217</v>
      </c>
      <c r="V40" s="87"/>
      <c r="W40" s="127"/>
      <c r="X40" s="126"/>
      <c r="Y40" s="126"/>
      <c r="Z40" s="127"/>
      <c r="AA40" s="126"/>
      <c r="AB40" s="126"/>
      <c r="AC40" s="127"/>
      <c r="AD40" s="126"/>
      <c r="AE40" s="126"/>
      <c r="AF40" s="126"/>
      <c r="AG40" s="127"/>
      <c r="AH40" s="126"/>
      <c r="AI40" s="126"/>
      <c r="AJ40" s="127"/>
      <c r="AK40" s="126"/>
      <c r="AL40" s="126"/>
      <c r="AM40" s="127"/>
      <c r="AN40" s="126"/>
      <c r="AO40" s="126"/>
      <c r="AP40" s="127"/>
      <c r="AQ40" s="126"/>
      <c r="AR40" s="126"/>
      <c r="AS40" s="127"/>
      <c r="AT40" s="126"/>
      <c r="AU40" s="126"/>
      <c r="AV40" s="127"/>
      <c r="AW40" s="126"/>
      <c r="AX40" s="126"/>
      <c r="AY40" s="127"/>
      <c r="AZ40" s="126"/>
      <c r="BA40" s="126"/>
      <c r="BB40" s="127"/>
      <c r="BC40" s="126"/>
      <c r="BD40" s="134"/>
      <c r="BE40" s="127"/>
      <c r="BF40" s="126"/>
      <c r="BG40" s="126"/>
      <c r="BH40" s="126"/>
      <c r="BI40" s="126"/>
      <c r="BJ40" s="126"/>
      <c r="BK40" s="126"/>
      <c r="BL40" s="126"/>
      <c r="BM40" s="126"/>
      <c r="BN40" s="126"/>
      <c r="BO40" s="126"/>
      <c r="BP40" s="126"/>
      <c r="BQ40" s="126"/>
      <c r="BR40" s="126"/>
      <c r="BS40" s="126"/>
      <c r="BT40" s="126"/>
      <c r="BU40" s="126"/>
      <c r="BV40" s="126"/>
      <c r="BW40" s="126"/>
      <c r="BX40" s="126"/>
    </row>
    <row r="41">
      <c r="A41" s="126"/>
      <c r="B41" s="126"/>
      <c r="C41" s="127"/>
      <c r="D41" s="126"/>
      <c r="E41" s="126"/>
      <c r="F41" s="127"/>
      <c r="G41" s="131" t="s">
        <v>1110</v>
      </c>
      <c r="H41" s="127"/>
      <c r="I41" s="87">
        <v>2008.0</v>
      </c>
      <c r="J41" s="87"/>
      <c r="K41" s="127"/>
      <c r="L41" s="126"/>
      <c r="M41" s="126"/>
      <c r="N41" s="127"/>
      <c r="O41" s="126"/>
      <c r="P41" s="126"/>
      <c r="Q41" s="127"/>
      <c r="R41" s="126"/>
      <c r="S41" s="126"/>
      <c r="T41" s="127"/>
      <c r="U41" s="87" t="s">
        <v>3391</v>
      </c>
      <c r="V41" s="87"/>
      <c r="W41" s="127"/>
      <c r="X41" s="126"/>
      <c r="Y41" s="126"/>
      <c r="Z41" s="127"/>
      <c r="AA41" s="126"/>
      <c r="AB41" s="126"/>
      <c r="AC41" s="127"/>
      <c r="AD41" s="126"/>
      <c r="AE41" s="126"/>
      <c r="AF41" s="126"/>
      <c r="AG41" s="127"/>
      <c r="AH41" s="126"/>
      <c r="AI41" s="126"/>
      <c r="AJ41" s="127"/>
      <c r="AK41" s="126"/>
      <c r="AL41" s="126"/>
      <c r="AM41" s="127"/>
      <c r="AN41" s="126"/>
      <c r="AO41" s="126"/>
      <c r="AP41" s="127"/>
      <c r="AQ41" s="126"/>
      <c r="AR41" s="126"/>
      <c r="AS41" s="127"/>
      <c r="AT41" s="126"/>
      <c r="AU41" s="126"/>
      <c r="AV41" s="127"/>
      <c r="AW41" s="126"/>
      <c r="AX41" s="126"/>
      <c r="AY41" s="127"/>
      <c r="AZ41" s="126"/>
      <c r="BA41" s="126"/>
      <c r="BB41" s="127"/>
      <c r="BC41" s="126"/>
      <c r="BD41" s="134"/>
      <c r="BE41" s="127"/>
      <c r="BF41" s="126"/>
      <c r="BG41" s="126"/>
      <c r="BH41" s="126"/>
      <c r="BI41" s="126"/>
      <c r="BJ41" s="126"/>
      <c r="BK41" s="126"/>
      <c r="BL41" s="126"/>
      <c r="BM41" s="126"/>
      <c r="BN41" s="126"/>
      <c r="BO41" s="126"/>
      <c r="BP41" s="126"/>
      <c r="BQ41" s="126"/>
      <c r="BR41" s="126"/>
      <c r="BS41" s="126"/>
      <c r="BT41" s="126"/>
      <c r="BU41" s="126"/>
      <c r="BV41" s="126"/>
      <c r="BW41" s="126"/>
      <c r="BX41" s="126"/>
    </row>
    <row r="42">
      <c r="A42" s="126"/>
      <c r="B42" s="126"/>
      <c r="C42" s="127"/>
      <c r="D42" s="126"/>
      <c r="E42" s="126"/>
      <c r="F42" s="127"/>
      <c r="G42" s="131" t="s">
        <v>1122</v>
      </c>
      <c r="H42" s="127"/>
      <c r="I42" s="87">
        <v>2009.0</v>
      </c>
      <c r="J42" s="87"/>
      <c r="K42" s="127"/>
      <c r="L42" s="126"/>
      <c r="M42" s="126"/>
      <c r="N42" s="127"/>
      <c r="O42" s="126"/>
      <c r="P42" s="126"/>
      <c r="Q42" s="127"/>
      <c r="R42" s="126"/>
      <c r="S42" s="126"/>
      <c r="T42" s="127"/>
      <c r="U42" s="87" t="s">
        <v>3400</v>
      </c>
      <c r="V42" s="87"/>
      <c r="W42" s="127"/>
      <c r="X42" s="126"/>
      <c r="Y42" s="126"/>
      <c r="Z42" s="127"/>
      <c r="AA42" s="126"/>
      <c r="AB42" s="126"/>
      <c r="AC42" s="127"/>
      <c r="AD42" s="126"/>
      <c r="AE42" s="126"/>
      <c r="AF42" s="126"/>
      <c r="AG42" s="127"/>
      <c r="AH42" s="126"/>
      <c r="AI42" s="126"/>
      <c r="AJ42" s="127"/>
      <c r="AK42" s="126"/>
      <c r="AL42" s="126"/>
      <c r="AM42" s="127"/>
      <c r="AN42" s="126"/>
      <c r="AO42" s="126"/>
      <c r="AP42" s="127"/>
      <c r="AQ42" s="126"/>
      <c r="AR42" s="126"/>
      <c r="AS42" s="127"/>
      <c r="AT42" s="126"/>
      <c r="AU42" s="126"/>
      <c r="AV42" s="127"/>
      <c r="AW42" s="126"/>
      <c r="AX42" s="126"/>
      <c r="AY42" s="127"/>
      <c r="AZ42" s="126"/>
      <c r="BA42" s="126"/>
      <c r="BB42" s="127"/>
      <c r="BC42" s="126"/>
      <c r="BD42" s="134"/>
      <c r="BE42" s="127"/>
      <c r="BF42" s="126"/>
      <c r="BG42" s="126"/>
      <c r="BH42" s="126"/>
      <c r="BI42" s="126"/>
      <c r="BJ42" s="126"/>
      <c r="BK42" s="126"/>
      <c r="BL42" s="126"/>
      <c r="BM42" s="126"/>
      <c r="BN42" s="126"/>
      <c r="BO42" s="126"/>
      <c r="BP42" s="126"/>
      <c r="BQ42" s="126"/>
      <c r="BR42" s="126"/>
      <c r="BS42" s="126"/>
      <c r="BT42" s="126"/>
      <c r="BU42" s="126"/>
      <c r="BV42" s="126"/>
      <c r="BW42" s="126"/>
      <c r="BX42" s="126"/>
    </row>
    <row r="43">
      <c r="A43" s="126"/>
      <c r="B43" s="126"/>
      <c r="C43" s="127"/>
      <c r="D43" s="126"/>
      <c r="E43" s="126"/>
      <c r="F43" s="127"/>
      <c r="G43" s="131" t="s">
        <v>1132</v>
      </c>
      <c r="H43" s="127"/>
      <c r="I43" s="87">
        <v>2010.0</v>
      </c>
      <c r="J43" s="87"/>
      <c r="K43" s="127"/>
      <c r="L43" s="126"/>
      <c r="M43" s="126"/>
      <c r="N43" s="127"/>
      <c r="O43" s="126"/>
      <c r="P43" s="126"/>
      <c r="Q43" s="127"/>
      <c r="R43" s="126"/>
      <c r="S43" s="126"/>
      <c r="T43" s="127"/>
      <c r="U43" s="87" t="s">
        <v>386</v>
      </c>
      <c r="V43" s="87"/>
      <c r="W43" s="127"/>
      <c r="X43" s="126"/>
      <c r="Y43" s="126"/>
      <c r="Z43" s="127"/>
      <c r="AA43" s="126"/>
      <c r="AB43" s="126"/>
      <c r="AC43" s="127"/>
      <c r="AD43" s="126"/>
      <c r="AE43" s="126"/>
      <c r="AF43" s="126"/>
      <c r="AG43" s="127"/>
      <c r="AH43" s="126"/>
      <c r="AI43" s="126"/>
      <c r="AJ43" s="127"/>
      <c r="AK43" s="126"/>
      <c r="AL43" s="126"/>
      <c r="AM43" s="127"/>
      <c r="AN43" s="126"/>
      <c r="AO43" s="126"/>
      <c r="AP43" s="127"/>
      <c r="AQ43" s="126"/>
      <c r="AR43" s="126"/>
      <c r="AS43" s="127"/>
      <c r="AT43" s="126"/>
      <c r="AU43" s="126"/>
      <c r="AV43" s="127"/>
      <c r="AW43" s="126"/>
      <c r="AX43" s="126"/>
      <c r="AY43" s="127"/>
      <c r="AZ43" s="126"/>
      <c r="BA43" s="126"/>
      <c r="BB43" s="127"/>
      <c r="BC43" s="126"/>
      <c r="BD43" s="134"/>
      <c r="BE43" s="127"/>
      <c r="BF43" s="126"/>
      <c r="BG43" s="126"/>
      <c r="BH43" s="126"/>
      <c r="BI43" s="126"/>
      <c r="BJ43" s="126"/>
      <c r="BK43" s="126"/>
      <c r="BL43" s="126"/>
      <c r="BM43" s="126"/>
      <c r="BN43" s="126"/>
      <c r="BO43" s="126"/>
      <c r="BP43" s="126"/>
      <c r="BQ43" s="126"/>
      <c r="BR43" s="126"/>
      <c r="BS43" s="126"/>
      <c r="BT43" s="126"/>
      <c r="BU43" s="126"/>
      <c r="BV43" s="126"/>
      <c r="BW43" s="126"/>
      <c r="BX43" s="126"/>
    </row>
    <row r="44">
      <c r="A44" s="126"/>
      <c r="B44" s="126"/>
      <c r="C44" s="127"/>
      <c r="D44" s="126"/>
      <c r="E44" s="126"/>
      <c r="F44" s="127"/>
      <c r="G44" s="131" t="s">
        <v>1144</v>
      </c>
      <c r="H44" s="127"/>
      <c r="I44" s="87">
        <v>2011.0</v>
      </c>
      <c r="J44" s="87"/>
      <c r="K44" s="127"/>
      <c r="L44" s="126"/>
      <c r="M44" s="126"/>
      <c r="N44" s="127"/>
      <c r="O44" s="126"/>
      <c r="P44" s="126"/>
      <c r="Q44" s="127"/>
      <c r="R44" s="126"/>
      <c r="S44" s="126"/>
      <c r="T44" s="127"/>
      <c r="U44" s="87" t="s">
        <v>3401</v>
      </c>
      <c r="V44" s="87"/>
      <c r="W44" s="127"/>
      <c r="X44" s="126"/>
      <c r="Y44" s="126"/>
      <c r="Z44" s="127"/>
      <c r="AA44" s="126"/>
      <c r="AB44" s="126"/>
      <c r="AC44" s="127"/>
      <c r="AD44" s="126"/>
      <c r="AE44" s="126"/>
      <c r="AF44" s="126"/>
      <c r="AG44" s="127"/>
      <c r="AH44" s="126"/>
      <c r="AI44" s="126"/>
      <c r="AJ44" s="127"/>
      <c r="AK44" s="126"/>
      <c r="AL44" s="126"/>
      <c r="AM44" s="127"/>
      <c r="AN44" s="126"/>
      <c r="AO44" s="126"/>
      <c r="AP44" s="127"/>
      <c r="AQ44" s="126"/>
      <c r="AR44" s="126"/>
      <c r="AS44" s="127"/>
      <c r="AT44" s="126"/>
      <c r="AU44" s="126"/>
      <c r="AV44" s="127"/>
      <c r="AW44" s="126"/>
      <c r="AX44" s="126"/>
      <c r="AY44" s="127"/>
      <c r="AZ44" s="126"/>
      <c r="BA44" s="126"/>
      <c r="BB44" s="127"/>
      <c r="BC44" s="126"/>
      <c r="BD44" s="134"/>
      <c r="BE44" s="127"/>
      <c r="BF44" s="126"/>
      <c r="BG44" s="126"/>
      <c r="BH44" s="126"/>
      <c r="BI44" s="126"/>
      <c r="BJ44" s="126"/>
      <c r="BK44" s="126"/>
      <c r="BL44" s="126"/>
      <c r="BM44" s="126"/>
      <c r="BN44" s="126"/>
      <c r="BO44" s="126"/>
      <c r="BP44" s="126"/>
      <c r="BQ44" s="126"/>
      <c r="BR44" s="126"/>
      <c r="BS44" s="126"/>
      <c r="BT44" s="126"/>
      <c r="BU44" s="126"/>
      <c r="BV44" s="126"/>
      <c r="BW44" s="126"/>
      <c r="BX44" s="126"/>
    </row>
    <row r="45">
      <c r="A45" s="126"/>
      <c r="B45" s="126"/>
      <c r="C45" s="127"/>
      <c r="D45" s="126"/>
      <c r="E45" s="126"/>
      <c r="F45" s="127"/>
      <c r="G45" s="131" t="s">
        <v>1153</v>
      </c>
      <c r="H45" s="127"/>
      <c r="I45" s="87">
        <v>2012.0</v>
      </c>
      <c r="J45" s="87"/>
      <c r="K45" s="127"/>
      <c r="L45" s="126"/>
      <c r="M45" s="126"/>
      <c r="N45" s="127"/>
      <c r="O45" s="126"/>
      <c r="P45" s="126"/>
      <c r="Q45" s="127"/>
      <c r="R45" s="126"/>
      <c r="S45" s="126"/>
      <c r="T45" s="127"/>
      <c r="U45" s="87" t="s">
        <v>3392</v>
      </c>
      <c r="V45" s="87"/>
      <c r="W45" s="127"/>
      <c r="X45" s="126"/>
      <c r="Y45" s="126"/>
      <c r="Z45" s="127"/>
      <c r="AA45" s="126"/>
      <c r="AB45" s="126"/>
      <c r="AC45" s="127"/>
      <c r="AD45" s="126"/>
      <c r="AE45" s="126"/>
      <c r="AF45" s="126"/>
      <c r="AG45" s="127"/>
      <c r="AH45" s="126"/>
      <c r="AI45" s="126"/>
      <c r="AJ45" s="127"/>
      <c r="AK45" s="126"/>
      <c r="AL45" s="126"/>
      <c r="AM45" s="127"/>
      <c r="AN45" s="126"/>
      <c r="AO45" s="126"/>
      <c r="AP45" s="127"/>
      <c r="AQ45" s="126"/>
      <c r="AR45" s="126"/>
      <c r="AS45" s="127"/>
      <c r="AT45" s="126"/>
      <c r="AU45" s="126"/>
      <c r="AV45" s="127"/>
      <c r="AW45" s="126"/>
      <c r="AX45" s="126"/>
      <c r="AY45" s="127"/>
      <c r="AZ45" s="126"/>
      <c r="BA45" s="126"/>
      <c r="BB45" s="127"/>
      <c r="BC45" s="126"/>
      <c r="BD45" s="134"/>
      <c r="BE45" s="127"/>
      <c r="BF45" s="126"/>
      <c r="BG45" s="126"/>
      <c r="BH45" s="126"/>
      <c r="BI45" s="126"/>
      <c r="BJ45" s="126"/>
      <c r="BK45" s="126"/>
      <c r="BL45" s="126"/>
      <c r="BM45" s="126"/>
      <c r="BN45" s="126"/>
      <c r="BO45" s="126"/>
      <c r="BP45" s="126"/>
      <c r="BQ45" s="126"/>
      <c r="BR45" s="126"/>
      <c r="BS45" s="126"/>
      <c r="BT45" s="126"/>
      <c r="BU45" s="126"/>
      <c r="BV45" s="126"/>
      <c r="BW45" s="126"/>
      <c r="BX45" s="126"/>
    </row>
    <row r="46">
      <c r="A46" s="126"/>
      <c r="B46" s="126"/>
      <c r="C46" s="127"/>
      <c r="D46" s="126"/>
      <c r="E46" s="126"/>
      <c r="F46" s="127"/>
      <c r="G46" s="131" t="s">
        <v>1022</v>
      </c>
      <c r="H46" s="127"/>
      <c r="I46" s="87">
        <v>2013.0</v>
      </c>
      <c r="J46" s="87"/>
      <c r="K46" s="127"/>
      <c r="L46" s="126"/>
      <c r="M46" s="126"/>
      <c r="N46" s="127"/>
      <c r="O46" s="126"/>
      <c r="P46" s="126"/>
      <c r="Q46" s="127"/>
      <c r="R46" s="126"/>
      <c r="S46" s="126"/>
      <c r="T46" s="127"/>
      <c r="U46" s="87" t="s">
        <v>3396</v>
      </c>
      <c r="V46" s="87"/>
      <c r="W46" s="127"/>
      <c r="X46" s="126"/>
      <c r="Y46" s="126"/>
      <c r="Z46" s="127"/>
      <c r="AA46" s="126"/>
      <c r="AB46" s="126"/>
      <c r="AC46" s="127"/>
      <c r="AD46" s="126"/>
      <c r="AE46" s="126"/>
      <c r="AF46" s="126"/>
      <c r="AG46" s="127"/>
      <c r="AH46" s="126"/>
      <c r="AI46" s="126"/>
      <c r="AJ46" s="127"/>
      <c r="AK46" s="126"/>
      <c r="AL46" s="126"/>
      <c r="AM46" s="127"/>
      <c r="AN46" s="126"/>
      <c r="AO46" s="126"/>
      <c r="AP46" s="127"/>
      <c r="AQ46" s="126"/>
      <c r="AR46" s="126"/>
      <c r="AS46" s="127"/>
      <c r="AT46" s="126"/>
      <c r="AU46" s="126"/>
      <c r="AV46" s="127"/>
      <c r="AW46" s="126"/>
      <c r="AX46" s="126"/>
      <c r="AY46" s="127"/>
      <c r="AZ46" s="126"/>
      <c r="BA46" s="126"/>
      <c r="BB46" s="127"/>
      <c r="BC46" s="126"/>
      <c r="BD46" s="134"/>
      <c r="BE46" s="127"/>
      <c r="BF46" s="126"/>
      <c r="BG46" s="126"/>
      <c r="BH46" s="126"/>
      <c r="BI46" s="126"/>
      <c r="BJ46" s="126"/>
      <c r="BK46" s="126"/>
      <c r="BL46" s="126"/>
      <c r="BM46" s="126"/>
      <c r="BN46" s="126"/>
      <c r="BO46" s="126"/>
      <c r="BP46" s="126"/>
      <c r="BQ46" s="126"/>
      <c r="BR46" s="126"/>
      <c r="BS46" s="126"/>
      <c r="BT46" s="126"/>
      <c r="BU46" s="126"/>
      <c r="BV46" s="126"/>
      <c r="BW46" s="126"/>
      <c r="BX46" s="126"/>
    </row>
    <row r="47">
      <c r="A47" s="126"/>
      <c r="B47" s="126"/>
      <c r="C47" s="127"/>
      <c r="D47" s="126"/>
      <c r="E47" s="126"/>
      <c r="F47" s="127"/>
      <c r="G47" s="131" t="s">
        <v>1174</v>
      </c>
      <c r="H47" s="127"/>
      <c r="I47" s="87">
        <v>2014.0</v>
      </c>
      <c r="J47" s="87"/>
      <c r="K47" s="127"/>
      <c r="L47" s="126"/>
      <c r="M47" s="126"/>
      <c r="N47" s="127"/>
      <c r="O47" s="126"/>
      <c r="P47" s="126"/>
      <c r="Q47" s="127"/>
      <c r="R47" s="126"/>
      <c r="S47" s="126"/>
      <c r="T47" s="127"/>
      <c r="U47" s="87" t="s">
        <v>3394</v>
      </c>
      <c r="V47" s="87"/>
      <c r="W47" s="127"/>
      <c r="X47" s="126"/>
      <c r="Y47" s="126"/>
      <c r="Z47" s="127"/>
      <c r="AA47" s="126"/>
      <c r="AB47" s="126"/>
      <c r="AC47" s="127"/>
      <c r="AD47" s="126"/>
      <c r="AE47" s="126"/>
      <c r="AF47" s="126"/>
      <c r="AG47" s="127"/>
      <c r="AH47" s="126"/>
      <c r="AI47" s="126"/>
      <c r="AJ47" s="127"/>
      <c r="AK47" s="126"/>
      <c r="AL47" s="126"/>
      <c r="AM47" s="127"/>
      <c r="AN47" s="126"/>
      <c r="AO47" s="126"/>
      <c r="AP47" s="127"/>
      <c r="AQ47" s="126"/>
      <c r="AR47" s="126"/>
      <c r="AS47" s="127"/>
      <c r="AT47" s="126"/>
      <c r="AU47" s="126"/>
      <c r="AV47" s="127"/>
      <c r="AW47" s="126"/>
      <c r="AX47" s="126"/>
      <c r="AY47" s="127"/>
      <c r="AZ47" s="126"/>
      <c r="BA47" s="126"/>
      <c r="BB47" s="127"/>
      <c r="BC47" s="126"/>
      <c r="BD47" s="134"/>
      <c r="BE47" s="127"/>
      <c r="BF47" s="126"/>
      <c r="BG47" s="126"/>
      <c r="BH47" s="126"/>
      <c r="BI47" s="126"/>
      <c r="BJ47" s="126"/>
      <c r="BK47" s="126"/>
      <c r="BL47" s="126"/>
      <c r="BM47" s="126"/>
      <c r="BN47" s="126"/>
      <c r="BO47" s="126"/>
      <c r="BP47" s="126"/>
      <c r="BQ47" s="126"/>
      <c r="BR47" s="126"/>
      <c r="BS47" s="126"/>
      <c r="BT47" s="126"/>
      <c r="BU47" s="126"/>
      <c r="BV47" s="126"/>
      <c r="BW47" s="126"/>
      <c r="BX47" s="126"/>
    </row>
    <row r="48">
      <c r="A48" s="126"/>
      <c r="B48" s="126"/>
      <c r="C48" s="127"/>
      <c r="D48" s="126"/>
      <c r="E48" s="126"/>
      <c r="F48" s="127"/>
      <c r="G48" s="131" t="s">
        <v>1309</v>
      </c>
      <c r="H48" s="127"/>
      <c r="I48" s="87">
        <v>2015.0</v>
      </c>
      <c r="J48" s="87"/>
      <c r="K48" s="127"/>
      <c r="L48" s="126"/>
      <c r="M48" s="126"/>
      <c r="N48" s="127"/>
      <c r="O48" s="126"/>
      <c r="P48" s="126"/>
      <c r="Q48" s="127"/>
      <c r="R48" s="126"/>
      <c r="S48" s="126"/>
      <c r="T48" s="127"/>
      <c r="U48" s="87" t="s">
        <v>3402</v>
      </c>
      <c r="V48" s="87"/>
      <c r="W48" s="127"/>
      <c r="X48" s="126"/>
      <c r="Y48" s="126"/>
      <c r="Z48" s="127"/>
      <c r="AA48" s="126"/>
      <c r="AB48" s="126"/>
      <c r="AC48" s="127"/>
      <c r="AD48" s="126"/>
      <c r="AE48" s="126"/>
      <c r="AF48" s="126"/>
      <c r="AG48" s="127"/>
      <c r="AH48" s="126"/>
      <c r="AI48" s="126"/>
      <c r="AJ48" s="127"/>
      <c r="AK48" s="126"/>
      <c r="AL48" s="126"/>
      <c r="AM48" s="127"/>
      <c r="AN48" s="126"/>
      <c r="AO48" s="126"/>
      <c r="AP48" s="127"/>
      <c r="AQ48" s="126"/>
      <c r="AR48" s="126"/>
      <c r="AS48" s="127"/>
      <c r="AT48" s="126"/>
      <c r="AU48" s="126"/>
      <c r="AV48" s="127"/>
      <c r="AW48" s="126"/>
      <c r="AX48" s="126"/>
      <c r="AY48" s="127"/>
      <c r="AZ48" s="126"/>
      <c r="BA48" s="126"/>
      <c r="BB48" s="127"/>
      <c r="BC48" s="126"/>
      <c r="BD48" s="134"/>
      <c r="BE48" s="127"/>
      <c r="BF48" s="126"/>
      <c r="BG48" s="126"/>
      <c r="BH48" s="126"/>
      <c r="BI48" s="126"/>
      <c r="BJ48" s="126"/>
      <c r="BK48" s="126"/>
      <c r="BL48" s="126"/>
      <c r="BM48" s="126"/>
      <c r="BN48" s="126"/>
      <c r="BO48" s="126"/>
      <c r="BP48" s="126"/>
      <c r="BQ48" s="126"/>
      <c r="BR48" s="126"/>
      <c r="BS48" s="126"/>
      <c r="BT48" s="126"/>
      <c r="BU48" s="126"/>
      <c r="BV48" s="126"/>
      <c r="BW48" s="126"/>
      <c r="BX48" s="126"/>
    </row>
    <row r="49">
      <c r="A49" s="126"/>
      <c r="B49" s="126"/>
      <c r="C49" s="127"/>
      <c r="D49" s="126"/>
      <c r="E49" s="126"/>
      <c r="F49" s="127"/>
      <c r="G49" s="131" t="s">
        <v>1367</v>
      </c>
      <c r="H49" s="127"/>
      <c r="I49" s="87">
        <v>2016.0</v>
      </c>
      <c r="J49" s="87"/>
      <c r="K49" s="127"/>
      <c r="L49" s="126"/>
      <c r="M49" s="126"/>
      <c r="N49" s="127"/>
      <c r="O49" s="126"/>
      <c r="P49" s="126"/>
      <c r="Q49" s="127"/>
      <c r="R49" s="126"/>
      <c r="S49" s="126"/>
      <c r="T49" s="127"/>
      <c r="U49" s="87" t="s">
        <v>2899</v>
      </c>
      <c r="V49" s="87"/>
      <c r="W49" s="127"/>
      <c r="X49" s="126"/>
      <c r="Y49" s="126"/>
      <c r="Z49" s="127"/>
      <c r="AA49" s="126"/>
      <c r="AB49" s="126"/>
      <c r="AC49" s="127"/>
      <c r="AD49" s="126"/>
      <c r="AE49" s="126"/>
      <c r="AF49" s="126"/>
      <c r="AG49" s="127"/>
      <c r="AH49" s="126"/>
      <c r="AI49" s="126"/>
      <c r="AJ49" s="127"/>
      <c r="AK49" s="126"/>
      <c r="AL49" s="126"/>
      <c r="AM49" s="127"/>
      <c r="AN49" s="126"/>
      <c r="AO49" s="126"/>
      <c r="AP49" s="127"/>
      <c r="AQ49" s="126"/>
      <c r="AR49" s="126"/>
      <c r="AS49" s="127"/>
      <c r="AT49" s="126"/>
      <c r="AU49" s="126"/>
      <c r="AV49" s="127"/>
      <c r="AW49" s="126"/>
      <c r="AX49" s="126"/>
      <c r="AY49" s="127"/>
      <c r="AZ49" s="126"/>
      <c r="BA49" s="126"/>
      <c r="BB49" s="127"/>
      <c r="BC49" s="126"/>
      <c r="BD49" s="134"/>
      <c r="BE49" s="127"/>
      <c r="BF49" s="126"/>
      <c r="BG49" s="126"/>
      <c r="BH49" s="126"/>
      <c r="BI49" s="126"/>
      <c r="BJ49" s="126"/>
      <c r="BK49" s="126"/>
      <c r="BL49" s="126"/>
      <c r="BM49" s="126"/>
      <c r="BN49" s="126"/>
      <c r="BO49" s="126"/>
      <c r="BP49" s="126"/>
      <c r="BQ49" s="126"/>
      <c r="BR49" s="126"/>
      <c r="BS49" s="126"/>
      <c r="BT49" s="126"/>
      <c r="BU49" s="126"/>
      <c r="BV49" s="126"/>
      <c r="BW49" s="126"/>
      <c r="BX49" s="126"/>
    </row>
    <row r="50">
      <c r="A50" s="126"/>
      <c r="B50" s="126"/>
      <c r="C50" s="127"/>
      <c r="D50" s="126"/>
      <c r="E50" s="126"/>
      <c r="F50" s="127"/>
      <c r="G50" s="131" t="s">
        <v>1377</v>
      </c>
      <c r="H50" s="127"/>
      <c r="I50" s="87">
        <v>2017.0</v>
      </c>
      <c r="J50" s="87"/>
      <c r="K50" s="127"/>
      <c r="L50" s="126"/>
      <c r="M50" s="126"/>
      <c r="N50" s="127"/>
      <c r="O50" s="126"/>
      <c r="P50" s="126"/>
      <c r="Q50" s="127"/>
      <c r="R50" s="126"/>
      <c r="S50" s="126"/>
      <c r="T50" s="127"/>
      <c r="U50" s="87" t="s">
        <v>3401</v>
      </c>
      <c r="V50" s="87"/>
      <c r="W50" s="127"/>
      <c r="X50" s="126"/>
      <c r="Y50" s="126"/>
      <c r="Z50" s="127"/>
      <c r="AA50" s="126"/>
      <c r="AB50" s="126"/>
      <c r="AC50" s="127"/>
      <c r="AD50" s="126"/>
      <c r="AE50" s="126"/>
      <c r="AF50" s="126"/>
      <c r="AG50" s="127"/>
      <c r="AH50" s="126"/>
      <c r="AI50" s="126"/>
      <c r="AJ50" s="127"/>
      <c r="AK50" s="126"/>
      <c r="AL50" s="126"/>
      <c r="AM50" s="127"/>
      <c r="AN50" s="126"/>
      <c r="AO50" s="126"/>
      <c r="AP50" s="127"/>
      <c r="AQ50" s="126"/>
      <c r="AR50" s="126"/>
      <c r="AS50" s="127"/>
      <c r="AT50" s="126"/>
      <c r="AU50" s="126"/>
      <c r="AV50" s="127"/>
      <c r="AW50" s="126"/>
      <c r="AX50" s="126"/>
      <c r="AY50" s="127"/>
      <c r="AZ50" s="126"/>
      <c r="BA50" s="126"/>
      <c r="BB50" s="127"/>
      <c r="BC50" s="126"/>
      <c r="BD50" s="134"/>
      <c r="BE50" s="127"/>
      <c r="BF50" s="126"/>
      <c r="BG50" s="126"/>
      <c r="BH50" s="126"/>
      <c r="BI50" s="126"/>
      <c r="BJ50" s="126"/>
      <c r="BK50" s="126"/>
      <c r="BL50" s="126"/>
      <c r="BM50" s="126"/>
      <c r="BN50" s="126"/>
      <c r="BO50" s="126"/>
      <c r="BP50" s="126"/>
      <c r="BQ50" s="126"/>
      <c r="BR50" s="126"/>
      <c r="BS50" s="126"/>
      <c r="BT50" s="126"/>
      <c r="BU50" s="126"/>
      <c r="BV50" s="126"/>
      <c r="BW50" s="126"/>
      <c r="BX50" s="126"/>
    </row>
    <row r="51">
      <c r="A51" s="126"/>
      <c r="B51" s="126"/>
      <c r="C51" s="127"/>
      <c r="D51" s="126"/>
      <c r="E51" s="126"/>
      <c r="F51" s="127"/>
      <c r="G51" s="131" t="s">
        <v>1519</v>
      </c>
      <c r="H51" s="127"/>
      <c r="I51" s="87">
        <v>2018.0</v>
      </c>
      <c r="J51" s="87"/>
      <c r="K51" s="127"/>
      <c r="L51" s="126"/>
      <c r="M51" s="126"/>
      <c r="N51" s="127"/>
      <c r="O51" s="126"/>
      <c r="P51" s="126"/>
      <c r="Q51" s="127"/>
      <c r="R51" s="126"/>
      <c r="S51" s="126"/>
      <c r="T51" s="127"/>
      <c r="U51" s="87" t="s">
        <v>3403</v>
      </c>
      <c r="V51" s="87"/>
      <c r="W51" s="127"/>
      <c r="X51" s="126"/>
      <c r="Y51" s="126"/>
      <c r="Z51" s="127"/>
      <c r="AA51" s="126"/>
      <c r="AB51" s="126"/>
      <c r="AC51" s="127"/>
      <c r="AD51" s="126"/>
      <c r="AE51" s="126"/>
      <c r="AF51" s="126"/>
      <c r="AG51" s="127"/>
      <c r="AH51" s="126"/>
      <c r="AI51" s="126"/>
      <c r="AJ51" s="127"/>
      <c r="AK51" s="126"/>
      <c r="AL51" s="126"/>
      <c r="AM51" s="127"/>
      <c r="AN51" s="126"/>
      <c r="AO51" s="126"/>
      <c r="AP51" s="127"/>
      <c r="AQ51" s="126"/>
      <c r="AR51" s="126"/>
      <c r="AS51" s="127"/>
      <c r="AT51" s="126"/>
      <c r="AU51" s="126"/>
      <c r="AV51" s="127"/>
      <c r="AW51" s="126"/>
      <c r="AX51" s="126"/>
      <c r="AY51" s="127"/>
      <c r="AZ51" s="126"/>
      <c r="BA51" s="126"/>
      <c r="BB51" s="127"/>
      <c r="BC51" s="126"/>
      <c r="BD51" s="134"/>
      <c r="BE51" s="127"/>
      <c r="BF51" s="126"/>
      <c r="BG51" s="126"/>
      <c r="BH51" s="126"/>
      <c r="BI51" s="126"/>
      <c r="BJ51" s="126"/>
      <c r="BK51" s="126"/>
      <c r="BL51" s="126"/>
      <c r="BM51" s="126"/>
      <c r="BN51" s="126"/>
      <c r="BO51" s="126"/>
      <c r="BP51" s="126"/>
      <c r="BQ51" s="126"/>
      <c r="BR51" s="126"/>
      <c r="BS51" s="126"/>
      <c r="BT51" s="126"/>
      <c r="BU51" s="126"/>
      <c r="BV51" s="126"/>
      <c r="BW51" s="126"/>
      <c r="BX51" s="126"/>
    </row>
    <row r="52">
      <c r="A52" s="126"/>
      <c r="B52" s="126"/>
      <c r="C52" s="127"/>
      <c r="D52" s="126"/>
      <c r="E52" s="126"/>
      <c r="F52" s="127"/>
      <c r="G52" s="131" t="s">
        <v>1532</v>
      </c>
      <c r="H52" s="127"/>
      <c r="I52" s="87">
        <v>2019.0</v>
      </c>
      <c r="J52" s="87"/>
      <c r="K52" s="127"/>
      <c r="L52" s="126"/>
      <c r="M52" s="126"/>
      <c r="N52" s="127"/>
      <c r="O52" s="126"/>
      <c r="P52" s="126"/>
      <c r="Q52" s="127"/>
      <c r="R52" s="126"/>
      <c r="S52" s="126"/>
      <c r="T52" s="127"/>
      <c r="U52" s="87" t="s">
        <v>1037</v>
      </c>
      <c r="V52" s="87"/>
      <c r="W52" s="127"/>
      <c r="X52" s="126"/>
      <c r="Y52" s="126"/>
      <c r="Z52" s="127"/>
      <c r="AA52" s="126"/>
      <c r="AB52" s="126"/>
      <c r="AC52" s="127"/>
      <c r="AD52" s="126"/>
      <c r="AE52" s="126"/>
      <c r="AF52" s="126"/>
      <c r="AG52" s="127"/>
      <c r="AH52" s="126"/>
      <c r="AI52" s="126"/>
      <c r="AJ52" s="127"/>
      <c r="AK52" s="126"/>
      <c r="AL52" s="126"/>
      <c r="AM52" s="127"/>
      <c r="AN52" s="126"/>
      <c r="AO52" s="126"/>
      <c r="AP52" s="127"/>
      <c r="AQ52" s="126"/>
      <c r="AR52" s="126"/>
      <c r="AS52" s="127"/>
      <c r="AT52" s="126"/>
      <c r="AU52" s="126"/>
      <c r="AV52" s="127"/>
      <c r="AW52" s="126"/>
      <c r="AX52" s="126"/>
      <c r="AY52" s="127"/>
      <c r="AZ52" s="126"/>
      <c r="BA52" s="126"/>
      <c r="BB52" s="127"/>
      <c r="BC52" s="126"/>
      <c r="BD52" s="134"/>
      <c r="BE52" s="127"/>
      <c r="BF52" s="126"/>
      <c r="BG52" s="126"/>
      <c r="BH52" s="126"/>
      <c r="BI52" s="126"/>
      <c r="BJ52" s="126"/>
      <c r="BK52" s="126"/>
      <c r="BL52" s="126"/>
      <c r="BM52" s="126"/>
      <c r="BN52" s="126"/>
      <c r="BO52" s="126"/>
      <c r="BP52" s="126"/>
      <c r="BQ52" s="126"/>
      <c r="BR52" s="126"/>
      <c r="BS52" s="126"/>
      <c r="BT52" s="126"/>
      <c r="BU52" s="126"/>
      <c r="BV52" s="126"/>
      <c r="BW52" s="126"/>
      <c r="BX52" s="126"/>
    </row>
    <row r="53">
      <c r="A53" s="126"/>
      <c r="B53" s="126"/>
      <c r="C53" s="127"/>
      <c r="D53" s="126"/>
      <c r="E53" s="126"/>
      <c r="F53" s="127"/>
      <c r="G53" s="131" t="s">
        <v>1542</v>
      </c>
      <c r="H53" s="127"/>
      <c r="I53" s="87">
        <v>2020.0</v>
      </c>
      <c r="J53" s="87"/>
      <c r="K53" s="127"/>
      <c r="L53" s="126"/>
      <c r="M53" s="126"/>
      <c r="N53" s="127"/>
      <c r="O53" s="126"/>
      <c r="P53" s="126"/>
      <c r="Q53" s="127"/>
      <c r="R53" s="126"/>
      <c r="S53" s="126"/>
      <c r="T53" s="127"/>
      <c r="U53" s="87" t="s">
        <v>3404</v>
      </c>
      <c r="V53" s="87"/>
      <c r="W53" s="127"/>
      <c r="X53" s="126"/>
      <c r="Y53" s="126"/>
      <c r="Z53" s="127"/>
      <c r="AA53" s="126"/>
      <c r="AB53" s="126"/>
      <c r="AC53" s="127"/>
      <c r="AD53" s="126"/>
      <c r="AE53" s="126"/>
      <c r="AF53" s="126"/>
      <c r="AG53" s="127"/>
      <c r="AH53" s="126"/>
      <c r="AI53" s="126"/>
      <c r="AJ53" s="127"/>
      <c r="AK53" s="126"/>
      <c r="AL53" s="126"/>
      <c r="AM53" s="127"/>
      <c r="AN53" s="126"/>
      <c r="AO53" s="126"/>
      <c r="AP53" s="127"/>
      <c r="AQ53" s="126"/>
      <c r="AR53" s="126"/>
      <c r="AS53" s="127"/>
      <c r="AT53" s="126"/>
      <c r="AU53" s="126"/>
      <c r="AV53" s="127"/>
      <c r="AW53" s="126"/>
      <c r="AX53" s="126"/>
      <c r="AY53" s="127"/>
      <c r="AZ53" s="126"/>
      <c r="BA53" s="126"/>
      <c r="BB53" s="127"/>
      <c r="BC53" s="126"/>
      <c r="BD53" s="134"/>
      <c r="BE53" s="127"/>
      <c r="BF53" s="126"/>
      <c r="BG53" s="126"/>
      <c r="BH53" s="126"/>
      <c r="BI53" s="126"/>
      <c r="BJ53" s="126"/>
      <c r="BK53" s="126"/>
      <c r="BL53" s="126"/>
      <c r="BM53" s="126"/>
      <c r="BN53" s="126"/>
      <c r="BO53" s="126"/>
      <c r="BP53" s="126"/>
      <c r="BQ53" s="126"/>
      <c r="BR53" s="126"/>
      <c r="BS53" s="126"/>
      <c r="BT53" s="126"/>
      <c r="BU53" s="126"/>
      <c r="BV53" s="126"/>
      <c r="BW53" s="126"/>
      <c r="BX53" s="126"/>
    </row>
    <row r="54">
      <c r="A54" s="126"/>
      <c r="B54" s="126"/>
      <c r="C54" s="127"/>
      <c r="D54" s="126"/>
      <c r="E54" s="126"/>
      <c r="F54" s="127"/>
      <c r="G54" s="131" t="s">
        <v>1553</v>
      </c>
      <c r="H54" s="127"/>
      <c r="I54" s="87">
        <v>2021.0</v>
      </c>
      <c r="J54" s="87"/>
      <c r="K54" s="127"/>
      <c r="L54" s="126"/>
      <c r="M54" s="126"/>
      <c r="N54" s="127"/>
      <c r="O54" s="126"/>
      <c r="P54" s="126"/>
      <c r="Q54" s="127"/>
      <c r="R54" s="126"/>
      <c r="S54" s="126"/>
      <c r="T54" s="127"/>
      <c r="U54" s="87" t="s">
        <v>3405</v>
      </c>
      <c r="V54" s="87" t="s">
        <v>3406</v>
      </c>
      <c r="W54" s="127"/>
      <c r="X54" s="126"/>
      <c r="Y54" s="126"/>
      <c r="Z54" s="127"/>
      <c r="AA54" s="126"/>
      <c r="AB54" s="126"/>
      <c r="AC54" s="127"/>
      <c r="AD54" s="126"/>
      <c r="AE54" s="126"/>
      <c r="AF54" s="126"/>
      <c r="AG54" s="127"/>
      <c r="AH54" s="126"/>
      <c r="AI54" s="126"/>
      <c r="AJ54" s="127"/>
      <c r="AK54" s="126"/>
      <c r="AL54" s="126"/>
      <c r="AM54" s="127"/>
      <c r="AN54" s="126"/>
      <c r="AO54" s="126"/>
      <c r="AP54" s="127"/>
      <c r="AQ54" s="126"/>
      <c r="AR54" s="126"/>
      <c r="AS54" s="127"/>
      <c r="AT54" s="126"/>
      <c r="AU54" s="126"/>
      <c r="AV54" s="127"/>
      <c r="AW54" s="126"/>
      <c r="AX54" s="126"/>
      <c r="AY54" s="127"/>
      <c r="AZ54" s="126"/>
      <c r="BA54" s="126"/>
      <c r="BB54" s="127"/>
      <c r="BC54" s="126"/>
      <c r="BD54" s="134"/>
      <c r="BE54" s="127"/>
      <c r="BF54" s="126"/>
      <c r="BG54" s="126"/>
      <c r="BH54" s="126"/>
      <c r="BI54" s="126"/>
      <c r="BJ54" s="126"/>
      <c r="BK54" s="126"/>
      <c r="BL54" s="126"/>
      <c r="BM54" s="126"/>
      <c r="BN54" s="126"/>
      <c r="BO54" s="126"/>
      <c r="BP54" s="126"/>
      <c r="BQ54" s="126"/>
      <c r="BR54" s="126"/>
      <c r="BS54" s="126"/>
      <c r="BT54" s="126"/>
      <c r="BU54" s="126"/>
      <c r="BV54" s="126"/>
      <c r="BW54" s="126"/>
      <c r="BX54" s="126"/>
    </row>
    <row r="55">
      <c r="A55" s="126"/>
      <c r="B55" s="126"/>
      <c r="C55" s="127"/>
      <c r="D55" s="126"/>
      <c r="E55" s="126"/>
      <c r="F55" s="127"/>
      <c r="G55" s="131" t="s">
        <v>1566</v>
      </c>
      <c r="H55" s="127"/>
      <c r="I55" s="87">
        <v>2022.0</v>
      </c>
      <c r="J55" s="87"/>
      <c r="K55" s="127"/>
      <c r="L55" s="126"/>
      <c r="M55" s="126"/>
      <c r="N55" s="127"/>
      <c r="O55" s="126"/>
      <c r="P55" s="126"/>
      <c r="Q55" s="127"/>
      <c r="R55" s="126"/>
      <c r="S55" s="126"/>
      <c r="T55" s="127"/>
      <c r="U55" s="87" t="s">
        <v>265</v>
      </c>
      <c r="V55" s="87" t="s">
        <v>3407</v>
      </c>
      <c r="W55" s="127"/>
      <c r="X55" s="126"/>
      <c r="Y55" s="126"/>
      <c r="Z55" s="127"/>
      <c r="AA55" s="126"/>
      <c r="AB55" s="126"/>
      <c r="AC55" s="127"/>
      <c r="AD55" s="126"/>
      <c r="AE55" s="126"/>
      <c r="AF55" s="126"/>
      <c r="AG55" s="127"/>
      <c r="AH55" s="126"/>
      <c r="AI55" s="126"/>
      <c r="AJ55" s="127"/>
      <c r="AK55" s="126"/>
      <c r="AL55" s="126"/>
      <c r="AM55" s="127"/>
      <c r="AN55" s="126"/>
      <c r="AO55" s="126"/>
      <c r="AP55" s="127"/>
      <c r="AQ55" s="126"/>
      <c r="AR55" s="126"/>
      <c r="AS55" s="127"/>
      <c r="AT55" s="126"/>
      <c r="AU55" s="126"/>
      <c r="AV55" s="127"/>
      <c r="AW55" s="126"/>
      <c r="AX55" s="126"/>
      <c r="AY55" s="127"/>
      <c r="AZ55" s="126"/>
      <c r="BA55" s="126"/>
      <c r="BB55" s="127"/>
      <c r="BC55" s="126"/>
      <c r="BD55" s="134"/>
      <c r="BE55" s="127"/>
      <c r="BF55" s="126"/>
      <c r="BG55" s="126"/>
      <c r="BH55" s="126"/>
      <c r="BI55" s="126"/>
      <c r="BJ55" s="126"/>
      <c r="BK55" s="126"/>
      <c r="BL55" s="126"/>
      <c r="BM55" s="126"/>
      <c r="BN55" s="126"/>
      <c r="BO55" s="126"/>
      <c r="BP55" s="126"/>
      <c r="BQ55" s="126"/>
      <c r="BR55" s="126"/>
      <c r="BS55" s="126"/>
      <c r="BT55" s="126"/>
      <c r="BU55" s="126"/>
      <c r="BV55" s="126"/>
      <c r="BW55" s="126"/>
      <c r="BX55" s="126"/>
    </row>
    <row r="56">
      <c r="A56" s="126"/>
      <c r="B56" s="126"/>
      <c r="C56" s="127"/>
      <c r="D56" s="126"/>
      <c r="E56" s="126"/>
      <c r="F56" s="127"/>
      <c r="G56" s="131" t="s">
        <v>1580</v>
      </c>
      <c r="H56" s="127"/>
      <c r="I56" s="87">
        <v>2023.0</v>
      </c>
      <c r="J56" s="87"/>
      <c r="K56" s="127"/>
      <c r="L56" s="126"/>
      <c r="M56" s="126"/>
      <c r="N56" s="127"/>
      <c r="O56" s="126"/>
      <c r="P56" s="126"/>
      <c r="Q56" s="127"/>
      <c r="R56" s="126"/>
      <c r="S56" s="126"/>
      <c r="T56" s="127"/>
      <c r="U56" s="87" t="s">
        <v>1798</v>
      </c>
      <c r="V56" s="87" t="s">
        <v>3408</v>
      </c>
      <c r="W56" s="127"/>
      <c r="X56" s="126"/>
      <c r="Y56" s="126"/>
      <c r="Z56" s="127"/>
      <c r="AA56" s="126"/>
      <c r="AB56" s="126"/>
      <c r="AC56" s="127"/>
      <c r="AD56" s="126"/>
      <c r="AE56" s="126"/>
      <c r="AF56" s="126"/>
      <c r="AG56" s="127"/>
      <c r="AH56" s="126"/>
      <c r="AI56" s="126"/>
      <c r="AJ56" s="127"/>
      <c r="AK56" s="126"/>
      <c r="AL56" s="126"/>
      <c r="AM56" s="127"/>
      <c r="AN56" s="126"/>
      <c r="AO56" s="126"/>
      <c r="AP56" s="127"/>
      <c r="AQ56" s="126"/>
      <c r="AR56" s="126"/>
      <c r="AS56" s="127"/>
      <c r="AT56" s="126"/>
      <c r="AU56" s="126"/>
      <c r="AV56" s="127"/>
      <c r="AW56" s="126"/>
      <c r="AX56" s="126"/>
      <c r="AY56" s="127"/>
      <c r="AZ56" s="126"/>
      <c r="BA56" s="126"/>
      <c r="BB56" s="127"/>
      <c r="BC56" s="126"/>
      <c r="BD56" s="134"/>
      <c r="BE56" s="127"/>
      <c r="BF56" s="126"/>
      <c r="BG56" s="126"/>
      <c r="BH56" s="126"/>
      <c r="BI56" s="126"/>
      <c r="BJ56" s="126"/>
      <c r="BK56" s="126"/>
      <c r="BL56" s="126"/>
      <c r="BM56" s="126"/>
      <c r="BN56" s="126"/>
      <c r="BO56" s="126"/>
      <c r="BP56" s="126"/>
      <c r="BQ56" s="126"/>
      <c r="BR56" s="126"/>
      <c r="BS56" s="126"/>
      <c r="BT56" s="126"/>
      <c r="BU56" s="126"/>
      <c r="BV56" s="126"/>
      <c r="BW56" s="126"/>
      <c r="BX56" s="126"/>
    </row>
    <row r="57">
      <c r="A57" s="126"/>
      <c r="B57" s="126"/>
      <c r="C57" s="127"/>
      <c r="D57" s="126"/>
      <c r="E57" s="126"/>
      <c r="F57" s="127"/>
      <c r="G57" s="131" t="s">
        <v>1589</v>
      </c>
      <c r="H57" s="127"/>
      <c r="I57" s="87">
        <v>2024.0</v>
      </c>
      <c r="J57" s="87"/>
      <c r="K57" s="127"/>
      <c r="L57" s="126"/>
      <c r="M57" s="126"/>
      <c r="N57" s="127"/>
      <c r="O57" s="126"/>
      <c r="P57" s="126"/>
      <c r="Q57" s="127"/>
      <c r="R57" s="126"/>
      <c r="S57" s="126"/>
      <c r="T57" s="127"/>
      <c r="U57" s="87" t="s">
        <v>2153</v>
      </c>
      <c r="V57" s="87" t="s">
        <v>3409</v>
      </c>
      <c r="W57" s="127"/>
      <c r="X57" s="126"/>
      <c r="Y57" s="126"/>
      <c r="Z57" s="127"/>
      <c r="AA57" s="126"/>
      <c r="AB57" s="126"/>
      <c r="AC57" s="127"/>
      <c r="AD57" s="126"/>
      <c r="AE57" s="126"/>
      <c r="AF57" s="126"/>
      <c r="AG57" s="127"/>
      <c r="AH57" s="126"/>
      <c r="AI57" s="126"/>
      <c r="AJ57" s="127"/>
      <c r="AK57" s="126"/>
      <c r="AL57" s="126"/>
      <c r="AM57" s="127"/>
      <c r="AN57" s="126"/>
      <c r="AO57" s="126"/>
      <c r="AP57" s="127"/>
      <c r="AQ57" s="126"/>
      <c r="AR57" s="126"/>
      <c r="AS57" s="127"/>
      <c r="AT57" s="126"/>
      <c r="AU57" s="126"/>
      <c r="AV57" s="127"/>
      <c r="AW57" s="126"/>
      <c r="AX57" s="126"/>
      <c r="AY57" s="127"/>
      <c r="AZ57" s="126"/>
      <c r="BA57" s="126"/>
      <c r="BB57" s="127"/>
      <c r="BC57" s="126"/>
      <c r="BD57" s="134"/>
      <c r="BE57" s="127"/>
      <c r="BF57" s="126"/>
      <c r="BG57" s="126"/>
      <c r="BH57" s="126"/>
      <c r="BI57" s="126"/>
      <c r="BJ57" s="126"/>
      <c r="BK57" s="126"/>
      <c r="BL57" s="126"/>
      <c r="BM57" s="126"/>
      <c r="BN57" s="126"/>
      <c r="BO57" s="126"/>
      <c r="BP57" s="126"/>
      <c r="BQ57" s="126"/>
      <c r="BR57" s="126"/>
      <c r="BS57" s="126"/>
      <c r="BT57" s="126"/>
      <c r="BU57" s="126"/>
      <c r="BV57" s="126"/>
      <c r="BW57" s="126"/>
      <c r="BX57" s="126"/>
    </row>
    <row r="58">
      <c r="A58" s="126"/>
      <c r="B58" s="126"/>
      <c r="C58" s="127"/>
      <c r="D58" s="126"/>
      <c r="E58" s="126"/>
      <c r="F58" s="127"/>
      <c r="G58" s="131" t="s">
        <v>1624</v>
      </c>
      <c r="H58" s="127"/>
      <c r="I58" s="87">
        <v>2025.0</v>
      </c>
      <c r="J58" s="87"/>
      <c r="K58" s="127"/>
      <c r="L58" s="126"/>
      <c r="M58" s="126"/>
      <c r="N58" s="127"/>
      <c r="O58" s="126"/>
      <c r="P58" s="126"/>
      <c r="Q58" s="127"/>
      <c r="R58" s="126"/>
      <c r="S58" s="126"/>
      <c r="T58" s="127"/>
      <c r="U58" s="87" t="s">
        <v>936</v>
      </c>
      <c r="V58" s="126"/>
      <c r="W58" s="127"/>
      <c r="X58" s="126"/>
      <c r="Y58" s="126"/>
      <c r="Z58" s="127"/>
      <c r="AA58" s="126"/>
      <c r="AB58" s="126"/>
      <c r="AC58" s="127"/>
      <c r="AD58" s="126"/>
      <c r="AE58" s="126"/>
      <c r="AF58" s="126"/>
      <c r="AG58" s="127"/>
      <c r="AH58" s="126"/>
      <c r="AI58" s="126"/>
      <c r="AJ58" s="127"/>
      <c r="AK58" s="126"/>
      <c r="AL58" s="126"/>
      <c r="AM58" s="127"/>
      <c r="AN58" s="126"/>
      <c r="AO58" s="126"/>
      <c r="AP58" s="127"/>
      <c r="AQ58" s="126"/>
      <c r="AR58" s="126"/>
      <c r="AS58" s="127"/>
      <c r="AT58" s="126"/>
      <c r="AU58" s="126"/>
      <c r="AV58" s="127"/>
      <c r="AW58" s="126"/>
      <c r="AX58" s="126"/>
      <c r="AY58" s="127"/>
      <c r="AZ58" s="126"/>
      <c r="BA58" s="126"/>
      <c r="BB58" s="127"/>
      <c r="BC58" s="126"/>
      <c r="BD58" s="134"/>
      <c r="BE58" s="127"/>
      <c r="BF58" s="126"/>
      <c r="BG58" s="126"/>
      <c r="BH58" s="126"/>
      <c r="BI58" s="126"/>
      <c r="BJ58" s="126"/>
      <c r="BK58" s="126"/>
      <c r="BL58" s="126"/>
      <c r="BM58" s="126"/>
      <c r="BN58" s="126"/>
      <c r="BO58" s="126"/>
      <c r="BP58" s="126"/>
      <c r="BQ58" s="126"/>
      <c r="BR58" s="126"/>
      <c r="BS58" s="126"/>
      <c r="BT58" s="126"/>
      <c r="BU58" s="126"/>
      <c r="BV58" s="126"/>
      <c r="BW58" s="126"/>
      <c r="BX58" s="126"/>
    </row>
    <row r="59">
      <c r="A59" s="126"/>
      <c r="B59" s="126"/>
      <c r="C59" s="127"/>
      <c r="D59" s="126"/>
      <c r="E59" s="126"/>
      <c r="F59" s="127"/>
      <c r="G59" s="131" t="s">
        <v>1635</v>
      </c>
      <c r="H59" s="127"/>
      <c r="I59" s="87">
        <v>2026.0</v>
      </c>
      <c r="J59" s="87"/>
      <c r="K59" s="127"/>
      <c r="L59" s="126"/>
      <c r="M59" s="126"/>
      <c r="N59" s="127"/>
      <c r="O59" s="126"/>
      <c r="P59" s="126"/>
      <c r="Q59" s="127"/>
      <c r="R59" s="126"/>
      <c r="S59" s="126"/>
      <c r="T59" s="127"/>
      <c r="U59" s="87" t="s">
        <v>3410</v>
      </c>
      <c r="V59" s="126"/>
      <c r="W59" s="127"/>
      <c r="X59" s="126"/>
      <c r="Y59" s="126"/>
      <c r="Z59" s="127"/>
      <c r="AA59" s="126"/>
      <c r="AB59" s="126"/>
      <c r="AC59" s="127"/>
      <c r="AD59" s="126"/>
      <c r="AE59" s="126"/>
      <c r="AF59" s="126"/>
      <c r="AG59" s="127"/>
      <c r="AH59" s="126"/>
      <c r="AI59" s="126"/>
      <c r="AJ59" s="127"/>
      <c r="AK59" s="126"/>
      <c r="AL59" s="126"/>
      <c r="AM59" s="127"/>
      <c r="AN59" s="126"/>
      <c r="AO59" s="126"/>
      <c r="AP59" s="127"/>
      <c r="AQ59" s="126"/>
      <c r="AR59" s="126"/>
      <c r="AS59" s="127"/>
      <c r="AT59" s="126"/>
      <c r="AU59" s="126"/>
      <c r="AV59" s="127"/>
      <c r="AW59" s="126"/>
      <c r="AX59" s="126"/>
      <c r="AY59" s="127"/>
      <c r="AZ59" s="126"/>
      <c r="BA59" s="126"/>
      <c r="BB59" s="127"/>
      <c r="BC59" s="126"/>
      <c r="BD59" s="134"/>
      <c r="BE59" s="127"/>
      <c r="BF59" s="126"/>
      <c r="BG59" s="126"/>
      <c r="BH59" s="126"/>
      <c r="BI59" s="126"/>
      <c r="BJ59" s="126"/>
      <c r="BK59" s="126"/>
      <c r="BL59" s="126"/>
      <c r="BM59" s="126"/>
      <c r="BN59" s="126"/>
      <c r="BO59" s="126"/>
      <c r="BP59" s="126"/>
      <c r="BQ59" s="126"/>
      <c r="BR59" s="126"/>
      <c r="BS59" s="126"/>
      <c r="BT59" s="126"/>
      <c r="BU59" s="126"/>
      <c r="BV59" s="126"/>
      <c r="BW59" s="126"/>
      <c r="BX59" s="126"/>
    </row>
    <row r="60">
      <c r="A60" s="126"/>
      <c r="B60" s="126"/>
      <c r="C60" s="127"/>
      <c r="D60" s="126"/>
      <c r="E60" s="126"/>
      <c r="F60" s="127"/>
      <c r="G60" s="131" t="s">
        <v>1651</v>
      </c>
      <c r="H60" s="127"/>
      <c r="I60" s="87">
        <v>2027.0</v>
      </c>
      <c r="J60" s="87"/>
      <c r="K60" s="127"/>
      <c r="L60" s="126"/>
      <c r="M60" s="126"/>
      <c r="N60" s="127"/>
      <c r="O60" s="126"/>
      <c r="P60" s="126"/>
      <c r="Q60" s="127"/>
      <c r="R60" s="126"/>
      <c r="S60" s="126"/>
      <c r="T60" s="127"/>
      <c r="U60" s="87" t="s">
        <v>3411</v>
      </c>
      <c r="V60" s="126"/>
      <c r="W60" s="127"/>
      <c r="X60" s="126"/>
      <c r="Y60" s="126"/>
      <c r="Z60" s="127"/>
      <c r="AA60" s="126"/>
      <c r="AB60" s="126"/>
      <c r="AC60" s="127"/>
      <c r="AD60" s="126"/>
      <c r="AE60" s="126"/>
      <c r="AF60" s="126"/>
      <c r="AG60" s="127"/>
      <c r="AH60" s="126"/>
      <c r="AI60" s="126"/>
      <c r="AJ60" s="127"/>
      <c r="AK60" s="126"/>
      <c r="AL60" s="126"/>
      <c r="AM60" s="127"/>
      <c r="AN60" s="126"/>
      <c r="AO60" s="126"/>
      <c r="AP60" s="127"/>
      <c r="AQ60" s="126"/>
      <c r="AR60" s="126"/>
      <c r="AS60" s="127"/>
      <c r="AT60" s="126"/>
      <c r="AU60" s="126"/>
      <c r="AV60" s="127"/>
      <c r="AW60" s="126"/>
      <c r="AX60" s="126"/>
      <c r="AY60" s="127"/>
      <c r="AZ60" s="126"/>
      <c r="BA60" s="126"/>
      <c r="BB60" s="127"/>
      <c r="BC60" s="126"/>
      <c r="BD60" s="134"/>
      <c r="BE60" s="127"/>
      <c r="BF60" s="126"/>
      <c r="BG60" s="126"/>
      <c r="BH60" s="126"/>
      <c r="BI60" s="126"/>
      <c r="BJ60" s="126"/>
      <c r="BK60" s="126"/>
      <c r="BL60" s="126"/>
      <c r="BM60" s="126"/>
      <c r="BN60" s="126"/>
      <c r="BO60" s="126"/>
      <c r="BP60" s="126"/>
      <c r="BQ60" s="126"/>
      <c r="BR60" s="126"/>
      <c r="BS60" s="126"/>
      <c r="BT60" s="126"/>
      <c r="BU60" s="126"/>
      <c r="BV60" s="126"/>
      <c r="BW60" s="126"/>
      <c r="BX60" s="126"/>
    </row>
    <row r="61">
      <c r="A61" s="126"/>
      <c r="B61" s="126"/>
      <c r="C61" s="127"/>
      <c r="D61" s="126"/>
      <c r="E61" s="126"/>
      <c r="F61" s="127"/>
      <c r="G61" s="131" t="s">
        <v>1659</v>
      </c>
      <c r="H61" s="127"/>
      <c r="I61" s="87">
        <v>2028.0</v>
      </c>
      <c r="J61" s="87"/>
      <c r="K61" s="127"/>
      <c r="L61" s="126"/>
      <c r="M61" s="126"/>
      <c r="N61" s="127"/>
      <c r="O61" s="126"/>
      <c r="P61" s="126"/>
      <c r="Q61" s="127"/>
      <c r="R61" s="126"/>
      <c r="S61" s="126"/>
      <c r="T61" s="127"/>
      <c r="U61" s="87" t="s">
        <v>3385</v>
      </c>
      <c r="V61" s="126"/>
      <c r="W61" s="127"/>
      <c r="X61" s="126"/>
      <c r="Y61" s="126"/>
      <c r="Z61" s="127"/>
      <c r="AA61" s="126"/>
      <c r="AB61" s="126"/>
      <c r="AC61" s="127"/>
      <c r="AD61" s="126"/>
      <c r="AE61" s="126"/>
      <c r="AF61" s="126"/>
      <c r="AG61" s="127"/>
      <c r="AH61" s="126"/>
      <c r="AI61" s="126"/>
      <c r="AJ61" s="127"/>
      <c r="AK61" s="126"/>
      <c r="AL61" s="126"/>
      <c r="AM61" s="127"/>
      <c r="AN61" s="126"/>
      <c r="AO61" s="126"/>
      <c r="AP61" s="127"/>
      <c r="AQ61" s="126"/>
      <c r="AR61" s="126"/>
      <c r="AS61" s="127"/>
      <c r="AT61" s="126"/>
      <c r="AU61" s="126"/>
      <c r="AV61" s="127"/>
      <c r="AW61" s="126"/>
      <c r="AX61" s="126"/>
      <c r="AY61" s="127"/>
      <c r="AZ61" s="126"/>
      <c r="BA61" s="126"/>
      <c r="BB61" s="127"/>
      <c r="BC61" s="126"/>
      <c r="BD61" s="134"/>
      <c r="BE61" s="127"/>
      <c r="BF61" s="126"/>
      <c r="BG61" s="126"/>
      <c r="BH61" s="126"/>
      <c r="BI61" s="126"/>
      <c r="BJ61" s="126"/>
      <c r="BK61" s="126"/>
      <c r="BL61" s="126"/>
      <c r="BM61" s="126"/>
      <c r="BN61" s="126"/>
      <c r="BO61" s="126"/>
      <c r="BP61" s="126"/>
      <c r="BQ61" s="126"/>
      <c r="BR61" s="126"/>
      <c r="BS61" s="126"/>
      <c r="BT61" s="126"/>
      <c r="BU61" s="126"/>
      <c r="BV61" s="126"/>
      <c r="BW61" s="126"/>
      <c r="BX61" s="126"/>
    </row>
    <row r="62">
      <c r="A62" s="126"/>
      <c r="B62" s="126"/>
      <c r="C62" s="127"/>
      <c r="D62" s="126"/>
      <c r="E62" s="126"/>
      <c r="F62" s="127"/>
      <c r="G62" s="131" t="s">
        <v>1683</v>
      </c>
      <c r="H62" s="127"/>
      <c r="I62" s="87">
        <v>2029.0</v>
      </c>
      <c r="J62" s="87"/>
      <c r="K62" s="127"/>
      <c r="L62" s="126"/>
      <c r="M62" s="126"/>
      <c r="N62" s="127"/>
      <c r="O62" s="126"/>
      <c r="P62" s="126"/>
      <c r="Q62" s="127"/>
      <c r="R62" s="126"/>
      <c r="S62" s="126"/>
      <c r="T62" s="127"/>
      <c r="U62" s="126"/>
      <c r="V62" s="126"/>
      <c r="W62" s="127"/>
      <c r="X62" s="126"/>
      <c r="Y62" s="126"/>
      <c r="Z62" s="127"/>
      <c r="AA62" s="126"/>
      <c r="AB62" s="126"/>
      <c r="AC62" s="127"/>
      <c r="AD62" s="126"/>
      <c r="AE62" s="126"/>
      <c r="AF62" s="126"/>
      <c r="AG62" s="127"/>
      <c r="AH62" s="126"/>
      <c r="AI62" s="126"/>
      <c r="AJ62" s="127"/>
      <c r="AK62" s="126"/>
      <c r="AL62" s="126"/>
      <c r="AM62" s="127"/>
      <c r="AN62" s="126"/>
      <c r="AO62" s="126"/>
      <c r="AP62" s="127"/>
      <c r="AQ62" s="126"/>
      <c r="AR62" s="126"/>
      <c r="AS62" s="127"/>
      <c r="AT62" s="126"/>
      <c r="AU62" s="126"/>
      <c r="AV62" s="127"/>
      <c r="AW62" s="126"/>
      <c r="AX62" s="126"/>
      <c r="AY62" s="127"/>
      <c r="AZ62" s="126"/>
      <c r="BA62" s="126"/>
      <c r="BB62" s="127"/>
      <c r="BC62" s="126"/>
      <c r="BD62" s="134"/>
      <c r="BE62" s="127"/>
      <c r="BF62" s="126"/>
      <c r="BG62" s="126"/>
      <c r="BH62" s="126"/>
      <c r="BI62" s="126"/>
      <c r="BJ62" s="126"/>
      <c r="BK62" s="126"/>
      <c r="BL62" s="126"/>
      <c r="BM62" s="126"/>
      <c r="BN62" s="126"/>
      <c r="BO62" s="126"/>
      <c r="BP62" s="126"/>
      <c r="BQ62" s="126"/>
      <c r="BR62" s="126"/>
      <c r="BS62" s="126"/>
      <c r="BT62" s="126"/>
      <c r="BU62" s="126"/>
      <c r="BV62" s="126"/>
      <c r="BW62" s="126"/>
      <c r="BX62" s="126"/>
    </row>
    <row r="63">
      <c r="A63" s="126"/>
      <c r="B63" s="126"/>
      <c r="C63" s="127"/>
      <c r="D63" s="126"/>
      <c r="E63" s="126"/>
      <c r="F63" s="127"/>
      <c r="G63" s="131" t="s">
        <v>1732</v>
      </c>
      <c r="H63" s="127"/>
      <c r="I63" s="87">
        <v>2030.0</v>
      </c>
      <c r="J63" s="87"/>
      <c r="K63" s="127"/>
      <c r="L63" s="126"/>
      <c r="M63" s="126"/>
      <c r="N63" s="127"/>
      <c r="O63" s="126"/>
      <c r="P63" s="126"/>
      <c r="Q63" s="127"/>
      <c r="R63" s="126"/>
      <c r="S63" s="126"/>
      <c r="T63" s="127"/>
      <c r="U63" s="126"/>
      <c r="V63" s="126"/>
      <c r="W63" s="127"/>
      <c r="X63" s="126"/>
      <c r="Y63" s="126"/>
      <c r="Z63" s="127"/>
      <c r="AA63" s="126"/>
      <c r="AB63" s="126"/>
      <c r="AC63" s="127"/>
      <c r="AD63" s="126"/>
      <c r="AE63" s="126"/>
      <c r="AF63" s="126"/>
      <c r="AG63" s="127"/>
      <c r="AH63" s="126"/>
      <c r="AI63" s="126"/>
      <c r="AJ63" s="127"/>
      <c r="AK63" s="126"/>
      <c r="AL63" s="126"/>
      <c r="AM63" s="127"/>
      <c r="AN63" s="126"/>
      <c r="AO63" s="126"/>
      <c r="AP63" s="127"/>
      <c r="AQ63" s="126"/>
      <c r="AR63" s="126"/>
      <c r="AS63" s="127"/>
      <c r="AT63" s="126"/>
      <c r="AU63" s="126"/>
      <c r="AV63" s="127"/>
      <c r="AW63" s="126"/>
      <c r="AX63" s="126"/>
      <c r="AY63" s="127"/>
      <c r="AZ63" s="126"/>
      <c r="BA63" s="126"/>
      <c r="BB63" s="127"/>
      <c r="BC63" s="126"/>
      <c r="BD63" s="134"/>
      <c r="BE63" s="127"/>
      <c r="BF63" s="126"/>
      <c r="BG63" s="126"/>
      <c r="BH63" s="126"/>
      <c r="BI63" s="126"/>
      <c r="BJ63" s="126"/>
      <c r="BK63" s="126"/>
      <c r="BL63" s="126"/>
      <c r="BM63" s="126"/>
      <c r="BN63" s="126"/>
      <c r="BO63" s="126"/>
      <c r="BP63" s="126"/>
      <c r="BQ63" s="126"/>
      <c r="BR63" s="126"/>
      <c r="BS63" s="126"/>
      <c r="BT63" s="126"/>
      <c r="BU63" s="126"/>
      <c r="BV63" s="126"/>
      <c r="BW63" s="126"/>
      <c r="BX63" s="126"/>
    </row>
    <row r="64">
      <c r="A64" s="126"/>
      <c r="B64" s="126"/>
      <c r="C64" s="127"/>
      <c r="D64" s="126"/>
      <c r="E64" s="126"/>
      <c r="F64" s="127"/>
      <c r="G64" s="131" t="s">
        <v>1746</v>
      </c>
      <c r="H64" s="127"/>
      <c r="I64" s="87">
        <v>2031.0</v>
      </c>
      <c r="J64" s="87"/>
      <c r="K64" s="127"/>
      <c r="L64" s="126"/>
      <c r="M64" s="126"/>
      <c r="N64" s="127"/>
      <c r="O64" s="126"/>
      <c r="P64" s="126"/>
      <c r="Q64" s="127"/>
      <c r="R64" s="126"/>
      <c r="S64" s="126"/>
      <c r="T64" s="127"/>
      <c r="U64" s="126"/>
      <c r="V64" s="126"/>
      <c r="W64" s="127"/>
      <c r="X64" s="126"/>
      <c r="Y64" s="126"/>
      <c r="Z64" s="127"/>
      <c r="AA64" s="126"/>
      <c r="AB64" s="126"/>
      <c r="AC64" s="127"/>
      <c r="AD64" s="126"/>
      <c r="AE64" s="126"/>
      <c r="AF64" s="126"/>
      <c r="AG64" s="127"/>
      <c r="AH64" s="126"/>
      <c r="AI64" s="126"/>
      <c r="AJ64" s="127"/>
      <c r="AK64" s="126"/>
      <c r="AL64" s="126"/>
      <c r="AM64" s="127"/>
      <c r="AN64" s="126"/>
      <c r="AO64" s="126"/>
      <c r="AP64" s="127"/>
      <c r="AQ64" s="126"/>
      <c r="AR64" s="126"/>
      <c r="AS64" s="127"/>
      <c r="AT64" s="126"/>
      <c r="AU64" s="126"/>
      <c r="AV64" s="127"/>
      <c r="AW64" s="126"/>
      <c r="AX64" s="126"/>
      <c r="AY64" s="127"/>
      <c r="AZ64" s="126"/>
      <c r="BA64" s="126"/>
      <c r="BB64" s="127"/>
      <c r="BC64" s="126"/>
      <c r="BD64" s="134"/>
      <c r="BE64" s="127"/>
      <c r="BF64" s="126"/>
      <c r="BG64" s="126"/>
      <c r="BH64" s="126"/>
      <c r="BI64" s="126"/>
      <c r="BJ64" s="126"/>
      <c r="BK64" s="126"/>
      <c r="BL64" s="126"/>
      <c r="BM64" s="126"/>
      <c r="BN64" s="126"/>
      <c r="BO64" s="126"/>
      <c r="BP64" s="126"/>
      <c r="BQ64" s="126"/>
      <c r="BR64" s="126"/>
      <c r="BS64" s="126"/>
      <c r="BT64" s="126"/>
      <c r="BU64" s="126"/>
      <c r="BV64" s="126"/>
      <c r="BW64" s="126"/>
      <c r="BX64" s="126"/>
    </row>
    <row r="65">
      <c r="A65" s="126"/>
      <c r="B65" s="126"/>
      <c r="C65" s="127"/>
      <c r="D65" s="126"/>
      <c r="E65" s="126"/>
      <c r="F65" s="127"/>
      <c r="G65" s="131" t="s">
        <v>1754</v>
      </c>
      <c r="H65" s="127"/>
      <c r="I65" s="87">
        <v>2032.0</v>
      </c>
      <c r="J65" s="87"/>
      <c r="K65" s="127"/>
      <c r="L65" s="126"/>
      <c r="M65" s="126"/>
      <c r="N65" s="127"/>
      <c r="O65" s="126"/>
      <c r="P65" s="126"/>
      <c r="Q65" s="127"/>
      <c r="R65" s="126"/>
      <c r="S65" s="126"/>
      <c r="T65" s="127"/>
      <c r="U65" s="126"/>
      <c r="V65" s="126"/>
      <c r="W65" s="127"/>
      <c r="X65" s="126"/>
      <c r="Y65" s="126"/>
      <c r="Z65" s="127"/>
      <c r="AA65" s="126"/>
      <c r="AB65" s="126"/>
      <c r="AC65" s="127"/>
      <c r="AD65" s="126"/>
      <c r="AE65" s="126"/>
      <c r="AF65" s="126"/>
      <c r="AG65" s="127"/>
      <c r="AH65" s="126"/>
      <c r="AI65" s="126"/>
      <c r="AJ65" s="127"/>
      <c r="AK65" s="126"/>
      <c r="AL65" s="126"/>
      <c r="AM65" s="127"/>
      <c r="AN65" s="126"/>
      <c r="AO65" s="126"/>
      <c r="AP65" s="127"/>
      <c r="AQ65" s="126"/>
      <c r="AR65" s="126"/>
      <c r="AS65" s="127"/>
      <c r="AT65" s="126"/>
      <c r="AU65" s="126"/>
      <c r="AV65" s="127"/>
      <c r="AW65" s="126"/>
      <c r="AX65" s="126"/>
      <c r="AY65" s="127"/>
      <c r="AZ65" s="126"/>
      <c r="BA65" s="126"/>
      <c r="BB65" s="127"/>
      <c r="BC65" s="126"/>
      <c r="BD65" s="134"/>
      <c r="BE65" s="127"/>
      <c r="BF65" s="126"/>
      <c r="BG65" s="126"/>
      <c r="BH65" s="126"/>
      <c r="BI65" s="126"/>
      <c r="BJ65" s="126"/>
      <c r="BK65" s="126"/>
      <c r="BL65" s="126"/>
      <c r="BM65" s="126"/>
      <c r="BN65" s="126"/>
      <c r="BO65" s="126"/>
      <c r="BP65" s="126"/>
      <c r="BQ65" s="126"/>
      <c r="BR65" s="126"/>
      <c r="BS65" s="126"/>
      <c r="BT65" s="126"/>
      <c r="BU65" s="126"/>
      <c r="BV65" s="126"/>
      <c r="BW65" s="126"/>
      <c r="BX65" s="126"/>
    </row>
    <row r="66">
      <c r="A66" s="126"/>
      <c r="B66" s="126"/>
      <c r="C66" s="127"/>
      <c r="D66" s="126"/>
      <c r="E66" s="126"/>
      <c r="F66" s="127"/>
      <c r="G66" s="131" t="s">
        <v>1765</v>
      </c>
      <c r="H66" s="127"/>
      <c r="I66" s="87">
        <v>2033.0</v>
      </c>
      <c r="J66" s="87"/>
      <c r="K66" s="127"/>
      <c r="L66" s="126"/>
      <c r="M66" s="126"/>
      <c r="N66" s="127"/>
      <c r="O66" s="126"/>
      <c r="P66" s="126"/>
      <c r="Q66" s="127"/>
      <c r="R66" s="126"/>
      <c r="S66" s="126"/>
      <c r="T66" s="127"/>
      <c r="U66" s="126"/>
      <c r="V66" s="126"/>
      <c r="W66" s="127"/>
      <c r="X66" s="126"/>
      <c r="Y66" s="126"/>
      <c r="Z66" s="127"/>
      <c r="AA66" s="126"/>
      <c r="AB66" s="126"/>
      <c r="AC66" s="127"/>
      <c r="AD66" s="126"/>
      <c r="AE66" s="126"/>
      <c r="AF66" s="126"/>
      <c r="AG66" s="127"/>
      <c r="AH66" s="126"/>
      <c r="AI66" s="126"/>
      <c r="AJ66" s="127"/>
      <c r="AK66" s="126"/>
      <c r="AL66" s="126"/>
      <c r="AM66" s="127"/>
      <c r="AN66" s="126"/>
      <c r="AO66" s="126"/>
      <c r="AP66" s="127"/>
      <c r="AQ66" s="126"/>
      <c r="AR66" s="126"/>
      <c r="AS66" s="127"/>
      <c r="AT66" s="126"/>
      <c r="AU66" s="126"/>
      <c r="AV66" s="127"/>
      <c r="AW66" s="126"/>
      <c r="AX66" s="126"/>
      <c r="AY66" s="127"/>
      <c r="AZ66" s="126"/>
      <c r="BA66" s="126"/>
      <c r="BB66" s="127"/>
      <c r="BC66" s="126"/>
      <c r="BD66" s="134"/>
      <c r="BE66" s="127"/>
      <c r="BF66" s="126"/>
      <c r="BG66" s="126"/>
      <c r="BH66" s="126"/>
      <c r="BI66" s="126"/>
      <c r="BJ66" s="126"/>
      <c r="BK66" s="126"/>
      <c r="BL66" s="126"/>
      <c r="BM66" s="126"/>
      <c r="BN66" s="126"/>
      <c r="BO66" s="126"/>
      <c r="BP66" s="126"/>
      <c r="BQ66" s="126"/>
      <c r="BR66" s="126"/>
      <c r="BS66" s="126"/>
      <c r="BT66" s="126"/>
      <c r="BU66" s="126"/>
      <c r="BV66" s="126"/>
      <c r="BW66" s="126"/>
      <c r="BX66" s="126"/>
    </row>
    <row r="67">
      <c r="A67" s="126"/>
      <c r="B67" s="126"/>
      <c r="C67" s="127"/>
      <c r="D67" s="126"/>
      <c r="E67" s="126"/>
      <c r="F67" s="127"/>
      <c r="G67" s="131" t="s">
        <v>1770</v>
      </c>
      <c r="H67" s="127"/>
      <c r="I67" s="87">
        <v>2034.0</v>
      </c>
      <c r="J67" s="87"/>
      <c r="K67" s="127"/>
      <c r="L67" s="126"/>
      <c r="M67" s="126"/>
      <c r="N67" s="127"/>
      <c r="O67" s="126"/>
      <c r="P67" s="126"/>
      <c r="Q67" s="127"/>
      <c r="R67" s="126"/>
      <c r="S67" s="126"/>
      <c r="T67" s="127"/>
      <c r="U67" s="126"/>
      <c r="V67" s="126"/>
      <c r="W67" s="127"/>
      <c r="X67" s="126"/>
      <c r="Y67" s="126"/>
      <c r="Z67" s="127"/>
      <c r="AA67" s="126"/>
      <c r="AB67" s="126"/>
      <c r="AC67" s="127"/>
      <c r="AD67" s="126"/>
      <c r="AE67" s="126"/>
      <c r="AF67" s="126"/>
      <c r="AG67" s="127"/>
      <c r="AH67" s="126"/>
      <c r="AI67" s="126"/>
      <c r="AJ67" s="127"/>
      <c r="AK67" s="126"/>
      <c r="AL67" s="126"/>
      <c r="AM67" s="127"/>
      <c r="AN67" s="126"/>
      <c r="AO67" s="126"/>
      <c r="AP67" s="127"/>
      <c r="AQ67" s="126"/>
      <c r="AR67" s="126"/>
      <c r="AS67" s="127"/>
      <c r="AT67" s="126"/>
      <c r="AU67" s="126"/>
      <c r="AV67" s="127"/>
      <c r="AW67" s="126"/>
      <c r="AX67" s="126"/>
      <c r="AY67" s="127"/>
      <c r="AZ67" s="126"/>
      <c r="BA67" s="126"/>
      <c r="BB67" s="127"/>
      <c r="BC67" s="126"/>
      <c r="BD67" s="134"/>
      <c r="BE67" s="127"/>
      <c r="BF67" s="126"/>
      <c r="BG67" s="126"/>
      <c r="BH67" s="126"/>
      <c r="BI67" s="126"/>
      <c r="BJ67" s="126"/>
      <c r="BK67" s="126"/>
      <c r="BL67" s="126"/>
      <c r="BM67" s="126"/>
      <c r="BN67" s="126"/>
      <c r="BO67" s="126"/>
      <c r="BP67" s="126"/>
      <c r="BQ67" s="126"/>
      <c r="BR67" s="126"/>
      <c r="BS67" s="126"/>
      <c r="BT67" s="126"/>
      <c r="BU67" s="126"/>
      <c r="BV67" s="126"/>
      <c r="BW67" s="126"/>
      <c r="BX67" s="126"/>
    </row>
    <row r="68">
      <c r="A68" s="126"/>
      <c r="B68" s="126"/>
      <c r="C68" s="127"/>
      <c r="D68" s="126"/>
      <c r="E68" s="126"/>
      <c r="F68" s="127"/>
      <c r="G68" s="131" t="s">
        <v>1776</v>
      </c>
      <c r="H68" s="127"/>
      <c r="I68" s="87">
        <v>2035.0</v>
      </c>
      <c r="J68" s="87"/>
      <c r="K68" s="127"/>
      <c r="L68" s="126"/>
      <c r="M68" s="126"/>
      <c r="N68" s="127"/>
      <c r="O68" s="126"/>
      <c r="P68" s="126"/>
      <c r="Q68" s="127"/>
      <c r="R68" s="126"/>
      <c r="S68" s="126"/>
      <c r="T68" s="127"/>
      <c r="U68" s="126"/>
      <c r="V68" s="126"/>
      <c r="W68" s="127"/>
      <c r="X68" s="126"/>
      <c r="Y68" s="126"/>
      <c r="Z68" s="127"/>
      <c r="AA68" s="126"/>
      <c r="AB68" s="126"/>
      <c r="AC68" s="127"/>
      <c r="AD68" s="126"/>
      <c r="AE68" s="126"/>
      <c r="AF68" s="126"/>
      <c r="AG68" s="127"/>
      <c r="AH68" s="126"/>
      <c r="AI68" s="126"/>
      <c r="AJ68" s="127"/>
      <c r="AK68" s="126"/>
      <c r="AL68" s="126"/>
      <c r="AM68" s="127"/>
      <c r="AN68" s="126"/>
      <c r="AO68" s="126"/>
      <c r="AP68" s="127"/>
      <c r="AQ68" s="126"/>
      <c r="AR68" s="126"/>
      <c r="AS68" s="127"/>
      <c r="AT68" s="126"/>
      <c r="AU68" s="126"/>
      <c r="AV68" s="127"/>
      <c r="AW68" s="126"/>
      <c r="AX68" s="126"/>
      <c r="AY68" s="127"/>
      <c r="AZ68" s="126"/>
      <c r="BA68" s="126"/>
      <c r="BB68" s="127"/>
      <c r="BC68" s="126"/>
      <c r="BD68" s="134"/>
      <c r="BE68" s="127"/>
      <c r="BF68" s="126"/>
      <c r="BG68" s="126"/>
      <c r="BH68" s="126"/>
      <c r="BI68" s="126"/>
      <c r="BJ68" s="126"/>
      <c r="BK68" s="126"/>
      <c r="BL68" s="126"/>
      <c r="BM68" s="126"/>
      <c r="BN68" s="126"/>
      <c r="BO68" s="126"/>
      <c r="BP68" s="126"/>
      <c r="BQ68" s="126"/>
      <c r="BR68" s="126"/>
      <c r="BS68" s="126"/>
      <c r="BT68" s="126"/>
      <c r="BU68" s="126"/>
      <c r="BV68" s="126"/>
      <c r="BW68" s="126"/>
      <c r="BX68" s="126"/>
    </row>
    <row r="69">
      <c r="A69" s="126"/>
      <c r="B69" s="126"/>
      <c r="C69" s="127"/>
      <c r="D69" s="126"/>
      <c r="E69" s="126"/>
      <c r="F69" s="127"/>
      <c r="G69" s="131" t="s">
        <v>1785</v>
      </c>
      <c r="H69" s="127"/>
      <c r="I69" s="87">
        <v>2036.0</v>
      </c>
      <c r="J69" s="87"/>
      <c r="K69" s="127"/>
      <c r="L69" s="126"/>
      <c r="M69" s="126"/>
      <c r="N69" s="127"/>
      <c r="O69" s="126"/>
      <c r="P69" s="126"/>
      <c r="Q69" s="127"/>
      <c r="R69" s="126"/>
      <c r="S69" s="126"/>
      <c r="T69" s="127"/>
      <c r="U69" s="126"/>
      <c r="V69" s="126"/>
      <c r="W69" s="127"/>
      <c r="X69" s="126"/>
      <c r="Y69" s="126"/>
      <c r="Z69" s="127"/>
      <c r="AA69" s="126"/>
      <c r="AB69" s="126"/>
      <c r="AC69" s="127"/>
      <c r="AD69" s="126"/>
      <c r="AE69" s="126"/>
      <c r="AF69" s="126"/>
      <c r="AG69" s="127"/>
      <c r="AH69" s="126"/>
      <c r="AI69" s="126"/>
      <c r="AJ69" s="127"/>
      <c r="AK69" s="126"/>
      <c r="AL69" s="126"/>
      <c r="AM69" s="127"/>
      <c r="AN69" s="126"/>
      <c r="AO69" s="126"/>
      <c r="AP69" s="127"/>
      <c r="AQ69" s="126"/>
      <c r="AR69" s="126"/>
      <c r="AS69" s="127"/>
      <c r="AT69" s="126"/>
      <c r="AU69" s="126"/>
      <c r="AV69" s="127"/>
      <c r="AW69" s="126"/>
      <c r="AX69" s="126"/>
      <c r="AY69" s="127"/>
      <c r="AZ69" s="126"/>
      <c r="BA69" s="126"/>
      <c r="BB69" s="127"/>
      <c r="BC69" s="126"/>
      <c r="BD69" s="134"/>
      <c r="BE69" s="127"/>
      <c r="BF69" s="126"/>
      <c r="BG69" s="126"/>
      <c r="BH69" s="126"/>
      <c r="BI69" s="126"/>
      <c r="BJ69" s="126"/>
      <c r="BK69" s="126"/>
      <c r="BL69" s="126"/>
      <c r="BM69" s="126"/>
      <c r="BN69" s="126"/>
      <c r="BO69" s="126"/>
      <c r="BP69" s="126"/>
      <c r="BQ69" s="126"/>
      <c r="BR69" s="126"/>
      <c r="BS69" s="126"/>
      <c r="BT69" s="126"/>
      <c r="BU69" s="126"/>
      <c r="BV69" s="126"/>
      <c r="BW69" s="126"/>
      <c r="BX69" s="126"/>
    </row>
    <row r="70">
      <c r="A70" s="126"/>
      <c r="B70" s="126"/>
      <c r="C70" s="127"/>
      <c r="D70" s="126"/>
      <c r="E70" s="126"/>
      <c r="F70" s="127"/>
      <c r="G70" s="131" t="s">
        <v>1797</v>
      </c>
      <c r="H70" s="127"/>
      <c r="I70" s="87">
        <v>2037.0</v>
      </c>
      <c r="J70" s="87"/>
      <c r="K70" s="127"/>
      <c r="L70" s="126"/>
      <c r="M70" s="126"/>
      <c r="N70" s="127"/>
      <c r="O70" s="126"/>
      <c r="P70" s="126"/>
      <c r="Q70" s="127"/>
      <c r="R70" s="126"/>
      <c r="S70" s="126"/>
      <c r="T70" s="127"/>
      <c r="U70" s="126"/>
      <c r="V70" s="126"/>
      <c r="W70" s="127"/>
      <c r="X70" s="126"/>
      <c r="Y70" s="126"/>
      <c r="Z70" s="127"/>
      <c r="AA70" s="126"/>
      <c r="AB70" s="126"/>
      <c r="AC70" s="127"/>
      <c r="AD70" s="126"/>
      <c r="AE70" s="126"/>
      <c r="AF70" s="126"/>
      <c r="AG70" s="127"/>
      <c r="AH70" s="126"/>
      <c r="AI70" s="126"/>
      <c r="AJ70" s="127"/>
      <c r="AK70" s="126"/>
      <c r="AL70" s="126"/>
      <c r="AM70" s="127"/>
      <c r="AN70" s="126"/>
      <c r="AO70" s="126"/>
      <c r="AP70" s="127"/>
      <c r="AQ70" s="126"/>
      <c r="AR70" s="126"/>
      <c r="AS70" s="127"/>
      <c r="AT70" s="126"/>
      <c r="AU70" s="126"/>
      <c r="AV70" s="127"/>
      <c r="AW70" s="126"/>
      <c r="AX70" s="126"/>
      <c r="AY70" s="127"/>
      <c r="AZ70" s="126"/>
      <c r="BA70" s="126"/>
      <c r="BB70" s="127"/>
      <c r="BC70" s="126"/>
      <c r="BD70" s="134"/>
      <c r="BE70" s="127"/>
      <c r="BF70" s="126"/>
      <c r="BG70" s="126"/>
      <c r="BH70" s="126"/>
      <c r="BI70" s="126"/>
      <c r="BJ70" s="126"/>
      <c r="BK70" s="126"/>
      <c r="BL70" s="126"/>
      <c r="BM70" s="126"/>
      <c r="BN70" s="126"/>
      <c r="BO70" s="126"/>
      <c r="BP70" s="126"/>
      <c r="BQ70" s="126"/>
      <c r="BR70" s="126"/>
      <c r="BS70" s="126"/>
      <c r="BT70" s="126"/>
      <c r="BU70" s="126"/>
      <c r="BV70" s="126"/>
      <c r="BW70" s="126"/>
      <c r="BX70" s="126"/>
    </row>
    <row r="71">
      <c r="A71" s="126"/>
      <c r="B71" s="126"/>
      <c r="C71" s="127"/>
      <c r="D71" s="126"/>
      <c r="E71" s="126"/>
      <c r="F71" s="127"/>
      <c r="G71" s="131" t="s">
        <v>1808</v>
      </c>
      <c r="H71" s="127"/>
      <c r="I71" s="87">
        <v>2038.0</v>
      </c>
      <c r="J71" s="87"/>
      <c r="K71" s="127"/>
      <c r="L71" s="126"/>
      <c r="M71" s="126"/>
      <c r="N71" s="127"/>
      <c r="O71" s="126"/>
      <c r="P71" s="126"/>
      <c r="Q71" s="127"/>
      <c r="R71" s="126"/>
      <c r="S71" s="126"/>
      <c r="T71" s="127"/>
      <c r="U71" s="126"/>
      <c r="V71" s="126"/>
      <c r="W71" s="127"/>
      <c r="X71" s="126"/>
      <c r="Y71" s="126"/>
      <c r="Z71" s="127"/>
      <c r="AA71" s="126"/>
      <c r="AB71" s="126"/>
      <c r="AC71" s="127"/>
      <c r="AD71" s="126"/>
      <c r="AE71" s="126"/>
      <c r="AF71" s="126"/>
      <c r="AG71" s="127"/>
      <c r="AH71" s="126"/>
      <c r="AI71" s="126"/>
      <c r="AJ71" s="127"/>
      <c r="AK71" s="126"/>
      <c r="AL71" s="126"/>
      <c r="AM71" s="127"/>
      <c r="AN71" s="126"/>
      <c r="AO71" s="126"/>
      <c r="AP71" s="127"/>
      <c r="AQ71" s="126"/>
      <c r="AR71" s="126"/>
      <c r="AS71" s="127"/>
      <c r="AT71" s="126"/>
      <c r="AU71" s="126"/>
      <c r="AV71" s="127"/>
      <c r="AW71" s="126"/>
      <c r="AX71" s="126"/>
      <c r="AY71" s="127"/>
      <c r="AZ71" s="126"/>
      <c r="BA71" s="126"/>
      <c r="BB71" s="127"/>
      <c r="BC71" s="126"/>
      <c r="BD71" s="134"/>
      <c r="BE71" s="127"/>
      <c r="BF71" s="126"/>
      <c r="BG71" s="126"/>
      <c r="BH71" s="126"/>
      <c r="BI71" s="126"/>
      <c r="BJ71" s="126"/>
      <c r="BK71" s="126"/>
      <c r="BL71" s="126"/>
      <c r="BM71" s="126"/>
      <c r="BN71" s="126"/>
      <c r="BO71" s="126"/>
      <c r="BP71" s="126"/>
      <c r="BQ71" s="126"/>
      <c r="BR71" s="126"/>
      <c r="BS71" s="126"/>
      <c r="BT71" s="126"/>
      <c r="BU71" s="126"/>
      <c r="BV71" s="126"/>
      <c r="BW71" s="126"/>
      <c r="BX71" s="126"/>
    </row>
    <row r="72">
      <c r="A72" s="126"/>
      <c r="B72" s="126"/>
      <c r="C72" s="127"/>
      <c r="D72" s="126"/>
      <c r="E72" s="126"/>
      <c r="F72" s="127"/>
      <c r="G72" s="131" t="s">
        <v>1818</v>
      </c>
      <c r="H72" s="127"/>
      <c r="I72" s="87">
        <v>2039.0</v>
      </c>
      <c r="J72" s="87"/>
      <c r="K72" s="127"/>
      <c r="L72" s="126"/>
      <c r="M72" s="126"/>
      <c r="N72" s="127"/>
      <c r="O72" s="126"/>
      <c r="P72" s="126"/>
      <c r="Q72" s="127"/>
      <c r="R72" s="126"/>
      <c r="S72" s="126"/>
      <c r="T72" s="127"/>
      <c r="U72" s="126"/>
      <c r="V72" s="126"/>
      <c r="W72" s="127"/>
      <c r="X72" s="126"/>
      <c r="Y72" s="126"/>
      <c r="Z72" s="127"/>
      <c r="AA72" s="126"/>
      <c r="AB72" s="126"/>
      <c r="AC72" s="127"/>
      <c r="AD72" s="126"/>
      <c r="AE72" s="126"/>
      <c r="AF72" s="126"/>
      <c r="AG72" s="127"/>
      <c r="AH72" s="126"/>
      <c r="AI72" s="126"/>
      <c r="AJ72" s="127"/>
      <c r="AK72" s="126"/>
      <c r="AL72" s="126"/>
      <c r="AM72" s="127"/>
      <c r="AN72" s="126"/>
      <c r="AO72" s="126"/>
      <c r="AP72" s="127"/>
      <c r="AQ72" s="126"/>
      <c r="AR72" s="126"/>
      <c r="AS72" s="127"/>
      <c r="AT72" s="126"/>
      <c r="AU72" s="126"/>
      <c r="AV72" s="127"/>
      <c r="AW72" s="126"/>
      <c r="AX72" s="126"/>
      <c r="AY72" s="127"/>
      <c r="AZ72" s="126"/>
      <c r="BA72" s="126"/>
      <c r="BB72" s="127"/>
      <c r="BC72" s="126"/>
      <c r="BD72" s="134"/>
      <c r="BE72" s="127"/>
      <c r="BF72" s="126"/>
      <c r="BG72" s="126"/>
      <c r="BH72" s="126"/>
      <c r="BI72" s="126"/>
      <c r="BJ72" s="126"/>
      <c r="BK72" s="126"/>
      <c r="BL72" s="126"/>
      <c r="BM72" s="126"/>
      <c r="BN72" s="126"/>
      <c r="BO72" s="126"/>
      <c r="BP72" s="126"/>
      <c r="BQ72" s="126"/>
      <c r="BR72" s="126"/>
      <c r="BS72" s="126"/>
      <c r="BT72" s="126"/>
      <c r="BU72" s="126"/>
      <c r="BV72" s="126"/>
      <c r="BW72" s="126"/>
      <c r="BX72" s="126"/>
    </row>
    <row r="73">
      <c r="A73" s="126"/>
      <c r="B73" s="126"/>
      <c r="C73" s="127"/>
      <c r="D73" s="126"/>
      <c r="E73" s="126"/>
      <c r="F73" s="127"/>
      <c r="G73" s="131" t="s">
        <v>1828</v>
      </c>
      <c r="H73" s="127"/>
      <c r="I73" s="87">
        <v>2040.0</v>
      </c>
      <c r="J73" s="87"/>
      <c r="K73" s="127"/>
      <c r="L73" s="126"/>
      <c r="M73" s="126"/>
      <c r="N73" s="127"/>
      <c r="O73" s="126"/>
      <c r="P73" s="126"/>
      <c r="Q73" s="127"/>
      <c r="R73" s="126"/>
      <c r="S73" s="126"/>
      <c r="T73" s="127"/>
      <c r="U73" s="126"/>
      <c r="V73" s="126"/>
      <c r="W73" s="127"/>
      <c r="X73" s="126"/>
      <c r="Y73" s="126"/>
      <c r="Z73" s="127"/>
      <c r="AA73" s="126"/>
      <c r="AB73" s="126"/>
      <c r="AC73" s="127"/>
      <c r="AD73" s="126"/>
      <c r="AE73" s="126"/>
      <c r="AF73" s="126"/>
      <c r="AG73" s="127"/>
      <c r="AH73" s="126"/>
      <c r="AI73" s="126"/>
      <c r="AJ73" s="127"/>
      <c r="AK73" s="126"/>
      <c r="AL73" s="126"/>
      <c r="AM73" s="127"/>
      <c r="AN73" s="126"/>
      <c r="AO73" s="126"/>
      <c r="AP73" s="127"/>
      <c r="AQ73" s="126"/>
      <c r="AR73" s="126"/>
      <c r="AS73" s="127"/>
      <c r="AT73" s="126"/>
      <c r="AU73" s="126"/>
      <c r="AV73" s="127"/>
      <c r="AW73" s="126"/>
      <c r="AX73" s="126"/>
      <c r="AY73" s="127"/>
      <c r="AZ73" s="126"/>
      <c r="BA73" s="126"/>
      <c r="BB73" s="127"/>
      <c r="BC73" s="126"/>
      <c r="BD73" s="134"/>
      <c r="BE73" s="127"/>
      <c r="BF73" s="126"/>
      <c r="BG73" s="126"/>
      <c r="BH73" s="126"/>
      <c r="BI73" s="126"/>
      <c r="BJ73" s="126"/>
      <c r="BK73" s="126"/>
      <c r="BL73" s="126"/>
      <c r="BM73" s="126"/>
      <c r="BN73" s="126"/>
      <c r="BO73" s="126"/>
      <c r="BP73" s="126"/>
      <c r="BQ73" s="126"/>
      <c r="BR73" s="126"/>
      <c r="BS73" s="126"/>
      <c r="BT73" s="126"/>
      <c r="BU73" s="126"/>
      <c r="BV73" s="126"/>
      <c r="BW73" s="126"/>
      <c r="BX73" s="126"/>
    </row>
    <row r="74">
      <c r="A74" s="126"/>
      <c r="B74" s="126"/>
      <c r="C74" s="127"/>
      <c r="D74" s="126"/>
      <c r="E74" s="126"/>
      <c r="F74" s="127"/>
      <c r="G74" s="131" t="s">
        <v>1840</v>
      </c>
      <c r="H74" s="127"/>
      <c r="I74" s="87">
        <v>2041.0</v>
      </c>
      <c r="J74" s="87"/>
      <c r="K74" s="127"/>
      <c r="L74" s="126"/>
      <c r="M74" s="126"/>
      <c r="N74" s="127"/>
      <c r="O74" s="126"/>
      <c r="P74" s="126"/>
      <c r="Q74" s="127"/>
      <c r="R74" s="126"/>
      <c r="S74" s="126"/>
      <c r="T74" s="127"/>
      <c r="U74" s="126"/>
      <c r="V74" s="126"/>
      <c r="W74" s="127"/>
      <c r="X74" s="126"/>
      <c r="Y74" s="126"/>
      <c r="Z74" s="127"/>
      <c r="AA74" s="126"/>
      <c r="AB74" s="126"/>
      <c r="AC74" s="127"/>
      <c r="AD74" s="126"/>
      <c r="AE74" s="126"/>
      <c r="AF74" s="126"/>
      <c r="AG74" s="127"/>
      <c r="AH74" s="126"/>
      <c r="AI74" s="126"/>
      <c r="AJ74" s="127"/>
      <c r="AK74" s="126"/>
      <c r="AL74" s="126"/>
      <c r="AM74" s="127"/>
      <c r="AN74" s="126"/>
      <c r="AO74" s="126"/>
      <c r="AP74" s="127"/>
      <c r="AQ74" s="126"/>
      <c r="AR74" s="126"/>
      <c r="AS74" s="127"/>
      <c r="AT74" s="126"/>
      <c r="AU74" s="126"/>
      <c r="AV74" s="127"/>
      <c r="AW74" s="126"/>
      <c r="AX74" s="126"/>
      <c r="AY74" s="127"/>
      <c r="AZ74" s="126"/>
      <c r="BA74" s="126"/>
      <c r="BB74" s="127"/>
      <c r="BC74" s="126"/>
      <c r="BD74" s="134"/>
      <c r="BE74" s="127"/>
      <c r="BF74" s="126"/>
      <c r="BG74" s="126"/>
      <c r="BH74" s="126"/>
      <c r="BI74" s="126"/>
      <c r="BJ74" s="126"/>
      <c r="BK74" s="126"/>
      <c r="BL74" s="126"/>
      <c r="BM74" s="126"/>
      <c r="BN74" s="126"/>
      <c r="BO74" s="126"/>
      <c r="BP74" s="126"/>
      <c r="BQ74" s="126"/>
      <c r="BR74" s="126"/>
      <c r="BS74" s="126"/>
      <c r="BT74" s="126"/>
      <c r="BU74" s="126"/>
      <c r="BV74" s="126"/>
      <c r="BW74" s="126"/>
      <c r="BX74" s="126"/>
    </row>
    <row r="75">
      <c r="A75" s="126"/>
      <c r="B75" s="126"/>
      <c r="C75" s="127"/>
      <c r="D75" s="126"/>
      <c r="E75" s="126"/>
      <c r="F75" s="127"/>
      <c r="G75" s="131" t="s">
        <v>1846</v>
      </c>
      <c r="H75" s="127"/>
      <c r="I75" s="87">
        <v>2042.0</v>
      </c>
      <c r="J75" s="87"/>
      <c r="K75" s="127"/>
      <c r="L75" s="126"/>
      <c r="M75" s="126"/>
      <c r="N75" s="127"/>
      <c r="O75" s="126"/>
      <c r="P75" s="126"/>
      <c r="Q75" s="127"/>
      <c r="R75" s="126"/>
      <c r="S75" s="126"/>
      <c r="T75" s="127"/>
      <c r="U75" s="126"/>
      <c r="V75" s="126"/>
      <c r="W75" s="127"/>
      <c r="X75" s="126"/>
      <c r="Y75" s="126"/>
      <c r="Z75" s="127"/>
      <c r="AA75" s="126"/>
      <c r="AB75" s="126"/>
      <c r="AC75" s="127"/>
      <c r="AD75" s="126"/>
      <c r="AE75" s="126"/>
      <c r="AF75" s="126"/>
      <c r="AG75" s="127"/>
      <c r="AH75" s="126"/>
      <c r="AI75" s="126"/>
      <c r="AJ75" s="127"/>
      <c r="AK75" s="126"/>
      <c r="AL75" s="126"/>
      <c r="AM75" s="127"/>
      <c r="AN75" s="126"/>
      <c r="AO75" s="126"/>
      <c r="AP75" s="127"/>
      <c r="AQ75" s="126"/>
      <c r="AR75" s="126"/>
      <c r="AS75" s="127"/>
      <c r="AT75" s="126"/>
      <c r="AU75" s="126"/>
      <c r="AV75" s="127"/>
      <c r="AW75" s="126"/>
      <c r="AX75" s="126"/>
      <c r="AY75" s="127"/>
      <c r="AZ75" s="126"/>
      <c r="BA75" s="126"/>
      <c r="BB75" s="127"/>
      <c r="BC75" s="126"/>
      <c r="BD75" s="134"/>
      <c r="BE75" s="127"/>
      <c r="BF75" s="126"/>
      <c r="BG75" s="126"/>
      <c r="BH75" s="126"/>
      <c r="BI75" s="126"/>
      <c r="BJ75" s="126"/>
      <c r="BK75" s="126"/>
      <c r="BL75" s="126"/>
      <c r="BM75" s="126"/>
      <c r="BN75" s="126"/>
      <c r="BO75" s="126"/>
      <c r="BP75" s="126"/>
      <c r="BQ75" s="126"/>
      <c r="BR75" s="126"/>
      <c r="BS75" s="126"/>
      <c r="BT75" s="126"/>
      <c r="BU75" s="126"/>
      <c r="BV75" s="126"/>
      <c r="BW75" s="126"/>
      <c r="BX75" s="126"/>
    </row>
    <row r="76">
      <c r="A76" s="126"/>
      <c r="B76" s="126"/>
      <c r="C76" s="127"/>
      <c r="D76" s="126"/>
      <c r="E76" s="126"/>
      <c r="F76" s="127"/>
      <c r="G76" s="131" t="s">
        <v>3412</v>
      </c>
      <c r="H76" s="127"/>
      <c r="I76" s="87">
        <v>2043.0</v>
      </c>
      <c r="J76" s="87"/>
      <c r="K76" s="127"/>
      <c r="L76" s="126"/>
      <c r="M76" s="126"/>
      <c r="N76" s="127"/>
      <c r="O76" s="126"/>
      <c r="P76" s="126"/>
      <c r="Q76" s="127"/>
      <c r="R76" s="126"/>
      <c r="S76" s="126"/>
      <c r="T76" s="127"/>
      <c r="U76" s="126"/>
      <c r="V76" s="126"/>
      <c r="W76" s="127"/>
      <c r="X76" s="126"/>
      <c r="Y76" s="126"/>
      <c r="Z76" s="127"/>
      <c r="AA76" s="126"/>
      <c r="AB76" s="126"/>
      <c r="AC76" s="127"/>
      <c r="AD76" s="126"/>
      <c r="AE76" s="126"/>
      <c r="AF76" s="126"/>
      <c r="AG76" s="127"/>
      <c r="AH76" s="126"/>
      <c r="AI76" s="126"/>
      <c r="AJ76" s="127"/>
      <c r="AK76" s="126"/>
      <c r="AL76" s="126"/>
      <c r="AM76" s="127"/>
      <c r="AN76" s="126"/>
      <c r="AO76" s="126"/>
      <c r="AP76" s="127"/>
      <c r="AQ76" s="126"/>
      <c r="AR76" s="126"/>
      <c r="AS76" s="127"/>
      <c r="AT76" s="126"/>
      <c r="AU76" s="126"/>
      <c r="AV76" s="127"/>
      <c r="AW76" s="126"/>
      <c r="AX76" s="126"/>
      <c r="AY76" s="127"/>
      <c r="AZ76" s="126"/>
      <c r="BA76" s="126"/>
      <c r="BB76" s="127"/>
      <c r="BC76" s="126"/>
      <c r="BD76" s="134"/>
      <c r="BE76" s="127"/>
      <c r="BF76" s="126"/>
      <c r="BG76" s="126"/>
      <c r="BH76" s="126"/>
      <c r="BI76" s="126"/>
      <c r="BJ76" s="126"/>
      <c r="BK76" s="126"/>
      <c r="BL76" s="126"/>
      <c r="BM76" s="126"/>
      <c r="BN76" s="126"/>
      <c r="BO76" s="126"/>
      <c r="BP76" s="126"/>
      <c r="BQ76" s="126"/>
      <c r="BR76" s="126"/>
      <c r="BS76" s="126"/>
      <c r="BT76" s="126"/>
      <c r="BU76" s="126"/>
      <c r="BV76" s="126"/>
      <c r="BW76" s="126"/>
      <c r="BX76" s="126"/>
    </row>
    <row r="77">
      <c r="A77" s="126"/>
      <c r="B77" s="126"/>
      <c r="C77" s="127"/>
      <c r="D77" s="126"/>
      <c r="E77" s="126"/>
      <c r="F77" s="127"/>
      <c r="G77" s="131" t="s">
        <v>3413</v>
      </c>
      <c r="H77" s="127"/>
      <c r="I77" s="87">
        <v>2044.0</v>
      </c>
      <c r="J77" s="87"/>
      <c r="K77" s="127"/>
      <c r="L77" s="126"/>
      <c r="M77" s="126"/>
      <c r="N77" s="127"/>
      <c r="O77" s="126"/>
      <c r="P77" s="126"/>
      <c r="Q77" s="127"/>
      <c r="R77" s="126"/>
      <c r="S77" s="126"/>
      <c r="T77" s="127"/>
      <c r="U77" s="126"/>
      <c r="V77" s="126"/>
      <c r="W77" s="127"/>
      <c r="X77" s="126"/>
      <c r="Y77" s="126"/>
      <c r="Z77" s="127"/>
      <c r="AA77" s="126"/>
      <c r="AB77" s="126"/>
      <c r="AC77" s="127"/>
      <c r="AD77" s="126"/>
      <c r="AE77" s="126"/>
      <c r="AF77" s="126"/>
      <c r="AG77" s="127"/>
      <c r="AH77" s="126"/>
      <c r="AI77" s="126"/>
      <c r="AJ77" s="127"/>
      <c r="AK77" s="126"/>
      <c r="AL77" s="126"/>
      <c r="AM77" s="127"/>
      <c r="AN77" s="126"/>
      <c r="AO77" s="126"/>
      <c r="AP77" s="127"/>
      <c r="AQ77" s="126"/>
      <c r="AR77" s="126"/>
      <c r="AS77" s="127"/>
      <c r="AT77" s="126"/>
      <c r="AU77" s="126"/>
      <c r="AV77" s="127"/>
      <c r="AW77" s="126"/>
      <c r="AX77" s="126"/>
      <c r="AY77" s="127"/>
      <c r="AZ77" s="126"/>
      <c r="BA77" s="126"/>
      <c r="BB77" s="127"/>
      <c r="BC77" s="126"/>
      <c r="BD77" s="134"/>
      <c r="BE77" s="127"/>
      <c r="BF77" s="126"/>
      <c r="BG77" s="126"/>
      <c r="BH77" s="126"/>
      <c r="BI77" s="126"/>
      <c r="BJ77" s="126"/>
      <c r="BK77" s="126"/>
      <c r="BL77" s="126"/>
      <c r="BM77" s="126"/>
      <c r="BN77" s="126"/>
      <c r="BO77" s="126"/>
      <c r="BP77" s="126"/>
      <c r="BQ77" s="126"/>
      <c r="BR77" s="126"/>
      <c r="BS77" s="126"/>
      <c r="BT77" s="126"/>
      <c r="BU77" s="126"/>
      <c r="BV77" s="126"/>
      <c r="BW77" s="126"/>
      <c r="BX77" s="126"/>
    </row>
    <row r="78">
      <c r="A78" s="126"/>
      <c r="B78" s="126"/>
      <c r="C78" s="127"/>
      <c r="D78" s="126"/>
      <c r="E78" s="126"/>
      <c r="F78" s="127"/>
      <c r="G78" s="131" t="s">
        <v>1877</v>
      </c>
      <c r="H78" s="127"/>
      <c r="I78" s="87">
        <v>2045.0</v>
      </c>
      <c r="J78" s="87"/>
      <c r="K78" s="127"/>
      <c r="L78" s="126"/>
      <c r="M78" s="126"/>
      <c r="N78" s="127"/>
      <c r="O78" s="126"/>
      <c r="P78" s="126"/>
      <c r="Q78" s="127"/>
      <c r="R78" s="126"/>
      <c r="S78" s="126"/>
      <c r="T78" s="127"/>
      <c r="U78" s="126"/>
      <c r="V78" s="126"/>
      <c r="W78" s="127"/>
      <c r="X78" s="126"/>
      <c r="Y78" s="126"/>
      <c r="Z78" s="127"/>
      <c r="AA78" s="126"/>
      <c r="AB78" s="126"/>
      <c r="AC78" s="127"/>
      <c r="AD78" s="126"/>
      <c r="AE78" s="126"/>
      <c r="AF78" s="126"/>
      <c r="AG78" s="127"/>
      <c r="AH78" s="126"/>
      <c r="AI78" s="126"/>
      <c r="AJ78" s="127"/>
      <c r="AK78" s="126"/>
      <c r="AL78" s="126"/>
      <c r="AM78" s="127"/>
      <c r="AN78" s="126"/>
      <c r="AO78" s="126"/>
      <c r="AP78" s="127"/>
      <c r="AQ78" s="126"/>
      <c r="AR78" s="126"/>
      <c r="AS78" s="127"/>
      <c r="AT78" s="126"/>
      <c r="AU78" s="126"/>
      <c r="AV78" s="127"/>
      <c r="AW78" s="126"/>
      <c r="AX78" s="126"/>
      <c r="AY78" s="127"/>
      <c r="AZ78" s="126"/>
      <c r="BA78" s="126"/>
      <c r="BB78" s="127"/>
      <c r="BC78" s="126"/>
      <c r="BD78" s="134"/>
      <c r="BE78" s="127"/>
      <c r="BF78" s="126"/>
      <c r="BG78" s="126"/>
      <c r="BH78" s="126"/>
      <c r="BI78" s="126"/>
      <c r="BJ78" s="126"/>
      <c r="BK78" s="126"/>
      <c r="BL78" s="126"/>
      <c r="BM78" s="126"/>
      <c r="BN78" s="126"/>
      <c r="BO78" s="126"/>
      <c r="BP78" s="126"/>
      <c r="BQ78" s="126"/>
      <c r="BR78" s="126"/>
      <c r="BS78" s="126"/>
      <c r="BT78" s="126"/>
      <c r="BU78" s="126"/>
      <c r="BV78" s="126"/>
      <c r="BW78" s="126"/>
      <c r="BX78" s="126"/>
    </row>
    <row r="79">
      <c r="A79" s="126"/>
      <c r="B79" s="126"/>
      <c r="C79" s="127"/>
      <c r="D79" s="126"/>
      <c r="E79" s="126"/>
      <c r="F79" s="127"/>
      <c r="G79" s="131" t="s">
        <v>1892</v>
      </c>
      <c r="H79" s="127"/>
      <c r="I79" s="87">
        <v>2046.0</v>
      </c>
      <c r="J79" s="87"/>
      <c r="K79" s="127"/>
      <c r="L79" s="126"/>
      <c r="M79" s="126"/>
      <c r="N79" s="127"/>
      <c r="O79" s="126"/>
      <c r="P79" s="126"/>
      <c r="Q79" s="127"/>
      <c r="R79" s="126"/>
      <c r="S79" s="126"/>
      <c r="T79" s="127"/>
      <c r="U79" s="126"/>
      <c r="V79" s="126"/>
      <c r="W79" s="127"/>
      <c r="X79" s="126"/>
      <c r="Y79" s="126"/>
      <c r="Z79" s="127"/>
      <c r="AA79" s="126"/>
      <c r="AB79" s="126"/>
      <c r="AC79" s="127"/>
      <c r="AD79" s="126"/>
      <c r="AE79" s="126"/>
      <c r="AF79" s="126"/>
      <c r="AG79" s="127"/>
      <c r="AH79" s="126"/>
      <c r="AI79" s="126"/>
      <c r="AJ79" s="127"/>
      <c r="AK79" s="126"/>
      <c r="AL79" s="126"/>
      <c r="AM79" s="127"/>
      <c r="AN79" s="126"/>
      <c r="AO79" s="126"/>
      <c r="AP79" s="127"/>
      <c r="AQ79" s="126"/>
      <c r="AR79" s="126"/>
      <c r="AS79" s="127"/>
      <c r="AT79" s="126"/>
      <c r="AU79" s="126"/>
      <c r="AV79" s="127"/>
      <c r="AW79" s="126"/>
      <c r="AX79" s="126"/>
      <c r="AY79" s="127"/>
      <c r="AZ79" s="126"/>
      <c r="BA79" s="126"/>
      <c r="BB79" s="127"/>
      <c r="BC79" s="126"/>
      <c r="BD79" s="134"/>
      <c r="BE79" s="127"/>
      <c r="BF79" s="126"/>
      <c r="BG79" s="126"/>
      <c r="BH79" s="126"/>
      <c r="BI79" s="126"/>
      <c r="BJ79" s="126"/>
      <c r="BK79" s="126"/>
      <c r="BL79" s="126"/>
      <c r="BM79" s="126"/>
      <c r="BN79" s="126"/>
      <c r="BO79" s="126"/>
      <c r="BP79" s="126"/>
      <c r="BQ79" s="126"/>
      <c r="BR79" s="126"/>
      <c r="BS79" s="126"/>
      <c r="BT79" s="126"/>
      <c r="BU79" s="126"/>
      <c r="BV79" s="126"/>
      <c r="BW79" s="126"/>
      <c r="BX79" s="126"/>
    </row>
    <row r="80">
      <c r="A80" s="126"/>
      <c r="B80" s="126"/>
      <c r="C80" s="127"/>
      <c r="D80" s="126"/>
      <c r="E80" s="126"/>
      <c r="F80" s="127"/>
      <c r="G80" s="131" t="s">
        <v>1901</v>
      </c>
      <c r="H80" s="127"/>
      <c r="I80" s="87">
        <v>2047.0</v>
      </c>
      <c r="J80" s="87"/>
      <c r="K80" s="127"/>
      <c r="L80" s="126"/>
      <c r="M80" s="126"/>
      <c r="N80" s="127"/>
      <c r="O80" s="126"/>
      <c r="P80" s="126"/>
      <c r="Q80" s="127"/>
      <c r="R80" s="126"/>
      <c r="S80" s="126"/>
      <c r="T80" s="127"/>
      <c r="U80" s="126"/>
      <c r="V80" s="126"/>
      <c r="W80" s="127"/>
      <c r="X80" s="126"/>
      <c r="Y80" s="126"/>
      <c r="Z80" s="127"/>
      <c r="AA80" s="126"/>
      <c r="AB80" s="126"/>
      <c r="AC80" s="127"/>
      <c r="AD80" s="126"/>
      <c r="AE80" s="126"/>
      <c r="AF80" s="126"/>
      <c r="AG80" s="127"/>
      <c r="AH80" s="126"/>
      <c r="AI80" s="126"/>
      <c r="AJ80" s="127"/>
      <c r="AK80" s="126"/>
      <c r="AL80" s="126"/>
      <c r="AM80" s="127"/>
      <c r="AN80" s="126"/>
      <c r="AO80" s="126"/>
      <c r="AP80" s="127"/>
      <c r="AQ80" s="126"/>
      <c r="AR80" s="126"/>
      <c r="AS80" s="127"/>
      <c r="AT80" s="126"/>
      <c r="AU80" s="126"/>
      <c r="AV80" s="127"/>
      <c r="AW80" s="126"/>
      <c r="AX80" s="126"/>
      <c r="AY80" s="127"/>
      <c r="AZ80" s="126"/>
      <c r="BA80" s="126"/>
      <c r="BB80" s="127"/>
      <c r="BC80" s="126"/>
      <c r="BD80" s="134"/>
      <c r="BE80" s="127"/>
      <c r="BF80" s="126"/>
      <c r="BG80" s="126"/>
      <c r="BH80" s="126"/>
      <c r="BI80" s="126"/>
      <c r="BJ80" s="126"/>
      <c r="BK80" s="126"/>
      <c r="BL80" s="126"/>
      <c r="BM80" s="126"/>
      <c r="BN80" s="126"/>
      <c r="BO80" s="126"/>
      <c r="BP80" s="126"/>
      <c r="BQ80" s="126"/>
      <c r="BR80" s="126"/>
      <c r="BS80" s="126"/>
      <c r="BT80" s="126"/>
      <c r="BU80" s="126"/>
      <c r="BV80" s="126"/>
      <c r="BW80" s="126"/>
      <c r="BX80" s="126"/>
    </row>
    <row r="81">
      <c r="A81" s="126"/>
      <c r="B81" s="126"/>
      <c r="C81" s="127"/>
      <c r="D81" s="126"/>
      <c r="E81" s="126"/>
      <c r="F81" s="127"/>
      <c r="G81" s="131" t="s">
        <v>1913</v>
      </c>
      <c r="H81" s="127"/>
      <c r="I81" s="87">
        <v>2048.0</v>
      </c>
      <c r="J81" s="87"/>
      <c r="K81" s="127"/>
      <c r="L81" s="126"/>
      <c r="M81" s="126"/>
      <c r="N81" s="127"/>
      <c r="O81" s="126"/>
      <c r="P81" s="126"/>
      <c r="Q81" s="127"/>
      <c r="R81" s="126"/>
      <c r="S81" s="126"/>
      <c r="T81" s="127"/>
      <c r="U81" s="126"/>
      <c r="V81" s="126"/>
      <c r="W81" s="127"/>
      <c r="X81" s="126"/>
      <c r="Y81" s="126"/>
      <c r="Z81" s="127"/>
      <c r="AA81" s="126"/>
      <c r="AB81" s="126"/>
      <c r="AC81" s="127"/>
      <c r="AD81" s="126"/>
      <c r="AE81" s="126"/>
      <c r="AF81" s="126"/>
      <c r="AG81" s="127"/>
      <c r="AH81" s="126"/>
      <c r="AI81" s="126"/>
      <c r="AJ81" s="127"/>
      <c r="AK81" s="126"/>
      <c r="AL81" s="126"/>
      <c r="AM81" s="127"/>
      <c r="AN81" s="126"/>
      <c r="AO81" s="126"/>
      <c r="AP81" s="127"/>
      <c r="AQ81" s="126"/>
      <c r="AR81" s="126"/>
      <c r="AS81" s="127"/>
      <c r="AT81" s="126"/>
      <c r="AU81" s="126"/>
      <c r="AV81" s="127"/>
      <c r="AW81" s="126"/>
      <c r="AX81" s="126"/>
      <c r="AY81" s="127"/>
      <c r="AZ81" s="126"/>
      <c r="BA81" s="126"/>
      <c r="BB81" s="127"/>
      <c r="BC81" s="126"/>
      <c r="BD81" s="134"/>
      <c r="BE81" s="127"/>
      <c r="BF81" s="126"/>
      <c r="BG81" s="126"/>
      <c r="BH81" s="126"/>
      <c r="BI81" s="126"/>
      <c r="BJ81" s="126"/>
      <c r="BK81" s="126"/>
      <c r="BL81" s="126"/>
      <c r="BM81" s="126"/>
      <c r="BN81" s="126"/>
      <c r="BO81" s="126"/>
      <c r="BP81" s="126"/>
      <c r="BQ81" s="126"/>
      <c r="BR81" s="126"/>
      <c r="BS81" s="126"/>
      <c r="BT81" s="126"/>
      <c r="BU81" s="126"/>
      <c r="BV81" s="126"/>
      <c r="BW81" s="126"/>
      <c r="BX81" s="126"/>
    </row>
    <row r="82">
      <c r="A82" s="126"/>
      <c r="B82" s="126"/>
      <c r="C82" s="127"/>
      <c r="D82" s="126"/>
      <c r="E82" s="126"/>
      <c r="F82" s="127"/>
      <c r="G82" s="131" t="s">
        <v>1921</v>
      </c>
      <c r="H82" s="127"/>
      <c r="I82" s="87">
        <v>2049.0</v>
      </c>
      <c r="J82" s="87"/>
      <c r="K82" s="127"/>
      <c r="L82" s="126"/>
      <c r="M82" s="126"/>
      <c r="N82" s="127"/>
      <c r="O82" s="126"/>
      <c r="P82" s="126"/>
      <c r="Q82" s="127"/>
      <c r="R82" s="126"/>
      <c r="S82" s="126"/>
      <c r="T82" s="127"/>
      <c r="U82" s="126"/>
      <c r="V82" s="126"/>
      <c r="W82" s="127"/>
      <c r="X82" s="126"/>
      <c r="Y82" s="126"/>
      <c r="Z82" s="127"/>
      <c r="AA82" s="126"/>
      <c r="AB82" s="126"/>
      <c r="AC82" s="127"/>
      <c r="AD82" s="126"/>
      <c r="AE82" s="126"/>
      <c r="AF82" s="126"/>
      <c r="AG82" s="127"/>
      <c r="AH82" s="126"/>
      <c r="AI82" s="126"/>
      <c r="AJ82" s="127"/>
      <c r="AK82" s="126"/>
      <c r="AL82" s="126"/>
      <c r="AM82" s="127"/>
      <c r="AN82" s="126"/>
      <c r="AO82" s="126"/>
      <c r="AP82" s="127"/>
      <c r="AQ82" s="126"/>
      <c r="AR82" s="126"/>
      <c r="AS82" s="127"/>
      <c r="AT82" s="126"/>
      <c r="AU82" s="126"/>
      <c r="AV82" s="127"/>
      <c r="AW82" s="126"/>
      <c r="AX82" s="126"/>
      <c r="AY82" s="127"/>
      <c r="AZ82" s="126"/>
      <c r="BA82" s="126"/>
      <c r="BB82" s="127"/>
      <c r="BC82" s="126"/>
      <c r="BD82" s="134"/>
      <c r="BE82" s="127"/>
      <c r="BF82" s="126"/>
      <c r="BG82" s="126"/>
      <c r="BH82" s="126"/>
      <c r="BI82" s="126"/>
      <c r="BJ82" s="126"/>
      <c r="BK82" s="126"/>
      <c r="BL82" s="126"/>
      <c r="BM82" s="126"/>
      <c r="BN82" s="126"/>
      <c r="BO82" s="126"/>
      <c r="BP82" s="126"/>
      <c r="BQ82" s="126"/>
      <c r="BR82" s="126"/>
      <c r="BS82" s="126"/>
      <c r="BT82" s="126"/>
      <c r="BU82" s="126"/>
      <c r="BV82" s="126"/>
      <c r="BW82" s="126"/>
      <c r="BX82" s="126"/>
    </row>
    <row r="83">
      <c r="A83" s="126"/>
      <c r="B83" s="126"/>
      <c r="C83" s="127"/>
      <c r="D83" s="126"/>
      <c r="E83" s="126"/>
      <c r="F83" s="127"/>
      <c r="G83" s="131" t="s">
        <v>1938</v>
      </c>
      <c r="H83" s="127"/>
      <c r="I83" s="87">
        <v>2050.0</v>
      </c>
      <c r="J83" s="87"/>
      <c r="K83" s="127"/>
      <c r="L83" s="126"/>
      <c r="M83" s="126"/>
      <c r="N83" s="127"/>
      <c r="O83" s="126"/>
      <c r="P83" s="126"/>
      <c r="Q83" s="127"/>
      <c r="R83" s="126"/>
      <c r="S83" s="126"/>
      <c r="T83" s="127"/>
      <c r="U83" s="126"/>
      <c r="V83" s="126"/>
      <c r="W83" s="127"/>
      <c r="X83" s="126"/>
      <c r="Y83" s="126"/>
      <c r="Z83" s="127"/>
      <c r="AA83" s="126"/>
      <c r="AB83" s="126"/>
      <c r="AC83" s="127"/>
      <c r="AD83" s="126"/>
      <c r="AE83" s="126"/>
      <c r="AF83" s="126"/>
      <c r="AG83" s="127"/>
      <c r="AH83" s="126"/>
      <c r="AI83" s="126"/>
      <c r="AJ83" s="127"/>
      <c r="AK83" s="126"/>
      <c r="AL83" s="126"/>
      <c r="AM83" s="127"/>
      <c r="AN83" s="126"/>
      <c r="AO83" s="126"/>
      <c r="AP83" s="127"/>
      <c r="AQ83" s="126"/>
      <c r="AR83" s="126"/>
      <c r="AS83" s="127"/>
      <c r="AT83" s="126"/>
      <c r="AU83" s="126"/>
      <c r="AV83" s="127"/>
      <c r="AW83" s="126"/>
      <c r="AX83" s="126"/>
      <c r="AY83" s="127"/>
      <c r="AZ83" s="126"/>
      <c r="BA83" s="126"/>
      <c r="BB83" s="127"/>
      <c r="BC83" s="126"/>
      <c r="BD83" s="134"/>
      <c r="BE83" s="127"/>
      <c r="BF83" s="126"/>
      <c r="BG83" s="126"/>
      <c r="BH83" s="126"/>
      <c r="BI83" s="126"/>
      <c r="BJ83" s="126"/>
      <c r="BK83" s="126"/>
      <c r="BL83" s="126"/>
      <c r="BM83" s="126"/>
      <c r="BN83" s="126"/>
      <c r="BO83" s="126"/>
      <c r="BP83" s="126"/>
      <c r="BQ83" s="126"/>
      <c r="BR83" s="126"/>
      <c r="BS83" s="126"/>
      <c r="BT83" s="126"/>
      <c r="BU83" s="126"/>
      <c r="BV83" s="126"/>
      <c r="BW83" s="126"/>
      <c r="BX83" s="126"/>
    </row>
    <row r="84">
      <c r="A84" s="126"/>
      <c r="B84" s="126"/>
      <c r="C84" s="127"/>
      <c r="D84" s="126"/>
      <c r="E84" s="126"/>
      <c r="F84" s="127"/>
      <c r="G84" s="131" t="s">
        <v>1950</v>
      </c>
      <c r="H84" s="127"/>
      <c r="I84" s="87"/>
      <c r="J84" s="87"/>
      <c r="K84" s="127"/>
      <c r="L84" s="126"/>
      <c r="M84" s="126"/>
      <c r="N84" s="127"/>
      <c r="O84" s="126"/>
      <c r="P84" s="126"/>
      <c r="Q84" s="127"/>
      <c r="R84" s="126"/>
      <c r="S84" s="126"/>
      <c r="T84" s="127"/>
      <c r="U84" s="126"/>
      <c r="V84" s="126"/>
      <c r="W84" s="127"/>
      <c r="X84" s="126"/>
      <c r="Y84" s="126"/>
      <c r="Z84" s="127"/>
      <c r="AA84" s="126"/>
      <c r="AB84" s="126"/>
      <c r="AC84" s="127"/>
      <c r="AD84" s="126"/>
      <c r="AE84" s="126"/>
      <c r="AF84" s="126"/>
      <c r="AG84" s="127"/>
      <c r="AH84" s="126"/>
      <c r="AI84" s="126"/>
      <c r="AJ84" s="127"/>
      <c r="AK84" s="126"/>
      <c r="AL84" s="126"/>
      <c r="AM84" s="127"/>
      <c r="AN84" s="126"/>
      <c r="AO84" s="126"/>
      <c r="AP84" s="127"/>
      <c r="AQ84" s="126"/>
      <c r="AR84" s="126"/>
      <c r="AS84" s="127"/>
      <c r="AT84" s="126"/>
      <c r="AU84" s="126"/>
      <c r="AV84" s="127"/>
      <c r="AW84" s="126"/>
      <c r="AX84" s="126"/>
      <c r="AY84" s="127"/>
      <c r="AZ84" s="126"/>
      <c r="BA84" s="126"/>
      <c r="BB84" s="127"/>
      <c r="BC84" s="126"/>
      <c r="BD84" s="134"/>
      <c r="BE84" s="127"/>
      <c r="BF84" s="126"/>
      <c r="BG84" s="126"/>
      <c r="BH84" s="126"/>
      <c r="BI84" s="126"/>
      <c r="BJ84" s="126"/>
      <c r="BK84" s="126"/>
      <c r="BL84" s="126"/>
      <c r="BM84" s="126"/>
      <c r="BN84" s="126"/>
      <c r="BO84" s="126"/>
      <c r="BP84" s="126"/>
      <c r="BQ84" s="126"/>
      <c r="BR84" s="126"/>
      <c r="BS84" s="126"/>
      <c r="BT84" s="126"/>
      <c r="BU84" s="126"/>
      <c r="BV84" s="126"/>
      <c r="BW84" s="126"/>
      <c r="BX84" s="126"/>
    </row>
    <row r="85">
      <c r="A85" s="126"/>
      <c r="B85" s="126"/>
      <c r="C85" s="127"/>
      <c r="D85" s="126"/>
      <c r="E85" s="126"/>
      <c r="F85" s="127"/>
      <c r="G85" s="131" t="s">
        <v>3414</v>
      </c>
      <c r="H85" s="127"/>
      <c r="I85" s="87"/>
      <c r="J85" s="87"/>
      <c r="K85" s="127"/>
      <c r="L85" s="126"/>
      <c r="M85" s="126"/>
      <c r="N85" s="127"/>
      <c r="O85" s="126"/>
      <c r="P85" s="126"/>
      <c r="Q85" s="127"/>
      <c r="R85" s="126"/>
      <c r="S85" s="126"/>
      <c r="T85" s="127"/>
      <c r="U85" s="126"/>
      <c r="V85" s="126"/>
      <c r="W85" s="127"/>
      <c r="X85" s="126"/>
      <c r="Y85" s="126"/>
      <c r="Z85" s="127"/>
      <c r="AA85" s="126"/>
      <c r="AB85" s="126"/>
      <c r="AC85" s="127"/>
      <c r="AD85" s="126"/>
      <c r="AE85" s="126"/>
      <c r="AF85" s="126"/>
      <c r="AG85" s="127"/>
      <c r="AH85" s="126"/>
      <c r="AI85" s="126"/>
      <c r="AJ85" s="127"/>
      <c r="AK85" s="126"/>
      <c r="AL85" s="126"/>
      <c r="AM85" s="127"/>
      <c r="AN85" s="126"/>
      <c r="AO85" s="126"/>
      <c r="AP85" s="127"/>
      <c r="AQ85" s="126"/>
      <c r="AR85" s="126"/>
      <c r="AS85" s="127"/>
      <c r="AT85" s="126"/>
      <c r="AU85" s="126"/>
      <c r="AV85" s="127"/>
      <c r="AW85" s="126"/>
      <c r="AX85" s="126"/>
      <c r="AY85" s="127"/>
      <c r="AZ85" s="126"/>
      <c r="BA85" s="126"/>
      <c r="BB85" s="127"/>
      <c r="BC85" s="126"/>
      <c r="BD85" s="134"/>
      <c r="BE85" s="127"/>
      <c r="BF85" s="126"/>
      <c r="BG85" s="126"/>
      <c r="BH85" s="126"/>
      <c r="BI85" s="126"/>
      <c r="BJ85" s="126"/>
      <c r="BK85" s="126"/>
      <c r="BL85" s="126"/>
      <c r="BM85" s="126"/>
      <c r="BN85" s="126"/>
      <c r="BO85" s="126"/>
      <c r="BP85" s="126"/>
      <c r="BQ85" s="126"/>
      <c r="BR85" s="126"/>
      <c r="BS85" s="126"/>
      <c r="BT85" s="126"/>
      <c r="BU85" s="126"/>
      <c r="BV85" s="126"/>
      <c r="BW85" s="126"/>
      <c r="BX85" s="126"/>
    </row>
    <row r="86">
      <c r="A86" s="126"/>
      <c r="B86" s="126"/>
      <c r="C86" s="127"/>
      <c r="D86" s="126"/>
      <c r="E86" s="126"/>
      <c r="F86" s="127"/>
      <c r="G86" s="131" t="s">
        <v>1970</v>
      </c>
      <c r="H86" s="127"/>
      <c r="I86" s="87"/>
      <c r="J86" s="87"/>
      <c r="K86" s="127"/>
      <c r="L86" s="126"/>
      <c r="M86" s="126"/>
      <c r="N86" s="127"/>
      <c r="O86" s="126"/>
      <c r="P86" s="126"/>
      <c r="Q86" s="127"/>
      <c r="R86" s="126"/>
      <c r="S86" s="126"/>
      <c r="T86" s="127"/>
      <c r="U86" s="126"/>
      <c r="V86" s="126"/>
      <c r="W86" s="127"/>
      <c r="X86" s="126"/>
      <c r="Y86" s="126"/>
      <c r="Z86" s="127"/>
      <c r="AA86" s="126"/>
      <c r="AB86" s="126"/>
      <c r="AC86" s="127"/>
      <c r="AD86" s="126"/>
      <c r="AE86" s="126"/>
      <c r="AF86" s="126"/>
      <c r="AG86" s="127"/>
      <c r="AH86" s="126"/>
      <c r="AI86" s="126"/>
      <c r="AJ86" s="127"/>
      <c r="AK86" s="126"/>
      <c r="AL86" s="126"/>
      <c r="AM86" s="127"/>
      <c r="AN86" s="126"/>
      <c r="AO86" s="126"/>
      <c r="AP86" s="127"/>
      <c r="AQ86" s="126"/>
      <c r="AR86" s="126"/>
      <c r="AS86" s="127"/>
      <c r="AT86" s="126"/>
      <c r="AU86" s="126"/>
      <c r="AV86" s="127"/>
      <c r="AW86" s="126"/>
      <c r="AX86" s="126"/>
      <c r="AY86" s="127"/>
      <c r="AZ86" s="126"/>
      <c r="BA86" s="126"/>
      <c r="BB86" s="127"/>
      <c r="BC86" s="126"/>
      <c r="BD86" s="134"/>
      <c r="BE86" s="127"/>
      <c r="BF86" s="126"/>
      <c r="BG86" s="126"/>
      <c r="BH86" s="126"/>
      <c r="BI86" s="126"/>
      <c r="BJ86" s="126"/>
      <c r="BK86" s="126"/>
      <c r="BL86" s="126"/>
      <c r="BM86" s="126"/>
      <c r="BN86" s="126"/>
      <c r="BO86" s="126"/>
      <c r="BP86" s="126"/>
      <c r="BQ86" s="126"/>
      <c r="BR86" s="126"/>
      <c r="BS86" s="126"/>
      <c r="BT86" s="126"/>
      <c r="BU86" s="126"/>
      <c r="BV86" s="126"/>
      <c r="BW86" s="126"/>
      <c r="BX86" s="126"/>
    </row>
    <row r="87">
      <c r="A87" s="126"/>
      <c r="B87" s="126"/>
      <c r="C87" s="127"/>
      <c r="D87" s="126"/>
      <c r="E87" s="126"/>
      <c r="F87" s="127"/>
      <c r="G87" s="131" t="s">
        <v>1981</v>
      </c>
      <c r="H87" s="127"/>
      <c r="I87" s="87"/>
      <c r="J87" s="87"/>
      <c r="K87" s="127"/>
      <c r="L87" s="126"/>
      <c r="M87" s="126"/>
      <c r="N87" s="127"/>
      <c r="O87" s="126"/>
      <c r="P87" s="126"/>
      <c r="Q87" s="127"/>
      <c r="R87" s="126"/>
      <c r="S87" s="126"/>
      <c r="T87" s="127"/>
      <c r="U87" s="126"/>
      <c r="V87" s="126"/>
      <c r="W87" s="127"/>
      <c r="X87" s="126"/>
      <c r="Y87" s="126"/>
      <c r="Z87" s="127"/>
      <c r="AA87" s="126"/>
      <c r="AB87" s="126"/>
      <c r="AC87" s="127"/>
      <c r="AD87" s="126"/>
      <c r="AE87" s="126"/>
      <c r="AF87" s="126"/>
      <c r="AG87" s="127"/>
      <c r="AH87" s="126"/>
      <c r="AI87" s="126"/>
      <c r="AJ87" s="127"/>
      <c r="AK87" s="126"/>
      <c r="AL87" s="126"/>
      <c r="AM87" s="127"/>
      <c r="AN87" s="126"/>
      <c r="AO87" s="126"/>
      <c r="AP87" s="127"/>
      <c r="AQ87" s="126"/>
      <c r="AR87" s="126"/>
      <c r="AS87" s="127"/>
      <c r="AT87" s="126"/>
      <c r="AU87" s="126"/>
      <c r="AV87" s="127"/>
      <c r="AW87" s="126"/>
      <c r="AX87" s="126"/>
      <c r="AY87" s="127"/>
      <c r="AZ87" s="126"/>
      <c r="BA87" s="126"/>
      <c r="BB87" s="127"/>
      <c r="BC87" s="126"/>
      <c r="BD87" s="134"/>
      <c r="BE87" s="127"/>
      <c r="BF87" s="126"/>
      <c r="BG87" s="126"/>
      <c r="BH87" s="126"/>
      <c r="BI87" s="126"/>
      <c r="BJ87" s="126"/>
      <c r="BK87" s="126"/>
      <c r="BL87" s="126"/>
      <c r="BM87" s="126"/>
      <c r="BN87" s="126"/>
      <c r="BO87" s="126"/>
      <c r="BP87" s="126"/>
      <c r="BQ87" s="126"/>
      <c r="BR87" s="126"/>
      <c r="BS87" s="126"/>
      <c r="BT87" s="126"/>
      <c r="BU87" s="126"/>
      <c r="BV87" s="126"/>
      <c r="BW87" s="126"/>
      <c r="BX87" s="126"/>
    </row>
    <row r="88">
      <c r="A88" s="126"/>
      <c r="B88" s="126"/>
      <c r="C88" s="127"/>
      <c r="D88" s="126"/>
      <c r="E88" s="126"/>
      <c r="F88" s="127"/>
      <c r="G88" s="131" t="s">
        <v>1989</v>
      </c>
      <c r="H88" s="127"/>
      <c r="I88" s="87"/>
      <c r="J88" s="87"/>
      <c r="K88" s="127"/>
      <c r="L88" s="126"/>
      <c r="M88" s="126"/>
      <c r="N88" s="127"/>
      <c r="O88" s="126"/>
      <c r="P88" s="126"/>
      <c r="Q88" s="127"/>
      <c r="R88" s="126"/>
      <c r="S88" s="126"/>
      <c r="T88" s="127"/>
      <c r="U88" s="126"/>
      <c r="V88" s="126"/>
      <c r="W88" s="127"/>
      <c r="X88" s="126"/>
      <c r="Y88" s="126"/>
      <c r="Z88" s="127"/>
      <c r="AA88" s="126"/>
      <c r="AB88" s="126"/>
      <c r="AC88" s="127"/>
      <c r="AD88" s="126"/>
      <c r="AE88" s="126"/>
      <c r="AF88" s="126"/>
      <c r="AG88" s="127"/>
      <c r="AH88" s="126"/>
      <c r="AI88" s="126"/>
      <c r="AJ88" s="127"/>
      <c r="AK88" s="126"/>
      <c r="AL88" s="126"/>
      <c r="AM88" s="127"/>
      <c r="AN88" s="126"/>
      <c r="AO88" s="126"/>
      <c r="AP88" s="127"/>
      <c r="AQ88" s="126"/>
      <c r="AR88" s="126"/>
      <c r="AS88" s="127"/>
      <c r="AT88" s="126"/>
      <c r="AU88" s="126"/>
      <c r="AV88" s="127"/>
      <c r="AW88" s="126"/>
      <c r="AX88" s="126"/>
      <c r="AY88" s="127"/>
      <c r="AZ88" s="126"/>
      <c r="BA88" s="126"/>
      <c r="BB88" s="127"/>
      <c r="BC88" s="126"/>
      <c r="BD88" s="134"/>
      <c r="BE88" s="127"/>
      <c r="BF88" s="126"/>
      <c r="BG88" s="126"/>
      <c r="BH88" s="126"/>
      <c r="BI88" s="126"/>
      <c r="BJ88" s="126"/>
      <c r="BK88" s="126"/>
      <c r="BL88" s="126"/>
      <c r="BM88" s="126"/>
      <c r="BN88" s="126"/>
      <c r="BO88" s="126"/>
      <c r="BP88" s="126"/>
      <c r="BQ88" s="126"/>
      <c r="BR88" s="126"/>
      <c r="BS88" s="126"/>
      <c r="BT88" s="126"/>
      <c r="BU88" s="126"/>
      <c r="BV88" s="126"/>
      <c r="BW88" s="126"/>
      <c r="BX88" s="126"/>
    </row>
    <row r="89">
      <c r="A89" s="126"/>
      <c r="B89" s="126"/>
      <c r="C89" s="127"/>
      <c r="D89" s="126"/>
      <c r="E89" s="126"/>
      <c r="F89" s="127"/>
      <c r="G89" s="131" t="s">
        <v>2000</v>
      </c>
      <c r="H89" s="127"/>
      <c r="I89" s="87"/>
      <c r="J89" s="87"/>
      <c r="K89" s="127"/>
      <c r="L89" s="126"/>
      <c r="M89" s="126"/>
      <c r="N89" s="127"/>
      <c r="O89" s="126"/>
      <c r="P89" s="126"/>
      <c r="Q89" s="127"/>
      <c r="R89" s="126"/>
      <c r="S89" s="126"/>
      <c r="T89" s="127"/>
      <c r="U89" s="126"/>
      <c r="V89" s="126"/>
      <c r="W89" s="127"/>
      <c r="X89" s="126"/>
      <c r="Y89" s="126"/>
      <c r="Z89" s="127"/>
      <c r="AA89" s="126"/>
      <c r="AB89" s="126"/>
      <c r="AC89" s="127"/>
      <c r="AD89" s="126"/>
      <c r="AE89" s="126"/>
      <c r="AF89" s="126"/>
      <c r="AG89" s="127"/>
      <c r="AH89" s="126"/>
      <c r="AI89" s="126"/>
      <c r="AJ89" s="127"/>
      <c r="AK89" s="126"/>
      <c r="AL89" s="126"/>
      <c r="AM89" s="127"/>
      <c r="AN89" s="126"/>
      <c r="AO89" s="126"/>
      <c r="AP89" s="127"/>
      <c r="AQ89" s="126"/>
      <c r="AR89" s="126"/>
      <c r="AS89" s="127"/>
      <c r="AT89" s="126"/>
      <c r="AU89" s="126"/>
      <c r="AV89" s="127"/>
      <c r="AW89" s="126"/>
      <c r="AX89" s="126"/>
      <c r="AY89" s="127"/>
      <c r="AZ89" s="126"/>
      <c r="BA89" s="126"/>
      <c r="BB89" s="127"/>
      <c r="BC89" s="126"/>
      <c r="BD89" s="134"/>
      <c r="BE89" s="127"/>
      <c r="BF89" s="126"/>
      <c r="BG89" s="126"/>
      <c r="BH89" s="126"/>
      <c r="BI89" s="126"/>
      <c r="BJ89" s="126"/>
      <c r="BK89" s="126"/>
      <c r="BL89" s="126"/>
      <c r="BM89" s="126"/>
      <c r="BN89" s="126"/>
      <c r="BO89" s="126"/>
      <c r="BP89" s="126"/>
      <c r="BQ89" s="126"/>
      <c r="BR89" s="126"/>
      <c r="BS89" s="126"/>
      <c r="BT89" s="126"/>
      <c r="BU89" s="126"/>
      <c r="BV89" s="126"/>
      <c r="BW89" s="126"/>
      <c r="BX89" s="126"/>
    </row>
    <row r="90">
      <c r="A90" s="126"/>
      <c r="B90" s="126"/>
      <c r="C90" s="127"/>
      <c r="D90" s="126"/>
      <c r="E90" s="126"/>
      <c r="F90" s="127"/>
      <c r="G90" s="131" t="s">
        <v>2013</v>
      </c>
      <c r="H90" s="127"/>
      <c r="I90" s="87"/>
      <c r="J90" s="87"/>
      <c r="K90" s="127"/>
      <c r="L90" s="126"/>
      <c r="M90" s="126"/>
      <c r="N90" s="127"/>
      <c r="O90" s="126"/>
      <c r="P90" s="126"/>
      <c r="Q90" s="127"/>
      <c r="R90" s="126"/>
      <c r="S90" s="126"/>
      <c r="T90" s="127"/>
      <c r="U90" s="126"/>
      <c r="V90" s="126"/>
      <c r="W90" s="127"/>
      <c r="X90" s="126"/>
      <c r="Y90" s="126"/>
      <c r="Z90" s="127"/>
      <c r="AA90" s="126"/>
      <c r="AB90" s="126"/>
      <c r="AC90" s="127"/>
      <c r="AD90" s="126"/>
      <c r="AE90" s="126"/>
      <c r="AF90" s="126"/>
      <c r="AG90" s="127"/>
      <c r="AH90" s="126"/>
      <c r="AI90" s="126"/>
      <c r="AJ90" s="127"/>
      <c r="AK90" s="126"/>
      <c r="AL90" s="126"/>
      <c r="AM90" s="127"/>
      <c r="AN90" s="126"/>
      <c r="AO90" s="126"/>
      <c r="AP90" s="127"/>
      <c r="AQ90" s="126"/>
      <c r="AR90" s="126"/>
      <c r="AS90" s="127"/>
      <c r="AT90" s="126"/>
      <c r="AU90" s="126"/>
      <c r="AV90" s="127"/>
      <c r="AW90" s="126"/>
      <c r="AX90" s="126"/>
      <c r="AY90" s="127"/>
      <c r="AZ90" s="126"/>
      <c r="BA90" s="126"/>
      <c r="BB90" s="127"/>
      <c r="BC90" s="126"/>
      <c r="BD90" s="134"/>
      <c r="BE90" s="127"/>
      <c r="BF90" s="126"/>
      <c r="BG90" s="126"/>
      <c r="BH90" s="126"/>
      <c r="BI90" s="126"/>
      <c r="BJ90" s="126"/>
      <c r="BK90" s="126"/>
      <c r="BL90" s="126"/>
      <c r="BM90" s="126"/>
      <c r="BN90" s="126"/>
      <c r="BO90" s="126"/>
      <c r="BP90" s="126"/>
      <c r="BQ90" s="126"/>
      <c r="BR90" s="126"/>
      <c r="BS90" s="126"/>
      <c r="BT90" s="126"/>
      <c r="BU90" s="126"/>
      <c r="BV90" s="126"/>
      <c r="BW90" s="126"/>
      <c r="BX90" s="126"/>
    </row>
    <row r="91">
      <c r="A91" s="126"/>
      <c r="B91" s="126"/>
      <c r="C91" s="127"/>
      <c r="D91" s="126"/>
      <c r="E91" s="126"/>
      <c r="F91" s="127"/>
      <c r="G91" s="131" t="s">
        <v>2023</v>
      </c>
      <c r="H91" s="127"/>
      <c r="I91" s="87"/>
      <c r="J91" s="87"/>
      <c r="K91" s="127"/>
      <c r="L91" s="126"/>
      <c r="M91" s="126"/>
      <c r="N91" s="127"/>
      <c r="O91" s="126"/>
      <c r="P91" s="126"/>
      <c r="Q91" s="127"/>
      <c r="R91" s="126"/>
      <c r="S91" s="126"/>
      <c r="T91" s="127"/>
      <c r="U91" s="126"/>
      <c r="V91" s="126"/>
      <c r="W91" s="127"/>
      <c r="X91" s="126"/>
      <c r="Y91" s="126"/>
      <c r="Z91" s="127"/>
      <c r="AA91" s="126"/>
      <c r="AB91" s="126"/>
      <c r="AC91" s="127"/>
      <c r="AD91" s="126"/>
      <c r="AE91" s="126"/>
      <c r="AF91" s="126"/>
      <c r="AG91" s="127"/>
      <c r="AH91" s="126"/>
      <c r="AI91" s="126"/>
      <c r="AJ91" s="127"/>
      <c r="AK91" s="126"/>
      <c r="AL91" s="126"/>
      <c r="AM91" s="127"/>
      <c r="AN91" s="126"/>
      <c r="AO91" s="126"/>
      <c r="AP91" s="127"/>
      <c r="AQ91" s="126"/>
      <c r="AR91" s="126"/>
      <c r="AS91" s="127"/>
      <c r="AT91" s="126"/>
      <c r="AU91" s="126"/>
      <c r="AV91" s="127"/>
      <c r="AW91" s="126"/>
      <c r="AX91" s="126"/>
      <c r="AY91" s="127"/>
      <c r="AZ91" s="126"/>
      <c r="BA91" s="126"/>
      <c r="BB91" s="127"/>
      <c r="BC91" s="126"/>
      <c r="BD91" s="134"/>
      <c r="BE91" s="127"/>
      <c r="BF91" s="126"/>
      <c r="BG91" s="126"/>
      <c r="BH91" s="126"/>
      <c r="BI91" s="126"/>
      <c r="BJ91" s="126"/>
      <c r="BK91" s="126"/>
      <c r="BL91" s="126"/>
      <c r="BM91" s="126"/>
      <c r="BN91" s="126"/>
      <c r="BO91" s="126"/>
      <c r="BP91" s="126"/>
      <c r="BQ91" s="126"/>
      <c r="BR91" s="126"/>
      <c r="BS91" s="126"/>
      <c r="BT91" s="126"/>
      <c r="BU91" s="126"/>
      <c r="BV91" s="126"/>
      <c r="BW91" s="126"/>
      <c r="BX91" s="126"/>
    </row>
    <row r="92">
      <c r="A92" s="126"/>
      <c r="B92" s="126"/>
      <c r="C92" s="127"/>
      <c r="D92" s="126"/>
      <c r="E92" s="126"/>
      <c r="F92" s="127"/>
      <c r="G92" s="131" t="s">
        <v>2073</v>
      </c>
      <c r="H92" s="127"/>
      <c r="I92" s="87"/>
      <c r="J92" s="87"/>
      <c r="K92" s="127"/>
      <c r="L92" s="126"/>
      <c r="M92" s="126"/>
      <c r="N92" s="127"/>
      <c r="O92" s="126"/>
      <c r="P92" s="126"/>
      <c r="Q92" s="127"/>
      <c r="R92" s="126"/>
      <c r="S92" s="126"/>
      <c r="T92" s="127"/>
      <c r="U92" s="126"/>
      <c r="V92" s="126"/>
      <c r="W92" s="127"/>
      <c r="X92" s="126"/>
      <c r="Y92" s="126"/>
      <c r="Z92" s="127"/>
      <c r="AA92" s="126"/>
      <c r="AB92" s="126"/>
      <c r="AC92" s="127"/>
      <c r="AD92" s="126"/>
      <c r="AE92" s="126"/>
      <c r="AF92" s="126"/>
      <c r="AG92" s="127"/>
      <c r="AH92" s="126"/>
      <c r="AI92" s="126"/>
      <c r="AJ92" s="127"/>
      <c r="AK92" s="126"/>
      <c r="AL92" s="126"/>
      <c r="AM92" s="127"/>
      <c r="AN92" s="126"/>
      <c r="AO92" s="126"/>
      <c r="AP92" s="127"/>
      <c r="AQ92" s="126"/>
      <c r="AR92" s="126"/>
      <c r="AS92" s="127"/>
      <c r="AT92" s="126"/>
      <c r="AU92" s="126"/>
      <c r="AV92" s="127"/>
      <c r="AW92" s="126"/>
      <c r="AX92" s="126"/>
      <c r="AY92" s="127"/>
      <c r="AZ92" s="126"/>
      <c r="BA92" s="126"/>
      <c r="BB92" s="127"/>
      <c r="BC92" s="126"/>
      <c r="BD92" s="134"/>
      <c r="BE92" s="127"/>
      <c r="BF92" s="126"/>
      <c r="BG92" s="126"/>
      <c r="BH92" s="126"/>
      <c r="BI92" s="126"/>
      <c r="BJ92" s="126"/>
      <c r="BK92" s="126"/>
      <c r="BL92" s="126"/>
      <c r="BM92" s="126"/>
      <c r="BN92" s="126"/>
      <c r="BO92" s="126"/>
      <c r="BP92" s="126"/>
      <c r="BQ92" s="126"/>
      <c r="BR92" s="126"/>
      <c r="BS92" s="126"/>
      <c r="BT92" s="126"/>
      <c r="BU92" s="126"/>
      <c r="BV92" s="126"/>
      <c r="BW92" s="126"/>
      <c r="BX92" s="126"/>
    </row>
    <row r="93">
      <c r="A93" s="126"/>
      <c r="B93" s="126"/>
      <c r="C93" s="127"/>
      <c r="D93" s="126"/>
      <c r="E93" s="126"/>
      <c r="F93" s="127"/>
      <c r="G93" s="131" t="s">
        <v>2081</v>
      </c>
      <c r="H93" s="127"/>
      <c r="I93" s="87"/>
      <c r="J93" s="87"/>
      <c r="K93" s="127"/>
      <c r="L93" s="126"/>
      <c r="M93" s="126"/>
      <c r="N93" s="127"/>
      <c r="O93" s="126"/>
      <c r="P93" s="126"/>
      <c r="Q93" s="127"/>
      <c r="R93" s="126"/>
      <c r="S93" s="126"/>
      <c r="T93" s="127"/>
      <c r="U93" s="126"/>
      <c r="V93" s="126"/>
      <c r="W93" s="127"/>
      <c r="X93" s="126"/>
      <c r="Y93" s="126"/>
      <c r="Z93" s="127"/>
      <c r="AA93" s="126"/>
      <c r="AB93" s="126"/>
      <c r="AC93" s="127"/>
      <c r="AD93" s="126"/>
      <c r="AE93" s="126"/>
      <c r="AF93" s="126"/>
      <c r="AG93" s="127"/>
      <c r="AH93" s="126"/>
      <c r="AI93" s="126"/>
      <c r="AJ93" s="127"/>
      <c r="AK93" s="126"/>
      <c r="AL93" s="126"/>
      <c r="AM93" s="127"/>
      <c r="AN93" s="126"/>
      <c r="AO93" s="126"/>
      <c r="AP93" s="127"/>
      <c r="AQ93" s="126"/>
      <c r="AR93" s="126"/>
      <c r="AS93" s="127"/>
      <c r="AT93" s="126"/>
      <c r="AU93" s="126"/>
      <c r="AV93" s="127"/>
      <c r="AW93" s="126"/>
      <c r="AX93" s="126"/>
      <c r="AY93" s="127"/>
      <c r="AZ93" s="126"/>
      <c r="BA93" s="126"/>
      <c r="BB93" s="127"/>
      <c r="BC93" s="126"/>
      <c r="BD93" s="134"/>
      <c r="BE93" s="127"/>
      <c r="BF93" s="126"/>
      <c r="BG93" s="126"/>
      <c r="BH93" s="126"/>
      <c r="BI93" s="126"/>
      <c r="BJ93" s="126"/>
      <c r="BK93" s="126"/>
      <c r="BL93" s="126"/>
      <c r="BM93" s="126"/>
      <c r="BN93" s="126"/>
      <c r="BO93" s="126"/>
      <c r="BP93" s="126"/>
      <c r="BQ93" s="126"/>
      <c r="BR93" s="126"/>
      <c r="BS93" s="126"/>
      <c r="BT93" s="126"/>
      <c r="BU93" s="126"/>
      <c r="BV93" s="126"/>
      <c r="BW93" s="126"/>
      <c r="BX93" s="126"/>
    </row>
    <row r="94">
      <c r="A94" s="126"/>
      <c r="B94" s="126"/>
      <c r="C94" s="127"/>
      <c r="D94" s="126"/>
      <c r="E94" s="126"/>
      <c r="F94" s="127"/>
      <c r="G94" s="131" t="s">
        <v>2098</v>
      </c>
      <c r="H94" s="127"/>
      <c r="I94" s="87"/>
      <c r="J94" s="87"/>
      <c r="K94" s="127"/>
      <c r="L94" s="126"/>
      <c r="M94" s="126"/>
      <c r="N94" s="127"/>
      <c r="O94" s="126"/>
      <c r="P94" s="126"/>
      <c r="Q94" s="127"/>
      <c r="R94" s="126"/>
      <c r="S94" s="126"/>
      <c r="T94" s="127"/>
      <c r="U94" s="126"/>
      <c r="V94" s="126"/>
      <c r="W94" s="127"/>
      <c r="X94" s="126"/>
      <c r="Y94" s="126"/>
      <c r="Z94" s="127"/>
      <c r="AA94" s="126"/>
      <c r="AB94" s="126"/>
      <c r="AC94" s="127"/>
      <c r="AD94" s="126"/>
      <c r="AE94" s="126"/>
      <c r="AF94" s="126"/>
      <c r="AG94" s="127"/>
      <c r="AH94" s="126"/>
      <c r="AI94" s="126"/>
      <c r="AJ94" s="127"/>
      <c r="AK94" s="126"/>
      <c r="AL94" s="126"/>
      <c r="AM94" s="127"/>
      <c r="AN94" s="126"/>
      <c r="AO94" s="126"/>
      <c r="AP94" s="127"/>
      <c r="AQ94" s="126"/>
      <c r="AR94" s="126"/>
      <c r="AS94" s="127"/>
      <c r="AT94" s="126"/>
      <c r="AU94" s="126"/>
      <c r="AV94" s="127"/>
      <c r="AW94" s="126"/>
      <c r="AX94" s="126"/>
      <c r="AY94" s="127"/>
      <c r="AZ94" s="126"/>
      <c r="BA94" s="126"/>
      <c r="BB94" s="127"/>
      <c r="BC94" s="126"/>
      <c r="BD94" s="134"/>
      <c r="BE94" s="127"/>
      <c r="BF94" s="126"/>
      <c r="BG94" s="126"/>
      <c r="BH94" s="126"/>
      <c r="BI94" s="126"/>
      <c r="BJ94" s="126"/>
      <c r="BK94" s="126"/>
      <c r="BL94" s="126"/>
      <c r="BM94" s="126"/>
      <c r="BN94" s="126"/>
      <c r="BO94" s="126"/>
      <c r="BP94" s="126"/>
      <c r="BQ94" s="126"/>
      <c r="BR94" s="126"/>
      <c r="BS94" s="126"/>
      <c r="BT94" s="126"/>
      <c r="BU94" s="126"/>
      <c r="BV94" s="126"/>
      <c r="BW94" s="126"/>
      <c r="BX94" s="126"/>
    </row>
    <row r="95">
      <c r="A95" s="126"/>
      <c r="B95" s="126"/>
      <c r="C95" s="127"/>
      <c r="D95" s="126"/>
      <c r="E95" s="126"/>
      <c r="F95" s="127"/>
      <c r="G95" s="131" t="s">
        <v>2103</v>
      </c>
      <c r="H95" s="127"/>
      <c r="I95" s="87"/>
      <c r="J95" s="87"/>
      <c r="K95" s="127"/>
      <c r="L95" s="126"/>
      <c r="M95" s="126"/>
      <c r="N95" s="127"/>
      <c r="O95" s="126"/>
      <c r="P95" s="126"/>
      <c r="Q95" s="127"/>
      <c r="R95" s="126"/>
      <c r="S95" s="126"/>
      <c r="T95" s="127"/>
      <c r="U95" s="126"/>
      <c r="V95" s="126"/>
      <c r="W95" s="127"/>
      <c r="X95" s="126"/>
      <c r="Y95" s="126"/>
      <c r="Z95" s="127"/>
      <c r="AA95" s="126"/>
      <c r="AB95" s="126"/>
      <c r="AC95" s="127"/>
      <c r="AD95" s="126"/>
      <c r="AE95" s="126"/>
      <c r="AF95" s="126"/>
      <c r="AG95" s="127"/>
      <c r="AH95" s="126"/>
      <c r="AI95" s="126"/>
      <c r="AJ95" s="127"/>
      <c r="AK95" s="126"/>
      <c r="AL95" s="126"/>
      <c r="AM95" s="127"/>
      <c r="AN95" s="126"/>
      <c r="AO95" s="126"/>
      <c r="AP95" s="127"/>
      <c r="AQ95" s="126"/>
      <c r="AR95" s="126"/>
      <c r="AS95" s="127"/>
      <c r="AT95" s="126"/>
      <c r="AU95" s="126"/>
      <c r="AV95" s="127"/>
      <c r="AW95" s="126"/>
      <c r="AX95" s="126"/>
      <c r="AY95" s="127"/>
      <c r="AZ95" s="126"/>
      <c r="BA95" s="126"/>
      <c r="BB95" s="127"/>
      <c r="BC95" s="126"/>
      <c r="BD95" s="134"/>
      <c r="BE95" s="127"/>
      <c r="BF95" s="126"/>
      <c r="BG95" s="126"/>
      <c r="BH95" s="126"/>
      <c r="BI95" s="126"/>
      <c r="BJ95" s="126"/>
      <c r="BK95" s="126"/>
      <c r="BL95" s="126"/>
      <c r="BM95" s="126"/>
      <c r="BN95" s="126"/>
      <c r="BO95" s="126"/>
      <c r="BP95" s="126"/>
      <c r="BQ95" s="126"/>
      <c r="BR95" s="126"/>
      <c r="BS95" s="126"/>
      <c r="BT95" s="126"/>
      <c r="BU95" s="126"/>
      <c r="BV95" s="126"/>
      <c r="BW95" s="126"/>
      <c r="BX95" s="126"/>
    </row>
    <row r="96">
      <c r="A96" s="126"/>
      <c r="B96" s="126"/>
      <c r="C96" s="127"/>
      <c r="D96" s="126"/>
      <c r="E96" s="126"/>
      <c r="F96" s="127"/>
      <c r="G96" s="131" t="s">
        <v>2107</v>
      </c>
      <c r="H96" s="127"/>
      <c r="I96" s="87"/>
      <c r="J96" s="87"/>
      <c r="K96" s="127"/>
      <c r="L96" s="126"/>
      <c r="M96" s="126"/>
      <c r="N96" s="127"/>
      <c r="O96" s="126"/>
      <c r="P96" s="126"/>
      <c r="Q96" s="127"/>
      <c r="R96" s="126"/>
      <c r="S96" s="126"/>
      <c r="T96" s="127"/>
      <c r="U96" s="126"/>
      <c r="V96" s="126"/>
      <c r="W96" s="127"/>
      <c r="X96" s="126"/>
      <c r="Y96" s="126"/>
      <c r="Z96" s="127"/>
      <c r="AA96" s="126"/>
      <c r="AB96" s="126"/>
      <c r="AC96" s="127"/>
      <c r="AD96" s="126"/>
      <c r="AE96" s="126"/>
      <c r="AF96" s="126"/>
      <c r="AG96" s="127"/>
      <c r="AH96" s="126"/>
      <c r="AI96" s="126"/>
      <c r="AJ96" s="127"/>
      <c r="AK96" s="126"/>
      <c r="AL96" s="126"/>
      <c r="AM96" s="127"/>
      <c r="AN96" s="126"/>
      <c r="AO96" s="126"/>
      <c r="AP96" s="127"/>
      <c r="AQ96" s="126"/>
      <c r="AR96" s="126"/>
      <c r="AS96" s="127"/>
      <c r="AT96" s="126"/>
      <c r="AU96" s="126"/>
      <c r="AV96" s="127"/>
      <c r="AW96" s="126"/>
      <c r="AX96" s="126"/>
      <c r="AY96" s="127"/>
      <c r="AZ96" s="126"/>
      <c r="BA96" s="126"/>
      <c r="BB96" s="127"/>
      <c r="BC96" s="126"/>
      <c r="BD96" s="134"/>
      <c r="BE96" s="127"/>
      <c r="BF96" s="126"/>
      <c r="BG96" s="126"/>
      <c r="BH96" s="126"/>
      <c r="BI96" s="126"/>
      <c r="BJ96" s="126"/>
      <c r="BK96" s="126"/>
      <c r="BL96" s="126"/>
      <c r="BM96" s="126"/>
      <c r="BN96" s="126"/>
      <c r="BO96" s="126"/>
      <c r="BP96" s="126"/>
      <c r="BQ96" s="126"/>
      <c r="BR96" s="126"/>
      <c r="BS96" s="126"/>
      <c r="BT96" s="126"/>
      <c r="BU96" s="126"/>
      <c r="BV96" s="126"/>
      <c r="BW96" s="126"/>
      <c r="BX96" s="126"/>
    </row>
    <row r="97">
      <c r="A97" s="126"/>
      <c r="B97" s="126"/>
      <c r="C97" s="127"/>
      <c r="D97" s="126"/>
      <c r="E97" s="126"/>
      <c r="F97" s="127"/>
      <c r="G97" s="131" t="s">
        <v>2116</v>
      </c>
      <c r="H97" s="127"/>
      <c r="I97" s="87"/>
      <c r="J97" s="87"/>
      <c r="K97" s="127"/>
      <c r="L97" s="126"/>
      <c r="M97" s="126"/>
      <c r="N97" s="127"/>
      <c r="O97" s="126"/>
      <c r="P97" s="126"/>
      <c r="Q97" s="127"/>
      <c r="R97" s="126"/>
      <c r="S97" s="126"/>
      <c r="T97" s="127"/>
      <c r="U97" s="126"/>
      <c r="V97" s="126"/>
      <c r="W97" s="127"/>
      <c r="X97" s="126"/>
      <c r="Y97" s="126"/>
      <c r="Z97" s="127"/>
      <c r="AA97" s="126"/>
      <c r="AB97" s="126"/>
      <c r="AC97" s="127"/>
      <c r="AD97" s="126"/>
      <c r="AE97" s="126"/>
      <c r="AF97" s="126"/>
      <c r="AG97" s="127"/>
      <c r="AH97" s="126"/>
      <c r="AI97" s="126"/>
      <c r="AJ97" s="127"/>
      <c r="AK97" s="126"/>
      <c r="AL97" s="126"/>
      <c r="AM97" s="127"/>
      <c r="AN97" s="126"/>
      <c r="AO97" s="126"/>
      <c r="AP97" s="127"/>
      <c r="AQ97" s="126"/>
      <c r="AR97" s="126"/>
      <c r="AS97" s="127"/>
      <c r="AT97" s="126"/>
      <c r="AU97" s="126"/>
      <c r="AV97" s="127"/>
      <c r="AW97" s="126"/>
      <c r="AX97" s="126"/>
      <c r="AY97" s="127"/>
      <c r="AZ97" s="126"/>
      <c r="BA97" s="126"/>
      <c r="BB97" s="127"/>
      <c r="BC97" s="126"/>
      <c r="BD97" s="134"/>
      <c r="BE97" s="127"/>
      <c r="BF97" s="126"/>
      <c r="BG97" s="126"/>
      <c r="BH97" s="126"/>
      <c r="BI97" s="126"/>
      <c r="BJ97" s="126"/>
      <c r="BK97" s="126"/>
      <c r="BL97" s="126"/>
      <c r="BM97" s="126"/>
      <c r="BN97" s="126"/>
      <c r="BO97" s="126"/>
      <c r="BP97" s="126"/>
      <c r="BQ97" s="126"/>
      <c r="BR97" s="126"/>
      <c r="BS97" s="126"/>
      <c r="BT97" s="126"/>
      <c r="BU97" s="126"/>
      <c r="BV97" s="126"/>
      <c r="BW97" s="126"/>
      <c r="BX97" s="126"/>
    </row>
    <row r="98">
      <c r="A98" s="126"/>
      <c r="B98" s="126"/>
      <c r="C98" s="127"/>
      <c r="D98" s="126"/>
      <c r="E98" s="126"/>
      <c r="F98" s="127"/>
      <c r="G98" s="131" t="s">
        <v>2130</v>
      </c>
      <c r="H98" s="127"/>
      <c r="I98" s="87"/>
      <c r="J98" s="87"/>
      <c r="K98" s="127"/>
      <c r="L98" s="126"/>
      <c r="M98" s="126"/>
      <c r="N98" s="127"/>
      <c r="O98" s="126"/>
      <c r="P98" s="126"/>
      <c r="Q98" s="127"/>
      <c r="R98" s="126"/>
      <c r="S98" s="126"/>
      <c r="T98" s="127"/>
      <c r="U98" s="126"/>
      <c r="V98" s="126"/>
      <c r="W98" s="127"/>
      <c r="X98" s="126"/>
      <c r="Y98" s="126"/>
      <c r="Z98" s="127"/>
      <c r="AA98" s="126"/>
      <c r="AB98" s="126"/>
      <c r="AC98" s="127"/>
      <c r="AD98" s="126"/>
      <c r="AE98" s="126"/>
      <c r="AF98" s="126"/>
      <c r="AG98" s="127"/>
      <c r="AH98" s="126"/>
      <c r="AI98" s="126"/>
      <c r="AJ98" s="127"/>
      <c r="AK98" s="126"/>
      <c r="AL98" s="126"/>
      <c r="AM98" s="127"/>
      <c r="AN98" s="126"/>
      <c r="AO98" s="126"/>
      <c r="AP98" s="127"/>
      <c r="AQ98" s="126"/>
      <c r="AR98" s="126"/>
      <c r="AS98" s="127"/>
      <c r="AT98" s="126"/>
      <c r="AU98" s="126"/>
      <c r="AV98" s="127"/>
      <c r="AW98" s="126"/>
      <c r="AX98" s="126"/>
      <c r="AY98" s="127"/>
      <c r="AZ98" s="126"/>
      <c r="BA98" s="126"/>
      <c r="BB98" s="127"/>
      <c r="BC98" s="126"/>
      <c r="BD98" s="134"/>
      <c r="BE98" s="127"/>
      <c r="BF98" s="126"/>
      <c r="BG98" s="126"/>
      <c r="BH98" s="126"/>
      <c r="BI98" s="126"/>
      <c r="BJ98" s="126"/>
      <c r="BK98" s="126"/>
      <c r="BL98" s="126"/>
      <c r="BM98" s="126"/>
      <c r="BN98" s="126"/>
      <c r="BO98" s="126"/>
      <c r="BP98" s="126"/>
      <c r="BQ98" s="126"/>
      <c r="BR98" s="126"/>
      <c r="BS98" s="126"/>
      <c r="BT98" s="126"/>
      <c r="BU98" s="126"/>
      <c r="BV98" s="126"/>
      <c r="BW98" s="126"/>
      <c r="BX98" s="126"/>
    </row>
    <row r="99">
      <c r="A99" s="126"/>
      <c r="B99" s="126"/>
      <c r="C99" s="127"/>
      <c r="D99" s="126"/>
      <c r="E99" s="126"/>
      <c r="F99" s="127"/>
      <c r="G99" s="131" t="s">
        <v>2137</v>
      </c>
      <c r="H99" s="127"/>
      <c r="I99" s="87"/>
      <c r="J99" s="87"/>
      <c r="K99" s="127"/>
      <c r="L99" s="126"/>
      <c r="M99" s="126"/>
      <c r="N99" s="127"/>
      <c r="O99" s="126"/>
      <c r="P99" s="126"/>
      <c r="Q99" s="127"/>
      <c r="R99" s="126"/>
      <c r="S99" s="126"/>
      <c r="T99" s="127"/>
      <c r="U99" s="126"/>
      <c r="V99" s="126"/>
      <c r="W99" s="127"/>
      <c r="X99" s="126"/>
      <c r="Y99" s="126"/>
      <c r="Z99" s="127"/>
      <c r="AA99" s="126"/>
      <c r="AB99" s="126"/>
      <c r="AC99" s="127"/>
      <c r="AD99" s="126"/>
      <c r="AE99" s="126"/>
      <c r="AF99" s="126"/>
      <c r="AG99" s="127"/>
      <c r="AH99" s="126"/>
      <c r="AI99" s="126"/>
      <c r="AJ99" s="127"/>
      <c r="AK99" s="126"/>
      <c r="AL99" s="126"/>
      <c r="AM99" s="127"/>
      <c r="AN99" s="126"/>
      <c r="AO99" s="126"/>
      <c r="AP99" s="127"/>
      <c r="AQ99" s="126"/>
      <c r="AR99" s="126"/>
      <c r="AS99" s="127"/>
      <c r="AT99" s="126"/>
      <c r="AU99" s="126"/>
      <c r="AV99" s="127"/>
      <c r="AW99" s="126"/>
      <c r="AX99" s="126"/>
      <c r="AY99" s="127"/>
      <c r="AZ99" s="126"/>
      <c r="BA99" s="126"/>
      <c r="BB99" s="127"/>
      <c r="BC99" s="126"/>
      <c r="BD99" s="134"/>
      <c r="BE99" s="127"/>
      <c r="BF99" s="126"/>
      <c r="BG99" s="126"/>
      <c r="BH99" s="126"/>
      <c r="BI99" s="126"/>
      <c r="BJ99" s="126"/>
      <c r="BK99" s="126"/>
      <c r="BL99" s="126"/>
      <c r="BM99" s="126"/>
      <c r="BN99" s="126"/>
      <c r="BO99" s="126"/>
      <c r="BP99" s="126"/>
      <c r="BQ99" s="126"/>
      <c r="BR99" s="126"/>
      <c r="BS99" s="126"/>
      <c r="BT99" s="126"/>
      <c r="BU99" s="126"/>
      <c r="BV99" s="126"/>
      <c r="BW99" s="126"/>
      <c r="BX99" s="126"/>
    </row>
    <row r="100">
      <c r="A100" s="126"/>
      <c r="B100" s="126"/>
      <c r="C100" s="127"/>
      <c r="D100" s="126"/>
      <c r="E100" s="126"/>
      <c r="F100" s="127"/>
      <c r="G100" s="131" t="s">
        <v>2224</v>
      </c>
      <c r="H100" s="127"/>
      <c r="I100" s="87"/>
      <c r="J100" s="87"/>
      <c r="K100" s="127"/>
      <c r="L100" s="126"/>
      <c r="M100" s="126"/>
      <c r="N100" s="127"/>
      <c r="O100" s="126"/>
      <c r="P100" s="126"/>
      <c r="Q100" s="127"/>
      <c r="R100" s="126"/>
      <c r="S100" s="126"/>
      <c r="T100" s="127"/>
      <c r="U100" s="126"/>
      <c r="V100" s="126"/>
      <c r="W100" s="127"/>
      <c r="X100" s="126"/>
      <c r="Y100" s="126"/>
      <c r="Z100" s="127"/>
      <c r="AA100" s="126"/>
      <c r="AB100" s="126"/>
      <c r="AC100" s="127"/>
      <c r="AD100" s="126"/>
      <c r="AE100" s="126"/>
      <c r="AF100" s="126"/>
      <c r="AG100" s="127"/>
      <c r="AH100" s="126"/>
      <c r="AI100" s="126"/>
      <c r="AJ100" s="127"/>
      <c r="AK100" s="126"/>
      <c r="AL100" s="126"/>
      <c r="AM100" s="127"/>
      <c r="AN100" s="126"/>
      <c r="AO100" s="126"/>
      <c r="AP100" s="127"/>
      <c r="AQ100" s="126"/>
      <c r="AR100" s="126"/>
      <c r="AS100" s="127"/>
      <c r="AT100" s="126"/>
      <c r="AU100" s="126"/>
      <c r="AV100" s="127"/>
      <c r="AW100" s="126"/>
      <c r="AX100" s="126"/>
      <c r="AY100" s="127"/>
      <c r="AZ100" s="126"/>
      <c r="BA100" s="126"/>
      <c r="BB100" s="127"/>
      <c r="BC100" s="126"/>
      <c r="BD100" s="134"/>
      <c r="BE100" s="127"/>
      <c r="BF100" s="126"/>
      <c r="BG100" s="126"/>
      <c r="BH100" s="126"/>
      <c r="BI100" s="126"/>
      <c r="BJ100" s="126"/>
      <c r="BK100" s="126"/>
      <c r="BL100" s="126"/>
      <c r="BM100" s="126"/>
      <c r="BN100" s="126"/>
      <c r="BO100" s="126"/>
      <c r="BP100" s="126"/>
      <c r="BQ100" s="126"/>
      <c r="BR100" s="126"/>
      <c r="BS100" s="126"/>
      <c r="BT100" s="126"/>
      <c r="BU100" s="126"/>
      <c r="BV100" s="126"/>
      <c r="BW100" s="126"/>
      <c r="BX100" s="126"/>
    </row>
    <row r="101">
      <c r="A101" s="126"/>
      <c r="B101" s="126"/>
      <c r="C101" s="127"/>
      <c r="D101" s="126"/>
      <c r="E101" s="126"/>
      <c r="F101" s="127"/>
      <c r="G101" s="131" t="s">
        <v>2237</v>
      </c>
      <c r="H101" s="127"/>
      <c r="I101" s="87"/>
      <c r="J101" s="87"/>
      <c r="K101" s="127"/>
      <c r="L101" s="126"/>
      <c r="M101" s="126"/>
      <c r="N101" s="127"/>
      <c r="O101" s="126"/>
      <c r="P101" s="126"/>
      <c r="Q101" s="127"/>
      <c r="R101" s="126"/>
      <c r="S101" s="126"/>
      <c r="T101" s="127"/>
      <c r="U101" s="126"/>
      <c r="V101" s="126"/>
      <c r="W101" s="127"/>
      <c r="X101" s="126"/>
      <c r="Y101" s="126"/>
      <c r="Z101" s="127"/>
      <c r="AA101" s="126"/>
      <c r="AB101" s="126"/>
      <c r="AC101" s="127"/>
      <c r="AD101" s="126"/>
      <c r="AE101" s="126"/>
      <c r="AF101" s="126"/>
      <c r="AG101" s="127"/>
      <c r="AH101" s="126"/>
      <c r="AI101" s="126"/>
      <c r="AJ101" s="127"/>
      <c r="AK101" s="126"/>
      <c r="AL101" s="126"/>
      <c r="AM101" s="127"/>
      <c r="AN101" s="126"/>
      <c r="AO101" s="126"/>
      <c r="AP101" s="127"/>
      <c r="AQ101" s="126"/>
      <c r="AR101" s="126"/>
      <c r="AS101" s="127"/>
      <c r="AT101" s="126"/>
      <c r="AU101" s="126"/>
      <c r="AV101" s="127"/>
      <c r="AW101" s="126"/>
      <c r="AX101" s="126"/>
      <c r="AY101" s="127"/>
      <c r="AZ101" s="126"/>
      <c r="BA101" s="126"/>
      <c r="BB101" s="127"/>
      <c r="BC101" s="126"/>
      <c r="BD101" s="134"/>
      <c r="BE101" s="127"/>
      <c r="BF101" s="126"/>
      <c r="BG101" s="126"/>
      <c r="BH101" s="126"/>
      <c r="BI101" s="126"/>
      <c r="BJ101" s="126"/>
      <c r="BK101" s="126"/>
      <c r="BL101" s="126"/>
      <c r="BM101" s="126"/>
      <c r="BN101" s="126"/>
      <c r="BO101" s="126"/>
      <c r="BP101" s="126"/>
      <c r="BQ101" s="126"/>
      <c r="BR101" s="126"/>
      <c r="BS101" s="126"/>
      <c r="BT101" s="126"/>
      <c r="BU101" s="126"/>
      <c r="BV101" s="126"/>
      <c r="BW101" s="126"/>
      <c r="BX101" s="126"/>
    </row>
    <row r="102">
      <c r="A102" s="126"/>
      <c r="B102" s="126"/>
      <c r="C102" s="127"/>
      <c r="D102" s="126"/>
      <c r="E102" s="126"/>
      <c r="F102" s="127"/>
      <c r="G102" s="131" t="s">
        <v>2244</v>
      </c>
      <c r="H102" s="127"/>
      <c r="I102" s="87"/>
      <c r="J102" s="87"/>
      <c r="K102" s="127"/>
      <c r="L102" s="126"/>
      <c r="M102" s="126"/>
      <c r="N102" s="127"/>
      <c r="O102" s="126"/>
      <c r="P102" s="126"/>
      <c r="Q102" s="127"/>
      <c r="R102" s="126"/>
      <c r="S102" s="126"/>
      <c r="T102" s="127"/>
      <c r="U102" s="126"/>
      <c r="V102" s="126"/>
      <c r="W102" s="127"/>
      <c r="X102" s="126"/>
      <c r="Y102" s="126"/>
      <c r="Z102" s="127"/>
      <c r="AA102" s="126"/>
      <c r="AB102" s="126"/>
      <c r="AC102" s="127"/>
      <c r="AD102" s="126"/>
      <c r="AE102" s="126"/>
      <c r="AF102" s="126"/>
      <c r="AG102" s="127"/>
      <c r="AH102" s="126"/>
      <c r="AI102" s="126"/>
      <c r="AJ102" s="127"/>
      <c r="AK102" s="126"/>
      <c r="AL102" s="126"/>
      <c r="AM102" s="127"/>
      <c r="AN102" s="126"/>
      <c r="AO102" s="126"/>
      <c r="AP102" s="127"/>
      <c r="AQ102" s="126"/>
      <c r="AR102" s="126"/>
      <c r="AS102" s="127"/>
      <c r="AT102" s="126"/>
      <c r="AU102" s="126"/>
      <c r="AV102" s="127"/>
      <c r="AW102" s="126"/>
      <c r="AX102" s="126"/>
      <c r="AY102" s="127"/>
      <c r="AZ102" s="126"/>
      <c r="BA102" s="126"/>
      <c r="BB102" s="127"/>
      <c r="BC102" s="126"/>
      <c r="BD102" s="134"/>
      <c r="BE102" s="127"/>
      <c r="BF102" s="126"/>
      <c r="BG102" s="126"/>
      <c r="BH102" s="126"/>
      <c r="BI102" s="126"/>
      <c r="BJ102" s="126"/>
      <c r="BK102" s="126"/>
      <c r="BL102" s="126"/>
      <c r="BM102" s="126"/>
      <c r="BN102" s="126"/>
      <c r="BO102" s="126"/>
      <c r="BP102" s="126"/>
      <c r="BQ102" s="126"/>
      <c r="BR102" s="126"/>
      <c r="BS102" s="126"/>
      <c r="BT102" s="126"/>
      <c r="BU102" s="126"/>
      <c r="BV102" s="126"/>
      <c r="BW102" s="126"/>
      <c r="BX102" s="126"/>
    </row>
    <row r="103">
      <c r="A103" s="126"/>
      <c r="B103" s="126"/>
      <c r="C103" s="127"/>
      <c r="D103" s="126"/>
      <c r="E103" s="126"/>
      <c r="F103" s="127"/>
      <c r="G103" s="131" t="s">
        <v>2254</v>
      </c>
      <c r="H103" s="127"/>
      <c r="I103" s="87"/>
      <c r="J103" s="87"/>
      <c r="K103" s="127"/>
      <c r="L103" s="126"/>
      <c r="M103" s="126"/>
      <c r="N103" s="127"/>
      <c r="O103" s="126"/>
      <c r="P103" s="126"/>
      <c r="Q103" s="127"/>
      <c r="R103" s="126"/>
      <c r="S103" s="126"/>
      <c r="T103" s="127"/>
      <c r="U103" s="126"/>
      <c r="V103" s="126"/>
      <c r="W103" s="127"/>
      <c r="X103" s="126"/>
      <c r="Y103" s="126"/>
      <c r="Z103" s="127"/>
      <c r="AA103" s="126"/>
      <c r="AB103" s="126"/>
      <c r="AC103" s="127"/>
      <c r="AD103" s="126"/>
      <c r="AE103" s="126"/>
      <c r="AF103" s="126"/>
      <c r="AG103" s="127"/>
      <c r="AH103" s="126"/>
      <c r="AI103" s="126"/>
      <c r="AJ103" s="127"/>
      <c r="AK103" s="126"/>
      <c r="AL103" s="126"/>
      <c r="AM103" s="127"/>
      <c r="AN103" s="126"/>
      <c r="AO103" s="126"/>
      <c r="AP103" s="127"/>
      <c r="AQ103" s="126"/>
      <c r="AR103" s="126"/>
      <c r="AS103" s="127"/>
      <c r="AT103" s="126"/>
      <c r="AU103" s="126"/>
      <c r="AV103" s="127"/>
      <c r="AW103" s="126"/>
      <c r="AX103" s="126"/>
      <c r="AY103" s="127"/>
      <c r="AZ103" s="126"/>
      <c r="BA103" s="126"/>
      <c r="BB103" s="127"/>
      <c r="BC103" s="126"/>
      <c r="BD103" s="134"/>
      <c r="BE103" s="127"/>
      <c r="BF103" s="126"/>
      <c r="BG103" s="126"/>
      <c r="BH103" s="126"/>
      <c r="BI103" s="126"/>
      <c r="BJ103" s="126"/>
      <c r="BK103" s="126"/>
      <c r="BL103" s="126"/>
      <c r="BM103" s="126"/>
      <c r="BN103" s="126"/>
      <c r="BO103" s="126"/>
      <c r="BP103" s="126"/>
      <c r="BQ103" s="126"/>
      <c r="BR103" s="126"/>
      <c r="BS103" s="126"/>
      <c r="BT103" s="126"/>
      <c r="BU103" s="126"/>
      <c r="BV103" s="126"/>
      <c r="BW103" s="126"/>
      <c r="BX103" s="126"/>
    </row>
    <row r="104">
      <c r="A104" s="126"/>
      <c r="B104" s="126"/>
      <c r="C104" s="127"/>
      <c r="D104" s="126"/>
      <c r="E104" s="126"/>
      <c r="F104" s="127"/>
      <c r="G104" s="131" t="s">
        <v>2267</v>
      </c>
      <c r="H104" s="127"/>
      <c r="I104" s="87"/>
      <c r="J104" s="87"/>
      <c r="K104" s="127"/>
      <c r="L104" s="126"/>
      <c r="M104" s="126"/>
      <c r="N104" s="127"/>
      <c r="O104" s="126"/>
      <c r="P104" s="126"/>
      <c r="Q104" s="127"/>
      <c r="R104" s="126"/>
      <c r="S104" s="126"/>
      <c r="T104" s="127"/>
      <c r="U104" s="126"/>
      <c r="V104" s="126"/>
      <c r="W104" s="127"/>
      <c r="X104" s="126"/>
      <c r="Y104" s="126"/>
      <c r="Z104" s="127"/>
      <c r="AA104" s="126"/>
      <c r="AB104" s="126"/>
      <c r="AC104" s="127"/>
      <c r="AD104" s="126"/>
      <c r="AE104" s="126"/>
      <c r="AF104" s="126"/>
      <c r="AG104" s="127"/>
      <c r="AH104" s="126"/>
      <c r="AI104" s="126"/>
      <c r="AJ104" s="127"/>
      <c r="AK104" s="126"/>
      <c r="AL104" s="126"/>
      <c r="AM104" s="127"/>
      <c r="AN104" s="126"/>
      <c r="AO104" s="126"/>
      <c r="AP104" s="127"/>
      <c r="AQ104" s="126"/>
      <c r="AR104" s="126"/>
      <c r="AS104" s="127"/>
      <c r="AT104" s="126"/>
      <c r="AU104" s="126"/>
      <c r="AV104" s="127"/>
      <c r="AW104" s="126"/>
      <c r="AX104" s="126"/>
      <c r="AY104" s="127"/>
      <c r="AZ104" s="126"/>
      <c r="BA104" s="126"/>
      <c r="BB104" s="127"/>
      <c r="BC104" s="126"/>
      <c r="BD104" s="134"/>
      <c r="BE104" s="127"/>
      <c r="BF104" s="126"/>
      <c r="BG104" s="126"/>
      <c r="BH104" s="126"/>
      <c r="BI104" s="126"/>
      <c r="BJ104" s="126"/>
      <c r="BK104" s="126"/>
      <c r="BL104" s="126"/>
      <c r="BM104" s="126"/>
      <c r="BN104" s="126"/>
      <c r="BO104" s="126"/>
      <c r="BP104" s="126"/>
      <c r="BQ104" s="126"/>
      <c r="BR104" s="126"/>
      <c r="BS104" s="126"/>
      <c r="BT104" s="126"/>
      <c r="BU104" s="126"/>
      <c r="BV104" s="126"/>
      <c r="BW104" s="126"/>
      <c r="BX104" s="126"/>
    </row>
    <row r="105">
      <c r="A105" s="126"/>
      <c r="B105" s="126"/>
      <c r="C105" s="127"/>
      <c r="D105" s="126"/>
      <c r="E105" s="126"/>
      <c r="F105" s="127"/>
      <c r="G105" s="131" t="s">
        <v>2280</v>
      </c>
      <c r="H105" s="127"/>
      <c r="I105" s="87"/>
      <c r="J105" s="87"/>
      <c r="K105" s="127"/>
      <c r="L105" s="126"/>
      <c r="M105" s="126"/>
      <c r="N105" s="127"/>
      <c r="O105" s="126"/>
      <c r="P105" s="126"/>
      <c r="Q105" s="127"/>
      <c r="R105" s="126"/>
      <c r="S105" s="126"/>
      <c r="T105" s="127"/>
      <c r="U105" s="126"/>
      <c r="V105" s="126"/>
      <c r="W105" s="127"/>
      <c r="X105" s="126"/>
      <c r="Y105" s="126"/>
      <c r="Z105" s="127"/>
      <c r="AA105" s="126"/>
      <c r="AB105" s="126"/>
      <c r="AC105" s="127"/>
      <c r="AD105" s="126"/>
      <c r="AE105" s="126"/>
      <c r="AF105" s="126"/>
      <c r="AG105" s="127"/>
      <c r="AH105" s="126"/>
      <c r="AI105" s="126"/>
      <c r="AJ105" s="127"/>
      <c r="AK105" s="126"/>
      <c r="AL105" s="126"/>
      <c r="AM105" s="127"/>
      <c r="AN105" s="126"/>
      <c r="AO105" s="126"/>
      <c r="AP105" s="127"/>
      <c r="AQ105" s="126"/>
      <c r="AR105" s="126"/>
      <c r="AS105" s="127"/>
      <c r="AT105" s="126"/>
      <c r="AU105" s="126"/>
      <c r="AV105" s="127"/>
      <c r="AW105" s="126"/>
      <c r="AX105" s="126"/>
      <c r="AY105" s="127"/>
      <c r="AZ105" s="126"/>
      <c r="BA105" s="126"/>
      <c r="BB105" s="127"/>
      <c r="BC105" s="126"/>
      <c r="BD105" s="134"/>
      <c r="BE105" s="127"/>
      <c r="BF105" s="126"/>
      <c r="BG105" s="126"/>
      <c r="BH105" s="126"/>
      <c r="BI105" s="126"/>
      <c r="BJ105" s="126"/>
      <c r="BK105" s="126"/>
      <c r="BL105" s="126"/>
      <c r="BM105" s="126"/>
      <c r="BN105" s="126"/>
      <c r="BO105" s="126"/>
      <c r="BP105" s="126"/>
      <c r="BQ105" s="126"/>
      <c r="BR105" s="126"/>
      <c r="BS105" s="126"/>
      <c r="BT105" s="126"/>
      <c r="BU105" s="126"/>
      <c r="BV105" s="126"/>
      <c r="BW105" s="126"/>
      <c r="BX105" s="126"/>
    </row>
    <row r="106">
      <c r="A106" s="126"/>
      <c r="B106" s="126"/>
      <c r="C106" s="127"/>
      <c r="D106" s="126"/>
      <c r="E106" s="126"/>
      <c r="F106" s="127"/>
      <c r="G106" s="131" t="s">
        <v>149</v>
      </c>
      <c r="H106" s="127"/>
      <c r="I106" s="87"/>
      <c r="J106" s="87"/>
      <c r="K106" s="127"/>
      <c r="L106" s="126"/>
      <c r="M106" s="126"/>
      <c r="N106" s="127"/>
      <c r="O106" s="126"/>
      <c r="P106" s="126"/>
      <c r="Q106" s="127"/>
      <c r="R106" s="126"/>
      <c r="S106" s="126"/>
      <c r="T106" s="127"/>
      <c r="U106" s="126"/>
      <c r="V106" s="126"/>
      <c r="W106" s="127"/>
      <c r="X106" s="126"/>
      <c r="Y106" s="126"/>
      <c r="Z106" s="127"/>
      <c r="AA106" s="126"/>
      <c r="AB106" s="126"/>
      <c r="AC106" s="127"/>
      <c r="AD106" s="126"/>
      <c r="AE106" s="126"/>
      <c r="AF106" s="126"/>
      <c r="AG106" s="127"/>
      <c r="AH106" s="126"/>
      <c r="AI106" s="126"/>
      <c r="AJ106" s="127"/>
      <c r="AK106" s="126"/>
      <c r="AL106" s="126"/>
      <c r="AM106" s="127"/>
      <c r="AN106" s="126"/>
      <c r="AO106" s="126"/>
      <c r="AP106" s="127"/>
      <c r="AQ106" s="126"/>
      <c r="AR106" s="126"/>
      <c r="AS106" s="127"/>
      <c r="AT106" s="126"/>
      <c r="AU106" s="126"/>
      <c r="AV106" s="127"/>
      <c r="AW106" s="126"/>
      <c r="AX106" s="126"/>
      <c r="AY106" s="127"/>
      <c r="AZ106" s="126"/>
      <c r="BA106" s="126"/>
      <c r="BB106" s="127"/>
      <c r="BC106" s="126"/>
      <c r="BD106" s="134"/>
      <c r="BE106" s="127"/>
      <c r="BF106" s="126"/>
      <c r="BG106" s="126"/>
      <c r="BH106" s="126"/>
      <c r="BI106" s="126"/>
      <c r="BJ106" s="126"/>
      <c r="BK106" s="126"/>
      <c r="BL106" s="126"/>
      <c r="BM106" s="126"/>
      <c r="BN106" s="126"/>
      <c r="BO106" s="126"/>
      <c r="BP106" s="126"/>
      <c r="BQ106" s="126"/>
      <c r="BR106" s="126"/>
      <c r="BS106" s="126"/>
      <c r="BT106" s="126"/>
      <c r="BU106" s="126"/>
      <c r="BV106" s="126"/>
      <c r="BW106" s="126"/>
      <c r="BX106" s="126"/>
    </row>
    <row r="107">
      <c r="A107" s="126"/>
      <c r="B107" s="126"/>
      <c r="C107" s="127"/>
      <c r="D107" s="126"/>
      <c r="E107" s="126"/>
      <c r="F107" s="127"/>
      <c r="G107" s="87"/>
      <c r="H107" s="127"/>
      <c r="I107" s="87"/>
      <c r="J107" s="87"/>
      <c r="K107" s="127"/>
      <c r="L107" s="126"/>
      <c r="M107" s="126"/>
      <c r="N107" s="127"/>
      <c r="O107" s="126"/>
      <c r="P107" s="126"/>
      <c r="Q107" s="127"/>
      <c r="R107" s="126"/>
      <c r="S107" s="126"/>
      <c r="T107" s="127"/>
      <c r="U107" s="126"/>
      <c r="V107" s="126"/>
      <c r="W107" s="127"/>
      <c r="X107" s="126"/>
      <c r="Y107" s="126"/>
      <c r="Z107" s="127"/>
      <c r="AA107" s="126"/>
      <c r="AB107" s="126"/>
      <c r="AC107" s="127"/>
      <c r="AD107" s="126"/>
      <c r="AE107" s="126"/>
      <c r="AF107" s="126"/>
      <c r="AG107" s="127"/>
      <c r="AH107" s="126"/>
      <c r="AI107" s="126"/>
      <c r="AJ107" s="127"/>
      <c r="AK107" s="126"/>
      <c r="AL107" s="126"/>
      <c r="AM107" s="127"/>
      <c r="AN107" s="126"/>
      <c r="AO107" s="126"/>
      <c r="AP107" s="127"/>
      <c r="AQ107" s="126"/>
      <c r="AR107" s="126"/>
      <c r="AS107" s="127"/>
      <c r="AT107" s="126"/>
      <c r="AU107" s="126"/>
      <c r="AV107" s="127"/>
      <c r="AW107" s="126"/>
      <c r="AX107" s="126"/>
      <c r="AY107" s="127"/>
      <c r="AZ107" s="126"/>
      <c r="BA107" s="126"/>
      <c r="BB107" s="127"/>
      <c r="BC107" s="126"/>
      <c r="BD107" s="134"/>
      <c r="BE107" s="127"/>
      <c r="BF107" s="126"/>
      <c r="BG107" s="126"/>
      <c r="BH107" s="126"/>
      <c r="BI107" s="126"/>
      <c r="BJ107" s="126"/>
      <c r="BK107" s="126"/>
      <c r="BL107" s="126"/>
      <c r="BM107" s="126"/>
      <c r="BN107" s="126"/>
      <c r="BO107" s="126"/>
      <c r="BP107" s="126"/>
      <c r="BQ107" s="126"/>
      <c r="BR107" s="126"/>
      <c r="BS107" s="126"/>
      <c r="BT107" s="126"/>
      <c r="BU107" s="126"/>
      <c r="BV107" s="126"/>
      <c r="BW107" s="126"/>
      <c r="BX107" s="126"/>
    </row>
    <row r="108">
      <c r="A108" s="126"/>
      <c r="B108" s="126"/>
      <c r="C108" s="127"/>
      <c r="D108" s="126"/>
      <c r="E108" s="126"/>
      <c r="F108" s="127"/>
      <c r="G108" s="87"/>
      <c r="H108" s="127"/>
      <c r="I108" s="87"/>
      <c r="J108" s="87"/>
      <c r="K108" s="127"/>
      <c r="L108" s="126"/>
      <c r="M108" s="126"/>
      <c r="N108" s="127"/>
      <c r="O108" s="126"/>
      <c r="P108" s="126"/>
      <c r="Q108" s="127"/>
      <c r="R108" s="126"/>
      <c r="S108" s="126"/>
      <c r="T108" s="127"/>
      <c r="U108" s="126"/>
      <c r="V108" s="126"/>
      <c r="W108" s="127"/>
      <c r="X108" s="126"/>
      <c r="Y108" s="126"/>
      <c r="Z108" s="127"/>
      <c r="AA108" s="126"/>
      <c r="AB108" s="126"/>
      <c r="AC108" s="127"/>
      <c r="AD108" s="126"/>
      <c r="AE108" s="126"/>
      <c r="AF108" s="126"/>
      <c r="AG108" s="127"/>
      <c r="AH108" s="126"/>
      <c r="AI108" s="126"/>
      <c r="AJ108" s="127"/>
      <c r="AK108" s="126"/>
      <c r="AL108" s="126"/>
      <c r="AM108" s="127"/>
      <c r="AN108" s="126"/>
      <c r="AO108" s="126"/>
      <c r="AP108" s="127"/>
      <c r="AQ108" s="126"/>
      <c r="AR108" s="126"/>
      <c r="AS108" s="127"/>
      <c r="AT108" s="126"/>
      <c r="AU108" s="126"/>
      <c r="AV108" s="127"/>
      <c r="AW108" s="126"/>
      <c r="AX108" s="126"/>
      <c r="AY108" s="127"/>
      <c r="AZ108" s="126"/>
      <c r="BA108" s="126"/>
      <c r="BB108" s="127"/>
      <c r="BC108" s="126"/>
      <c r="BD108" s="134"/>
      <c r="BE108" s="127"/>
      <c r="BF108" s="126"/>
      <c r="BG108" s="126"/>
      <c r="BH108" s="126"/>
      <c r="BI108" s="126"/>
      <c r="BJ108" s="126"/>
      <c r="BK108" s="126"/>
      <c r="BL108" s="126"/>
      <c r="BM108" s="126"/>
      <c r="BN108" s="126"/>
      <c r="BO108" s="126"/>
      <c r="BP108" s="126"/>
      <c r="BQ108" s="126"/>
      <c r="BR108" s="126"/>
      <c r="BS108" s="126"/>
      <c r="BT108" s="126"/>
      <c r="BU108" s="126"/>
      <c r="BV108" s="126"/>
      <c r="BW108" s="126"/>
      <c r="BX108" s="126"/>
    </row>
    <row r="109">
      <c r="A109" s="126"/>
      <c r="B109" s="126"/>
      <c r="C109" s="127"/>
      <c r="D109" s="126"/>
      <c r="E109" s="126"/>
      <c r="F109" s="127"/>
      <c r="G109" s="87"/>
      <c r="H109" s="127"/>
      <c r="I109" s="87"/>
      <c r="J109" s="87"/>
      <c r="K109" s="127"/>
      <c r="L109" s="126"/>
      <c r="M109" s="126"/>
      <c r="N109" s="127"/>
      <c r="O109" s="126"/>
      <c r="P109" s="126"/>
      <c r="Q109" s="127"/>
      <c r="R109" s="126"/>
      <c r="S109" s="126"/>
      <c r="T109" s="127"/>
      <c r="U109" s="126"/>
      <c r="V109" s="126"/>
      <c r="W109" s="127"/>
      <c r="X109" s="126"/>
      <c r="Y109" s="126"/>
      <c r="Z109" s="127"/>
      <c r="AA109" s="126"/>
      <c r="AB109" s="126"/>
      <c r="AC109" s="127"/>
      <c r="AD109" s="126"/>
      <c r="AE109" s="126"/>
      <c r="AF109" s="126"/>
      <c r="AG109" s="127"/>
      <c r="AH109" s="126"/>
      <c r="AI109" s="126"/>
      <c r="AJ109" s="127"/>
      <c r="AK109" s="126"/>
      <c r="AL109" s="126"/>
      <c r="AM109" s="127"/>
      <c r="AN109" s="126"/>
      <c r="AO109" s="126"/>
      <c r="AP109" s="127"/>
      <c r="AQ109" s="126"/>
      <c r="AR109" s="126"/>
      <c r="AS109" s="127"/>
      <c r="AT109" s="126"/>
      <c r="AU109" s="126"/>
      <c r="AV109" s="127"/>
      <c r="AW109" s="126"/>
      <c r="AX109" s="126"/>
      <c r="AY109" s="127"/>
      <c r="AZ109" s="126"/>
      <c r="BA109" s="126"/>
      <c r="BB109" s="127"/>
      <c r="BC109" s="126"/>
      <c r="BD109" s="134"/>
      <c r="BE109" s="127"/>
      <c r="BF109" s="126"/>
      <c r="BG109" s="126"/>
      <c r="BH109" s="126"/>
      <c r="BI109" s="126"/>
      <c r="BJ109" s="126"/>
      <c r="BK109" s="126"/>
      <c r="BL109" s="126"/>
      <c r="BM109" s="126"/>
      <c r="BN109" s="126"/>
      <c r="BO109" s="126"/>
      <c r="BP109" s="126"/>
      <c r="BQ109" s="126"/>
      <c r="BR109" s="126"/>
      <c r="BS109" s="126"/>
      <c r="BT109" s="126"/>
      <c r="BU109" s="126"/>
      <c r="BV109" s="126"/>
      <c r="BW109" s="126"/>
      <c r="BX109" s="126"/>
    </row>
    <row r="110">
      <c r="A110" s="126"/>
      <c r="B110" s="126"/>
      <c r="C110" s="127"/>
      <c r="D110" s="126"/>
      <c r="E110" s="126"/>
      <c r="F110" s="127"/>
      <c r="G110" s="87"/>
      <c r="H110" s="127"/>
      <c r="I110" s="87"/>
      <c r="J110" s="87"/>
      <c r="K110" s="127"/>
      <c r="L110" s="126"/>
      <c r="M110" s="126"/>
      <c r="N110" s="127"/>
      <c r="O110" s="126"/>
      <c r="P110" s="126"/>
      <c r="Q110" s="127"/>
      <c r="R110" s="126"/>
      <c r="S110" s="126"/>
      <c r="T110" s="127"/>
      <c r="U110" s="126"/>
      <c r="V110" s="126"/>
      <c r="W110" s="127"/>
      <c r="X110" s="126"/>
      <c r="Y110" s="126"/>
      <c r="Z110" s="127"/>
      <c r="AA110" s="126"/>
      <c r="AB110" s="126"/>
      <c r="AC110" s="127"/>
      <c r="AD110" s="126"/>
      <c r="AE110" s="126"/>
      <c r="AF110" s="126"/>
      <c r="AG110" s="127"/>
      <c r="AH110" s="126"/>
      <c r="AI110" s="126"/>
      <c r="AJ110" s="127"/>
      <c r="AK110" s="126"/>
      <c r="AL110" s="126"/>
      <c r="AM110" s="127"/>
      <c r="AN110" s="126"/>
      <c r="AO110" s="126"/>
      <c r="AP110" s="127"/>
      <c r="AQ110" s="126"/>
      <c r="AR110" s="126"/>
      <c r="AS110" s="127"/>
      <c r="AT110" s="126"/>
      <c r="AU110" s="126"/>
      <c r="AV110" s="127"/>
      <c r="AW110" s="126"/>
      <c r="AX110" s="126"/>
      <c r="AY110" s="127"/>
      <c r="AZ110" s="126"/>
      <c r="BA110" s="126"/>
      <c r="BB110" s="127"/>
      <c r="BC110" s="126"/>
      <c r="BD110" s="134"/>
      <c r="BE110" s="127"/>
      <c r="BF110" s="126"/>
      <c r="BG110" s="126"/>
      <c r="BH110" s="126"/>
      <c r="BI110" s="126"/>
      <c r="BJ110" s="126"/>
      <c r="BK110" s="126"/>
      <c r="BL110" s="126"/>
      <c r="BM110" s="126"/>
      <c r="BN110" s="126"/>
      <c r="BO110" s="126"/>
      <c r="BP110" s="126"/>
      <c r="BQ110" s="126"/>
      <c r="BR110" s="126"/>
      <c r="BS110" s="126"/>
      <c r="BT110" s="126"/>
      <c r="BU110" s="126"/>
      <c r="BV110" s="126"/>
      <c r="BW110" s="126"/>
      <c r="BX110" s="126"/>
    </row>
    <row r="111">
      <c r="A111" s="126"/>
      <c r="B111" s="126"/>
      <c r="C111" s="127"/>
      <c r="D111" s="126"/>
      <c r="E111" s="126"/>
      <c r="F111" s="127"/>
      <c r="G111" s="87"/>
      <c r="H111" s="127"/>
      <c r="I111" s="87"/>
      <c r="J111" s="87"/>
      <c r="K111" s="127"/>
      <c r="L111" s="126"/>
      <c r="M111" s="126"/>
      <c r="N111" s="127"/>
      <c r="O111" s="126"/>
      <c r="P111" s="126"/>
      <c r="Q111" s="127"/>
      <c r="R111" s="126"/>
      <c r="S111" s="126"/>
      <c r="T111" s="127"/>
      <c r="U111" s="126"/>
      <c r="V111" s="126"/>
      <c r="W111" s="127"/>
      <c r="X111" s="126"/>
      <c r="Y111" s="126"/>
      <c r="Z111" s="127"/>
      <c r="AA111" s="126"/>
      <c r="AB111" s="126"/>
      <c r="AC111" s="127"/>
      <c r="AD111" s="126"/>
      <c r="AE111" s="126"/>
      <c r="AF111" s="126"/>
      <c r="AG111" s="127"/>
      <c r="AH111" s="126"/>
      <c r="AI111" s="126"/>
      <c r="AJ111" s="127"/>
      <c r="AK111" s="126"/>
      <c r="AL111" s="126"/>
      <c r="AM111" s="127"/>
      <c r="AN111" s="126"/>
      <c r="AO111" s="126"/>
      <c r="AP111" s="127"/>
      <c r="AQ111" s="126"/>
      <c r="AR111" s="126"/>
      <c r="AS111" s="127"/>
      <c r="AT111" s="126"/>
      <c r="AU111" s="126"/>
      <c r="AV111" s="127"/>
      <c r="AW111" s="126"/>
      <c r="AX111" s="126"/>
      <c r="AY111" s="127"/>
      <c r="AZ111" s="126"/>
      <c r="BA111" s="126"/>
      <c r="BB111" s="127"/>
      <c r="BC111" s="126"/>
      <c r="BD111" s="134"/>
      <c r="BE111" s="127"/>
      <c r="BF111" s="126"/>
      <c r="BG111" s="126"/>
      <c r="BH111" s="126"/>
      <c r="BI111" s="126"/>
      <c r="BJ111" s="126"/>
      <c r="BK111" s="126"/>
      <c r="BL111" s="126"/>
      <c r="BM111" s="126"/>
      <c r="BN111" s="126"/>
      <c r="BO111" s="126"/>
      <c r="BP111" s="126"/>
      <c r="BQ111" s="126"/>
      <c r="BR111" s="126"/>
      <c r="BS111" s="126"/>
      <c r="BT111" s="126"/>
      <c r="BU111" s="126"/>
      <c r="BV111" s="126"/>
      <c r="BW111" s="126"/>
      <c r="BX111" s="126"/>
    </row>
    <row r="112">
      <c r="A112" s="126"/>
      <c r="B112" s="126"/>
      <c r="C112" s="127"/>
      <c r="D112" s="126"/>
      <c r="E112" s="126"/>
      <c r="F112" s="127"/>
      <c r="G112" s="87"/>
      <c r="H112" s="127"/>
      <c r="I112" s="87"/>
      <c r="J112" s="87"/>
      <c r="K112" s="127"/>
      <c r="L112" s="126"/>
      <c r="M112" s="126"/>
      <c r="N112" s="127"/>
      <c r="O112" s="126"/>
      <c r="P112" s="126"/>
      <c r="Q112" s="127"/>
      <c r="R112" s="126"/>
      <c r="S112" s="126"/>
      <c r="T112" s="127"/>
      <c r="U112" s="126"/>
      <c r="V112" s="126"/>
      <c r="W112" s="127"/>
      <c r="X112" s="126"/>
      <c r="Y112" s="126"/>
      <c r="Z112" s="127"/>
      <c r="AA112" s="126"/>
      <c r="AB112" s="126"/>
      <c r="AC112" s="127"/>
      <c r="AD112" s="126"/>
      <c r="AE112" s="126"/>
      <c r="AF112" s="126"/>
      <c r="AG112" s="127"/>
      <c r="AH112" s="126"/>
      <c r="AI112" s="126"/>
      <c r="AJ112" s="127"/>
      <c r="AK112" s="126"/>
      <c r="AL112" s="126"/>
      <c r="AM112" s="127"/>
      <c r="AN112" s="126"/>
      <c r="AO112" s="126"/>
      <c r="AP112" s="127"/>
      <c r="AQ112" s="126"/>
      <c r="AR112" s="126"/>
      <c r="AS112" s="127"/>
      <c r="AT112" s="126"/>
      <c r="AU112" s="126"/>
      <c r="AV112" s="127"/>
      <c r="AW112" s="126"/>
      <c r="AX112" s="126"/>
      <c r="AY112" s="127"/>
      <c r="AZ112" s="126"/>
      <c r="BA112" s="126"/>
      <c r="BB112" s="127"/>
      <c r="BC112" s="126"/>
      <c r="BD112" s="134"/>
      <c r="BE112" s="127"/>
      <c r="BF112" s="126"/>
      <c r="BG112" s="126"/>
      <c r="BH112" s="126"/>
      <c r="BI112" s="126"/>
      <c r="BJ112" s="126"/>
      <c r="BK112" s="126"/>
      <c r="BL112" s="126"/>
      <c r="BM112" s="126"/>
      <c r="BN112" s="126"/>
      <c r="BO112" s="126"/>
      <c r="BP112" s="126"/>
      <c r="BQ112" s="126"/>
      <c r="BR112" s="126"/>
      <c r="BS112" s="126"/>
      <c r="BT112" s="126"/>
      <c r="BU112" s="126"/>
      <c r="BV112" s="126"/>
      <c r="BW112" s="126"/>
      <c r="BX112" s="126"/>
    </row>
    <row r="113">
      <c r="A113" s="126"/>
      <c r="B113" s="126"/>
      <c r="C113" s="127"/>
      <c r="D113" s="126"/>
      <c r="E113" s="126"/>
      <c r="F113" s="127"/>
      <c r="G113" s="87"/>
      <c r="H113" s="127"/>
      <c r="I113" s="87"/>
      <c r="J113" s="87"/>
      <c r="K113" s="127"/>
      <c r="L113" s="126"/>
      <c r="M113" s="126"/>
      <c r="N113" s="127"/>
      <c r="O113" s="126"/>
      <c r="P113" s="126"/>
      <c r="Q113" s="127"/>
      <c r="R113" s="126"/>
      <c r="S113" s="126"/>
      <c r="T113" s="127"/>
      <c r="U113" s="126"/>
      <c r="V113" s="126"/>
      <c r="W113" s="127"/>
      <c r="X113" s="126"/>
      <c r="Y113" s="126"/>
      <c r="Z113" s="127"/>
      <c r="AA113" s="126"/>
      <c r="AB113" s="126"/>
      <c r="AC113" s="127"/>
      <c r="AD113" s="126"/>
      <c r="AE113" s="126"/>
      <c r="AF113" s="126"/>
      <c r="AG113" s="127"/>
      <c r="AH113" s="126"/>
      <c r="AI113" s="126"/>
      <c r="AJ113" s="127"/>
      <c r="AK113" s="126"/>
      <c r="AL113" s="126"/>
      <c r="AM113" s="127"/>
      <c r="AN113" s="126"/>
      <c r="AO113" s="126"/>
      <c r="AP113" s="127"/>
      <c r="AQ113" s="126"/>
      <c r="AR113" s="126"/>
      <c r="AS113" s="127"/>
      <c r="AT113" s="126"/>
      <c r="AU113" s="126"/>
      <c r="AV113" s="127"/>
      <c r="AW113" s="126"/>
      <c r="AX113" s="126"/>
      <c r="AY113" s="127"/>
      <c r="AZ113" s="126"/>
      <c r="BA113" s="126"/>
      <c r="BB113" s="127"/>
      <c r="BC113" s="126"/>
      <c r="BD113" s="134"/>
      <c r="BE113" s="127"/>
      <c r="BF113" s="126"/>
      <c r="BG113" s="126"/>
      <c r="BH113" s="126"/>
      <c r="BI113" s="126"/>
      <c r="BJ113" s="126"/>
      <c r="BK113" s="126"/>
      <c r="BL113" s="126"/>
      <c r="BM113" s="126"/>
      <c r="BN113" s="126"/>
      <c r="BO113" s="126"/>
      <c r="BP113" s="126"/>
      <c r="BQ113" s="126"/>
      <c r="BR113" s="126"/>
      <c r="BS113" s="126"/>
      <c r="BT113" s="126"/>
      <c r="BU113" s="126"/>
      <c r="BV113" s="126"/>
      <c r="BW113" s="126"/>
      <c r="BX113" s="126"/>
    </row>
    <row r="114">
      <c r="A114" s="126"/>
      <c r="B114" s="126"/>
      <c r="C114" s="127"/>
      <c r="D114" s="126"/>
      <c r="E114" s="126"/>
      <c r="F114" s="127"/>
      <c r="G114" s="87"/>
      <c r="H114" s="127"/>
      <c r="I114" s="87"/>
      <c r="J114" s="87"/>
      <c r="K114" s="127"/>
      <c r="L114" s="126"/>
      <c r="M114" s="126"/>
      <c r="N114" s="127"/>
      <c r="O114" s="126"/>
      <c r="P114" s="126"/>
      <c r="Q114" s="127"/>
      <c r="R114" s="126"/>
      <c r="S114" s="126"/>
      <c r="T114" s="127"/>
      <c r="U114" s="126"/>
      <c r="V114" s="126"/>
      <c r="W114" s="127"/>
      <c r="X114" s="126"/>
      <c r="Y114" s="126"/>
      <c r="Z114" s="127"/>
      <c r="AA114" s="126"/>
      <c r="AB114" s="126"/>
      <c r="AC114" s="127"/>
      <c r="AD114" s="126"/>
      <c r="AE114" s="126"/>
      <c r="AF114" s="126"/>
      <c r="AG114" s="127"/>
      <c r="AH114" s="126"/>
      <c r="AI114" s="126"/>
      <c r="AJ114" s="127"/>
      <c r="AK114" s="126"/>
      <c r="AL114" s="126"/>
      <c r="AM114" s="127"/>
      <c r="AN114" s="126"/>
      <c r="AO114" s="126"/>
      <c r="AP114" s="127"/>
      <c r="AQ114" s="126"/>
      <c r="AR114" s="126"/>
      <c r="AS114" s="127"/>
      <c r="AT114" s="126"/>
      <c r="AU114" s="126"/>
      <c r="AV114" s="127"/>
      <c r="AW114" s="126"/>
      <c r="AX114" s="126"/>
      <c r="AY114" s="127"/>
      <c r="AZ114" s="126"/>
      <c r="BA114" s="126"/>
      <c r="BB114" s="127"/>
      <c r="BC114" s="126"/>
      <c r="BD114" s="134"/>
      <c r="BE114" s="127"/>
      <c r="BF114" s="126"/>
      <c r="BG114" s="126"/>
      <c r="BH114" s="126"/>
      <c r="BI114" s="126"/>
      <c r="BJ114" s="126"/>
      <c r="BK114" s="126"/>
      <c r="BL114" s="126"/>
      <c r="BM114" s="126"/>
      <c r="BN114" s="126"/>
      <c r="BO114" s="126"/>
      <c r="BP114" s="126"/>
      <c r="BQ114" s="126"/>
      <c r="BR114" s="126"/>
      <c r="BS114" s="126"/>
      <c r="BT114" s="126"/>
      <c r="BU114" s="126"/>
      <c r="BV114" s="126"/>
      <c r="BW114" s="126"/>
      <c r="BX114" s="126"/>
    </row>
    <row r="115">
      <c r="A115" s="126"/>
      <c r="B115" s="126"/>
      <c r="C115" s="127"/>
      <c r="D115" s="126"/>
      <c r="E115" s="126"/>
      <c r="F115" s="127"/>
      <c r="G115" s="87"/>
      <c r="H115" s="127"/>
      <c r="I115" s="87"/>
      <c r="J115" s="87"/>
      <c r="K115" s="127"/>
      <c r="L115" s="126"/>
      <c r="M115" s="126"/>
      <c r="N115" s="127"/>
      <c r="O115" s="126"/>
      <c r="P115" s="126"/>
      <c r="Q115" s="127"/>
      <c r="R115" s="126"/>
      <c r="S115" s="126"/>
      <c r="T115" s="127"/>
      <c r="U115" s="126"/>
      <c r="V115" s="126"/>
      <c r="W115" s="127"/>
      <c r="X115" s="126"/>
      <c r="Y115" s="126"/>
      <c r="Z115" s="127"/>
      <c r="AA115" s="126"/>
      <c r="AB115" s="126"/>
      <c r="AC115" s="127"/>
      <c r="AD115" s="126"/>
      <c r="AE115" s="126"/>
      <c r="AF115" s="126"/>
      <c r="AG115" s="127"/>
      <c r="AH115" s="126"/>
      <c r="AI115" s="126"/>
      <c r="AJ115" s="127"/>
      <c r="AK115" s="126"/>
      <c r="AL115" s="126"/>
      <c r="AM115" s="127"/>
      <c r="AN115" s="126"/>
      <c r="AO115" s="126"/>
      <c r="AP115" s="127"/>
      <c r="AQ115" s="126"/>
      <c r="AR115" s="126"/>
      <c r="AS115" s="127"/>
      <c r="AT115" s="126"/>
      <c r="AU115" s="126"/>
      <c r="AV115" s="127"/>
      <c r="AW115" s="126"/>
      <c r="AX115" s="126"/>
      <c r="AY115" s="127"/>
      <c r="AZ115" s="126"/>
      <c r="BA115" s="126"/>
      <c r="BB115" s="127"/>
      <c r="BC115" s="126"/>
      <c r="BD115" s="134"/>
      <c r="BE115" s="127"/>
      <c r="BF115" s="126"/>
      <c r="BG115" s="126"/>
      <c r="BH115" s="126"/>
      <c r="BI115" s="126"/>
      <c r="BJ115" s="126"/>
      <c r="BK115" s="126"/>
      <c r="BL115" s="126"/>
      <c r="BM115" s="126"/>
      <c r="BN115" s="126"/>
      <c r="BO115" s="126"/>
      <c r="BP115" s="126"/>
      <c r="BQ115" s="126"/>
      <c r="BR115" s="126"/>
      <c r="BS115" s="126"/>
      <c r="BT115" s="126"/>
      <c r="BU115" s="126"/>
      <c r="BV115" s="126"/>
      <c r="BW115" s="126"/>
      <c r="BX115" s="126"/>
    </row>
    <row r="116">
      <c r="A116" s="126"/>
      <c r="B116" s="126"/>
      <c r="C116" s="127"/>
      <c r="D116" s="126"/>
      <c r="E116" s="126"/>
      <c r="F116" s="127"/>
      <c r="G116" s="87"/>
      <c r="H116" s="127"/>
      <c r="I116" s="87"/>
      <c r="J116" s="87"/>
      <c r="K116" s="127"/>
      <c r="L116" s="126"/>
      <c r="M116" s="126"/>
      <c r="N116" s="127"/>
      <c r="O116" s="126"/>
      <c r="P116" s="126"/>
      <c r="Q116" s="127"/>
      <c r="R116" s="126"/>
      <c r="S116" s="126"/>
      <c r="T116" s="127"/>
      <c r="U116" s="126"/>
      <c r="V116" s="126"/>
      <c r="W116" s="127"/>
      <c r="X116" s="126"/>
      <c r="Y116" s="126"/>
      <c r="Z116" s="127"/>
      <c r="AA116" s="126"/>
      <c r="AB116" s="126"/>
      <c r="AC116" s="127"/>
      <c r="AD116" s="126"/>
      <c r="AE116" s="126"/>
      <c r="AF116" s="126"/>
      <c r="AG116" s="127"/>
      <c r="AH116" s="126"/>
      <c r="AI116" s="126"/>
      <c r="AJ116" s="127"/>
      <c r="AK116" s="126"/>
      <c r="AL116" s="126"/>
      <c r="AM116" s="127"/>
      <c r="AN116" s="126"/>
      <c r="AO116" s="126"/>
      <c r="AP116" s="127"/>
      <c r="AQ116" s="126"/>
      <c r="AR116" s="126"/>
      <c r="AS116" s="127"/>
      <c r="AT116" s="126"/>
      <c r="AU116" s="126"/>
      <c r="AV116" s="127"/>
      <c r="AW116" s="126"/>
      <c r="AX116" s="126"/>
      <c r="AY116" s="127"/>
      <c r="AZ116" s="126"/>
      <c r="BA116" s="126"/>
      <c r="BB116" s="127"/>
      <c r="BC116" s="126"/>
      <c r="BD116" s="134"/>
      <c r="BE116" s="127"/>
      <c r="BF116" s="126"/>
      <c r="BG116" s="126"/>
      <c r="BH116" s="126"/>
      <c r="BI116" s="126"/>
      <c r="BJ116" s="126"/>
      <c r="BK116" s="126"/>
      <c r="BL116" s="126"/>
      <c r="BM116" s="126"/>
      <c r="BN116" s="126"/>
      <c r="BO116" s="126"/>
      <c r="BP116" s="126"/>
      <c r="BQ116" s="126"/>
      <c r="BR116" s="126"/>
      <c r="BS116" s="126"/>
      <c r="BT116" s="126"/>
      <c r="BU116" s="126"/>
      <c r="BV116" s="126"/>
      <c r="BW116" s="126"/>
      <c r="BX116" s="126"/>
    </row>
    <row r="117">
      <c r="A117" s="126"/>
      <c r="B117" s="126"/>
      <c r="C117" s="127"/>
      <c r="D117" s="126"/>
      <c r="E117" s="126"/>
      <c r="F117" s="127"/>
      <c r="G117" s="87"/>
      <c r="H117" s="127"/>
      <c r="I117" s="87"/>
      <c r="J117" s="87"/>
      <c r="K117" s="127"/>
      <c r="L117" s="126"/>
      <c r="M117" s="126"/>
      <c r="N117" s="127"/>
      <c r="O117" s="126"/>
      <c r="P117" s="126"/>
      <c r="Q117" s="127"/>
      <c r="R117" s="126"/>
      <c r="S117" s="126"/>
      <c r="T117" s="127"/>
      <c r="U117" s="126"/>
      <c r="V117" s="126"/>
      <c r="W117" s="127"/>
      <c r="X117" s="126"/>
      <c r="Y117" s="126"/>
      <c r="Z117" s="127"/>
      <c r="AA117" s="126"/>
      <c r="AB117" s="126"/>
      <c r="AC117" s="127"/>
      <c r="AD117" s="126"/>
      <c r="AE117" s="126"/>
      <c r="AF117" s="126"/>
      <c r="AG117" s="127"/>
      <c r="AH117" s="126"/>
      <c r="AI117" s="126"/>
      <c r="AJ117" s="127"/>
      <c r="AK117" s="126"/>
      <c r="AL117" s="126"/>
      <c r="AM117" s="127"/>
      <c r="AN117" s="126"/>
      <c r="AO117" s="126"/>
      <c r="AP117" s="127"/>
      <c r="AQ117" s="126"/>
      <c r="AR117" s="126"/>
      <c r="AS117" s="127"/>
      <c r="AT117" s="126"/>
      <c r="AU117" s="126"/>
      <c r="AV117" s="127"/>
      <c r="AW117" s="126"/>
      <c r="AX117" s="126"/>
      <c r="AY117" s="127"/>
      <c r="AZ117" s="126"/>
      <c r="BA117" s="126"/>
      <c r="BB117" s="127"/>
      <c r="BC117" s="126"/>
      <c r="BD117" s="134"/>
      <c r="BE117" s="127"/>
      <c r="BF117" s="126"/>
      <c r="BG117" s="126"/>
      <c r="BH117" s="126"/>
      <c r="BI117" s="126"/>
      <c r="BJ117" s="126"/>
      <c r="BK117" s="126"/>
      <c r="BL117" s="126"/>
      <c r="BM117" s="126"/>
      <c r="BN117" s="126"/>
      <c r="BO117" s="126"/>
      <c r="BP117" s="126"/>
      <c r="BQ117" s="126"/>
      <c r="BR117" s="126"/>
      <c r="BS117" s="126"/>
      <c r="BT117" s="126"/>
      <c r="BU117" s="126"/>
      <c r="BV117" s="126"/>
      <c r="BW117" s="126"/>
      <c r="BX117" s="126"/>
    </row>
    <row r="118">
      <c r="A118" s="126"/>
      <c r="B118" s="126"/>
      <c r="C118" s="127"/>
      <c r="D118" s="126"/>
      <c r="E118" s="126"/>
      <c r="F118" s="127"/>
      <c r="G118" s="87"/>
      <c r="H118" s="127"/>
      <c r="I118" s="87"/>
      <c r="J118" s="87"/>
      <c r="K118" s="127"/>
      <c r="L118" s="126"/>
      <c r="M118" s="126"/>
      <c r="N118" s="127"/>
      <c r="O118" s="126"/>
      <c r="P118" s="126"/>
      <c r="Q118" s="127"/>
      <c r="R118" s="126"/>
      <c r="S118" s="126"/>
      <c r="T118" s="127"/>
      <c r="U118" s="126"/>
      <c r="V118" s="126"/>
      <c r="W118" s="127"/>
      <c r="X118" s="126"/>
      <c r="Y118" s="126"/>
      <c r="Z118" s="127"/>
      <c r="AA118" s="126"/>
      <c r="AB118" s="126"/>
      <c r="AC118" s="127"/>
      <c r="AD118" s="126"/>
      <c r="AE118" s="126"/>
      <c r="AF118" s="126"/>
      <c r="AG118" s="127"/>
      <c r="AH118" s="126"/>
      <c r="AI118" s="126"/>
      <c r="AJ118" s="127"/>
      <c r="AK118" s="126"/>
      <c r="AL118" s="126"/>
      <c r="AM118" s="127"/>
      <c r="AN118" s="126"/>
      <c r="AO118" s="126"/>
      <c r="AP118" s="127"/>
      <c r="AQ118" s="126"/>
      <c r="AR118" s="126"/>
      <c r="AS118" s="127"/>
      <c r="AT118" s="126"/>
      <c r="AU118" s="126"/>
      <c r="AV118" s="127"/>
      <c r="AW118" s="126"/>
      <c r="AX118" s="126"/>
      <c r="AY118" s="127"/>
      <c r="AZ118" s="126"/>
      <c r="BA118" s="126"/>
      <c r="BB118" s="127"/>
      <c r="BC118" s="126"/>
      <c r="BD118" s="134"/>
      <c r="BE118" s="127"/>
      <c r="BF118" s="126"/>
      <c r="BG118" s="126"/>
      <c r="BH118" s="126"/>
      <c r="BI118" s="126"/>
      <c r="BJ118" s="126"/>
      <c r="BK118" s="126"/>
      <c r="BL118" s="126"/>
      <c r="BM118" s="126"/>
      <c r="BN118" s="126"/>
      <c r="BO118" s="126"/>
      <c r="BP118" s="126"/>
      <c r="BQ118" s="126"/>
      <c r="BR118" s="126"/>
      <c r="BS118" s="126"/>
      <c r="BT118" s="126"/>
      <c r="BU118" s="126"/>
      <c r="BV118" s="126"/>
      <c r="BW118" s="126"/>
      <c r="BX118" s="126"/>
    </row>
    <row r="119">
      <c r="A119" s="126"/>
      <c r="B119" s="126"/>
      <c r="C119" s="127"/>
      <c r="D119" s="126"/>
      <c r="E119" s="126"/>
      <c r="F119" s="127"/>
      <c r="G119" s="87"/>
      <c r="H119" s="127"/>
      <c r="I119" s="87"/>
      <c r="J119" s="87"/>
      <c r="K119" s="127"/>
      <c r="L119" s="126"/>
      <c r="M119" s="126"/>
      <c r="N119" s="127"/>
      <c r="O119" s="126"/>
      <c r="P119" s="126"/>
      <c r="Q119" s="127"/>
      <c r="R119" s="126"/>
      <c r="S119" s="126"/>
      <c r="T119" s="127"/>
      <c r="U119" s="126"/>
      <c r="V119" s="126"/>
      <c r="W119" s="127"/>
      <c r="X119" s="126"/>
      <c r="Y119" s="126"/>
      <c r="Z119" s="127"/>
      <c r="AA119" s="126"/>
      <c r="AB119" s="126"/>
      <c r="AC119" s="127"/>
      <c r="AD119" s="126"/>
      <c r="AE119" s="126"/>
      <c r="AF119" s="126"/>
      <c r="AG119" s="127"/>
      <c r="AH119" s="126"/>
      <c r="AI119" s="126"/>
      <c r="AJ119" s="127"/>
      <c r="AK119" s="126"/>
      <c r="AL119" s="126"/>
      <c r="AM119" s="127"/>
      <c r="AN119" s="126"/>
      <c r="AO119" s="126"/>
      <c r="AP119" s="127"/>
      <c r="AQ119" s="126"/>
      <c r="AR119" s="126"/>
      <c r="AS119" s="127"/>
      <c r="AT119" s="126"/>
      <c r="AU119" s="126"/>
      <c r="AV119" s="127"/>
      <c r="AW119" s="126"/>
      <c r="AX119" s="126"/>
      <c r="AY119" s="127"/>
      <c r="AZ119" s="126"/>
      <c r="BA119" s="126"/>
      <c r="BB119" s="127"/>
      <c r="BC119" s="126"/>
      <c r="BD119" s="134"/>
      <c r="BE119" s="127"/>
      <c r="BF119" s="126"/>
      <c r="BG119" s="126"/>
      <c r="BH119" s="126"/>
      <c r="BI119" s="126"/>
      <c r="BJ119" s="126"/>
      <c r="BK119" s="126"/>
      <c r="BL119" s="126"/>
      <c r="BM119" s="126"/>
      <c r="BN119" s="126"/>
      <c r="BO119" s="126"/>
      <c r="BP119" s="126"/>
      <c r="BQ119" s="126"/>
      <c r="BR119" s="126"/>
      <c r="BS119" s="126"/>
      <c r="BT119" s="126"/>
      <c r="BU119" s="126"/>
      <c r="BV119" s="126"/>
      <c r="BW119" s="126"/>
      <c r="BX119" s="126"/>
    </row>
    <row r="120">
      <c r="A120" s="126"/>
      <c r="B120" s="126"/>
      <c r="C120" s="127"/>
      <c r="D120" s="126"/>
      <c r="E120" s="126"/>
      <c r="F120" s="127"/>
      <c r="G120" s="87"/>
      <c r="H120" s="127"/>
      <c r="I120" s="87"/>
      <c r="J120" s="87"/>
      <c r="K120" s="127"/>
      <c r="L120" s="126"/>
      <c r="M120" s="126"/>
      <c r="N120" s="127"/>
      <c r="O120" s="126"/>
      <c r="P120" s="126"/>
      <c r="Q120" s="127"/>
      <c r="R120" s="126"/>
      <c r="S120" s="126"/>
      <c r="T120" s="127"/>
      <c r="U120" s="126"/>
      <c r="V120" s="126"/>
      <c r="W120" s="127"/>
      <c r="X120" s="126"/>
      <c r="Y120" s="126"/>
      <c r="Z120" s="127"/>
      <c r="AA120" s="126"/>
      <c r="AB120" s="126"/>
      <c r="AC120" s="127"/>
      <c r="AD120" s="126"/>
      <c r="AE120" s="126"/>
      <c r="AF120" s="126"/>
      <c r="AG120" s="127"/>
      <c r="AH120" s="126"/>
      <c r="AI120" s="126"/>
      <c r="AJ120" s="127"/>
      <c r="AK120" s="126"/>
      <c r="AL120" s="126"/>
      <c r="AM120" s="127"/>
      <c r="AN120" s="126"/>
      <c r="AO120" s="126"/>
      <c r="AP120" s="127"/>
      <c r="AQ120" s="126"/>
      <c r="AR120" s="126"/>
      <c r="AS120" s="127"/>
      <c r="AT120" s="126"/>
      <c r="AU120" s="126"/>
      <c r="AV120" s="127"/>
      <c r="AW120" s="126"/>
      <c r="AX120" s="126"/>
      <c r="AY120" s="127"/>
      <c r="AZ120" s="126"/>
      <c r="BA120" s="126"/>
      <c r="BB120" s="127"/>
      <c r="BC120" s="126"/>
      <c r="BD120" s="134"/>
      <c r="BE120" s="127"/>
      <c r="BF120" s="126"/>
      <c r="BG120" s="126"/>
      <c r="BH120" s="126"/>
      <c r="BI120" s="126"/>
      <c r="BJ120" s="126"/>
      <c r="BK120" s="126"/>
      <c r="BL120" s="126"/>
      <c r="BM120" s="126"/>
      <c r="BN120" s="126"/>
      <c r="BO120" s="126"/>
      <c r="BP120" s="126"/>
      <c r="BQ120" s="126"/>
      <c r="BR120" s="126"/>
      <c r="BS120" s="126"/>
      <c r="BT120" s="126"/>
      <c r="BU120" s="126"/>
      <c r="BV120" s="126"/>
      <c r="BW120" s="126"/>
      <c r="BX120" s="126"/>
    </row>
    <row r="121">
      <c r="A121" s="126"/>
      <c r="B121" s="126"/>
      <c r="C121" s="127"/>
      <c r="D121" s="126"/>
      <c r="E121" s="126"/>
      <c r="F121" s="127"/>
      <c r="G121" s="87"/>
      <c r="H121" s="127"/>
      <c r="I121" s="87"/>
      <c r="J121" s="87"/>
      <c r="K121" s="127"/>
      <c r="L121" s="126"/>
      <c r="M121" s="126"/>
      <c r="N121" s="127"/>
      <c r="O121" s="126"/>
      <c r="P121" s="126"/>
      <c r="Q121" s="127"/>
      <c r="R121" s="126"/>
      <c r="S121" s="126"/>
      <c r="T121" s="127"/>
      <c r="U121" s="126"/>
      <c r="V121" s="126"/>
      <c r="W121" s="127"/>
      <c r="X121" s="126"/>
      <c r="Y121" s="126"/>
      <c r="Z121" s="127"/>
      <c r="AA121" s="126"/>
      <c r="AB121" s="126"/>
      <c r="AC121" s="127"/>
      <c r="AD121" s="126"/>
      <c r="AE121" s="126"/>
      <c r="AF121" s="126"/>
      <c r="AG121" s="127"/>
      <c r="AH121" s="126"/>
      <c r="AI121" s="126"/>
      <c r="AJ121" s="127"/>
      <c r="AK121" s="126"/>
      <c r="AL121" s="126"/>
      <c r="AM121" s="127"/>
      <c r="AN121" s="126"/>
      <c r="AO121" s="126"/>
      <c r="AP121" s="127"/>
      <c r="AQ121" s="126"/>
      <c r="AR121" s="126"/>
      <c r="AS121" s="127"/>
      <c r="AT121" s="126"/>
      <c r="AU121" s="126"/>
      <c r="AV121" s="127"/>
      <c r="AW121" s="126"/>
      <c r="AX121" s="126"/>
      <c r="AY121" s="127"/>
      <c r="AZ121" s="126"/>
      <c r="BA121" s="126"/>
      <c r="BB121" s="127"/>
      <c r="BC121" s="126"/>
      <c r="BD121" s="134"/>
      <c r="BE121" s="127"/>
      <c r="BF121" s="126"/>
      <c r="BG121" s="126"/>
      <c r="BH121" s="126"/>
      <c r="BI121" s="126"/>
      <c r="BJ121" s="126"/>
      <c r="BK121" s="126"/>
      <c r="BL121" s="126"/>
      <c r="BM121" s="126"/>
      <c r="BN121" s="126"/>
      <c r="BO121" s="126"/>
      <c r="BP121" s="126"/>
      <c r="BQ121" s="126"/>
      <c r="BR121" s="126"/>
      <c r="BS121" s="126"/>
      <c r="BT121" s="126"/>
      <c r="BU121" s="126"/>
      <c r="BV121" s="126"/>
      <c r="BW121" s="126"/>
      <c r="BX121" s="126"/>
    </row>
    <row r="122">
      <c r="A122" s="126"/>
      <c r="B122" s="126"/>
      <c r="C122" s="127"/>
      <c r="D122" s="126"/>
      <c r="E122" s="126"/>
      <c r="F122" s="127"/>
      <c r="G122" s="87"/>
      <c r="H122" s="127"/>
      <c r="I122" s="87"/>
      <c r="J122" s="87"/>
      <c r="K122" s="127"/>
      <c r="L122" s="126"/>
      <c r="M122" s="126"/>
      <c r="N122" s="127"/>
      <c r="O122" s="126"/>
      <c r="P122" s="126"/>
      <c r="Q122" s="127"/>
      <c r="R122" s="126"/>
      <c r="S122" s="126"/>
      <c r="T122" s="127"/>
      <c r="U122" s="126"/>
      <c r="V122" s="126"/>
      <c r="W122" s="127"/>
      <c r="X122" s="126"/>
      <c r="Y122" s="126"/>
      <c r="Z122" s="127"/>
      <c r="AA122" s="126"/>
      <c r="AB122" s="126"/>
      <c r="AC122" s="127"/>
      <c r="AD122" s="126"/>
      <c r="AE122" s="126"/>
      <c r="AF122" s="126"/>
      <c r="AG122" s="127"/>
      <c r="AH122" s="126"/>
      <c r="AI122" s="126"/>
      <c r="AJ122" s="127"/>
      <c r="AK122" s="126"/>
      <c r="AL122" s="126"/>
      <c r="AM122" s="127"/>
      <c r="AN122" s="126"/>
      <c r="AO122" s="126"/>
      <c r="AP122" s="127"/>
      <c r="AQ122" s="126"/>
      <c r="AR122" s="126"/>
      <c r="AS122" s="127"/>
      <c r="AT122" s="126"/>
      <c r="AU122" s="126"/>
      <c r="AV122" s="127"/>
      <c r="AW122" s="126"/>
      <c r="AX122" s="126"/>
      <c r="AY122" s="127"/>
      <c r="AZ122" s="126"/>
      <c r="BA122" s="126"/>
      <c r="BB122" s="127"/>
      <c r="BC122" s="126"/>
      <c r="BD122" s="134"/>
      <c r="BE122" s="127"/>
      <c r="BF122" s="126"/>
      <c r="BG122" s="126"/>
      <c r="BH122" s="126"/>
      <c r="BI122" s="126"/>
      <c r="BJ122" s="126"/>
      <c r="BK122" s="126"/>
      <c r="BL122" s="126"/>
      <c r="BM122" s="126"/>
      <c r="BN122" s="126"/>
      <c r="BO122" s="126"/>
      <c r="BP122" s="126"/>
      <c r="BQ122" s="126"/>
      <c r="BR122" s="126"/>
      <c r="BS122" s="126"/>
      <c r="BT122" s="126"/>
      <c r="BU122" s="126"/>
      <c r="BV122" s="126"/>
      <c r="BW122" s="126"/>
      <c r="BX122" s="126"/>
    </row>
    <row r="123">
      <c r="A123" s="126"/>
      <c r="B123" s="126"/>
      <c r="C123" s="127"/>
      <c r="D123" s="126"/>
      <c r="E123" s="126"/>
      <c r="F123" s="127"/>
      <c r="G123" s="87"/>
      <c r="H123" s="127"/>
      <c r="I123" s="87"/>
      <c r="J123" s="87"/>
      <c r="K123" s="127"/>
      <c r="L123" s="126"/>
      <c r="M123" s="126"/>
      <c r="N123" s="127"/>
      <c r="O123" s="126"/>
      <c r="P123" s="126"/>
      <c r="Q123" s="127"/>
      <c r="R123" s="126"/>
      <c r="S123" s="126"/>
      <c r="T123" s="127"/>
      <c r="U123" s="126"/>
      <c r="V123" s="126"/>
      <c r="W123" s="127"/>
      <c r="X123" s="126"/>
      <c r="Y123" s="126"/>
      <c r="Z123" s="127"/>
      <c r="AA123" s="126"/>
      <c r="AB123" s="126"/>
      <c r="AC123" s="127"/>
      <c r="AD123" s="126"/>
      <c r="AE123" s="126"/>
      <c r="AF123" s="126"/>
      <c r="AG123" s="127"/>
      <c r="AH123" s="126"/>
      <c r="AI123" s="126"/>
      <c r="AJ123" s="127"/>
      <c r="AK123" s="126"/>
      <c r="AL123" s="126"/>
      <c r="AM123" s="127"/>
      <c r="AN123" s="126"/>
      <c r="AO123" s="126"/>
      <c r="AP123" s="127"/>
      <c r="AQ123" s="126"/>
      <c r="AR123" s="126"/>
      <c r="AS123" s="127"/>
      <c r="AT123" s="126"/>
      <c r="AU123" s="126"/>
      <c r="AV123" s="127"/>
      <c r="AW123" s="126"/>
      <c r="AX123" s="126"/>
      <c r="AY123" s="127"/>
      <c r="AZ123" s="126"/>
      <c r="BA123" s="126"/>
      <c r="BB123" s="127"/>
      <c r="BC123" s="126"/>
      <c r="BD123" s="134"/>
      <c r="BE123" s="127"/>
      <c r="BF123" s="126"/>
      <c r="BG123" s="126"/>
      <c r="BH123" s="126"/>
      <c r="BI123" s="126"/>
      <c r="BJ123" s="126"/>
      <c r="BK123" s="126"/>
      <c r="BL123" s="126"/>
      <c r="BM123" s="126"/>
      <c r="BN123" s="126"/>
      <c r="BO123" s="126"/>
      <c r="BP123" s="126"/>
      <c r="BQ123" s="126"/>
      <c r="BR123" s="126"/>
      <c r="BS123" s="126"/>
      <c r="BT123" s="126"/>
      <c r="BU123" s="126"/>
      <c r="BV123" s="126"/>
      <c r="BW123" s="126"/>
      <c r="BX123" s="126"/>
    </row>
    <row r="124">
      <c r="A124" s="126"/>
      <c r="B124" s="126"/>
      <c r="C124" s="127"/>
      <c r="D124" s="126"/>
      <c r="E124" s="126"/>
      <c r="F124" s="127"/>
      <c r="G124" s="87"/>
      <c r="H124" s="127"/>
      <c r="I124" s="87"/>
      <c r="J124" s="87"/>
      <c r="K124" s="127"/>
      <c r="L124" s="126"/>
      <c r="M124" s="126"/>
      <c r="N124" s="127"/>
      <c r="O124" s="126"/>
      <c r="P124" s="126"/>
      <c r="Q124" s="127"/>
      <c r="R124" s="126"/>
      <c r="S124" s="126"/>
      <c r="T124" s="127"/>
      <c r="U124" s="126"/>
      <c r="V124" s="126"/>
      <c r="W124" s="127"/>
      <c r="X124" s="126"/>
      <c r="Y124" s="126"/>
      <c r="Z124" s="127"/>
      <c r="AA124" s="126"/>
      <c r="AB124" s="126"/>
      <c r="AC124" s="127"/>
      <c r="AD124" s="126"/>
      <c r="AE124" s="126"/>
      <c r="AF124" s="126"/>
      <c r="AG124" s="127"/>
      <c r="AH124" s="126"/>
      <c r="AI124" s="126"/>
      <c r="AJ124" s="127"/>
      <c r="AK124" s="126"/>
      <c r="AL124" s="126"/>
      <c r="AM124" s="127"/>
      <c r="AN124" s="126"/>
      <c r="AO124" s="126"/>
      <c r="AP124" s="127"/>
      <c r="AQ124" s="126"/>
      <c r="AR124" s="126"/>
      <c r="AS124" s="127"/>
      <c r="AT124" s="126"/>
      <c r="AU124" s="126"/>
      <c r="AV124" s="127"/>
      <c r="AW124" s="126"/>
      <c r="AX124" s="126"/>
      <c r="AY124" s="127"/>
      <c r="AZ124" s="126"/>
      <c r="BA124" s="126"/>
      <c r="BB124" s="127"/>
      <c r="BC124" s="126"/>
      <c r="BD124" s="134"/>
      <c r="BE124" s="127"/>
      <c r="BF124" s="126"/>
      <c r="BG124" s="126"/>
      <c r="BH124" s="126"/>
      <c r="BI124" s="126"/>
      <c r="BJ124" s="126"/>
      <c r="BK124" s="126"/>
      <c r="BL124" s="126"/>
      <c r="BM124" s="126"/>
      <c r="BN124" s="126"/>
      <c r="BO124" s="126"/>
      <c r="BP124" s="126"/>
      <c r="BQ124" s="126"/>
      <c r="BR124" s="126"/>
      <c r="BS124" s="126"/>
      <c r="BT124" s="126"/>
      <c r="BU124" s="126"/>
      <c r="BV124" s="126"/>
      <c r="BW124" s="126"/>
      <c r="BX124" s="126"/>
    </row>
    <row r="125">
      <c r="A125" s="126"/>
      <c r="B125" s="126"/>
      <c r="C125" s="127"/>
      <c r="D125" s="126"/>
      <c r="E125" s="126"/>
      <c r="F125" s="127"/>
      <c r="G125" s="87"/>
      <c r="H125" s="127"/>
      <c r="I125" s="87"/>
      <c r="J125" s="87"/>
      <c r="K125" s="127"/>
      <c r="L125" s="126"/>
      <c r="M125" s="126"/>
      <c r="N125" s="127"/>
      <c r="O125" s="126"/>
      <c r="P125" s="126"/>
      <c r="Q125" s="127"/>
      <c r="R125" s="126"/>
      <c r="S125" s="126"/>
      <c r="T125" s="127"/>
      <c r="U125" s="126"/>
      <c r="V125" s="126"/>
      <c r="W125" s="127"/>
      <c r="X125" s="126"/>
      <c r="Y125" s="126"/>
      <c r="Z125" s="127"/>
      <c r="AA125" s="126"/>
      <c r="AB125" s="126"/>
      <c r="AC125" s="127"/>
      <c r="AD125" s="126"/>
      <c r="AE125" s="126"/>
      <c r="AF125" s="126"/>
      <c r="AG125" s="127"/>
      <c r="AH125" s="126"/>
      <c r="AI125" s="126"/>
      <c r="AJ125" s="127"/>
      <c r="AK125" s="126"/>
      <c r="AL125" s="126"/>
      <c r="AM125" s="127"/>
      <c r="AN125" s="126"/>
      <c r="AO125" s="126"/>
      <c r="AP125" s="127"/>
      <c r="AQ125" s="126"/>
      <c r="AR125" s="126"/>
      <c r="AS125" s="127"/>
      <c r="AT125" s="126"/>
      <c r="AU125" s="126"/>
      <c r="AV125" s="127"/>
      <c r="AW125" s="126"/>
      <c r="AX125" s="126"/>
      <c r="AY125" s="127"/>
      <c r="AZ125" s="126"/>
      <c r="BA125" s="126"/>
      <c r="BB125" s="127"/>
      <c r="BC125" s="126"/>
      <c r="BD125" s="134"/>
      <c r="BE125" s="127"/>
      <c r="BF125" s="126"/>
      <c r="BG125" s="126"/>
      <c r="BH125" s="126"/>
      <c r="BI125" s="126"/>
      <c r="BJ125" s="126"/>
      <c r="BK125" s="126"/>
      <c r="BL125" s="126"/>
      <c r="BM125" s="126"/>
      <c r="BN125" s="126"/>
      <c r="BO125" s="126"/>
      <c r="BP125" s="126"/>
      <c r="BQ125" s="126"/>
      <c r="BR125" s="126"/>
      <c r="BS125" s="126"/>
      <c r="BT125" s="126"/>
      <c r="BU125" s="126"/>
      <c r="BV125" s="126"/>
      <c r="BW125" s="126"/>
      <c r="BX125" s="126"/>
    </row>
    <row r="126">
      <c r="A126" s="126"/>
      <c r="B126" s="126"/>
      <c r="C126" s="127"/>
      <c r="D126" s="126"/>
      <c r="E126" s="126"/>
      <c r="F126" s="127"/>
      <c r="G126" s="87"/>
      <c r="H126" s="127"/>
      <c r="I126" s="87"/>
      <c r="J126" s="87"/>
      <c r="K126" s="127"/>
      <c r="L126" s="126"/>
      <c r="M126" s="126"/>
      <c r="N126" s="127"/>
      <c r="O126" s="126"/>
      <c r="P126" s="126"/>
      <c r="Q126" s="127"/>
      <c r="R126" s="126"/>
      <c r="S126" s="126"/>
      <c r="T126" s="127"/>
      <c r="U126" s="126"/>
      <c r="V126" s="126"/>
      <c r="W126" s="127"/>
      <c r="X126" s="126"/>
      <c r="Y126" s="126"/>
      <c r="Z126" s="127"/>
      <c r="AA126" s="126"/>
      <c r="AB126" s="126"/>
      <c r="AC126" s="127"/>
      <c r="AD126" s="126"/>
      <c r="AE126" s="126"/>
      <c r="AF126" s="126"/>
      <c r="AG126" s="127"/>
      <c r="AH126" s="126"/>
      <c r="AI126" s="126"/>
      <c r="AJ126" s="127"/>
      <c r="AK126" s="126"/>
      <c r="AL126" s="126"/>
      <c r="AM126" s="127"/>
      <c r="AN126" s="126"/>
      <c r="AO126" s="126"/>
      <c r="AP126" s="127"/>
      <c r="AQ126" s="126"/>
      <c r="AR126" s="126"/>
      <c r="AS126" s="127"/>
      <c r="AT126" s="126"/>
      <c r="AU126" s="126"/>
      <c r="AV126" s="127"/>
      <c r="AW126" s="126"/>
      <c r="AX126" s="126"/>
      <c r="AY126" s="127"/>
      <c r="AZ126" s="126"/>
      <c r="BA126" s="126"/>
      <c r="BB126" s="127"/>
      <c r="BC126" s="126"/>
      <c r="BD126" s="134"/>
      <c r="BE126" s="127"/>
      <c r="BF126" s="126"/>
      <c r="BG126" s="126"/>
      <c r="BH126" s="126"/>
      <c r="BI126" s="126"/>
      <c r="BJ126" s="126"/>
      <c r="BK126" s="126"/>
      <c r="BL126" s="126"/>
      <c r="BM126" s="126"/>
      <c r="BN126" s="126"/>
      <c r="BO126" s="126"/>
      <c r="BP126" s="126"/>
      <c r="BQ126" s="126"/>
      <c r="BR126" s="126"/>
      <c r="BS126" s="126"/>
      <c r="BT126" s="126"/>
      <c r="BU126" s="126"/>
      <c r="BV126" s="126"/>
      <c r="BW126" s="126"/>
      <c r="BX126" s="126"/>
    </row>
    <row r="127">
      <c r="A127" s="126"/>
      <c r="B127" s="126"/>
      <c r="C127" s="127"/>
      <c r="D127" s="126"/>
      <c r="E127" s="126"/>
      <c r="F127" s="127"/>
      <c r="G127" s="87"/>
      <c r="H127" s="127"/>
      <c r="I127" s="87"/>
      <c r="J127" s="87"/>
      <c r="K127" s="127"/>
      <c r="L127" s="126"/>
      <c r="M127" s="126"/>
      <c r="N127" s="127"/>
      <c r="O127" s="126"/>
      <c r="P127" s="126"/>
      <c r="Q127" s="127"/>
      <c r="R127" s="126"/>
      <c r="S127" s="126"/>
      <c r="T127" s="127"/>
      <c r="U127" s="126"/>
      <c r="V127" s="126"/>
      <c r="W127" s="127"/>
      <c r="X127" s="126"/>
      <c r="Y127" s="126"/>
      <c r="Z127" s="127"/>
      <c r="AA127" s="126"/>
      <c r="AB127" s="126"/>
      <c r="AC127" s="127"/>
      <c r="AD127" s="126"/>
      <c r="AE127" s="126"/>
      <c r="AF127" s="126"/>
      <c r="AG127" s="127"/>
      <c r="AH127" s="126"/>
      <c r="AI127" s="126"/>
      <c r="AJ127" s="127"/>
      <c r="AK127" s="126"/>
      <c r="AL127" s="126"/>
      <c r="AM127" s="127"/>
      <c r="AN127" s="126"/>
      <c r="AO127" s="126"/>
      <c r="AP127" s="127"/>
      <c r="AQ127" s="126"/>
      <c r="AR127" s="126"/>
      <c r="AS127" s="127"/>
      <c r="AT127" s="126"/>
      <c r="AU127" s="126"/>
      <c r="AV127" s="127"/>
      <c r="AW127" s="126"/>
      <c r="AX127" s="126"/>
      <c r="AY127" s="127"/>
      <c r="AZ127" s="126"/>
      <c r="BA127" s="126"/>
      <c r="BB127" s="127"/>
      <c r="BC127" s="126"/>
      <c r="BD127" s="134"/>
      <c r="BE127" s="127"/>
      <c r="BF127" s="126"/>
      <c r="BG127" s="126"/>
      <c r="BH127" s="126"/>
      <c r="BI127" s="126"/>
      <c r="BJ127" s="126"/>
      <c r="BK127" s="126"/>
      <c r="BL127" s="126"/>
      <c r="BM127" s="126"/>
      <c r="BN127" s="126"/>
      <c r="BO127" s="126"/>
      <c r="BP127" s="126"/>
      <c r="BQ127" s="126"/>
      <c r="BR127" s="126"/>
      <c r="BS127" s="126"/>
      <c r="BT127" s="126"/>
      <c r="BU127" s="126"/>
      <c r="BV127" s="126"/>
      <c r="BW127" s="126"/>
      <c r="BX127" s="126"/>
    </row>
    <row r="128">
      <c r="A128" s="126"/>
      <c r="B128" s="126"/>
      <c r="C128" s="127"/>
      <c r="D128" s="126"/>
      <c r="E128" s="126"/>
      <c r="F128" s="127"/>
      <c r="G128" s="87"/>
      <c r="H128" s="127"/>
      <c r="I128" s="87"/>
      <c r="J128" s="87"/>
      <c r="K128" s="127"/>
      <c r="L128" s="126"/>
      <c r="M128" s="126"/>
      <c r="N128" s="127"/>
      <c r="O128" s="126"/>
      <c r="P128" s="126"/>
      <c r="Q128" s="127"/>
      <c r="R128" s="126"/>
      <c r="S128" s="126"/>
      <c r="T128" s="127"/>
      <c r="U128" s="126"/>
      <c r="V128" s="126"/>
      <c r="W128" s="127"/>
      <c r="X128" s="126"/>
      <c r="Y128" s="126"/>
      <c r="Z128" s="127"/>
      <c r="AA128" s="126"/>
      <c r="AB128" s="126"/>
      <c r="AC128" s="127"/>
      <c r="AD128" s="126"/>
      <c r="AE128" s="126"/>
      <c r="AF128" s="126"/>
      <c r="AG128" s="127"/>
      <c r="AH128" s="126"/>
      <c r="AI128" s="126"/>
      <c r="AJ128" s="127"/>
      <c r="AK128" s="126"/>
      <c r="AL128" s="126"/>
      <c r="AM128" s="127"/>
      <c r="AN128" s="126"/>
      <c r="AO128" s="126"/>
      <c r="AP128" s="127"/>
      <c r="AQ128" s="126"/>
      <c r="AR128" s="126"/>
      <c r="AS128" s="127"/>
      <c r="AT128" s="126"/>
      <c r="AU128" s="126"/>
      <c r="AV128" s="127"/>
      <c r="AW128" s="126"/>
      <c r="AX128" s="126"/>
      <c r="AY128" s="127"/>
      <c r="AZ128" s="126"/>
      <c r="BA128" s="126"/>
      <c r="BB128" s="127"/>
      <c r="BC128" s="126"/>
      <c r="BD128" s="134"/>
      <c r="BE128" s="127"/>
      <c r="BF128" s="126"/>
      <c r="BG128" s="126"/>
      <c r="BH128" s="126"/>
      <c r="BI128" s="126"/>
      <c r="BJ128" s="126"/>
      <c r="BK128" s="126"/>
      <c r="BL128" s="126"/>
      <c r="BM128" s="126"/>
      <c r="BN128" s="126"/>
      <c r="BO128" s="126"/>
      <c r="BP128" s="126"/>
      <c r="BQ128" s="126"/>
      <c r="BR128" s="126"/>
      <c r="BS128" s="126"/>
      <c r="BT128" s="126"/>
      <c r="BU128" s="126"/>
      <c r="BV128" s="126"/>
      <c r="BW128" s="126"/>
      <c r="BX128" s="126"/>
    </row>
    <row r="129">
      <c r="A129" s="126"/>
      <c r="B129" s="126"/>
      <c r="C129" s="127"/>
      <c r="D129" s="126"/>
      <c r="E129" s="126"/>
      <c r="F129" s="127"/>
      <c r="G129" s="87"/>
      <c r="H129" s="127"/>
      <c r="I129" s="87"/>
      <c r="J129" s="87"/>
      <c r="K129" s="127"/>
      <c r="L129" s="126"/>
      <c r="M129" s="126"/>
      <c r="N129" s="127"/>
      <c r="O129" s="126"/>
      <c r="P129" s="126"/>
      <c r="Q129" s="127"/>
      <c r="R129" s="126"/>
      <c r="S129" s="126"/>
      <c r="T129" s="127"/>
      <c r="U129" s="126"/>
      <c r="V129" s="126"/>
      <c r="W129" s="127"/>
      <c r="X129" s="126"/>
      <c r="Y129" s="126"/>
      <c r="Z129" s="127"/>
      <c r="AA129" s="126"/>
      <c r="AB129" s="126"/>
      <c r="AC129" s="127"/>
      <c r="AD129" s="126"/>
      <c r="AE129" s="126"/>
      <c r="AF129" s="126"/>
      <c r="AG129" s="127"/>
      <c r="AH129" s="126"/>
      <c r="AI129" s="126"/>
      <c r="AJ129" s="127"/>
      <c r="AK129" s="126"/>
      <c r="AL129" s="126"/>
      <c r="AM129" s="127"/>
      <c r="AN129" s="126"/>
      <c r="AO129" s="126"/>
      <c r="AP129" s="127"/>
      <c r="AQ129" s="126"/>
      <c r="AR129" s="126"/>
      <c r="AS129" s="127"/>
      <c r="AT129" s="126"/>
      <c r="AU129" s="126"/>
      <c r="AV129" s="127"/>
      <c r="AW129" s="126"/>
      <c r="AX129" s="126"/>
      <c r="AY129" s="127"/>
      <c r="AZ129" s="126"/>
      <c r="BA129" s="126"/>
      <c r="BB129" s="127"/>
      <c r="BC129" s="126"/>
      <c r="BD129" s="134"/>
      <c r="BE129" s="127"/>
      <c r="BF129" s="126"/>
      <c r="BG129" s="126"/>
      <c r="BH129" s="126"/>
      <c r="BI129" s="126"/>
      <c r="BJ129" s="126"/>
      <c r="BK129" s="126"/>
      <c r="BL129" s="126"/>
      <c r="BM129" s="126"/>
      <c r="BN129" s="126"/>
      <c r="BO129" s="126"/>
      <c r="BP129" s="126"/>
      <c r="BQ129" s="126"/>
      <c r="BR129" s="126"/>
      <c r="BS129" s="126"/>
      <c r="BT129" s="126"/>
      <c r="BU129" s="126"/>
      <c r="BV129" s="126"/>
      <c r="BW129" s="126"/>
      <c r="BX129" s="126"/>
    </row>
    <row r="130">
      <c r="A130" s="126"/>
      <c r="B130" s="126"/>
      <c r="C130" s="127"/>
      <c r="D130" s="126"/>
      <c r="E130" s="126"/>
      <c r="F130" s="127"/>
      <c r="G130" s="87"/>
      <c r="H130" s="127"/>
      <c r="I130" s="87"/>
      <c r="J130" s="87"/>
      <c r="K130" s="127"/>
      <c r="L130" s="126"/>
      <c r="M130" s="126"/>
      <c r="N130" s="127"/>
      <c r="O130" s="126"/>
      <c r="P130" s="126"/>
      <c r="Q130" s="127"/>
      <c r="R130" s="126"/>
      <c r="S130" s="126"/>
      <c r="T130" s="127"/>
      <c r="U130" s="126"/>
      <c r="V130" s="126"/>
      <c r="W130" s="127"/>
      <c r="X130" s="126"/>
      <c r="Y130" s="126"/>
      <c r="Z130" s="127"/>
      <c r="AA130" s="126"/>
      <c r="AB130" s="126"/>
      <c r="AC130" s="127"/>
      <c r="AD130" s="126"/>
      <c r="AE130" s="126"/>
      <c r="AF130" s="126"/>
      <c r="AG130" s="127"/>
      <c r="AH130" s="126"/>
      <c r="AI130" s="126"/>
      <c r="AJ130" s="127"/>
      <c r="AK130" s="126"/>
      <c r="AL130" s="126"/>
      <c r="AM130" s="127"/>
      <c r="AN130" s="126"/>
      <c r="AO130" s="126"/>
      <c r="AP130" s="127"/>
      <c r="AQ130" s="126"/>
      <c r="AR130" s="126"/>
      <c r="AS130" s="127"/>
      <c r="AT130" s="126"/>
      <c r="AU130" s="126"/>
      <c r="AV130" s="127"/>
      <c r="AW130" s="126"/>
      <c r="AX130" s="126"/>
      <c r="AY130" s="127"/>
      <c r="AZ130" s="126"/>
      <c r="BA130" s="126"/>
      <c r="BB130" s="127"/>
      <c r="BC130" s="126"/>
      <c r="BD130" s="134"/>
      <c r="BE130" s="127"/>
      <c r="BF130" s="126"/>
      <c r="BG130" s="126"/>
      <c r="BH130" s="126"/>
      <c r="BI130" s="126"/>
      <c r="BJ130" s="126"/>
      <c r="BK130" s="126"/>
      <c r="BL130" s="126"/>
      <c r="BM130" s="126"/>
      <c r="BN130" s="126"/>
      <c r="BO130" s="126"/>
      <c r="BP130" s="126"/>
      <c r="BQ130" s="126"/>
      <c r="BR130" s="126"/>
      <c r="BS130" s="126"/>
      <c r="BT130" s="126"/>
      <c r="BU130" s="126"/>
      <c r="BV130" s="126"/>
      <c r="BW130" s="126"/>
      <c r="BX130" s="126"/>
    </row>
    <row r="131">
      <c r="A131" s="126"/>
      <c r="B131" s="126"/>
      <c r="C131" s="127"/>
      <c r="D131" s="126"/>
      <c r="E131" s="126"/>
      <c r="F131" s="127"/>
      <c r="G131" s="87"/>
      <c r="H131" s="127"/>
      <c r="I131" s="87"/>
      <c r="J131" s="87"/>
      <c r="K131" s="127"/>
      <c r="L131" s="126"/>
      <c r="M131" s="126"/>
      <c r="N131" s="127"/>
      <c r="O131" s="126"/>
      <c r="P131" s="126"/>
      <c r="Q131" s="127"/>
      <c r="R131" s="126"/>
      <c r="S131" s="126"/>
      <c r="T131" s="127"/>
      <c r="U131" s="126"/>
      <c r="V131" s="126"/>
      <c r="W131" s="127"/>
      <c r="X131" s="126"/>
      <c r="Y131" s="126"/>
      <c r="Z131" s="127"/>
      <c r="AA131" s="126"/>
      <c r="AB131" s="126"/>
      <c r="AC131" s="127"/>
      <c r="AD131" s="126"/>
      <c r="AE131" s="126"/>
      <c r="AF131" s="126"/>
      <c r="AG131" s="127"/>
      <c r="AH131" s="126"/>
      <c r="AI131" s="126"/>
      <c r="AJ131" s="127"/>
      <c r="AK131" s="126"/>
      <c r="AL131" s="126"/>
      <c r="AM131" s="127"/>
      <c r="AN131" s="126"/>
      <c r="AO131" s="126"/>
      <c r="AP131" s="127"/>
      <c r="AQ131" s="126"/>
      <c r="AR131" s="126"/>
      <c r="AS131" s="127"/>
      <c r="AT131" s="126"/>
      <c r="AU131" s="126"/>
      <c r="AV131" s="127"/>
      <c r="AW131" s="126"/>
      <c r="AX131" s="126"/>
      <c r="AY131" s="127"/>
      <c r="AZ131" s="126"/>
      <c r="BA131" s="126"/>
      <c r="BB131" s="127"/>
      <c r="BC131" s="126"/>
      <c r="BD131" s="134"/>
      <c r="BE131" s="127"/>
      <c r="BF131" s="126"/>
      <c r="BG131" s="126"/>
      <c r="BH131" s="126"/>
      <c r="BI131" s="126"/>
      <c r="BJ131" s="126"/>
      <c r="BK131" s="126"/>
      <c r="BL131" s="126"/>
      <c r="BM131" s="126"/>
      <c r="BN131" s="126"/>
      <c r="BO131" s="126"/>
      <c r="BP131" s="126"/>
      <c r="BQ131" s="126"/>
      <c r="BR131" s="126"/>
      <c r="BS131" s="126"/>
      <c r="BT131" s="126"/>
      <c r="BU131" s="126"/>
      <c r="BV131" s="126"/>
      <c r="BW131" s="126"/>
      <c r="BX131" s="126"/>
    </row>
    <row r="132">
      <c r="A132" s="126"/>
      <c r="B132" s="126"/>
      <c r="C132" s="127"/>
      <c r="D132" s="126"/>
      <c r="E132" s="126"/>
      <c r="F132" s="127"/>
      <c r="G132" s="87"/>
      <c r="H132" s="127"/>
      <c r="I132" s="87"/>
      <c r="J132" s="87"/>
      <c r="K132" s="127"/>
      <c r="L132" s="126"/>
      <c r="M132" s="126"/>
      <c r="N132" s="127"/>
      <c r="O132" s="126"/>
      <c r="P132" s="126"/>
      <c r="Q132" s="127"/>
      <c r="R132" s="126"/>
      <c r="S132" s="126"/>
      <c r="T132" s="127"/>
      <c r="U132" s="126"/>
      <c r="V132" s="126"/>
      <c r="W132" s="127"/>
      <c r="X132" s="126"/>
      <c r="Y132" s="126"/>
      <c r="Z132" s="127"/>
      <c r="AA132" s="126"/>
      <c r="AB132" s="126"/>
      <c r="AC132" s="127"/>
      <c r="AD132" s="126"/>
      <c r="AE132" s="126"/>
      <c r="AF132" s="126"/>
      <c r="AG132" s="127"/>
      <c r="AH132" s="126"/>
      <c r="AI132" s="126"/>
      <c r="AJ132" s="127"/>
      <c r="AK132" s="126"/>
      <c r="AL132" s="126"/>
      <c r="AM132" s="127"/>
      <c r="AN132" s="126"/>
      <c r="AO132" s="126"/>
      <c r="AP132" s="127"/>
      <c r="AQ132" s="126"/>
      <c r="AR132" s="126"/>
      <c r="AS132" s="127"/>
      <c r="AT132" s="126"/>
      <c r="AU132" s="126"/>
      <c r="AV132" s="127"/>
      <c r="AW132" s="126"/>
      <c r="AX132" s="126"/>
      <c r="AY132" s="127"/>
      <c r="AZ132" s="126"/>
      <c r="BA132" s="126"/>
      <c r="BB132" s="127"/>
      <c r="BC132" s="126"/>
      <c r="BD132" s="134"/>
      <c r="BE132" s="127"/>
      <c r="BF132" s="126"/>
      <c r="BG132" s="126"/>
      <c r="BH132" s="126"/>
      <c r="BI132" s="126"/>
      <c r="BJ132" s="126"/>
      <c r="BK132" s="126"/>
      <c r="BL132" s="126"/>
      <c r="BM132" s="126"/>
      <c r="BN132" s="126"/>
      <c r="BO132" s="126"/>
      <c r="BP132" s="126"/>
      <c r="BQ132" s="126"/>
      <c r="BR132" s="126"/>
      <c r="BS132" s="126"/>
      <c r="BT132" s="126"/>
      <c r="BU132" s="126"/>
      <c r="BV132" s="126"/>
      <c r="BW132" s="126"/>
      <c r="BX132" s="126"/>
    </row>
    <row r="133">
      <c r="A133" s="126"/>
      <c r="B133" s="126"/>
      <c r="C133" s="127"/>
      <c r="D133" s="126"/>
      <c r="E133" s="126"/>
      <c r="F133" s="127"/>
      <c r="G133" s="87"/>
      <c r="H133" s="127"/>
      <c r="I133" s="87"/>
      <c r="J133" s="87"/>
      <c r="K133" s="127"/>
      <c r="L133" s="126"/>
      <c r="M133" s="126"/>
      <c r="N133" s="127"/>
      <c r="O133" s="126"/>
      <c r="P133" s="126"/>
      <c r="Q133" s="127"/>
      <c r="R133" s="126"/>
      <c r="S133" s="126"/>
      <c r="T133" s="127"/>
      <c r="U133" s="126"/>
      <c r="V133" s="126"/>
      <c r="W133" s="127"/>
      <c r="X133" s="126"/>
      <c r="Y133" s="126"/>
      <c r="Z133" s="127"/>
      <c r="AA133" s="126"/>
      <c r="AB133" s="126"/>
      <c r="AC133" s="127"/>
      <c r="AD133" s="126"/>
      <c r="AE133" s="126"/>
      <c r="AF133" s="126"/>
      <c r="AG133" s="127"/>
      <c r="AH133" s="126"/>
      <c r="AI133" s="126"/>
      <c r="AJ133" s="127"/>
      <c r="AK133" s="126"/>
      <c r="AL133" s="126"/>
      <c r="AM133" s="127"/>
      <c r="AN133" s="126"/>
      <c r="AO133" s="126"/>
      <c r="AP133" s="127"/>
      <c r="AQ133" s="126"/>
      <c r="AR133" s="126"/>
      <c r="AS133" s="127"/>
      <c r="AT133" s="126"/>
      <c r="AU133" s="126"/>
      <c r="AV133" s="127"/>
      <c r="AW133" s="126"/>
      <c r="AX133" s="126"/>
      <c r="AY133" s="127"/>
      <c r="AZ133" s="126"/>
      <c r="BA133" s="126"/>
      <c r="BB133" s="127"/>
      <c r="BC133" s="126"/>
      <c r="BD133" s="134"/>
      <c r="BE133" s="127"/>
      <c r="BF133" s="126"/>
      <c r="BG133" s="126"/>
      <c r="BH133" s="126"/>
      <c r="BI133" s="126"/>
      <c r="BJ133" s="126"/>
      <c r="BK133" s="126"/>
      <c r="BL133" s="126"/>
      <c r="BM133" s="126"/>
      <c r="BN133" s="126"/>
      <c r="BO133" s="126"/>
      <c r="BP133" s="126"/>
      <c r="BQ133" s="126"/>
      <c r="BR133" s="126"/>
      <c r="BS133" s="126"/>
      <c r="BT133" s="126"/>
      <c r="BU133" s="126"/>
      <c r="BV133" s="126"/>
      <c r="BW133" s="126"/>
      <c r="BX133" s="126"/>
    </row>
    <row r="134">
      <c r="A134" s="126"/>
      <c r="B134" s="126"/>
      <c r="C134" s="127"/>
      <c r="D134" s="126"/>
      <c r="E134" s="126"/>
      <c r="F134" s="127"/>
      <c r="G134" s="87"/>
      <c r="H134" s="127"/>
      <c r="I134" s="87"/>
      <c r="J134" s="87"/>
      <c r="K134" s="127"/>
      <c r="L134" s="126"/>
      <c r="M134" s="126"/>
      <c r="N134" s="127"/>
      <c r="O134" s="126"/>
      <c r="P134" s="126"/>
      <c r="Q134" s="127"/>
      <c r="R134" s="126"/>
      <c r="S134" s="126"/>
      <c r="T134" s="127"/>
      <c r="U134" s="126"/>
      <c r="V134" s="126"/>
      <c r="W134" s="127"/>
      <c r="X134" s="126"/>
      <c r="Y134" s="126"/>
      <c r="Z134" s="127"/>
      <c r="AA134" s="126"/>
      <c r="AB134" s="126"/>
      <c r="AC134" s="127"/>
      <c r="AD134" s="126"/>
      <c r="AE134" s="126"/>
      <c r="AF134" s="126"/>
      <c r="AG134" s="127"/>
      <c r="AH134" s="126"/>
      <c r="AI134" s="126"/>
      <c r="AJ134" s="127"/>
      <c r="AK134" s="126"/>
      <c r="AL134" s="126"/>
      <c r="AM134" s="127"/>
      <c r="AN134" s="126"/>
      <c r="AO134" s="126"/>
      <c r="AP134" s="127"/>
      <c r="AQ134" s="126"/>
      <c r="AR134" s="126"/>
      <c r="AS134" s="127"/>
      <c r="AT134" s="126"/>
      <c r="AU134" s="126"/>
      <c r="AV134" s="127"/>
      <c r="AW134" s="126"/>
      <c r="AX134" s="126"/>
      <c r="AY134" s="127"/>
      <c r="AZ134" s="126"/>
      <c r="BA134" s="126"/>
      <c r="BB134" s="127"/>
      <c r="BC134" s="126"/>
      <c r="BD134" s="134"/>
      <c r="BE134" s="127"/>
      <c r="BF134" s="126"/>
      <c r="BG134" s="126"/>
      <c r="BH134" s="126"/>
      <c r="BI134" s="126"/>
      <c r="BJ134" s="126"/>
      <c r="BK134" s="126"/>
      <c r="BL134" s="126"/>
      <c r="BM134" s="126"/>
      <c r="BN134" s="126"/>
      <c r="BO134" s="126"/>
      <c r="BP134" s="126"/>
      <c r="BQ134" s="126"/>
      <c r="BR134" s="126"/>
      <c r="BS134" s="126"/>
      <c r="BT134" s="126"/>
      <c r="BU134" s="126"/>
      <c r="BV134" s="126"/>
      <c r="BW134" s="126"/>
      <c r="BX134" s="126"/>
    </row>
    <row r="135">
      <c r="A135" s="126"/>
      <c r="B135" s="126"/>
      <c r="C135" s="127"/>
      <c r="D135" s="126"/>
      <c r="E135" s="126"/>
      <c r="F135" s="127"/>
      <c r="G135" s="87"/>
      <c r="H135" s="127"/>
      <c r="I135" s="87"/>
      <c r="J135" s="87"/>
      <c r="K135" s="127"/>
      <c r="L135" s="126"/>
      <c r="M135" s="126"/>
      <c r="N135" s="127"/>
      <c r="O135" s="126"/>
      <c r="P135" s="126"/>
      <c r="Q135" s="127"/>
      <c r="R135" s="126"/>
      <c r="S135" s="126"/>
      <c r="T135" s="127"/>
      <c r="U135" s="126"/>
      <c r="V135" s="126"/>
      <c r="W135" s="127"/>
      <c r="X135" s="126"/>
      <c r="Y135" s="126"/>
      <c r="Z135" s="127"/>
      <c r="AA135" s="126"/>
      <c r="AB135" s="126"/>
      <c r="AC135" s="127"/>
      <c r="AD135" s="126"/>
      <c r="AE135" s="126"/>
      <c r="AF135" s="126"/>
      <c r="AG135" s="127"/>
      <c r="AH135" s="126"/>
      <c r="AI135" s="126"/>
      <c r="AJ135" s="127"/>
      <c r="AK135" s="126"/>
      <c r="AL135" s="126"/>
      <c r="AM135" s="127"/>
      <c r="AN135" s="126"/>
      <c r="AO135" s="126"/>
      <c r="AP135" s="127"/>
      <c r="AQ135" s="126"/>
      <c r="AR135" s="126"/>
      <c r="AS135" s="127"/>
      <c r="AT135" s="126"/>
      <c r="AU135" s="126"/>
      <c r="AV135" s="127"/>
      <c r="AW135" s="126"/>
      <c r="AX135" s="126"/>
      <c r="AY135" s="127"/>
      <c r="AZ135" s="126"/>
      <c r="BA135" s="126"/>
      <c r="BB135" s="127"/>
      <c r="BC135" s="126"/>
      <c r="BD135" s="134"/>
      <c r="BE135" s="127"/>
      <c r="BF135" s="126"/>
      <c r="BG135" s="126"/>
      <c r="BH135" s="126"/>
      <c r="BI135" s="126"/>
      <c r="BJ135" s="126"/>
      <c r="BK135" s="126"/>
      <c r="BL135" s="126"/>
      <c r="BM135" s="126"/>
      <c r="BN135" s="126"/>
      <c r="BO135" s="126"/>
      <c r="BP135" s="126"/>
      <c r="BQ135" s="126"/>
      <c r="BR135" s="126"/>
      <c r="BS135" s="126"/>
      <c r="BT135" s="126"/>
      <c r="BU135" s="126"/>
      <c r="BV135" s="126"/>
      <c r="BW135" s="126"/>
      <c r="BX135" s="126"/>
    </row>
    <row r="136">
      <c r="A136" s="126"/>
      <c r="B136" s="126"/>
      <c r="C136" s="127"/>
      <c r="D136" s="126"/>
      <c r="E136" s="126"/>
      <c r="F136" s="127"/>
      <c r="G136" s="87"/>
      <c r="H136" s="127"/>
      <c r="I136" s="87"/>
      <c r="J136" s="87"/>
      <c r="K136" s="127"/>
      <c r="L136" s="126"/>
      <c r="M136" s="126"/>
      <c r="N136" s="127"/>
      <c r="O136" s="126"/>
      <c r="P136" s="126"/>
      <c r="Q136" s="127"/>
      <c r="R136" s="126"/>
      <c r="S136" s="126"/>
      <c r="T136" s="127"/>
      <c r="U136" s="126"/>
      <c r="V136" s="126"/>
      <c r="W136" s="127"/>
      <c r="X136" s="126"/>
      <c r="Y136" s="126"/>
      <c r="Z136" s="127"/>
      <c r="AA136" s="126"/>
      <c r="AB136" s="126"/>
      <c r="AC136" s="127"/>
      <c r="AD136" s="126"/>
      <c r="AE136" s="126"/>
      <c r="AF136" s="126"/>
      <c r="AG136" s="127"/>
      <c r="AH136" s="126"/>
      <c r="AI136" s="126"/>
      <c r="AJ136" s="127"/>
      <c r="AK136" s="126"/>
      <c r="AL136" s="126"/>
      <c r="AM136" s="127"/>
      <c r="AN136" s="126"/>
      <c r="AO136" s="126"/>
      <c r="AP136" s="127"/>
      <c r="AQ136" s="126"/>
      <c r="AR136" s="126"/>
      <c r="AS136" s="127"/>
      <c r="AT136" s="126"/>
      <c r="AU136" s="126"/>
      <c r="AV136" s="127"/>
      <c r="AW136" s="126"/>
      <c r="AX136" s="126"/>
      <c r="AY136" s="127"/>
      <c r="AZ136" s="126"/>
      <c r="BA136" s="126"/>
      <c r="BB136" s="127"/>
      <c r="BC136" s="126"/>
      <c r="BD136" s="134"/>
      <c r="BE136" s="127"/>
      <c r="BF136" s="126"/>
      <c r="BG136" s="126"/>
      <c r="BH136" s="126"/>
      <c r="BI136" s="126"/>
      <c r="BJ136" s="126"/>
      <c r="BK136" s="126"/>
      <c r="BL136" s="126"/>
      <c r="BM136" s="126"/>
      <c r="BN136" s="126"/>
      <c r="BO136" s="126"/>
      <c r="BP136" s="126"/>
      <c r="BQ136" s="126"/>
      <c r="BR136" s="126"/>
      <c r="BS136" s="126"/>
      <c r="BT136" s="126"/>
      <c r="BU136" s="126"/>
      <c r="BV136" s="126"/>
      <c r="BW136" s="126"/>
      <c r="BX136" s="126"/>
    </row>
    <row r="137">
      <c r="A137" s="126"/>
      <c r="B137" s="126"/>
      <c r="C137" s="127"/>
      <c r="D137" s="126"/>
      <c r="E137" s="126"/>
      <c r="F137" s="127"/>
      <c r="G137" s="126"/>
      <c r="H137" s="127"/>
      <c r="I137" s="126"/>
      <c r="J137" s="126"/>
      <c r="K137" s="127"/>
      <c r="L137" s="126"/>
      <c r="M137" s="126"/>
      <c r="N137" s="127"/>
      <c r="O137" s="126"/>
      <c r="P137" s="126"/>
      <c r="Q137" s="127"/>
      <c r="R137" s="126"/>
      <c r="S137" s="126"/>
      <c r="T137" s="127"/>
      <c r="U137" s="126"/>
      <c r="V137" s="126"/>
      <c r="W137" s="127"/>
      <c r="X137" s="126"/>
      <c r="Y137" s="126"/>
      <c r="Z137" s="127"/>
      <c r="AA137" s="126"/>
      <c r="AB137" s="126"/>
      <c r="AC137" s="127"/>
      <c r="AD137" s="126"/>
      <c r="AE137" s="126"/>
      <c r="AF137" s="126"/>
      <c r="AG137" s="127"/>
      <c r="AH137" s="126"/>
      <c r="AI137" s="126"/>
      <c r="AJ137" s="127"/>
      <c r="AK137" s="126"/>
      <c r="AL137" s="126"/>
      <c r="AM137" s="127"/>
      <c r="AN137" s="126"/>
      <c r="AO137" s="126"/>
      <c r="AP137" s="127"/>
      <c r="AQ137" s="126"/>
      <c r="AR137" s="126"/>
      <c r="AS137" s="127"/>
      <c r="AT137" s="126"/>
      <c r="AU137" s="126"/>
      <c r="AV137" s="127"/>
      <c r="AW137" s="126"/>
      <c r="AX137" s="126"/>
      <c r="AY137" s="127"/>
      <c r="AZ137" s="126"/>
      <c r="BA137" s="126"/>
      <c r="BB137" s="127"/>
      <c r="BC137" s="126"/>
      <c r="BD137" s="134"/>
      <c r="BE137" s="127"/>
      <c r="BF137" s="126"/>
      <c r="BG137" s="126"/>
      <c r="BH137" s="126"/>
      <c r="BI137" s="126"/>
      <c r="BJ137" s="126"/>
      <c r="BK137" s="126"/>
      <c r="BL137" s="126"/>
      <c r="BM137" s="126"/>
      <c r="BN137" s="126"/>
      <c r="BO137" s="126"/>
      <c r="BP137" s="126"/>
      <c r="BQ137" s="126"/>
      <c r="BR137" s="126"/>
      <c r="BS137" s="126"/>
      <c r="BT137" s="126"/>
      <c r="BU137" s="126"/>
      <c r="BV137" s="126"/>
      <c r="BW137" s="126"/>
      <c r="BX137" s="126"/>
    </row>
    <row r="138">
      <c r="A138" s="126"/>
      <c r="B138" s="126"/>
      <c r="C138" s="127"/>
      <c r="D138" s="126"/>
      <c r="E138" s="126"/>
      <c r="F138" s="127"/>
      <c r="G138" s="126"/>
      <c r="H138" s="127"/>
      <c r="I138" s="126"/>
      <c r="J138" s="126"/>
      <c r="K138" s="127"/>
      <c r="L138" s="126"/>
      <c r="M138" s="126"/>
      <c r="N138" s="127"/>
      <c r="O138" s="126"/>
      <c r="P138" s="126"/>
      <c r="Q138" s="127"/>
      <c r="R138" s="126"/>
      <c r="S138" s="126"/>
      <c r="T138" s="127"/>
      <c r="U138" s="126"/>
      <c r="V138" s="126"/>
      <c r="W138" s="127"/>
      <c r="X138" s="126"/>
      <c r="Y138" s="126"/>
      <c r="Z138" s="127"/>
      <c r="AA138" s="126"/>
      <c r="AB138" s="126"/>
      <c r="AC138" s="127"/>
      <c r="AD138" s="126"/>
      <c r="AE138" s="126"/>
      <c r="AF138" s="126"/>
      <c r="AG138" s="127"/>
      <c r="AH138" s="126"/>
      <c r="AI138" s="126"/>
      <c r="AJ138" s="127"/>
      <c r="AK138" s="126"/>
      <c r="AL138" s="126"/>
      <c r="AM138" s="127"/>
      <c r="AN138" s="126"/>
      <c r="AO138" s="126"/>
      <c r="AP138" s="127"/>
      <c r="AQ138" s="126"/>
      <c r="AR138" s="126"/>
      <c r="AS138" s="127"/>
      <c r="AT138" s="126"/>
      <c r="AU138" s="126"/>
      <c r="AV138" s="127"/>
      <c r="AW138" s="126"/>
      <c r="AX138" s="126"/>
      <c r="AY138" s="127"/>
      <c r="AZ138" s="126"/>
      <c r="BA138" s="126"/>
      <c r="BB138" s="127"/>
      <c r="BC138" s="126"/>
      <c r="BD138" s="134"/>
      <c r="BE138" s="127"/>
      <c r="BF138" s="126"/>
      <c r="BG138" s="126"/>
      <c r="BH138" s="126"/>
      <c r="BI138" s="126"/>
      <c r="BJ138" s="126"/>
      <c r="BK138" s="126"/>
      <c r="BL138" s="126"/>
      <c r="BM138" s="126"/>
      <c r="BN138" s="126"/>
      <c r="BO138" s="126"/>
      <c r="BP138" s="126"/>
      <c r="BQ138" s="126"/>
      <c r="BR138" s="126"/>
      <c r="BS138" s="126"/>
      <c r="BT138" s="126"/>
      <c r="BU138" s="126"/>
      <c r="BV138" s="126"/>
      <c r="BW138" s="126"/>
      <c r="BX138" s="126"/>
    </row>
    <row r="139">
      <c r="A139" s="126"/>
      <c r="B139" s="126"/>
      <c r="C139" s="127"/>
      <c r="D139" s="126"/>
      <c r="E139" s="126"/>
      <c r="F139" s="127"/>
      <c r="G139" s="126"/>
      <c r="H139" s="127"/>
      <c r="I139" s="126"/>
      <c r="J139" s="126"/>
      <c r="K139" s="127"/>
      <c r="L139" s="126"/>
      <c r="M139" s="126"/>
      <c r="N139" s="127"/>
      <c r="O139" s="126"/>
      <c r="P139" s="126"/>
      <c r="Q139" s="127"/>
      <c r="R139" s="126"/>
      <c r="S139" s="126"/>
      <c r="T139" s="127"/>
      <c r="U139" s="126"/>
      <c r="V139" s="126"/>
      <c r="W139" s="127"/>
      <c r="X139" s="126"/>
      <c r="Y139" s="126"/>
      <c r="Z139" s="127"/>
      <c r="AA139" s="126"/>
      <c r="AB139" s="126"/>
      <c r="AC139" s="127"/>
      <c r="AD139" s="126"/>
      <c r="AE139" s="126"/>
      <c r="AF139" s="126"/>
      <c r="AG139" s="127"/>
      <c r="AH139" s="126"/>
      <c r="AI139" s="126"/>
      <c r="AJ139" s="127"/>
      <c r="AK139" s="126"/>
      <c r="AL139" s="126"/>
      <c r="AM139" s="127"/>
      <c r="AN139" s="126"/>
      <c r="AO139" s="126"/>
      <c r="AP139" s="127"/>
      <c r="AQ139" s="126"/>
      <c r="AR139" s="126"/>
      <c r="AS139" s="127"/>
      <c r="AT139" s="126"/>
      <c r="AU139" s="126"/>
      <c r="AV139" s="127"/>
      <c r="AW139" s="126"/>
      <c r="AX139" s="126"/>
      <c r="AY139" s="127"/>
      <c r="AZ139" s="126"/>
      <c r="BA139" s="126"/>
      <c r="BB139" s="127"/>
      <c r="BC139" s="126"/>
      <c r="BD139" s="134"/>
      <c r="BE139" s="127"/>
      <c r="BF139" s="126"/>
      <c r="BG139" s="126"/>
      <c r="BH139" s="126"/>
      <c r="BI139" s="126"/>
      <c r="BJ139" s="126"/>
      <c r="BK139" s="126"/>
      <c r="BL139" s="126"/>
      <c r="BM139" s="126"/>
      <c r="BN139" s="126"/>
      <c r="BO139" s="126"/>
      <c r="BP139" s="126"/>
      <c r="BQ139" s="126"/>
      <c r="BR139" s="126"/>
      <c r="BS139" s="126"/>
      <c r="BT139" s="126"/>
      <c r="BU139" s="126"/>
      <c r="BV139" s="126"/>
      <c r="BW139" s="126"/>
      <c r="BX139" s="126"/>
    </row>
    <row r="140">
      <c r="A140" s="126"/>
      <c r="B140" s="126"/>
      <c r="C140" s="127"/>
      <c r="D140" s="126"/>
      <c r="E140" s="126"/>
      <c r="F140" s="127"/>
      <c r="G140" s="126"/>
      <c r="H140" s="127"/>
      <c r="I140" s="126"/>
      <c r="J140" s="126"/>
      <c r="K140" s="127"/>
      <c r="L140" s="126"/>
      <c r="M140" s="126"/>
      <c r="N140" s="127"/>
      <c r="O140" s="126"/>
      <c r="P140" s="126"/>
      <c r="Q140" s="127"/>
      <c r="R140" s="126"/>
      <c r="S140" s="126"/>
      <c r="T140" s="127"/>
      <c r="U140" s="126"/>
      <c r="V140" s="126"/>
      <c r="W140" s="127"/>
      <c r="X140" s="126"/>
      <c r="Y140" s="126"/>
      <c r="Z140" s="127"/>
      <c r="AA140" s="126"/>
      <c r="AB140" s="126"/>
      <c r="AC140" s="127"/>
      <c r="AD140" s="126"/>
      <c r="AE140" s="126"/>
      <c r="AF140" s="126"/>
      <c r="AG140" s="127"/>
      <c r="AH140" s="126"/>
      <c r="AI140" s="126"/>
      <c r="AJ140" s="127"/>
      <c r="AK140" s="126"/>
      <c r="AL140" s="126"/>
      <c r="AM140" s="127"/>
      <c r="AN140" s="126"/>
      <c r="AO140" s="126"/>
      <c r="AP140" s="127"/>
      <c r="AQ140" s="126"/>
      <c r="AR140" s="126"/>
      <c r="AS140" s="127"/>
      <c r="AT140" s="126"/>
      <c r="AU140" s="126"/>
      <c r="AV140" s="127"/>
      <c r="AW140" s="126"/>
      <c r="AX140" s="126"/>
      <c r="AY140" s="127"/>
      <c r="AZ140" s="126"/>
      <c r="BA140" s="126"/>
      <c r="BB140" s="127"/>
      <c r="BC140" s="126"/>
      <c r="BD140" s="134"/>
      <c r="BE140" s="127"/>
      <c r="BF140" s="126"/>
      <c r="BG140" s="126"/>
      <c r="BH140" s="126"/>
      <c r="BI140" s="126"/>
      <c r="BJ140" s="126"/>
      <c r="BK140" s="126"/>
      <c r="BL140" s="126"/>
      <c r="BM140" s="126"/>
      <c r="BN140" s="126"/>
      <c r="BO140" s="126"/>
      <c r="BP140" s="126"/>
      <c r="BQ140" s="126"/>
      <c r="BR140" s="126"/>
      <c r="BS140" s="126"/>
      <c r="BT140" s="126"/>
      <c r="BU140" s="126"/>
      <c r="BV140" s="126"/>
      <c r="BW140" s="126"/>
      <c r="BX140" s="126"/>
    </row>
    <row r="141">
      <c r="A141" s="126"/>
      <c r="B141" s="126"/>
      <c r="C141" s="127"/>
      <c r="D141" s="126"/>
      <c r="E141" s="126"/>
      <c r="F141" s="127"/>
      <c r="G141" s="126"/>
      <c r="H141" s="127"/>
      <c r="I141" s="126"/>
      <c r="J141" s="126"/>
      <c r="K141" s="127"/>
      <c r="L141" s="126"/>
      <c r="M141" s="126"/>
      <c r="N141" s="127"/>
      <c r="O141" s="126"/>
      <c r="P141" s="126"/>
      <c r="Q141" s="127"/>
      <c r="R141" s="126"/>
      <c r="S141" s="126"/>
      <c r="T141" s="127"/>
      <c r="U141" s="126"/>
      <c r="V141" s="126"/>
      <c r="W141" s="127"/>
      <c r="X141" s="126"/>
      <c r="Y141" s="126"/>
      <c r="Z141" s="127"/>
      <c r="AA141" s="126"/>
      <c r="AB141" s="126"/>
      <c r="AC141" s="127"/>
      <c r="AD141" s="126"/>
      <c r="AE141" s="126"/>
      <c r="AF141" s="126"/>
      <c r="AG141" s="127"/>
      <c r="AH141" s="126"/>
      <c r="AI141" s="126"/>
      <c r="AJ141" s="127"/>
      <c r="AK141" s="126"/>
      <c r="AL141" s="126"/>
      <c r="AM141" s="127"/>
      <c r="AN141" s="126"/>
      <c r="AO141" s="126"/>
      <c r="AP141" s="127"/>
      <c r="AQ141" s="126"/>
      <c r="AR141" s="126"/>
      <c r="AS141" s="127"/>
      <c r="AT141" s="126"/>
      <c r="AU141" s="126"/>
      <c r="AV141" s="127"/>
      <c r="AW141" s="126"/>
      <c r="AX141" s="126"/>
      <c r="AY141" s="127"/>
      <c r="AZ141" s="126"/>
      <c r="BA141" s="126"/>
      <c r="BB141" s="127"/>
      <c r="BC141" s="126"/>
      <c r="BD141" s="134"/>
      <c r="BE141" s="127"/>
      <c r="BF141" s="126"/>
      <c r="BG141" s="126"/>
      <c r="BH141" s="126"/>
      <c r="BI141" s="126"/>
      <c r="BJ141" s="126"/>
      <c r="BK141" s="126"/>
      <c r="BL141" s="126"/>
      <c r="BM141" s="126"/>
      <c r="BN141" s="126"/>
      <c r="BO141" s="126"/>
      <c r="BP141" s="126"/>
      <c r="BQ141" s="126"/>
      <c r="BR141" s="126"/>
      <c r="BS141" s="126"/>
      <c r="BT141" s="126"/>
      <c r="BU141" s="126"/>
      <c r="BV141" s="126"/>
      <c r="BW141" s="126"/>
      <c r="BX141" s="126"/>
    </row>
    <row r="142">
      <c r="A142" s="126"/>
      <c r="B142" s="126"/>
      <c r="C142" s="127"/>
      <c r="D142" s="126"/>
      <c r="E142" s="126"/>
      <c r="F142" s="127"/>
      <c r="G142" s="126"/>
      <c r="H142" s="127"/>
      <c r="I142" s="126"/>
      <c r="J142" s="126"/>
      <c r="K142" s="127"/>
      <c r="L142" s="126"/>
      <c r="M142" s="126"/>
      <c r="N142" s="127"/>
      <c r="O142" s="126"/>
      <c r="P142" s="126"/>
      <c r="Q142" s="127"/>
      <c r="R142" s="126"/>
      <c r="S142" s="126"/>
      <c r="T142" s="127"/>
      <c r="U142" s="126"/>
      <c r="V142" s="126"/>
      <c r="W142" s="127"/>
      <c r="X142" s="126"/>
      <c r="Y142" s="126"/>
      <c r="Z142" s="127"/>
      <c r="AA142" s="126"/>
      <c r="AB142" s="126"/>
      <c r="AC142" s="127"/>
      <c r="AD142" s="126"/>
      <c r="AE142" s="126"/>
      <c r="AF142" s="126"/>
      <c r="AG142" s="127"/>
      <c r="AH142" s="126"/>
      <c r="AI142" s="126"/>
      <c r="AJ142" s="127"/>
      <c r="AK142" s="126"/>
      <c r="AL142" s="126"/>
      <c r="AM142" s="127"/>
      <c r="AN142" s="126"/>
      <c r="AO142" s="126"/>
      <c r="AP142" s="127"/>
      <c r="AQ142" s="126"/>
      <c r="AR142" s="126"/>
      <c r="AS142" s="127"/>
      <c r="AT142" s="126"/>
      <c r="AU142" s="126"/>
      <c r="AV142" s="127"/>
      <c r="AW142" s="126"/>
      <c r="AX142" s="126"/>
      <c r="AY142" s="127"/>
      <c r="AZ142" s="126"/>
      <c r="BA142" s="126"/>
      <c r="BB142" s="127"/>
      <c r="BC142" s="126"/>
      <c r="BD142" s="134"/>
      <c r="BE142" s="127"/>
      <c r="BF142" s="126"/>
      <c r="BG142" s="126"/>
      <c r="BH142" s="126"/>
      <c r="BI142" s="126"/>
      <c r="BJ142" s="126"/>
      <c r="BK142" s="126"/>
      <c r="BL142" s="126"/>
      <c r="BM142" s="126"/>
      <c r="BN142" s="126"/>
      <c r="BO142" s="126"/>
      <c r="BP142" s="126"/>
      <c r="BQ142" s="126"/>
      <c r="BR142" s="126"/>
      <c r="BS142" s="126"/>
      <c r="BT142" s="126"/>
      <c r="BU142" s="126"/>
      <c r="BV142" s="126"/>
      <c r="BW142" s="126"/>
      <c r="BX142" s="126"/>
    </row>
    <row r="143">
      <c r="A143" s="126"/>
      <c r="B143" s="126"/>
      <c r="C143" s="127"/>
      <c r="D143" s="126"/>
      <c r="E143" s="126"/>
      <c r="F143" s="127"/>
      <c r="G143" s="126"/>
      <c r="H143" s="127"/>
      <c r="I143" s="126"/>
      <c r="J143" s="126"/>
      <c r="K143" s="127"/>
      <c r="L143" s="126"/>
      <c r="M143" s="126"/>
      <c r="N143" s="127"/>
      <c r="O143" s="126"/>
      <c r="P143" s="126"/>
      <c r="Q143" s="127"/>
      <c r="R143" s="126"/>
      <c r="S143" s="126"/>
      <c r="T143" s="127"/>
      <c r="U143" s="126"/>
      <c r="V143" s="126"/>
      <c r="W143" s="127"/>
      <c r="X143" s="126"/>
      <c r="Y143" s="126"/>
      <c r="Z143" s="127"/>
      <c r="AA143" s="126"/>
      <c r="AB143" s="126"/>
      <c r="AC143" s="127"/>
      <c r="AD143" s="126"/>
      <c r="AE143" s="126"/>
      <c r="AF143" s="126"/>
      <c r="AG143" s="127"/>
      <c r="AH143" s="126"/>
      <c r="AI143" s="126"/>
      <c r="AJ143" s="127"/>
      <c r="AK143" s="126"/>
      <c r="AL143" s="126"/>
      <c r="AM143" s="127"/>
      <c r="AN143" s="126"/>
      <c r="AO143" s="126"/>
      <c r="AP143" s="127"/>
      <c r="AQ143" s="126"/>
      <c r="AR143" s="126"/>
      <c r="AS143" s="127"/>
      <c r="AT143" s="126"/>
      <c r="AU143" s="126"/>
      <c r="AV143" s="127"/>
      <c r="AW143" s="126"/>
      <c r="AX143" s="126"/>
      <c r="AY143" s="127"/>
      <c r="AZ143" s="126"/>
      <c r="BA143" s="126"/>
      <c r="BB143" s="127"/>
      <c r="BC143" s="126"/>
      <c r="BD143" s="134"/>
      <c r="BE143" s="127"/>
      <c r="BF143" s="126"/>
      <c r="BG143" s="126"/>
      <c r="BH143" s="126"/>
      <c r="BI143" s="126"/>
      <c r="BJ143" s="126"/>
      <c r="BK143" s="126"/>
      <c r="BL143" s="126"/>
      <c r="BM143" s="126"/>
      <c r="BN143" s="126"/>
      <c r="BO143" s="126"/>
      <c r="BP143" s="126"/>
      <c r="BQ143" s="126"/>
      <c r="BR143" s="126"/>
      <c r="BS143" s="126"/>
      <c r="BT143" s="126"/>
      <c r="BU143" s="126"/>
      <c r="BV143" s="126"/>
      <c r="BW143" s="126"/>
      <c r="BX143" s="126"/>
    </row>
    <row r="144">
      <c r="A144" s="126"/>
      <c r="B144" s="126"/>
      <c r="C144" s="127"/>
      <c r="D144" s="126"/>
      <c r="E144" s="126"/>
      <c r="F144" s="127"/>
      <c r="G144" s="126"/>
      <c r="H144" s="127"/>
      <c r="I144" s="126"/>
      <c r="J144" s="126"/>
      <c r="K144" s="127"/>
      <c r="L144" s="126"/>
      <c r="M144" s="126"/>
      <c r="N144" s="127"/>
      <c r="O144" s="126"/>
      <c r="P144" s="126"/>
      <c r="Q144" s="127"/>
      <c r="R144" s="126"/>
      <c r="S144" s="126"/>
      <c r="T144" s="127"/>
      <c r="U144" s="126"/>
      <c r="V144" s="126"/>
      <c r="W144" s="127"/>
      <c r="X144" s="126"/>
      <c r="Y144" s="126"/>
      <c r="Z144" s="127"/>
      <c r="AA144" s="126"/>
      <c r="AB144" s="126"/>
      <c r="AC144" s="127"/>
      <c r="AD144" s="126"/>
      <c r="AE144" s="126"/>
      <c r="AF144" s="126"/>
      <c r="AG144" s="127"/>
      <c r="AH144" s="126"/>
      <c r="AI144" s="126"/>
      <c r="AJ144" s="127"/>
      <c r="AK144" s="126"/>
      <c r="AL144" s="126"/>
      <c r="AM144" s="127"/>
      <c r="AN144" s="126"/>
      <c r="AO144" s="126"/>
      <c r="AP144" s="127"/>
      <c r="AQ144" s="126"/>
      <c r="AR144" s="126"/>
      <c r="AS144" s="127"/>
      <c r="AT144" s="126"/>
      <c r="AU144" s="126"/>
      <c r="AV144" s="127"/>
      <c r="AW144" s="126"/>
      <c r="AX144" s="126"/>
      <c r="AY144" s="127"/>
      <c r="AZ144" s="126"/>
      <c r="BA144" s="126"/>
      <c r="BB144" s="127"/>
      <c r="BC144" s="126"/>
      <c r="BD144" s="134"/>
      <c r="BE144" s="127"/>
      <c r="BF144" s="126"/>
      <c r="BG144" s="126"/>
      <c r="BH144" s="126"/>
      <c r="BI144" s="126"/>
      <c r="BJ144" s="126"/>
      <c r="BK144" s="126"/>
      <c r="BL144" s="126"/>
      <c r="BM144" s="126"/>
      <c r="BN144" s="126"/>
      <c r="BO144" s="126"/>
      <c r="BP144" s="126"/>
      <c r="BQ144" s="126"/>
      <c r="BR144" s="126"/>
      <c r="BS144" s="126"/>
      <c r="BT144" s="126"/>
      <c r="BU144" s="126"/>
      <c r="BV144" s="126"/>
      <c r="BW144" s="126"/>
      <c r="BX144" s="126"/>
    </row>
    <row r="145">
      <c r="A145" s="126"/>
      <c r="B145" s="126"/>
      <c r="C145" s="127"/>
      <c r="D145" s="126"/>
      <c r="E145" s="126"/>
      <c r="F145" s="127"/>
      <c r="G145" s="126"/>
      <c r="H145" s="127"/>
      <c r="I145" s="126"/>
      <c r="J145" s="126"/>
      <c r="K145" s="127"/>
      <c r="L145" s="126"/>
      <c r="M145" s="126"/>
      <c r="N145" s="127"/>
      <c r="O145" s="126"/>
      <c r="P145" s="126"/>
      <c r="Q145" s="127"/>
      <c r="R145" s="126"/>
      <c r="S145" s="126"/>
      <c r="T145" s="127"/>
      <c r="U145" s="126"/>
      <c r="V145" s="126"/>
      <c r="W145" s="127"/>
      <c r="X145" s="126"/>
      <c r="Y145" s="126"/>
      <c r="Z145" s="127"/>
      <c r="AA145" s="126"/>
      <c r="AB145" s="126"/>
      <c r="AC145" s="127"/>
      <c r="AD145" s="126"/>
      <c r="AE145" s="126"/>
      <c r="AF145" s="126"/>
      <c r="AG145" s="127"/>
      <c r="AH145" s="126"/>
      <c r="AI145" s="126"/>
      <c r="AJ145" s="127"/>
      <c r="AK145" s="126"/>
      <c r="AL145" s="126"/>
      <c r="AM145" s="127"/>
      <c r="AN145" s="126"/>
      <c r="AO145" s="126"/>
      <c r="AP145" s="127"/>
      <c r="AQ145" s="126"/>
      <c r="AR145" s="126"/>
      <c r="AS145" s="127"/>
      <c r="AT145" s="126"/>
      <c r="AU145" s="126"/>
      <c r="AV145" s="127"/>
      <c r="AW145" s="126"/>
      <c r="AX145" s="126"/>
      <c r="AY145" s="127"/>
      <c r="AZ145" s="126"/>
      <c r="BA145" s="126"/>
      <c r="BB145" s="127"/>
      <c r="BC145" s="126"/>
      <c r="BD145" s="134"/>
      <c r="BE145" s="127"/>
      <c r="BF145" s="126"/>
      <c r="BG145" s="126"/>
      <c r="BH145" s="126"/>
      <c r="BI145" s="126"/>
      <c r="BJ145" s="126"/>
      <c r="BK145" s="126"/>
      <c r="BL145" s="126"/>
      <c r="BM145" s="126"/>
      <c r="BN145" s="126"/>
      <c r="BO145" s="126"/>
      <c r="BP145" s="126"/>
      <c r="BQ145" s="126"/>
      <c r="BR145" s="126"/>
      <c r="BS145" s="126"/>
      <c r="BT145" s="126"/>
      <c r="BU145" s="126"/>
      <c r="BV145" s="126"/>
      <c r="BW145" s="126"/>
      <c r="BX145" s="126"/>
    </row>
    <row r="146">
      <c r="A146" s="126"/>
      <c r="B146" s="126"/>
      <c r="C146" s="127"/>
      <c r="D146" s="126"/>
      <c r="E146" s="126"/>
      <c r="F146" s="127"/>
      <c r="G146" s="126"/>
      <c r="H146" s="127"/>
      <c r="I146" s="126"/>
      <c r="J146" s="126"/>
      <c r="K146" s="127"/>
      <c r="L146" s="126"/>
      <c r="M146" s="126"/>
      <c r="N146" s="127"/>
      <c r="O146" s="126"/>
      <c r="P146" s="126"/>
      <c r="Q146" s="127"/>
      <c r="R146" s="126"/>
      <c r="S146" s="126"/>
      <c r="T146" s="127"/>
      <c r="U146" s="126"/>
      <c r="V146" s="126"/>
      <c r="W146" s="127"/>
      <c r="X146" s="126"/>
      <c r="Y146" s="126"/>
      <c r="Z146" s="127"/>
      <c r="AA146" s="126"/>
      <c r="AB146" s="126"/>
      <c r="AC146" s="127"/>
      <c r="AD146" s="126"/>
      <c r="AE146" s="126"/>
      <c r="AF146" s="126"/>
      <c r="AG146" s="127"/>
      <c r="AH146" s="126"/>
      <c r="AI146" s="126"/>
      <c r="AJ146" s="127"/>
      <c r="AK146" s="126"/>
      <c r="AL146" s="126"/>
      <c r="AM146" s="127"/>
      <c r="AN146" s="126"/>
      <c r="AO146" s="126"/>
      <c r="AP146" s="127"/>
      <c r="AQ146" s="126"/>
      <c r="AR146" s="126"/>
      <c r="AS146" s="127"/>
      <c r="AT146" s="126"/>
      <c r="AU146" s="126"/>
      <c r="AV146" s="127"/>
      <c r="AW146" s="126"/>
      <c r="AX146" s="126"/>
      <c r="AY146" s="127"/>
      <c r="AZ146" s="126"/>
      <c r="BA146" s="126"/>
      <c r="BB146" s="127"/>
      <c r="BC146" s="126"/>
      <c r="BD146" s="134"/>
      <c r="BE146" s="127"/>
      <c r="BF146" s="126"/>
      <c r="BG146" s="126"/>
      <c r="BH146" s="126"/>
      <c r="BI146" s="126"/>
      <c r="BJ146" s="126"/>
      <c r="BK146" s="126"/>
      <c r="BL146" s="126"/>
      <c r="BM146" s="126"/>
      <c r="BN146" s="126"/>
      <c r="BO146" s="126"/>
      <c r="BP146" s="126"/>
      <c r="BQ146" s="126"/>
      <c r="BR146" s="126"/>
      <c r="BS146" s="126"/>
      <c r="BT146" s="126"/>
      <c r="BU146" s="126"/>
      <c r="BV146" s="126"/>
      <c r="BW146" s="126"/>
      <c r="BX146" s="126"/>
    </row>
    <row r="147">
      <c r="A147" s="126"/>
      <c r="B147" s="126"/>
      <c r="C147" s="127"/>
      <c r="D147" s="126"/>
      <c r="E147" s="126"/>
      <c r="F147" s="127"/>
      <c r="G147" s="126"/>
      <c r="H147" s="127"/>
      <c r="I147" s="126"/>
      <c r="J147" s="126"/>
      <c r="K147" s="127"/>
      <c r="L147" s="126"/>
      <c r="M147" s="126"/>
      <c r="N147" s="127"/>
      <c r="O147" s="126"/>
      <c r="P147" s="126"/>
      <c r="Q147" s="127"/>
      <c r="R147" s="126"/>
      <c r="S147" s="126"/>
      <c r="T147" s="127"/>
      <c r="U147" s="126"/>
      <c r="V147" s="126"/>
      <c r="W147" s="127"/>
      <c r="X147" s="126"/>
      <c r="Y147" s="126"/>
      <c r="Z147" s="127"/>
      <c r="AA147" s="126"/>
      <c r="AB147" s="126"/>
      <c r="AC147" s="127"/>
      <c r="AD147" s="126"/>
      <c r="AE147" s="126"/>
      <c r="AF147" s="126"/>
      <c r="AG147" s="127"/>
      <c r="AH147" s="126"/>
      <c r="AI147" s="126"/>
      <c r="AJ147" s="127"/>
      <c r="AK147" s="126"/>
      <c r="AL147" s="126"/>
      <c r="AM147" s="127"/>
      <c r="AN147" s="126"/>
      <c r="AO147" s="126"/>
      <c r="AP147" s="127"/>
      <c r="AQ147" s="126"/>
      <c r="AR147" s="126"/>
      <c r="AS147" s="127"/>
      <c r="AT147" s="126"/>
      <c r="AU147" s="126"/>
      <c r="AV147" s="127"/>
      <c r="AW147" s="126"/>
      <c r="AX147" s="126"/>
      <c r="AY147" s="127"/>
      <c r="AZ147" s="126"/>
      <c r="BA147" s="126"/>
      <c r="BB147" s="127"/>
      <c r="BC147" s="126"/>
      <c r="BD147" s="134"/>
      <c r="BE147" s="127"/>
      <c r="BF147" s="126"/>
      <c r="BG147" s="126"/>
      <c r="BH147" s="126"/>
      <c r="BI147" s="126"/>
      <c r="BJ147" s="126"/>
      <c r="BK147" s="126"/>
      <c r="BL147" s="126"/>
      <c r="BM147" s="126"/>
      <c r="BN147" s="126"/>
      <c r="BO147" s="126"/>
      <c r="BP147" s="126"/>
      <c r="BQ147" s="126"/>
      <c r="BR147" s="126"/>
      <c r="BS147" s="126"/>
      <c r="BT147" s="126"/>
      <c r="BU147" s="126"/>
      <c r="BV147" s="126"/>
      <c r="BW147" s="126"/>
      <c r="BX147" s="126"/>
    </row>
    <row r="148">
      <c r="A148" s="126"/>
      <c r="B148" s="126"/>
      <c r="C148" s="127"/>
      <c r="D148" s="126"/>
      <c r="E148" s="126"/>
      <c r="F148" s="127"/>
      <c r="G148" s="126"/>
      <c r="H148" s="127"/>
      <c r="I148" s="126"/>
      <c r="J148" s="126"/>
      <c r="K148" s="127"/>
      <c r="L148" s="126"/>
      <c r="M148" s="126"/>
      <c r="N148" s="127"/>
      <c r="O148" s="126"/>
      <c r="P148" s="126"/>
      <c r="Q148" s="127"/>
      <c r="R148" s="126"/>
      <c r="S148" s="126"/>
      <c r="T148" s="127"/>
      <c r="U148" s="126"/>
      <c r="V148" s="126"/>
      <c r="W148" s="127"/>
      <c r="X148" s="126"/>
      <c r="Y148" s="126"/>
      <c r="Z148" s="127"/>
      <c r="AA148" s="126"/>
      <c r="AB148" s="126"/>
      <c r="AC148" s="127"/>
      <c r="AD148" s="126"/>
      <c r="AE148" s="126"/>
      <c r="AF148" s="126"/>
      <c r="AG148" s="127"/>
      <c r="AH148" s="126"/>
      <c r="AI148" s="126"/>
      <c r="AJ148" s="127"/>
      <c r="AK148" s="126"/>
      <c r="AL148" s="126"/>
      <c r="AM148" s="127"/>
      <c r="AN148" s="126"/>
      <c r="AO148" s="126"/>
      <c r="AP148" s="127"/>
      <c r="AQ148" s="126"/>
      <c r="AR148" s="126"/>
      <c r="AS148" s="127"/>
      <c r="AT148" s="126"/>
      <c r="AU148" s="126"/>
      <c r="AV148" s="127"/>
      <c r="AW148" s="126"/>
      <c r="AX148" s="126"/>
      <c r="AY148" s="127"/>
      <c r="AZ148" s="126"/>
      <c r="BA148" s="126"/>
      <c r="BB148" s="127"/>
      <c r="BC148" s="126"/>
      <c r="BD148" s="134"/>
      <c r="BE148" s="127"/>
      <c r="BF148" s="126"/>
      <c r="BG148" s="126"/>
      <c r="BH148" s="126"/>
      <c r="BI148" s="126"/>
      <c r="BJ148" s="126"/>
      <c r="BK148" s="126"/>
      <c r="BL148" s="126"/>
      <c r="BM148" s="126"/>
      <c r="BN148" s="126"/>
      <c r="BO148" s="126"/>
      <c r="BP148" s="126"/>
      <c r="BQ148" s="126"/>
      <c r="BR148" s="126"/>
      <c r="BS148" s="126"/>
      <c r="BT148" s="126"/>
      <c r="BU148" s="126"/>
      <c r="BV148" s="126"/>
      <c r="BW148" s="126"/>
      <c r="BX148" s="126"/>
    </row>
    <row r="149">
      <c r="A149" s="126"/>
      <c r="B149" s="126"/>
      <c r="C149" s="127"/>
      <c r="D149" s="126"/>
      <c r="E149" s="126"/>
      <c r="F149" s="127"/>
      <c r="G149" s="126"/>
      <c r="H149" s="127"/>
      <c r="I149" s="126"/>
      <c r="J149" s="126"/>
      <c r="K149" s="127"/>
      <c r="L149" s="126"/>
      <c r="M149" s="126"/>
      <c r="N149" s="127"/>
      <c r="O149" s="126"/>
      <c r="P149" s="126"/>
      <c r="Q149" s="127"/>
      <c r="R149" s="126"/>
      <c r="S149" s="126"/>
      <c r="T149" s="127"/>
      <c r="U149" s="126"/>
      <c r="V149" s="126"/>
      <c r="W149" s="127"/>
      <c r="X149" s="126"/>
      <c r="Y149" s="126"/>
      <c r="Z149" s="127"/>
      <c r="AA149" s="126"/>
      <c r="AB149" s="126"/>
      <c r="AC149" s="127"/>
      <c r="AD149" s="126"/>
      <c r="AE149" s="126"/>
      <c r="AF149" s="126"/>
      <c r="AG149" s="127"/>
      <c r="AH149" s="126"/>
      <c r="AI149" s="126"/>
      <c r="AJ149" s="127"/>
      <c r="AK149" s="126"/>
      <c r="AL149" s="126"/>
      <c r="AM149" s="127"/>
      <c r="AN149" s="126"/>
      <c r="AO149" s="126"/>
      <c r="AP149" s="127"/>
      <c r="AQ149" s="126"/>
      <c r="AR149" s="126"/>
      <c r="AS149" s="127"/>
      <c r="AT149" s="126"/>
      <c r="AU149" s="126"/>
      <c r="AV149" s="127"/>
      <c r="AW149" s="126"/>
      <c r="AX149" s="126"/>
      <c r="AY149" s="127"/>
      <c r="AZ149" s="126"/>
      <c r="BA149" s="126"/>
      <c r="BB149" s="127"/>
      <c r="BC149" s="126"/>
      <c r="BD149" s="134"/>
      <c r="BE149" s="127"/>
      <c r="BF149" s="126"/>
      <c r="BG149" s="126"/>
      <c r="BH149" s="126"/>
      <c r="BI149" s="126"/>
      <c r="BJ149" s="126"/>
      <c r="BK149" s="126"/>
      <c r="BL149" s="126"/>
      <c r="BM149" s="126"/>
      <c r="BN149" s="126"/>
      <c r="BO149" s="126"/>
      <c r="BP149" s="126"/>
      <c r="BQ149" s="126"/>
      <c r="BR149" s="126"/>
      <c r="BS149" s="126"/>
      <c r="BT149" s="126"/>
      <c r="BU149" s="126"/>
      <c r="BV149" s="126"/>
      <c r="BW149" s="126"/>
      <c r="BX149" s="126"/>
    </row>
    <row r="150">
      <c r="A150" s="126"/>
      <c r="B150" s="126"/>
      <c r="C150" s="127"/>
      <c r="D150" s="126"/>
      <c r="E150" s="126"/>
      <c r="F150" s="127"/>
      <c r="G150" s="126"/>
      <c r="H150" s="127"/>
      <c r="I150" s="126"/>
      <c r="J150" s="126"/>
      <c r="K150" s="127"/>
      <c r="L150" s="126"/>
      <c r="M150" s="126"/>
      <c r="N150" s="127"/>
      <c r="O150" s="126"/>
      <c r="P150" s="126"/>
      <c r="Q150" s="127"/>
      <c r="R150" s="126"/>
      <c r="S150" s="126"/>
      <c r="T150" s="127"/>
      <c r="U150" s="126"/>
      <c r="V150" s="126"/>
      <c r="W150" s="127"/>
      <c r="X150" s="126"/>
      <c r="Y150" s="126"/>
      <c r="Z150" s="127"/>
      <c r="AA150" s="126"/>
      <c r="AB150" s="126"/>
      <c r="AC150" s="127"/>
      <c r="AD150" s="126"/>
      <c r="AE150" s="126"/>
      <c r="AF150" s="126"/>
      <c r="AG150" s="127"/>
      <c r="AH150" s="126"/>
      <c r="AI150" s="126"/>
      <c r="AJ150" s="127"/>
      <c r="AK150" s="126"/>
      <c r="AL150" s="126"/>
      <c r="AM150" s="127"/>
      <c r="AN150" s="126"/>
      <c r="AO150" s="126"/>
      <c r="AP150" s="127"/>
      <c r="AQ150" s="126"/>
      <c r="AR150" s="126"/>
      <c r="AS150" s="127"/>
      <c r="AT150" s="126"/>
      <c r="AU150" s="126"/>
      <c r="AV150" s="127"/>
      <c r="AW150" s="126"/>
      <c r="AX150" s="126"/>
      <c r="AY150" s="127"/>
      <c r="AZ150" s="126"/>
      <c r="BA150" s="126"/>
      <c r="BB150" s="127"/>
      <c r="BC150" s="126"/>
      <c r="BD150" s="134"/>
      <c r="BE150" s="127"/>
      <c r="BF150" s="126"/>
      <c r="BG150" s="126"/>
      <c r="BH150" s="126"/>
      <c r="BI150" s="126"/>
      <c r="BJ150" s="126"/>
      <c r="BK150" s="126"/>
      <c r="BL150" s="126"/>
      <c r="BM150" s="126"/>
      <c r="BN150" s="126"/>
      <c r="BO150" s="126"/>
      <c r="BP150" s="126"/>
      <c r="BQ150" s="126"/>
      <c r="BR150" s="126"/>
      <c r="BS150" s="126"/>
      <c r="BT150" s="126"/>
      <c r="BU150" s="126"/>
      <c r="BV150" s="126"/>
      <c r="BW150" s="126"/>
      <c r="BX150" s="126"/>
    </row>
    <row r="151">
      <c r="A151" s="126"/>
      <c r="B151" s="126"/>
      <c r="C151" s="127"/>
      <c r="D151" s="126"/>
      <c r="E151" s="126"/>
      <c r="F151" s="127"/>
      <c r="G151" s="126"/>
      <c r="H151" s="127"/>
      <c r="I151" s="126"/>
      <c r="J151" s="126"/>
      <c r="K151" s="127"/>
      <c r="L151" s="126"/>
      <c r="M151" s="126"/>
      <c r="N151" s="127"/>
      <c r="O151" s="126"/>
      <c r="P151" s="126"/>
      <c r="Q151" s="127"/>
      <c r="R151" s="126"/>
      <c r="S151" s="126"/>
      <c r="T151" s="127"/>
      <c r="U151" s="126"/>
      <c r="V151" s="126"/>
      <c r="W151" s="127"/>
      <c r="X151" s="126"/>
      <c r="Y151" s="126"/>
      <c r="Z151" s="127"/>
      <c r="AA151" s="126"/>
      <c r="AB151" s="126"/>
      <c r="AC151" s="127"/>
      <c r="AD151" s="126"/>
      <c r="AE151" s="126"/>
      <c r="AF151" s="126"/>
      <c r="AG151" s="127"/>
      <c r="AH151" s="126"/>
      <c r="AI151" s="126"/>
      <c r="AJ151" s="127"/>
      <c r="AK151" s="126"/>
      <c r="AL151" s="126"/>
      <c r="AM151" s="127"/>
      <c r="AN151" s="126"/>
      <c r="AO151" s="126"/>
      <c r="AP151" s="127"/>
      <c r="AQ151" s="126"/>
      <c r="AR151" s="126"/>
      <c r="AS151" s="127"/>
      <c r="AT151" s="126"/>
      <c r="AU151" s="126"/>
      <c r="AV151" s="127"/>
      <c r="AW151" s="126"/>
      <c r="AX151" s="126"/>
      <c r="AY151" s="127"/>
      <c r="AZ151" s="126"/>
      <c r="BA151" s="126"/>
      <c r="BB151" s="127"/>
      <c r="BC151" s="126"/>
      <c r="BD151" s="134"/>
      <c r="BE151" s="127"/>
      <c r="BF151" s="126"/>
      <c r="BG151" s="126"/>
      <c r="BH151" s="126"/>
      <c r="BI151" s="126"/>
      <c r="BJ151" s="126"/>
      <c r="BK151" s="126"/>
      <c r="BL151" s="126"/>
      <c r="BM151" s="126"/>
      <c r="BN151" s="126"/>
      <c r="BO151" s="126"/>
      <c r="BP151" s="126"/>
      <c r="BQ151" s="126"/>
      <c r="BR151" s="126"/>
      <c r="BS151" s="126"/>
      <c r="BT151" s="126"/>
      <c r="BU151" s="126"/>
      <c r="BV151" s="126"/>
      <c r="BW151" s="126"/>
      <c r="BX151" s="126"/>
    </row>
    <row r="152">
      <c r="A152" s="126"/>
      <c r="B152" s="126"/>
      <c r="C152" s="127"/>
      <c r="D152" s="126"/>
      <c r="E152" s="126"/>
      <c r="F152" s="127"/>
      <c r="G152" s="126"/>
      <c r="H152" s="127"/>
      <c r="I152" s="126"/>
      <c r="J152" s="126"/>
      <c r="K152" s="127"/>
      <c r="L152" s="126"/>
      <c r="M152" s="126"/>
      <c r="N152" s="127"/>
      <c r="O152" s="126"/>
      <c r="P152" s="126"/>
      <c r="Q152" s="127"/>
      <c r="R152" s="126"/>
      <c r="S152" s="126"/>
      <c r="T152" s="127"/>
      <c r="U152" s="126"/>
      <c r="V152" s="126"/>
      <c r="W152" s="127"/>
      <c r="X152" s="126"/>
      <c r="Y152" s="126"/>
      <c r="Z152" s="127"/>
      <c r="AA152" s="126"/>
      <c r="AB152" s="126"/>
      <c r="AC152" s="127"/>
      <c r="AD152" s="126"/>
      <c r="AE152" s="126"/>
      <c r="AF152" s="126"/>
      <c r="AG152" s="127"/>
      <c r="AH152" s="126"/>
      <c r="AI152" s="126"/>
      <c r="AJ152" s="127"/>
      <c r="AK152" s="126"/>
      <c r="AL152" s="126"/>
      <c r="AM152" s="127"/>
      <c r="AN152" s="126"/>
      <c r="AO152" s="126"/>
      <c r="AP152" s="127"/>
      <c r="AQ152" s="126"/>
      <c r="AR152" s="126"/>
      <c r="AS152" s="127"/>
      <c r="AT152" s="126"/>
      <c r="AU152" s="126"/>
      <c r="AV152" s="127"/>
      <c r="AW152" s="126"/>
      <c r="AX152" s="126"/>
      <c r="AY152" s="127"/>
      <c r="AZ152" s="126"/>
      <c r="BA152" s="126"/>
      <c r="BB152" s="127"/>
      <c r="BC152" s="126"/>
      <c r="BD152" s="134"/>
      <c r="BE152" s="127"/>
      <c r="BF152" s="126"/>
      <c r="BG152" s="126"/>
      <c r="BH152" s="126"/>
      <c r="BI152" s="126"/>
      <c r="BJ152" s="126"/>
      <c r="BK152" s="126"/>
      <c r="BL152" s="126"/>
      <c r="BM152" s="126"/>
      <c r="BN152" s="126"/>
      <c r="BO152" s="126"/>
      <c r="BP152" s="126"/>
      <c r="BQ152" s="126"/>
      <c r="BR152" s="126"/>
      <c r="BS152" s="126"/>
      <c r="BT152" s="126"/>
      <c r="BU152" s="126"/>
      <c r="BV152" s="126"/>
      <c r="BW152" s="126"/>
      <c r="BX152" s="126"/>
    </row>
    <row r="153">
      <c r="A153" s="126"/>
      <c r="B153" s="126"/>
      <c r="C153" s="127"/>
      <c r="D153" s="126"/>
      <c r="E153" s="126"/>
      <c r="F153" s="127"/>
      <c r="G153" s="126"/>
      <c r="H153" s="127"/>
      <c r="I153" s="126"/>
      <c r="J153" s="126"/>
      <c r="K153" s="127"/>
      <c r="L153" s="126"/>
      <c r="M153" s="126"/>
      <c r="N153" s="127"/>
      <c r="O153" s="126"/>
      <c r="P153" s="126"/>
      <c r="Q153" s="127"/>
      <c r="R153" s="126"/>
      <c r="S153" s="126"/>
      <c r="T153" s="127"/>
      <c r="U153" s="126"/>
      <c r="V153" s="126"/>
      <c r="W153" s="127"/>
      <c r="X153" s="126"/>
      <c r="Y153" s="126"/>
      <c r="Z153" s="127"/>
      <c r="AA153" s="126"/>
      <c r="AB153" s="126"/>
      <c r="AC153" s="127"/>
      <c r="AD153" s="126"/>
      <c r="AE153" s="126"/>
      <c r="AF153" s="126"/>
      <c r="AG153" s="127"/>
      <c r="AH153" s="126"/>
      <c r="AI153" s="126"/>
      <c r="AJ153" s="127"/>
      <c r="AK153" s="126"/>
      <c r="AL153" s="126"/>
      <c r="AM153" s="127"/>
      <c r="AN153" s="126"/>
      <c r="AO153" s="126"/>
      <c r="AP153" s="127"/>
      <c r="AQ153" s="126"/>
      <c r="AR153" s="126"/>
      <c r="AS153" s="127"/>
      <c r="AT153" s="126"/>
      <c r="AU153" s="126"/>
      <c r="AV153" s="127"/>
      <c r="AW153" s="126"/>
      <c r="AX153" s="126"/>
      <c r="AY153" s="127"/>
      <c r="AZ153" s="126"/>
      <c r="BA153" s="126"/>
      <c r="BB153" s="127"/>
      <c r="BC153" s="126"/>
      <c r="BD153" s="134"/>
      <c r="BE153" s="127"/>
      <c r="BF153" s="126"/>
      <c r="BG153" s="126"/>
      <c r="BH153" s="126"/>
      <c r="BI153" s="126"/>
      <c r="BJ153" s="126"/>
      <c r="BK153" s="126"/>
      <c r="BL153" s="126"/>
      <c r="BM153" s="126"/>
      <c r="BN153" s="126"/>
      <c r="BO153" s="126"/>
      <c r="BP153" s="126"/>
      <c r="BQ153" s="126"/>
      <c r="BR153" s="126"/>
      <c r="BS153" s="126"/>
      <c r="BT153" s="126"/>
      <c r="BU153" s="126"/>
      <c r="BV153" s="126"/>
      <c r="BW153" s="126"/>
      <c r="BX153" s="126"/>
    </row>
    <row r="154">
      <c r="A154" s="126"/>
      <c r="B154" s="126"/>
      <c r="C154" s="127"/>
      <c r="D154" s="126"/>
      <c r="E154" s="126"/>
      <c r="F154" s="127"/>
      <c r="G154" s="126"/>
      <c r="H154" s="127"/>
      <c r="I154" s="126"/>
      <c r="J154" s="126"/>
      <c r="K154" s="127"/>
      <c r="L154" s="126"/>
      <c r="M154" s="126"/>
      <c r="N154" s="127"/>
      <c r="O154" s="126"/>
      <c r="P154" s="126"/>
      <c r="Q154" s="127"/>
      <c r="R154" s="126"/>
      <c r="S154" s="126"/>
      <c r="T154" s="127"/>
      <c r="U154" s="126"/>
      <c r="V154" s="126"/>
      <c r="W154" s="127"/>
      <c r="X154" s="126"/>
      <c r="Y154" s="126"/>
      <c r="Z154" s="127"/>
      <c r="AA154" s="126"/>
      <c r="AB154" s="126"/>
      <c r="AC154" s="127"/>
      <c r="AD154" s="126"/>
      <c r="AE154" s="126"/>
      <c r="AF154" s="126"/>
      <c r="AG154" s="127"/>
      <c r="AH154" s="126"/>
      <c r="AI154" s="126"/>
      <c r="AJ154" s="127"/>
      <c r="AK154" s="126"/>
      <c r="AL154" s="126"/>
      <c r="AM154" s="127"/>
      <c r="AN154" s="126"/>
      <c r="AO154" s="126"/>
      <c r="AP154" s="127"/>
      <c r="AQ154" s="126"/>
      <c r="AR154" s="126"/>
      <c r="AS154" s="127"/>
      <c r="AT154" s="126"/>
      <c r="AU154" s="126"/>
      <c r="AV154" s="127"/>
      <c r="AW154" s="126"/>
      <c r="AX154" s="126"/>
      <c r="AY154" s="127"/>
      <c r="AZ154" s="126"/>
      <c r="BA154" s="126"/>
      <c r="BB154" s="127"/>
      <c r="BC154" s="126"/>
      <c r="BD154" s="134"/>
      <c r="BE154" s="127"/>
      <c r="BF154" s="126"/>
      <c r="BG154" s="126"/>
      <c r="BH154" s="126"/>
      <c r="BI154" s="126"/>
      <c r="BJ154" s="126"/>
      <c r="BK154" s="126"/>
      <c r="BL154" s="126"/>
      <c r="BM154" s="126"/>
      <c r="BN154" s="126"/>
      <c r="BO154" s="126"/>
      <c r="BP154" s="126"/>
      <c r="BQ154" s="126"/>
      <c r="BR154" s="126"/>
      <c r="BS154" s="126"/>
      <c r="BT154" s="126"/>
      <c r="BU154" s="126"/>
      <c r="BV154" s="126"/>
      <c r="BW154" s="126"/>
      <c r="BX154" s="126"/>
    </row>
    <row r="155">
      <c r="A155" s="126"/>
      <c r="B155" s="126"/>
      <c r="C155" s="127"/>
      <c r="D155" s="126"/>
      <c r="E155" s="126"/>
      <c r="F155" s="127"/>
      <c r="G155" s="126"/>
      <c r="H155" s="127"/>
      <c r="I155" s="126"/>
      <c r="J155" s="126"/>
      <c r="K155" s="127"/>
      <c r="L155" s="126"/>
      <c r="M155" s="126"/>
      <c r="N155" s="127"/>
      <c r="O155" s="126"/>
      <c r="P155" s="126"/>
      <c r="Q155" s="127"/>
      <c r="R155" s="126"/>
      <c r="S155" s="126"/>
      <c r="T155" s="127"/>
      <c r="U155" s="126"/>
      <c r="V155" s="126"/>
      <c r="W155" s="127"/>
      <c r="X155" s="126"/>
      <c r="Y155" s="126"/>
      <c r="Z155" s="127"/>
      <c r="AA155" s="126"/>
      <c r="AB155" s="126"/>
      <c r="AC155" s="127"/>
      <c r="AD155" s="126"/>
      <c r="AE155" s="126"/>
      <c r="AF155" s="126"/>
      <c r="AG155" s="127"/>
      <c r="AH155" s="126"/>
      <c r="AI155" s="126"/>
      <c r="AJ155" s="127"/>
      <c r="AK155" s="126"/>
      <c r="AL155" s="126"/>
      <c r="AM155" s="127"/>
      <c r="AN155" s="126"/>
      <c r="AO155" s="126"/>
      <c r="AP155" s="127"/>
      <c r="AQ155" s="126"/>
      <c r="AR155" s="126"/>
      <c r="AS155" s="127"/>
      <c r="AT155" s="126"/>
      <c r="AU155" s="126"/>
      <c r="AV155" s="127"/>
      <c r="AW155" s="126"/>
      <c r="AX155" s="126"/>
      <c r="AY155" s="127"/>
      <c r="AZ155" s="126"/>
      <c r="BA155" s="126"/>
      <c r="BB155" s="127"/>
      <c r="BC155" s="126"/>
      <c r="BD155" s="134"/>
      <c r="BE155" s="127"/>
      <c r="BF155" s="126"/>
      <c r="BG155" s="126"/>
      <c r="BH155" s="126"/>
      <c r="BI155" s="126"/>
      <c r="BJ155" s="126"/>
      <c r="BK155" s="126"/>
      <c r="BL155" s="126"/>
      <c r="BM155" s="126"/>
      <c r="BN155" s="126"/>
      <c r="BO155" s="126"/>
      <c r="BP155" s="126"/>
      <c r="BQ155" s="126"/>
      <c r="BR155" s="126"/>
      <c r="BS155" s="126"/>
      <c r="BT155" s="126"/>
      <c r="BU155" s="126"/>
      <c r="BV155" s="126"/>
      <c r="BW155" s="126"/>
      <c r="BX155" s="126"/>
    </row>
    <row r="156">
      <c r="A156" s="126"/>
      <c r="B156" s="126"/>
      <c r="C156" s="127"/>
      <c r="D156" s="126"/>
      <c r="E156" s="126"/>
      <c r="F156" s="127"/>
      <c r="G156" s="126"/>
      <c r="H156" s="127"/>
      <c r="I156" s="126"/>
      <c r="J156" s="126"/>
      <c r="K156" s="127"/>
      <c r="L156" s="126"/>
      <c r="M156" s="126"/>
      <c r="N156" s="127"/>
      <c r="O156" s="126"/>
      <c r="P156" s="126"/>
      <c r="Q156" s="127"/>
      <c r="R156" s="126"/>
      <c r="S156" s="126"/>
      <c r="T156" s="127"/>
      <c r="U156" s="126"/>
      <c r="V156" s="126"/>
      <c r="W156" s="127"/>
      <c r="X156" s="126"/>
      <c r="Y156" s="126"/>
      <c r="Z156" s="127"/>
      <c r="AA156" s="126"/>
      <c r="AB156" s="126"/>
      <c r="AC156" s="127"/>
      <c r="AD156" s="126"/>
      <c r="AE156" s="126"/>
      <c r="AF156" s="126"/>
      <c r="AG156" s="127"/>
      <c r="AH156" s="126"/>
      <c r="AI156" s="126"/>
      <c r="AJ156" s="127"/>
      <c r="AK156" s="126"/>
      <c r="AL156" s="126"/>
      <c r="AM156" s="127"/>
      <c r="AN156" s="126"/>
      <c r="AO156" s="126"/>
      <c r="AP156" s="127"/>
      <c r="AQ156" s="126"/>
      <c r="AR156" s="126"/>
      <c r="AS156" s="127"/>
      <c r="AT156" s="126"/>
      <c r="AU156" s="126"/>
      <c r="AV156" s="127"/>
      <c r="AW156" s="126"/>
      <c r="AX156" s="126"/>
      <c r="AY156" s="127"/>
      <c r="AZ156" s="126"/>
      <c r="BA156" s="126"/>
      <c r="BB156" s="127"/>
      <c r="BC156" s="126"/>
      <c r="BD156" s="134"/>
      <c r="BE156" s="127"/>
      <c r="BF156" s="126"/>
      <c r="BG156" s="126"/>
      <c r="BH156" s="126"/>
      <c r="BI156" s="126"/>
      <c r="BJ156" s="126"/>
      <c r="BK156" s="126"/>
      <c r="BL156" s="126"/>
      <c r="BM156" s="126"/>
      <c r="BN156" s="126"/>
      <c r="BO156" s="126"/>
      <c r="BP156" s="126"/>
      <c r="BQ156" s="126"/>
      <c r="BR156" s="126"/>
      <c r="BS156" s="126"/>
      <c r="BT156" s="126"/>
      <c r="BU156" s="126"/>
      <c r="BV156" s="126"/>
      <c r="BW156" s="126"/>
      <c r="BX156" s="126"/>
    </row>
    <row r="157">
      <c r="A157" s="126"/>
      <c r="B157" s="126"/>
      <c r="C157" s="127"/>
      <c r="D157" s="126"/>
      <c r="E157" s="126"/>
      <c r="F157" s="127"/>
      <c r="G157" s="126"/>
      <c r="H157" s="127"/>
      <c r="I157" s="126"/>
      <c r="J157" s="126"/>
      <c r="K157" s="127"/>
      <c r="L157" s="126"/>
      <c r="M157" s="126"/>
      <c r="N157" s="127"/>
      <c r="O157" s="126"/>
      <c r="P157" s="126"/>
      <c r="Q157" s="127"/>
      <c r="R157" s="126"/>
      <c r="S157" s="126"/>
      <c r="T157" s="127"/>
      <c r="U157" s="126"/>
      <c r="V157" s="126"/>
      <c r="W157" s="127"/>
      <c r="X157" s="126"/>
      <c r="Y157" s="126"/>
      <c r="Z157" s="127"/>
      <c r="AA157" s="126"/>
      <c r="AB157" s="126"/>
      <c r="AC157" s="127"/>
      <c r="AD157" s="126"/>
      <c r="AE157" s="126"/>
      <c r="AF157" s="126"/>
      <c r="AG157" s="127"/>
      <c r="AH157" s="126"/>
      <c r="AI157" s="126"/>
      <c r="AJ157" s="127"/>
      <c r="AK157" s="126"/>
      <c r="AL157" s="126"/>
      <c r="AM157" s="127"/>
      <c r="AN157" s="126"/>
      <c r="AO157" s="126"/>
      <c r="AP157" s="127"/>
      <c r="AQ157" s="126"/>
      <c r="AR157" s="126"/>
      <c r="AS157" s="127"/>
      <c r="AT157" s="126"/>
      <c r="AU157" s="126"/>
      <c r="AV157" s="127"/>
      <c r="AW157" s="126"/>
      <c r="AX157" s="126"/>
      <c r="AY157" s="127"/>
      <c r="AZ157" s="126"/>
      <c r="BA157" s="126"/>
      <c r="BB157" s="127"/>
      <c r="BC157" s="126"/>
      <c r="BD157" s="134"/>
      <c r="BE157" s="127"/>
      <c r="BF157" s="126"/>
      <c r="BG157" s="126"/>
      <c r="BH157" s="126"/>
      <c r="BI157" s="126"/>
      <c r="BJ157" s="126"/>
      <c r="BK157" s="126"/>
      <c r="BL157" s="126"/>
      <c r="BM157" s="126"/>
      <c r="BN157" s="126"/>
      <c r="BO157" s="126"/>
      <c r="BP157" s="126"/>
      <c r="BQ157" s="126"/>
      <c r="BR157" s="126"/>
      <c r="BS157" s="126"/>
      <c r="BT157" s="126"/>
      <c r="BU157" s="126"/>
      <c r="BV157" s="126"/>
      <c r="BW157" s="126"/>
      <c r="BX157" s="126"/>
    </row>
    <row r="158">
      <c r="A158" s="126"/>
      <c r="B158" s="126"/>
      <c r="C158" s="127"/>
      <c r="D158" s="126"/>
      <c r="E158" s="126"/>
      <c r="F158" s="127"/>
      <c r="G158" s="126"/>
      <c r="H158" s="127"/>
      <c r="I158" s="126"/>
      <c r="J158" s="126"/>
      <c r="K158" s="127"/>
      <c r="L158" s="126"/>
      <c r="M158" s="126"/>
      <c r="N158" s="127"/>
      <c r="O158" s="126"/>
      <c r="P158" s="126"/>
      <c r="Q158" s="127"/>
      <c r="R158" s="126"/>
      <c r="S158" s="126"/>
      <c r="T158" s="127"/>
      <c r="U158" s="126"/>
      <c r="V158" s="126"/>
      <c r="W158" s="127"/>
      <c r="X158" s="126"/>
      <c r="Y158" s="126"/>
      <c r="Z158" s="127"/>
      <c r="AA158" s="126"/>
      <c r="AB158" s="126"/>
      <c r="AC158" s="127"/>
      <c r="AD158" s="126"/>
      <c r="AE158" s="126"/>
      <c r="AF158" s="126"/>
      <c r="AG158" s="127"/>
      <c r="AH158" s="126"/>
      <c r="AI158" s="126"/>
      <c r="AJ158" s="127"/>
      <c r="AK158" s="126"/>
      <c r="AL158" s="126"/>
      <c r="AM158" s="127"/>
      <c r="AN158" s="126"/>
      <c r="AO158" s="126"/>
      <c r="AP158" s="127"/>
      <c r="AQ158" s="126"/>
      <c r="AR158" s="126"/>
      <c r="AS158" s="127"/>
      <c r="AT158" s="126"/>
      <c r="AU158" s="126"/>
      <c r="AV158" s="127"/>
      <c r="AW158" s="126"/>
      <c r="AX158" s="126"/>
      <c r="AY158" s="127"/>
      <c r="AZ158" s="126"/>
      <c r="BA158" s="126"/>
      <c r="BB158" s="127"/>
      <c r="BC158" s="126"/>
      <c r="BD158" s="134"/>
      <c r="BE158" s="127"/>
      <c r="BF158" s="126"/>
      <c r="BG158" s="126"/>
      <c r="BH158" s="126"/>
      <c r="BI158" s="126"/>
      <c r="BJ158" s="126"/>
      <c r="BK158" s="126"/>
      <c r="BL158" s="126"/>
      <c r="BM158" s="126"/>
      <c r="BN158" s="126"/>
      <c r="BO158" s="126"/>
      <c r="BP158" s="126"/>
      <c r="BQ158" s="126"/>
      <c r="BR158" s="126"/>
      <c r="BS158" s="126"/>
      <c r="BT158" s="126"/>
      <c r="BU158" s="126"/>
      <c r="BV158" s="126"/>
      <c r="BW158" s="126"/>
      <c r="BX158" s="126"/>
    </row>
    <row r="159">
      <c r="A159" s="126"/>
      <c r="B159" s="126"/>
      <c r="C159" s="127"/>
      <c r="D159" s="126"/>
      <c r="E159" s="126"/>
      <c r="F159" s="127"/>
      <c r="G159" s="126"/>
      <c r="H159" s="127"/>
      <c r="I159" s="126"/>
      <c r="J159" s="126"/>
      <c r="K159" s="127"/>
      <c r="L159" s="126"/>
      <c r="M159" s="126"/>
      <c r="N159" s="127"/>
      <c r="O159" s="126"/>
      <c r="P159" s="126"/>
      <c r="Q159" s="127"/>
      <c r="R159" s="126"/>
      <c r="S159" s="126"/>
      <c r="T159" s="127"/>
      <c r="U159" s="126"/>
      <c r="V159" s="126"/>
      <c r="W159" s="127"/>
      <c r="X159" s="126"/>
      <c r="Y159" s="126"/>
      <c r="Z159" s="127"/>
      <c r="AA159" s="126"/>
      <c r="AB159" s="126"/>
      <c r="AC159" s="127"/>
      <c r="AD159" s="126"/>
      <c r="AE159" s="126"/>
      <c r="AF159" s="126"/>
      <c r="AG159" s="127"/>
      <c r="AH159" s="126"/>
      <c r="AI159" s="126"/>
      <c r="AJ159" s="127"/>
      <c r="AK159" s="126"/>
      <c r="AL159" s="126"/>
      <c r="AM159" s="127"/>
      <c r="AN159" s="126"/>
      <c r="AO159" s="126"/>
      <c r="AP159" s="127"/>
      <c r="AQ159" s="126"/>
      <c r="AR159" s="126"/>
      <c r="AS159" s="127"/>
      <c r="AT159" s="126"/>
      <c r="AU159" s="126"/>
      <c r="AV159" s="127"/>
      <c r="AW159" s="126"/>
      <c r="AX159" s="126"/>
      <c r="AY159" s="127"/>
      <c r="AZ159" s="126"/>
      <c r="BA159" s="126"/>
      <c r="BB159" s="127"/>
      <c r="BC159" s="126"/>
      <c r="BD159" s="134"/>
      <c r="BE159" s="127"/>
      <c r="BF159" s="126"/>
      <c r="BG159" s="126"/>
      <c r="BH159" s="126"/>
      <c r="BI159" s="126"/>
      <c r="BJ159" s="126"/>
      <c r="BK159" s="126"/>
      <c r="BL159" s="126"/>
      <c r="BM159" s="126"/>
      <c r="BN159" s="126"/>
      <c r="BO159" s="126"/>
      <c r="BP159" s="126"/>
      <c r="BQ159" s="126"/>
      <c r="BR159" s="126"/>
      <c r="BS159" s="126"/>
      <c r="BT159" s="126"/>
      <c r="BU159" s="126"/>
      <c r="BV159" s="126"/>
      <c r="BW159" s="126"/>
      <c r="BX159" s="126"/>
    </row>
    <row r="160">
      <c r="A160" s="126"/>
      <c r="B160" s="126"/>
      <c r="C160" s="127"/>
      <c r="D160" s="126"/>
      <c r="E160" s="126"/>
      <c r="F160" s="127"/>
      <c r="G160" s="126"/>
      <c r="H160" s="127"/>
      <c r="I160" s="126"/>
      <c r="J160" s="126"/>
      <c r="K160" s="127"/>
      <c r="L160" s="126"/>
      <c r="M160" s="126"/>
      <c r="N160" s="127"/>
      <c r="O160" s="126"/>
      <c r="P160" s="126"/>
      <c r="Q160" s="127"/>
      <c r="R160" s="126"/>
      <c r="S160" s="126"/>
      <c r="T160" s="127"/>
      <c r="U160" s="126"/>
      <c r="V160" s="126"/>
      <c r="W160" s="127"/>
      <c r="X160" s="126"/>
      <c r="Y160" s="126"/>
      <c r="Z160" s="127"/>
      <c r="AA160" s="126"/>
      <c r="AB160" s="126"/>
      <c r="AC160" s="127"/>
      <c r="AD160" s="126"/>
      <c r="AE160" s="126"/>
      <c r="AF160" s="126"/>
      <c r="AG160" s="127"/>
      <c r="AH160" s="126"/>
      <c r="AI160" s="126"/>
      <c r="AJ160" s="127"/>
      <c r="AK160" s="126"/>
      <c r="AL160" s="126"/>
      <c r="AM160" s="127"/>
      <c r="AN160" s="126"/>
      <c r="AO160" s="126"/>
      <c r="AP160" s="127"/>
      <c r="AQ160" s="126"/>
      <c r="AR160" s="126"/>
      <c r="AS160" s="127"/>
      <c r="AT160" s="126"/>
      <c r="AU160" s="126"/>
      <c r="AV160" s="127"/>
      <c r="AW160" s="126"/>
      <c r="AX160" s="126"/>
      <c r="AY160" s="127"/>
      <c r="AZ160" s="126"/>
      <c r="BA160" s="126"/>
      <c r="BB160" s="127"/>
      <c r="BC160" s="126"/>
      <c r="BD160" s="134"/>
      <c r="BE160" s="127"/>
      <c r="BF160" s="126"/>
      <c r="BG160" s="126"/>
      <c r="BH160" s="126"/>
      <c r="BI160" s="126"/>
      <c r="BJ160" s="126"/>
      <c r="BK160" s="126"/>
      <c r="BL160" s="126"/>
      <c r="BM160" s="126"/>
      <c r="BN160" s="126"/>
      <c r="BO160" s="126"/>
      <c r="BP160" s="126"/>
      <c r="BQ160" s="126"/>
      <c r="BR160" s="126"/>
      <c r="BS160" s="126"/>
      <c r="BT160" s="126"/>
      <c r="BU160" s="126"/>
      <c r="BV160" s="126"/>
      <c r="BW160" s="126"/>
      <c r="BX160" s="126"/>
    </row>
    <row r="161">
      <c r="A161" s="126"/>
      <c r="B161" s="126"/>
      <c r="C161" s="127"/>
      <c r="D161" s="126"/>
      <c r="E161" s="126"/>
      <c r="F161" s="127"/>
      <c r="G161" s="126"/>
      <c r="H161" s="127"/>
      <c r="I161" s="126"/>
      <c r="J161" s="126"/>
      <c r="K161" s="127"/>
      <c r="L161" s="126"/>
      <c r="M161" s="126"/>
      <c r="N161" s="127"/>
      <c r="O161" s="126"/>
      <c r="P161" s="126"/>
      <c r="Q161" s="127"/>
      <c r="R161" s="126"/>
      <c r="S161" s="126"/>
      <c r="T161" s="127"/>
      <c r="U161" s="126"/>
      <c r="V161" s="126"/>
      <c r="W161" s="127"/>
      <c r="X161" s="126"/>
      <c r="Y161" s="126"/>
      <c r="Z161" s="127"/>
      <c r="AA161" s="126"/>
      <c r="AB161" s="126"/>
      <c r="AC161" s="127"/>
      <c r="AD161" s="126"/>
      <c r="AE161" s="126"/>
      <c r="AF161" s="126"/>
      <c r="AG161" s="127"/>
      <c r="AH161" s="126"/>
      <c r="AI161" s="126"/>
      <c r="AJ161" s="127"/>
      <c r="AK161" s="126"/>
      <c r="AL161" s="126"/>
      <c r="AM161" s="127"/>
      <c r="AN161" s="126"/>
      <c r="AO161" s="126"/>
      <c r="AP161" s="127"/>
      <c r="AQ161" s="126"/>
      <c r="AR161" s="126"/>
      <c r="AS161" s="127"/>
      <c r="AT161" s="126"/>
      <c r="AU161" s="126"/>
      <c r="AV161" s="127"/>
      <c r="AW161" s="126"/>
      <c r="AX161" s="126"/>
      <c r="AY161" s="127"/>
      <c r="AZ161" s="126"/>
      <c r="BA161" s="126"/>
      <c r="BB161" s="127"/>
      <c r="BC161" s="126"/>
      <c r="BD161" s="134"/>
      <c r="BE161" s="127"/>
      <c r="BF161" s="126"/>
      <c r="BG161" s="126"/>
      <c r="BH161" s="126"/>
      <c r="BI161" s="126"/>
      <c r="BJ161" s="126"/>
      <c r="BK161" s="126"/>
      <c r="BL161" s="126"/>
      <c r="BM161" s="126"/>
      <c r="BN161" s="126"/>
      <c r="BO161" s="126"/>
      <c r="BP161" s="126"/>
      <c r="BQ161" s="126"/>
      <c r="BR161" s="126"/>
      <c r="BS161" s="126"/>
      <c r="BT161" s="126"/>
      <c r="BU161" s="126"/>
      <c r="BV161" s="126"/>
      <c r="BW161" s="126"/>
      <c r="BX161" s="126"/>
    </row>
    <row r="162">
      <c r="A162" s="126"/>
      <c r="B162" s="126"/>
      <c r="C162" s="127"/>
      <c r="D162" s="126"/>
      <c r="E162" s="126"/>
      <c r="F162" s="127"/>
      <c r="G162" s="126"/>
      <c r="H162" s="127"/>
      <c r="I162" s="126"/>
      <c r="J162" s="126"/>
      <c r="K162" s="127"/>
      <c r="L162" s="126"/>
      <c r="M162" s="126"/>
      <c r="N162" s="127"/>
      <c r="O162" s="126"/>
      <c r="P162" s="126"/>
      <c r="Q162" s="127"/>
      <c r="R162" s="126"/>
      <c r="S162" s="126"/>
      <c r="T162" s="127"/>
      <c r="U162" s="126"/>
      <c r="V162" s="126"/>
      <c r="W162" s="127"/>
      <c r="X162" s="126"/>
      <c r="Y162" s="126"/>
      <c r="Z162" s="127"/>
      <c r="AA162" s="126"/>
      <c r="AB162" s="126"/>
      <c r="AC162" s="127"/>
      <c r="AD162" s="126"/>
      <c r="AE162" s="126"/>
      <c r="AF162" s="126"/>
      <c r="AG162" s="127"/>
      <c r="AH162" s="126"/>
      <c r="AI162" s="126"/>
      <c r="AJ162" s="127"/>
      <c r="AK162" s="126"/>
      <c r="AL162" s="126"/>
      <c r="AM162" s="127"/>
      <c r="AN162" s="126"/>
      <c r="AO162" s="126"/>
      <c r="AP162" s="127"/>
      <c r="AQ162" s="126"/>
      <c r="AR162" s="126"/>
      <c r="AS162" s="127"/>
      <c r="AT162" s="126"/>
      <c r="AU162" s="126"/>
      <c r="AV162" s="127"/>
      <c r="AW162" s="126"/>
      <c r="AX162" s="126"/>
      <c r="AY162" s="127"/>
      <c r="AZ162" s="126"/>
      <c r="BA162" s="126"/>
      <c r="BB162" s="127"/>
      <c r="BC162" s="126"/>
      <c r="BD162" s="134"/>
      <c r="BE162" s="127"/>
      <c r="BF162" s="126"/>
      <c r="BG162" s="126"/>
      <c r="BH162" s="126"/>
      <c r="BI162" s="126"/>
      <c r="BJ162" s="126"/>
      <c r="BK162" s="126"/>
      <c r="BL162" s="126"/>
      <c r="BM162" s="126"/>
      <c r="BN162" s="126"/>
      <c r="BO162" s="126"/>
      <c r="BP162" s="126"/>
      <c r="BQ162" s="126"/>
      <c r="BR162" s="126"/>
      <c r="BS162" s="126"/>
      <c r="BT162" s="126"/>
      <c r="BU162" s="126"/>
      <c r="BV162" s="126"/>
      <c r="BW162" s="126"/>
      <c r="BX162" s="126"/>
    </row>
    <row r="163">
      <c r="A163" s="126"/>
      <c r="B163" s="126"/>
      <c r="C163" s="127"/>
      <c r="D163" s="126"/>
      <c r="E163" s="126"/>
      <c r="F163" s="127"/>
      <c r="G163" s="126"/>
      <c r="H163" s="127"/>
      <c r="I163" s="126"/>
      <c r="J163" s="126"/>
      <c r="K163" s="127"/>
      <c r="L163" s="126"/>
      <c r="M163" s="126"/>
      <c r="N163" s="127"/>
      <c r="O163" s="126"/>
      <c r="P163" s="126"/>
      <c r="Q163" s="127"/>
      <c r="R163" s="126"/>
      <c r="S163" s="126"/>
      <c r="T163" s="127"/>
      <c r="U163" s="126"/>
      <c r="V163" s="126"/>
      <c r="W163" s="127"/>
      <c r="X163" s="126"/>
      <c r="Y163" s="126"/>
      <c r="Z163" s="127"/>
      <c r="AA163" s="126"/>
      <c r="AB163" s="126"/>
      <c r="AC163" s="127"/>
      <c r="AD163" s="126"/>
      <c r="AE163" s="126"/>
      <c r="AF163" s="126"/>
      <c r="AG163" s="127"/>
      <c r="AH163" s="126"/>
      <c r="AI163" s="126"/>
      <c r="AJ163" s="127"/>
      <c r="AK163" s="126"/>
      <c r="AL163" s="126"/>
      <c r="AM163" s="127"/>
      <c r="AN163" s="126"/>
      <c r="AO163" s="126"/>
      <c r="AP163" s="127"/>
      <c r="AQ163" s="126"/>
      <c r="AR163" s="126"/>
      <c r="AS163" s="127"/>
      <c r="AT163" s="126"/>
      <c r="AU163" s="126"/>
      <c r="AV163" s="127"/>
      <c r="AW163" s="126"/>
      <c r="AX163" s="126"/>
      <c r="AY163" s="127"/>
      <c r="AZ163" s="126"/>
      <c r="BA163" s="126"/>
      <c r="BB163" s="127"/>
      <c r="BC163" s="126"/>
      <c r="BD163" s="134"/>
      <c r="BE163" s="127"/>
      <c r="BF163" s="126"/>
      <c r="BG163" s="126"/>
      <c r="BH163" s="126"/>
      <c r="BI163" s="126"/>
      <c r="BJ163" s="126"/>
      <c r="BK163" s="126"/>
      <c r="BL163" s="126"/>
      <c r="BM163" s="126"/>
      <c r="BN163" s="126"/>
      <c r="BO163" s="126"/>
      <c r="BP163" s="126"/>
      <c r="BQ163" s="126"/>
      <c r="BR163" s="126"/>
      <c r="BS163" s="126"/>
      <c r="BT163" s="126"/>
      <c r="BU163" s="126"/>
      <c r="BV163" s="126"/>
      <c r="BW163" s="126"/>
      <c r="BX163" s="126"/>
    </row>
    <row r="164">
      <c r="A164" s="126"/>
      <c r="B164" s="126"/>
      <c r="C164" s="127"/>
      <c r="D164" s="126"/>
      <c r="E164" s="126"/>
      <c r="F164" s="127"/>
      <c r="G164" s="126"/>
      <c r="H164" s="127"/>
      <c r="I164" s="126"/>
      <c r="J164" s="126"/>
      <c r="K164" s="127"/>
      <c r="L164" s="126"/>
      <c r="M164" s="126"/>
      <c r="N164" s="127"/>
      <c r="O164" s="126"/>
      <c r="P164" s="126"/>
      <c r="Q164" s="127"/>
      <c r="R164" s="126"/>
      <c r="S164" s="126"/>
      <c r="T164" s="127"/>
      <c r="U164" s="126"/>
      <c r="V164" s="126"/>
      <c r="W164" s="127"/>
      <c r="X164" s="126"/>
      <c r="Y164" s="126"/>
      <c r="Z164" s="127"/>
      <c r="AA164" s="126"/>
      <c r="AB164" s="126"/>
      <c r="AC164" s="127"/>
      <c r="AD164" s="126"/>
      <c r="AE164" s="126"/>
      <c r="AF164" s="126"/>
      <c r="AG164" s="127"/>
      <c r="AH164" s="126"/>
      <c r="AI164" s="126"/>
      <c r="AJ164" s="127"/>
      <c r="AK164" s="126"/>
      <c r="AL164" s="126"/>
      <c r="AM164" s="127"/>
      <c r="AN164" s="126"/>
      <c r="AO164" s="126"/>
      <c r="AP164" s="127"/>
      <c r="AQ164" s="126"/>
      <c r="AR164" s="126"/>
      <c r="AS164" s="127"/>
      <c r="AT164" s="126"/>
      <c r="AU164" s="126"/>
      <c r="AV164" s="127"/>
      <c r="AW164" s="126"/>
      <c r="AX164" s="126"/>
      <c r="AY164" s="127"/>
      <c r="AZ164" s="126"/>
      <c r="BA164" s="126"/>
      <c r="BB164" s="127"/>
      <c r="BC164" s="126"/>
      <c r="BD164" s="134"/>
      <c r="BE164" s="127"/>
      <c r="BF164" s="126"/>
      <c r="BG164" s="126"/>
      <c r="BH164" s="126"/>
      <c r="BI164" s="126"/>
      <c r="BJ164" s="126"/>
      <c r="BK164" s="126"/>
      <c r="BL164" s="126"/>
      <c r="BM164" s="126"/>
      <c r="BN164" s="126"/>
      <c r="BO164" s="126"/>
      <c r="BP164" s="126"/>
      <c r="BQ164" s="126"/>
      <c r="BR164" s="126"/>
      <c r="BS164" s="126"/>
      <c r="BT164" s="126"/>
      <c r="BU164" s="126"/>
      <c r="BV164" s="126"/>
      <c r="BW164" s="126"/>
      <c r="BX164" s="126"/>
    </row>
    <row r="165">
      <c r="A165" s="126"/>
      <c r="B165" s="126"/>
      <c r="C165" s="127"/>
      <c r="D165" s="126"/>
      <c r="E165" s="126"/>
      <c r="F165" s="127"/>
      <c r="G165" s="126"/>
      <c r="H165" s="127"/>
      <c r="I165" s="126"/>
      <c r="J165" s="126"/>
      <c r="K165" s="127"/>
      <c r="L165" s="126"/>
      <c r="M165" s="126"/>
      <c r="N165" s="127"/>
      <c r="O165" s="126"/>
      <c r="P165" s="126"/>
      <c r="Q165" s="127"/>
      <c r="R165" s="126"/>
      <c r="S165" s="126"/>
      <c r="T165" s="127"/>
      <c r="U165" s="126"/>
      <c r="V165" s="126"/>
      <c r="W165" s="127"/>
      <c r="X165" s="126"/>
      <c r="Y165" s="126"/>
      <c r="Z165" s="127"/>
      <c r="AA165" s="126"/>
      <c r="AB165" s="126"/>
      <c r="AC165" s="127"/>
      <c r="AD165" s="126"/>
      <c r="AE165" s="126"/>
      <c r="AF165" s="126"/>
      <c r="AG165" s="127"/>
      <c r="AH165" s="126"/>
      <c r="AI165" s="126"/>
      <c r="AJ165" s="127"/>
      <c r="AK165" s="126"/>
      <c r="AL165" s="126"/>
      <c r="AM165" s="127"/>
      <c r="AN165" s="126"/>
      <c r="AO165" s="126"/>
      <c r="AP165" s="127"/>
      <c r="AQ165" s="126"/>
      <c r="AR165" s="126"/>
      <c r="AS165" s="127"/>
      <c r="AT165" s="126"/>
      <c r="AU165" s="126"/>
      <c r="AV165" s="127"/>
      <c r="AW165" s="126"/>
      <c r="AX165" s="126"/>
      <c r="AY165" s="127"/>
      <c r="AZ165" s="126"/>
      <c r="BA165" s="126"/>
      <c r="BB165" s="127"/>
      <c r="BC165" s="126"/>
      <c r="BD165" s="134"/>
      <c r="BE165" s="127"/>
      <c r="BF165" s="126"/>
      <c r="BG165" s="126"/>
      <c r="BH165" s="126"/>
      <c r="BI165" s="126"/>
      <c r="BJ165" s="126"/>
      <c r="BK165" s="126"/>
      <c r="BL165" s="126"/>
      <c r="BM165" s="126"/>
      <c r="BN165" s="126"/>
      <c r="BO165" s="126"/>
      <c r="BP165" s="126"/>
      <c r="BQ165" s="126"/>
      <c r="BR165" s="126"/>
      <c r="BS165" s="126"/>
      <c r="BT165" s="126"/>
      <c r="BU165" s="126"/>
      <c r="BV165" s="126"/>
      <c r="BW165" s="126"/>
      <c r="BX165" s="126"/>
    </row>
    <row r="166">
      <c r="A166" s="126"/>
      <c r="B166" s="126"/>
      <c r="C166" s="127"/>
      <c r="D166" s="126"/>
      <c r="E166" s="126"/>
      <c r="F166" s="127"/>
      <c r="G166" s="126"/>
      <c r="H166" s="127"/>
      <c r="I166" s="126"/>
      <c r="J166" s="126"/>
      <c r="K166" s="127"/>
      <c r="L166" s="126"/>
      <c r="M166" s="126"/>
      <c r="N166" s="127"/>
      <c r="O166" s="126"/>
      <c r="P166" s="126"/>
      <c r="Q166" s="127"/>
      <c r="R166" s="126"/>
      <c r="S166" s="126"/>
      <c r="T166" s="127"/>
      <c r="U166" s="126"/>
      <c r="V166" s="126"/>
      <c r="W166" s="127"/>
      <c r="X166" s="126"/>
      <c r="Y166" s="126"/>
      <c r="Z166" s="127"/>
      <c r="AA166" s="126"/>
      <c r="AB166" s="126"/>
      <c r="AC166" s="127"/>
      <c r="AD166" s="126"/>
      <c r="AE166" s="126"/>
      <c r="AF166" s="126"/>
      <c r="AG166" s="127"/>
      <c r="AH166" s="126"/>
      <c r="AI166" s="126"/>
      <c r="AJ166" s="127"/>
      <c r="AK166" s="126"/>
      <c r="AL166" s="126"/>
      <c r="AM166" s="127"/>
      <c r="AN166" s="126"/>
      <c r="AO166" s="126"/>
      <c r="AP166" s="127"/>
      <c r="AQ166" s="126"/>
      <c r="AR166" s="126"/>
      <c r="AS166" s="127"/>
      <c r="AT166" s="126"/>
      <c r="AU166" s="126"/>
      <c r="AV166" s="127"/>
      <c r="AW166" s="126"/>
      <c r="AX166" s="126"/>
      <c r="AY166" s="127"/>
      <c r="AZ166" s="126"/>
      <c r="BA166" s="126"/>
      <c r="BB166" s="127"/>
      <c r="BC166" s="126"/>
      <c r="BD166" s="134"/>
      <c r="BE166" s="127"/>
      <c r="BF166" s="126"/>
      <c r="BG166" s="126"/>
      <c r="BH166" s="126"/>
      <c r="BI166" s="126"/>
      <c r="BJ166" s="126"/>
      <c r="BK166" s="126"/>
      <c r="BL166" s="126"/>
      <c r="BM166" s="126"/>
      <c r="BN166" s="126"/>
      <c r="BO166" s="126"/>
      <c r="BP166" s="126"/>
      <c r="BQ166" s="126"/>
      <c r="BR166" s="126"/>
      <c r="BS166" s="126"/>
      <c r="BT166" s="126"/>
      <c r="BU166" s="126"/>
      <c r="BV166" s="126"/>
      <c r="BW166" s="126"/>
      <c r="BX166" s="126"/>
    </row>
    <row r="167">
      <c r="A167" s="126"/>
      <c r="B167" s="126"/>
      <c r="C167" s="127"/>
      <c r="D167" s="126"/>
      <c r="E167" s="126"/>
      <c r="F167" s="127"/>
      <c r="G167" s="126"/>
      <c r="H167" s="127"/>
      <c r="I167" s="126"/>
      <c r="J167" s="126"/>
      <c r="K167" s="127"/>
      <c r="L167" s="126"/>
      <c r="M167" s="126"/>
      <c r="N167" s="127"/>
      <c r="O167" s="126"/>
      <c r="P167" s="126"/>
      <c r="Q167" s="127"/>
      <c r="R167" s="126"/>
      <c r="S167" s="126"/>
      <c r="T167" s="127"/>
      <c r="U167" s="126"/>
      <c r="V167" s="126"/>
      <c r="W167" s="127"/>
      <c r="X167" s="126"/>
      <c r="Y167" s="126"/>
      <c r="Z167" s="127"/>
      <c r="AA167" s="126"/>
      <c r="AB167" s="126"/>
      <c r="AC167" s="127"/>
      <c r="AD167" s="126"/>
      <c r="AE167" s="126"/>
      <c r="AF167" s="126"/>
      <c r="AG167" s="127"/>
      <c r="AH167" s="126"/>
      <c r="AI167" s="126"/>
      <c r="AJ167" s="127"/>
      <c r="AK167" s="126"/>
      <c r="AL167" s="126"/>
      <c r="AM167" s="127"/>
      <c r="AN167" s="126"/>
      <c r="AO167" s="126"/>
      <c r="AP167" s="127"/>
      <c r="AQ167" s="126"/>
      <c r="AR167" s="126"/>
      <c r="AS167" s="127"/>
      <c r="AT167" s="126"/>
      <c r="AU167" s="126"/>
      <c r="AV167" s="127"/>
      <c r="AW167" s="126"/>
      <c r="AX167" s="126"/>
      <c r="AY167" s="127"/>
      <c r="AZ167" s="126"/>
      <c r="BA167" s="126"/>
      <c r="BB167" s="127"/>
      <c r="BC167" s="126"/>
      <c r="BD167" s="134"/>
      <c r="BE167" s="127"/>
      <c r="BF167" s="126"/>
      <c r="BG167" s="126"/>
      <c r="BH167" s="126"/>
      <c r="BI167" s="126"/>
      <c r="BJ167" s="126"/>
      <c r="BK167" s="126"/>
      <c r="BL167" s="126"/>
      <c r="BM167" s="126"/>
      <c r="BN167" s="126"/>
      <c r="BO167" s="126"/>
      <c r="BP167" s="126"/>
      <c r="BQ167" s="126"/>
      <c r="BR167" s="126"/>
      <c r="BS167" s="126"/>
      <c r="BT167" s="126"/>
      <c r="BU167" s="126"/>
      <c r="BV167" s="126"/>
      <c r="BW167" s="126"/>
      <c r="BX167" s="126"/>
    </row>
    <row r="168">
      <c r="A168" s="126"/>
      <c r="B168" s="126"/>
      <c r="C168" s="127"/>
      <c r="D168" s="126"/>
      <c r="E168" s="126"/>
      <c r="F168" s="127"/>
      <c r="G168" s="126"/>
      <c r="H168" s="127"/>
      <c r="I168" s="126"/>
      <c r="J168" s="126"/>
      <c r="K168" s="127"/>
      <c r="L168" s="126"/>
      <c r="M168" s="126"/>
      <c r="N168" s="127"/>
      <c r="O168" s="126"/>
      <c r="P168" s="126"/>
      <c r="Q168" s="127"/>
      <c r="R168" s="126"/>
      <c r="S168" s="126"/>
      <c r="T168" s="127"/>
      <c r="U168" s="126"/>
      <c r="V168" s="126"/>
      <c r="W168" s="127"/>
      <c r="X168" s="126"/>
      <c r="Y168" s="126"/>
      <c r="Z168" s="127"/>
      <c r="AA168" s="126"/>
      <c r="AB168" s="126"/>
      <c r="AC168" s="127"/>
      <c r="AD168" s="126"/>
      <c r="AE168" s="126"/>
      <c r="AF168" s="126"/>
      <c r="AG168" s="127"/>
      <c r="AH168" s="126"/>
      <c r="AI168" s="126"/>
      <c r="AJ168" s="127"/>
      <c r="AK168" s="126"/>
      <c r="AL168" s="126"/>
      <c r="AM168" s="127"/>
      <c r="AN168" s="126"/>
      <c r="AO168" s="126"/>
      <c r="AP168" s="127"/>
      <c r="AQ168" s="126"/>
      <c r="AR168" s="126"/>
      <c r="AS168" s="127"/>
      <c r="AT168" s="126"/>
      <c r="AU168" s="126"/>
      <c r="AV168" s="127"/>
      <c r="AW168" s="126"/>
      <c r="AX168" s="126"/>
      <c r="AY168" s="127"/>
      <c r="AZ168" s="126"/>
      <c r="BA168" s="126"/>
      <c r="BB168" s="127"/>
      <c r="BC168" s="126"/>
      <c r="BD168" s="134"/>
      <c r="BE168" s="127"/>
      <c r="BF168" s="126"/>
      <c r="BG168" s="126"/>
      <c r="BH168" s="126"/>
      <c r="BI168" s="126"/>
      <c r="BJ168" s="126"/>
      <c r="BK168" s="126"/>
      <c r="BL168" s="126"/>
      <c r="BM168" s="126"/>
      <c r="BN168" s="126"/>
      <c r="BO168" s="126"/>
      <c r="BP168" s="126"/>
      <c r="BQ168" s="126"/>
      <c r="BR168" s="126"/>
      <c r="BS168" s="126"/>
      <c r="BT168" s="126"/>
      <c r="BU168" s="126"/>
      <c r="BV168" s="126"/>
      <c r="BW168" s="126"/>
      <c r="BX168" s="126"/>
    </row>
    <row r="169">
      <c r="A169" s="126"/>
      <c r="B169" s="126"/>
      <c r="C169" s="127"/>
      <c r="D169" s="126"/>
      <c r="E169" s="126"/>
      <c r="F169" s="127"/>
      <c r="G169" s="126"/>
      <c r="H169" s="127"/>
      <c r="I169" s="126"/>
      <c r="J169" s="126"/>
      <c r="K169" s="127"/>
      <c r="L169" s="126"/>
      <c r="M169" s="126"/>
      <c r="N169" s="127"/>
      <c r="O169" s="126"/>
      <c r="P169" s="126"/>
      <c r="Q169" s="127"/>
      <c r="R169" s="126"/>
      <c r="S169" s="126"/>
      <c r="T169" s="127"/>
      <c r="U169" s="126"/>
      <c r="V169" s="126"/>
      <c r="W169" s="127"/>
      <c r="X169" s="126"/>
      <c r="Y169" s="126"/>
      <c r="Z169" s="127"/>
      <c r="AA169" s="126"/>
      <c r="AB169" s="126"/>
      <c r="AC169" s="127"/>
      <c r="AD169" s="126"/>
      <c r="AE169" s="126"/>
      <c r="AF169" s="126"/>
      <c r="AG169" s="127"/>
      <c r="AH169" s="126"/>
      <c r="AI169" s="126"/>
      <c r="AJ169" s="127"/>
      <c r="AK169" s="126"/>
      <c r="AL169" s="126"/>
      <c r="AM169" s="127"/>
      <c r="AN169" s="126"/>
      <c r="AO169" s="126"/>
      <c r="AP169" s="127"/>
      <c r="AQ169" s="126"/>
      <c r="AR169" s="126"/>
      <c r="AS169" s="127"/>
      <c r="AT169" s="126"/>
      <c r="AU169" s="126"/>
      <c r="AV169" s="127"/>
      <c r="AW169" s="126"/>
      <c r="AX169" s="126"/>
      <c r="AY169" s="127"/>
      <c r="AZ169" s="126"/>
      <c r="BA169" s="126"/>
      <c r="BB169" s="127"/>
      <c r="BC169" s="126"/>
      <c r="BD169" s="134"/>
      <c r="BE169" s="127"/>
      <c r="BF169" s="126"/>
      <c r="BG169" s="126"/>
      <c r="BH169" s="126"/>
      <c r="BI169" s="126"/>
      <c r="BJ169" s="126"/>
      <c r="BK169" s="126"/>
      <c r="BL169" s="126"/>
      <c r="BM169" s="126"/>
      <c r="BN169" s="126"/>
      <c r="BO169" s="126"/>
      <c r="BP169" s="126"/>
      <c r="BQ169" s="126"/>
      <c r="BR169" s="126"/>
      <c r="BS169" s="126"/>
      <c r="BT169" s="126"/>
      <c r="BU169" s="126"/>
      <c r="BV169" s="126"/>
      <c r="BW169" s="126"/>
      <c r="BX169" s="126"/>
    </row>
    <row r="170">
      <c r="A170" s="126"/>
      <c r="B170" s="126"/>
      <c r="C170" s="127"/>
      <c r="D170" s="126"/>
      <c r="E170" s="126"/>
      <c r="F170" s="127"/>
      <c r="G170" s="126"/>
      <c r="H170" s="127"/>
      <c r="I170" s="126"/>
      <c r="J170" s="126"/>
      <c r="K170" s="127"/>
      <c r="L170" s="126"/>
      <c r="M170" s="126"/>
      <c r="N170" s="127"/>
      <c r="O170" s="126"/>
      <c r="P170" s="126"/>
      <c r="Q170" s="127"/>
      <c r="R170" s="126"/>
      <c r="S170" s="126"/>
      <c r="T170" s="127"/>
      <c r="U170" s="126"/>
      <c r="V170" s="126"/>
      <c r="W170" s="127"/>
      <c r="X170" s="126"/>
      <c r="Y170" s="126"/>
      <c r="Z170" s="127"/>
      <c r="AA170" s="126"/>
      <c r="AB170" s="126"/>
      <c r="AC170" s="127"/>
      <c r="AD170" s="126"/>
      <c r="AE170" s="126"/>
      <c r="AF170" s="126"/>
      <c r="AG170" s="127"/>
      <c r="AH170" s="126"/>
      <c r="AI170" s="126"/>
      <c r="AJ170" s="127"/>
      <c r="AK170" s="126"/>
      <c r="AL170" s="126"/>
      <c r="AM170" s="127"/>
      <c r="AN170" s="126"/>
      <c r="AO170" s="126"/>
      <c r="AP170" s="127"/>
      <c r="AQ170" s="126"/>
      <c r="AR170" s="126"/>
      <c r="AS170" s="127"/>
      <c r="AT170" s="126"/>
      <c r="AU170" s="126"/>
      <c r="AV170" s="127"/>
      <c r="AW170" s="126"/>
      <c r="AX170" s="126"/>
      <c r="AY170" s="127"/>
      <c r="AZ170" s="126"/>
      <c r="BA170" s="126"/>
      <c r="BB170" s="127"/>
      <c r="BC170" s="126"/>
      <c r="BD170" s="134"/>
      <c r="BE170" s="127"/>
      <c r="BF170" s="126"/>
      <c r="BG170" s="126"/>
      <c r="BH170" s="126"/>
      <c r="BI170" s="126"/>
      <c r="BJ170" s="126"/>
      <c r="BK170" s="126"/>
      <c r="BL170" s="126"/>
      <c r="BM170" s="126"/>
      <c r="BN170" s="126"/>
      <c r="BO170" s="126"/>
      <c r="BP170" s="126"/>
      <c r="BQ170" s="126"/>
      <c r="BR170" s="126"/>
      <c r="BS170" s="126"/>
      <c r="BT170" s="126"/>
      <c r="BU170" s="126"/>
      <c r="BV170" s="126"/>
      <c r="BW170" s="126"/>
      <c r="BX170" s="126"/>
    </row>
    <row r="171">
      <c r="A171" s="126"/>
      <c r="B171" s="126"/>
      <c r="C171" s="127"/>
      <c r="D171" s="126"/>
      <c r="E171" s="126"/>
      <c r="F171" s="127"/>
      <c r="G171" s="126"/>
      <c r="H171" s="127"/>
      <c r="I171" s="126"/>
      <c r="J171" s="126"/>
      <c r="K171" s="127"/>
      <c r="L171" s="126"/>
      <c r="M171" s="126"/>
      <c r="N171" s="127"/>
      <c r="O171" s="126"/>
      <c r="P171" s="126"/>
      <c r="Q171" s="127"/>
      <c r="R171" s="126"/>
      <c r="S171" s="126"/>
      <c r="T171" s="127"/>
      <c r="U171" s="126"/>
      <c r="V171" s="126"/>
      <c r="W171" s="127"/>
      <c r="X171" s="126"/>
      <c r="Y171" s="126"/>
      <c r="Z171" s="127"/>
      <c r="AA171" s="126"/>
      <c r="AB171" s="126"/>
      <c r="AC171" s="127"/>
      <c r="AD171" s="126"/>
      <c r="AE171" s="126"/>
      <c r="AF171" s="126"/>
      <c r="AG171" s="127"/>
      <c r="AH171" s="126"/>
      <c r="AI171" s="126"/>
      <c r="AJ171" s="127"/>
      <c r="AK171" s="126"/>
      <c r="AL171" s="126"/>
      <c r="AM171" s="127"/>
      <c r="AN171" s="126"/>
      <c r="AO171" s="126"/>
      <c r="AP171" s="127"/>
      <c r="AQ171" s="126"/>
      <c r="AR171" s="126"/>
      <c r="AS171" s="127"/>
      <c r="AT171" s="126"/>
      <c r="AU171" s="126"/>
      <c r="AV171" s="127"/>
      <c r="AW171" s="126"/>
      <c r="AX171" s="126"/>
      <c r="AY171" s="127"/>
      <c r="AZ171" s="126"/>
      <c r="BA171" s="126"/>
      <c r="BB171" s="127"/>
      <c r="BC171" s="126"/>
      <c r="BD171" s="134"/>
      <c r="BE171" s="127"/>
      <c r="BF171" s="126"/>
      <c r="BG171" s="126"/>
      <c r="BH171" s="126"/>
      <c r="BI171" s="126"/>
      <c r="BJ171" s="126"/>
      <c r="BK171" s="126"/>
      <c r="BL171" s="126"/>
      <c r="BM171" s="126"/>
      <c r="BN171" s="126"/>
      <c r="BO171" s="126"/>
      <c r="BP171" s="126"/>
      <c r="BQ171" s="126"/>
      <c r="BR171" s="126"/>
      <c r="BS171" s="126"/>
      <c r="BT171" s="126"/>
      <c r="BU171" s="126"/>
      <c r="BV171" s="126"/>
      <c r="BW171" s="126"/>
      <c r="BX171" s="126"/>
    </row>
    <row r="172">
      <c r="A172" s="126"/>
      <c r="B172" s="126"/>
      <c r="C172" s="127"/>
      <c r="D172" s="126"/>
      <c r="E172" s="126"/>
      <c r="F172" s="127"/>
      <c r="G172" s="126"/>
      <c r="H172" s="127"/>
      <c r="I172" s="126"/>
      <c r="J172" s="126"/>
      <c r="K172" s="127"/>
      <c r="L172" s="126"/>
      <c r="M172" s="126"/>
      <c r="N172" s="127"/>
      <c r="O172" s="126"/>
      <c r="P172" s="126"/>
      <c r="Q172" s="127"/>
      <c r="R172" s="126"/>
      <c r="S172" s="126"/>
      <c r="T172" s="127"/>
      <c r="U172" s="126"/>
      <c r="V172" s="126"/>
      <c r="W172" s="127"/>
      <c r="X172" s="126"/>
      <c r="Y172" s="126"/>
      <c r="Z172" s="127"/>
      <c r="AA172" s="126"/>
      <c r="AB172" s="126"/>
      <c r="AC172" s="127"/>
      <c r="AD172" s="126"/>
      <c r="AE172" s="126"/>
      <c r="AF172" s="126"/>
      <c r="AG172" s="127"/>
      <c r="AH172" s="126"/>
      <c r="AI172" s="126"/>
      <c r="AJ172" s="127"/>
      <c r="AK172" s="126"/>
      <c r="AL172" s="126"/>
      <c r="AM172" s="127"/>
      <c r="AN172" s="126"/>
      <c r="AO172" s="126"/>
      <c r="AP172" s="127"/>
      <c r="AQ172" s="126"/>
      <c r="AR172" s="126"/>
      <c r="AS172" s="127"/>
      <c r="AT172" s="126"/>
      <c r="AU172" s="126"/>
      <c r="AV172" s="127"/>
      <c r="AW172" s="126"/>
      <c r="AX172" s="126"/>
      <c r="AY172" s="127"/>
      <c r="AZ172" s="126"/>
      <c r="BA172" s="126"/>
      <c r="BB172" s="127"/>
      <c r="BC172" s="126"/>
      <c r="BD172" s="134"/>
      <c r="BE172" s="127"/>
      <c r="BF172" s="126"/>
      <c r="BG172" s="126"/>
      <c r="BH172" s="126"/>
      <c r="BI172" s="126"/>
      <c r="BJ172" s="126"/>
      <c r="BK172" s="126"/>
      <c r="BL172" s="126"/>
      <c r="BM172" s="126"/>
      <c r="BN172" s="126"/>
      <c r="BO172" s="126"/>
      <c r="BP172" s="126"/>
      <c r="BQ172" s="126"/>
      <c r="BR172" s="126"/>
      <c r="BS172" s="126"/>
      <c r="BT172" s="126"/>
      <c r="BU172" s="126"/>
      <c r="BV172" s="126"/>
      <c r="BW172" s="126"/>
      <c r="BX172" s="126"/>
    </row>
    <row r="173">
      <c r="A173" s="126"/>
      <c r="B173" s="126"/>
      <c r="C173" s="127"/>
      <c r="D173" s="126"/>
      <c r="E173" s="126"/>
      <c r="F173" s="127"/>
      <c r="G173" s="126"/>
      <c r="H173" s="127"/>
      <c r="I173" s="126"/>
      <c r="J173" s="126"/>
      <c r="K173" s="127"/>
      <c r="L173" s="126"/>
      <c r="M173" s="126"/>
      <c r="N173" s="127"/>
      <c r="O173" s="126"/>
      <c r="P173" s="126"/>
      <c r="Q173" s="127"/>
      <c r="R173" s="126"/>
      <c r="S173" s="126"/>
      <c r="T173" s="127"/>
      <c r="U173" s="126"/>
      <c r="V173" s="126"/>
      <c r="W173" s="127"/>
      <c r="X173" s="126"/>
      <c r="Y173" s="126"/>
      <c r="Z173" s="127"/>
      <c r="AA173" s="126"/>
      <c r="AB173" s="126"/>
      <c r="AC173" s="127"/>
      <c r="AD173" s="126"/>
      <c r="AE173" s="126"/>
      <c r="AF173" s="126"/>
      <c r="AG173" s="127"/>
      <c r="AH173" s="126"/>
      <c r="AI173" s="126"/>
      <c r="AJ173" s="127"/>
      <c r="AK173" s="126"/>
      <c r="AL173" s="126"/>
      <c r="AM173" s="127"/>
      <c r="AN173" s="126"/>
      <c r="AO173" s="126"/>
      <c r="AP173" s="127"/>
      <c r="AQ173" s="126"/>
      <c r="AR173" s="126"/>
      <c r="AS173" s="127"/>
      <c r="AT173" s="126"/>
      <c r="AU173" s="126"/>
      <c r="AV173" s="127"/>
      <c r="AW173" s="126"/>
      <c r="AX173" s="126"/>
      <c r="AY173" s="127"/>
      <c r="AZ173" s="126"/>
      <c r="BA173" s="126"/>
      <c r="BB173" s="127"/>
      <c r="BC173" s="126"/>
      <c r="BD173" s="134"/>
      <c r="BE173" s="127"/>
      <c r="BF173" s="126"/>
      <c r="BG173" s="126"/>
      <c r="BH173" s="126"/>
      <c r="BI173" s="126"/>
      <c r="BJ173" s="126"/>
      <c r="BK173" s="126"/>
      <c r="BL173" s="126"/>
      <c r="BM173" s="126"/>
      <c r="BN173" s="126"/>
      <c r="BO173" s="126"/>
      <c r="BP173" s="126"/>
      <c r="BQ173" s="126"/>
      <c r="BR173" s="126"/>
      <c r="BS173" s="126"/>
      <c r="BT173" s="126"/>
      <c r="BU173" s="126"/>
      <c r="BV173" s="126"/>
      <c r="BW173" s="126"/>
      <c r="BX173" s="126"/>
    </row>
    <row r="174">
      <c r="A174" s="126"/>
      <c r="B174" s="126"/>
      <c r="C174" s="127"/>
      <c r="D174" s="126"/>
      <c r="E174" s="126"/>
      <c r="F174" s="127"/>
      <c r="G174" s="126"/>
      <c r="H174" s="127"/>
      <c r="I174" s="126"/>
      <c r="J174" s="126"/>
      <c r="K174" s="127"/>
      <c r="L174" s="126"/>
      <c r="M174" s="126"/>
      <c r="N174" s="127"/>
      <c r="O174" s="126"/>
      <c r="P174" s="126"/>
      <c r="Q174" s="127"/>
      <c r="R174" s="126"/>
      <c r="S174" s="126"/>
      <c r="T174" s="127"/>
      <c r="U174" s="126"/>
      <c r="V174" s="126"/>
      <c r="W174" s="127"/>
      <c r="X174" s="126"/>
      <c r="Y174" s="126"/>
      <c r="Z174" s="127"/>
      <c r="AA174" s="126"/>
      <c r="AB174" s="126"/>
      <c r="AC174" s="127"/>
      <c r="AD174" s="126"/>
      <c r="AE174" s="126"/>
      <c r="AF174" s="126"/>
      <c r="AG174" s="127"/>
      <c r="AH174" s="126"/>
      <c r="AI174" s="126"/>
      <c r="AJ174" s="127"/>
      <c r="AK174" s="126"/>
      <c r="AL174" s="126"/>
      <c r="AM174" s="127"/>
      <c r="AN174" s="126"/>
      <c r="AO174" s="126"/>
      <c r="AP174" s="127"/>
      <c r="AQ174" s="126"/>
      <c r="AR174" s="126"/>
      <c r="AS174" s="127"/>
      <c r="AT174" s="126"/>
      <c r="AU174" s="126"/>
      <c r="AV174" s="127"/>
      <c r="AW174" s="126"/>
      <c r="AX174" s="126"/>
      <c r="AY174" s="127"/>
      <c r="AZ174" s="126"/>
      <c r="BA174" s="126"/>
      <c r="BB174" s="127"/>
      <c r="BC174" s="126"/>
      <c r="BD174" s="134"/>
      <c r="BE174" s="127"/>
      <c r="BF174" s="126"/>
      <c r="BG174" s="126"/>
      <c r="BH174" s="126"/>
      <c r="BI174" s="126"/>
      <c r="BJ174" s="126"/>
      <c r="BK174" s="126"/>
      <c r="BL174" s="126"/>
      <c r="BM174" s="126"/>
      <c r="BN174" s="126"/>
      <c r="BO174" s="126"/>
      <c r="BP174" s="126"/>
      <c r="BQ174" s="126"/>
      <c r="BR174" s="126"/>
      <c r="BS174" s="126"/>
      <c r="BT174" s="126"/>
      <c r="BU174" s="126"/>
      <c r="BV174" s="126"/>
      <c r="BW174" s="126"/>
      <c r="BX174" s="126"/>
    </row>
    <row r="175">
      <c r="A175" s="126"/>
      <c r="B175" s="126"/>
      <c r="C175" s="127"/>
      <c r="D175" s="126"/>
      <c r="E175" s="126"/>
      <c r="F175" s="127"/>
      <c r="G175" s="126"/>
      <c r="H175" s="127"/>
      <c r="I175" s="126"/>
      <c r="J175" s="126"/>
      <c r="K175" s="127"/>
      <c r="L175" s="126"/>
      <c r="M175" s="126"/>
      <c r="N175" s="127"/>
      <c r="O175" s="126"/>
      <c r="P175" s="126"/>
      <c r="Q175" s="127"/>
      <c r="R175" s="126"/>
      <c r="S175" s="126"/>
      <c r="T175" s="127"/>
      <c r="U175" s="126"/>
      <c r="V175" s="126"/>
      <c r="W175" s="127"/>
      <c r="X175" s="126"/>
      <c r="Y175" s="126"/>
      <c r="Z175" s="127"/>
      <c r="AA175" s="126"/>
      <c r="AB175" s="126"/>
      <c r="AC175" s="127"/>
      <c r="AD175" s="126"/>
      <c r="AE175" s="126"/>
      <c r="AF175" s="126"/>
      <c r="AG175" s="127"/>
      <c r="AH175" s="126"/>
      <c r="AI175" s="126"/>
      <c r="AJ175" s="127"/>
      <c r="AK175" s="126"/>
      <c r="AL175" s="126"/>
      <c r="AM175" s="127"/>
      <c r="AN175" s="126"/>
      <c r="AO175" s="126"/>
      <c r="AP175" s="127"/>
      <c r="AQ175" s="126"/>
      <c r="AR175" s="126"/>
      <c r="AS175" s="127"/>
      <c r="AT175" s="126"/>
      <c r="AU175" s="126"/>
      <c r="AV175" s="127"/>
      <c r="AW175" s="126"/>
      <c r="AX175" s="126"/>
      <c r="AY175" s="127"/>
      <c r="AZ175" s="126"/>
      <c r="BA175" s="126"/>
      <c r="BB175" s="127"/>
      <c r="BC175" s="126"/>
      <c r="BD175" s="134"/>
      <c r="BE175" s="127"/>
      <c r="BF175" s="126"/>
      <c r="BG175" s="126"/>
      <c r="BH175" s="126"/>
      <c r="BI175" s="126"/>
      <c r="BJ175" s="126"/>
      <c r="BK175" s="126"/>
      <c r="BL175" s="126"/>
      <c r="BM175" s="126"/>
      <c r="BN175" s="126"/>
      <c r="BO175" s="126"/>
      <c r="BP175" s="126"/>
      <c r="BQ175" s="126"/>
      <c r="BR175" s="126"/>
      <c r="BS175" s="126"/>
      <c r="BT175" s="126"/>
      <c r="BU175" s="126"/>
      <c r="BV175" s="126"/>
      <c r="BW175" s="126"/>
      <c r="BX175" s="126"/>
    </row>
    <row r="176">
      <c r="A176" s="126"/>
      <c r="B176" s="126"/>
      <c r="C176" s="127"/>
      <c r="D176" s="126"/>
      <c r="E176" s="126"/>
      <c r="F176" s="127"/>
      <c r="G176" s="126"/>
      <c r="H176" s="127"/>
      <c r="I176" s="126"/>
      <c r="J176" s="126"/>
      <c r="K176" s="127"/>
      <c r="L176" s="126"/>
      <c r="M176" s="126"/>
      <c r="N176" s="127"/>
      <c r="O176" s="126"/>
      <c r="P176" s="126"/>
      <c r="Q176" s="127"/>
      <c r="R176" s="126"/>
      <c r="S176" s="126"/>
      <c r="T176" s="127"/>
      <c r="U176" s="126"/>
      <c r="V176" s="126"/>
      <c r="W176" s="127"/>
      <c r="X176" s="126"/>
      <c r="Y176" s="126"/>
      <c r="Z176" s="127"/>
      <c r="AA176" s="126"/>
      <c r="AB176" s="126"/>
      <c r="AC176" s="127"/>
      <c r="AD176" s="126"/>
      <c r="AE176" s="126"/>
      <c r="AF176" s="126"/>
      <c r="AG176" s="127"/>
      <c r="AH176" s="126"/>
      <c r="AI176" s="126"/>
      <c r="AJ176" s="127"/>
      <c r="AK176" s="126"/>
      <c r="AL176" s="126"/>
      <c r="AM176" s="127"/>
      <c r="AN176" s="126"/>
      <c r="AO176" s="126"/>
      <c r="AP176" s="127"/>
      <c r="AQ176" s="126"/>
      <c r="AR176" s="126"/>
      <c r="AS176" s="127"/>
      <c r="AT176" s="126"/>
      <c r="AU176" s="126"/>
      <c r="AV176" s="127"/>
      <c r="AW176" s="126"/>
      <c r="AX176" s="126"/>
      <c r="AY176" s="127"/>
      <c r="AZ176" s="126"/>
      <c r="BA176" s="126"/>
      <c r="BB176" s="127"/>
      <c r="BC176" s="126"/>
      <c r="BD176" s="134"/>
      <c r="BE176" s="127"/>
      <c r="BF176" s="126"/>
      <c r="BG176" s="126"/>
      <c r="BH176" s="126"/>
      <c r="BI176" s="126"/>
      <c r="BJ176" s="126"/>
      <c r="BK176" s="126"/>
      <c r="BL176" s="126"/>
      <c r="BM176" s="126"/>
      <c r="BN176" s="126"/>
      <c r="BO176" s="126"/>
      <c r="BP176" s="126"/>
      <c r="BQ176" s="126"/>
      <c r="BR176" s="126"/>
      <c r="BS176" s="126"/>
      <c r="BT176" s="126"/>
      <c r="BU176" s="126"/>
      <c r="BV176" s="126"/>
      <c r="BW176" s="126"/>
      <c r="BX176" s="126"/>
    </row>
    <row r="177">
      <c r="A177" s="126"/>
      <c r="B177" s="126"/>
      <c r="C177" s="127"/>
      <c r="D177" s="126"/>
      <c r="E177" s="126"/>
      <c r="F177" s="127"/>
      <c r="G177" s="126"/>
      <c r="H177" s="127"/>
      <c r="I177" s="126"/>
      <c r="J177" s="126"/>
      <c r="K177" s="127"/>
      <c r="L177" s="126"/>
      <c r="M177" s="126"/>
      <c r="N177" s="127"/>
      <c r="O177" s="126"/>
      <c r="P177" s="126"/>
      <c r="Q177" s="127"/>
      <c r="R177" s="126"/>
      <c r="S177" s="126"/>
      <c r="T177" s="127"/>
      <c r="U177" s="126"/>
      <c r="V177" s="126"/>
      <c r="W177" s="127"/>
      <c r="X177" s="126"/>
      <c r="Y177" s="126"/>
      <c r="Z177" s="127"/>
      <c r="AA177" s="126"/>
      <c r="AB177" s="126"/>
      <c r="AC177" s="127"/>
      <c r="AD177" s="126"/>
      <c r="AE177" s="126"/>
      <c r="AF177" s="126"/>
      <c r="AG177" s="127"/>
      <c r="AH177" s="126"/>
      <c r="AI177" s="126"/>
      <c r="AJ177" s="127"/>
      <c r="AK177" s="126"/>
      <c r="AL177" s="126"/>
      <c r="AM177" s="127"/>
      <c r="AN177" s="126"/>
      <c r="AO177" s="126"/>
      <c r="AP177" s="127"/>
      <c r="AQ177" s="126"/>
      <c r="AR177" s="126"/>
      <c r="AS177" s="127"/>
      <c r="AT177" s="126"/>
      <c r="AU177" s="126"/>
      <c r="AV177" s="127"/>
      <c r="AW177" s="126"/>
      <c r="AX177" s="126"/>
      <c r="AY177" s="127"/>
      <c r="AZ177" s="126"/>
      <c r="BA177" s="126"/>
      <c r="BB177" s="127"/>
      <c r="BC177" s="126"/>
      <c r="BD177" s="134"/>
      <c r="BE177" s="127"/>
      <c r="BF177" s="126"/>
      <c r="BG177" s="126"/>
      <c r="BH177" s="126"/>
      <c r="BI177" s="126"/>
      <c r="BJ177" s="126"/>
      <c r="BK177" s="126"/>
      <c r="BL177" s="126"/>
      <c r="BM177" s="126"/>
      <c r="BN177" s="126"/>
      <c r="BO177" s="126"/>
      <c r="BP177" s="126"/>
      <c r="BQ177" s="126"/>
      <c r="BR177" s="126"/>
      <c r="BS177" s="126"/>
      <c r="BT177" s="126"/>
      <c r="BU177" s="126"/>
      <c r="BV177" s="126"/>
      <c r="BW177" s="126"/>
      <c r="BX177" s="126"/>
    </row>
    <row r="178">
      <c r="A178" s="126"/>
      <c r="B178" s="126"/>
      <c r="C178" s="127"/>
      <c r="D178" s="126"/>
      <c r="E178" s="126"/>
      <c r="F178" s="127"/>
      <c r="G178" s="126"/>
      <c r="H178" s="127"/>
      <c r="I178" s="126"/>
      <c r="J178" s="126"/>
      <c r="K178" s="127"/>
      <c r="L178" s="126"/>
      <c r="M178" s="126"/>
      <c r="N178" s="127"/>
      <c r="O178" s="126"/>
      <c r="P178" s="126"/>
      <c r="Q178" s="127"/>
      <c r="R178" s="126"/>
      <c r="S178" s="126"/>
      <c r="T178" s="127"/>
      <c r="U178" s="126"/>
      <c r="V178" s="126"/>
      <c r="W178" s="127"/>
      <c r="X178" s="126"/>
      <c r="Y178" s="126"/>
      <c r="Z178" s="127"/>
      <c r="AA178" s="126"/>
      <c r="AB178" s="126"/>
      <c r="AC178" s="127"/>
      <c r="AD178" s="126"/>
      <c r="AE178" s="126"/>
      <c r="AF178" s="126"/>
      <c r="AG178" s="127"/>
      <c r="AH178" s="126"/>
      <c r="AI178" s="126"/>
      <c r="AJ178" s="127"/>
      <c r="AK178" s="126"/>
      <c r="AL178" s="126"/>
      <c r="AM178" s="127"/>
      <c r="AN178" s="126"/>
      <c r="AO178" s="126"/>
      <c r="AP178" s="127"/>
      <c r="AQ178" s="126"/>
      <c r="AR178" s="126"/>
      <c r="AS178" s="127"/>
      <c r="AT178" s="126"/>
      <c r="AU178" s="126"/>
      <c r="AV178" s="127"/>
      <c r="AW178" s="126"/>
      <c r="AX178" s="126"/>
      <c r="AY178" s="127"/>
      <c r="AZ178" s="126"/>
      <c r="BA178" s="126"/>
      <c r="BB178" s="127"/>
      <c r="BC178" s="126"/>
      <c r="BD178" s="134"/>
      <c r="BE178" s="127"/>
      <c r="BF178" s="126"/>
      <c r="BG178" s="126"/>
      <c r="BH178" s="126"/>
      <c r="BI178" s="126"/>
      <c r="BJ178" s="126"/>
      <c r="BK178" s="126"/>
      <c r="BL178" s="126"/>
      <c r="BM178" s="126"/>
      <c r="BN178" s="126"/>
      <c r="BO178" s="126"/>
      <c r="BP178" s="126"/>
      <c r="BQ178" s="126"/>
      <c r="BR178" s="126"/>
      <c r="BS178" s="126"/>
      <c r="BT178" s="126"/>
      <c r="BU178" s="126"/>
      <c r="BV178" s="126"/>
      <c r="BW178" s="126"/>
      <c r="BX178" s="126"/>
    </row>
    <row r="179">
      <c r="A179" s="126"/>
      <c r="B179" s="126"/>
      <c r="C179" s="127"/>
      <c r="D179" s="126"/>
      <c r="E179" s="126"/>
      <c r="F179" s="127"/>
      <c r="G179" s="126"/>
      <c r="H179" s="127"/>
      <c r="I179" s="126"/>
      <c r="J179" s="126"/>
      <c r="K179" s="127"/>
      <c r="L179" s="126"/>
      <c r="M179" s="126"/>
      <c r="N179" s="127"/>
      <c r="O179" s="126"/>
      <c r="P179" s="126"/>
      <c r="Q179" s="127"/>
      <c r="R179" s="126"/>
      <c r="S179" s="126"/>
      <c r="T179" s="127"/>
      <c r="U179" s="126"/>
      <c r="V179" s="126"/>
      <c r="W179" s="127"/>
      <c r="X179" s="126"/>
      <c r="Y179" s="126"/>
      <c r="Z179" s="127"/>
      <c r="AA179" s="126"/>
      <c r="AB179" s="126"/>
      <c r="AC179" s="127"/>
      <c r="AD179" s="126"/>
      <c r="AE179" s="126"/>
      <c r="AF179" s="126"/>
      <c r="AG179" s="127"/>
      <c r="AH179" s="126"/>
      <c r="AI179" s="126"/>
      <c r="AJ179" s="127"/>
      <c r="AK179" s="126"/>
      <c r="AL179" s="126"/>
      <c r="AM179" s="127"/>
      <c r="AN179" s="126"/>
      <c r="AO179" s="126"/>
      <c r="AP179" s="127"/>
      <c r="AQ179" s="126"/>
      <c r="AR179" s="126"/>
      <c r="AS179" s="127"/>
      <c r="AT179" s="126"/>
      <c r="AU179" s="126"/>
      <c r="AV179" s="127"/>
      <c r="AW179" s="126"/>
      <c r="AX179" s="126"/>
      <c r="AY179" s="127"/>
      <c r="AZ179" s="126"/>
      <c r="BA179" s="126"/>
      <c r="BB179" s="127"/>
      <c r="BC179" s="126"/>
      <c r="BD179" s="134"/>
      <c r="BE179" s="127"/>
      <c r="BF179" s="126"/>
      <c r="BG179" s="126"/>
      <c r="BH179" s="126"/>
      <c r="BI179" s="126"/>
      <c r="BJ179" s="126"/>
      <c r="BK179" s="126"/>
      <c r="BL179" s="126"/>
      <c r="BM179" s="126"/>
      <c r="BN179" s="126"/>
      <c r="BO179" s="126"/>
      <c r="BP179" s="126"/>
      <c r="BQ179" s="126"/>
      <c r="BR179" s="126"/>
      <c r="BS179" s="126"/>
      <c r="BT179" s="126"/>
      <c r="BU179" s="126"/>
      <c r="BV179" s="126"/>
      <c r="BW179" s="126"/>
      <c r="BX179" s="126"/>
    </row>
    <row r="180">
      <c r="A180" s="126"/>
      <c r="B180" s="126"/>
      <c r="C180" s="127"/>
      <c r="D180" s="126"/>
      <c r="E180" s="126"/>
      <c r="F180" s="127"/>
      <c r="G180" s="126"/>
      <c r="H180" s="127"/>
      <c r="I180" s="126"/>
      <c r="J180" s="126"/>
      <c r="K180" s="127"/>
      <c r="L180" s="126"/>
      <c r="M180" s="126"/>
      <c r="N180" s="127"/>
      <c r="O180" s="126"/>
      <c r="P180" s="126"/>
      <c r="Q180" s="127"/>
      <c r="R180" s="126"/>
      <c r="S180" s="126"/>
      <c r="T180" s="127"/>
      <c r="U180" s="126"/>
      <c r="V180" s="126"/>
      <c r="W180" s="127"/>
      <c r="X180" s="126"/>
      <c r="Y180" s="126"/>
      <c r="Z180" s="127"/>
      <c r="AA180" s="126"/>
      <c r="AB180" s="126"/>
      <c r="AC180" s="127"/>
      <c r="AD180" s="126"/>
      <c r="AE180" s="126"/>
      <c r="AF180" s="126"/>
      <c r="AG180" s="127"/>
      <c r="AH180" s="126"/>
      <c r="AI180" s="126"/>
      <c r="AJ180" s="127"/>
      <c r="AK180" s="126"/>
      <c r="AL180" s="126"/>
      <c r="AM180" s="127"/>
      <c r="AN180" s="126"/>
      <c r="AO180" s="126"/>
      <c r="AP180" s="127"/>
      <c r="AQ180" s="126"/>
      <c r="AR180" s="126"/>
      <c r="AS180" s="127"/>
      <c r="AT180" s="126"/>
      <c r="AU180" s="126"/>
      <c r="AV180" s="127"/>
      <c r="AW180" s="126"/>
      <c r="AX180" s="126"/>
      <c r="AY180" s="127"/>
      <c r="AZ180" s="126"/>
      <c r="BA180" s="126"/>
      <c r="BB180" s="127"/>
      <c r="BC180" s="126"/>
      <c r="BD180" s="134"/>
      <c r="BE180" s="127"/>
      <c r="BF180" s="126"/>
      <c r="BG180" s="126"/>
      <c r="BH180" s="126"/>
      <c r="BI180" s="126"/>
      <c r="BJ180" s="126"/>
      <c r="BK180" s="126"/>
      <c r="BL180" s="126"/>
      <c r="BM180" s="126"/>
      <c r="BN180" s="126"/>
      <c r="BO180" s="126"/>
      <c r="BP180" s="126"/>
      <c r="BQ180" s="126"/>
      <c r="BR180" s="126"/>
      <c r="BS180" s="126"/>
      <c r="BT180" s="126"/>
      <c r="BU180" s="126"/>
      <c r="BV180" s="126"/>
      <c r="BW180" s="126"/>
      <c r="BX180" s="126"/>
    </row>
    <row r="181">
      <c r="A181" s="126"/>
      <c r="B181" s="126"/>
      <c r="C181" s="127"/>
      <c r="D181" s="126"/>
      <c r="E181" s="126"/>
      <c r="F181" s="127"/>
      <c r="G181" s="126"/>
      <c r="H181" s="127"/>
      <c r="I181" s="126"/>
      <c r="J181" s="126"/>
      <c r="K181" s="127"/>
      <c r="L181" s="126"/>
      <c r="M181" s="126"/>
      <c r="N181" s="127"/>
      <c r="O181" s="126"/>
      <c r="P181" s="126"/>
      <c r="Q181" s="127"/>
      <c r="R181" s="126"/>
      <c r="S181" s="126"/>
      <c r="T181" s="127"/>
      <c r="U181" s="126"/>
      <c r="V181" s="126"/>
      <c r="W181" s="127"/>
      <c r="X181" s="126"/>
      <c r="Y181" s="126"/>
      <c r="Z181" s="127"/>
      <c r="AA181" s="126"/>
      <c r="AB181" s="126"/>
      <c r="AC181" s="127"/>
      <c r="AD181" s="126"/>
      <c r="AE181" s="126"/>
      <c r="AF181" s="126"/>
      <c r="AG181" s="127"/>
      <c r="AH181" s="126"/>
      <c r="AI181" s="126"/>
      <c r="AJ181" s="127"/>
      <c r="AK181" s="126"/>
      <c r="AL181" s="126"/>
      <c r="AM181" s="127"/>
      <c r="AN181" s="126"/>
      <c r="AO181" s="126"/>
      <c r="AP181" s="127"/>
      <c r="AQ181" s="126"/>
      <c r="AR181" s="126"/>
      <c r="AS181" s="127"/>
      <c r="AT181" s="126"/>
      <c r="AU181" s="126"/>
      <c r="AV181" s="127"/>
      <c r="AW181" s="126"/>
      <c r="AX181" s="126"/>
      <c r="AY181" s="127"/>
      <c r="AZ181" s="126"/>
      <c r="BA181" s="126"/>
      <c r="BB181" s="127"/>
      <c r="BC181" s="126"/>
      <c r="BD181" s="134"/>
      <c r="BE181" s="127"/>
      <c r="BF181" s="126"/>
      <c r="BG181" s="126"/>
      <c r="BH181" s="126"/>
      <c r="BI181" s="126"/>
      <c r="BJ181" s="126"/>
      <c r="BK181" s="126"/>
      <c r="BL181" s="126"/>
      <c r="BM181" s="126"/>
      <c r="BN181" s="126"/>
      <c r="BO181" s="126"/>
      <c r="BP181" s="126"/>
      <c r="BQ181" s="126"/>
      <c r="BR181" s="126"/>
      <c r="BS181" s="126"/>
      <c r="BT181" s="126"/>
      <c r="BU181" s="126"/>
      <c r="BV181" s="126"/>
      <c r="BW181" s="126"/>
      <c r="BX181" s="126"/>
    </row>
    <row r="182">
      <c r="A182" s="126"/>
      <c r="B182" s="126"/>
      <c r="C182" s="127"/>
      <c r="D182" s="126"/>
      <c r="E182" s="126"/>
      <c r="F182" s="127"/>
      <c r="G182" s="126"/>
      <c r="H182" s="127"/>
      <c r="I182" s="126"/>
      <c r="J182" s="126"/>
      <c r="K182" s="127"/>
      <c r="L182" s="126"/>
      <c r="M182" s="126"/>
      <c r="N182" s="127"/>
      <c r="O182" s="126"/>
      <c r="P182" s="126"/>
      <c r="Q182" s="127"/>
      <c r="R182" s="126"/>
      <c r="S182" s="126"/>
      <c r="T182" s="127"/>
      <c r="U182" s="126"/>
      <c r="V182" s="126"/>
      <c r="W182" s="127"/>
      <c r="X182" s="126"/>
      <c r="Y182" s="126"/>
      <c r="Z182" s="127"/>
      <c r="AA182" s="126"/>
      <c r="AB182" s="126"/>
      <c r="AC182" s="127"/>
      <c r="AD182" s="126"/>
      <c r="AE182" s="126"/>
      <c r="AF182" s="126"/>
      <c r="AG182" s="127"/>
      <c r="AH182" s="126"/>
      <c r="AI182" s="126"/>
      <c r="AJ182" s="127"/>
      <c r="AK182" s="126"/>
      <c r="AL182" s="126"/>
      <c r="AM182" s="127"/>
      <c r="AN182" s="126"/>
      <c r="AO182" s="126"/>
      <c r="AP182" s="127"/>
      <c r="AQ182" s="126"/>
      <c r="AR182" s="126"/>
      <c r="AS182" s="127"/>
      <c r="AT182" s="126"/>
      <c r="AU182" s="126"/>
      <c r="AV182" s="127"/>
      <c r="AW182" s="126"/>
      <c r="AX182" s="126"/>
      <c r="AY182" s="127"/>
      <c r="AZ182" s="126"/>
      <c r="BA182" s="126"/>
      <c r="BB182" s="127"/>
      <c r="BC182" s="126"/>
      <c r="BD182" s="134"/>
      <c r="BE182" s="127"/>
      <c r="BF182" s="126"/>
      <c r="BG182" s="126"/>
      <c r="BH182" s="126"/>
      <c r="BI182" s="126"/>
      <c r="BJ182" s="126"/>
      <c r="BK182" s="126"/>
      <c r="BL182" s="126"/>
      <c r="BM182" s="126"/>
      <c r="BN182" s="126"/>
      <c r="BO182" s="126"/>
      <c r="BP182" s="126"/>
      <c r="BQ182" s="126"/>
      <c r="BR182" s="126"/>
      <c r="BS182" s="126"/>
      <c r="BT182" s="126"/>
      <c r="BU182" s="126"/>
      <c r="BV182" s="126"/>
      <c r="BW182" s="126"/>
      <c r="BX182" s="126"/>
    </row>
    <row r="183">
      <c r="A183" s="126"/>
      <c r="B183" s="126"/>
      <c r="C183" s="127"/>
      <c r="D183" s="126"/>
      <c r="E183" s="126"/>
      <c r="F183" s="127"/>
      <c r="G183" s="126"/>
      <c r="H183" s="127"/>
      <c r="I183" s="126"/>
      <c r="J183" s="126"/>
      <c r="K183" s="127"/>
      <c r="L183" s="126"/>
      <c r="M183" s="126"/>
      <c r="N183" s="127"/>
      <c r="O183" s="126"/>
      <c r="P183" s="126"/>
      <c r="Q183" s="127"/>
      <c r="R183" s="126"/>
      <c r="S183" s="126"/>
      <c r="T183" s="127"/>
      <c r="U183" s="126"/>
      <c r="V183" s="126"/>
      <c r="W183" s="127"/>
      <c r="X183" s="126"/>
      <c r="Y183" s="126"/>
      <c r="Z183" s="127"/>
      <c r="AA183" s="126"/>
      <c r="AB183" s="126"/>
      <c r="AC183" s="127"/>
      <c r="AD183" s="126"/>
      <c r="AE183" s="126"/>
      <c r="AF183" s="126"/>
      <c r="AG183" s="127"/>
      <c r="AH183" s="126"/>
      <c r="AI183" s="126"/>
      <c r="AJ183" s="127"/>
      <c r="AK183" s="126"/>
      <c r="AL183" s="126"/>
      <c r="AM183" s="127"/>
      <c r="AN183" s="126"/>
      <c r="AO183" s="126"/>
      <c r="AP183" s="127"/>
      <c r="AQ183" s="126"/>
      <c r="AR183" s="126"/>
      <c r="AS183" s="127"/>
      <c r="AT183" s="126"/>
      <c r="AU183" s="126"/>
      <c r="AV183" s="127"/>
      <c r="AW183" s="126"/>
      <c r="AX183" s="126"/>
      <c r="AY183" s="127"/>
      <c r="AZ183" s="126"/>
      <c r="BA183" s="126"/>
      <c r="BB183" s="127"/>
      <c r="BC183" s="126"/>
      <c r="BD183" s="134"/>
      <c r="BE183" s="127"/>
      <c r="BF183" s="126"/>
      <c r="BG183" s="126"/>
      <c r="BH183" s="126"/>
      <c r="BI183" s="126"/>
      <c r="BJ183" s="126"/>
      <c r="BK183" s="126"/>
      <c r="BL183" s="126"/>
      <c r="BM183" s="126"/>
      <c r="BN183" s="126"/>
      <c r="BO183" s="126"/>
      <c r="BP183" s="126"/>
      <c r="BQ183" s="126"/>
      <c r="BR183" s="126"/>
      <c r="BS183" s="126"/>
      <c r="BT183" s="126"/>
      <c r="BU183" s="126"/>
      <c r="BV183" s="126"/>
      <c r="BW183" s="126"/>
      <c r="BX183" s="126"/>
    </row>
    <row r="184">
      <c r="A184" s="126"/>
      <c r="B184" s="126"/>
      <c r="C184" s="127"/>
      <c r="D184" s="126"/>
      <c r="E184" s="126"/>
      <c r="F184" s="127"/>
      <c r="G184" s="126"/>
      <c r="H184" s="127"/>
      <c r="I184" s="126"/>
      <c r="J184" s="126"/>
      <c r="K184" s="127"/>
      <c r="L184" s="126"/>
      <c r="M184" s="126"/>
      <c r="N184" s="127"/>
      <c r="O184" s="126"/>
      <c r="P184" s="126"/>
      <c r="Q184" s="127"/>
      <c r="R184" s="126"/>
      <c r="S184" s="126"/>
      <c r="T184" s="127"/>
      <c r="U184" s="126"/>
      <c r="V184" s="126"/>
      <c r="W184" s="127"/>
      <c r="X184" s="126"/>
      <c r="Y184" s="126"/>
      <c r="Z184" s="127"/>
      <c r="AA184" s="126"/>
      <c r="AB184" s="126"/>
      <c r="AC184" s="127"/>
      <c r="AD184" s="126"/>
      <c r="AE184" s="126"/>
      <c r="AF184" s="126"/>
      <c r="AG184" s="127"/>
      <c r="AH184" s="126"/>
      <c r="AI184" s="126"/>
      <c r="AJ184" s="127"/>
      <c r="AK184" s="126"/>
      <c r="AL184" s="126"/>
      <c r="AM184" s="127"/>
      <c r="AN184" s="126"/>
      <c r="AO184" s="126"/>
      <c r="AP184" s="127"/>
      <c r="AQ184" s="126"/>
      <c r="AR184" s="126"/>
      <c r="AS184" s="127"/>
      <c r="AT184" s="126"/>
      <c r="AU184" s="126"/>
      <c r="AV184" s="127"/>
      <c r="AW184" s="126"/>
      <c r="AX184" s="126"/>
      <c r="AY184" s="127"/>
      <c r="AZ184" s="126"/>
      <c r="BA184" s="126"/>
      <c r="BB184" s="127"/>
      <c r="BC184" s="126"/>
      <c r="BD184" s="134"/>
      <c r="BE184" s="127"/>
      <c r="BF184" s="126"/>
      <c r="BG184" s="126"/>
      <c r="BH184" s="126"/>
      <c r="BI184" s="126"/>
      <c r="BJ184" s="126"/>
      <c r="BK184" s="126"/>
      <c r="BL184" s="126"/>
      <c r="BM184" s="126"/>
      <c r="BN184" s="126"/>
      <c r="BO184" s="126"/>
      <c r="BP184" s="126"/>
      <c r="BQ184" s="126"/>
      <c r="BR184" s="126"/>
      <c r="BS184" s="126"/>
      <c r="BT184" s="126"/>
      <c r="BU184" s="126"/>
      <c r="BV184" s="126"/>
      <c r="BW184" s="126"/>
      <c r="BX184" s="126"/>
    </row>
    <row r="185">
      <c r="A185" s="126"/>
      <c r="B185" s="126"/>
      <c r="C185" s="127"/>
      <c r="D185" s="126"/>
      <c r="E185" s="126"/>
      <c r="F185" s="127"/>
      <c r="G185" s="126"/>
      <c r="H185" s="127"/>
      <c r="I185" s="126"/>
      <c r="J185" s="126"/>
      <c r="K185" s="127"/>
      <c r="L185" s="126"/>
      <c r="M185" s="126"/>
      <c r="N185" s="127"/>
      <c r="O185" s="126"/>
      <c r="P185" s="126"/>
      <c r="Q185" s="127"/>
      <c r="R185" s="126"/>
      <c r="S185" s="126"/>
      <c r="T185" s="127"/>
      <c r="U185" s="126"/>
      <c r="V185" s="126"/>
      <c r="W185" s="127"/>
      <c r="X185" s="126"/>
      <c r="Y185" s="126"/>
      <c r="Z185" s="127"/>
      <c r="AA185" s="126"/>
      <c r="AB185" s="126"/>
      <c r="AC185" s="127"/>
      <c r="AD185" s="126"/>
      <c r="AE185" s="126"/>
      <c r="AF185" s="126"/>
      <c r="AG185" s="127"/>
      <c r="AH185" s="126"/>
      <c r="AI185" s="126"/>
      <c r="AJ185" s="127"/>
      <c r="AK185" s="126"/>
      <c r="AL185" s="126"/>
      <c r="AM185" s="127"/>
      <c r="AN185" s="126"/>
      <c r="AO185" s="126"/>
      <c r="AP185" s="127"/>
      <c r="AQ185" s="126"/>
      <c r="AR185" s="126"/>
      <c r="AS185" s="127"/>
      <c r="AT185" s="126"/>
      <c r="AU185" s="126"/>
      <c r="AV185" s="127"/>
      <c r="AW185" s="126"/>
      <c r="AX185" s="126"/>
      <c r="AY185" s="127"/>
      <c r="AZ185" s="126"/>
      <c r="BA185" s="126"/>
      <c r="BB185" s="127"/>
      <c r="BC185" s="126"/>
      <c r="BD185" s="134"/>
      <c r="BE185" s="127"/>
      <c r="BF185" s="126"/>
      <c r="BG185" s="126"/>
      <c r="BH185" s="126"/>
      <c r="BI185" s="126"/>
      <c r="BJ185" s="126"/>
      <c r="BK185" s="126"/>
      <c r="BL185" s="126"/>
      <c r="BM185" s="126"/>
      <c r="BN185" s="126"/>
      <c r="BO185" s="126"/>
      <c r="BP185" s="126"/>
      <c r="BQ185" s="126"/>
      <c r="BR185" s="126"/>
      <c r="BS185" s="126"/>
      <c r="BT185" s="126"/>
      <c r="BU185" s="126"/>
      <c r="BV185" s="126"/>
      <c r="BW185" s="126"/>
      <c r="BX185" s="126"/>
    </row>
    <row r="186">
      <c r="A186" s="126"/>
      <c r="B186" s="126"/>
      <c r="C186" s="127"/>
      <c r="D186" s="126"/>
      <c r="E186" s="126"/>
      <c r="F186" s="127"/>
      <c r="G186" s="126"/>
      <c r="H186" s="127"/>
      <c r="I186" s="126"/>
      <c r="J186" s="126"/>
      <c r="K186" s="127"/>
      <c r="L186" s="126"/>
      <c r="M186" s="126"/>
      <c r="N186" s="127"/>
      <c r="O186" s="126"/>
      <c r="P186" s="126"/>
      <c r="Q186" s="127"/>
      <c r="R186" s="126"/>
      <c r="S186" s="126"/>
      <c r="T186" s="127"/>
      <c r="U186" s="126"/>
      <c r="V186" s="126"/>
      <c r="W186" s="127"/>
      <c r="X186" s="126"/>
      <c r="Y186" s="126"/>
      <c r="Z186" s="127"/>
      <c r="AA186" s="126"/>
      <c r="AB186" s="126"/>
      <c r="AC186" s="127"/>
      <c r="AD186" s="126"/>
      <c r="AE186" s="126"/>
      <c r="AF186" s="126"/>
      <c r="AG186" s="127"/>
      <c r="AH186" s="126"/>
      <c r="AI186" s="126"/>
      <c r="AJ186" s="127"/>
      <c r="AK186" s="126"/>
      <c r="AL186" s="126"/>
      <c r="AM186" s="127"/>
      <c r="AN186" s="126"/>
      <c r="AO186" s="126"/>
      <c r="AP186" s="127"/>
      <c r="AQ186" s="126"/>
      <c r="AR186" s="126"/>
      <c r="AS186" s="127"/>
      <c r="AT186" s="126"/>
      <c r="AU186" s="126"/>
      <c r="AV186" s="127"/>
      <c r="AW186" s="126"/>
      <c r="AX186" s="126"/>
      <c r="AY186" s="127"/>
      <c r="AZ186" s="126"/>
      <c r="BA186" s="126"/>
      <c r="BB186" s="127"/>
      <c r="BC186" s="126"/>
      <c r="BD186" s="134"/>
      <c r="BE186" s="127"/>
      <c r="BF186" s="126"/>
      <c r="BG186" s="126"/>
      <c r="BH186" s="126"/>
      <c r="BI186" s="126"/>
      <c r="BJ186" s="126"/>
      <c r="BK186" s="126"/>
      <c r="BL186" s="126"/>
      <c r="BM186" s="126"/>
      <c r="BN186" s="126"/>
      <c r="BO186" s="126"/>
      <c r="BP186" s="126"/>
      <c r="BQ186" s="126"/>
      <c r="BR186" s="126"/>
      <c r="BS186" s="126"/>
      <c r="BT186" s="126"/>
      <c r="BU186" s="126"/>
      <c r="BV186" s="126"/>
      <c r="BW186" s="126"/>
      <c r="BX186" s="126"/>
    </row>
    <row r="187">
      <c r="A187" s="126"/>
      <c r="B187" s="126"/>
      <c r="C187" s="127"/>
      <c r="D187" s="126"/>
      <c r="E187" s="126"/>
      <c r="F187" s="127"/>
      <c r="G187" s="126"/>
      <c r="H187" s="127"/>
      <c r="I187" s="126"/>
      <c r="J187" s="126"/>
      <c r="K187" s="127"/>
      <c r="L187" s="126"/>
      <c r="M187" s="126"/>
      <c r="N187" s="127"/>
      <c r="O187" s="126"/>
      <c r="P187" s="126"/>
      <c r="Q187" s="127"/>
      <c r="R187" s="126"/>
      <c r="S187" s="126"/>
      <c r="T187" s="127"/>
      <c r="U187" s="126"/>
      <c r="V187" s="126"/>
      <c r="W187" s="127"/>
      <c r="X187" s="126"/>
      <c r="Y187" s="126"/>
      <c r="Z187" s="127"/>
      <c r="AA187" s="126"/>
      <c r="AB187" s="126"/>
      <c r="AC187" s="127"/>
      <c r="AD187" s="126"/>
      <c r="AE187" s="126"/>
      <c r="AF187" s="126"/>
      <c r="AG187" s="127"/>
      <c r="AH187" s="126"/>
      <c r="AI187" s="126"/>
      <c r="AJ187" s="127"/>
      <c r="AK187" s="126"/>
      <c r="AL187" s="126"/>
      <c r="AM187" s="127"/>
      <c r="AN187" s="126"/>
      <c r="AO187" s="126"/>
      <c r="AP187" s="127"/>
      <c r="AQ187" s="126"/>
      <c r="AR187" s="126"/>
      <c r="AS187" s="127"/>
      <c r="AT187" s="126"/>
      <c r="AU187" s="126"/>
      <c r="AV187" s="127"/>
      <c r="AW187" s="126"/>
      <c r="AX187" s="126"/>
      <c r="AY187" s="127"/>
      <c r="AZ187" s="126"/>
      <c r="BA187" s="126"/>
      <c r="BB187" s="127"/>
      <c r="BC187" s="126"/>
      <c r="BD187" s="134"/>
      <c r="BE187" s="127"/>
      <c r="BF187" s="126"/>
      <c r="BG187" s="126"/>
      <c r="BH187" s="126"/>
      <c r="BI187" s="126"/>
      <c r="BJ187" s="126"/>
      <c r="BK187" s="126"/>
      <c r="BL187" s="126"/>
      <c r="BM187" s="126"/>
      <c r="BN187" s="126"/>
      <c r="BO187" s="126"/>
      <c r="BP187" s="126"/>
      <c r="BQ187" s="126"/>
      <c r="BR187" s="126"/>
      <c r="BS187" s="126"/>
      <c r="BT187" s="126"/>
      <c r="BU187" s="126"/>
      <c r="BV187" s="126"/>
      <c r="BW187" s="126"/>
      <c r="BX187" s="126"/>
    </row>
    <row r="188">
      <c r="A188" s="126"/>
      <c r="B188" s="126"/>
      <c r="C188" s="127"/>
      <c r="D188" s="126"/>
      <c r="E188" s="126"/>
      <c r="F188" s="127"/>
      <c r="G188" s="126"/>
      <c r="H188" s="127"/>
      <c r="I188" s="126"/>
      <c r="J188" s="126"/>
      <c r="K188" s="127"/>
      <c r="L188" s="126"/>
      <c r="M188" s="126"/>
      <c r="N188" s="127"/>
      <c r="O188" s="126"/>
      <c r="P188" s="126"/>
      <c r="Q188" s="127"/>
      <c r="R188" s="126"/>
      <c r="S188" s="126"/>
      <c r="T188" s="127"/>
      <c r="U188" s="126"/>
      <c r="V188" s="126"/>
      <c r="W188" s="127"/>
      <c r="X188" s="126"/>
      <c r="Y188" s="126"/>
      <c r="Z188" s="127"/>
      <c r="AA188" s="126"/>
      <c r="AB188" s="126"/>
      <c r="AC188" s="127"/>
      <c r="AD188" s="126"/>
      <c r="AE188" s="126"/>
      <c r="AF188" s="126"/>
      <c r="AG188" s="127"/>
      <c r="AH188" s="126"/>
      <c r="AI188" s="126"/>
      <c r="AJ188" s="127"/>
      <c r="AK188" s="126"/>
      <c r="AL188" s="126"/>
      <c r="AM188" s="127"/>
      <c r="AN188" s="126"/>
      <c r="AO188" s="126"/>
      <c r="AP188" s="127"/>
      <c r="AQ188" s="126"/>
      <c r="AR188" s="126"/>
      <c r="AS188" s="127"/>
      <c r="AT188" s="126"/>
      <c r="AU188" s="126"/>
      <c r="AV188" s="127"/>
      <c r="AW188" s="126"/>
      <c r="AX188" s="126"/>
      <c r="AY188" s="127"/>
      <c r="AZ188" s="126"/>
      <c r="BA188" s="126"/>
      <c r="BB188" s="127"/>
      <c r="BC188" s="126"/>
      <c r="BD188" s="134"/>
      <c r="BE188" s="127"/>
      <c r="BF188" s="126"/>
      <c r="BG188" s="126"/>
      <c r="BH188" s="126"/>
      <c r="BI188" s="126"/>
      <c r="BJ188" s="126"/>
      <c r="BK188" s="126"/>
      <c r="BL188" s="126"/>
      <c r="BM188" s="126"/>
      <c r="BN188" s="126"/>
      <c r="BO188" s="126"/>
      <c r="BP188" s="126"/>
      <c r="BQ188" s="126"/>
      <c r="BR188" s="126"/>
      <c r="BS188" s="126"/>
      <c r="BT188" s="126"/>
      <c r="BU188" s="126"/>
      <c r="BV188" s="126"/>
      <c r="BW188" s="126"/>
      <c r="BX188" s="126"/>
    </row>
    <row r="189">
      <c r="A189" s="126"/>
      <c r="B189" s="126"/>
      <c r="C189" s="127"/>
      <c r="D189" s="126"/>
      <c r="E189" s="126"/>
      <c r="F189" s="127"/>
      <c r="G189" s="126"/>
      <c r="H189" s="127"/>
      <c r="I189" s="126"/>
      <c r="J189" s="126"/>
      <c r="K189" s="127"/>
      <c r="L189" s="126"/>
      <c r="M189" s="126"/>
      <c r="N189" s="127"/>
      <c r="O189" s="126"/>
      <c r="P189" s="126"/>
      <c r="Q189" s="127"/>
      <c r="R189" s="126"/>
      <c r="S189" s="126"/>
      <c r="T189" s="127"/>
      <c r="U189" s="126"/>
      <c r="V189" s="126"/>
      <c r="W189" s="127"/>
      <c r="X189" s="126"/>
      <c r="Y189" s="126"/>
      <c r="Z189" s="127"/>
      <c r="AA189" s="126"/>
      <c r="AB189" s="126"/>
      <c r="AC189" s="127"/>
      <c r="AD189" s="126"/>
      <c r="AE189" s="126"/>
      <c r="AF189" s="126"/>
      <c r="AG189" s="127"/>
      <c r="AH189" s="126"/>
      <c r="AI189" s="126"/>
      <c r="AJ189" s="127"/>
      <c r="AK189" s="126"/>
      <c r="AL189" s="126"/>
      <c r="AM189" s="127"/>
      <c r="AN189" s="126"/>
      <c r="AO189" s="126"/>
      <c r="AP189" s="127"/>
      <c r="AQ189" s="126"/>
      <c r="AR189" s="126"/>
      <c r="AS189" s="127"/>
      <c r="AT189" s="126"/>
      <c r="AU189" s="126"/>
      <c r="AV189" s="127"/>
      <c r="AW189" s="126"/>
      <c r="AX189" s="126"/>
      <c r="AY189" s="127"/>
      <c r="AZ189" s="126"/>
      <c r="BA189" s="126"/>
      <c r="BB189" s="127"/>
      <c r="BC189" s="126"/>
      <c r="BD189" s="134"/>
      <c r="BE189" s="127"/>
      <c r="BF189" s="126"/>
      <c r="BG189" s="126"/>
      <c r="BH189" s="126"/>
      <c r="BI189" s="126"/>
      <c r="BJ189" s="126"/>
      <c r="BK189" s="126"/>
      <c r="BL189" s="126"/>
      <c r="BM189" s="126"/>
      <c r="BN189" s="126"/>
      <c r="BO189" s="126"/>
      <c r="BP189" s="126"/>
      <c r="BQ189" s="126"/>
      <c r="BR189" s="126"/>
      <c r="BS189" s="126"/>
      <c r="BT189" s="126"/>
      <c r="BU189" s="126"/>
      <c r="BV189" s="126"/>
      <c r="BW189" s="126"/>
      <c r="BX189" s="126"/>
    </row>
    <row r="190">
      <c r="A190" s="126"/>
      <c r="B190" s="126"/>
      <c r="C190" s="127"/>
      <c r="D190" s="126"/>
      <c r="E190" s="126"/>
      <c r="F190" s="127"/>
      <c r="G190" s="126"/>
      <c r="H190" s="127"/>
      <c r="I190" s="126"/>
      <c r="J190" s="126"/>
      <c r="K190" s="127"/>
      <c r="L190" s="126"/>
      <c r="M190" s="126"/>
      <c r="N190" s="127"/>
      <c r="O190" s="126"/>
      <c r="P190" s="126"/>
      <c r="Q190" s="127"/>
      <c r="R190" s="126"/>
      <c r="S190" s="126"/>
      <c r="T190" s="127"/>
      <c r="U190" s="126"/>
      <c r="V190" s="126"/>
      <c r="W190" s="127"/>
      <c r="X190" s="126"/>
      <c r="Y190" s="126"/>
      <c r="Z190" s="127"/>
      <c r="AA190" s="126"/>
      <c r="AB190" s="126"/>
      <c r="AC190" s="127"/>
      <c r="AD190" s="126"/>
      <c r="AE190" s="126"/>
      <c r="AF190" s="126"/>
      <c r="AG190" s="127"/>
      <c r="AH190" s="126"/>
      <c r="AI190" s="126"/>
      <c r="AJ190" s="127"/>
      <c r="AK190" s="126"/>
      <c r="AL190" s="126"/>
      <c r="AM190" s="127"/>
      <c r="AN190" s="126"/>
      <c r="AO190" s="126"/>
      <c r="AP190" s="127"/>
      <c r="AQ190" s="126"/>
      <c r="AR190" s="126"/>
      <c r="AS190" s="127"/>
      <c r="AT190" s="126"/>
      <c r="AU190" s="126"/>
      <c r="AV190" s="127"/>
      <c r="AW190" s="126"/>
      <c r="AX190" s="126"/>
      <c r="AY190" s="127"/>
      <c r="AZ190" s="126"/>
      <c r="BA190" s="126"/>
      <c r="BB190" s="127"/>
      <c r="BC190" s="126"/>
      <c r="BD190" s="134"/>
      <c r="BE190" s="127"/>
      <c r="BF190" s="126"/>
      <c r="BG190" s="126"/>
      <c r="BH190" s="126"/>
      <c r="BI190" s="126"/>
      <c r="BJ190" s="126"/>
      <c r="BK190" s="126"/>
      <c r="BL190" s="126"/>
      <c r="BM190" s="126"/>
      <c r="BN190" s="126"/>
      <c r="BO190" s="126"/>
      <c r="BP190" s="126"/>
      <c r="BQ190" s="126"/>
      <c r="BR190" s="126"/>
      <c r="BS190" s="126"/>
      <c r="BT190" s="126"/>
      <c r="BU190" s="126"/>
      <c r="BV190" s="126"/>
      <c r="BW190" s="126"/>
      <c r="BX190" s="126"/>
    </row>
    <row r="191">
      <c r="A191" s="126"/>
      <c r="B191" s="126"/>
      <c r="C191" s="127"/>
      <c r="D191" s="126"/>
      <c r="E191" s="126"/>
      <c r="F191" s="127"/>
      <c r="G191" s="126"/>
      <c r="H191" s="127"/>
      <c r="I191" s="126"/>
      <c r="J191" s="126"/>
      <c r="K191" s="127"/>
      <c r="L191" s="126"/>
      <c r="M191" s="126"/>
      <c r="N191" s="127"/>
      <c r="O191" s="126"/>
      <c r="P191" s="126"/>
      <c r="Q191" s="127"/>
      <c r="R191" s="126"/>
      <c r="S191" s="126"/>
      <c r="T191" s="127"/>
      <c r="U191" s="126"/>
      <c r="V191" s="126"/>
      <c r="W191" s="127"/>
      <c r="X191" s="126"/>
      <c r="Y191" s="126"/>
      <c r="Z191" s="127"/>
      <c r="AA191" s="126"/>
      <c r="AB191" s="126"/>
      <c r="AC191" s="127"/>
      <c r="AD191" s="126"/>
      <c r="AE191" s="126"/>
      <c r="AF191" s="126"/>
      <c r="AG191" s="127"/>
      <c r="AH191" s="126"/>
      <c r="AI191" s="126"/>
      <c r="AJ191" s="127"/>
      <c r="AK191" s="126"/>
      <c r="AL191" s="126"/>
      <c r="AM191" s="127"/>
      <c r="AN191" s="126"/>
      <c r="AO191" s="126"/>
      <c r="AP191" s="127"/>
      <c r="AQ191" s="126"/>
      <c r="AR191" s="126"/>
      <c r="AS191" s="127"/>
      <c r="AT191" s="126"/>
      <c r="AU191" s="126"/>
      <c r="AV191" s="127"/>
      <c r="AW191" s="126"/>
      <c r="AX191" s="126"/>
      <c r="AY191" s="127"/>
      <c r="AZ191" s="126"/>
      <c r="BA191" s="126"/>
      <c r="BB191" s="127"/>
      <c r="BC191" s="126"/>
      <c r="BD191" s="134"/>
      <c r="BE191" s="127"/>
      <c r="BF191" s="126"/>
      <c r="BG191" s="126"/>
      <c r="BH191" s="126"/>
      <c r="BI191" s="126"/>
      <c r="BJ191" s="126"/>
      <c r="BK191" s="126"/>
      <c r="BL191" s="126"/>
      <c r="BM191" s="126"/>
      <c r="BN191" s="126"/>
      <c r="BO191" s="126"/>
      <c r="BP191" s="126"/>
      <c r="BQ191" s="126"/>
      <c r="BR191" s="126"/>
      <c r="BS191" s="126"/>
      <c r="BT191" s="126"/>
      <c r="BU191" s="126"/>
      <c r="BV191" s="126"/>
      <c r="BW191" s="126"/>
      <c r="BX191" s="126"/>
    </row>
    <row r="192">
      <c r="A192" s="126"/>
      <c r="B192" s="126"/>
      <c r="C192" s="127"/>
      <c r="D192" s="126"/>
      <c r="E192" s="126"/>
      <c r="F192" s="127"/>
      <c r="G192" s="126"/>
      <c r="H192" s="127"/>
      <c r="I192" s="126"/>
      <c r="J192" s="126"/>
      <c r="K192" s="127"/>
      <c r="L192" s="126"/>
      <c r="M192" s="126"/>
      <c r="N192" s="127"/>
      <c r="O192" s="126"/>
      <c r="P192" s="126"/>
      <c r="Q192" s="127"/>
      <c r="R192" s="126"/>
      <c r="S192" s="126"/>
      <c r="T192" s="127"/>
      <c r="U192" s="126"/>
      <c r="V192" s="126"/>
      <c r="W192" s="127"/>
      <c r="X192" s="126"/>
      <c r="Y192" s="126"/>
      <c r="Z192" s="127"/>
      <c r="AA192" s="126"/>
      <c r="AB192" s="126"/>
      <c r="AC192" s="127"/>
      <c r="AD192" s="126"/>
      <c r="AE192" s="126"/>
      <c r="AF192" s="126"/>
      <c r="AG192" s="127"/>
      <c r="AH192" s="126"/>
      <c r="AI192" s="126"/>
      <c r="AJ192" s="127"/>
      <c r="AK192" s="126"/>
      <c r="AL192" s="126"/>
      <c r="AM192" s="127"/>
      <c r="AN192" s="126"/>
      <c r="AO192" s="126"/>
      <c r="AP192" s="127"/>
      <c r="AQ192" s="126"/>
      <c r="AR192" s="126"/>
      <c r="AS192" s="127"/>
      <c r="AT192" s="126"/>
      <c r="AU192" s="126"/>
      <c r="AV192" s="127"/>
      <c r="AW192" s="126"/>
      <c r="AX192" s="126"/>
      <c r="AY192" s="127"/>
      <c r="AZ192" s="126"/>
      <c r="BA192" s="126"/>
      <c r="BB192" s="127"/>
      <c r="BC192" s="126"/>
      <c r="BD192" s="134"/>
      <c r="BE192" s="127"/>
      <c r="BF192" s="126"/>
      <c r="BG192" s="126"/>
      <c r="BH192" s="126"/>
      <c r="BI192" s="126"/>
      <c r="BJ192" s="126"/>
      <c r="BK192" s="126"/>
      <c r="BL192" s="126"/>
      <c r="BM192" s="126"/>
      <c r="BN192" s="126"/>
      <c r="BO192" s="126"/>
      <c r="BP192" s="126"/>
      <c r="BQ192" s="126"/>
      <c r="BR192" s="126"/>
      <c r="BS192" s="126"/>
      <c r="BT192" s="126"/>
      <c r="BU192" s="126"/>
      <c r="BV192" s="126"/>
      <c r="BW192" s="126"/>
      <c r="BX192" s="126"/>
    </row>
    <row r="193">
      <c r="A193" s="126"/>
      <c r="B193" s="126"/>
      <c r="C193" s="127"/>
      <c r="D193" s="126"/>
      <c r="E193" s="126"/>
      <c r="F193" s="127"/>
      <c r="G193" s="126"/>
      <c r="H193" s="127"/>
      <c r="I193" s="126"/>
      <c r="J193" s="126"/>
      <c r="K193" s="127"/>
      <c r="L193" s="126"/>
      <c r="M193" s="126"/>
      <c r="N193" s="127"/>
      <c r="O193" s="126"/>
      <c r="P193" s="126"/>
      <c r="Q193" s="127"/>
      <c r="R193" s="126"/>
      <c r="S193" s="126"/>
      <c r="T193" s="127"/>
      <c r="U193" s="126"/>
      <c r="V193" s="126"/>
      <c r="W193" s="127"/>
      <c r="X193" s="126"/>
      <c r="Y193" s="126"/>
      <c r="Z193" s="127"/>
      <c r="AA193" s="126"/>
      <c r="AB193" s="126"/>
      <c r="AC193" s="127"/>
      <c r="AD193" s="126"/>
      <c r="AE193" s="126"/>
      <c r="AF193" s="126"/>
      <c r="AG193" s="127"/>
      <c r="AH193" s="126"/>
      <c r="AI193" s="126"/>
      <c r="AJ193" s="127"/>
      <c r="AK193" s="126"/>
      <c r="AL193" s="126"/>
      <c r="AM193" s="127"/>
      <c r="AN193" s="126"/>
      <c r="AO193" s="126"/>
      <c r="AP193" s="127"/>
      <c r="AQ193" s="126"/>
      <c r="AR193" s="126"/>
      <c r="AS193" s="127"/>
      <c r="AT193" s="126"/>
      <c r="AU193" s="126"/>
      <c r="AV193" s="127"/>
      <c r="AW193" s="126"/>
      <c r="AX193" s="126"/>
      <c r="AY193" s="127"/>
      <c r="AZ193" s="126"/>
      <c r="BA193" s="126"/>
      <c r="BB193" s="127"/>
      <c r="BC193" s="126"/>
      <c r="BD193" s="134"/>
      <c r="BE193" s="127"/>
      <c r="BF193" s="126"/>
      <c r="BG193" s="126"/>
      <c r="BH193" s="126"/>
      <c r="BI193" s="126"/>
      <c r="BJ193" s="126"/>
      <c r="BK193" s="126"/>
      <c r="BL193" s="126"/>
      <c r="BM193" s="126"/>
      <c r="BN193" s="126"/>
      <c r="BO193" s="126"/>
      <c r="BP193" s="126"/>
      <c r="BQ193" s="126"/>
      <c r="BR193" s="126"/>
      <c r="BS193" s="126"/>
      <c r="BT193" s="126"/>
      <c r="BU193" s="126"/>
      <c r="BV193" s="126"/>
      <c r="BW193" s="126"/>
      <c r="BX193" s="126"/>
    </row>
    <row r="194">
      <c r="A194" s="126"/>
      <c r="B194" s="126"/>
      <c r="C194" s="127"/>
      <c r="D194" s="126"/>
      <c r="E194" s="126"/>
      <c r="F194" s="127"/>
      <c r="G194" s="126"/>
      <c r="H194" s="127"/>
      <c r="I194" s="126"/>
      <c r="J194" s="126"/>
      <c r="K194" s="127"/>
      <c r="L194" s="126"/>
      <c r="M194" s="126"/>
      <c r="N194" s="127"/>
      <c r="O194" s="126"/>
      <c r="P194" s="126"/>
      <c r="Q194" s="127"/>
      <c r="R194" s="126"/>
      <c r="S194" s="126"/>
      <c r="T194" s="127"/>
      <c r="U194" s="126"/>
      <c r="V194" s="126"/>
      <c r="W194" s="127"/>
      <c r="X194" s="126"/>
      <c r="Y194" s="126"/>
      <c r="Z194" s="127"/>
      <c r="AA194" s="126"/>
      <c r="AB194" s="126"/>
      <c r="AC194" s="127"/>
      <c r="AD194" s="126"/>
      <c r="AE194" s="126"/>
      <c r="AF194" s="126"/>
      <c r="AG194" s="127"/>
      <c r="AH194" s="126"/>
      <c r="AI194" s="126"/>
      <c r="AJ194" s="127"/>
      <c r="AK194" s="126"/>
      <c r="AL194" s="126"/>
      <c r="AM194" s="127"/>
      <c r="AN194" s="126"/>
      <c r="AO194" s="126"/>
      <c r="AP194" s="127"/>
      <c r="AQ194" s="126"/>
      <c r="AR194" s="126"/>
      <c r="AS194" s="127"/>
      <c r="AT194" s="126"/>
      <c r="AU194" s="126"/>
      <c r="AV194" s="127"/>
      <c r="AW194" s="126"/>
      <c r="AX194" s="126"/>
      <c r="AY194" s="127"/>
      <c r="AZ194" s="126"/>
      <c r="BA194" s="126"/>
      <c r="BB194" s="127"/>
      <c r="BC194" s="126"/>
      <c r="BD194" s="134"/>
      <c r="BE194" s="127"/>
      <c r="BF194" s="126"/>
      <c r="BG194" s="126"/>
      <c r="BH194" s="126"/>
      <c r="BI194" s="126"/>
      <c r="BJ194" s="126"/>
      <c r="BK194" s="126"/>
      <c r="BL194" s="126"/>
      <c r="BM194" s="126"/>
      <c r="BN194" s="126"/>
      <c r="BO194" s="126"/>
      <c r="BP194" s="126"/>
      <c r="BQ194" s="126"/>
      <c r="BR194" s="126"/>
      <c r="BS194" s="126"/>
      <c r="BT194" s="126"/>
      <c r="BU194" s="126"/>
      <c r="BV194" s="126"/>
      <c r="BW194" s="126"/>
      <c r="BX194" s="126"/>
    </row>
    <row r="195">
      <c r="A195" s="126"/>
      <c r="B195" s="126"/>
      <c r="C195" s="127"/>
      <c r="D195" s="126"/>
      <c r="E195" s="126"/>
      <c r="F195" s="127"/>
      <c r="G195" s="126"/>
      <c r="H195" s="127"/>
      <c r="I195" s="126"/>
      <c r="J195" s="126"/>
      <c r="K195" s="127"/>
      <c r="L195" s="126"/>
      <c r="M195" s="126"/>
      <c r="N195" s="127"/>
      <c r="O195" s="126"/>
      <c r="P195" s="126"/>
      <c r="Q195" s="127"/>
      <c r="R195" s="126"/>
      <c r="S195" s="126"/>
      <c r="T195" s="127"/>
      <c r="U195" s="126"/>
      <c r="V195" s="126"/>
      <c r="W195" s="127"/>
      <c r="X195" s="126"/>
      <c r="Y195" s="126"/>
      <c r="Z195" s="127"/>
      <c r="AA195" s="126"/>
      <c r="AB195" s="126"/>
      <c r="AC195" s="127"/>
      <c r="AD195" s="126"/>
      <c r="AE195" s="126"/>
      <c r="AF195" s="126"/>
      <c r="AG195" s="127"/>
      <c r="AH195" s="126"/>
      <c r="AI195" s="126"/>
      <c r="AJ195" s="127"/>
      <c r="AK195" s="126"/>
      <c r="AL195" s="126"/>
      <c r="AM195" s="127"/>
      <c r="AN195" s="126"/>
      <c r="AO195" s="126"/>
      <c r="AP195" s="127"/>
      <c r="AQ195" s="126"/>
      <c r="AR195" s="126"/>
      <c r="AS195" s="127"/>
      <c r="AT195" s="126"/>
      <c r="AU195" s="126"/>
      <c r="AV195" s="127"/>
      <c r="AW195" s="126"/>
      <c r="AX195" s="126"/>
      <c r="AY195" s="127"/>
      <c r="AZ195" s="126"/>
      <c r="BA195" s="126"/>
      <c r="BB195" s="127"/>
      <c r="BC195" s="126"/>
      <c r="BD195" s="134"/>
      <c r="BE195" s="127"/>
      <c r="BF195" s="126"/>
      <c r="BG195" s="126"/>
      <c r="BH195" s="126"/>
      <c r="BI195" s="126"/>
      <c r="BJ195" s="126"/>
      <c r="BK195" s="126"/>
      <c r="BL195" s="126"/>
      <c r="BM195" s="126"/>
      <c r="BN195" s="126"/>
      <c r="BO195" s="126"/>
      <c r="BP195" s="126"/>
      <c r="BQ195" s="126"/>
      <c r="BR195" s="126"/>
      <c r="BS195" s="126"/>
      <c r="BT195" s="126"/>
      <c r="BU195" s="126"/>
      <c r="BV195" s="126"/>
      <c r="BW195" s="126"/>
      <c r="BX195" s="126"/>
    </row>
    <row r="196">
      <c r="A196" s="126"/>
      <c r="B196" s="126"/>
      <c r="C196" s="127"/>
      <c r="D196" s="126"/>
      <c r="E196" s="126"/>
      <c r="F196" s="127"/>
      <c r="G196" s="126"/>
      <c r="H196" s="127"/>
      <c r="I196" s="126"/>
      <c r="J196" s="126"/>
      <c r="K196" s="127"/>
      <c r="L196" s="126"/>
      <c r="M196" s="126"/>
      <c r="N196" s="127"/>
      <c r="O196" s="126"/>
      <c r="P196" s="126"/>
      <c r="Q196" s="127"/>
      <c r="R196" s="126"/>
      <c r="S196" s="126"/>
      <c r="T196" s="127"/>
      <c r="U196" s="126"/>
      <c r="V196" s="126"/>
      <c r="W196" s="127"/>
      <c r="X196" s="126"/>
      <c r="Y196" s="126"/>
      <c r="Z196" s="127"/>
      <c r="AA196" s="126"/>
      <c r="AB196" s="126"/>
      <c r="AC196" s="127"/>
      <c r="AD196" s="126"/>
      <c r="AE196" s="126"/>
      <c r="AF196" s="126"/>
      <c r="AG196" s="127"/>
      <c r="AH196" s="126"/>
      <c r="AI196" s="126"/>
      <c r="AJ196" s="127"/>
      <c r="AK196" s="126"/>
      <c r="AL196" s="126"/>
      <c r="AM196" s="127"/>
      <c r="AN196" s="126"/>
      <c r="AO196" s="126"/>
      <c r="AP196" s="127"/>
      <c r="AQ196" s="126"/>
      <c r="AR196" s="126"/>
      <c r="AS196" s="127"/>
      <c r="AT196" s="126"/>
      <c r="AU196" s="126"/>
      <c r="AV196" s="127"/>
      <c r="AW196" s="126"/>
      <c r="AX196" s="126"/>
      <c r="AY196" s="127"/>
      <c r="AZ196" s="126"/>
      <c r="BA196" s="126"/>
      <c r="BB196" s="127"/>
      <c r="BC196" s="126"/>
      <c r="BD196" s="134"/>
      <c r="BE196" s="127"/>
      <c r="BF196" s="126"/>
      <c r="BG196" s="126"/>
      <c r="BH196" s="126"/>
      <c r="BI196" s="126"/>
      <c r="BJ196" s="126"/>
      <c r="BK196" s="126"/>
      <c r="BL196" s="126"/>
      <c r="BM196" s="126"/>
      <c r="BN196" s="126"/>
      <c r="BO196" s="126"/>
      <c r="BP196" s="126"/>
      <c r="BQ196" s="126"/>
      <c r="BR196" s="126"/>
      <c r="BS196" s="126"/>
      <c r="BT196" s="126"/>
      <c r="BU196" s="126"/>
      <c r="BV196" s="126"/>
      <c r="BW196" s="126"/>
      <c r="BX196" s="126"/>
    </row>
    <row r="197">
      <c r="A197" s="126"/>
      <c r="B197" s="126"/>
      <c r="C197" s="127"/>
      <c r="D197" s="126"/>
      <c r="E197" s="126"/>
      <c r="F197" s="127"/>
      <c r="G197" s="126"/>
      <c r="H197" s="127"/>
      <c r="I197" s="126"/>
      <c r="J197" s="126"/>
      <c r="K197" s="127"/>
      <c r="L197" s="126"/>
      <c r="M197" s="126"/>
      <c r="N197" s="127"/>
      <c r="O197" s="126"/>
      <c r="P197" s="126"/>
      <c r="Q197" s="127"/>
      <c r="R197" s="126"/>
      <c r="S197" s="126"/>
      <c r="T197" s="127"/>
      <c r="U197" s="126"/>
      <c r="V197" s="126"/>
      <c r="W197" s="127"/>
      <c r="X197" s="126"/>
      <c r="Y197" s="126"/>
      <c r="Z197" s="127"/>
      <c r="AA197" s="126"/>
      <c r="AB197" s="126"/>
      <c r="AC197" s="127"/>
      <c r="AD197" s="126"/>
      <c r="AE197" s="126"/>
      <c r="AF197" s="126"/>
      <c r="AG197" s="127"/>
      <c r="AH197" s="126"/>
      <c r="AI197" s="126"/>
      <c r="AJ197" s="127"/>
      <c r="AK197" s="126"/>
      <c r="AL197" s="126"/>
      <c r="AM197" s="127"/>
      <c r="AN197" s="126"/>
      <c r="AO197" s="126"/>
      <c r="AP197" s="127"/>
      <c r="AQ197" s="126"/>
      <c r="AR197" s="126"/>
      <c r="AS197" s="127"/>
      <c r="AT197" s="126"/>
      <c r="AU197" s="126"/>
      <c r="AV197" s="127"/>
      <c r="AW197" s="126"/>
      <c r="AX197" s="126"/>
      <c r="AY197" s="127"/>
      <c r="AZ197" s="126"/>
      <c r="BA197" s="126"/>
      <c r="BB197" s="127"/>
      <c r="BC197" s="126"/>
      <c r="BD197" s="134"/>
      <c r="BE197" s="127"/>
      <c r="BF197" s="126"/>
      <c r="BG197" s="126"/>
      <c r="BH197" s="126"/>
      <c r="BI197" s="126"/>
      <c r="BJ197" s="126"/>
      <c r="BK197" s="126"/>
      <c r="BL197" s="126"/>
      <c r="BM197" s="126"/>
      <c r="BN197" s="126"/>
      <c r="BO197" s="126"/>
      <c r="BP197" s="126"/>
      <c r="BQ197" s="126"/>
      <c r="BR197" s="126"/>
      <c r="BS197" s="126"/>
      <c r="BT197" s="126"/>
      <c r="BU197" s="126"/>
      <c r="BV197" s="126"/>
      <c r="BW197" s="126"/>
      <c r="BX197" s="126"/>
    </row>
    <row r="198">
      <c r="A198" s="126"/>
      <c r="B198" s="126"/>
      <c r="C198" s="127"/>
      <c r="D198" s="126"/>
      <c r="E198" s="126"/>
      <c r="F198" s="127"/>
      <c r="G198" s="126"/>
      <c r="H198" s="127"/>
      <c r="I198" s="126"/>
      <c r="J198" s="126"/>
      <c r="K198" s="127"/>
      <c r="L198" s="126"/>
      <c r="M198" s="126"/>
      <c r="N198" s="127"/>
      <c r="O198" s="126"/>
      <c r="P198" s="126"/>
      <c r="Q198" s="127"/>
      <c r="R198" s="126"/>
      <c r="S198" s="126"/>
      <c r="T198" s="127"/>
      <c r="U198" s="126"/>
      <c r="V198" s="126"/>
      <c r="W198" s="127"/>
      <c r="X198" s="126"/>
      <c r="Y198" s="126"/>
      <c r="Z198" s="127"/>
      <c r="AA198" s="126"/>
      <c r="AB198" s="126"/>
      <c r="AC198" s="127"/>
      <c r="AD198" s="126"/>
      <c r="AE198" s="126"/>
      <c r="AF198" s="126"/>
      <c r="AG198" s="127"/>
      <c r="AH198" s="126"/>
      <c r="AI198" s="126"/>
      <c r="AJ198" s="127"/>
      <c r="AK198" s="126"/>
      <c r="AL198" s="126"/>
      <c r="AM198" s="127"/>
      <c r="AN198" s="126"/>
      <c r="AO198" s="126"/>
      <c r="AP198" s="127"/>
      <c r="AQ198" s="126"/>
      <c r="AR198" s="126"/>
      <c r="AS198" s="127"/>
      <c r="AT198" s="126"/>
      <c r="AU198" s="126"/>
      <c r="AV198" s="127"/>
      <c r="AW198" s="126"/>
      <c r="AX198" s="126"/>
      <c r="AY198" s="127"/>
      <c r="AZ198" s="126"/>
      <c r="BA198" s="126"/>
      <c r="BB198" s="127"/>
      <c r="BC198" s="126"/>
      <c r="BD198" s="134"/>
      <c r="BE198" s="127"/>
      <c r="BF198" s="126"/>
      <c r="BG198" s="126"/>
      <c r="BH198" s="126"/>
      <c r="BI198" s="126"/>
      <c r="BJ198" s="126"/>
      <c r="BK198" s="126"/>
      <c r="BL198" s="126"/>
      <c r="BM198" s="126"/>
      <c r="BN198" s="126"/>
      <c r="BO198" s="126"/>
      <c r="BP198" s="126"/>
      <c r="BQ198" s="126"/>
      <c r="BR198" s="126"/>
      <c r="BS198" s="126"/>
      <c r="BT198" s="126"/>
      <c r="BU198" s="126"/>
      <c r="BV198" s="126"/>
      <c r="BW198" s="126"/>
      <c r="BX198" s="126"/>
    </row>
    <row r="199">
      <c r="A199" s="126"/>
      <c r="B199" s="126"/>
      <c r="C199" s="127"/>
      <c r="D199" s="126"/>
      <c r="E199" s="126"/>
      <c r="F199" s="127"/>
      <c r="G199" s="126"/>
      <c r="H199" s="127"/>
      <c r="I199" s="126"/>
      <c r="J199" s="126"/>
      <c r="K199" s="127"/>
      <c r="L199" s="126"/>
      <c r="M199" s="126"/>
      <c r="N199" s="127"/>
      <c r="O199" s="126"/>
      <c r="P199" s="126"/>
      <c r="Q199" s="127"/>
      <c r="R199" s="126"/>
      <c r="S199" s="126"/>
      <c r="T199" s="127"/>
      <c r="U199" s="126"/>
      <c r="V199" s="126"/>
      <c r="W199" s="127"/>
      <c r="X199" s="126"/>
      <c r="Y199" s="126"/>
      <c r="Z199" s="127"/>
      <c r="AA199" s="126"/>
      <c r="AB199" s="126"/>
      <c r="AC199" s="127"/>
      <c r="AD199" s="126"/>
      <c r="AE199" s="126"/>
      <c r="AF199" s="126"/>
      <c r="AG199" s="127"/>
      <c r="AH199" s="126"/>
      <c r="AI199" s="126"/>
      <c r="AJ199" s="127"/>
      <c r="AK199" s="126"/>
      <c r="AL199" s="126"/>
      <c r="AM199" s="127"/>
      <c r="AN199" s="126"/>
      <c r="AO199" s="126"/>
      <c r="AP199" s="127"/>
      <c r="AQ199" s="126"/>
      <c r="AR199" s="126"/>
      <c r="AS199" s="127"/>
      <c r="AT199" s="126"/>
      <c r="AU199" s="126"/>
      <c r="AV199" s="127"/>
      <c r="AW199" s="126"/>
      <c r="AX199" s="126"/>
      <c r="AY199" s="127"/>
      <c r="AZ199" s="126"/>
      <c r="BA199" s="126"/>
      <c r="BB199" s="127"/>
      <c r="BC199" s="126"/>
      <c r="BD199" s="134"/>
      <c r="BE199" s="127"/>
      <c r="BF199" s="126"/>
      <c r="BG199" s="126"/>
      <c r="BH199" s="126"/>
      <c r="BI199" s="126"/>
      <c r="BJ199" s="126"/>
      <c r="BK199" s="126"/>
      <c r="BL199" s="126"/>
      <c r="BM199" s="126"/>
      <c r="BN199" s="126"/>
      <c r="BO199" s="126"/>
      <c r="BP199" s="126"/>
      <c r="BQ199" s="126"/>
      <c r="BR199" s="126"/>
      <c r="BS199" s="126"/>
      <c r="BT199" s="126"/>
      <c r="BU199" s="126"/>
      <c r="BV199" s="126"/>
      <c r="BW199" s="126"/>
      <c r="BX199" s="126"/>
    </row>
    <row r="200">
      <c r="A200" s="126"/>
      <c r="B200" s="126"/>
      <c r="C200" s="127"/>
      <c r="D200" s="126"/>
      <c r="E200" s="126"/>
      <c r="F200" s="127"/>
      <c r="G200" s="126"/>
      <c r="H200" s="127"/>
      <c r="I200" s="126"/>
      <c r="J200" s="126"/>
      <c r="K200" s="127"/>
      <c r="L200" s="126"/>
      <c r="M200" s="126"/>
      <c r="N200" s="127"/>
      <c r="O200" s="126"/>
      <c r="P200" s="126"/>
      <c r="Q200" s="127"/>
      <c r="R200" s="126"/>
      <c r="S200" s="126"/>
      <c r="T200" s="127"/>
      <c r="U200" s="126"/>
      <c r="V200" s="126"/>
      <c r="W200" s="127"/>
      <c r="X200" s="126"/>
      <c r="Y200" s="126"/>
      <c r="Z200" s="127"/>
      <c r="AA200" s="126"/>
      <c r="AB200" s="126"/>
      <c r="AC200" s="127"/>
      <c r="AD200" s="126"/>
      <c r="AE200" s="126"/>
      <c r="AF200" s="126"/>
      <c r="AG200" s="127"/>
      <c r="AH200" s="126"/>
      <c r="AI200" s="126"/>
      <c r="AJ200" s="127"/>
      <c r="AK200" s="126"/>
      <c r="AL200" s="126"/>
      <c r="AM200" s="127"/>
      <c r="AN200" s="126"/>
      <c r="AO200" s="126"/>
      <c r="AP200" s="127"/>
      <c r="AQ200" s="126"/>
      <c r="AR200" s="126"/>
      <c r="AS200" s="127"/>
      <c r="AT200" s="126"/>
      <c r="AU200" s="126"/>
      <c r="AV200" s="127"/>
      <c r="AW200" s="126"/>
      <c r="AX200" s="126"/>
      <c r="AY200" s="127"/>
      <c r="AZ200" s="126"/>
      <c r="BA200" s="126"/>
      <c r="BB200" s="127"/>
      <c r="BC200" s="126"/>
      <c r="BD200" s="134"/>
      <c r="BE200" s="127"/>
      <c r="BF200" s="126"/>
      <c r="BG200" s="126"/>
      <c r="BH200" s="126"/>
      <c r="BI200" s="126"/>
      <c r="BJ200" s="126"/>
      <c r="BK200" s="126"/>
      <c r="BL200" s="126"/>
      <c r="BM200" s="126"/>
      <c r="BN200" s="126"/>
      <c r="BO200" s="126"/>
      <c r="BP200" s="126"/>
      <c r="BQ200" s="126"/>
      <c r="BR200" s="126"/>
      <c r="BS200" s="126"/>
      <c r="BT200" s="126"/>
      <c r="BU200" s="126"/>
      <c r="BV200" s="126"/>
      <c r="BW200" s="126"/>
      <c r="BX200" s="126"/>
    </row>
    <row r="201">
      <c r="A201" s="126"/>
      <c r="B201" s="126"/>
      <c r="C201" s="127"/>
      <c r="D201" s="126"/>
      <c r="E201" s="126"/>
      <c r="F201" s="127"/>
      <c r="G201" s="126"/>
      <c r="H201" s="127"/>
      <c r="I201" s="126"/>
      <c r="J201" s="126"/>
      <c r="K201" s="127"/>
      <c r="L201" s="126"/>
      <c r="M201" s="126"/>
      <c r="N201" s="127"/>
      <c r="O201" s="126"/>
      <c r="P201" s="126"/>
      <c r="Q201" s="127"/>
      <c r="R201" s="126"/>
      <c r="S201" s="126"/>
      <c r="T201" s="127"/>
      <c r="U201" s="126"/>
      <c r="V201" s="126"/>
      <c r="W201" s="127"/>
      <c r="X201" s="126"/>
      <c r="Y201" s="126"/>
      <c r="Z201" s="127"/>
      <c r="AA201" s="126"/>
      <c r="AB201" s="126"/>
      <c r="AC201" s="127"/>
      <c r="AD201" s="126"/>
      <c r="AE201" s="126"/>
      <c r="AF201" s="126"/>
      <c r="AG201" s="127"/>
      <c r="AH201" s="126"/>
      <c r="AI201" s="126"/>
      <c r="AJ201" s="127"/>
      <c r="AK201" s="126"/>
      <c r="AL201" s="126"/>
      <c r="AM201" s="127"/>
      <c r="AN201" s="126"/>
      <c r="AO201" s="126"/>
      <c r="AP201" s="127"/>
      <c r="AQ201" s="126"/>
      <c r="AR201" s="126"/>
      <c r="AS201" s="127"/>
      <c r="AT201" s="126"/>
      <c r="AU201" s="126"/>
      <c r="AV201" s="127"/>
      <c r="AW201" s="126"/>
      <c r="AX201" s="126"/>
      <c r="AY201" s="127"/>
      <c r="AZ201" s="126"/>
      <c r="BA201" s="126"/>
      <c r="BB201" s="127"/>
      <c r="BC201" s="126"/>
      <c r="BD201" s="134"/>
      <c r="BE201" s="127"/>
      <c r="BF201" s="126"/>
      <c r="BG201" s="126"/>
      <c r="BH201" s="126"/>
      <c r="BI201" s="126"/>
      <c r="BJ201" s="126"/>
      <c r="BK201" s="126"/>
      <c r="BL201" s="126"/>
      <c r="BM201" s="126"/>
      <c r="BN201" s="126"/>
      <c r="BO201" s="126"/>
      <c r="BP201" s="126"/>
      <c r="BQ201" s="126"/>
      <c r="BR201" s="126"/>
      <c r="BS201" s="126"/>
      <c r="BT201" s="126"/>
      <c r="BU201" s="126"/>
      <c r="BV201" s="126"/>
      <c r="BW201" s="126"/>
      <c r="BX201" s="126"/>
    </row>
    <row r="202">
      <c r="A202" s="126"/>
      <c r="B202" s="126"/>
      <c r="C202" s="127"/>
      <c r="D202" s="126"/>
      <c r="E202" s="126"/>
      <c r="F202" s="127"/>
      <c r="G202" s="126"/>
      <c r="H202" s="127"/>
      <c r="I202" s="126"/>
      <c r="J202" s="126"/>
      <c r="K202" s="127"/>
      <c r="L202" s="126"/>
      <c r="M202" s="126"/>
      <c r="N202" s="127"/>
      <c r="O202" s="126"/>
      <c r="P202" s="126"/>
      <c r="Q202" s="127"/>
      <c r="R202" s="126"/>
      <c r="S202" s="126"/>
      <c r="T202" s="127"/>
      <c r="U202" s="126"/>
      <c r="V202" s="126"/>
      <c r="W202" s="127"/>
      <c r="X202" s="126"/>
      <c r="Y202" s="126"/>
      <c r="Z202" s="127"/>
      <c r="AA202" s="126"/>
      <c r="AB202" s="126"/>
      <c r="AC202" s="127"/>
      <c r="AD202" s="126"/>
      <c r="AE202" s="126"/>
      <c r="AF202" s="126"/>
      <c r="AG202" s="127"/>
      <c r="AH202" s="126"/>
      <c r="AI202" s="126"/>
      <c r="AJ202" s="127"/>
      <c r="AK202" s="126"/>
      <c r="AL202" s="126"/>
      <c r="AM202" s="127"/>
      <c r="AN202" s="126"/>
      <c r="AO202" s="126"/>
      <c r="AP202" s="127"/>
      <c r="AQ202" s="126"/>
      <c r="AR202" s="126"/>
      <c r="AS202" s="127"/>
      <c r="AT202" s="126"/>
      <c r="AU202" s="126"/>
      <c r="AV202" s="127"/>
      <c r="AW202" s="126"/>
      <c r="AX202" s="126"/>
      <c r="AY202" s="127"/>
      <c r="AZ202" s="126"/>
      <c r="BA202" s="126"/>
      <c r="BB202" s="127"/>
      <c r="BC202" s="126"/>
      <c r="BD202" s="134"/>
      <c r="BE202" s="127"/>
      <c r="BF202" s="126"/>
      <c r="BG202" s="126"/>
      <c r="BH202" s="126"/>
      <c r="BI202" s="126"/>
      <c r="BJ202" s="126"/>
      <c r="BK202" s="126"/>
      <c r="BL202" s="126"/>
      <c r="BM202" s="126"/>
      <c r="BN202" s="126"/>
      <c r="BO202" s="126"/>
      <c r="BP202" s="126"/>
      <c r="BQ202" s="126"/>
      <c r="BR202" s="126"/>
      <c r="BS202" s="126"/>
      <c r="BT202" s="126"/>
      <c r="BU202" s="126"/>
      <c r="BV202" s="126"/>
      <c r="BW202" s="126"/>
      <c r="BX202" s="126"/>
    </row>
    <row r="203">
      <c r="A203" s="126"/>
      <c r="B203" s="126"/>
      <c r="C203" s="127"/>
      <c r="D203" s="126"/>
      <c r="E203" s="126"/>
      <c r="F203" s="127"/>
      <c r="G203" s="126"/>
      <c r="H203" s="127"/>
      <c r="I203" s="126"/>
      <c r="J203" s="126"/>
      <c r="K203" s="127"/>
      <c r="L203" s="126"/>
      <c r="M203" s="126"/>
      <c r="N203" s="127"/>
      <c r="O203" s="126"/>
      <c r="P203" s="126"/>
      <c r="Q203" s="127"/>
      <c r="R203" s="126"/>
      <c r="S203" s="126"/>
      <c r="T203" s="127"/>
      <c r="U203" s="126"/>
      <c r="V203" s="126"/>
      <c r="W203" s="127"/>
      <c r="X203" s="126"/>
      <c r="Y203" s="126"/>
      <c r="Z203" s="127"/>
      <c r="AA203" s="126"/>
      <c r="AB203" s="126"/>
      <c r="AC203" s="127"/>
      <c r="AD203" s="126"/>
      <c r="AE203" s="126"/>
      <c r="AF203" s="126"/>
      <c r="AG203" s="127"/>
      <c r="AH203" s="126"/>
      <c r="AI203" s="126"/>
      <c r="AJ203" s="127"/>
      <c r="AK203" s="126"/>
      <c r="AL203" s="126"/>
      <c r="AM203" s="127"/>
      <c r="AN203" s="126"/>
      <c r="AO203" s="126"/>
      <c r="AP203" s="127"/>
      <c r="AQ203" s="126"/>
      <c r="AR203" s="126"/>
      <c r="AS203" s="127"/>
      <c r="AT203" s="126"/>
      <c r="AU203" s="126"/>
      <c r="AV203" s="127"/>
      <c r="AW203" s="126"/>
      <c r="AX203" s="126"/>
      <c r="AY203" s="127"/>
      <c r="AZ203" s="126"/>
      <c r="BA203" s="126"/>
      <c r="BB203" s="127"/>
      <c r="BC203" s="126"/>
      <c r="BD203" s="134"/>
      <c r="BE203" s="127"/>
      <c r="BF203" s="126"/>
      <c r="BG203" s="126"/>
      <c r="BH203" s="126"/>
      <c r="BI203" s="126"/>
      <c r="BJ203" s="126"/>
      <c r="BK203" s="126"/>
      <c r="BL203" s="126"/>
      <c r="BM203" s="126"/>
      <c r="BN203" s="126"/>
      <c r="BO203" s="126"/>
      <c r="BP203" s="126"/>
      <c r="BQ203" s="126"/>
      <c r="BR203" s="126"/>
      <c r="BS203" s="126"/>
      <c r="BT203" s="126"/>
      <c r="BU203" s="126"/>
      <c r="BV203" s="126"/>
      <c r="BW203" s="126"/>
      <c r="BX203" s="126"/>
    </row>
    <row r="204">
      <c r="A204" s="126"/>
      <c r="B204" s="126"/>
      <c r="C204" s="127"/>
      <c r="D204" s="126"/>
      <c r="E204" s="126"/>
      <c r="F204" s="127"/>
      <c r="G204" s="126"/>
      <c r="H204" s="127"/>
      <c r="I204" s="126"/>
      <c r="J204" s="126"/>
      <c r="K204" s="127"/>
      <c r="L204" s="126"/>
      <c r="M204" s="126"/>
      <c r="N204" s="127"/>
      <c r="O204" s="126"/>
      <c r="P204" s="126"/>
      <c r="Q204" s="127"/>
      <c r="R204" s="126"/>
      <c r="S204" s="126"/>
      <c r="T204" s="127"/>
      <c r="U204" s="126"/>
      <c r="V204" s="126"/>
      <c r="W204" s="127"/>
      <c r="X204" s="126"/>
      <c r="Y204" s="126"/>
      <c r="Z204" s="127"/>
      <c r="AA204" s="126"/>
      <c r="AB204" s="126"/>
      <c r="AC204" s="127"/>
      <c r="AD204" s="126"/>
      <c r="AE204" s="126"/>
      <c r="AF204" s="126"/>
      <c r="AG204" s="127"/>
      <c r="AH204" s="126"/>
      <c r="AI204" s="126"/>
      <c r="AJ204" s="127"/>
      <c r="AK204" s="126"/>
      <c r="AL204" s="126"/>
      <c r="AM204" s="127"/>
      <c r="AN204" s="126"/>
      <c r="AO204" s="126"/>
      <c r="AP204" s="127"/>
      <c r="AQ204" s="126"/>
      <c r="AR204" s="126"/>
      <c r="AS204" s="127"/>
      <c r="AT204" s="126"/>
      <c r="AU204" s="126"/>
      <c r="AV204" s="127"/>
      <c r="AW204" s="126"/>
      <c r="AX204" s="126"/>
      <c r="AY204" s="127"/>
      <c r="AZ204" s="126"/>
      <c r="BA204" s="126"/>
      <c r="BB204" s="127"/>
      <c r="BC204" s="126"/>
      <c r="BD204" s="134"/>
      <c r="BE204" s="127"/>
      <c r="BF204" s="126"/>
      <c r="BG204" s="126"/>
      <c r="BH204" s="126"/>
      <c r="BI204" s="126"/>
      <c r="BJ204" s="126"/>
      <c r="BK204" s="126"/>
      <c r="BL204" s="126"/>
      <c r="BM204" s="126"/>
      <c r="BN204" s="126"/>
      <c r="BO204" s="126"/>
      <c r="BP204" s="126"/>
      <c r="BQ204" s="126"/>
      <c r="BR204" s="126"/>
      <c r="BS204" s="126"/>
      <c r="BT204" s="126"/>
      <c r="BU204" s="126"/>
      <c r="BV204" s="126"/>
      <c r="BW204" s="126"/>
      <c r="BX204" s="126"/>
    </row>
    <row r="205">
      <c r="A205" s="126"/>
      <c r="B205" s="126"/>
      <c r="C205" s="127"/>
      <c r="D205" s="126"/>
      <c r="E205" s="126"/>
      <c r="F205" s="127"/>
      <c r="G205" s="126"/>
      <c r="H205" s="127"/>
      <c r="I205" s="126"/>
      <c r="J205" s="126"/>
      <c r="K205" s="127"/>
      <c r="L205" s="126"/>
      <c r="M205" s="126"/>
      <c r="N205" s="127"/>
      <c r="O205" s="126"/>
      <c r="P205" s="126"/>
      <c r="Q205" s="127"/>
      <c r="R205" s="126"/>
      <c r="S205" s="126"/>
      <c r="T205" s="127"/>
      <c r="U205" s="126"/>
      <c r="V205" s="126"/>
      <c r="W205" s="127"/>
      <c r="X205" s="126"/>
      <c r="Y205" s="126"/>
      <c r="Z205" s="127"/>
      <c r="AA205" s="126"/>
      <c r="AB205" s="126"/>
      <c r="AC205" s="127"/>
      <c r="AD205" s="126"/>
      <c r="AE205" s="126"/>
      <c r="AF205" s="126"/>
      <c r="AG205" s="127"/>
      <c r="AH205" s="126"/>
      <c r="AI205" s="126"/>
      <c r="AJ205" s="127"/>
      <c r="AK205" s="126"/>
      <c r="AL205" s="126"/>
      <c r="AM205" s="127"/>
      <c r="AN205" s="126"/>
      <c r="AO205" s="126"/>
      <c r="AP205" s="127"/>
      <c r="AQ205" s="126"/>
      <c r="AR205" s="126"/>
      <c r="AS205" s="127"/>
      <c r="AT205" s="126"/>
      <c r="AU205" s="126"/>
      <c r="AV205" s="127"/>
      <c r="AW205" s="126"/>
      <c r="AX205" s="126"/>
      <c r="AY205" s="127"/>
      <c r="AZ205" s="126"/>
      <c r="BA205" s="126"/>
      <c r="BB205" s="127"/>
      <c r="BC205" s="126"/>
      <c r="BD205" s="134"/>
      <c r="BE205" s="127"/>
      <c r="BF205" s="126"/>
      <c r="BG205" s="126"/>
      <c r="BH205" s="126"/>
      <c r="BI205" s="126"/>
      <c r="BJ205" s="126"/>
      <c r="BK205" s="126"/>
      <c r="BL205" s="126"/>
      <c r="BM205" s="126"/>
      <c r="BN205" s="126"/>
      <c r="BO205" s="126"/>
      <c r="BP205" s="126"/>
      <c r="BQ205" s="126"/>
      <c r="BR205" s="126"/>
      <c r="BS205" s="126"/>
      <c r="BT205" s="126"/>
      <c r="BU205" s="126"/>
      <c r="BV205" s="126"/>
      <c r="BW205" s="126"/>
      <c r="BX205" s="126"/>
    </row>
    <row r="206">
      <c r="A206" s="126"/>
      <c r="B206" s="126"/>
      <c r="C206" s="127"/>
      <c r="D206" s="126"/>
      <c r="E206" s="126"/>
      <c r="F206" s="127"/>
      <c r="G206" s="126"/>
      <c r="H206" s="127"/>
      <c r="I206" s="126"/>
      <c r="J206" s="126"/>
      <c r="K206" s="127"/>
      <c r="L206" s="126"/>
      <c r="M206" s="126"/>
      <c r="N206" s="127"/>
      <c r="O206" s="126"/>
      <c r="P206" s="126"/>
      <c r="Q206" s="127"/>
      <c r="R206" s="126"/>
      <c r="S206" s="126"/>
      <c r="T206" s="127"/>
      <c r="U206" s="126"/>
      <c r="V206" s="126"/>
      <c r="W206" s="127"/>
      <c r="X206" s="126"/>
      <c r="Y206" s="126"/>
      <c r="Z206" s="127"/>
      <c r="AA206" s="126"/>
      <c r="AB206" s="126"/>
      <c r="AC206" s="127"/>
      <c r="AD206" s="126"/>
      <c r="AE206" s="126"/>
      <c r="AF206" s="126"/>
      <c r="AG206" s="127"/>
      <c r="AH206" s="126"/>
      <c r="AI206" s="126"/>
      <c r="AJ206" s="127"/>
      <c r="AK206" s="126"/>
      <c r="AL206" s="126"/>
      <c r="AM206" s="127"/>
      <c r="AN206" s="126"/>
      <c r="AO206" s="126"/>
      <c r="AP206" s="127"/>
      <c r="AQ206" s="126"/>
      <c r="AR206" s="126"/>
      <c r="AS206" s="127"/>
      <c r="AT206" s="126"/>
      <c r="AU206" s="126"/>
      <c r="AV206" s="127"/>
      <c r="AW206" s="126"/>
      <c r="AX206" s="126"/>
      <c r="AY206" s="127"/>
      <c r="AZ206" s="126"/>
      <c r="BA206" s="126"/>
      <c r="BB206" s="127"/>
      <c r="BC206" s="126"/>
      <c r="BD206" s="134"/>
      <c r="BE206" s="127"/>
      <c r="BF206" s="126"/>
      <c r="BG206" s="126"/>
      <c r="BH206" s="126"/>
      <c r="BI206" s="126"/>
      <c r="BJ206" s="126"/>
      <c r="BK206" s="126"/>
      <c r="BL206" s="126"/>
      <c r="BM206" s="126"/>
      <c r="BN206" s="126"/>
      <c r="BO206" s="126"/>
      <c r="BP206" s="126"/>
      <c r="BQ206" s="126"/>
      <c r="BR206" s="126"/>
      <c r="BS206" s="126"/>
      <c r="BT206" s="126"/>
      <c r="BU206" s="126"/>
      <c r="BV206" s="126"/>
      <c r="BW206" s="126"/>
      <c r="BX206" s="126"/>
    </row>
    <row r="207">
      <c r="A207" s="126"/>
      <c r="B207" s="126"/>
      <c r="C207" s="127"/>
      <c r="D207" s="126"/>
      <c r="E207" s="126"/>
      <c r="F207" s="127"/>
      <c r="G207" s="126"/>
      <c r="H207" s="127"/>
      <c r="I207" s="126"/>
      <c r="J207" s="126"/>
      <c r="K207" s="127"/>
      <c r="L207" s="126"/>
      <c r="M207" s="126"/>
      <c r="N207" s="127"/>
      <c r="O207" s="126"/>
      <c r="P207" s="126"/>
      <c r="Q207" s="127"/>
      <c r="R207" s="126"/>
      <c r="S207" s="126"/>
      <c r="T207" s="127"/>
      <c r="U207" s="126"/>
      <c r="V207" s="126"/>
      <c r="W207" s="127"/>
      <c r="X207" s="126"/>
      <c r="Y207" s="126"/>
      <c r="Z207" s="127"/>
      <c r="AA207" s="126"/>
      <c r="AB207" s="126"/>
      <c r="AC207" s="127"/>
      <c r="AD207" s="126"/>
      <c r="AE207" s="126"/>
      <c r="AF207" s="126"/>
      <c r="AG207" s="127"/>
      <c r="AH207" s="126"/>
      <c r="AI207" s="126"/>
      <c r="AJ207" s="127"/>
      <c r="AK207" s="126"/>
      <c r="AL207" s="126"/>
      <c r="AM207" s="127"/>
      <c r="AN207" s="126"/>
      <c r="AO207" s="126"/>
      <c r="AP207" s="127"/>
      <c r="AQ207" s="126"/>
      <c r="AR207" s="126"/>
      <c r="AS207" s="127"/>
      <c r="AT207" s="126"/>
      <c r="AU207" s="126"/>
      <c r="AV207" s="127"/>
      <c r="AW207" s="126"/>
      <c r="AX207" s="126"/>
      <c r="AY207" s="127"/>
      <c r="AZ207" s="126"/>
      <c r="BA207" s="126"/>
      <c r="BB207" s="127"/>
      <c r="BC207" s="126"/>
      <c r="BD207" s="134"/>
      <c r="BE207" s="127"/>
      <c r="BF207" s="126"/>
      <c r="BG207" s="126"/>
      <c r="BH207" s="126"/>
      <c r="BI207" s="126"/>
      <c r="BJ207" s="126"/>
      <c r="BK207" s="126"/>
      <c r="BL207" s="126"/>
      <c r="BM207" s="126"/>
      <c r="BN207" s="126"/>
      <c r="BO207" s="126"/>
      <c r="BP207" s="126"/>
      <c r="BQ207" s="126"/>
      <c r="BR207" s="126"/>
      <c r="BS207" s="126"/>
      <c r="BT207" s="126"/>
      <c r="BU207" s="126"/>
      <c r="BV207" s="126"/>
      <c r="BW207" s="126"/>
      <c r="BX207" s="126"/>
    </row>
    <row r="208">
      <c r="A208" s="126"/>
      <c r="B208" s="126"/>
      <c r="C208" s="127"/>
      <c r="D208" s="126"/>
      <c r="E208" s="126"/>
      <c r="F208" s="127"/>
      <c r="G208" s="126"/>
      <c r="H208" s="127"/>
      <c r="I208" s="126"/>
      <c r="J208" s="126"/>
      <c r="K208" s="127"/>
      <c r="L208" s="126"/>
      <c r="M208" s="126"/>
      <c r="N208" s="127"/>
      <c r="O208" s="126"/>
      <c r="P208" s="126"/>
      <c r="Q208" s="127"/>
      <c r="R208" s="126"/>
      <c r="S208" s="126"/>
      <c r="T208" s="127"/>
      <c r="U208" s="126"/>
      <c r="V208" s="126"/>
      <c r="W208" s="127"/>
      <c r="X208" s="126"/>
      <c r="Y208" s="126"/>
      <c r="Z208" s="127"/>
      <c r="AA208" s="126"/>
      <c r="AB208" s="126"/>
      <c r="AC208" s="127"/>
      <c r="AD208" s="126"/>
      <c r="AE208" s="126"/>
      <c r="AF208" s="126"/>
      <c r="AG208" s="127"/>
      <c r="AH208" s="126"/>
      <c r="AI208" s="126"/>
      <c r="AJ208" s="127"/>
      <c r="AK208" s="126"/>
      <c r="AL208" s="126"/>
      <c r="AM208" s="127"/>
      <c r="AN208" s="126"/>
      <c r="AO208" s="126"/>
      <c r="AP208" s="127"/>
      <c r="AQ208" s="126"/>
      <c r="AR208" s="126"/>
      <c r="AS208" s="127"/>
      <c r="AT208" s="126"/>
      <c r="AU208" s="126"/>
      <c r="AV208" s="127"/>
      <c r="AW208" s="126"/>
      <c r="AX208" s="126"/>
      <c r="AY208" s="127"/>
      <c r="AZ208" s="126"/>
      <c r="BA208" s="126"/>
      <c r="BB208" s="127"/>
      <c r="BC208" s="126"/>
      <c r="BD208" s="134"/>
      <c r="BE208" s="127"/>
      <c r="BF208" s="126"/>
      <c r="BG208" s="126"/>
      <c r="BH208" s="126"/>
      <c r="BI208" s="126"/>
      <c r="BJ208" s="126"/>
      <c r="BK208" s="126"/>
      <c r="BL208" s="126"/>
      <c r="BM208" s="126"/>
      <c r="BN208" s="126"/>
      <c r="BO208" s="126"/>
      <c r="BP208" s="126"/>
      <c r="BQ208" s="126"/>
      <c r="BR208" s="126"/>
      <c r="BS208" s="126"/>
      <c r="BT208" s="126"/>
      <c r="BU208" s="126"/>
      <c r="BV208" s="126"/>
      <c r="BW208" s="126"/>
      <c r="BX208" s="126"/>
    </row>
    <row r="209">
      <c r="A209" s="126"/>
      <c r="B209" s="126"/>
      <c r="C209" s="127"/>
      <c r="D209" s="126"/>
      <c r="E209" s="126"/>
      <c r="F209" s="127"/>
      <c r="G209" s="126"/>
      <c r="H209" s="127"/>
      <c r="I209" s="126"/>
      <c r="J209" s="126"/>
      <c r="K209" s="127"/>
      <c r="L209" s="126"/>
      <c r="M209" s="126"/>
      <c r="N209" s="127"/>
      <c r="O209" s="126"/>
      <c r="P209" s="126"/>
      <c r="Q209" s="127"/>
      <c r="R209" s="126"/>
      <c r="S209" s="126"/>
      <c r="T209" s="127"/>
      <c r="U209" s="126"/>
      <c r="V209" s="126"/>
      <c r="W209" s="127"/>
      <c r="X209" s="126"/>
      <c r="Y209" s="126"/>
      <c r="Z209" s="127"/>
      <c r="AA209" s="126"/>
      <c r="AB209" s="126"/>
      <c r="AC209" s="127"/>
      <c r="AD209" s="126"/>
      <c r="AE209" s="126"/>
      <c r="AF209" s="126"/>
      <c r="AG209" s="127"/>
      <c r="AH209" s="126"/>
      <c r="AI209" s="126"/>
      <c r="AJ209" s="127"/>
      <c r="AK209" s="126"/>
      <c r="AL209" s="126"/>
      <c r="AM209" s="127"/>
      <c r="AN209" s="126"/>
      <c r="AO209" s="126"/>
      <c r="AP209" s="127"/>
      <c r="AQ209" s="126"/>
      <c r="AR209" s="126"/>
      <c r="AS209" s="127"/>
      <c r="AT209" s="126"/>
      <c r="AU209" s="126"/>
      <c r="AV209" s="127"/>
      <c r="AW209" s="126"/>
      <c r="AX209" s="126"/>
      <c r="AY209" s="127"/>
      <c r="AZ209" s="126"/>
      <c r="BA209" s="126"/>
      <c r="BB209" s="127"/>
      <c r="BC209" s="126"/>
      <c r="BD209" s="134"/>
      <c r="BE209" s="127"/>
      <c r="BF209" s="126"/>
      <c r="BG209" s="126"/>
      <c r="BH209" s="126"/>
      <c r="BI209" s="126"/>
      <c r="BJ209" s="126"/>
      <c r="BK209" s="126"/>
      <c r="BL209" s="126"/>
      <c r="BM209" s="126"/>
      <c r="BN209" s="126"/>
      <c r="BO209" s="126"/>
      <c r="BP209" s="126"/>
      <c r="BQ209" s="126"/>
      <c r="BR209" s="126"/>
      <c r="BS209" s="126"/>
      <c r="BT209" s="126"/>
      <c r="BU209" s="126"/>
      <c r="BV209" s="126"/>
      <c r="BW209" s="126"/>
      <c r="BX209" s="126"/>
    </row>
    <row r="210">
      <c r="A210" s="126"/>
      <c r="B210" s="126"/>
      <c r="C210" s="127"/>
      <c r="D210" s="126"/>
      <c r="E210" s="126"/>
      <c r="F210" s="127"/>
      <c r="G210" s="126"/>
      <c r="H210" s="127"/>
      <c r="I210" s="126"/>
      <c r="J210" s="126"/>
      <c r="K210" s="127"/>
      <c r="L210" s="126"/>
      <c r="M210" s="126"/>
      <c r="N210" s="127"/>
      <c r="O210" s="126"/>
      <c r="P210" s="126"/>
      <c r="Q210" s="127"/>
      <c r="R210" s="126"/>
      <c r="S210" s="126"/>
      <c r="T210" s="127"/>
      <c r="U210" s="126"/>
      <c r="V210" s="126"/>
      <c r="W210" s="127"/>
      <c r="X210" s="126"/>
      <c r="Y210" s="126"/>
      <c r="Z210" s="127"/>
      <c r="AA210" s="126"/>
      <c r="AB210" s="126"/>
      <c r="AC210" s="127"/>
      <c r="AD210" s="126"/>
      <c r="AE210" s="126"/>
      <c r="AF210" s="126"/>
      <c r="AG210" s="127"/>
      <c r="AH210" s="126"/>
      <c r="AI210" s="126"/>
      <c r="AJ210" s="127"/>
      <c r="AK210" s="126"/>
      <c r="AL210" s="126"/>
      <c r="AM210" s="127"/>
      <c r="AN210" s="126"/>
      <c r="AO210" s="126"/>
      <c r="AP210" s="127"/>
      <c r="AQ210" s="126"/>
      <c r="AR210" s="126"/>
      <c r="AS210" s="127"/>
      <c r="AT210" s="126"/>
      <c r="AU210" s="126"/>
      <c r="AV210" s="127"/>
      <c r="AW210" s="126"/>
      <c r="AX210" s="126"/>
      <c r="AY210" s="127"/>
      <c r="AZ210" s="126"/>
      <c r="BA210" s="126"/>
      <c r="BB210" s="127"/>
      <c r="BC210" s="126"/>
      <c r="BD210" s="134"/>
      <c r="BE210" s="127"/>
      <c r="BF210" s="126"/>
      <c r="BG210" s="126"/>
      <c r="BH210" s="126"/>
      <c r="BI210" s="126"/>
      <c r="BJ210" s="126"/>
      <c r="BK210" s="126"/>
      <c r="BL210" s="126"/>
      <c r="BM210" s="126"/>
      <c r="BN210" s="126"/>
      <c r="BO210" s="126"/>
      <c r="BP210" s="126"/>
      <c r="BQ210" s="126"/>
      <c r="BR210" s="126"/>
      <c r="BS210" s="126"/>
      <c r="BT210" s="126"/>
      <c r="BU210" s="126"/>
      <c r="BV210" s="126"/>
      <c r="BW210" s="126"/>
      <c r="BX210" s="126"/>
    </row>
    <row r="211">
      <c r="A211" s="126"/>
      <c r="B211" s="126"/>
      <c r="C211" s="127"/>
      <c r="D211" s="126"/>
      <c r="E211" s="126"/>
      <c r="F211" s="127"/>
      <c r="G211" s="126"/>
      <c r="H211" s="127"/>
      <c r="I211" s="126"/>
      <c r="J211" s="126"/>
      <c r="K211" s="127"/>
      <c r="L211" s="126"/>
      <c r="M211" s="126"/>
      <c r="N211" s="127"/>
      <c r="O211" s="126"/>
      <c r="P211" s="126"/>
      <c r="Q211" s="127"/>
      <c r="R211" s="126"/>
      <c r="S211" s="126"/>
      <c r="T211" s="127"/>
      <c r="U211" s="126"/>
      <c r="V211" s="126"/>
      <c r="W211" s="127"/>
      <c r="X211" s="126"/>
      <c r="Y211" s="126"/>
      <c r="Z211" s="127"/>
      <c r="AA211" s="126"/>
      <c r="AB211" s="126"/>
      <c r="AC211" s="127"/>
      <c r="AD211" s="126"/>
      <c r="AE211" s="126"/>
      <c r="AF211" s="126"/>
      <c r="AG211" s="127"/>
      <c r="AH211" s="126"/>
      <c r="AI211" s="126"/>
      <c r="AJ211" s="127"/>
      <c r="AK211" s="126"/>
      <c r="AL211" s="126"/>
      <c r="AM211" s="127"/>
      <c r="AN211" s="126"/>
      <c r="AO211" s="126"/>
      <c r="AP211" s="127"/>
      <c r="AQ211" s="126"/>
      <c r="AR211" s="126"/>
      <c r="AS211" s="127"/>
      <c r="AT211" s="126"/>
      <c r="AU211" s="126"/>
      <c r="AV211" s="127"/>
      <c r="AW211" s="126"/>
      <c r="AX211" s="126"/>
      <c r="AY211" s="127"/>
      <c r="AZ211" s="126"/>
      <c r="BA211" s="126"/>
      <c r="BB211" s="127"/>
      <c r="BC211" s="126"/>
      <c r="BD211" s="134"/>
      <c r="BE211" s="127"/>
      <c r="BF211" s="126"/>
      <c r="BG211" s="126"/>
      <c r="BH211" s="126"/>
      <c r="BI211" s="126"/>
      <c r="BJ211" s="126"/>
      <c r="BK211" s="126"/>
      <c r="BL211" s="126"/>
      <c r="BM211" s="126"/>
      <c r="BN211" s="126"/>
      <c r="BO211" s="126"/>
      <c r="BP211" s="126"/>
      <c r="BQ211" s="126"/>
      <c r="BR211" s="126"/>
      <c r="BS211" s="126"/>
      <c r="BT211" s="126"/>
      <c r="BU211" s="126"/>
      <c r="BV211" s="126"/>
      <c r="BW211" s="126"/>
      <c r="BX211" s="126"/>
    </row>
    <row r="212">
      <c r="A212" s="126"/>
      <c r="B212" s="126"/>
      <c r="C212" s="127"/>
      <c r="D212" s="126"/>
      <c r="E212" s="126"/>
      <c r="F212" s="127"/>
      <c r="G212" s="126"/>
      <c r="H212" s="127"/>
      <c r="I212" s="126"/>
      <c r="J212" s="126"/>
      <c r="K212" s="127"/>
      <c r="L212" s="126"/>
      <c r="M212" s="126"/>
      <c r="N212" s="127"/>
      <c r="O212" s="126"/>
      <c r="P212" s="126"/>
      <c r="Q212" s="127"/>
      <c r="R212" s="126"/>
      <c r="S212" s="126"/>
      <c r="T212" s="127"/>
      <c r="U212" s="126"/>
      <c r="V212" s="126"/>
      <c r="W212" s="127"/>
      <c r="X212" s="126"/>
      <c r="Y212" s="126"/>
      <c r="Z212" s="127"/>
      <c r="AA212" s="126"/>
      <c r="AB212" s="126"/>
      <c r="AC212" s="127"/>
      <c r="AD212" s="126"/>
      <c r="AE212" s="126"/>
      <c r="AF212" s="126"/>
      <c r="AG212" s="127"/>
      <c r="AH212" s="126"/>
      <c r="AI212" s="126"/>
      <c r="AJ212" s="127"/>
      <c r="AK212" s="126"/>
      <c r="AL212" s="126"/>
      <c r="AM212" s="127"/>
      <c r="AN212" s="126"/>
      <c r="AO212" s="126"/>
      <c r="AP212" s="127"/>
      <c r="AQ212" s="126"/>
      <c r="AR212" s="126"/>
      <c r="AS212" s="127"/>
      <c r="AT212" s="126"/>
      <c r="AU212" s="126"/>
      <c r="AV212" s="127"/>
      <c r="AW212" s="126"/>
      <c r="AX212" s="126"/>
      <c r="AY212" s="127"/>
      <c r="AZ212" s="126"/>
      <c r="BA212" s="126"/>
      <c r="BB212" s="127"/>
      <c r="BC212" s="126"/>
      <c r="BD212" s="134"/>
      <c r="BE212" s="127"/>
      <c r="BF212" s="126"/>
      <c r="BG212" s="126"/>
      <c r="BH212" s="126"/>
      <c r="BI212" s="126"/>
      <c r="BJ212" s="126"/>
      <c r="BK212" s="126"/>
      <c r="BL212" s="126"/>
      <c r="BM212" s="126"/>
      <c r="BN212" s="126"/>
      <c r="BO212" s="126"/>
      <c r="BP212" s="126"/>
      <c r="BQ212" s="126"/>
      <c r="BR212" s="126"/>
      <c r="BS212" s="126"/>
      <c r="BT212" s="126"/>
      <c r="BU212" s="126"/>
      <c r="BV212" s="126"/>
      <c r="BW212" s="126"/>
      <c r="BX212" s="126"/>
    </row>
    <row r="213">
      <c r="A213" s="126"/>
      <c r="B213" s="126"/>
      <c r="C213" s="127"/>
      <c r="D213" s="126"/>
      <c r="E213" s="126"/>
      <c r="F213" s="127"/>
      <c r="G213" s="126"/>
      <c r="H213" s="127"/>
      <c r="I213" s="126"/>
      <c r="J213" s="126"/>
      <c r="K213" s="127"/>
      <c r="L213" s="126"/>
      <c r="M213" s="126"/>
      <c r="N213" s="127"/>
      <c r="O213" s="126"/>
      <c r="P213" s="126"/>
      <c r="Q213" s="127"/>
      <c r="R213" s="126"/>
      <c r="S213" s="126"/>
      <c r="T213" s="127"/>
      <c r="U213" s="126"/>
      <c r="V213" s="126"/>
      <c r="W213" s="127"/>
      <c r="X213" s="126"/>
      <c r="Y213" s="126"/>
      <c r="Z213" s="127"/>
      <c r="AA213" s="126"/>
      <c r="AB213" s="126"/>
      <c r="AC213" s="127"/>
      <c r="AD213" s="126"/>
      <c r="AE213" s="126"/>
      <c r="AF213" s="126"/>
      <c r="AG213" s="127"/>
      <c r="AH213" s="126"/>
      <c r="AI213" s="126"/>
      <c r="AJ213" s="127"/>
      <c r="AK213" s="126"/>
      <c r="AL213" s="126"/>
      <c r="AM213" s="127"/>
      <c r="AN213" s="126"/>
      <c r="AO213" s="126"/>
      <c r="AP213" s="127"/>
      <c r="AQ213" s="126"/>
      <c r="AR213" s="126"/>
      <c r="AS213" s="127"/>
      <c r="AT213" s="126"/>
      <c r="AU213" s="126"/>
      <c r="AV213" s="127"/>
      <c r="AW213" s="126"/>
      <c r="AX213" s="126"/>
      <c r="AY213" s="127"/>
      <c r="AZ213" s="126"/>
      <c r="BA213" s="126"/>
      <c r="BB213" s="127"/>
      <c r="BC213" s="126"/>
      <c r="BD213" s="134"/>
      <c r="BE213" s="127"/>
      <c r="BF213" s="126"/>
      <c r="BG213" s="126"/>
      <c r="BH213" s="126"/>
      <c r="BI213" s="126"/>
      <c r="BJ213" s="126"/>
      <c r="BK213" s="126"/>
      <c r="BL213" s="126"/>
      <c r="BM213" s="126"/>
      <c r="BN213" s="126"/>
      <c r="BO213" s="126"/>
      <c r="BP213" s="126"/>
      <c r="BQ213" s="126"/>
      <c r="BR213" s="126"/>
      <c r="BS213" s="126"/>
      <c r="BT213" s="126"/>
      <c r="BU213" s="126"/>
      <c r="BV213" s="126"/>
      <c r="BW213" s="126"/>
      <c r="BX213" s="126"/>
    </row>
    <row r="214">
      <c r="A214" s="126"/>
      <c r="B214" s="126"/>
      <c r="C214" s="127"/>
      <c r="D214" s="126"/>
      <c r="E214" s="126"/>
      <c r="F214" s="127"/>
      <c r="G214" s="126"/>
      <c r="H214" s="127"/>
      <c r="I214" s="126"/>
      <c r="J214" s="126"/>
      <c r="K214" s="127"/>
      <c r="L214" s="126"/>
      <c r="M214" s="126"/>
      <c r="N214" s="127"/>
      <c r="O214" s="126"/>
      <c r="P214" s="126"/>
      <c r="Q214" s="127"/>
      <c r="R214" s="126"/>
      <c r="S214" s="126"/>
      <c r="T214" s="127"/>
      <c r="U214" s="126"/>
      <c r="V214" s="126"/>
      <c r="W214" s="127"/>
      <c r="X214" s="126"/>
      <c r="Y214" s="126"/>
      <c r="Z214" s="127"/>
      <c r="AA214" s="126"/>
      <c r="AB214" s="126"/>
      <c r="AC214" s="127"/>
      <c r="AD214" s="126"/>
      <c r="AE214" s="126"/>
      <c r="AF214" s="126"/>
      <c r="AG214" s="127"/>
      <c r="AH214" s="126"/>
      <c r="AI214" s="126"/>
      <c r="AJ214" s="127"/>
      <c r="AK214" s="126"/>
      <c r="AL214" s="126"/>
      <c r="AM214" s="127"/>
      <c r="AN214" s="126"/>
      <c r="AO214" s="126"/>
      <c r="AP214" s="127"/>
      <c r="AQ214" s="126"/>
      <c r="AR214" s="126"/>
      <c r="AS214" s="127"/>
      <c r="AT214" s="126"/>
      <c r="AU214" s="126"/>
      <c r="AV214" s="127"/>
      <c r="AW214" s="126"/>
      <c r="AX214" s="126"/>
      <c r="AY214" s="127"/>
      <c r="AZ214" s="126"/>
      <c r="BA214" s="126"/>
      <c r="BB214" s="127"/>
      <c r="BC214" s="126"/>
      <c r="BD214" s="134"/>
      <c r="BE214" s="127"/>
      <c r="BF214" s="126"/>
      <c r="BG214" s="126"/>
      <c r="BH214" s="126"/>
      <c r="BI214" s="126"/>
      <c r="BJ214" s="126"/>
      <c r="BK214" s="126"/>
      <c r="BL214" s="126"/>
      <c r="BM214" s="126"/>
      <c r="BN214" s="126"/>
      <c r="BO214" s="126"/>
      <c r="BP214" s="126"/>
      <c r="BQ214" s="126"/>
      <c r="BR214" s="126"/>
      <c r="BS214" s="126"/>
      <c r="BT214" s="126"/>
      <c r="BU214" s="126"/>
      <c r="BV214" s="126"/>
      <c r="BW214" s="126"/>
      <c r="BX214" s="126"/>
    </row>
    <row r="215">
      <c r="A215" s="126"/>
      <c r="B215" s="126"/>
      <c r="C215" s="127"/>
      <c r="D215" s="126"/>
      <c r="E215" s="126"/>
      <c r="F215" s="127"/>
      <c r="G215" s="126"/>
      <c r="H215" s="127"/>
      <c r="I215" s="126"/>
      <c r="J215" s="126"/>
      <c r="K215" s="127"/>
      <c r="L215" s="126"/>
      <c r="M215" s="126"/>
      <c r="N215" s="127"/>
      <c r="O215" s="126"/>
      <c r="P215" s="126"/>
      <c r="Q215" s="127"/>
      <c r="R215" s="126"/>
      <c r="S215" s="126"/>
      <c r="T215" s="127"/>
      <c r="U215" s="126"/>
      <c r="V215" s="126"/>
      <c r="W215" s="127"/>
      <c r="X215" s="126"/>
      <c r="Y215" s="126"/>
      <c r="Z215" s="127"/>
      <c r="AA215" s="126"/>
      <c r="AB215" s="126"/>
      <c r="AC215" s="127"/>
      <c r="AD215" s="126"/>
      <c r="AE215" s="126"/>
      <c r="AF215" s="126"/>
      <c r="AG215" s="127"/>
      <c r="AH215" s="126"/>
      <c r="AI215" s="126"/>
      <c r="AJ215" s="127"/>
      <c r="AK215" s="126"/>
      <c r="AL215" s="126"/>
      <c r="AM215" s="127"/>
      <c r="AN215" s="126"/>
      <c r="AO215" s="126"/>
      <c r="AP215" s="127"/>
      <c r="AQ215" s="126"/>
      <c r="AR215" s="126"/>
      <c r="AS215" s="127"/>
      <c r="AT215" s="126"/>
      <c r="AU215" s="126"/>
      <c r="AV215" s="127"/>
      <c r="AW215" s="126"/>
      <c r="AX215" s="126"/>
      <c r="AY215" s="127"/>
      <c r="AZ215" s="126"/>
      <c r="BA215" s="126"/>
      <c r="BB215" s="127"/>
      <c r="BC215" s="126"/>
      <c r="BD215" s="134"/>
      <c r="BE215" s="127"/>
      <c r="BF215" s="126"/>
      <c r="BG215" s="126"/>
      <c r="BH215" s="126"/>
      <c r="BI215" s="126"/>
      <c r="BJ215" s="126"/>
      <c r="BK215" s="126"/>
      <c r="BL215" s="126"/>
      <c r="BM215" s="126"/>
      <c r="BN215" s="126"/>
      <c r="BO215" s="126"/>
      <c r="BP215" s="126"/>
      <c r="BQ215" s="126"/>
      <c r="BR215" s="126"/>
      <c r="BS215" s="126"/>
      <c r="BT215" s="126"/>
      <c r="BU215" s="126"/>
      <c r="BV215" s="126"/>
      <c r="BW215" s="126"/>
      <c r="BX215" s="126"/>
    </row>
    <row r="216">
      <c r="A216" s="126"/>
      <c r="B216" s="126"/>
      <c r="C216" s="127"/>
      <c r="D216" s="126"/>
      <c r="E216" s="126"/>
      <c r="F216" s="127"/>
      <c r="G216" s="126"/>
      <c r="H216" s="127"/>
      <c r="I216" s="126"/>
      <c r="J216" s="126"/>
      <c r="K216" s="127"/>
      <c r="L216" s="126"/>
      <c r="M216" s="126"/>
      <c r="N216" s="127"/>
      <c r="O216" s="126"/>
      <c r="P216" s="126"/>
      <c r="Q216" s="127"/>
      <c r="R216" s="126"/>
      <c r="S216" s="126"/>
      <c r="T216" s="127"/>
      <c r="U216" s="126"/>
      <c r="V216" s="126"/>
      <c r="W216" s="127"/>
      <c r="X216" s="126"/>
      <c r="Y216" s="126"/>
      <c r="Z216" s="127"/>
      <c r="AA216" s="126"/>
      <c r="AB216" s="126"/>
      <c r="AC216" s="127"/>
      <c r="AD216" s="126"/>
      <c r="AE216" s="126"/>
      <c r="AF216" s="126"/>
      <c r="AG216" s="127"/>
      <c r="AH216" s="126"/>
      <c r="AI216" s="126"/>
      <c r="AJ216" s="127"/>
      <c r="AK216" s="126"/>
      <c r="AL216" s="126"/>
      <c r="AM216" s="127"/>
      <c r="AN216" s="126"/>
      <c r="AO216" s="126"/>
      <c r="AP216" s="127"/>
      <c r="AQ216" s="126"/>
      <c r="AR216" s="126"/>
      <c r="AS216" s="127"/>
      <c r="AT216" s="126"/>
      <c r="AU216" s="126"/>
      <c r="AV216" s="127"/>
      <c r="AW216" s="126"/>
      <c r="AX216" s="126"/>
      <c r="AY216" s="127"/>
      <c r="AZ216" s="126"/>
      <c r="BA216" s="126"/>
      <c r="BB216" s="127"/>
      <c r="BC216" s="126"/>
      <c r="BD216" s="134"/>
      <c r="BE216" s="127"/>
      <c r="BF216" s="126"/>
      <c r="BG216" s="126"/>
      <c r="BH216" s="126"/>
      <c r="BI216" s="126"/>
      <c r="BJ216" s="126"/>
      <c r="BK216" s="126"/>
      <c r="BL216" s="126"/>
      <c r="BM216" s="126"/>
      <c r="BN216" s="126"/>
      <c r="BO216" s="126"/>
      <c r="BP216" s="126"/>
      <c r="BQ216" s="126"/>
      <c r="BR216" s="126"/>
      <c r="BS216" s="126"/>
      <c r="BT216" s="126"/>
      <c r="BU216" s="126"/>
      <c r="BV216" s="126"/>
      <c r="BW216" s="126"/>
      <c r="BX216" s="126"/>
    </row>
    <row r="217">
      <c r="A217" s="126"/>
      <c r="B217" s="126"/>
      <c r="C217" s="127"/>
      <c r="D217" s="126"/>
      <c r="E217" s="126"/>
      <c r="F217" s="127"/>
      <c r="G217" s="126"/>
      <c r="H217" s="127"/>
      <c r="I217" s="126"/>
      <c r="J217" s="126"/>
      <c r="K217" s="127"/>
      <c r="L217" s="126"/>
      <c r="M217" s="126"/>
      <c r="N217" s="127"/>
      <c r="O217" s="126"/>
      <c r="P217" s="126"/>
      <c r="Q217" s="127"/>
      <c r="R217" s="126"/>
      <c r="S217" s="126"/>
      <c r="T217" s="127"/>
      <c r="U217" s="126"/>
      <c r="V217" s="126"/>
      <c r="W217" s="127"/>
      <c r="X217" s="126"/>
      <c r="Y217" s="126"/>
      <c r="Z217" s="127"/>
      <c r="AA217" s="126"/>
      <c r="AB217" s="126"/>
      <c r="AC217" s="127"/>
      <c r="AD217" s="126"/>
      <c r="AE217" s="126"/>
      <c r="AF217" s="126"/>
      <c r="AG217" s="127"/>
      <c r="AH217" s="126"/>
      <c r="AI217" s="126"/>
      <c r="AJ217" s="127"/>
      <c r="AK217" s="126"/>
      <c r="AL217" s="126"/>
      <c r="AM217" s="127"/>
      <c r="AN217" s="126"/>
      <c r="AO217" s="126"/>
      <c r="AP217" s="127"/>
      <c r="AQ217" s="126"/>
      <c r="AR217" s="126"/>
      <c r="AS217" s="127"/>
      <c r="AT217" s="126"/>
      <c r="AU217" s="126"/>
      <c r="AV217" s="127"/>
      <c r="AW217" s="126"/>
      <c r="AX217" s="126"/>
      <c r="AY217" s="127"/>
      <c r="AZ217" s="126"/>
      <c r="BA217" s="126"/>
      <c r="BB217" s="127"/>
      <c r="BC217" s="126"/>
      <c r="BD217" s="134"/>
      <c r="BE217" s="127"/>
      <c r="BF217" s="126"/>
      <c r="BG217" s="126"/>
      <c r="BH217" s="126"/>
      <c r="BI217" s="126"/>
      <c r="BJ217" s="126"/>
      <c r="BK217" s="126"/>
      <c r="BL217" s="126"/>
      <c r="BM217" s="126"/>
      <c r="BN217" s="126"/>
      <c r="BO217" s="126"/>
      <c r="BP217" s="126"/>
      <c r="BQ217" s="126"/>
      <c r="BR217" s="126"/>
      <c r="BS217" s="126"/>
      <c r="BT217" s="126"/>
      <c r="BU217" s="126"/>
      <c r="BV217" s="126"/>
      <c r="BW217" s="126"/>
      <c r="BX217" s="126"/>
    </row>
    <row r="218">
      <c r="A218" s="126"/>
      <c r="B218" s="126"/>
      <c r="C218" s="127"/>
      <c r="D218" s="126"/>
      <c r="E218" s="126"/>
      <c r="F218" s="127"/>
      <c r="G218" s="126"/>
      <c r="H218" s="127"/>
      <c r="I218" s="126"/>
      <c r="J218" s="126"/>
      <c r="K218" s="127"/>
      <c r="L218" s="126"/>
      <c r="M218" s="126"/>
      <c r="N218" s="127"/>
      <c r="O218" s="126"/>
      <c r="P218" s="126"/>
      <c r="Q218" s="127"/>
      <c r="R218" s="126"/>
      <c r="S218" s="126"/>
      <c r="T218" s="127"/>
      <c r="U218" s="126"/>
      <c r="V218" s="126"/>
      <c r="W218" s="127"/>
      <c r="X218" s="126"/>
      <c r="Y218" s="126"/>
      <c r="Z218" s="127"/>
      <c r="AA218" s="126"/>
      <c r="AB218" s="126"/>
      <c r="AC218" s="127"/>
      <c r="AD218" s="126"/>
      <c r="AE218" s="126"/>
      <c r="AF218" s="126"/>
      <c r="AG218" s="127"/>
      <c r="AH218" s="126"/>
      <c r="AI218" s="126"/>
      <c r="AJ218" s="127"/>
      <c r="AK218" s="126"/>
      <c r="AL218" s="126"/>
      <c r="AM218" s="127"/>
      <c r="AN218" s="126"/>
      <c r="AO218" s="126"/>
      <c r="AP218" s="127"/>
      <c r="AQ218" s="126"/>
      <c r="AR218" s="126"/>
      <c r="AS218" s="127"/>
      <c r="AT218" s="126"/>
      <c r="AU218" s="126"/>
      <c r="AV218" s="127"/>
      <c r="AW218" s="126"/>
      <c r="AX218" s="126"/>
      <c r="AY218" s="127"/>
      <c r="AZ218" s="126"/>
      <c r="BA218" s="126"/>
      <c r="BB218" s="127"/>
      <c r="BC218" s="126"/>
      <c r="BD218" s="134"/>
      <c r="BE218" s="127"/>
      <c r="BF218" s="126"/>
      <c r="BG218" s="126"/>
      <c r="BH218" s="126"/>
      <c r="BI218" s="126"/>
      <c r="BJ218" s="126"/>
      <c r="BK218" s="126"/>
      <c r="BL218" s="126"/>
      <c r="BM218" s="126"/>
      <c r="BN218" s="126"/>
      <c r="BO218" s="126"/>
      <c r="BP218" s="126"/>
      <c r="BQ218" s="126"/>
      <c r="BR218" s="126"/>
      <c r="BS218" s="126"/>
      <c r="BT218" s="126"/>
      <c r="BU218" s="126"/>
      <c r="BV218" s="126"/>
      <c r="BW218" s="126"/>
      <c r="BX218" s="126"/>
    </row>
    <row r="219">
      <c r="A219" s="126"/>
      <c r="B219" s="126"/>
      <c r="C219" s="127"/>
      <c r="D219" s="126"/>
      <c r="E219" s="126"/>
      <c r="F219" s="127"/>
      <c r="G219" s="126"/>
      <c r="H219" s="127"/>
      <c r="I219" s="126"/>
      <c r="J219" s="126"/>
      <c r="K219" s="127"/>
      <c r="L219" s="126"/>
      <c r="M219" s="126"/>
      <c r="N219" s="127"/>
      <c r="O219" s="126"/>
      <c r="P219" s="126"/>
      <c r="Q219" s="127"/>
      <c r="R219" s="126"/>
      <c r="S219" s="126"/>
      <c r="T219" s="127"/>
      <c r="U219" s="126"/>
      <c r="V219" s="126"/>
      <c r="W219" s="127"/>
      <c r="X219" s="126"/>
      <c r="Y219" s="126"/>
      <c r="Z219" s="127"/>
      <c r="AA219" s="126"/>
      <c r="AB219" s="126"/>
      <c r="AC219" s="127"/>
      <c r="AD219" s="126"/>
      <c r="AE219" s="126"/>
      <c r="AF219" s="126"/>
      <c r="AG219" s="127"/>
      <c r="AH219" s="126"/>
      <c r="AI219" s="126"/>
      <c r="AJ219" s="127"/>
      <c r="AK219" s="126"/>
      <c r="AL219" s="126"/>
      <c r="AM219" s="127"/>
      <c r="AN219" s="126"/>
      <c r="AO219" s="126"/>
      <c r="AP219" s="127"/>
      <c r="AQ219" s="126"/>
      <c r="AR219" s="126"/>
      <c r="AS219" s="127"/>
      <c r="AT219" s="126"/>
      <c r="AU219" s="126"/>
      <c r="AV219" s="127"/>
      <c r="AW219" s="126"/>
      <c r="AX219" s="126"/>
      <c r="AY219" s="127"/>
      <c r="AZ219" s="126"/>
      <c r="BA219" s="126"/>
      <c r="BB219" s="127"/>
      <c r="BC219" s="126"/>
      <c r="BD219" s="134"/>
      <c r="BE219" s="127"/>
      <c r="BF219" s="126"/>
      <c r="BG219" s="126"/>
      <c r="BH219" s="126"/>
      <c r="BI219" s="126"/>
      <c r="BJ219" s="126"/>
      <c r="BK219" s="126"/>
      <c r="BL219" s="126"/>
      <c r="BM219" s="126"/>
      <c r="BN219" s="126"/>
      <c r="BO219" s="126"/>
      <c r="BP219" s="126"/>
      <c r="BQ219" s="126"/>
      <c r="BR219" s="126"/>
      <c r="BS219" s="126"/>
      <c r="BT219" s="126"/>
      <c r="BU219" s="126"/>
      <c r="BV219" s="126"/>
      <c r="BW219" s="126"/>
      <c r="BX219" s="126"/>
    </row>
    <row r="220">
      <c r="A220" s="126"/>
      <c r="B220" s="126"/>
      <c r="C220" s="127"/>
      <c r="D220" s="126"/>
      <c r="E220" s="126"/>
      <c r="F220" s="127"/>
      <c r="G220" s="126"/>
      <c r="H220" s="127"/>
      <c r="I220" s="126"/>
      <c r="J220" s="126"/>
      <c r="K220" s="127"/>
      <c r="L220" s="126"/>
      <c r="M220" s="126"/>
      <c r="N220" s="127"/>
      <c r="O220" s="126"/>
      <c r="P220" s="126"/>
      <c r="Q220" s="127"/>
      <c r="R220" s="126"/>
      <c r="S220" s="126"/>
      <c r="T220" s="127"/>
      <c r="U220" s="126"/>
      <c r="V220" s="126"/>
      <c r="W220" s="127"/>
      <c r="X220" s="126"/>
      <c r="Y220" s="126"/>
      <c r="Z220" s="127"/>
      <c r="AA220" s="126"/>
      <c r="AB220" s="126"/>
      <c r="AC220" s="127"/>
      <c r="AD220" s="126"/>
      <c r="AE220" s="126"/>
      <c r="AF220" s="126"/>
      <c r="AG220" s="127"/>
      <c r="AH220" s="126"/>
      <c r="AI220" s="126"/>
      <c r="AJ220" s="127"/>
      <c r="AK220" s="126"/>
      <c r="AL220" s="126"/>
      <c r="AM220" s="127"/>
      <c r="AN220" s="126"/>
      <c r="AO220" s="126"/>
      <c r="AP220" s="127"/>
      <c r="AQ220" s="126"/>
      <c r="AR220" s="126"/>
      <c r="AS220" s="127"/>
      <c r="AT220" s="126"/>
      <c r="AU220" s="126"/>
      <c r="AV220" s="127"/>
      <c r="AW220" s="126"/>
      <c r="AX220" s="126"/>
      <c r="AY220" s="127"/>
      <c r="AZ220" s="126"/>
      <c r="BA220" s="126"/>
      <c r="BB220" s="127"/>
      <c r="BC220" s="126"/>
      <c r="BD220" s="134"/>
      <c r="BE220" s="127"/>
      <c r="BF220" s="126"/>
      <c r="BG220" s="126"/>
      <c r="BH220" s="126"/>
      <c r="BI220" s="126"/>
      <c r="BJ220" s="126"/>
      <c r="BK220" s="126"/>
      <c r="BL220" s="126"/>
      <c r="BM220" s="126"/>
      <c r="BN220" s="126"/>
      <c r="BO220" s="126"/>
      <c r="BP220" s="126"/>
      <c r="BQ220" s="126"/>
      <c r="BR220" s="126"/>
      <c r="BS220" s="126"/>
      <c r="BT220" s="126"/>
      <c r="BU220" s="126"/>
      <c r="BV220" s="126"/>
      <c r="BW220" s="126"/>
      <c r="BX220" s="126"/>
    </row>
    <row r="221">
      <c r="A221" s="126"/>
      <c r="B221" s="126"/>
      <c r="C221" s="127"/>
      <c r="D221" s="126"/>
      <c r="E221" s="126"/>
      <c r="F221" s="127"/>
      <c r="G221" s="126"/>
      <c r="H221" s="127"/>
      <c r="I221" s="126"/>
      <c r="J221" s="126"/>
      <c r="K221" s="127"/>
      <c r="L221" s="126"/>
      <c r="M221" s="126"/>
      <c r="N221" s="127"/>
      <c r="O221" s="126"/>
      <c r="P221" s="126"/>
      <c r="Q221" s="127"/>
      <c r="R221" s="126"/>
      <c r="S221" s="126"/>
      <c r="T221" s="127"/>
      <c r="U221" s="126"/>
      <c r="V221" s="126"/>
      <c r="W221" s="127"/>
      <c r="X221" s="126"/>
      <c r="Y221" s="126"/>
      <c r="Z221" s="127"/>
      <c r="AA221" s="126"/>
      <c r="AB221" s="126"/>
      <c r="AC221" s="127"/>
      <c r="AD221" s="126"/>
      <c r="AE221" s="126"/>
      <c r="AF221" s="126"/>
      <c r="AG221" s="127"/>
      <c r="AH221" s="126"/>
      <c r="AI221" s="126"/>
      <c r="AJ221" s="127"/>
      <c r="AK221" s="126"/>
      <c r="AL221" s="126"/>
      <c r="AM221" s="127"/>
      <c r="AN221" s="126"/>
      <c r="AO221" s="126"/>
      <c r="AP221" s="127"/>
      <c r="AQ221" s="126"/>
      <c r="AR221" s="126"/>
      <c r="AS221" s="127"/>
      <c r="AT221" s="126"/>
      <c r="AU221" s="126"/>
      <c r="AV221" s="127"/>
      <c r="AW221" s="126"/>
      <c r="AX221" s="126"/>
      <c r="AY221" s="127"/>
      <c r="AZ221" s="126"/>
      <c r="BA221" s="126"/>
      <c r="BB221" s="127"/>
      <c r="BC221" s="126"/>
      <c r="BD221" s="134"/>
      <c r="BE221" s="127"/>
      <c r="BF221" s="126"/>
      <c r="BG221" s="126"/>
      <c r="BH221" s="126"/>
      <c r="BI221" s="126"/>
      <c r="BJ221" s="126"/>
      <c r="BK221" s="126"/>
      <c r="BL221" s="126"/>
      <c r="BM221" s="126"/>
      <c r="BN221" s="126"/>
      <c r="BO221" s="126"/>
      <c r="BP221" s="126"/>
      <c r="BQ221" s="126"/>
      <c r="BR221" s="126"/>
      <c r="BS221" s="126"/>
      <c r="BT221" s="126"/>
      <c r="BU221" s="126"/>
      <c r="BV221" s="126"/>
      <c r="BW221" s="126"/>
      <c r="BX221" s="126"/>
    </row>
    <row r="222">
      <c r="A222" s="126"/>
      <c r="B222" s="126"/>
      <c r="C222" s="127"/>
      <c r="D222" s="126"/>
      <c r="E222" s="126"/>
      <c r="F222" s="127"/>
      <c r="G222" s="126"/>
      <c r="H222" s="127"/>
      <c r="I222" s="126"/>
      <c r="J222" s="126"/>
      <c r="K222" s="127"/>
      <c r="L222" s="126"/>
      <c r="M222" s="126"/>
      <c r="N222" s="127"/>
      <c r="O222" s="126"/>
      <c r="P222" s="126"/>
      <c r="Q222" s="127"/>
      <c r="R222" s="126"/>
      <c r="S222" s="126"/>
      <c r="T222" s="127"/>
      <c r="U222" s="126"/>
      <c r="V222" s="126"/>
      <c r="W222" s="127"/>
      <c r="X222" s="126"/>
      <c r="Y222" s="126"/>
      <c r="Z222" s="127"/>
      <c r="AA222" s="126"/>
      <c r="AB222" s="126"/>
      <c r="AC222" s="127"/>
      <c r="AD222" s="126"/>
      <c r="AE222" s="126"/>
      <c r="AF222" s="126"/>
      <c r="AG222" s="127"/>
      <c r="AH222" s="126"/>
      <c r="AI222" s="126"/>
      <c r="AJ222" s="127"/>
      <c r="AK222" s="126"/>
      <c r="AL222" s="126"/>
      <c r="AM222" s="127"/>
      <c r="AN222" s="126"/>
      <c r="AO222" s="126"/>
      <c r="AP222" s="127"/>
      <c r="AQ222" s="126"/>
      <c r="AR222" s="126"/>
      <c r="AS222" s="127"/>
      <c r="AT222" s="126"/>
      <c r="AU222" s="126"/>
      <c r="AV222" s="127"/>
      <c r="AW222" s="126"/>
      <c r="AX222" s="126"/>
      <c r="AY222" s="127"/>
      <c r="AZ222" s="126"/>
      <c r="BA222" s="126"/>
      <c r="BB222" s="127"/>
      <c r="BC222" s="126"/>
      <c r="BD222" s="134"/>
      <c r="BE222" s="127"/>
      <c r="BF222" s="126"/>
      <c r="BG222" s="126"/>
      <c r="BH222" s="126"/>
      <c r="BI222" s="126"/>
      <c r="BJ222" s="126"/>
      <c r="BK222" s="126"/>
      <c r="BL222" s="126"/>
      <c r="BM222" s="126"/>
      <c r="BN222" s="126"/>
      <c r="BO222" s="126"/>
      <c r="BP222" s="126"/>
      <c r="BQ222" s="126"/>
      <c r="BR222" s="126"/>
      <c r="BS222" s="126"/>
      <c r="BT222" s="126"/>
      <c r="BU222" s="126"/>
      <c r="BV222" s="126"/>
      <c r="BW222" s="126"/>
      <c r="BX222" s="126"/>
    </row>
    <row r="223">
      <c r="A223" s="126"/>
      <c r="B223" s="126"/>
      <c r="C223" s="127"/>
      <c r="D223" s="126"/>
      <c r="E223" s="126"/>
      <c r="F223" s="127"/>
      <c r="G223" s="126"/>
      <c r="H223" s="127"/>
      <c r="I223" s="126"/>
      <c r="J223" s="126"/>
      <c r="K223" s="127"/>
      <c r="L223" s="126"/>
      <c r="M223" s="126"/>
      <c r="N223" s="127"/>
      <c r="O223" s="126"/>
      <c r="P223" s="126"/>
      <c r="Q223" s="127"/>
      <c r="R223" s="126"/>
      <c r="S223" s="126"/>
      <c r="T223" s="127"/>
      <c r="U223" s="126"/>
      <c r="V223" s="126"/>
      <c r="W223" s="127"/>
      <c r="X223" s="126"/>
      <c r="Y223" s="126"/>
      <c r="Z223" s="127"/>
      <c r="AA223" s="126"/>
      <c r="AB223" s="126"/>
      <c r="AC223" s="127"/>
      <c r="AD223" s="126"/>
      <c r="AE223" s="126"/>
      <c r="AF223" s="126"/>
      <c r="AG223" s="127"/>
      <c r="AH223" s="126"/>
      <c r="AI223" s="126"/>
      <c r="AJ223" s="127"/>
      <c r="AK223" s="126"/>
      <c r="AL223" s="126"/>
      <c r="AM223" s="127"/>
      <c r="AN223" s="126"/>
      <c r="AO223" s="126"/>
      <c r="AP223" s="127"/>
      <c r="AQ223" s="126"/>
      <c r="AR223" s="126"/>
      <c r="AS223" s="127"/>
      <c r="AT223" s="126"/>
      <c r="AU223" s="126"/>
      <c r="AV223" s="127"/>
      <c r="AW223" s="126"/>
      <c r="AX223" s="126"/>
      <c r="AY223" s="127"/>
      <c r="AZ223" s="126"/>
      <c r="BA223" s="126"/>
      <c r="BB223" s="127"/>
      <c r="BC223" s="126"/>
      <c r="BD223" s="134"/>
      <c r="BE223" s="127"/>
      <c r="BF223" s="126"/>
      <c r="BG223" s="126"/>
      <c r="BH223" s="126"/>
      <c r="BI223" s="126"/>
      <c r="BJ223" s="126"/>
      <c r="BK223" s="126"/>
      <c r="BL223" s="126"/>
      <c r="BM223" s="126"/>
      <c r="BN223" s="126"/>
      <c r="BO223" s="126"/>
      <c r="BP223" s="126"/>
      <c r="BQ223" s="126"/>
      <c r="BR223" s="126"/>
      <c r="BS223" s="126"/>
      <c r="BT223" s="126"/>
      <c r="BU223" s="126"/>
      <c r="BV223" s="126"/>
      <c r="BW223" s="126"/>
      <c r="BX223" s="126"/>
    </row>
    <row r="224">
      <c r="A224" s="126"/>
      <c r="B224" s="126"/>
      <c r="C224" s="127"/>
      <c r="D224" s="126"/>
      <c r="E224" s="126"/>
      <c r="F224" s="127"/>
      <c r="G224" s="126"/>
      <c r="H224" s="127"/>
      <c r="I224" s="126"/>
      <c r="J224" s="126"/>
      <c r="K224" s="127"/>
      <c r="L224" s="126"/>
      <c r="M224" s="126"/>
      <c r="N224" s="127"/>
      <c r="O224" s="126"/>
      <c r="P224" s="126"/>
      <c r="Q224" s="127"/>
      <c r="R224" s="126"/>
      <c r="S224" s="126"/>
      <c r="T224" s="127"/>
      <c r="U224" s="126"/>
      <c r="V224" s="126"/>
      <c r="W224" s="127"/>
      <c r="X224" s="126"/>
      <c r="Y224" s="126"/>
      <c r="Z224" s="127"/>
      <c r="AA224" s="126"/>
      <c r="AB224" s="126"/>
      <c r="AC224" s="127"/>
      <c r="AD224" s="126"/>
      <c r="AE224" s="126"/>
      <c r="AF224" s="126"/>
      <c r="AG224" s="127"/>
      <c r="AH224" s="126"/>
      <c r="AI224" s="126"/>
      <c r="AJ224" s="127"/>
      <c r="AK224" s="126"/>
      <c r="AL224" s="126"/>
      <c r="AM224" s="127"/>
      <c r="AN224" s="126"/>
      <c r="AO224" s="126"/>
      <c r="AP224" s="127"/>
      <c r="AQ224" s="126"/>
      <c r="AR224" s="126"/>
      <c r="AS224" s="127"/>
      <c r="AT224" s="126"/>
      <c r="AU224" s="126"/>
      <c r="AV224" s="127"/>
      <c r="AW224" s="126"/>
      <c r="AX224" s="126"/>
      <c r="AY224" s="127"/>
      <c r="AZ224" s="126"/>
      <c r="BA224" s="126"/>
      <c r="BB224" s="127"/>
      <c r="BC224" s="126"/>
      <c r="BD224" s="134"/>
      <c r="BE224" s="127"/>
      <c r="BF224" s="126"/>
      <c r="BG224" s="126"/>
      <c r="BH224" s="126"/>
      <c r="BI224" s="126"/>
      <c r="BJ224" s="126"/>
      <c r="BK224" s="126"/>
      <c r="BL224" s="126"/>
      <c r="BM224" s="126"/>
      <c r="BN224" s="126"/>
      <c r="BO224" s="126"/>
      <c r="BP224" s="126"/>
      <c r="BQ224" s="126"/>
      <c r="BR224" s="126"/>
      <c r="BS224" s="126"/>
      <c r="BT224" s="126"/>
      <c r="BU224" s="126"/>
      <c r="BV224" s="126"/>
      <c r="BW224" s="126"/>
      <c r="BX224" s="126"/>
    </row>
    <row r="225">
      <c r="A225" s="126"/>
      <c r="B225" s="126"/>
      <c r="C225" s="127"/>
      <c r="D225" s="126"/>
      <c r="E225" s="126"/>
      <c r="F225" s="127"/>
      <c r="G225" s="126"/>
      <c r="H225" s="127"/>
      <c r="I225" s="126"/>
      <c r="J225" s="126"/>
      <c r="K225" s="127"/>
      <c r="L225" s="126"/>
      <c r="M225" s="126"/>
      <c r="N225" s="127"/>
      <c r="O225" s="126"/>
      <c r="P225" s="126"/>
      <c r="Q225" s="127"/>
      <c r="R225" s="126"/>
      <c r="S225" s="126"/>
      <c r="T225" s="127"/>
      <c r="U225" s="126"/>
      <c r="V225" s="126"/>
      <c r="W225" s="127"/>
      <c r="X225" s="126"/>
      <c r="Y225" s="126"/>
      <c r="Z225" s="127"/>
      <c r="AA225" s="126"/>
      <c r="AB225" s="126"/>
      <c r="AC225" s="127"/>
      <c r="AD225" s="126"/>
      <c r="AE225" s="126"/>
      <c r="AF225" s="126"/>
      <c r="AG225" s="127"/>
      <c r="AH225" s="126"/>
      <c r="AI225" s="126"/>
      <c r="AJ225" s="127"/>
      <c r="AK225" s="126"/>
      <c r="AL225" s="126"/>
      <c r="AM225" s="127"/>
      <c r="AN225" s="126"/>
      <c r="AO225" s="126"/>
      <c r="AP225" s="127"/>
      <c r="AQ225" s="126"/>
      <c r="AR225" s="126"/>
      <c r="AS225" s="127"/>
      <c r="AT225" s="126"/>
      <c r="AU225" s="126"/>
      <c r="AV225" s="127"/>
      <c r="AW225" s="126"/>
      <c r="AX225" s="126"/>
      <c r="AY225" s="127"/>
      <c r="AZ225" s="126"/>
      <c r="BA225" s="126"/>
      <c r="BB225" s="127"/>
      <c r="BC225" s="126"/>
      <c r="BD225" s="134"/>
      <c r="BE225" s="127"/>
      <c r="BF225" s="126"/>
      <c r="BG225" s="126"/>
      <c r="BH225" s="126"/>
      <c r="BI225" s="126"/>
      <c r="BJ225" s="126"/>
      <c r="BK225" s="126"/>
      <c r="BL225" s="126"/>
      <c r="BM225" s="126"/>
      <c r="BN225" s="126"/>
      <c r="BO225" s="126"/>
      <c r="BP225" s="126"/>
      <c r="BQ225" s="126"/>
      <c r="BR225" s="126"/>
      <c r="BS225" s="126"/>
      <c r="BT225" s="126"/>
      <c r="BU225" s="126"/>
      <c r="BV225" s="126"/>
      <c r="BW225" s="126"/>
      <c r="BX225" s="126"/>
    </row>
    <row r="226">
      <c r="A226" s="126"/>
      <c r="B226" s="126"/>
      <c r="C226" s="127"/>
      <c r="D226" s="126"/>
      <c r="E226" s="126"/>
      <c r="F226" s="127"/>
      <c r="G226" s="126"/>
      <c r="H226" s="127"/>
      <c r="I226" s="126"/>
      <c r="J226" s="126"/>
      <c r="K226" s="127"/>
      <c r="L226" s="126"/>
      <c r="M226" s="126"/>
      <c r="N226" s="127"/>
      <c r="O226" s="126"/>
      <c r="P226" s="126"/>
      <c r="Q226" s="127"/>
      <c r="R226" s="126"/>
      <c r="S226" s="126"/>
      <c r="T226" s="127"/>
      <c r="U226" s="126"/>
      <c r="V226" s="126"/>
      <c r="W226" s="127"/>
      <c r="X226" s="126"/>
      <c r="Y226" s="126"/>
      <c r="Z226" s="127"/>
      <c r="AA226" s="126"/>
      <c r="AB226" s="126"/>
      <c r="AC226" s="127"/>
      <c r="AD226" s="126"/>
      <c r="AE226" s="126"/>
      <c r="AF226" s="126"/>
      <c r="AG226" s="127"/>
      <c r="AH226" s="126"/>
      <c r="AI226" s="126"/>
      <c r="AJ226" s="127"/>
      <c r="AK226" s="126"/>
      <c r="AL226" s="126"/>
      <c r="AM226" s="127"/>
      <c r="AN226" s="126"/>
      <c r="AO226" s="126"/>
      <c r="AP226" s="127"/>
      <c r="AQ226" s="126"/>
      <c r="AR226" s="126"/>
      <c r="AS226" s="127"/>
      <c r="AT226" s="126"/>
      <c r="AU226" s="126"/>
      <c r="AV226" s="127"/>
      <c r="AW226" s="126"/>
      <c r="AX226" s="126"/>
      <c r="AY226" s="127"/>
      <c r="AZ226" s="126"/>
      <c r="BA226" s="126"/>
      <c r="BB226" s="127"/>
      <c r="BC226" s="126"/>
      <c r="BD226" s="134"/>
      <c r="BE226" s="127"/>
      <c r="BF226" s="126"/>
      <c r="BG226" s="126"/>
      <c r="BH226" s="126"/>
      <c r="BI226" s="126"/>
      <c r="BJ226" s="126"/>
      <c r="BK226" s="126"/>
      <c r="BL226" s="126"/>
      <c r="BM226" s="126"/>
      <c r="BN226" s="126"/>
      <c r="BO226" s="126"/>
      <c r="BP226" s="126"/>
      <c r="BQ226" s="126"/>
      <c r="BR226" s="126"/>
      <c r="BS226" s="126"/>
      <c r="BT226" s="126"/>
      <c r="BU226" s="126"/>
      <c r="BV226" s="126"/>
      <c r="BW226" s="126"/>
      <c r="BX226" s="126"/>
    </row>
    <row r="227">
      <c r="A227" s="126"/>
      <c r="B227" s="126"/>
      <c r="C227" s="127"/>
      <c r="D227" s="126"/>
      <c r="E227" s="126"/>
      <c r="F227" s="127"/>
      <c r="G227" s="126"/>
      <c r="H227" s="127"/>
      <c r="I227" s="126"/>
      <c r="J227" s="126"/>
      <c r="K227" s="127"/>
      <c r="L227" s="126"/>
      <c r="M227" s="126"/>
      <c r="N227" s="127"/>
      <c r="O227" s="126"/>
      <c r="P227" s="126"/>
      <c r="Q227" s="127"/>
      <c r="R227" s="126"/>
      <c r="S227" s="126"/>
      <c r="T227" s="127"/>
      <c r="U227" s="126"/>
      <c r="V227" s="126"/>
      <c r="W227" s="127"/>
      <c r="X227" s="126"/>
      <c r="Y227" s="126"/>
      <c r="Z227" s="127"/>
      <c r="AA227" s="126"/>
      <c r="AB227" s="126"/>
      <c r="AC227" s="127"/>
      <c r="AD227" s="126"/>
      <c r="AE227" s="126"/>
      <c r="AF227" s="126"/>
      <c r="AG227" s="127"/>
      <c r="AH227" s="126"/>
      <c r="AI227" s="126"/>
      <c r="AJ227" s="127"/>
      <c r="AK227" s="126"/>
      <c r="AL227" s="126"/>
      <c r="AM227" s="127"/>
      <c r="AN227" s="126"/>
      <c r="AO227" s="126"/>
      <c r="AP227" s="127"/>
      <c r="AQ227" s="126"/>
      <c r="AR227" s="126"/>
      <c r="AS227" s="127"/>
      <c r="AT227" s="126"/>
      <c r="AU227" s="126"/>
      <c r="AV227" s="127"/>
      <c r="AW227" s="126"/>
      <c r="AX227" s="126"/>
      <c r="AY227" s="127"/>
      <c r="AZ227" s="126"/>
      <c r="BA227" s="126"/>
      <c r="BB227" s="127"/>
      <c r="BC227" s="126"/>
      <c r="BD227" s="134"/>
      <c r="BE227" s="127"/>
      <c r="BF227" s="126"/>
      <c r="BG227" s="126"/>
      <c r="BH227" s="126"/>
      <c r="BI227" s="126"/>
      <c r="BJ227" s="126"/>
      <c r="BK227" s="126"/>
      <c r="BL227" s="126"/>
      <c r="BM227" s="126"/>
      <c r="BN227" s="126"/>
      <c r="BO227" s="126"/>
      <c r="BP227" s="126"/>
      <c r="BQ227" s="126"/>
      <c r="BR227" s="126"/>
      <c r="BS227" s="126"/>
      <c r="BT227" s="126"/>
      <c r="BU227" s="126"/>
      <c r="BV227" s="126"/>
      <c r="BW227" s="126"/>
      <c r="BX227" s="126"/>
    </row>
    <row r="228">
      <c r="A228" s="126"/>
      <c r="B228" s="126"/>
      <c r="C228" s="127"/>
      <c r="D228" s="126"/>
      <c r="E228" s="126"/>
      <c r="F228" s="127"/>
      <c r="G228" s="126"/>
      <c r="H228" s="127"/>
      <c r="I228" s="126"/>
      <c r="J228" s="126"/>
      <c r="K228" s="127"/>
      <c r="L228" s="126"/>
      <c r="M228" s="126"/>
      <c r="N228" s="127"/>
      <c r="O228" s="126"/>
      <c r="P228" s="126"/>
      <c r="Q228" s="127"/>
      <c r="R228" s="126"/>
      <c r="S228" s="126"/>
      <c r="T228" s="127"/>
      <c r="U228" s="126"/>
      <c r="V228" s="126"/>
      <c r="W228" s="127"/>
      <c r="X228" s="126"/>
      <c r="Y228" s="126"/>
      <c r="Z228" s="127"/>
      <c r="AA228" s="126"/>
      <c r="AB228" s="126"/>
      <c r="AC228" s="127"/>
      <c r="AD228" s="126"/>
      <c r="AE228" s="126"/>
      <c r="AF228" s="126"/>
      <c r="AG228" s="127"/>
      <c r="AH228" s="126"/>
      <c r="AI228" s="126"/>
      <c r="AJ228" s="127"/>
      <c r="AK228" s="126"/>
      <c r="AL228" s="126"/>
      <c r="AM228" s="127"/>
      <c r="AN228" s="126"/>
      <c r="AO228" s="126"/>
      <c r="AP228" s="127"/>
      <c r="AQ228" s="126"/>
      <c r="AR228" s="126"/>
      <c r="AS228" s="127"/>
      <c r="AT228" s="126"/>
      <c r="AU228" s="126"/>
      <c r="AV228" s="127"/>
      <c r="AW228" s="126"/>
      <c r="AX228" s="126"/>
      <c r="AY228" s="127"/>
      <c r="AZ228" s="126"/>
      <c r="BA228" s="126"/>
      <c r="BB228" s="127"/>
      <c r="BC228" s="126"/>
      <c r="BD228" s="134"/>
      <c r="BE228" s="127"/>
      <c r="BF228" s="126"/>
      <c r="BG228" s="126"/>
      <c r="BH228" s="126"/>
      <c r="BI228" s="126"/>
      <c r="BJ228" s="126"/>
      <c r="BK228" s="126"/>
      <c r="BL228" s="126"/>
      <c r="BM228" s="126"/>
      <c r="BN228" s="126"/>
      <c r="BO228" s="126"/>
      <c r="BP228" s="126"/>
      <c r="BQ228" s="126"/>
      <c r="BR228" s="126"/>
      <c r="BS228" s="126"/>
      <c r="BT228" s="126"/>
      <c r="BU228" s="126"/>
      <c r="BV228" s="126"/>
      <c r="BW228" s="126"/>
      <c r="BX228" s="126"/>
    </row>
    <row r="229">
      <c r="A229" s="126"/>
      <c r="B229" s="126"/>
      <c r="C229" s="127"/>
      <c r="D229" s="126"/>
      <c r="E229" s="126"/>
      <c r="F229" s="127"/>
      <c r="G229" s="126"/>
      <c r="H229" s="127"/>
      <c r="I229" s="126"/>
      <c r="J229" s="126"/>
      <c r="K229" s="127"/>
      <c r="L229" s="126"/>
      <c r="M229" s="126"/>
      <c r="N229" s="127"/>
      <c r="O229" s="126"/>
      <c r="P229" s="126"/>
      <c r="Q229" s="127"/>
      <c r="R229" s="126"/>
      <c r="S229" s="126"/>
      <c r="T229" s="127"/>
      <c r="U229" s="126"/>
      <c r="V229" s="126"/>
      <c r="W229" s="127"/>
      <c r="X229" s="126"/>
      <c r="Y229" s="126"/>
      <c r="Z229" s="127"/>
      <c r="AA229" s="126"/>
      <c r="AB229" s="126"/>
      <c r="AC229" s="127"/>
      <c r="AD229" s="126"/>
      <c r="AE229" s="126"/>
      <c r="AF229" s="126"/>
      <c r="AG229" s="127"/>
      <c r="AH229" s="126"/>
      <c r="AI229" s="126"/>
      <c r="AJ229" s="127"/>
      <c r="AK229" s="126"/>
      <c r="AL229" s="126"/>
      <c r="AM229" s="127"/>
      <c r="AN229" s="126"/>
      <c r="AO229" s="126"/>
      <c r="AP229" s="127"/>
      <c r="AQ229" s="126"/>
      <c r="AR229" s="126"/>
      <c r="AS229" s="127"/>
      <c r="AT229" s="126"/>
      <c r="AU229" s="126"/>
      <c r="AV229" s="127"/>
      <c r="AW229" s="126"/>
      <c r="AX229" s="126"/>
      <c r="AY229" s="127"/>
      <c r="AZ229" s="126"/>
      <c r="BA229" s="126"/>
      <c r="BB229" s="127"/>
      <c r="BC229" s="126"/>
      <c r="BD229" s="134"/>
      <c r="BE229" s="127"/>
      <c r="BF229" s="126"/>
      <c r="BG229" s="126"/>
      <c r="BH229" s="126"/>
      <c r="BI229" s="126"/>
      <c r="BJ229" s="126"/>
      <c r="BK229" s="126"/>
      <c r="BL229" s="126"/>
      <c r="BM229" s="126"/>
      <c r="BN229" s="126"/>
      <c r="BO229" s="126"/>
      <c r="BP229" s="126"/>
      <c r="BQ229" s="126"/>
      <c r="BR229" s="126"/>
      <c r="BS229" s="126"/>
      <c r="BT229" s="126"/>
      <c r="BU229" s="126"/>
      <c r="BV229" s="126"/>
      <c r="BW229" s="126"/>
      <c r="BX229" s="126"/>
    </row>
    <row r="230">
      <c r="A230" s="126"/>
      <c r="B230" s="126"/>
      <c r="C230" s="127"/>
      <c r="D230" s="126"/>
      <c r="E230" s="126"/>
      <c r="F230" s="127"/>
      <c r="G230" s="126"/>
      <c r="H230" s="127"/>
      <c r="I230" s="126"/>
      <c r="J230" s="126"/>
      <c r="K230" s="127"/>
      <c r="L230" s="126"/>
      <c r="M230" s="126"/>
      <c r="N230" s="127"/>
      <c r="O230" s="126"/>
      <c r="P230" s="126"/>
      <c r="Q230" s="127"/>
      <c r="R230" s="126"/>
      <c r="S230" s="126"/>
      <c r="T230" s="127"/>
      <c r="U230" s="126"/>
      <c r="V230" s="126"/>
      <c r="W230" s="127"/>
      <c r="X230" s="126"/>
      <c r="Y230" s="126"/>
      <c r="Z230" s="127"/>
      <c r="AA230" s="126"/>
      <c r="AB230" s="126"/>
      <c r="AC230" s="127"/>
      <c r="AD230" s="126"/>
      <c r="AE230" s="126"/>
      <c r="AF230" s="126"/>
      <c r="AG230" s="127"/>
      <c r="AH230" s="126"/>
      <c r="AI230" s="126"/>
      <c r="AJ230" s="127"/>
      <c r="AK230" s="126"/>
      <c r="AL230" s="126"/>
      <c r="AM230" s="127"/>
      <c r="AN230" s="126"/>
      <c r="AO230" s="126"/>
      <c r="AP230" s="127"/>
      <c r="AQ230" s="126"/>
      <c r="AR230" s="126"/>
      <c r="AS230" s="127"/>
      <c r="AT230" s="126"/>
      <c r="AU230" s="126"/>
      <c r="AV230" s="127"/>
      <c r="AW230" s="126"/>
      <c r="AX230" s="126"/>
      <c r="AY230" s="127"/>
      <c r="AZ230" s="126"/>
      <c r="BA230" s="126"/>
      <c r="BB230" s="127"/>
      <c r="BC230" s="126"/>
      <c r="BD230" s="134"/>
      <c r="BE230" s="127"/>
      <c r="BF230" s="126"/>
      <c r="BG230" s="126"/>
      <c r="BH230" s="126"/>
      <c r="BI230" s="126"/>
      <c r="BJ230" s="126"/>
      <c r="BK230" s="126"/>
      <c r="BL230" s="126"/>
      <c r="BM230" s="126"/>
      <c r="BN230" s="126"/>
      <c r="BO230" s="126"/>
      <c r="BP230" s="126"/>
      <c r="BQ230" s="126"/>
      <c r="BR230" s="126"/>
      <c r="BS230" s="126"/>
      <c r="BT230" s="126"/>
      <c r="BU230" s="126"/>
      <c r="BV230" s="126"/>
      <c r="BW230" s="126"/>
      <c r="BX230" s="126"/>
    </row>
    <row r="231">
      <c r="A231" s="126"/>
      <c r="B231" s="126"/>
      <c r="C231" s="127"/>
      <c r="D231" s="126"/>
      <c r="E231" s="126"/>
      <c r="F231" s="127"/>
      <c r="G231" s="126"/>
      <c r="H231" s="127"/>
      <c r="I231" s="126"/>
      <c r="J231" s="126"/>
      <c r="K231" s="127"/>
      <c r="L231" s="126"/>
      <c r="M231" s="126"/>
      <c r="N231" s="127"/>
      <c r="O231" s="126"/>
      <c r="P231" s="126"/>
      <c r="Q231" s="127"/>
      <c r="R231" s="126"/>
      <c r="S231" s="126"/>
      <c r="T231" s="127"/>
      <c r="U231" s="126"/>
      <c r="V231" s="126"/>
      <c r="W231" s="127"/>
      <c r="X231" s="126"/>
      <c r="Y231" s="126"/>
      <c r="Z231" s="127"/>
      <c r="AA231" s="126"/>
      <c r="AB231" s="126"/>
      <c r="AC231" s="127"/>
      <c r="AD231" s="126"/>
      <c r="AE231" s="126"/>
      <c r="AF231" s="126"/>
      <c r="AG231" s="127"/>
      <c r="AH231" s="126"/>
      <c r="AI231" s="126"/>
      <c r="AJ231" s="127"/>
      <c r="AK231" s="126"/>
      <c r="AL231" s="126"/>
      <c r="AM231" s="127"/>
      <c r="AN231" s="126"/>
      <c r="AO231" s="126"/>
      <c r="AP231" s="127"/>
      <c r="AQ231" s="126"/>
      <c r="AR231" s="126"/>
      <c r="AS231" s="127"/>
      <c r="AT231" s="126"/>
      <c r="AU231" s="126"/>
      <c r="AV231" s="127"/>
      <c r="AW231" s="126"/>
      <c r="AX231" s="126"/>
      <c r="AY231" s="127"/>
      <c r="AZ231" s="126"/>
      <c r="BA231" s="126"/>
      <c r="BB231" s="127"/>
      <c r="BC231" s="126"/>
      <c r="BD231" s="134"/>
      <c r="BE231" s="127"/>
      <c r="BF231" s="126"/>
      <c r="BG231" s="126"/>
      <c r="BH231" s="126"/>
      <c r="BI231" s="126"/>
      <c r="BJ231" s="126"/>
      <c r="BK231" s="126"/>
      <c r="BL231" s="126"/>
      <c r="BM231" s="126"/>
      <c r="BN231" s="126"/>
      <c r="BO231" s="126"/>
      <c r="BP231" s="126"/>
      <c r="BQ231" s="126"/>
      <c r="BR231" s="126"/>
      <c r="BS231" s="126"/>
      <c r="BT231" s="126"/>
      <c r="BU231" s="126"/>
      <c r="BV231" s="126"/>
      <c r="BW231" s="126"/>
      <c r="BX231" s="126"/>
    </row>
    <row r="232">
      <c r="A232" s="126"/>
      <c r="B232" s="126"/>
      <c r="C232" s="127"/>
      <c r="D232" s="126"/>
      <c r="E232" s="126"/>
      <c r="F232" s="127"/>
      <c r="G232" s="126"/>
      <c r="H232" s="127"/>
      <c r="I232" s="126"/>
      <c r="J232" s="126"/>
      <c r="K232" s="127"/>
      <c r="L232" s="126"/>
      <c r="M232" s="126"/>
      <c r="N232" s="127"/>
      <c r="O232" s="126"/>
      <c r="P232" s="126"/>
      <c r="Q232" s="127"/>
      <c r="R232" s="126"/>
      <c r="S232" s="126"/>
      <c r="T232" s="127"/>
      <c r="U232" s="126"/>
      <c r="V232" s="126"/>
      <c r="W232" s="127"/>
      <c r="X232" s="126"/>
      <c r="Y232" s="126"/>
      <c r="Z232" s="127"/>
      <c r="AA232" s="126"/>
      <c r="AB232" s="126"/>
      <c r="AC232" s="127"/>
      <c r="AD232" s="126"/>
      <c r="AE232" s="126"/>
      <c r="AF232" s="126"/>
      <c r="AG232" s="127"/>
      <c r="AH232" s="126"/>
      <c r="AI232" s="126"/>
      <c r="AJ232" s="127"/>
      <c r="AK232" s="126"/>
      <c r="AL232" s="126"/>
      <c r="AM232" s="127"/>
      <c r="AN232" s="126"/>
      <c r="AO232" s="126"/>
      <c r="AP232" s="127"/>
      <c r="AQ232" s="126"/>
      <c r="AR232" s="126"/>
      <c r="AS232" s="127"/>
      <c r="AT232" s="126"/>
      <c r="AU232" s="126"/>
      <c r="AV232" s="127"/>
      <c r="AW232" s="126"/>
      <c r="AX232" s="126"/>
      <c r="AY232" s="127"/>
      <c r="AZ232" s="126"/>
      <c r="BA232" s="126"/>
      <c r="BB232" s="127"/>
      <c r="BC232" s="126"/>
      <c r="BD232" s="134"/>
      <c r="BE232" s="127"/>
      <c r="BF232" s="126"/>
      <c r="BG232" s="126"/>
      <c r="BH232" s="126"/>
      <c r="BI232" s="126"/>
      <c r="BJ232" s="126"/>
      <c r="BK232" s="126"/>
      <c r="BL232" s="126"/>
      <c r="BM232" s="126"/>
      <c r="BN232" s="126"/>
      <c r="BO232" s="126"/>
      <c r="BP232" s="126"/>
      <c r="BQ232" s="126"/>
      <c r="BR232" s="126"/>
      <c r="BS232" s="126"/>
      <c r="BT232" s="126"/>
      <c r="BU232" s="126"/>
      <c r="BV232" s="126"/>
      <c r="BW232" s="126"/>
      <c r="BX232" s="126"/>
    </row>
    <row r="233">
      <c r="A233" s="126"/>
      <c r="B233" s="126"/>
      <c r="C233" s="127"/>
      <c r="D233" s="126"/>
      <c r="E233" s="126"/>
      <c r="F233" s="127"/>
      <c r="G233" s="126"/>
      <c r="H233" s="127"/>
      <c r="I233" s="126"/>
      <c r="J233" s="126"/>
      <c r="K233" s="127"/>
      <c r="L233" s="126"/>
      <c r="M233" s="126"/>
      <c r="N233" s="127"/>
      <c r="O233" s="126"/>
      <c r="P233" s="126"/>
      <c r="Q233" s="127"/>
      <c r="R233" s="126"/>
      <c r="S233" s="126"/>
      <c r="T233" s="127"/>
      <c r="U233" s="126"/>
      <c r="V233" s="126"/>
      <c r="W233" s="127"/>
      <c r="X233" s="126"/>
      <c r="Y233" s="126"/>
      <c r="Z233" s="127"/>
      <c r="AA233" s="126"/>
      <c r="AB233" s="126"/>
      <c r="AC233" s="127"/>
      <c r="AD233" s="126"/>
      <c r="AE233" s="126"/>
      <c r="AF233" s="126"/>
      <c r="AG233" s="127"/>
      <c r="AH233" s="126"/>
      <c r="AI233" s="126"/>
      <c r="AJ233" s="127"/>
      <c r="AK233" s="126"/>
      <c r="AL233" s="126"/>
      <c r="AM233" s="127"/>
      <c r="AN233" s="126"/>
      <c r="AO233" s="126"/>
      <c r="AP233" s="127"/>
      <c r="AQ233" s="126"/>
      <c r="AR233" s="126"/>
      <c r="AS233" s="127"/>
      <c r="AT233" s="126"/>
      <c r="AU233" s="126"/>
      <c r="AV233" s="127"/>
      <c r="AW233" s="126"/>
      <c r="AX233" s="126"/>
      <c r="AY233" s="127"/>
      <c r="AZ233" s="126"/>
      <c r="BA233" s="126"/>
      <c r="BB233" s="127"/>
      <c r="BC233" s="126"/>
      <c r="BD233" s="134"/>
      <c r="BE233" s="127"/>
      <c r="BF233" s="126"/>
      <c r="BG233" s="126"/>
      <c r="BH233" s="126"/>
      <c r="BI233" s="126"/>
      <c r="BJ233" s="126"/>
      <c r="BK233" s="126"/>
      <c r="BL233" s="126"/>
      <c r="BM233" s="126"/>
      <c r="BN233" s="126"/>
      <c r="BO233" s="126"/>
      <c r="BP233" s="126"/>
      <c r="BQ233" s="126"/>
      <c r="BR233" s="126"/>
      <c r="BS233" s="126"/>
      <c r="BT233" s="126"/>
      <c r="BU233" s="126"/>
      <c r="BV233" s="126"/>
      <c r="BW233" s="126"/>
      <c r="BX233" s="126"/>
    </row>
    <row r="234">
      <c r="A234" s="126"/>
      <c r="B234" s="126"/>
      <c r="C234" s="127"/>
      <c r="D234" s="126"/>
      <c r="E234" s="126"/>
      <c r="F234" s="127"/>
      <c r="G234" s="126"/>
      <c r="H234" s="127"/>
      <c r="I234" s="126"/>
      <c r="J234" s="126"/>
      <c r="K234" s="127"/>
      <c r="L234" s="126"/>
      <c r="M234" s="126"/>
      <c r="N234" s="127"/>
      <c r="O234" s="126"/>
      <c r="P234" s="126"/>
      <c r="Q234" s="127"/>
      <c r="R234" s="126"/>
      <c r="S234" s="126"/>
      <c r="T234" s="127"/>
      <c r="U234" s="126"/>
      <c r="V234" s="126"/>
      <c r="W234" s="127"/>
      <c r="X234" s="126"/>
      <c r="Y234" s="126"/>
      <c r="Z234" s="127"/>
      <c r="AA234" s="126"/>
      <c r="AB234" s="126"/>
      <c r="AC234" s="127"/>
      <c r="AD234" s="126"/>
      <c r="AE234" s="126"/>
      <c r="AF234" s="126"/>
      <c r="AG234" s="127"/>
      <c r="AH234" s="126"/>
      <c r="AI234" s="126"/>
      <c r="AJ234" s="127"/>
      <c r="AK234" s="126"/>
      <c r="AL234" s="126"/>
      <c r="AM234" s="127"/>
      <c r="AN234" s="126"/>
      <c r="AO234" s="126"/>
      <c r="AP234" s="127"/>
      <c r="AQ234" s="126"/>
      <c r="AR234" s="126"/>
      <c r="AS234" s="127"/>
      <c r="AT234" s="126"/>
      <c r="AU234" s="126"/>
      <c r="AV234" s="127"/>
      <c r="AW234" s="126"/>
      <c r="AX234" s="126"/>
      <c r="AY234" s="127"/>
      <c r="AZ234" s="126"/>
      <c r="BA234" s="126"/>
      <c r="BB234" s="127"/>
      <c r="BC234" s="126"/>
      <c r="BD234" s="134"/>
      <c r="BE234" s="127"/>
      <c r="BF234" s="126"/>
      <c r="BG234" s="126"/>
      <c r="BH234" s="126"/>
      <c r="BI234" s="126"/>
      <c r="BJ234" s="126"/>
      <c r="BK234" s="126"/>
      <c r="BL234" s="126"/>
      <c r="BM234" s="126"/>
      <c r="BN234" s="126"/>
      <c r="BO234" s="126"/>
      <c r="BP234" s="126"/>
      <c r="BQ234" s="126"/>
      <c r="BR234" s="126"/>
      <c r="BS234" s="126"/>
      <c r="BT234" s="126"/>
      <c r="BU234" s="126"/>
      <c r="BV234" s="126"/>
      <c r="BW234" s="126"/>
      <c r="BX234" s="126"/>
    </row>
    <row r="235">
      <c r="A235" s="126"/>
      <c r="B235" s="126"/>
      <c r="C235" s="127"/>
      <c r="D235" s="126"/>
      <c r="E235" s="126"/>
      <c r="F235" s="127"/>
      <c r="G235" s="126"/>
      <c r="H235" s="127"/>
      <c r="I235" s="126"/>
      <c r="J235" s="126"/>
      <c r="K235" s="127"/>
      <c r="L235" s="126"/>
      <c r="M235" s="126"/>
      <c r="N235" s="127"/>
      <c r="O235" s="126"/>
      <c r="P235" s="126"/>
      <c r="Q235" s="127"/>
      <c r="R235" s="126"/>
      <c r="S235" s="126"/>
      <c r="T235" s="127"/>
      <c r="U235" s="126"/>
      <c r="V235" s="126"/>
      <c r="W235" s="127"/>
      <c r="X235" s="126"/>
      <c r="Y235" s="126"/>
      <c r="Z235" s="127"/>
      <c r="AA235" s="126"/>
      <c r="AB235" s="126"/>
      <c r="AC235" s="127"/>
      <c r="AD235" s="126"/>
      <c r="AE235" s="126"/>
      <c r="AF235" s="126"/>
      <c r="AG235" s="127"/>
      <c r="AH235" s="126"/>
      <c r="AI235" s="126"/>
      <c r="AJ235" s="127"/>
      <c r="AK235" s="126"/>
      <c r="AL235" s="126"/>
      <c r="AM235" s="127"/>
      <c r="AN235" s="126"/>
      <c r="AO235" s="126"/>
      <c r="AP235" s="127"/>
      <c r="AQ235" s="126"/>
      <c r="AR235" s="126"/>
      <c r="AS235" s="127"/>
      <c r="AT235" s="126"/>
      <c r="AU235" s="126"/>
      <c r="AV235" s="127"/>
      <c r="AW235" s="126"/>
      <c r="AX235" s="126"/>
      <c r="AY235" s="127"/>
      <c r="AZ235" s="126"/>
      <c r="BA235" s="126"/>
      <c r="BB235" s="127"/>
      <c r="BC235" s="126"/>
      <c r="BD235" s="134"/>
      <c r="BE235" s="127"/>
      <c r="BF235" s="126"/>
      <c r="BG235" s="126"/>
      <c r="BH235" s="126"/>
      <c r="BI235" s="126"/>
      <c r="BJ235" s="126"/>
      <c r="BK235" s="126"/>
      <c r="BL235" s="126"/>
      <c r="BM235" s="126"/>
      <c r="BN235" s="126"/>
      <c r="BO235" s="126"/>
      <c r="BP235" s="126"/>
      <c r="BQ235" s="126"/>
      <c r="BR235" s="126"/>
      <c r="BS235" s="126"/>
      <c r="BT235" s="126"/>
      <c r="BU235" s="126"/>
      <c r="BV235" s="126"/>
      <c r="BW235" s="126"/>
      <c r="BX235" s="126"/>
    </row>
    <row r="236">
      <c r="A236" s="126"/>
      <c r="B236" s="126"/>
      <c r="C236" s="127"/>
      <c r="D236" s="126"/>
      <c r="E236" s="126"/>
      <c r="F236" s="127"/>
      <c r="G236" s="126"/>
      <c r="H236" s="127"/>
      <c r="I236" s="126"/>
      <c r="J236" s="126"/>
      <c r="K236" s="127"/>
      <c r="L236" s="126"/>
      <c r="M236" s="126"/>
      <c r="N236" s="127"/>
      <c r="O236" s="126"/>
      <c r="P236" s="126"/>
      <c r="Q236" s="127"/>
      <c r="R236" s="126"/>
      <c r="S236" s="126"/>
      <c r="T236" s="127"/>
      <c r="U236" s="126"/>
      <c r="V236" s="126"/>
      <c r="W236" s="127"/>
      <c r="X236" s="126"/>
      <c r="Y236" s="126"/>
      <c r="Z236" s="127"/>
      <c r="AA236" s="126"/>
      <c r="AB236" s="126"/>
      <c r="AC236" s="127"/>
      <c r="AD236" s="126"/>
      <c r="AE236" s="126"/>
      <c r="AF236" s="126"/>
      <c r="AG236" s="127"/>
      <c r="AH236" s="126"/>
      <c r="AI236" s="126"/>
      <c r="AJ236" s="127"/>
      <c r="AK236" s="126"/>
      <c r="AL236" s="126"/>
      <c r="AM236" s="127"/>
      <c r="AN236" s="126"/>
      <c r="AO236" s="126"/>
      <c r="AP236" s="127"/>
      <c r="AQ236" s="126"/>
      <c r="AR236" s="126"/>
      <c r="AS236" s="127"/>
      <c r="AT236" s="126"/>
      <c r="AU236" s="126"/>
      <c r="AV236" s="127"/>
      <c r="AW236" s="126"/>
      <c r="AX236" s="126"/>
      <c r="AY236" s="127"/>
      <c r="AZ236" s="126"/>
      <c r="BA236" s="126"/>
      <c r="BB236" s="127"/>
      <c r="BC236" s="126"/>
      <c r="BD236" s="134"/>
      <c r="BE236" s="127"/>
      <c r="BF236" s="126"/>
      <c r="BG236" s="126"/>
      <c r="BH236" s="126"/>
      <c r="BI236" s="126"/>
      <c r="BJ236" s="126"/>
      <c r="BK236" s="126"/>
      <c r="BL236" s="126"/>
      <c r="BM236" s="126"/>
      <c r="BN236" s="126"/>
      <c r="BO236" s="126"/>
      <c r="BP236" s="126"/>
      <c r="BQ236" s="126"/>
      <c r="BR236" s="126"/>
      <c r="BS236" s="126"/>
      <c r="BT236" s="126"/>
      <c r="BU236" s="126"/>
      <c r="BV236" s="126"/>
      <c r="BW236" s="126"/>
      <c r="BX236" s="126"/>
    </row>
    <row r="237">
      <c r="A237" s="126"/>
      <c r="B237" s="126"/>
      <c r="C237" s="127"/>
      <c r="D237" s="126"/>
      <c r="E237" s="126"/>
      <c r="F237" s="127"/>
      <c r="G237" s="126"/>
      <c r="H237" s="127"/>
      <c r="I237" s="126"/>
      <c r="J237" s="126"/>
      <c r="K237" s="127"/>
      <c r="L237" s="126"/>
      <c r="M237" s="126"/>
      <c r="N237" s="127"/>
      <c r="O237" s="126"/>
      <c r="P237" s="126"/>
      <c r="Q237" s="127"/>
      <c r="R237" s="126"/>
      <c r="S237" s="126"/>
      <c r="T237" s="127"/>
      <c r="U237" s="126"/>
      <c r="V237" s="126"/>
      <c r="W237" s="127"/>
      <c r="X237" s="126"/>
      <c r="Y237" s="126"/>
      <c r="Z237" s="127"/>
      <c r="AA237" s="126"/>
      <c r="AB237" s="126"/>
      <c r="AC237" s="127"/>
      <c r="AD237" s="126"/>
      <c r="AE237" s="126"/>
      <c r="AF237" s="126"/>
      <c r="AG237" s="127"/>
      <c r="AH237" s="126"/>
      <c r="AI237" s="126"/>
      <c r="AJ237" s="127"/>
      <c r="AK237" s="126"/>
      <c r="AL237" s="126"/>
      <c r="AM237" s="127"/>
      <c r="AN237" s="126"/>
      <c r="AO237" s="126"/>
      <c r="AP237" s="127"/>
      <c r="AQ237" s="126"/>
      <c r="AR237" s="126"/>
      <c r="AS237" s="127"/>
      <c r="AT237" s="126"/>
      <c r="AU237" s="126"/>
      <c r="AV237" s="127"/>
      <c r="AW237" s="126"/>
      <c r="AX237" s="126"/>
      <c r="AY237" s="127"/>
      <c r="AZ237" s="126"/>
      <c r="BA237" s="126"/>
      <c r="BB237" s="127"/>
      <c r="BC237" s="126"/>
      <c r="BD237" s="134"/>
      <c r="BE237" s="127"/>
      <c r="BF237" s="126"/>
      <c r="BG237" s="126"/>
      <c r="BH237" s="126"/>
      <c r="BI237" s="126"/>
      <c r="BJ237" s="126"/>
      <c r="BK237" s="126"/>
      <c r="BL237" s="126"/>
      <c r="BM237" s="126"/>
      <c r="BN237" s="126"/>
      <c r="BO237" s="126"/>
      <c r="BP237" s="126"/>
      <c r="BQ237" s="126"/>
      <c r="BR237" s="126"/>
      <c r="BS237" s="126"/>
      <c r="BT237" s="126"/>
      <c r="BU237" s="126"/>
      <c r="BV237" s="126"/>
      <c r="BW237" s="126"/>
      <c r="BX237" s="126"/>
    </row>
    <row r="238">
      <c r="A238" s="126"/>
      <c r="B238" s="126"/>
      <c r="C238" s="127"/>
      <c r="D238" s="126"/>
      <c r="E238" s="126"/>
      <c r="F238" s="127"/>
      <c r="G238" s="126"/>
      <c r="H238" s="127"/>
      <c r="I238" s="126"/>
      <c r="J238" s="126"/>
      <c r="K238" s="127"/>
      <c r="L238" s="126"/>
      <c r="M238" s="126"/>
      <c r="N238" s="127"/>
      <c r="O238" s="126"/>
      <c r="P238" s="126"/>
      <c r="Q238" s="127"/>
      <c r="R238" s="126"/>
      <c r="S238" s="126"/>
      <c r="T238" s="127"/>
      <c r="U238" s="126"/>
      <c r="V238" s="126"/>
      <c r="W238" s="127"/>
      <c r="X238" s="126"/>
      <c r="Y238" s="126"/>
      <c r="Z238" s="127"/>
      <c r="AA238" s="126"/>
      <c r="AB238" s="126"/>
      <c r="AC238" s="127"/>
      <c r="AD238" s="126"/>
      <c r="AE238" s="126"/>
      <c r="AF238" s="126"/>
      <c r="AG238" s="127"/>
      <c r="AH238" s="126"/>
      <c r="AI238" s="126"/>
      <c r="AJ238" s="127"/>
      <c r="AK238" s="126"/>
      <c r="AL238" s="126"/>
      <c r="AM238" s="127"/>
      <c r="AN238" s="126"/>
      <c r="AO238" s="126"/>
      <c r="AP238" s="127"/>
      <c r="AQ238" s="126"/>
      <c r="AR238" s="126"/>
      <c r="AS238" s="127"/>
      <c r="AT238" s="126"/>
      <c r="AU238" s="126"/>
      <c r="AV238" s="127"/>
      <c r="AW238" s="126"/>
      <c r="AX238" s="126"/>
      <c r="AY238" s="127"/>
      <c r="AZ238" s="126"/>
      <c r="BA238" s="126"/>
      <c r="BB238" s="127"/>
      <c r="BC238" s="126"/>
      <c r="BD238" s="134"/>
      <c r="BE238" s="127"/>
      <c r="BF238" s="126"/>
      <c r="BG238" s="126"/>
      <c r="BH238" s="126"/>
      <c r="BI238" s="126"/>
      <c r="BJ238" s="126"/>
      <c r="BK238" s="126"/>
      <c r="BL238" s="126"/>
      <c r="BM238" s="126"/>
      <c r="BN238" s="126"/>
      <c r="BO238" s="126"/>
      <c r="BP238" s="126"/>
      <c r="BQ238" s="126"/>
      <c r="BR238" s="126"/>
      <c r="BS238" s="126"/>
      <c r="BT238" s="126"/>
      <c r="BU238" s="126"/>
      <c r="BV238" s="126"/>
      <c r="BW238" s="126"/>
      <c r="BX238" s="126"/>
    </row>
    <row r="239">
      <c r="A239" s="126"/>
      <c r="B239" s="126"/>
      <c r="C239" s="127"/>
      <c r="D239" s="126"/>
      <c r="E239" s="126"/>
      <c r="F239" s="127"/>
      <c r="G239" s="126"/>
      <c r="H239" s="127"/>
      <c r="I239" s="126"/>
      <c r="J239" s="126"/>
      <c r="K239" s="127"/>
      <c r="L239" s="126"/>
      <c r="M239" s="126"/>
      <c r="N239" s="127"/>
      <c r="O239" s="126"/>
      <c r="P239" s="126"/>
      <c r="Q239" s="127"/>
      <c r="R239" s="126"/>
      <c r="S239" s="126"/>
      <c r="T239" s="127"/>
      <c r="U239" s="126"/>
      <c r="V239" s="126"/>
      <c r="W239" s="127"/>
      <c r="X239" s="126"/>
      <c r="Y239" s="126"/>
      <c r="Z239" s="127"/>
      <c r="AA239" s="126"/>
      <c r="AB239" s="126"/>
      <c r="AC239" s="127"/>
      <c r="AD239" s="126"/>
      <c r="AE239" s="126"/>
      <c r="AF239" s="126"/>
      <c r="AG239" s="127"/>
      <c r="AH239" s="126"/>
      <c r="AI239" s="126"/>
      <c r="AJ239" s="127"/>
      <c r="AK239" s="126"/>
      <c r="AL239" s="126"/>
      <c r="AM239" s="127"/>
      <c r="AN239" s="126"/>
      <c r="AO239" s="126"/>
      <c r="AP239" s="127"/>
      <c r="AQ239" s="126"/>
      <c r="AR239" s="126"/>
      <c r="AS239" s="127"/>
      <c r="AT239" s="126"/>
      <c r="AU239" s="126"/>
      <c r="AV239" s="127"/>
      <c r="AW239" s="126"/>
      <c r="AX239" s="126"/>
      <c r="AY239" s="127"/>
      <c r="AZ239" s="126"/>
      <c r="BA239" s="126"/>
      <c r="BB239" s="127"/>
      <c r="BC239" s="126"/>
      <c r="BD239" s="134"/>
      <c r="BE239" s="127"/>
      <c r="BF239" s="126"/>
      <c r="BG239" s="126"/>
      <c r="BH239" s="126"/>
      <c r="BI239" s="126"/>
      <c r="BJ239" s="126"/>
      <c r="BK239" s="126"/>
      <c r="BL239" s="126"/>
      <c r="BM239" s="126"/>
      <c r="BN239" s="126"/>
      <c r="BO239" s="126"/>
      <c r="BP239" s="126"/>
      <c r="BQ239" s="126"/>
      <c r="BR239" s="126"/>
      <c r="BS239" s="126"/>
      <c r="BT239" s="126"/>
      <c r="BU239" s="126"/>
      <c r="BV239" s="126"/>
      <c r="BW239" s="126"/>
      <c r="BX239" s="126"/>
    </row>
    <row r="240">
      <c r="A240" s="126"/>
      <c r="B240" s="126"/>
      <c r="C240" s="127"/>
      <c r="D240" s="126"/>
      <c r="E240" s="126"/>
      <c r="F240" s="127"/>
      <c r="G240" s="126"/>
      <c r="H240" s="127"/>
      <c r="I240" s="126"/>
      <c r="J240" s="126"/>
      <c r="K240" s="127"/>
      <c r="L240" s="126"/>
      <c r="M240" s="126"/>
      <c r="N240" s="127"/>
      <c r="O240" s="126"/>
      <c r="P240" s="126"/>
      <c r="Q240" s="127"/>
      <c r="R240" s="126"/>
      <c r="S240" s="126"/>
      <c r="T240" s="127"/>
      <c r="U240" s="126"/>
      <c r="V240" s="126"/>
      <c r="W240" s="127"/>
      <c r="X240" s="126"/>
      <c r="Y240" s="126"/>
      <c r="Z240" s="127"/>
      <c r="AA240" s="126"/>
      <c r="AB240" s="126"/>
      <c r="AC240" s="127"/>
      <c r="AD240" s="126"/>
      <c r="AE240" s="126"/>
      <c r="AF240" s="126"/>
      <c r="AG240" s="127"/>
      <c r="AH240" s="126"/>
      <c r="AI240" s="126"/>
      <c r="AJ240" s="127"/>
      <c r="AK240" s="126"/>
      <c r="AL240" s="126"/>
      <c r="AM240" s="127"/>
      <c r="AN240" s="126"/>
      <c r="AO240" s="126"/>
      <c r="AP240" s="127"/>
      <c r="AQ240" s="126"/>
      <c r="AR240" s="126"/>
      <c r="AS240" s="127"/>
      <c r="AT240" s="126"/>
      <c r="AU240" s="126"/>
      <c r="AV240" s="127"/>
      <c r="AW240" s="126"/>
      <c r="AX240" s="126"/>
      <c r="AY240" s="127"/>
      <c r="AZ240" s="126"/>
      <c r="BA240" s="126"/>
      <c r="BB240" s="127"/>
      <c r="BC240" s="126"/>
      <c r="BD240" s="134"/>
      <c r="BE240" s="127"/>
      <c r="BF240" s="126"/>
      <c r="BG240" s="126"/>
      <c r="BH240" s="126"/>
      <c r="BI240" s="126"/>
      <c r="BJ240" s="126"/>
      <c r="BK240" s="126"/>
      <c r="BL240" s="126"/>
      <c r="BM240" s="126"/>
      <c r="BN240" s="126"/>
      <c r="BO240" s="126"/>
      <c r="BP240" s="126"/>
      <c r="BQ240" s="126"/>
      <c r="BR240" s="126"/>
      <c r="BS240" s="126"/>
      <c r="BT240" s="126"/>
      <c r="BU240" s="126"/>
      <c r="BV240" s="126"/>
      <c r="BW240" s="126"/>
      <c r="BX240" s="126"/>
    </row>
    <row r="241">
      <c r="A241" s="126"/>
      <c r="B241" s="126"/>
      <c r="C241" s="127"/>
      <c r="D241" s="126"/>
      <c r="E241" s="126"/>
      <c r="F241" s="127"/>
      <c r="G241" s="126"/>
      <c r="H241" s="127"/>
      <c r="I241" s="126"/>
      <c r="J241" s="126"/>
      <c r="K241" s="127"/>
      <c r="L241" s="126"/>
      <c r="M241" s="126"/>
      <c r="N241" s="127"/>
      <c r="O241" s="126"/>
      <c r="P241" s="126"/>
      <c r="Q241" s="127"/>
      <c r="R241" s="126"/>
      <c r="S241" s="126"/>
      <c r="T241" s="127"/>
      <c r="U241" s="126"/>
      <c r="V241" s="126"/>
      <c r="W241" s="127"/>
      <c r="X241" s="126"/>
      <c r="Y241" s="126"/>
      <c r="Z241" s="127"/>
      <c r="AA241" s="126"/>
      <c r="AB241" s="126"/>
      <c r="AC241" s="127"/>
      <c r="AD241" s="126"/>
      <c r="AE241" s="126"/>
      <c r="AF241" s="126"/>
      <c r="AG241" s="127"/>
      <c r="AH241" s="126"/>
      <c r="AI241" s="126"/>
      <c r="AJ241" s="127"/>
      <c r="AK241" s="126"/>
      <c r="AL241" s="126"/>
      <c r="AM241" s="127"/>
      <c r="AN241" s="126"/>
      <c r="AO241" s="126"/>
      <c r="AP241" s="127"/>
      <c r="AQ241" s="126"/>
      <c r="AR241" s="126"/>
      <c r="AS241" s="127"/>
      <c r="AT241" s="126"/>
      <c r="AU241" s="126"/>
      <c r="AV241" s="127"/>
      <c r="AW241" s="126"/>
      <c r="AX241" s="126"/>
      <c r="AY241" s="127"/>
      <c r="AZ241" s="126"/>
      <c r="BA241" s="126"/>
      <c r="BB241" s="127"/>
      <c r="BC241" s="126"/>
      <c r="BD241" s="134"/>
      <c r="BE241" s="127"/>
      <c r="BF241" s="126"/>
      <c r="BG241" s="126"/>
      <c r="BH241" s="126"/>
      <c r="BI241" s="126"/>
      <c r="BJ241" s="126"/>
      <c r="BK241" s="126"/>
      <c r="BL241" s="126"/>
      <c r="BM241" s="126"/>
      <c r="BN241" s="126"/>
      <c r="BO241" s="126"/>
      <c r="BP241" s="126"/>
      <c r="BQ241" s="126"/>
      <c r="BR241" s="126"/>
      <c r="BS241" s="126"/>
      <c r="BT241" s="126"/>
      <c r="BU241" s="126"/>
      <c r="BV241" s="126"/>
      <c r="BW241" s="126"/>
      <c r="BX241" s="126"/>
    </row>
    <row r="242">
      <c r="A242" s="126"/>
      <c r="B242" s="126"/>
      <c r="C242" s="127"/>
      <c r="D242" s="126"/>
      <c r="E242" s="126"/>
      <c r="F242" s="127"/>
      <c r="G242" s="126"/>
      <c r="H242" s="127"/>
      <c r="I242" s="126"/>
      <c r="J242" s="126"/>
      <c r="K242" s="127"/>
      <c r="L242" s="126"/>
      <c r="M242" s="126"/>
      <c r="N242" s="127"/>
      <c r="O242" s="126"/>
      <c r="P242" s="126"/>
      <c r="Q242" s="127"/>
      <c r="R242" s="126"/>
      <c r="S242" s="126"/>
      <c r="T242" s="127"/>
      <c r="U242" s="126"/>
      <c r="V242" s="126"/>
      <c r="W242" s="127"/>
      <c r="X242" s="126"/>
      <c r="Y242" s="126"/>
      <c r="Z242" s="127"/>
      <c r="AA242" s="126"/>
      <c r="AB242" s="126"/>
      <c r="AC242" s="127"/>
      <c r="AD242" s="126"/>
      <c r="AE242" s="126"/>
      <c r="AF242" s="126"/>
      <c r="AG242" s="127"/>
      <c r="AH242" s="126"/>
      <c r="AI242" s="126"/>
      <c r="AJ242" s="127"/>
      <c r="AK242" s="126"/>
      <c r="AL242" s="126"/>
      <c r="AM242" s="127"/>
      <c r="AN242" s="126"/>
      <c r="AO242" s="126"/>
      <c r="AP242" s="127"/>
      <c r="AQ242" s="126"/>
      <c r="AR242" s="126"/>
      <c r="AS242" s="127"/>
      <c r="AT242" s="126"/>
      <c r="AU242" s="126"/>
      <c r="AV242" s="127"/>
      <c r="AW242" s="126"/>
      <c r="AX242" s="126"/>
      <c r="AY242" s="127"/>
      <c r="AZ242" s="126"/>
      <c r="BA242" s="126"/>
      <c r="BB242" s="127"/>
      <c r="BC242" s="126"/>
      <c r="BD242" s="134"/>
      <c r="BE242" s="127"/>
      <c r="BF242" s="126"/>
      <c r="BG242" s="126"/>
      <c r="BH242" s="126"/>
      <c r="BI242" s="126"/>
      <c r="BJ242" s="126"/>
      <c r="BK242" s="126"/>
      <c r="BL242" s="126"/>
      <c r="BM242" s="126"/>
      <c r="BN242" s="126"/>
      <c r="BO242" s="126"/>
      <c r="BP242" s="126"/>
      <c r="BQ242" s="126"/>
      <c r="BR242" s="126"/>
      <c r="BS242" s="126"/>
      <c r="BT242" s="126"/>
      <c r="BU242" s="126"/>
      <c r="BV242" s="126"/>
      <c r="BW242" s="126"/>
      <c r="BX242" s="126"/>
    </row>
    <row r="243">
      <c r="A243" s="126"/>
      <c r="B243" s="126"/>
      <c r="C243" s="127"/>
      <c r="D243" s="126"/>
      <c r="E243" s="126"/>
      <c r="F243" s="127"/>
      <c r="G243" s="126"/>
      <c r="H243" s="127"/>
      <c r="I243" s="126"/>
      <c r="J243" s="126"/>
      <c r="K243" s="127"/>
      <c r="L243" s="126"/>
      <c r="M243" s="126"/>
      <c r="N243" s="127"/>
      <c r="O243" s="126"/>
      <c r="P243" s="126"/>
      <c r="Q243" s="127"/>
      <c r="R243" s="126"/>
      <c r="S243" s="126"/>
      <c r="T243" s="127"/>
      <c r="U243" s="126"/>
      <c r="V243" s="126"/>
      <c r="W243" s="127"/>
      <c r="X243" s="126"/>
      <c r="Y243" s="126"/>
      <c r="Z243" s="127"/>
      <c r="AA243" s="126"/>
      <c r="AB243" s="126"/>
      <c r="AC243" s="127"/>
      <c r="AD243" s="126"/>
      <c r="AE243" s="126"/>
      <c r="AF243" s="126"/>
      <c r="AG243" s="127"/>
      <c r="AH243" s="126"/>
      <c r="AI243" s="126"/>
      <c r="AJ243" s="127"/>
      <c r="AK243" s="126"/>
      <c r="AL243" s="126"/>
      <c r="AM243" s="127"/>
      <c r="AN243" s="126"/>
      <c r="AO243" s="126"/>
      <c r="AP243" s="127"/>
      <c r="AQ243" s="126"/>
      <c r="AR243" s="126"/>
      <c r="AS243" s="127"/>
      <c r="AT243" s="126"/>
      <c r="AU243" s="126"/>
      <c r="AV243" s="127"/>
      <c r="AW243" s="126"/>
      <c r="AX243" s="126"/>
      <c r="AY243" s="127"/>
      <c r="AZ243" s="126"/>
      <c r="BA243" s="126"/>
      <c r="BB243" s="127"/>
      <c r="BC243" s="126"/>
      <c r="BD243" s="134"/>
      <c r="BE243" s="127"/>
      <c r="BF243" s="126"/>
      <c r="BG243" s="126"/>
      <c r="BH243" s="126"/>
      <c r="BI243" s="126"/>
      <c r="BJ243" s="126"/>
      <c r="BK243" s="126"/>
      <c r="BL243" s="126"/>
      <c r="BM243" s="126"/>
      <c r="BN243" s="126"/>
      <c r="BO243" s="126"/>
      <c r="BP243" s="126"/>
      <c r="BQ243" s="126"/>
      <c r="BR243" s="126"/>
      <c r="BS243" s="126"/>
      <c r="BT243" s="126"/>
      <c r="BU243" s="126"/>
      <c r="BV243" s="126"/>
      <c r="BW243" s="126"/>
      <c r="BX243" s="126"/>
    </row>
    <row r="244">
      <c r="A244" s="126"/>
      <c r="B244" s="126"/>
      <c r="C244" s="127"/>
      <c r="D244" s="126"/>
      <c r="E244" s="126"/>
      <c r="F244" s="127"/>
      <c r="G244" s="126"/>
      <c r="H244" s="127"/>
      <c r="I244" s="126"/>
      <c r="J244" s="126"/>
      <c r="K244" s="127"/>
      <c r="L244" s="126"/>
      <c r="M244" s="126"/>
      <c r="N244" s="127"/>
      <c r="O244" s="126"/>
      <c r="P244" s="126"/>
      <c r="Q244" s="127"/>
      <c r="R244" s="126"/>
      <c r="S244" s="126"/>
      <c r="T244" s="127"/>
      <c r="U244" s="126"/>
      <c r="V244" s="126"/>
      <c r="W244" s="127"/>
      <c r="X244" s="126"/>
      <c r="Y244" s="126"/>
      <c r="Z244" s="127"/>
      <c r="AA244" s="126"/>
      <c r="AB244" s="126"/>
      <c r="AC244" s="127"/>
      <c r="AD244" s="126"/>
      <c r="AE244" s="126"/>
      <c r="AF244" s="126"/>
      <c r="AG244" s="127"/>
      <c r="AH244" s="126"/>
      <c r="AI244" s="126"/>
      <c r="AJ244" s="127"/>
      <c r="AK244" s="126"/>
      <c r="AL244" s="126"/>
      <c r="AM244" s="127"/>
      <c r="AN244" s="126"/>
      <c r="AO244" s="126"/>
      <c r="AP244" s="127"/>
      <c r="AQ244" s="126"/>
      <c r="AR244" s="126"/>
      <c r="AS244" s="127"/>
      <c r="AT244" s="126"/>
      <c r="AU244" s="126"/>
      <c r="AV244" s="127"/>
      <c r="AW244" s="126"/>
      <c r="AX244" s="126"/>
      <c r="AY244" s="127"/>
      <c r="AZ244" s="126"/>
      <c r="BA244" s="126"/>
      <c r="BB244" s="127"/>
      <c r="BC244" s="126"/>
      <c r="BD244" s="134"/>
      <c r="BE244" s="127"/>
      <c r="BF244" s="126"/>
      <c r="BG244" s="126"/>
      <c r="BH244" s="126"/>
      <c r="BI244" s="126"/>
      <c r="BJ244" s="126"/>
      <c r="BK244" s="126"/>
      <c r="BL244" s="126"/>
      <c r="BM244" s="126"/>
      <c r="BN244" s="126"/>
      <c r="BO244" s="126"/>
      <c r="BP244" s="126"/>
      <c r="BQ244" s="126"/>
      <c r="BR244" s="126"/>
      <c r="BS244" s="126"/>
      <c r="BT244" s="126"/>
      <c r="BU244" s="126"/>
      <c r="BV244" s="126"/>
      <c r="BW244" s="126"/>
      <c r="BX244" s="126"/>
    </row>
    <row r="245">
      <c r="A245" s="126"/>
      <c r="B245" s="126"/>
      <c r="C245" s="127"/>
      <c r="D245" s="126"/>
      <c r="E245" s="126"/>
      <c r="F245" s="127"/>
      <c r="G245" s="126"/>
      <c r="H245" s="127"/>
      <c r="I245" s="126"/>
      <c r="J245" s="126"/>
      <c r="K245" s="127"/>
      <c r="L245" s="126"/>
      <c r="M245" s="126"/>
      <c r="N245" s="127"/>
      <c r="O245" s="126"/>
      <c r="P245" s="126"/>
      <c r="Q245" s="127"/>
      <c r="R245" s="126"/>
      <c r="S245" s="126"/>
      <c r="T245" s="127"/>
      <c r="U245" s="126"/>
      <c r="V245" s="126"/>
      <c r="W245" s="127"/>
      <c r="X245" s="126"/>
      <c r="Y245" s="126"/>
      <c r="Z245" s="127"/>
      <c r="AA245" s="126"/>
      <c r="AB245" s="126"/>
      <c r="AC245" s="127"/>
      <c r="AD245" s="126"/>
      <c r="AE245" s="126"/>
      <c r="AF245" s="126"/>
      <c r="AG245" s="127"/>
      <c r="AH245" s="126"/>
      <c r="AI245" s="126"/>
      <c r="AJ245" s="127"/>
      <c r="AK245" s="126"/>
      <c r="AL245" s="126"/>
      <c r="AM245" s="127"/>
      <c r="AN245" s="126"/>
      <c r="AO245" s="126"/>
      <c r="AP245" s="127"/>
      <c r="AQ245" s="126"/>
      <c r="AR245" s="126"/>
      <c r="AS245" s="127"/>
      <c r="AT245" s="126"/>
      <c r="AU245" s="126"/>
      <c r="AV245" s="127"/>
      <c r="AW245" s="126"/>
      <c r="AX245" s="126"/>
      <c r="AY245" s="127"/>
      <c r="AZ245" s="126"/>
      <c r="BA245" s="126"/>
      <c r="BB245" s="127"/>
      <c r="BC245" s="126"/>
      <c r="BD245" s="134"/>
      <c r="BE245" s="127"/>
      <c r="BF245" s="126"/>
      <c r="BG245" s="126"/>
      <c r="BH245" s="126"/>
      <c r="BI245" s="126"/>
      <c r="BJ245" s="126"/>
      <c r="BK245" s="126"/>
      <c r="BL245" s="126"/>
      <c r="BM245" s="126"/>
      <c r="BN245" s="126"/>
      <c r="BO245" s="126"/>
      <c r="BP245" s="126"/>
      <c r="BQ245" s="126"/>
      <c r="BR245" s="126"/>
      <c r="BS245" s="126"/>
      <c r="BT245" s="126"/>
      <c r="BU245" s="126"/>
      <c r="BV245" s="126"/>
      <c r="BW245" s="126"/>
      <c r="BX245" s="126"/>
    </row>
    <row r="246">
      <c r="A246" s="126"/>
      <c r="B246" s="126"/>
      <c r="C246" s="127"/>
      <c r="D246" s="126"/>
      <c r="E246" s="126"/>
      <c r="F246" s="127"/>
      <c r="G246" s="126"/>
      <c r="H246" s="127"/>
      <c r="I246" s="126"/>
      <c r="J246" s="126"/>
      <c r="K246" s="127"/>
      <c r="L246" s="126"/>
      <c r="M246" s="126"/>
      <c r="N246" s="127"/>
      <c r="O246" s="126"/>
      <c r="P246" s="126"/>
      <c r="Q246" s="127"/>
      <c r="R246" s="126"/>
      <c r="S246" s="126"/>
      <c r="T246" s="127"/>
      <c r="U246" s="126"/>
      <c r="V246" s="126"/>
      <c r="W246" s="127"/>
      <c r="X246" s="126"/>
      <c r="Y246" s="126"/>
      <c r="Z246" s="127"/>
      <c r="AA246" s="126"/>
      <c r="AB246" s="126"/>
      <c r="AC246" s="127"/>
      <c r="AD246" s="126"/>
      <c r="AE246" s="126"/>
      <c r="AF246" s="126"/>
      <c r="AG246" s="127"/>
      <c r="AH246" s="126"/>
      <c r="AI246" s="126"/>
      <c r="AJ246" s="127"/>
      <c r="AK246" s="126"/>
      <c r="AL246" s="126"/>
      <c r="AM246" s="127"/>
      <c r="AN246" s="126"/>
      <c r="AO246" s="126"/>
      <c r="AP246" s="127"/>
      <c r="AQ246" s="126"/>
      <c r="AR246" s="126"/>
      <c r="AS246" s="127"/>
      <c r="AT246" s="126"/>
      <c r="AU246" s="126"/>
      <c r="AV246" s="127"/>
      <c r="AW246" s="126"/>
      <c r="AX246" s="126"/>
      <c r="AY246" s="127"/>
      <c r="AZ246" s="126"/>
      <c r="BA246" s="126"/>
      <c r="BB246" s="127"/>
      <c r="BC246" s="126"/>
      <c r="BD246" s="134"/>
      <c r="BE246" s="127"/>
      <c r="BF246" s="126"/>
      <c r="BG246" s="126"/>
      <c r="BH246" s="126"/>
      <c r="BI246" s="126"/>
      <c r="BJ246" s="126"/>
      <c r="BK246" s="126"/>
      <c r="BL246" s="126"/>
      <c r="BM246" s="126"/>
      <c r="BN246" s="126"/>
      <c r="BO246" s="126"/>
      <c r="BP246" s="126"/>
      <c r="BQ246" s="126"/>
      <c r="BR246" s="126"/>
      <c r="BS246" s="126"/>
      <c r="BT246" s="126"/>
      <c r="BU246" s="126"/>
      <c r="BV246" s="126"/>
      <c r="BW246" s="126"/>
      <c r="BX246" s="126"/>
    </row>
    <row r="247">
      <c r="A247" s="126"/>
      <c r="B247" s="126"/>
      <c r="C247" s="127"/>
      <c r="D247" s="126"/>
      <c r="E247" s="126"/>
      <c r="F247" s="127"/>
      <c r="G247" s="126"/>
      <c r="H247" s="127"/>
      <c r="I247" s="126"/>
      <c r="J247" s="126"/>
      <c r="K247" s="127"/>
      <c r="L247" s="126"/>
      <c r="M247" s="126"/>
      <c r="N247" s="127"/>
      <c r="O247" s="126"/>
      <c r="P247" s="126"/>
      <c r="Q247" s="127"/>
      <c r="R247" s="126"/>
      <c r="S247" s="126"/>
      <c r="T247" s="127"/>
      <c r="U247" s="126"/>
      <c r="V247" s="126"/>
      <c r="W247" s="127"/>
      <c r="X247" s="126"/>
      <c r="Y247" s="126"/>
      <c r="Z247" s="127"/>
      <c r="AA247" s="126"/>
      <c r="AB247" s="126"/>
      <c r="AC247" s="127"/>
      <c r="AD247" s="126"/>
      <c r="AE247" s="126"/>
      <c r="AF247" s="126"/>
      <c r="AG247" s="127"/>
      <c r="AH247" s="126"/>
      <c r="AI247" s="126"/>
      <c r="AJ247" s="127"/>
      <c r="AK247" s="126"/>
      <c r="AL247" s="126"/>
      <c r="AM247" s="127"/>
      <c r="AN247" s="126"/>
      <c r="AO247" s="126"/>
      <c r="AP247" s="127"/>
      <c r="AQ247" s="126"/>
      <c r="AR247" s="126"/>
      <c r="AS247" s="127"/>
      <c r="AT247" s="126"/>
      <c r="AU247" s="126"/>
      <c r="AV247" s="127"/>
      <c r="AW247" s="126"/>
      <c r="AX247" s="126"/>
      <c r="AY247" s="127"/>
      <c r="AZ247" s="126"/>
      <c r="BA247" s="126"/>
      <c r="BB247" s="127"/>
      <c r="BC247" s="126"/>
      <c r="BD247" s="134"/>
      <c r="BE247" s="127"/>
      <c r="BF247" s="126"/>
      <c r="BG247" s="126"/>
      <c r="BH247" s="126"/>
      <c r="BI247" s="126"/>
      <c r="BJ247" s="126"/>
      <c r="BK247" s="126"/>
      <c r="BL247" s="126"/>
      <c r="BM247" s="126"/>
      <c r="BN247" s="126"/>
      <c r="BO247" s="126"/>
      <c r="BP247" s="126"/>
      <c r="BQ247" s="126"/>
      <c r="BR247" s="126"/>
      <c r="BS247" s="126"/>
      <c r="BT247" s="126"/>
      <c r="BU247" s="126"/>
      <c r="BV247" s="126"/>
      <c r="BW247" s="126"/>
      <c r="BX247" s="126"/>
    </row>
    <row r="248">
      <c r="A248" s="126"/>
      <c r="B248" s="126"/>
      <c r="C248" s="127"/>
      <c r="D248" s="126"/>
      <c r="E248" s="126"/>
      <c r="F248" s="127"/>
      <c r="G248" s="126"/>
      <c r="H248" s="127"/>
      <c r="I248" s="126"/>
      <c r="J248" s="126"/>
      <c r="K248" s="127"/>
      <c r="L248" s="126"/>
      <c r="M248" s="126"/>
      <c r="N248" s="127"/>
      <c r="O248" s="126"/>
      <c r="P248" s="126"/>
      <c r="Q248" s="127"/>
      <c r="R248" s="126"/>
      <c r="S248" s="126"/>
      <c r="T248" s="127"/>
      <c r="U248" s="126"/>
      <c r="V248" s="126"/>
      <c r="W248" s="127"/>
      <c r="X248" s="126"/>
      <c r="Y248" s="126"/>
      <c r="Z248" s="127"/>
      <c r="AA248" s="126"/>
      <c r="AB248" s="126"/>
      <c r="AC248" s="127"/>
      <c r="AD248" s="126"/>
      <c r="AE248" s="126"/>
      <c r="AF248" s="126"/>
      <c r="AG248" s="127"/>
      <c r="AH248" s="126"/>
      <c r="AI248" s="126"/>
      <c r="AJ248" s="127"/>
      <c r="AK248" s="126"/>
      <c r="AL248" s="126"/>
      <c r="AM248" s="127"/>
      <c r="AN248" s="126"/>
      <c r="AO248" s="126"/>
      <c r="AP248" s="127"/>
      <c r="AQ248" s="126"/>
      <c r="AR248" s="126"/>
      <c r="AS248" s="127"/>
      <c r="AT248" s="126"/>
      <c r="AU248" s="126"/>
      <c r="AV248" s="127"/>
      <c r="AW248" s="126"/>
      <c r="AX248" s="126"/>
      <c r="AY248" s="127"/>
      <c r="AZ248" s="126"/>
      <c r="BA248" s="126"/>
      <c r="BB248" s="127"/>
      <c r="BC248" s="126"/>
      <c r="BD248" s="134"/>
      <c r="BE248" s="127"/>
      <c r="BF248" s="126"/>
      <c r="BG248" s="126"/>
      <c r="BH248" s="126"/>
      <c r="BI248" s="126"/>
      <c r="BJ248" s="126"/>
      <c r="BK248" s="126"/>
      <c r="BL248" s="126"/>
      <c r="BM248" s="126"/>
      <c r="BN248" s="126"/>
      <c r="BO248" s="126"/>
      <c r="BP248" s="126"/>
      <c r="BQ248" s="126"/>
      <c r="BR248" s="126"/>
      <c r="BS248" s="126"/>
      <c r="BT248" s="126"/>
      <c r="BU248" s="126"/>
      <c r="BV248" s="126"/>
      <c r="BW248" s="126"/>
      <c r="BX248" s="126"/>
    </row>
    <row r="249">
      <c r="A249" s="126"/>
      <c r="B249" s="126"/>
      <c r="C249" s="127"/>
      <c r="D249" s="126"/>
      <c r="E249" s="126"/>
      <c r="F249" s="127"/>
      <c r="G249" s="126"/>
      <c r="H249" s="127"/>
      <c r="I249" s="126"/>
      <c r="J249" s="126"/>
      <c r="K249" s="127"/>
      <c r="L249" s="126"/>
      <c r="M249" s="126"/>
      <c r="N249" s="127"/>
      <c r="O249" s="126"/>
      <c r="P249" s="126"/>
      <c r="Q249" s="127"/>
      <c r="R249" s="126"/>
      <c r="S249" s="126"/>
      <c r="T249" s="127"/>
      <c r="U249" s="126"/>
      <c r="V249" s="126"/>
      <c r="W249" s="127"/>
      <c r="X249" s="126"/>
      <c r="Y249" s="126"/>
      <c r="Z249" s="127"/>
      <c r="AA249" s="126"/>
      <c r="AB249" s="126"/>
      <c r="AC249" s="127"/>
      <c r="AD249" s="126"/>
      <c r="AE249" s="126"/>
      <c r="AF249" s="126"/>
      <c r="AG249" s="127"/>
      <c r="AH249" s="126"/>
      <c r="AI249" s="126"/>
      <c r="AJ249" s="127"/>
      <c r="AK249" s="126"/>
      <c r="AL249" s="126"/>
      <c r="AM249" s="127"/>
      <c r="AN249" s="126"/>
      <c r="AO249" s="126"/>
      <c r="AP249" s="127"/>
      <c r="AQ249" s="126"/>
      <c r="AR249" s="126"/>
      <c r="AS249" s="127"/>
      <c r="AT249" s="126"/>
      <c r="AU249" s="126"/>
      <c r="AV249" s="127"/>
      <c r="AW249" s="126"/>
      <c r="AX249" s="126"/>
      <c r="AY249" s="127"/>
      <c r="AZ249" s="126"/>
      <c r="BA249" s="126"/>
      <c r="BB249" s="127"/>
      <c r="BC249" s="126"/>
      <c r="BD249" s="134"/>
      <c r="BE249" s="127"/>
      <c r="BF249" s="126"/>
      <c r="BG249" s="126"/>
      <c r="BH249" s="126"/>
      <c r="BI249" s="126"/>
      <c r="BJ249" s="126"/>
      <c r="BK249" s="126"/>
      <c r="BL249" s="126"/>
      <c r="BM249" s="126"/>
      <c r="BN249" s="126"/>
      <c r="BO249" s="126"/>
      <c r="BP249" s="126"/>
      <c r="BQ249" s="126"/>
      <c r="BR249" s="126"/>
      <c r="BS249" s="126"/>
      <c r="BT249" s="126"/>
      <c r="BU249" s="126"/>
      <c r="BV249" s="126"/>
      <c r="BW249" s="126"/>
      <c r="BX249" s="126"/>
    </row>
    <row r="250">
      <c r="A250" s="126"/>
      <c r="B250" s="126"/>
      <c r="C250" s="127"/>
      <c r="D250" s="126"/>
      <c r="E250" s="126"/>
      <c r="F250" s="127"/>
      <c r="G250" s="126"/>
      <c r="H250" s="127"/>
      <c r="I250" s="126"/>
      <c r="J250" s="126"/>
      <c r="K250" s="127"/>
      <c r="L250" s="126"/>
      <c r="M250" s="126"/>
      <c r="N250" s="127"/>
      <c r="O250" s="126"/>
      <c r="P250" s="126"/>
      <c r="Q250" s="127"/>
      <c r="R250" s="126"/>
      <c r="S250" s="126"/>
      <c r="T250" s="127"/>
      <c r="U250" s="126"/>
      <c r="V250" s="126"/>
      <c r="W250" s="127"/>
      <c r="X250" s="126"/>
      <c r="Y250" s="126"/>
      <c r="Z250" s="127"/>
      <c r="AA250" s="126"/>
      <c r="AB250" s="126"/>
      <c r="AC250" s="127"/>
      <c r="AD250" s="126"/>
      <c r="AE250" s="126"/>
      <c r="AF250" s="126"/>
      <c r="AG250" s="127"/>
      <c r="AH250" s="126"/>
      <c r="AI250" s="126"/>
      <c r="AJ250" s="127"/>
      <c r="AK250" s="126"/>
      <c r="AL250" s="126"/>
      <c r="AM250" s="127"/>
      <c r="AN250" s="126"/>
      <c r="AO250" s="126"/>
      <c r="AP250" s="127"/>
      <c r="AQ250" s="126"/>
      <c r="AR250" s="126"/>
      <c r="AS250" s="127"/>
      <c r="AT250" s="126"/>
      <c r="AU250" s="126"/>
      <c r="AV250" s="127"/>
      <c r="AW250" s="126"/>
      <c r="AX250" s="126"/>
      <c r="AY250" s="127"/>
      <c r="AZ250" s="126"/>
      <c r="BA250" s="126"/>
      <c r="BB250" s="127"/>
      <c r="BC250" s="126"/>
      <c r="BD250" s="134"/>
      <c r="BE250" s="127"/>
      <c r="BF250" s="126"/>
      <c r="BG250" s="126"/>
      <c r="BH250" s="126"/>
      <c r="BI250" s="126"/>
      <c r="BJ250" s="126"/>
      <c r="BK250" s="126"/>
      <c r="BL250" s="126"/>
      <c r="BM250" s="126"/>
      <c r="BN250" s="126"/>
      <c r="BO250" s="126"/>
      <c r="BP250" s="126"/>
      <c r="BQ250" s="126"/>
      <c r="BR250" s="126"/>
      <c r="BS250" s="126"/>
      <c r="BT250" s="126"/>
      <c r="BU250" s="126"/>
      <c r="BV250" s="126"/>
      <c r="BW250" s="126"/>
      <c r="BX250" s="126"/>
    </row>
    <row r="251">
      <c r="A251" s="126"/>
      <c r="B251" s="126"/>
      <c r="C251" s="127"/>
      <c r="D251" s="126"/>
      <c r="E251" s="126"/>
      <c r="F251" s="127"/>
      <c r="G251" s="126"/>
      <c r="H251" s="127"/>
      <c r="I251" s="126"/>
      <c r="J251" s="126"/>
      <c r="K251" s="127"/>
      <c r="L251" s="126"/>
      <c r="M251" s="126"/>
      <c r="N251" s="127"/>
      <c r="O251" s="126"/>
      <c r="P251" s="126"/>
      <c r="Q251" s="127"/>
      <c r="R251" s="126"/>
      <c r="S251" s="126"/>
      <c r="T251" s="127"/>
      <c r="U251" s="126"/>
      <c r="V251" s="126"/>
      <c r="W251" s="127"/>
      <c r="X251" s="126"/>
      <c r="Y251" s="126"/>
      <c r="Z251" s="127"/>
      <c r="AA251" s="126"/>
      <c r="AB251" s="126"/>
      <c r="AC251" s="127"/>
      <c r="AD251" s="126"/>
      <c r="AE251" s="126"/>
      <c r="AF251" s="126"/>
      <c r="AG251" s="127"/>
      <c r="AH251" s="126"/>
      <c r="AI251" s="126"/>
      <c r="AJ251" s="127"/>
      <c r="AK251" s="126"/>
      <c r="AL251" s="126"/>
      <c r="AM251" s="127"/>
      <c r="AN251" s="126"/>
      <c r="AO251" s="126"/>
      <c r="AP251" s="127"/>
      <c r="AQ251" s="126"/>
      <c r="AR251" s="126"/>
      <c r="AS251" s="127"/>
      <c r="AT251" s="126"/>
      <c r="AU251" s="126"/>
      <c r="AV251" s="127"/>
      <c r="AW251" s="126"/>
      <c r="AX251" s="126"/>
      <c r="AY251" s="127"/>
      <c r="AZ251" s="126"/>
      <c r="BA251" s="126"/>
      <c r="BB251" s="127"/>
      <c r="BC251" s="126"/>
      <c r="BD251" s="134"/>
      <c r="BE251" s="127"/>
      <c r="BF251" s="126"/>
      <c r="BG251" s="126"/>
      <c r="BH251" s="126"/>
      <c r="BI251" s="126"/>
      <c r="BJ251" s="126"/>
      <c r="BK251" s="126"/>
      <c r="BL251" s="126"/>
      <c r="BM251" s="126"/>
      <c r="BN251" s="126"/>
      <c r="BO251" s="126"/>
      <c r="BP251" s="126"/>
      <c r="BQ251" s="126"/>
      <c r="BR251" s="126"/>
      <c r="BS251" s="126"/>
      <c r="BT251" s="126"/>
      <c r="BU251" s="126"/>
      <c r="BV251" s="126"/>
      <c r="BW251" s="126"/>
      <c r="BX251" s="126"/>
    </row>
    <row r="252">
      <c r="A252" s="126"/>
      <c r="B252" s="126"/>
      <c r="C252" s="127"/>
      <c r="D252" s="126"/>
      <c r="E252" s="126"/>
      <c r="F252" s="127"/>
      <c r="G252" s="126"/>
      <c r="H252" s="127"/>
      <c r="I252" s="126"/>
      <c r="J252" s="126"/>
      <c r="K252" s="127"/>
      <c r="L252" s="126"/>
      <c r="M252" s="126"/>
      <c r="N252" s="127"/>
      <c r="O252" s="126"/>
      <c r="P252" s="126"/>
      <c r="Q252" s="127"/>
      <c r="R252" s="126"/>
      <c r="S252" s="126"/>
      <c r="T252" s="127"/>
      <c r="U252" s="126"/>
      <c r="V252" s="126"/>
      <c r="W252" s="127"/>
      <c r="X252" s="126"/>
      <c r="Y252" s="126"/>
      <c r="Z252" s="127"/>
      <c r="AA252" s="126"/>
      <c r="AB252" s="126"/>
      <c r="AC252" s="127"/>
      <c r="AD252" s="126"/>
      <c r="AE252" s="126"/>
      <c r="AF252" s="126"/>
      <c r="AG252" s="127"/>
      <c r="AH252" s="126"/>
      <c r="AI252" s="126"/>
      <c r="AJ252" s="127"/>
      <c r="AK252" s="126"/>
      <c r="AL252" s="126"/>
      <c r="AM252" s="127"/>
      <c r="AN252" s="126"/>
      <c r="AO252" s="126"/>
      <c r="AP252" s="127"/>
      <c r="AQ252" s="126"/>
      <c r="AR252" s="126"/>
      <c r="AS252" s="127"/>
      <c r="AT252" s="126"/>
      <c r="AU252" s="126"/>
      <c r="AV252" s="127"/>
      <c r="AW252" s="126"/>
      <c r="AX252" s="126"/>
      <c r="AY252" s="127"/>
      <c r="AZ252" s="126"/>
      <c r="BA252" s="126"/>
      <c r="BB252" s="127"/>
      <c r="BC252" s="126"/>
      <c r="BD252" s="134"/>
      <c r="BE252" s="127"/>
      <c r="BF252" s="126"/>
      <c r="BG252" s="126"/>
      <c r="BH252" s="126"/>
      <c r="BI252" s="126"/>
      <c r="BJ252" s="126"/>
      <c r="BK252" s="126"/>
      <c r="BL252" s="126"/>
      <c r="BM252" s="126"/>
      <c r="BN252" s="126"/>
      <c r="BO252" s="126"/>
      <c r="BP252" s="126"/>
      <c r="BQ252" s="126"/>
      <c r="BR252" s="126"/>
      <c r="BS252" s="126"/>
      <c r="BT252" s="126"/>
      <c r="BU252" s="126"/>
      <c r="BV252" s="126"/>
      <c r="BW252" s="126"/>
      <c r="BX252" s="126"/>
    </row>
    <row r="253">
      <c r="A253" s="126"/>
      <c r="B253" s="126"/>
      <c r="C253" s="127"/>
      <c r="D253" s="126"/>
      <c r="E253" s="126"/>
      <c r="F253" s="127"/>
      <c r="G253" s="126"/>
      <c r="H253" s="127"/>
      <c r="I253" s="126"/>
      <c r="J253" s="126"/>
      <c r="K253" s="127"/>
      <c r="L253" s="126"/>
      <c r="M253" s="126"/>
      <c r="N253" s="127"/>
      <c r="O253" s="126"/>
      <c r="P253" s="126"/>
      <c r="Q253" s="127"/>
      <c r="R253" s="126"/>
      <c r="S253" s="126"/>
      <c r="T253" s="127"/>
      <c r="U253" s="126"/>
      <c r="V253" s="126"/>
      <c r="W253" s="127"/>
      <c r="X253" s="126"/>
      <c r="Y253" s="126"/>
      <c r="Z253" s="127"/>
      <c r="AA253" s="126"/>
      <c r="AB253" s="126"/>
      <c r="AC253" s="127"/>
      <c r="AD253" s="126"/>
      <c r="AE253" s="126"/>
      <c r="AF253" s="126"/>
      <c r="AG253" s="127"/>
      <c r="AH253" s="126"/>
      <c r="AI253" s="126"/>
      <c r="AJ253" s="127"/>
      <c r="AK253" s="126"/>
      <c r="AL253" s="126"/>
      <c r="AM253" s="127"/>
      <c r="AN253" s="126"/>
      <c r="AO253" s="126"/>
      <c r="AP253" s="127"/>
      <c r="AQ253" s="126"/>
      <c r="AR253" s="126"/>
      <c r="AS253" s="127"/>
      <c r="AT253" s="126"/>
      <c r="AU253" s="126"/>
      <c r="AV253" s="127"/>
      <c r="AW253" s="126"/>
      <c r="AX253" s="126"/>
      <c r="AY253" s="127"/>
      <c r="AZ253" s="126"/>
      <c r="BA253" s="126"/>
      <c r="BB253" s="127"/>
      <c r="BC253" s="126"/>
      <c r="BD253" s="134"/>
      <c r="BE253" s="127"/>
      <c r="BF253" s="126"/>
      <c r="BG253" s="126"/>
      <c r="BH253" s="126"/>
      <c r="BI253" s="126"/>
      <c r="BJ253" s="126"/>
      <c r="BK253" s="126"/>
      <c r="BL253" s="126"/>
      <c r="BM253" s="126"/>
      <c r="BN253" s="126"/>
      <c r="BO253" s="126"/>
      <c r="BP253" s="126"/>
      <c r="BQ253" s="126"/>
      <c r="BR253" s="126"/>
      <c r="BS253" s="126"/>
      <c r="BT253" s="126"/>
      <c r="BU253" s="126"/>
      <c r="BV253" s="126"/>
      <c r="BW253" s="126"/>
      <c r="BX253" s="126"/>
    </row>
    <row r="254">
      <c r="A254" s="126"/>
      <c r="B254" s="126"/>
      <c r="C254" s="127"/>
      <c r="D254" s="126"/>
      <c r="E254" s="126"/>
      <c r="F254" s="127"/>
      <c r="G254" s="126"/>
      <c r="H254" s="127"/>
      <c r="I254" s="126"/>
      <c r="J254" s="126"/>
      <c r="K254" s="127"/>
      <c r="L254" s="126"/>
      <c r="M254" s="126"/>
      <c r="N254" s="127"/>
      <c r="O254" s="126"/>
      <c r="P254" s="126"/>
      <c r="Q254" s="127"/>
      <c r="R254" s="126"/>
      <c r="S254" s="126"/>
      <c r="T254" s="127"/>
      <c r="U254" s="126"/>
      <c r="V254" s="126"/>
      <c r="W254" s="127"/>
      <c r="X254" s="126"/>
      <c r="Y254" s="126"/>
      <c r="Z254" s="127"/>
      <c r="AA254" s="126"/>
      <c r="AB254" s="126"/>
      <c r="AC254" s="127"/>
      <c r="AD254" s="126"/>
      <c r="AE254" s="126"/>
      <c r="AF254" s="126"/>
      <c r="AG254" s="127"/>
      <c r="AH254" s="126"/>
      <c r="AI254" s="126"/>
      <c r="AJ254" s="127"/>
      <c r="AK254" s="126"/>
      <c r="AL254" s="126"/>
      <c r="AM254" s="127"/>
      <c r="AN254" s="126"/>
      <c r="AO254" s="126"/>
      <c r="AP254" s="127"/>
      <c r="AQ254" s="126"/>
      <c r="AR254" s="126"/>
      <c r="AS254" s="127"/>
      <c r="AT254" s="126"/>
      <c r="AU254" s="126"/>
      <c r="AV254" s="127"/>
      <c r="AW254" s="126"/>
      <c r="AX254" s="126"/>
      <c r="AY254" s="127"/>
      <c r="AZ254" s="126"/>
      <c r="BA254" s="126"/>
      <c r="BB254" s="127"/>
      <c r="BC254" s="126"/>
      <c r="BD254" s="134"/>
      <c r="BE254" s="127"/>
      <c r="BF254" s="126"/>
      <c r="BG254" s="126"/>
      <c r="BH254" s="126"/>
      <c r="BI254" s="126"/>
      <c r="BJ254" s="126"/>
      <c r="BK254" s="126"/>
      <c r="BL254" s="126"/>
      <c r="BM254" s="126"/>
      <c r="BN254" s="126"/>
      <c r="BO254" s="126"/>
      <c r="BP254" s="126"/>
      <c r="BQ254" s="126"/>
      <c r="BR254" s="126"/>
      <c r="BS254" s="126"/>
      <c r="BT254" s="126"/>
      <c r="BU254" s="126"/>
      <c r="BV254" s="126"/>
      <c r="BW254" s="126"/>
      <c r="BX254" s="126"/>
    </row>
    <row r="255">
      <c r="A255" s="126"/>
      <c r="B255" s="126"/>
      <c r="C255" s="127"/>
      <c r="D255" s="126"/>
      <c r="E255" s="126"/>
      <c r="F255" s="127"/>
      <c r="G255" s="126"/>
      <c r="H255" s="127"/>
      <c r="I255" s="126"/>
      <c r="J255" s="126"/>
      <c r="K255" s="127"/>
      <c r="L255" s="126"/>
      <c r="M255" s="126"/>
      <c r="N255" s="127"/>
      <c r="O255" s="126"/>
      <c r="P255" s="126"/>
      <c r="Q255" s="127"/>
      <c r="R255" s="126"/>
      <c r="S255" s="126"/>
      <c r="T255" s="127"/>
      <c r="U255" s="126"/>
      <c r="V255" s="126"/>
      <c r="W255" s="127"/>
      <c r="X255" s="126"/>
      <c r="Y255" s="126"/>
      <c r="Z255" s="127"/>
      <c r="AA255" s="126"/>
      <c r="AB255" s="126"/>
      <c r="AC255" s="127"/>
      <c r="AD255" s="126"/>
      <c r="AE255" s="126"/>
      <c r="AF255" s="126"/>
      <c r="AG255" s="127"/>
      <c r="AH255" s="126"/>
      <c r="AI255" s="126"/>
      <c r="AJ255" s="127"/>
      <c r="AK255" s="126"/>
      <c r="AL255" s="126"/>
      <c r="AM255" s="127"/>
      <c r="AN255" s="126"/>
      <c r="AO255" s="126"/>
      <c r="AP255" s="127"/>
      <c r="AQ255" s="126"/>
      <c r="AR255" s="126"/>
      <c r="AS255" s="127"/>
      <c r="AT255" s="126"/>
      <c r="AU255" s="126"/>
      <c r="AV255" s="127"/>
      <c r="AW255" s="126"/>
      <c r="AX255" s="126"/>
      <c r="AY255" s="127"/>
      <c r="AZ255" s="126"/>
      <c r="BA255" s="126"/>
      <c r="BB255" s="127"/>
      <c r="BC255" s="126"/>
      <c r="BD255" s="134"/>
      <c r="BE255" s="127"/>
      <c r="BF255" s="126"/>
      <c r="BG255" s="126"/>
      <c r="BH255" s="126"/>
      <c r="BI255" s="126"/>
      <c r="BJ255" s="126"/>
      <c r="BK255" s="126"/>
      <c r="BL255" s="126"/>
      <c r="BM255" s="126"/>
      <c r="BN255" s="126"/>
      <c r="BO255" s="126"/>
      <c r="BP255" s="126"/>
      <c r="BQ255" s="126"/>
      <c r="BR255" s="126"/>
      <c r="BS255" s="126"/>
      <c r="BT255" s="126"/>
      <c r="BU255" s="126"/>
      <c r="BV255" s="126"/>
      <c r="BW255" s="126"/>
      <c r="BX255" s="126"/>
    </row>
    <row r="256">
      <c r="A256" s="126"/>
      <c r="B256" s="126"/>
      <c r="C256" s="127"/>
      <c r="D256" s="126"/>
      <c r="E256" s="126"/>
      <c r="F256" s="127"/>
      <c r="G256" s="126"/>
      <c r="H256" s="127"/>
      <c r="I256" s="126"/>
      <c r="J256" s="126"/>
      <c r="K256" s="127"/>
      <c r="L256" s="126"/>
      <c r="M256" s="126"/>
      <c r="N256" s="127"/>
      <c r="O256" s="126"/>
      <c r="P256" s="126"/>
      <c r="Q256" s="127"/>
      <c r="R256" s="126"/>
      <c r="S256" s="126"/>
      <c r="T256" s="127"/>
      <c r="U256" s="126"/>
      <c r="V256" s="126"/>
      <c r="W256" s="127"/>
      <c r="X256" s="126"/>
      <c r="Y256" s="126"/>
      <c r="Z256" s="127"/>
      <c r="AA256" s="126"/>
      <c r="AB256" s="126"/>
      <c r="AC256" s="127"/>
      <c r="AD256" s="126"/>
      <c r="AE256" s="126"/>
      <c r="AF256" s="126"/>
      <c r="AG256" s="127"/>
      <c r="AH256" s="126"/>
      <c r="AI256" s="126"/>
      <c r="AJ256" s="127"/>
      <c r="AK256" s="126"/>
      <c r="AL256" s="126"/>
      <c r="AM256" s="127"/>
      <c r="AN256" s="126"/>
      <c r="AO256" s="126"/>
      <c r="AP256" s="127"/>
      <c r="AQ256" s="126"/>
      <c r="AR256" s="126"/>
      <c r="AS256" s="127"/>
      <c r="AT256" s="126"/>
      <c r="AU256" s="126"/>
      <c r="AV256" s="127"/>
      <c r="AW256" s="126"/>
      <c r="AX256" s="126"/>
      <c r="AY256" s="127"/>
      <c r="AZ256" s="126"/>
      <c r="BA256" s="126"/>
      <c r="BB256" s="127"/>
      <c r="BC256" s="126"/>
      <c r="BD256" s="134"/>
      <c r="BE256" s="127"/>
      <c r="BF256" s="126"/>
      <c r="BG256" s="126"/>
      <c r="BH256" s="126"/>
      <c r="BI256" s="126"/>
      <c r="BJ256" s="126"/>
      <c r="BK256" s="126"/>
      <c r="BL256" s="126"/>
      <c r="BM256" s="126"/>
      <c r="BN256" s="126"/>
      <c r="BO256" s="126"/>
      <c r="BP256" s="126"/>
      <c r="BQ256" s="126"/>
      <c r="BR256" s="126"/>
      <c r="BS256" s="126"/>
      <c r="BT256" s="126"/>
      <c r="BU256" s="126"/>
      <c r="BV256" s="126"/>
      <c r="BW256" s="126"/>
      <c r="BX256" s="126"/>
    </row>
    <row r="257">
      <c r="A257" s="126"/>
      <c r="B257" s="126"/>
      <c r="C257" s="127"/>
      <c r="D257" s="126"/>
      <c r="E257" s="126"/>
      <c r="F257" s="127"/>
      <c r="G257" s="126"/>
      <c r="H257" s="127"/>
      <c r="I257" s="126"/>
      <c r="J257" s="126"/>
      <c r="K257" s="127"/>
      <c r="L257" s="126"/>
      <c r="M257" s="126"/>
      <c r="N257" s="127"/>
      <c r="O257" s="126"/>
      <c r="P257" s="126"/>
      <c r="Q257" s="127"/>
      <c r="R257" s="126"/>
      <c r="S257" s="126"/>
      <c r="T257" s="127"/>
      <c r="U257" s="126"/>
      <c r="V257" s="126"/>
      <c r="W257" s="127"/>
      <c r="X257" s="126"/>
      <c r="Y257" s="126"/>
      <c r="Z257" s="127"/>
      <c r="AA257" s="126"/>
      <c r="AB257" s="126"/>
      <c r="AC257" s="127"/>
      <c r="AD257" s="126"/>
      <c r="AE257" s="126"/>
      <c r="AF257" s="126"/>
      <c r="AG257" s="127"/>
      <c r="AH257" s="126"/>
      <c r="AI257" s="126"/>
      <c r="AJ257" s="127"/>
      <c r="AK257" s="126"/>
      <c r="AL257" s="126"/>
      <c r="AM257" s="127"/>
      <c r="AN257" s="126"/>
      <c r="AO257" s="126"/>
      <c r="AP257" s="127"/>
      <c r="AQ257" s="126"/>
      <c r="AR257" s="126"/>
      <c r="AS257" s="127"/>
      <c r="AT257" s="126"/>
      <c r="AU257" s="126"/>
      <c r="AV257" s="127"/>
      <c r="AW257" s="126"/>
      <c r="AX257" s="126"/>
      <c r="AY257" s="127"/>
      <c r="AZ257" s="126"/>
      <c r="BA257" s="126"/>
      <c r="BB257" s="127"/>
      <c r="BC257" s="126"/>
      <c r="BD257" s="134"/>
      <c r="BE257" s="127"/>
      <c r="BF257" s="126"/>
      <c r="BG257" s="126"/>
      <c r="BH257" s="126"/>
      <c r="BI257" s="126"/>
      <c r="BJ257" s="126"/>
      <c r="BK257" s="126"/>
      <c r="BL257" s="126"/>
      <c r="BM257" s="126"/>
      <c r="BN257" s="126"/>
      <c r="BO257" s="126"/>
      <c r="BP257" s="126"/>
      <c r="BQ257" s="126"/>
      <c r="BR257" s="126"/>
      <c r="BS257" s="126"/>
      <c r="BT257" s="126"/>
      <c r="BU257" s="126"/>
      <c r="BV257" s="126"/>
      <c r="BW257" s="126"/>
      <c r="BX257" s="126"/>
    </row>
    <row r="258">
      <c r="A258" s="126"/>
      <c r="B258" s="126"/>
      <c r="C258" s="127"/>
      <c r="D258" s="126"/>
      <c r="E258" s="126"/>
      <c r="F258" s="127"/>
      <c r="G258" s="126"/>
      <c r="H258" s="127"/>
      <c r="I258" s="126"/>
      <c r="J258" s="126"/>
      <c r="K258" s="127"/>
      <c r="L258" s="126"/>
      <c r="M258" s="126"/>
      <c r="N258" s="127"/>
      <c r="O258" s="126"/>
      <c r="P258" s="126"/>
      <c r="Q258" s="127"/>
      <c r="R258" s="126"/>
      <c r="S258" s="126"/>
      <c r="T258" s="127"/>
      <c r="U258" s="126"/>
      <c r="V258" s="126"/>
      <c r="W258" s="127"/>
      <c r="X258" s="126"/>
      <c r="Y258" s="126"/>
      <c r="Z258" s="127"/>
      <c r="AA258" s="126"/>
      <c r="AB258" s="126"/>
      <c r="AC258" s="127"/>
      <c r="AD258" s="126"/>
      <c r="AE258" s="126"/>
      <c r="AF258" s="126"/>
      <c r="AG258" s="127"/>
      <c r="AH258" s="126"/>
      <c r="AI258" s="126"/>
      <c r="AJ258" s="127"/>
      <c r="AK258" s="126"/>
      <c r="AL258" s="126"/>
      <c r="AM258" s="127"/>
      <c r="AN258" s="126"/>
      <c r="AO258" s="126"/>
      <c r="AP258" s="127"/>
      <c r="AQ258" s="126"/>
      <c r="AR258" s="126"/>
      <c r="AS258" s="127"/>
      <c r="AT258" s="126"/>
      <c r="AU258" s="126"/>
      <c r="AV258" s="127"/>
      <c r="AW258" s="126"/>
      <c r="AX258" s="126"/>
      <c r="AY258" s="127"/>
      <c r="AZ258" s="126"/>
      <c r="BA258" s="126"/>
      <c r="BB258" s="127"/>
      <c r="BC258" s="126"/>
      <c r="BD258" s="134"/>
      <c r="BE258" s="127"/>
      <c r="BF258" s="126"/>
      <c r="BG258" s="126"/>
      <c r="BH258" s="126"/>
      <c r="BI258" s="126"/>
      <c r="BJ258" s="126"/>
      <c r="BK258" s="126"/>
      <c r="BL258" s="126"/>
      <c r="BM258" s="126"/>
      <c r="BN258" s="126"/>
      <c r="BO258" s="126"/>
      <c r="BP258" s="126"/>
      <c r="BQ258" s="126"/>
      <c r="BR258" s="126"/>
      <c r="BS258" s="126"/>
      <c r="BT258" s="126"/>
      <c r="BU258" s="126"/>
      <c r="BV258" s="126"/>
      <c r="BW258" s="126"/>
      <c r="BX258" s="126"/>
    </row>
    <row r="259">
      <c r="A259" s="126"/>
      <c r="B259" s="126"/>
      <c r="C259" s="127"/>
      <c r="D259" s="126"/>
      <c r="E259" s="126"/>
      <c r="F259" s="127"/>
      <c r="G259" s="126"/>
      <c r="H259" s="127"/>
      <c r="I259" s="126"/>
      <c r="J259" s="126"/>
      <c r="K259" s="127"/>
      <c r="L259" s="126"/>
      <c r="M259" s="126"/>
      <c r="N259" s="127"/>
      <c r="O259" s="126"/>
      <c r="P259" s="126"/>
      <c r="Q259" s="127"/>
      <c r="R259" s="126"/>
      <c r="S259" s="126"/>
      <c r="T259" s="127"/>
      <c r="U259" s="126"/>
      <c r="V259" s="126"/>
      <c r="W259" s="127"/>
      <c r="X259" s="126"/>
      <c r="Y259" s="126"/>
      <c r="Z259" s="127"/>
      <c r="AA259" s="126"/>
      <c r="AB259" s="126"/>
      <c r="AC259" s="127"/>
      <c r="AD259" s="126"/>
      <c r="AE259" s="126"/>
      <c r="AF259" s="126"/>
      <c r="AG259" s="127"/>
      <c r="AH259" s="126"/>
      <c r="AI259" s="126"/>
      <c r="AJ259" s="127"/>
      <c r="AK259" s="126"/>
      <c r="AL259" s="126"/>
      <c r="AM259" s="127"/>
      <c r="AN259" s="126"/>
      <c r="AO259" s="126"/>
      <c r="AP259" s="127"/>
      <c r="AQ259" s="126"/>
      <c r="AR259" s="126"/>
      <c r="AS259" s="127"/>
      <c r="AT259" s="126"/>
      <c r="AU259" s="126"/>
      <c r="AV259" s="127"/>
      <c r="AW259" s="126"/>
      <c r="AX259" s="126"/>
      <c r="AY259" s="127"/>
      <c r="AZ259" s="126"/>
      <c r="BA259" s="126"/>
      <c r="BB259" s="127"/>
      <c r="BC259" s="126"/>
      <c r="BD259" s="134"/>
      <c r="BE259" s="127"/>
      <c r="BF259" s="126"/>
      <c r="BG259" s="126"/>
      <c r="BH259" s="126"/>
      <c r="BI259" s="126"/>
      <c r="BJ259" s="126"/>
      <c r="BK259" s="126"/>
      <c r="BL259" s="126"/>
      <c r="BM259" s="126"/>
      <c r="BN259" s="126"/>
      <c r="BO259" s="126"/>
      <c r="BP259" s="126"/>
      <c r="BQ259" s="126"/>
      <c r="BR259" s="126"/>
      <c r="BS259" s="126"/>
      <c r="BT259" s="126"/>
      <c r="BU259" s="126"/>
      <c r="BV259" s="126"/>
      <c r="BW259" s="126"/>
      <c r="BX259" s="126"/>
    </row>
    <row r="260">
      <c r="A260" s="126"/>
      <c r="B260" s="126"/>
      <c r="C260" s="127"/>
      <c r="D260" s="126"/>
      <c r="E260" s="126"/>
      <c r="F260" s="127"/>
      <c r="G260" s="126"/>
      <c r="H260" s="127"/>
      <c r="I260" s="126"/>
      <c r="J260" s="126"/>
      <c r="K260" s="127"/>
      <c r="L260" s="126"/>
      <c r="M260" s="126"/>
      <c r="N260" s="127"/>
      <c r="O260" s="126"/>
      <c r="P260" s="126"/>
      <c r="Q260" s="127"/>
      <c r="R260" s="126"/>
      <c r="S260" s="126"/>
      <c r="T260" s="127"/>
      <c r="U260" s="126"/>
      <c r="V260" s="126"/>
      <c r="W260" s="127"/>
      <c r="X260" s="126"/>
      <c r="Y260" s="126"/>
      <c r="Z260" s="127"/>
      <c r="AA260" s="126"/>
      <c r="AB260" s="126"/>
      <c r="AC260" s="127"/>
      <c r="AD260" s="126"/>
      <c r="AE260" s="126"/>
      <c r="AF260" s="126"/>
      <c r="AG260" s="127"/>
      <c r="AH260" s="126"/>
      <c r="AI260" s="126"/>
      <c r="AJ260" s="127"/>
      <c r="AK260" s="126"/>
      <c r="AL260" s="126"/>
      <c r="AM260" s="127"/>
      <c r="AN260" s="126"/>
      <c r="AO260" s="126"/>
      <c r="AP260" s="127"/>
      <c r="AQ260" s="126"/>
      <c r="AR260" s="126"/>
      <c r="AS260" s="127"/>
      <c r="AT260" s="126"/>
      <c r="AU260" s="126"/>
      <c r="AV260" s="127"/>
      <c r="AW260" s="126"/>
      <c r="AX260" s="126"/>
      <c r="AY260" s="127"/>
      <c r="AZ260" s="126"/>
      <c r="BA260" s="126"/>
      <c r="BB260" s="127"/>
      <c r="BC260" s="126"/>
      <c r="BD260" s="134"/>
      <c r="BE260" s="127"/>
      <c r="BF260" s="126"/>
      <c r="BG260" s="126"/>
      <c r="BH260" s="126"/>
      <c r="BI260" s="126"/>
      <c r="BJ260" s="126"/>
      <c r="BK260" s="126"/>
      <c r="BL260" s="126"/>
      <c r="BM260" s="126"/>
      <c r="BN260" s="126"/>
      <c r="BO260" s="126"/>
      <c r="BP260" s="126"/>
      <c r="BQ260" s="126"/>
      <c r="BR260" s="126"/>
      <c r="BS260" s="126"/>
      <c r="BT260" s="126"/>
      <c r="BU260" s="126"/>
      <c r="BV260" s="126"/>
      <c r="BW260" s="126"/>
      <c r="BX260" s="126"/>
    </row>
    <row r="261">
      <c r="A261" s="126"/>
      <c r="B261" s="126"/>
      <c r="C261" s="127"/>
      <c r="D261" s="126"/>
      <c r="E261" s="126"/>
      <c r="F261" s="127"/>
      <c r="G261" s="126"/>
      <c r="H261" s="127"/>
      <c r="I261" s="126"/>
      <c r="J261" s="126"/>
      <c r="K261" s="127"/>
      <c r="L261" s="126"/>
      <c r="M261" s="126"/>
      <c r="N261" s="127"/>
      <c r="O261" s="126"/>
      <c r="P261" s="126"/>
      <c r="Q261" s="127"/>
      <c r="R261" s="126"/>
      <c r="S261" s="126"/>
      <c r="T261" s="127"/>
      <c r="U261" s="126"/>
      <c r="V261" s="126"/>
      <c r="W261" s="127"/>
      <c r="X261" s="126"/>
      <c r="Y261" s="126"/>
      <c r="Z261" s="127"/>
      <c r="AA261" s="126"/>
      <c r="AB261" s="126"/>
      <c r="AC261" s="127"/>
      <c r="AD261" s="126"/>
      <c r="AE261" s="126"/>
      <c r="AF261" s="126"/>
      <c r="AG261" s="127"/>
      <c r="AH261" s="126"/>
      <c r="AI261" s="126"/>
      <c r="AJ261" s="127"/>
      <c r="AK261" s="126"/>
      <c r="AL261" s="126"/>
      <c r="AM261" s="127"/>
      <c r="AN261" s="126"/>
      <c r="AO261" s="126"/>
      <c r="AP261" s="127"/>
      <c r="AQ261" s="126"/>
      <c r="AR261" s="126"/>
      <c r="AS261" s="127"/>
      <c r="AT261" s="126"/>
      <c r="AU261" s="126"/>
      <c r="AV261" s="127"/>
      <c r="AW261" s="126"/>
      <c r="AX261" s="126"/>
      <c r="AY261" s="127"/>
      <c r="AZ261" s="126"/>
      <c r="BA261" s="126"/>
      <c r="BB261" s="127"/>
      <c r="BC261" s="126"/>
      <c r="BD261" s="134"/>
      <c r="BE261" s="127"/>
      <c r="BF261" s="126"/>
      <c r="BG261" s="126"/>
      <c r="BH261" s="126"/>
      <c r="BI261" s="126"/>
      <c r="BJ261" s="126"/>
      <c r="BK261" s="126"/>
      <c r="BL261" s="126"/>
      <c r="BM261" s="126"/>
      <c r="BN261" s="126"/>
      <c r="BO261" s="126"/>
      <c r="BP261" s="126"/>
      <c r="BQ261" s="126"/>
      <c r="BR261" s="126"/>
      <c r="BS261" s="126"/>
      <c r="BT261" s="126"/>
      <c r="BU261" s="126"/>
      <c r="BV261" s="126"/>
      <c r="BW261" s="126"/>
      <c r="BX261" s="126"/>
    </row>
    <row r="262">
      <c r="A262" s="126"/>
      <c r="B262" s="126"/>
      <c r="C262" s="127"/>
      <c r="D262" s="126"/>
      <c r="E262" s="126"/>
      <c r="F262" s="127"/>
      <c r="G262" s="126"/>
      <c r="H262" s="127"/>
      <c r="I262" s="126"/>
      <c r="J262" s="126"/>
      <c r="K262" s="127"/>
      <c r="L262" s="126"/>
      <c r="M262" s="126"/>
      <c r="N262" s="127"/>
      <c r="O262" s="126"/>
      <c r="P262" s="126"/>
      <c r="Q262" s="127"/>
      <c r="R262" s="126"/>
      <c r="S262" s="126"/>
      <c r="T262" s="127"/>
      <c r="U262" s="126"/>
      <c r="V262" s="126"/>
      <c r="W262" s="127"/>
      <c r="X262" s="126"/>
      <c r="Y262" s="126"/>
      <c r="Z262" s="127"/>
      <c r="AA262" s="126"/>
      <c r="AB262" s="126"/>
      <c r="AC262" s="127"/>
      <c r="AD262" s="126"/>
      <c r="AE262" s="126"/>
      <c r="AF262" s="126"/>
      <c r="AG262" s="127"/>
      <c r="AH262" s="126"/>
      <c r="AI262" s="126"/>
      <c r="AJ262" s="127"/>
      <c r="AK262" s="126"/>
      <c r="AL262" s="126"/>
      <c r="AM262" s="127"/>
      <c r="AN262" s="126"/>
      <c r="AO262" s="126"/>
      <c r="AP262" s="127"/>
      <c r="AQ262" s="126"/>
      <c r="AR262" s="126"/>
      <c r="AS262" s="127"/>
      <c r="AT262" s="126"/>
      <c r="AU262" s="126"/>
      <c r="AV262" s="127"/>
      <c r="AW262" s="126"/>
      <c r="AX262" s="126"/>
      <c r="AY262" s="127"/>
      <c r="AZ262" s="126"/>
      <c r="BA262" s="126"/>
      <c r="BB262" s="127"/>
      <c r="BC262" s="126"/>
      <c r="BD262" s="134"/>
      <c r="BE262" s="127"/>
      <c r="BF262" s="126"/>
      <c r="BG262" s="126"/>
      <c r="BH262" s="126"/>
      <c r="BI262" s="126"/>
      <c r="BJ262" s="126"/>
      <c r="BK262" s="126"/>
      <c r="BL262" s="126"/>
      <c r="BM262" s="126"/>
      <c r="BN262" s="126"/>
      <c r="BO262" s="126"/>
      <c r="BP262" s="126"/>
      <c r="BQ262" s="126"/>
      <c r="BR262" s="126"/>
      <c r="BS262" s="126"/>
      <c r="BT262" s="126"/>
      <c r="BU262" s="126"/>
      <c r="BV262" s="126"/>
      <c r="BW262" s="126"/>
      <c r="BX262" s="126"/>
    </row>
    <row r="263">
      <c r="A263" s="126"/>
      <c r="B263" s="126"/>
      <c r="C263" s="127"/>
      <c r="D263" s="126"/>
      <c r="E263" s="126"/>
      <c r="F263" s="127"/>
      <c r="G263" s="126"/>
      <c r="H263" s="127"/>
      <c r="I263" s="126"/>
      <c r="J263" s="126"/>
      <c r="K263" s="127"/>
      <c r="L263" s="126"/>
      <c r="M263" s="126"/>
      <c r="N263" s="127"/>
      <c r="O263" s="126"/>
      <c r="P263" s="126"/>
      <c r="Q263" s="127"/>
      <c r="R263" s="126"/>
      <c r="S263" s="126"/>
      <c r="T263" s="127"/>
      <c r="U263" s="126"/>
      <c r="V263" s="126"/>
      <c r="W263" s="127"/>
      <c r="X263" s="126"/>
      <c r="Y263" s="126"/>
      <c r="Z263" s="127"/>
      <c r="AA263" s="126"/>
      <c r="AB263" s="126"/>
      <c r="AC263" s="127"/>
      <c r="AD263" s="126"/>
      <c r="AE263" s="126"/>
      <c r="AF263" s="126"/>
      <c r="AG263" s="127"/>
      <c r="AH263" s="126"/>
      <c r="AI263" s="126"/>
      <c r="AJ263" s="127"/>
      <c r="AK263" s="126"/>
      <c r="AL263" s="126"/>
      <c r="AM263" s="127"/>
      <c r="AN263" s="126"/>
      <c r="AO263" s="126"/>
      <c r="AP263" s="127"/>
      <c r="AQ263" s="126"/>
      <c r="AR263" s="126"/>
      <c r="AS263" s="127"/>
      <c r="AT263" s="126"/>
      <c r="AU263" s="126"/>
      <c r="AV263" s="127"/>
      <c r="AW263" s="126"/>
      <c r="AX263" s="126"/>
      <c r="AY263" s="127"/>
      <c r="AZ263" s="126"/>
      <c r="BA263" s="126"/>
      <c r="BB263" s="127"/>
      <c r="BC263" s="126"/>
      <c r="BD263" s="134"/>
      <c r="BE263" s="127"/>
      <c r="BF263" s="126"/>
      <c r="BG263" s="126"/>
      <c r="BH263" s="126"/>
      <c r="BI263" s="126"/>
      <c r="BJ263" s="126"/>
      <c r="BK263" s="126"/>
      <c r="BL263" s="126"/>
      <c r="BM263" s="126"/>
      <c r="BN263" s="126"/>
      <c r="BO263" s="126"/>
      <c r="BP263" s="126"/>
      <c r="BQ263" s="126"/>
      <c r="BR263" s="126"/>
      <c r="BS263" s="126"/>
      <c r="BT263" s="126"/>
      <c r="BU263" s="126"/>
      <c r="BV263" s="126"/>
      <c r="BW263" s="126"/>
      <c r="BX263" s="126"/>
    </row>
    <row r="264">
      <c r="A264" s="126"/>
      <c r="B264" s="126"/>
      <c r="C264" s="127"/>
      <c r="D264" s="126"/>
      <c r="E264" s="126"/>
      <c r="F264" s="127"/>
      <c r="G264" s="126"/>
      <c r="H264" s="127"/>
      <c r="I264" s="126"/>
      <c r="J264" s="126"/>
      <c r="K264" s="127"/>
      <c r="L264" s="126"/>
      <c r="M264" s="126"/>
      <c r="N264" s="127"/>
      <c r="O264" s="126"/>
      <c r="P264" s="126"/>
      <c r="Q264" s="127"/>
      <c r="R264" s="126"/>
      <c r="S264" s="126"/>
      <c r="T264" s="127"/>
      <c r="U264" s="126"/>
      <c r="V264" s="126"/>
      <c r="W264" s="127"/>
      <c r="X264" s="126"/>
      <c r="Y264" s="126"/>
      <c r="Z264" s="127"/>
      <c r="AA264" s="126"/>
      <c r="AB264" s="126"/>
      <c r="AC264" s="127"/>
      <c r="AD264" s="126"/>
      <c r="AE264" s="126"/>
      <c r="AF264" s="126"/>
      <c r="AG264" s="127"/>
      <c r="AH264" s="126"/>
      <c r="AI264" s="126"/>
      <c r="AJ264" s="127"/>
      <c r="AK264" s="126"/>
      <c r="AL264" s="126"/>
      <c r="AM264" s="127"/>
      <c r="AN264" s="126"/>
      <c r="AO264" s="126"/>
      <c r="AP264" s="127"/>
      <c r="AQ264" s="126"/>
      <c r="AR264" s="126"/>
      <c r="AS264" s="127"/>
      <c r="AT264" s="126"/>
      <c r="AU264" s="126"/>
      <c r="AV264" s="127"/>
      <c r="AW264" s="126"/>
      <c r="AX264" s="126"/>
      <c r="AY264" s="127"/>
      <c r="AZ264" s="126"/>
      <c r="BA264" s="126"/>
      <c r="BB264" s="127"/>
      <c r="BC264" s="126"/>
      <c r="BD264" s="134"/>
      <c r="BE264" s="127"/>
      <c r="BF264" s="126"/>
      <c r="BG264" s="126"/>
      <c r="BH264" s="126"/>
      <c r="BI264" s="126"/>
      <c r="BJ264" s="126"/>
      <c r="BK264" s="126"/>
      <c r="BL264" s="126"/>
      <c r="BM264" s="126"/>
      <c r="BN264" s="126"/>
      <c r="BO264" s="126"/>
      <c r="BP264" s="126"/>
      <c r="BQ264" s="126"/>
      <c r="BR264" s="126"/>
      <c r="BS264" s="126"/>
      <c r="BT264" s="126"/>
      <c r="BU264" s="126"/>
      <c r="BV264" s="126"/>
      <c r="BW264" s="126"/>
      <c r="BX264" s="126"/>
    </row>
    <row r="265">
      <c r="A265" s="126"/>
      <c r="B265" s="126"/>
      <c r="C265" s="127"/>
      <c r="D265" s="126"/>
      <c r="E265" s="126"/>
      <c r="F265" s="127"/>
      <c r="G265" s="126"/>
      <c r="H265" s="127"/>
      <c r="I265" s="126"/>
      <c r="J265" s="126"/>
      <c r="K265" s="127"/>
      <c r="L265" s="126"/>
      <c r="M265" s="126"/>
      <c r="N265" s="127"/>
      <c r="O265" s="126"/>
      <c r="P265" s="126"/>
      <c r="Q265" s="127"/>
      <c r="R265" s="126"/>
      <c r="S265" s="126"/>
      <c r="T265" s="127"/>
      <c r="U265" s="126"/>
      <c r="V265" s="126"/>
      <c r="W265" s="127"/>
      <c r="X265" s="126"/>
      <c r="Y265" s="126"/>
      <c r="Z265" s="127"/>
      <c r="AA265" s="126"/>
      <c r="AB265" s="126"/>
      <c r="AC265" s="127"/>
      <c r="AD265" s="126"/>
      <c r="AE265" s="126"/>
      <c r="AF265" s="126"/>
      <c r="AG265" s="127"/>
      <c r="AH265" s="126"/>
      <c r="AI265" s="126"/>
      <c r="AJ265" s="127"/>
      <c r="AK265" s="126"/>
      <c r="AL265" s="126"/>
      <c r="AM265" s="127"/>
      <c r="AN265" s="126"/>
      <c r="AO265" s="126"/>
      <c r="AP265" s="127"/>
      <c r="AQ265" s="126"/>
      <c r="AR265" s="126"/>
      <c r="AS265" s="127"/>
      <c r="AT265" s="126"/>
      <c r="AU265" s="126"/>
      <c r="AV265" s="127"/>
      <c r="AW265" s="126"/>
      <c r="AX265" s="126"/>
      <c r="AY265" s="127"/>
      <c r="AZ265" s="126"/>
      <c r="BA265" s="126"/>
      <c r="BB265" s="127"/>
      <c r="BC265" s="126"/>
      <c r="BD265" s="134"/>
      <c r="BE265" s="127"/>
      <c r="BF265" s="126"/>
      <c r="BG265" s="126"/>
      <c r="BH265" s="126"/>
      <c r="BI265" s="126"/>
      <c r="BJ265" s="126"/>
      <c r="BK265" s="126"/>
      <c r="BL265" s="126"/>
      <c r="BM265" s="126"/>
      <c r="BN265" s="126"/>
      <c r="BO265" s="126"/>
      <c r="BP265" s="126"/>
      <c r="BQ265" s="126"/>
      <c r="BR265" s="126"/>
      <c r="BS265" s="126"/>
      <c r="BT265" s="126"/>
      <c r="BU265" s="126"/>
      <c r="BV265" s="126"/>
      <c r="BW265" s="126"/>
      <c r="BX265" s="126"/>
    </row>
    <row r="266">
      <c r="A266" s="126"/>
      <c r="B266" s="126"/>
      <c r="C266" s="127"/>
      <c r="D266" s="126"/>
      <c r="E266" s="126"/>
      <c r="F266" s="127"/>
      <c r="G266" s="126"/>
      <c r="H266" s="127"/>
      <c r="I266" s="126"/>
      <c r="J266" s="126"/>
      <c r="K266" s="127"/>
      <c r="L266" s="126"/>
      <c r="M266" s="126"/>
      <c r="N266" s="127"/>
      <c r="O266" s="126"/>
      <c r="P266" s="126"/>
      <c r="Q266" s="127"/>
      <c r="R266" s="126"/>
      <c r="S266" s="126"/>
      <c r="T266" s="127"/>
      <c r="U266" s="126"/>
      <c r="V266" s="126"/>
      <c r="W266" s="127"/>
      <c r="X266" s="126"/>
      <c r="Y266" s="126"/>
      <c r="Z266" s="127"/>
      <c r="AA266" s="126"/>
      <c r="AB266" s="126"/>
      <c r="AC266" s="127"/>
      <c r="AD266" s="126"/>
      <c r="AE266" s="126"/>
      <c r="AF266" s="126"/>
      <c r="AG266" s="127"/>
      <c r="AH266" s="126"/>
      <c r="AI266" s="126"/>
      <c r="AJ266" s="127"/>
      <c r="AK266" s="126"/>
      <c r="AL266" s="126"/>
      <c r="AM266" s="127"/>
      <c r="AN266" s="126"/>
      <c r="AO266" s="126"/>
      <c r="AP266" s="127"/>
      <c r="AQ266" s="126"/>
      <c r="AR266" s="126"/>
      <c r="AS266" s="127"/>
      <c r="AT266" s="126"/>
      <c r="AU266" s="126"/>
      <c r="AV266" s="127"/>
      <c r="AW266" s="126"/>
      <c r="AX266" s="126"/>
      <c r="AY266" s="127"/>
      <c r="AZ266" s="126"/>
      <c r="BA266" s="126"/>
      <c r="BB266" s="127"/>
      <c r="BC266" s="126"/>
      <c r="BD266" s="134"/>
      <c r="BE266" s="127"/>
      <c r="BF266" s="126"/>
      <c r="BG266" s="126"/>
      <c r="BH266" s="126"/>
      <c r="BI266" s="126"/>
      <c r="BJ266" s="126"/>
      <c r="BK266" s="126"/>
      <c r="BL266" s="126"/>
      <c r="BM266" s="126"/>
      <c r="BN266" s="126"/>
      <c r="BO266" s="126"/>
      <c r="BP266" s="126"/>
      <c r="BQ266" s="126"/>
      <c r="BR266" s="126"/>
      <c r="BS266" s="126"/>
      <c r="BT266" s="126"/>
      <c r="BU266" s="126"/>
      <c r="BV266" s="126"/>
      <c r="BW266" s="126"/>
      <c r="BX266" s="126"/>
    </row>
    <row r="267">
      <c r="A267" s="126"/>
      <c r="B267" s="126"/>
      <c r="C267" s="127"/>
      <c r="D267" s="126"/>
      <c r="E267" s="126"/>
      <c r="F267" s="127"/>
      <c r="G267" s="126"/>
      <c r="H267" s="127"/>
      <c r="I267" s="126"/>
      <c r="J267" s="126"/>
      <c r="K267" s="127"/>
      <c r="L267" s="126"/>
      <c r="M267" s="126"/>
      <c r="N267" s="127"/>
      <c r="O267" s="126"/>
      <c r="P267" s="126"/>
      <c r="Q267" s="127"/>
      <c r="R267" s="126"/>
      <c r="S267" s="126"/>
      <c r="T267" s="127"/>
      <c r="U267" s="126"/>
      <c r="V267" s="126"/>
      <c r="W267" s="127"/>
      <c r="X267" s="126"/>
      <c r="Y267" s="126"/>
      <c r="Z267" s="127"/>
      <c r="AA267" s="126"/>
      <c r="AB267" s="126"/>
      <c r="AC267" s="127"/>
      <c r="AD267" s="126"/>
      <c r="AE267" s="126"/>
      <c r="AF267" s="126"/>
      <c r="AG267" s="127"/>
      <c r="AH267" s="126"/>
      <c r="AI267" s="126"/>
      <c r="AJ267" s="127"/>
      <c r="AK267" s="126"/>
      <c r="AL267" s="126"/>
      <c r="AM267" s="127"/>
      <c r="AN267" s="126"/>
      <c r="AO267" s="126"/>
      <c r="AP267" s="127"/>
      <c r="AQ267" s="126"/>
      <c r="AR267" s="126"/>
      <c r="AS267" s="127"/>
      <c r="AT267" s="126"/>
      <c r="AU267" s="126"/>
      <c r="AV267" s="127"/>
      <c r="AW267" s="126"/>
      <c r="AX267" s="126"/>
      <c r="AY267" s="127"/>
      <c r="AZ267" s="126"/>
      <c r="BA267" s="126"/>
      <c r="BB267" s="127"/>
      <c r="BC267" s="126"/>
      <c r="BD267" s="134"/>
      <c r="BE267" s="127"/>
      <c r="BF267" s="126"/>
      <c r="BG267" s="126"/>
      <c r="BH267" s="126"/>
      <c r="BI267" s="126"/>
      <c r="BJ267" s="126"/>
      <c r="BK267" s="126"/>
      <c r="BL267" s="126"/>
      <c r="BM267" s="126"/>
      <c r="BN267" s="126"/>
      <c r="BO267" s="126"/>
      <c r="BP267" s="126"/>
      <c r="BQ267" s="126"/>
      <c r="BR267" s="126"/>
      <c r="BS267" s="126"/>
      <c r="BT267" s="126"/>
      <c r="BU267" s="126"/>
      <c r="BV267" s="126"/>
      <c r="BW267" s="126"/>
      <c r="BX267" s="126"/>
    </row>
    <row r="268">
      <c r="A268" s="126"/>
      <c r="B268" s="126"/>
      <c r="C268" s="127"/>
      <c r="D268" s="126"/>
      <c r="E268" s="126"/>
      <c r="F268" s="127"/>
      <c r="G268" s="126"/>
      <c r="H268" s="127"/>
      <c r="I268" s="126"/>
      <c r="J268" s="126"/>
      <c r="K268" s="127"/>
      <c r="L268" s="126"/>
      <c r="M268" s="126"/>
      <c r="N268" s="127"/>
      <c r="O268" s="126"/>
      <c r="P268" s="126"/>
      <c r="Q268" s="127"/>
      <c r="R268" s="126"/>
      <c r="S268" s="126"/>
      <c r="T268" s="127"/>
      <c r="U268" s="126"/>
      <c r="V268" s="126"/>
      <c r="W268" s="127"/>
      <c r="X268" s="126"/>
      <c r="Y268" s="126"/>
      <c r="Z268" s="127"/>
      <c r="AA268" s="126"/>
      <c r="AB268" s="126"/>
      <c r="AC268" s="127"/>
      <c r="AD268" s="126"/>
      <c r="AE268" s="126"/>
      <c r="AF268" s="126"/>
      <c r="AG268" s="127"/>
      <c r="AH268" s="126"/>
      <c r="AI268" s="126"/>
      <c r="AJ268" s="127"/>
      <c r="AK268" s="126"/>
      <c r="AL268" s="126"/>
      <c r="AM268" s="127"/>
      <c r="AN268" s="126"/>
      <c r="AO268" s="126"/>
      <c r="AP268" s="127"/>
      <c r="AQ268" s="126"/>
      <c r="AR268" s="126"/>
      <c r="AS268" s="127"/>
      <c r="AT268" s="126"/>
      <c r="AU268" s="126"/>
      <c r="AV268" s="127"/>
      <c r="AW268" s="126"/>
      <c r="AX268" s="126"/>
      <c r="AY268" s="127"/>
      <c r="AZ268" s="126"/>
      <c r="BA268" s="126"/>
      <c r="BB268" s="127"/>
      <c r="BC268" s="126"/>
      <c r="BD268" s="134"/>
      <c r="BE268" s="127"/>
      <c r="BF268" s="126"/>
      <c r="BG268" s="126"/>
      <c r="BH268" s="126"/>
      <c r="BI268" s="126"/>
      <c r="BJ268" s="126"/>
      <c r="BK268" s="126"/>
      <c r="BL268" s="126"/>
      <c r="BM268" s="126"/>
      <c r="BN268" s="126"/>
      <c r="BO268" s="126"/>
      <c r="BP268" s="126"/>
      <c r="BQ268" s="126"/>
      <c r="BR268" s="126"/>
      <c r="BS268" s="126"/>
      <c r="BT268" s="126"/>
      <c r="BU268" s="126"/>
      <c r="BV268" s="126"/>
      <c r="BW268" s="126"/>
      <c r="BX268" s="126"/>
    </row>
    <row r="269">
      <c r="A269" s="126"/>
      <c r="B269" s="126"/>
      <c r="C269" s="127"/>
      <c r="D269" s="126"/>
      <c r="E269" s="126"/>
      <c r="F269" s="127"/>
      <c r="G269" s="126"/>
      <c r="H269" s="127"/>
      <c r="I269" s="126"/>
      <c r="J269" s="126"/>
      <c r="K269" s="127"/>
      <c r="L269" s="126"/>
      <c r="M269" s="126"/>
      <c r="N269" s="127"/>
      <c r="O269" s="126"/>
      <c r="P269" s="126"/>
      <c r="Q269" s="127"/>
      <c r="R269" s="126"/>
      <c r="S269" s="126"/>
      <c r="T269" s="127"/>
      <c r="U269" s="126"/>
      <c r="V269" s="126"/>
      <c r="W269" s="127"/>
      <c r="X269" s="126"/>
      <c r="Y269" s="126"/>
      <c r="Z269" s="127"/>
      <c r="AA269" s="126"/>
      <c r="AB269" s="126"/>
      <c r="AC269" s="127"/>
      <c r="AD269" s="126"/>
      <c r="AE269" s="126"/>
      <c r="AF269" s="126"/>
      <c r="AG269" s="127"/>
      <c r="AH269" s="126"/>
      <c r="AI269" s="126"/>
      <c r="AJ269" s="127"/>
      <c r="AK269" s="126"/>
      <c r="AL269" s="126"/>
      <c r="AM269" s="127"/>
      <c r="AN269" s="126"/>
      <c r="AO269" s="126"/>
      <c r="AP269" s="127"/>
      <c r="AQ269" s="126"/>
      <c r="AR269" s="126"/>
      <c r="AS269" s="127"/>
      <c r="AT269" s="126"/>
      <c r="AU269" s="126"/>
      <c r="AV269" s="127"/>
      <c r="AW269" s="126"/>
      <c r="AX269" s="126"/>
      <c r="AY269" s="127"/>
      <c r="AZ269" s="126"/>
      <c r="BA269" s="126"/>
      <c r="BB269" s="127"/>
      <c r="BC269" s="126"/>
      <c r="BD269" s="134"/>
      <c r="BE269" s="127"/>
      <c r="BF269" s="126"/>
      <c r="BG269" s="126"/>
      <c r="BH269" s="126"/>
      <c r="BI269" s="126"/>
      <c r="BJ269" s="126"/>
      <c r="BK269" s="126"/>
      <c r="BL269" s="126"/>
      <c r="BM269" s="126"/>
      <c r="BN269" s="126"/>
      <c r="BO269" s="126"/>
      <c r="BP269" s="126"/>
      <c r="BQ269" s="126"/>
      <c r="BR269" s="126"/>
      <c r="BS269" s="126"/>
      <c r="BT269" s="126"/>
      <c r="BU269" s="126"/>
      <c r="BV269" s="126"/>
      <c r="BW269" s="126"/>
      <c r="BX269" s="126"/>
    </row>
    <row r="270">
      <c r="A270" s="126"/>
      <c r="B270" s="126"/>
      <c r="C270" s="127"/>
      <c r="D270" s="126"/>
      <c r="E270" s="126"/>
      <c r="F270" s="127"/>
      <c r="G270" s="126"/>
      <c r="H270" s="127"/>
      <c r="I270" s="126"/>
      <c r="J270" s="126"/>
      <c r="K270" s="127"/>
      <c r="L270" s="126"/>
      <c r="M270" s="126"/>
      <c r="N270" s="127"/>
      <c r="O270" s="126"/>
      <c r="P270" s="126"/>
      <c r="Q270" s="127"/>
      <c r="R270" s="126"/>
      <c r="S270" s="126"/>
      <c r="T270" s="127"/>
      <c r="U270" s="126"/>
      <c r="V270" s="126"/>
      <c r="W270" s="127"/>
      <c r="X270" s="126"/>
      <c r="Y270" s="126"/>
      <c r="Z270" s="127"/>
      <c r="AA270" s="126"/>
      <c r="AB270" s="126"/>
      <c r="AC270" s="127"/>
      <c r="AD270" s="126"/>
      <c r="AE270" s="126"/>
      <c r="AF270" s="126"/>
      <c r="AG270" s="127"/>
      <c r="AH270" s="126"/>
      <c r="AI270" s="126"/>
      <c r="AJ270" s="127"/>
      <c r="AK270" s="126"/>
      <c r="AL270" s="126"/>
      <c r="AM270" s="127"/>
      <c r="AN270" s="126"/>
      <c r="AO270" s="126"/>
      <c r="AP270" s="127"/>
      <c r="AQ270" s="126"/>
      <c r="AR270" s="126"/>
      <c r="AS270" s="127"/>
      <c r="AT270" s="126"/>
      <c r="AU270" s="126"/>
      <c r="AV270" s="127"/>
      <c r="AW270" s="126"/>
      <c r="AX270" s="126"/>
      <c r="AY270" s="127"/>
      <c r="AZ270" s="126"/>
      <c r="BA270" s="126"/>
      <c r="BB270" s="127"/>
      <c r="BC270" s="126"/>
      <c r="BD270" s="134"/>
      <c r="BE270" s="127"/>
      <c r="BF270" s="126"/>
      <c r="BG270" s="126"/>
      <c r="BH270" s="126"/>
      <c r="BI270" s="126"/>
      <c r="BJ270" s="126"/>
      <c r="BK270" s="126"/>
      <c r="BL270" s="126"/>
      <c r="BM270" s="126"/>
      <c r="BN270" s="126"/>
      <c r="BO270" s="126"/>
      <c r="BP270" s="126"/>
      <c r="BQ270" s="126"/>
      <c r="BR270" s="126"/>
      <c r="BS270" s="126"/>
      <c r="BT270" s="126"/>
      <c r="BU270" s="126"/>
      <c r="BV270" s="126"/>
      <c r="BW270" s="126"/>
      <c r="BX270" s="126"/>
    </row>
    <row r="271">
      <c r="A271" s="126"/>
      <c r="B271" s="126"/>
      <c r="C271" s="127"/>
      <c r="D271" s="126"/>
      <c r="E271" s="126"/>
      <c r="F271" s="127"/>
      <c r="G271" s="126"/>
      <c r="H271" s="127"/>
      <c r="I271" s="126"/>
      <c r="J271" s="126"/>
      <c r="K271" s="127"/>
      <c r="L271" s="126"/>
      <c r="M271" s="126"/>
      <c r="N271" s="127"/>
      <c r="O271" s="126"/>
      <c r="P271" s="126"/>
      <c r="Q271" s="127"/>
      <c r="R271" s="126"/>
      <c r="S271" s="126"/>
      <c r="T271" s="127"/>
      <c r="U271" s="126"/>
      <c r="V271" s="126"/>
      <c r="W271" s="127"/>
      <c r="X271" s="126"/>
      <c r="Y271" s="126"/>
      <c r="Z271" s="127"/>
      <c r="AA271" s="126"/>
      <c r="AB271" s="126"/>
      <c r="AC271" s="127"/>
      <c r="AD271" s="126"/>
      <c r="AE271" s="126"/>
      <c r="AF271" s="126"/>
      <c r="AG271" s="127"/>
      <c r="AH271" s="126"/>
      <c r="AI271" s="126"/>
      <c r="AJ271" s="127"/>
      <c r="AK271" s="126"/>
      <c r="AL271" s="126"/>
      <c r="AM271" s="127"/>
      <c r="AN271" s="126"/>
      <c r="AO271" s="126"/>
      <c r="AP271" s="127"/>
      <c r="AQ271" s="126"/>
      <c r="AR271" s="126"/>
      <c r="AS271" s="127"/>
      <c r="AT271" s="126"/>
      <c r="AU271" s="126"/>
      <c r="AV271" s="127"/>
      <c r="AW271" s="126"/>
      <c r="AX271" s="126"/>
      <c r="AY271" s="127"/>
      <c r="AZ271" s="126"/>
      <c r="BA271" s="126"/>
      <c r="BB271" s="127"/>
      <c r="BC271" s="126"/>
      <c r="BD271" s="134"/>
      <c r="BE271" s="127"/>
      <c r="BF271" s="126"/>
      <c r="BG271" s="126"/>
      <c r="BH271" s="126"/>
      <c r="BI271" s="126"/>
      <c r="BJ271" s="126"/>
      <c r="BK271" s="126"/>
      <c r="BL271" s="126"/>
      <c r="BM271" s="126"/>
      <c r="BN271" s="126"/>
      <c r="BO271" s="126"/>
      <c r="BP271" s="126"/>
      <c r="BQ271" s="126"/>
      <c r="BR271" s="126"/>
      <c r="BS271" s="126"/>
      <c r="BT271" s="126"/>
      <c r="BU271" s="126"/>
      <c r="BV271" s="126"/>
      <c r="BW271" s="126"/>
      <c r="BX271" s="126"/>
    </row>
    <row r="272">
      <c r="A272" s="126"/>
      <c r="B272" s="126"/>
      <c r="C272" s="127"/>
      <c r="D272" s="126"/>
      <c r="E272" s="126"/>
      <c r="F272" s="127"/>
      <c r="G272" s="126"/>
      <c r="H272" s="127"/>
      <c r="I272" s="126"/>
      <c r="J272" s="126"/>
      <c r="K272" s="127"/>
      <c r="L272" s="126"/>
      <c r="M272" s="126"/>
      <c r="N272" s="127"/>
      <c r="O272" s="126"/>
      <c r="P272" s="126"/>
      <c r="Q272" s="127"/>
      <c r="R272" s="126"/>
      <c r="S272" s="126"/>
      <c r="T272" s="127"/>
      <c r="U272" s="126"/>
      <c r="V272" s="126"/>
      <c r="W272" s="127"/>
      <c r="X272" s="126"/>
      <c r="Y272" s="126"/>
      <c r="Z272" s="127"/>
      <c r="AA272" s="126"/>
      <c r="AB272" s="126"/>
      <c r="AC272" s="127"/>
      <c r="AD272" s="126"/>
      <c r="AE272" s="126"/>
      <c r="AF272" s="126"/>
      <c r="AG272" s="127"/>
      <c r="AH272" s="126"/>
      <c r="AI272" s="126"/>
      <c r="AJ272" s="127"/>
      <c r="AK272" s="126"/>
      <c r="AL272" s="126"/>
      <c r="AM272" s="127"/>
      <c r="AN272" s="126"/>
      <c r="AO272" s="126"/>
      <c r="AP272" s="127"/>
      <c r="AQ272" s="126"/>
      <c r="AR272" s="126"/>
      <c r="AS272" s="127"/>
      <c r="AT272" s="126"/>
      <c r="AU272" s="126"/>
      <c r="AV272" s="127"/>
      <c r="AW272" s="126"/>
      <c r="AX272" s="126"/>
      <c r="AY272" s="127"/>
      <c r="AZ272" s="126"/>
      <c r="BA272" s="126"/>
      <c r="BB272" s="127"/>
      <c r="BC272" s="126"/>
      <c r="BD272" s="134"/>
      <c r="BE272" s="127"/>
      <c r="BF272" s="126"/>
      <c r="BG272" s="126"/>
      <c r="BH272" s="126"/>
      <c r="BI272" s="126"/>
      <c r="BJ272" s="126"/>
      <c r="BK272" s="126"/>
      <c r="BL272" s="126"/>
      <c r="BM272" s="126"/>
      <c r="BN272" s="126"/>
      <c r="BO272" s="126"/>
      <c r="BP272" s="126"/>
      <c r="BQ272" s="126"/>
      <c r="BR272" s="126"/>
      <c r="BS272" s="126"/>
      <c r="BT272" s="126"/>
      <c r="BU272" s="126"/>
      <c r="BV272" s="126"/>
      <c r="BW272" s="126"/>
      <c r="BX272" s="126"/>
    </row>
    <row r="273">
      <c r="A273" s="126"/>
      <c r="B273" s="126"/>
      <c r="C273" s="127"/>
      <c r="D273" s="126"/>
      <c r="E273" s="126"/>
      <c r="F273" s="127"/>
      <c r="G273" s="126"/>
      <c r="H273" s="127"/>
      <c r="I273" s="126"/>
      <c r="J273" s="126"/>
      <c r="K273" s="127"/>
      <c r="L273" s="126"/>
      <c r="M273" s="126"/>
      <c r="N273" s="127"/>
      <c r="O273" s="126"/>
      <c r="P273" s="126"/>
      <c r="Q273" s="127"/>
      <c r="R273" s="126"/>
      <c r="S273" s="126"/>
      <c r="T273" s="127"/>
      <c r="U273" s="126"/>
      <c r="V273" s="126"/>
      <c r="W273" s="127"/>
      <c r="X273" s="126"/>
      <c r="Y273" s="126"/>
      <c r="Z273" s="127"/>
      <c r="AA273" s="126"/>
      <c r="AB273" s="126"/>
      <c r="AC273" s="127"/>
      <c r="AD273" s="126"/>
      <c r="AE273" s="126"/>
      <c r="AF273" s="126"/>
      <c r="AG273" s="127"/>
      <c r="AH273" s="126"/>
      <c r="AI273" s="126"/>
      <c r="AJ273" s="127"/>
      <c r="AK273" s="126"/>
      <c r="AL273" s="126"/>
      <c r="AM273" s="127"/>
      <c r="AN273" s="126"/>
      <c r="AO273" s="126"/>
      <c r="AP273" s="127"/>
      <c r="AQ273" s="126"/>
      <c r="AR273" s="126"/>
      <c r="AS273" s="127"/>
      <c r="AT273" s="126"/>
      <c r="AU273" s="126"/>
      <c r="AV273" s="127"/>
      <c r="AW273" s="126"/>
      <c r="AX273" s="126"/>
      <c r="AY273" s="127"/>
      <c r="AZ273" s="126"/>
      <c r="BA273" s="126"/>
      <c r="BB273" s="127"/>
      <c r="BC273" s="126"/>
      <c r="BD273" s="134"/>
      <c r="BE273" s="127"/>
      <c r="BF273" s="126"/>
      <c r="BG273" s="126"/>
      <c r="BH273" s="126"/>
      <c r="BI273" s="126"/>
      <c r="BJ273" s="126"/>
      <c r="BK273" s="126"/>
      <c r="BL273" s="126"/>
      <c r="BM273" s="126"/>
      <c r="BN273" s="126"/>
      <c r="BO273" s="126"/>
      <c r="BP273" s="126"/>
      <c r="BQ273" s="126"/>
      <c r="BR273" s="126"/>
      <c r="BS273" s="126"/>
      <c r="BT273" s="126"/>
      <c r="BU273" s="126"/>
      <c r="BV273" s="126"/>
      <c r="BW273" s="126"/>
      <c r="BX273" s="126"/>
    </row>
    <row r="274">
      <c r="A274" s="126"/>
      <c r="B274" s="126"/>
      <c r="C274" s="127"/>
      <c r="D274" s="126"/>
      <c r="E274" s="126"/>
      <c r="F274" s="127"/>
      <c r="G274" s="126"/>
      <c r="H274" s="127"/>
      <c r="I274" s="126"/>
      <c r="J274" s="126"/>
      <c r="K274" s="127"/>
      <c r="L274" s="126"/>
      <c r="M274" s="126"/>
      <c r="N274" s="127"/>
      <c r="O274" s="126"/>
      <c r="P274" s="126"/>
      <c r="Q274" s="127"/>
      <c r="R274" s="126"/>
      <c r="S274" s="126"/>
      <c r="T274" s="127"/>
      <c r="U274" s="126"/>
      <c r="V274" s="126"/>
      <c r="W274" s="127"/>
      <c r="X274" s="126"/>
      <c r="Y274" s="126"/>
      <c r="Z274" s="127"/>
      <c r="AA274" s="126"/>
      <c r="AB274" s="126"/>
      <c r="AC274" s="127"/>
      <c r="AD274" s="126"/>
      <c r="AE274" s="126"/>
      <c r="AF274" s="126"/>
      <c r="AG274" s="127"/>
      <c r="AH274" s="126"/>
      <c r="AI274" s="126"/>
      <c r="AJ274" s="127"/>
      <c r="AK274" s="126"/>
      <c r="AL274" s="126"/>
      <c r="AM274" s="127"/>
      <c r="AN274" s="126"/>
      <c r="AO274" s="126"/>
      <c r="AP274" s="127"/>
      <c r="AQ274" s="126"/>
      <c r="AR274" s="126"/>
      <c r="AS274" s="127"/>
      <c r="AT274" s="126"/>
      <c r="AU274" s="126"/>
      <c r="AV274" s="127"/>
      <c r="AW274" s="126"/>
      <c r="AX274" s="126"/>
      <c r="AY274" s="127"/>
      <c r="AZ274" s="126"/>
      <c r="BA274" s="126"/>
      <c r="BB274" s="127"/>
      <c r="BC274" s="126"/>
      <c r="BD274" s="134"/>
      <c r="BE274" s="127"/>
      <c r="BF274" s="126"/>
      <c r="BG274" s="126"/>
      <c r="BH274" s="126"/>
      <c r="BI274" s="126"/>
      <c r="BJ274" s="126"/>
      <c r="BK274" s="126"/>
      <c r="BL274" s="126"/>
      <c r="BM274" s="126"/>
      <c r="BN274" s="126"/>
      <c r="BO274" s="126"/>
      <c r="BP274" s="126"/>
      <c r="BQ274" s="126"/>
      <c r="BR274" s="126"/>
      <c r="BS274" s="126"/>
      <c r="BT274" s="126"/>
      <c r="BU274" s="126"/>
      <c r="BV274" s="126"/>
      <c r="BW274" s="126"/>
      <c r="BX274" s="126"/>
    </row>
    <row r="275">
      <c r="A275" s="126"/>
      <c r="B275" s="126"/>
      <c r="C275" s="127"/>
      <c r="D275" s="126"/>
      <c r="E275" s="126"/>
      <c r="F275" s="127"/>
      <c r="G275" s="126"/>
      <c r="H275" s="127"/>
      <c r="I275" s="126"/>
      <c r="J275" s="126"/>
      <c r="K275" s="127"/>
      <c r="L275" s="126"/>
      <c r="M275" s="126"/>
      <c r="N275" s="127"/>
      <c r="O275" s="126"/>
      <c r="P275" s="126"/>
      <c r="Q275" s="127"/>
      <c r="R275" s="126"/>
      <c r="S275" s="126"/>
      <c r="T275" s="127"/>
      <c r="U275" s="126"/>
      <c r="V275" s="126"/>
      <c r="W275" s="127"/>
      <c r="X275" s="126"/>
      <c r="Y275" s="126"/>
      <c r="Z275" s="127"/>
      <c r="AA275" s="126"/>
      <c r="AB275" s="126"/>
      <c r="AC275" s="127"/>
      <c r="AD275" s="126"/>
      <c r="AE275" s="126"/>
      <c r="AF275" s="126"/>
      <c r="AG275" s="127"/>
      <c r="AH275" s="126"/>
      <c r="AI275" s="126"/>
      <c r="AJ275" s="127"/>
      <c r="AK275" s="126"/>
      <c r="AL275" s="126"/>
      <c r="AM275" s="127"/>
      <c r="AN275" s="126"/>
      <c r="AO275" s="126"/>
      <c r="AP275" s="127"/>
      <c r="AQ275" s="126"/>
      <c r="AR275" s="126"/>
      <c r="AS275" s="127"/>
      <c r="AT275" s="126"/>
      <c r="AU275" s="126"/>
      <c r="AV275" s="127"/>
      <c r="AW275" s="126"/>
      <c r="AX275" s="126"/>
      <c r="AY275" s="127"/>
      <c r="AZ275" s="126"/>
      <c r="BA275" s="126"/>
      <c r="BB275" s="127"/>
      <c r="BC275" s="126"/>
      <c r="BD275" s="134"/>
      <c r="BE275" s="127"/>
      <c r="BF275" s="126"/>
      <c r="BG275" s="126"/>
      <c r="BH275" s="126"/>
      <c r="BI275" s="126"/>
      <c r="BJ275" s="126"/>
      <c r="BK275" s="126"/>
      <c r="BL275" s="126"/>
      <c r="BM275" s="126"/>
      <c r="BN275" s="126"/>
      <c r="BO275" s="126"/>
      <c r="BP275" s="126"/>
      <c r="BQ275" s="126"/>
      <c r="BR275" s="126"/>
      <c r="BS275" s="126"/>
      <c r="BT275" s="126"/>
      <c r="BU275" s="126"/>
      <c r="BV275" s="126"/>
      <c r="BW275" s="126"/>
      <c r="BX275" s="126"/>
    </row>
    <row r="276">
      <c r="A276" s="126"/>
      <c r="B276" s="126"/>
      <c r="C276" s="127"/>
      <c r="D276" s="126"/>
      <c r="E276" s="126"/>
      <c r="F276" s="127"/>
      <c r="G276" s="126"/>
      <c r="H276" s="127"/>
      <c r="I276" s="126"/>
      <c r="J276" s="126"/>
      <c r="K276" s="127"/>
      <c r="L276" s="126"/>
      <c r="M276" s="126"/>
      <c r="N276" s="127"/>
      <c r="O276" s="126"/>
      <c r="P276" s="126"/>
      <c r="Q276" s="127"/>
      <c r="R276" s="126"/>
      <c r="S276" s="126"/>
      <c r="T276" s="127"/>
      <c r="U276" s="126"/>
      <c r="V276" s="126"/>
      <c r="W276" s="127"/>
      <c r="X276" s="126"/>
      <c r="Y276" s="126"/>
      <c r="Z276" s="127"/>
      <c r="AA276" s="126"/>
      <c r="AB276" s="126"/>
      <c r="AC276" s="127"/>
      <c r="AD276" s="126"/>
      <c r="AE276" s="126"/>
      <c r="AF276" s="126"/>
      <c r="AG276" s="127"/>
      <c r="AH276" s="126"/>
      <c r="AI276" s="126"/>
      <c r="AJ276" s="127"/>
      <c r="AK276" s="126"/>
      <c r="AL276" s="126"/>
      <c r="AM276" s="127"/>
      <c r="AN276" s="126"/>
      <c r="AO276" s="126"/>
      <c r="AP276" s="127"/>
      <c r="AQ276" s="126"/>
      <c r="AR276" s="126"/>
      <c r="AS276" s="127"/>
      <c r="AT276" s="126"/>
      <c r="AU276" s="126"/>
      <c r="AV276" s="127"/>
      <c r="AW276" s="126"/>
      <c r="AX276" s="126"/>
      <c r="AY276" s="127"/>
      <c r="AZ276" s="126"/>
      <c r="BA276" s="126"/>
      <c r="BB276" s="127"/>
      <c r="BC276" s="126"/>
      <c r="BD276" s="134"/>
      <c r="BE276" s="127"/>
      <c r="BF276" s="126"/>
      <c r="BG276" s="126"/>
      <c r="BH276" s="126"/>
      <c r="BI276" s="126"/>
      <c r="BJ276" s="126"/>
      <c r="BK276" s="126"/>
      <c r="BL276" s="126"/>
      <c r="BM276" s="126"/>
      <c r="BN276" s="126"/>
      <c r="BO276" s="126"/>
      <c r="BP276" s="126"/>
      <c r="BQ276" s="126"/>
      <c r="BR276" s="126"/>
      <c r="BS276" s="126"/>
      <c r="BT276" s="126"/>
      <c r="BU276" s="126"/>
      <c r="BV276" s="126"/>
      <c r="BW276" s="126"/>
      <c r="BX276" s="126"/>
    </row>
    <row r="277">
      <c r="A277" s="126"/>
      <c r="B277" s="126"/>
      <c r="C277" s="127"/>
      <c r="D277" s="126"/>
      <c r="E277" s="126"/>
      <c r="F277" s="127"/>
      <c r="G277" s="126"/>
      <c r="H277" s="127"/>
      <c r="I277" s="126"/>
      <c r="J277" s="126"/>
      <c r="K277" s="127"/>
      <c r="L277" s="126"/>
      <c r="M277" s="126"/>
      <c r="N277" s="127"/>
      <c r="O277" s="126"/>
      <c r="P277" s="126"/>
      <c r="Q277" s="127"/>
      <c r="R277" s="126"/>
      <c r="S277" s="126"/>
      <c r="T277" s="127"/>
      <c r="U277" s="126"/>
      <c r="V277" s="126"/>
      <c r="W277" s="127"/>
      <c r="X277" s="126"/>
      <c r="Y277" s="126"/>
      <c r="Z277" s="127"/>
      <c r="AA277" s="126"/>
      <c r="AB277" s="126"/>
      <c r="AC277" s="127"/>
      <c r="AD277" s="126"/>
      <c r="AE277" s="126"/>
      <c r="AF277" s="126"/>
      <c r="AG277" s="127"/>
      <c r="AH277" s="126"/>
      <c r="AI277" s="126"/>
      <c r="AJ277" s="127"/>
      <c r="AK277" s="126"/>
      <c r="AL277" s="126"/>
      <c r="AM277" s="127"/>
      <c r="AN277" s="126"/>
      <c r="AO277" s="126"/>
      <c r="AP277" s="127"/>
      <c r="AQ277" s="126"/>
      <c r="AR277" s="126"/>
      <c r="AS277" s="127"/>
      <c r="AT277" s="126"/>
      <c r="AU277" s="126"/>
      <c r="AV277" s="127"/>
      <c r="AW277" s="126"/>
      <c r="AX277" s="126"/>
      <c r="AY277" s="127"/>
      <c r="AZ277" s="126"/>
      <c r="BA277" s="126"/>
      <c r="BB277" s="127"/>
      <c r="BC277" s="126"/>
      <c r="BD277" s="134"/>
      <c r="BE277" s="127"/>
      <c r="BF277" s="126"/>
      <c r="BG277" s="126"/>
      <c r="BH277" s="126"/>
      <c r="BI277" s="126"/>
      <c r="BJ277" s="126"/>
      <c r="BK277" s="126"/>
      <c r="BL277" s="126"/>
      <c r="BM277" s="126"/>
      <c r="BN277" s="126"/>
      <c r="BO277" s="126"/>
      <c r="BP277" s="126"/>
      <c r="BQ277" s="126"/>
      <c r="BR277" s="126"/>
      <c r="BS277" s="126"/>
      <c r="BT277" s="126"/>
      <c r="BU277" s="126"/>
      <c r="BV277" s="126"/>
      <c r="BW277" s="126"/>
      <c r="BX277" s="126"/>
    </row>
    <row r="278">
      <c r="A278" s="126"/>
      <c r="B278" s="126"/>
      <c r="C278" s="127"/>
      <c r="D278" s="126"/>
      <c r="E278" s="126"/>
      <c r="F278" s="127"/>
      <c r="G278" s="126"/>
      <c r="H278" s="127"/>
      <c r="I278" s="126"/>
      <c r="J278" s="126"/>
      <c r="K278" s="127"/>
      <c r="L278" s="126"/>
      <c r="M278" s="126"/>
      <c r="N278" s="127"/>
      <c r="O278" s="126"/>
      <c r="P278" s="126"/>
      <c r="Q278" s="127"/>
      <c r="R278" s="126"/>
      <c r="S278" s="126"/>
      <c r="T278" s="127"/>
      <c r="U278" s="126"/>
      <c r="V278" s="126"/>
      <c r="W278" s="127"/>
      <c r="X278" s="126"/>
      <c r="Y278" s="126"/>
      <c r="Z278" s="127"/>
      <c r="AA278" s="126"/>
      <c r="AB278" s="126"/>
      <c r="AC278" s="127"/>
      <c r="AD278" s="126"/>
      <c r="AE278" s="126"/>
      <c r="AF278" s="126"/>
      <c r="AG278" s="127"/>
      <c r="AH278" s="126"/>
      <c r="AI278" s="126"/>
      <c r="AJ278" s="127"/>
      <c r="AK278" s="126"/>
      <c r="AL278" s="126"/>
      <c r="AM278" s="127"/>
      <c r="AN278" s="126"/>
      <c r="AO278" s="126"/>
      <c r="AP278" s="127"/>
      <c r="AQ278" s="126"/>
      <c r="AR278" s="126"/>
      <c r="AS278" s="127"/>
      <c r="AT278" s="126"/>
      <c r="AU278" s="126"/>
      <c r="AV278" s="127"/>
      <c r="AW278" s="126"/>
      <c r="AX278" s="126"/>
      <c r="AY278" s="127"/>
      <c r="AZ278" s="126"/>
      <c r="BA278" s="126"/>
      <c r="BB278" s="127"/>
      <c r="BC278" s="126"/>
      <c r="BD278" s="134"/>
      <c r="BE278" s="127"/>
      <c r="BF278" s="126"/>
      <c r="BG278" s="126"/>
      <c r="BH278" s="126"/>
      <c r="BI278" s="126"/>
      <c r="BJ278" s="126"/>
      <c r="BK278" s="126"/>
      <c r="BL278" s="126"/>
      <c r="BM278" s="126"/>
      <c r="BN278" s="126"/>
      <c r="BO278" s="126"/>
      <c r="BP278" s="126"/>
      <c r="BQ278" s="126"/>
      <c r="BR278" s="126"/>
      <c r="BS278" s="126"/>
      <c r="BT278" s="126"/>
      <c r="BU278" s="126"/>
      <c r="BV278" s="126"/>
      <c r="BW278" s="126"/>
      <c r="BX278" s="126"/>
    </row>
    <row r="279">
      <c r="A279" s="126"/>
      <c r="B279" s="126"/>
      <c r="C279" s="127"/>
      <c r="D279" s="126"/>
      <c r="E279" s="126"/>
      <c r="F279" s="127"/>
      <c r="G279" s="126"/>
      <c r="H279" s="127"/>
      <c r="I279" s="126"/>
      <c r="J279" s="126"/>
      <c r="K279" s="127"/>
      <c r="L279" s="126"/>
      <c r="M279" s="126"/>
      <c r="N279" s="127"/>
      <c r="O279" s="126"/>
      <c r="P279" s="126"/>
      <c r="Q279" s="127"/>
      <c r="R279" s="126"/>
      <c r="S279" s="126"/>
      <c r="T279" s="127"/>
      <c r="U279" s="126"/>
      <c r="V279" s="126"/>
      <c r="W279" s="127"/>
      <c r="X279" s="126"/>
      <c r="Y279" s="126"/>
      <c r="Z279" s="127"/>
      <c r="AA279" s="126"/>
      <c r="AB279" s="126"/>
      <c r="AC279" s="127"/>
      <c r="AD279" s="126"/>
      <c r="AE279" s="126"/>
      <c r="AF279" s="126"/>
      <c r="AG279" s="127"/>
      <c r="AH279" s="126"/>
      <c r="AI279" s="126"/>
      <c r="AJ279" s="127"/>
      <c r="AK279" s="126"/>
      <c r="AL279" s="126"/>
      <c r="AM279" s="127"/>
      <c r="AN279" s="126"/>
      <c r="AO279" s="126"/>
      <c r="AP279" s="127"/>
      <c r="AQ279" s="126"/>
      <c r="AR279" s="126"/>
      <c r="AS279" s="127"/>
      <c r="AT279" s="126"/>
      <c r="AU279" s="126"/>
      <c r="AV279" s="127"/>
      <c r="AW279" s="126"/>
      <c r="AX279" s="126"/>
      <c r="AY279" s="127"/>
      <c r="AZ279" s="126"/>
      <c r="BA279" s="126"/>
      <c r="BB279" s="127"/>
      <c r="BC279" s="126"/>
      <c r="BD279" s="134"/>
      <c r="BE279" s="127"/>
      <c r="BF279" s="126"/>
      <c r="BG279" s="126"/>
      <c r="BH279" s="126"/>
      <c r="BI279" s="126"/>
      <c r="BJ279" s="126"/>
      <c r="BK279" s="126"/>
      <c r="BL279" s="126"/>
      <c r="BM279" s="126"/>
      <c r="BN279" s="126"/>
      <c r="BO279" s="126"/>
      <c r="BP279" s="126"/>
      <c r="BQ279" s="126"/>
      <c r="BR279" s="126"/>
      <c r="BS279" s="126"/>
      <c r="BT279" s="126"/>
      <c r="BU279" s="126"/>
      <c r="BV279" s="126"/>
      <c r="BW279" s="126"/>
      <c r="BX279" s="126"/>
    </row>
    <row r="280">
      <c r="A280" s="126"/>
      <c r="B280" s="126"/>
      <c r="C280" s="127"/>
      <c r="D280" s="126"/>
      <c r="E280" s="126"/>
      <c r="F280" s="127"/>
      <c r="G280" s="126"/>
      <c r="H280" s="127"/>
      <c r="I280" s="126"/>
      <c r="J280" s="126"/>
      <c r="K280" s="127"/>
      <c r="L280" s="126"/>
      <c r="M280" s="126"/>
      <c r="N280" s="127"/>
      <c r="O280" s="126"/>
      <c r="P280" s="126"/>
      <c r="Q280" s="127"/>
      <c r="R280" s="126"/>
      <c r="S280" s="126"/>
      <c r="T280" s="127"/>
      <c r="U280" s="126"/>
      <c r="V280" s="126"/>
      <c r="W280" s="127"/>
      <c r="X280" s="126"/>
      <c r="Y280" s="126"/>
      <c r="Z280" s="127"/>
      <c r="AA280" s="126"/>
      <c r="AB280" s="126"/>
      <c r="AC280" s="127"/>
      <c r="AD280" s="126"/>
      <c r="AE280" s="126"/>
      <c r="AF280" s="126"/>
      <c r="AG280" s="127"/>
      <c r="AH280" s="126"/>
      <c r="AI280" s="126"/>
      <c r="AJ280" s="127"/>
      <c r="AK280" s="126"/>
      <c r="AL280" s="126"/>
      <c r="AM280" s="127"/>
      <c r="AN280" s="126"/>
      <c r="AO280" s="126"/>
      <c r="AP280" s="127"/>
      <c r="AQ280" s="126"/>
      <c r="AR280" s="126"/>
      <c r="AS280" s="127"/>
      <c r="AT280" s="126"/>
      <c r="AU280" s="126"/>
      <c r="AV280" s="127"/>
      <c r="AW280" s="126"/>
      <c r="AX280" s="126"/>
      <c r="AY280" s="127"/>
      <c r="AZ280" s="126"/>
      <c r="BA280" s="126"/>
      <c r="BB280" s="127"/>
      <c r="BC280" s="126"/>
      <c r="BD280" s="134"/>
      <c r="BE280" s="127"/>
      <c r="BF280" s="126"/>
      <c r="BG280" s="126"/>
      <c r="BH280" s="126"/>
      <c r="BI280" s="126"/>
      <c r="BJ280" s="126"/>
      <c r="BK280" s="126"/>
      <c r="BL280" s="126"/>
      <c r="BM280" s="126"/>
      <c r="BN280" s="126"/>
      <c r="BO280" s="126"/>
      <c r="BP280" s="126"/>
      <c r="BQ280" s="126"/>
      <c r="BR280" s="126"/>
      <c r="BS280" s="126"/>
      <c r="BT280" s="126"/>
      <c r="BU280" s="126"/>
      <c r="BV280" s="126"/>
      <c r="BW280" s="126"/>
      <c r="BX280" s="126"/>
    </row>
    <row r="281">
      <c r="A281" s="126"/>
      <c r="B281" s="126"/>
      <c r="C281" s="127"/>
      <c r="D281" s="126"/>
      <c r="E281" s="126"/>
      <c r="F281" s="127"/>
      <c r="G281" s="126"/>
      <c r="H281" s="127"/>
      <c r="I281" s="126"/>
      <c r="J281" s="126"/>
      <c r="K281" s="127"/>
      <c r="L281" s="126"/>
      <c r="M281" s="126"/>
      <c r="N281" s="127"/>
      <c r="O281" s="126"/>
      <c r="P281" s="126"/>
      <c r="Q281" s="127"/>
      <c r="R281" s="126"/>
      <c r="S281" s="126"/>
      <c r="T281" s="127"/>
      <c r="U281" s="126"/>
      <c r="V281" s="126"/>
      <c r="W281" s="127"/>
      <c r="X281" s="126"/>
      <c r="Y281" s="126"/>
      <c r="Z281" s="127"/>
      <c r="AA281" s="126"/>
      <c r="AB281" s="126"/>
      <c r="AC281" s="127"/>
      <c r="AD281" s="126"/>
      <c r="AE281" s="126"/>
      <c r="AF281" s="126"/>
      <c r="AG281" s="127"/>
      <c r="AH281" s="126"/>
      <c r="AI281" s="126"/>
      <c r="AJ281" s="127"/>
      <c r="AK281" s="126"/>
      <c r="AL281" s="126"/>
      <c r="AM281" s="127"/>
      <c r="AN281" s="126"/>
      <c r="AO281" s="126"/>
      <c r="AP281" s="127"/>
      <c r="AQ281" s="126"/>
      <c r="AR281" s="126"/>
      <c r="AS281" s="127"/>
      <c r="AT281" s="126"/>
      <c r="AU281" s="126"/>
      <c r="AV281" s="127"/>
      <c r="AW281" s="126"/>
      <c r="AX281" s="126"/>
      <c r="AY281" s="127"/>
      <c r="AZ281" s="126"/>
      <c r="BA281" s="126"/>
      <c r="BB281" s="127"/>
      <c r="BC281" s="126"/>
      <c r="BD281" s="134"/>
      <c r="BE281" s="127"/>
      <c r="BF281" s="126"/>
      <c r="BG281" s="126"/>
      <c r="BH281" s="126"/>
      <c r="BI281" s="126"/>
      <c r="BJ281" s="126"/>
      <c r="BK281" s="126"/>
      <c r="BL281" s="126"/>
      <c r="BM281" s="126"/>
      <c r="BN281" s="126"/>
      <c r="BO281" s="126"/>
      <c r="BP281" s="126"/>
      <c r="BQ281" s="126"/>
      <c r="BR281" s="126"/>
      <c r="BS281" s="126"/>
      <c r="BT281" s="126"/>
      <c r="BU281" s="126"/>
      <c r="BV281" s="126"/>
      <c r="BW281" s="126"/>
      <c r="BX281" s="126"/>
    </row>
    <row r="282">
      <c r="A282" s="126"/>
      <c r="B282" s="126"/>
      <c r="C282" s="127"/>
      <c r="D282" s="126"/>
      <c r="E282" s="126"/>
      <c r="F282" s="127"/>
      <c r="G282" s="126"/>
      <c r="H282" s="127"/>
      <c r="I282" s="126"/>
      <c r="J282" s="126"/>
      <c r="K282" s="127"/>
      <c r="L282" s="126"/>
      <c r="M282" s="126"/>
      <c r="N282" s="127"/>
      <c r="O282" s="126"/>
      <c r="P282" s="126"/>
      <c r="Q282" s="127"/>
      <c r="R282" s="126"/>
      <c r="S282" s="126"/>
      <c r="T282" s="127"/>
      <c r="U282" s="126"/>
      <c r="V282" s="126"/>
      <c r="W282" s="127"/>
      <c r="X282" s="126"/>
      <c r="Y282" s="126"/>
      <c r="Z282" s="127"/>
      <c r="AA282" s="126"/>
      <c r="AB282" s="126"/>
      <c r="AC282" s="127"/>
      <c r="AD282" s="126"/>
      <c r="AE282" s="126"/>
      <c r="AF282" s="126"/>
      <c r="AG282" s="127"/>
      <c r="AH282" s="126"/>
      <c r="AI282" s="126"/>
      <c r="AJ282" s="127"/>
      <c r="AK282" s="126"/>
      <c r="AL282" s="126"/>
      <c r="AM282" s="127"/>
      <c r="AN282" s="126"/>
      <c r="AO282" s="126"/>
      <c r="AP282" s="127"/>
      <c r="AQ282" s="126"/>
      <c r="AR282" s="126"/>
      <c r="AS282" s="127"/>
      <c r="AT282" s="126"/>
      <c r="AU282" s="126"/>
      <c r="AV282" s="127"/>
      <c r="AW282" s="126"/>
      <c r="AX282" s="126"/>
      <c r="AY282" s="127"/>
      <c r="AZ282" s="126"/>
      <c r="BA282" s="126"/>
      <c r="BB282" s="127"/>
      <c r="BC282" s="126"/>
      <c r="BD282" s="134"/>
      <c r="BE282" s="127"/>
      <c r="BF282" s="126"/>
      <c r="BG282" s="126"/>
      <c r="BH282" s="126"/>
      <c r="BI282" s="126"/>
      <c r="BJ282" s="126"/>
      <c r="BK282" s="126"/>
      <c r="BL282" s="126"/>
      <c r="BM282" s="126"/>
      <c r="BN282" s="126"/>
      <c r="BO282" s="126"/>
      <c r="BP282" s="126"/>
      <c r="BQ282" s="126"/>
      <c r="BR282" s="126"/>
      <c r="BS282" s="126"/>
      <c r="BT282" s="126"/>
      <c r="BU282" s="126"/>
      <c r="BV282" s="126"/>
      <c r="BW282" s="126"/>
      <c r="BX282" s="126"/>
    </row>
    <row r="283">
      <c r="A283" s="126"/>
      <c r="B283" s="126"/>
      <c r="C283" s="127"/>
      <c r="D283" s="126"/>
      <c r="E283" s="126"/>
      <c r="F283" s="127"/>
      <c r="G283" s="126"/>
      <c r="H283" s="127"/>
      <c r="I283" s="126"/>
      <c r="J283" s="126"/>
      <c r="K283" s="127"/>
      <c r="L283" s="126"/>
      <c r="M283" s="126"/>
      <c r="N283" s="127"/>
      <c r="O283" s="126"/>
      <c r="P283" s="126"/>
      <c r="Q283" s="127"/>
      <c r="R283" s="126"/>
      <c r="S283" s="126"/>
      <c r="T283" s="127"/>
      <c r="U283" s="126"/>
      <c r="V283" s="126"/>
      <c r="W283" s="127"/>
      <c r="X283" s="126"/>
      <c r="Y283" s="126"/>
      <c r="Z283" s="127"/>
      <c r="AA283" s="126"/>
      <c r="AB283" s="126"/>
      <c r="AC283" s="127"/>
      <c r="AD283" s="126"/>
      <c r="AE283" s="126"/>
      <c r="AF283" s="126"/>
      <c r="AG283" s="127"/>
      <c r="AH283" s="126"/>
      <c r="AI283" s="126"/>
      <c r="AJ283" s="127"/>
      <c r="AK283" s="126"/>
      <c r="AL283" s="126"/>
      <c r="AM283" s="127"/>
      <c r="AN283" s="126"/>
      <c r="AO283" s="126"/>
      <c r="AP283" s="127"/>
      <c r="AQ283" s="126"/>
      <c r="AR283" s="126"/>
      <c r="AS283" s="127"/>
      <c r="AT283" s="126"/>
      <c r="AU283" s="126"/>
      <c r="AV283" s="127"/>
      <c r="AW283" s="126"/>
      <c r="AX283" s="126"/>
      <c r="AY283" s="127"/>
      <c r="AZ283" s="126"/>
      <c r="BA283" s="126"/>
      <c r="BB283" s="127"/>
      <c r="BC283" s="126"/>
      <c r="BD283" s="134"/>
      <c r="BE283" s="127"/>
      <c r="BF283" s="126"/>
      <c r="BG283" s="126"/>
      <c r="BH283" s="126"/>
      <c r="BI283" s="126"/>
      <c r="BJ283" s="126"/>
      <c r="BK283" s="126"/>
      <c r="BL283" s="126"/>
      <c r="BM283" s="126"/>
      <c r="BN283" s="126"/>
      <c r="BO283" s="126"/>
      <c r="BP283" s="126"/>
      <c r="BQ283" s="126"/>
      <c r="BR283" s="126"/>
      <c r="BS283" s="126"/>
      <c r="BT283" s="126"/>
      <c r="BU283" s="126"/>
      <c r="BV283" s="126"/>
      <c r="BW283" s="126"/>
      <c r="BX283" s="126"/>
    </row>
    <row r="284">
      <c r="A284" s="126"/>
      <c r="B284" s="126"/>
      <c r="C284" s="127"/>
      <c r="D284" s="126"/>
      <c r="E284" s="126"/>
      <c r="F284" s="127"/>
      <c r="G284" s="126"/>
      <c r="H284" s="127"/>
      <c r="I284" s="126"/>
      <c r="J284" s="126"/>
      <c r="K284" s="127"/>
      <c r="L284" s="126"/>
      <c r="M284" s="126"/>
      <c r="N284" s="127"/>
      <c r="O284" s="126"/>
      <c r="P284" s="126"/>
      <c r="Q284" s="127"/>
      <c r="R284" s="126"/>
      <c r="S284" s="126"/>
      <c r="T284" s="127"/>
      <c r="U284" s="126"/>
      <c r="V284" s="126"/>
      <c r="W284" s="127"/>
      <c r="X284" s="126"/>
      <c r="Y284" s="126"/>
      <c r="Z284" s="127"/>
      <c r="AA284" s="126"/>
      <c r="AB284" s="126"/>
      <c r="AC284" s="127"/>
      <c r="AD284" s="126"/>
      <c r="AE284" s="126"/>
      <c r="AF284" s="126"/>
      <c r="AG284" s="127"/>
      <c r="AH284" s="126"/>
      <c r="AI284" s="126"/>
      <c r="AJ284" s="127"/>
      <c r="AK284" s="126"/>
      <c r="AL284" s="126"/>
      <c r="AM284" s="127"/>
      <c r="AN284" s="126"/>
      <c r="AO284" s="126"/>
      <c r="AP284" s="127"/>
      <c r="AQ284" s="126"/>
      <c r="AR284" s="126"/>
      <c r="AS284" s="127"/>
      <c r="AT284" s="126"/>
      <c r="AU284" s="126"/>
      <c r="AV284" s="127"/>
      <c r="AW284" s="126"/>
      <c r="AX284" s="126"/>
      <c r="AY284" s="127"/>
      <c r="AZ284" s="126"/>
      <c r="BA284" s="126"/>
      <c r="BB284" s="127"/>
      <c r="BC284" s="126"/>
      <c r="BD284" s="134"/>
      <c r="BE284" s="127"/>
      <c r="BF284" s="126"/>
      <c r="BG284" s="126"/>
      <c r="BH284" s="126"/>
      <c r="BI284" s="126"/>
      <c r="BJ284" s="126"/>
      <c r="BK284" s="126"/>
      <c r="BL284" s="126"/>
      <c r="BM284" s="126"/>
      <c r="BN284" s="126"/>
      <c r="BO284" s="126"/>
      <c r="BP284" s="126"/>
      <c r="BQ284" s="126"/>
      <c r="BR284" s="126"/>
      <c r="BS284" s="126"/>
      <c r="BT284" s="126"/>
      <c r="BU284" s="126"/>
      <c r="BV284" s="126"/>
      <c r="BW284" s="126"/>
      <c r="BX284" s="126"/>
    </row>
    <row r="285">
      <c r="A285" s="126"/>
      <c r="B285" s="126"/>
      <c r="C285" s="127"/>
      <c r="D285" s="126"/>
      <c r="E285" s="126"/>
      <c r="F285" s="127"/>
      <c r="G285" s="126"/>
      <c r="H285" s="127"/>
      <c r="I285" s="126"/>
      <c r="J285" s="126"/>
      <c r="K285" s="127"/>
      <c r="L285" s="126"/>
      <c r="M285" s="126"/>
      <c r="N285" s="127"/>
      <c r="O285" s="126"/>
      <c r="P285" s="126"/>
      <c r="Q285" s="127"/>
      <c r="R285" s="126"/>
      <c r="S285" s="126"/>
      <c r="T285" s="127"/>
      <c r="U285" s="126"/>
      <c r="V285" s="126"/>
      <c r="W285" s="127"/>
      <c r="X285" s="126"/>
      <c r="Y285" s="126"/>
      <c r="Z285" s="127"/>
      <c r="AA285" s="126"/>
      <c r="AB285" s="126"/>
      <c r="AC285" s="127"/>
      <c r="AD285" s="126"/>
      <c r="AE285" s="126"/>
      <c r="AF285" s="126"/>
      <c r="AG285" s="127"/>
      <c r="AH285" s="126"/>
      <c r="AI285" s="126"/>
      <c r="AJ285" s="127"/>
      <c r="AK285" s="126"/>
      <c r="AL285" s="126"/>
      <c r="AM285" s="127"/>
      <c r="AN285" s="126"/>
      <c r="AO285" s="126"/>
      <c r="AP285" s="127"/>
      <c r="AQ285" s="126"/>
      <c r="AR285" s="126"/>
      <c r="AS285" s="127"/>
      <c r="AT285" s="126"/>
      <c r="AU285" s="126"/>
      <c r="AV285" s="127"/>
      <c r="AW285" s="126"/>
      <c r="AX285" s="126"/>
      <c r="AY285" s="127"/>
      <c r="AZ285" s="126"/>
      <c r="BA285" s="126"/>
      <c r="BB285" s="127"/>
      <c r="BC285" s="126"/>
      <c r="BD285" s="134"/>
      <c r="BE285" s="127"/>
      <c r="BF285" s="126"/>
      <c r="BG285" s="126"/>
      <c r="BH285" s="126"/>
      <c r="BI285" s="126"/>
      <c r="BJ285" s="126"/>
      <c r="BK285" s="126"/>
      <c r="BL285" s="126"/>
      <c r="BM285" s="126"/>
      <c r="BN285" s="126"/>
      <c r="BO285" s="126"/>
      <c r="BP285" s="126"/>
      <c r="BQ285" s="126"/>
      <c r="BR285" s="126"/>
      <c r="BS285" s="126"/>
      <c r="BT285" s="126"/>
      <c r="BU285" s="126"/>
      <c r="BV285" s="126"/>
      <c r="BW285" s="126"/>
      <c r="BX285" s="126"/>
    </row>
    <row r="286">
      <c r="A286" s="126"/>
      <c r="B286" s="126"/>
      <c r="C286" s="127"/>
      <c r="D286" s="126"/>
      <c r="E286" s="126"/>
      <c r="F286" s="127"/>
      <c r="G286" s="126"/>
      <c r="H286" s="127"/>
      <c r="I286" s="126"/>
      <c r="J286" s="126"/>
      <c r="K286" s="127"/>
      <c r="L286" s="126"/>
      <c r="M286" s="126"/>
      <c r="N286" s="127"/>
      <c r="O286" s="126"/>
      <c r="P286" s="126"/>
      <c r="Q286" s="127"/>
      <c r="R286" s="126"/>
      <c r="S286" s="126"/>
      <c r="T286" s="127"/>
      <c r="U286" s="126"/>
      <c r="V286" s="126"/>
      <c r="W286" s="127"/>
      <c r="X286" s="126"/>
      <c r="Y286" s="126"/>
      <c r="Z286" s="127"/>
      <c r="AA286" s="126"/>
      <c r="AB286" s="126"/>
      <c r="AC286" s="127"/>
      <c r="AD286" s="126"/>
      <c r="AE286" s="126"/>
      <c r="AF286" s="126"/>
      <c r="AG286" s="127"/>
      <c r="AH286" s="126"/>
      <c r="AI286" s="126"/>
      <c r="AJ286" s="127"/>
      <c r="AK286" s="126"/>
      <c r="AL286" s="126"/>
      <c r="AM286" s="127"/>
      <c r="AN286" s="126"/>
      <c r="AO286" s="126"/>
      <c r="AP286" s="127"/>
      <c r="AQ286" s="126"/>
      <c r="AR286" s="126"/>
      <c r="AS286" s="127"/>
      <c r="AT286" s="126"/>
      <c r="AU286" s="126"/>
      <c r="AV286" s="127"/>
      <c r="AW286" s="126"/>
      <c r="AX286" s="126"/>
      <c r="AY286" s="127"/>
      <c r="AZ286" s="126"/>
      <c r="BA286" s="126"/>
      <c r="BB286" s="127"/>
      <c r="BC286" s="126"/>
      <c r="BD286" s="134"/>
      <c r="BE286" s="127"/>
      <c r="BF286" s="126"/>
      <c r="BG286" s="126"/>
      <c r="BH286" s="126"/>
      <c r="BI286" s="126"/>
      <c r="BJ286" s="126"/>
      <c r="BK286" s="126"/>
      <c r="BL286" s="126"/>
      <c r="BM286" s="126"/>
      <c r="BN286" s="126"/>
      <c r="BO286" s="126"/>
      <c r="BP286" s="126"/>
      <c r="BQ286" s="126"/>
      <c r="BR286" s="126"/>
      <c r="BS286" s="126"/>
      <c r="BT286" s="126"/>
      <c r="BU286" s="126"/>
      <c r="BV286" s="126"/>
      <c r="BW286" s="126"/>
      <c r="BX286" s="126"/>
    </row>
    <row r="287">
      <c r="A287" s="126"/>
      <c r="B287" s="126"/>
      <c r="C287" s="127"/>
      <c r="D287" s="126"/>
      <c r="E287" s="126"/>
      <c r="F287" s="127"/>
      <c r="G287" s="126"/>
      <c r="H287" s="127"/>
      <c r="I287" s="126"/>
      <c r="J287" s="126"/>
      <c r="K287" s="127"/>
      <c r="L287" s="126"/>
      <c r="M287" s="126"/>
      <c r="N287" s="127"/>
      <c r="O287" s="126"/>
      <c r="P287" s="126"/>
      <c r="Q287" s="127"/>
      <c r="R287" s="126"/>
      <c r="S287" s="126"/>
      <c r="T287" s="127"/>
      <c r="U287" s="126"/>
      <c r="V287" s="126"/>
      <c r="W287" s="127"/>
      <c r="X287" s="126"/>
      <c r="Y287" s="126"/>
      <c r="Z287" s="127"/>
      <c r="AA287" s="126"/>
      <c r="AB287" s="126"/>
      <c r="AC287" s="127"/>
      <c r="AD287" s="126"/>
      <c r="AE287" s="126"/>
      <c r="AF287" s="126"/>
      <c r="AG287" s="127"/>
      <c r="AH287" s="126"/>
      <c r="AI287" s="126"/>
      <c r="AJ287" s="127"/>
      <c r="AK287" s="126"/>
      <c r="AL287" s="126"/>
      <c r="AM287" s="127"/>
      <c r="AN287" s="126"/>
      <c r="AO287" s="126"/>
      <c r="AP287" s="127"/>
      <c r="AQ287" s="126"/>
      <c r="AR287" s="126"/>
      <c r="AS287" s="127"/>
      <c r="AT287" s="126"/>
      <c r="AU287" s="126"/>
      <c r="AV287" s="127"/>
      <c r="AW287" s="126"/>
      <c r="AX287" s="126"/>
      <c r="AY287" s="127"/>
      <c r="AZ287" s="126"/>
      <c r="BA287" s="126"/>
      <c r="BB287" s="127"/>
      <c r="BC287" s="126"/>
      <c r="BD287" s="134"/>
      <c r="BE287" s="127"/>
      <c r="BF287" s="126"/>
      <c r="BG287" s="126"/>
      <c r="BH287" s="126"/>
      <c r="BI287" s="126"/>
      <c r="BJ287" s="126"/>
      <c r="BK287" s="126"/>
      <c r="BL287" s="126"/>
      <c r="BM287" s="126"/>
      <c r="BN287" s="126"/>
      <c r="BO287" s="126"/>
      <c r="BP287" s="126"/>
      <c r="BQ287" s="126"/>
      <c r="BR287" s="126"/>
      <c r="BS287" s="126"/>
      <c r="BT287" s="126"/>
      <c r="BU287" s="126"/>
      <c r="BV287" s="126"/>
      <c r="BW287" s="126"/>
      <c r="BX287" s="126"/>
    </row>
    <row r="288">
      <c r="A288" s="126"/>
      <c r="B288" s="126"/>
      <c r="C288" s="127"/>
      <c r="D288" s="126"/>
      <c r="E288" s="126"/>
      <c r="F288" s="127"/>
      <c r="G288" s="126"/>
      <c r="H288" s="127"/>
      <c r="I288" s="126"/>
      <c r="J288" s="126"/>
      <c r="K288" s="127"/>
      <c r="L288" s="126"/>
      <c r="M288" s="126"/>
      <c r="N288" s="127"/>
      <c r="O288" s="126"/>
      <c r="P288" s="126"/>
      <c r="Q288" s="127"/>
      <c r="R288" s="126"/>
      <c r="S288" s="126"/>
      <c r="T288" s="127"/>
      <c r="U288" s="126"/>
      <c r="V288" s="126"/>
      <c r="W288" s="127"/>
      <c r="X288" s="126"/>
      <c r="Y288" s="126"/>
      <c r="Z288" s="127"/>
      <c r="AA288" s="126"/>
      <c r="AB288" s="126"/>
      <c r="AC288" s="127"/>
      <c r="AD288" s="126"/>
      <c r="AE288" s="126"/>
      <c r="AF288" s="126"/>
      <c r="AG288" s="127"/>
      <c r="AH288" s="126"/>
      <c r="AI288" s="126"/>
      <c r="AJ288" s="127"/>
      <c r="AK288" s="126"/>
      <c r="AL288" s="126"/>
      <c r="AM288" s="127"/>
      <c r="AN288" s="126"/>
      <c r="AO288" s="126"/>
      <c r="AP288" s="127"/>
      <c r="AQ288" s="126"/>
      <c r="AR288" s="126"/>
      <c r="AS288" s="127"/>
      <c r="AT288" s="126"/>
      <c r="AU288" s="126"/>
      <c r="AV288" s="127"/>
      <c r="AW288" s="126"/>
      <c r="AX288" s="126"/>
      <c r="AY288" s="127"/>
      <c r="AZ288" s="126"/>
      <c r="BA288" s="126"/>
      <c r="BB288" s="127"/>
      <c r="BC288" s="126"/>
      <c r="BD288" s="134"/>
      <c r="BE288" s="127"/>
      <c r="BF288" s="126"/>
      <c r="BG288" s="126"/>
      <c r="BH288" s="126"/>
      <c r="BI288" s="126"/>
      <c r="BJ288" s="126"/>
      <c r="BK288" s="126"/>
      <c r="BL288" s="126"/>
      <c r="BM288" s="126"/>
      <c r="BN288" s="126"/>
      <c r="BO288" s="126"/>
      <c r="BP288" s="126"/>
      <c r="BQ288" s="126"/>
      <c r="BR288" s="126"/>
      <c r="BS288" s="126"/>
      <c r="BT288" s="126"/>
      <c r="BU288" s="126"/>
      <c r="BV288" s="126"/>
      <c r="BW288" s="126"/>
      <c r="BX288" s="126"/>
    </row>
    <row r="289">
      <c r="A289" s="126"/>
      <c r="B289" s="126"/>
      <c r="C289" s="127"/>
      <c r="D289" s="126"/>
      <c r="E289" s="126"/>
      <c r="F289" s="127"/>
      <c r="G289" s="126"/>
      <c r="H289" s="127"/>
      <c r="I289" s="126"/>
      <c r="J289" s="126"/>
      <c r="K289" s="127"/>
      <c r="L289" s="126"/>
      <c r="M289" s="126"/>
      <c r="N289" s="127"/>
      <c r="O289" s="126"/>
      <c r="P289" s="126"/>
      <c r="Q289" s="127"/>
      <c r="R289" s="126"/>
      <c r="S289" s="126"/>
      <c r="T289" s="127"/>
      <c r="U289" s="126"/>
      <c r="V289" s="126"/>
      <c r="W289" s="127"/>
      <c r="X289" s="126"/>
      <c r="Y289" s="126"/>
      <c r="Z289" s="127"/>
      <c r="AA289" s="126"/>
      <c r="AB289" s="126"/>
      <c r="AC289" s="127"/>
      <c r="AD289" s="126"/>
      <c r="AE289" s="126"/>
      <c r="AF289" s="126"/>
      <c r="AG289" s="127"/>
      <c r="AH289" s="126"/>
      <c r="AI289" s="126"/>
      <c r="AJ289" s="127"/>
      <c r="AK289" s="126"/>
      <c r="AL289" s="126"/>
      <c r="AM289" s="127"/>
      <c r="AN289" s="126"/>
      <c r="AO289" s="126"/>
      <c r="AP289" s="127"/>
      <c r="AQ289" s="126"/>
      <c r="AR289" s="126"/>
      <c r="AS289" s="127"/>
      <c r="AT289" s="126"/>
      <c r="AU289" s="126"/>
      <c r="AV289" s="127"/>
      <c r="AW289" s="126"/>
      <c r="AX289" s="126"/>
      <c r="AY289" s="127"/>
      <c r="AZ289" s="126"/>
      <c r="BA289" s="126"/>
      <c r="BB289" s="127"/>
      <c r="BC289" s="126"/>
      <c r="BD289" s="134"/>
      <c r="BE289" s="127"/>
      <c r="BF289" s="126"/>
      <c r="BG289" s="126"/>
      <c r="BH289" s="126"/>
      <c r="BI289" s="126"/>
      <c r="BJ289" s="126"/>
      <c r="BK289" s="126"/>
      <c r="BL289" s="126"/>
      <c r="BM289" s="126"/>
      <c r="BN289" s="126"/>
      <c r="BO289" s="126"/>
      <c r="BP289" s="126"/>
      <c r="BQ289" s="126"/>
      <c r="BR289" s="126"/>
      <c r="BS289" s="126"/>
      <c r="BT289" s="126"/>
      <c r="BU289" s="126"/>
      <c r="BV289" s="126"/>
      <c r="BW289" s="126"/>
      <c r="BX289" s="126"/>
    </row>
    <row r="290">
      <c r="A290" s="126"/>
      <c r="B290" s="126"/>
      <c r="C290" s="127"/>
      <c r="D290" s="126"/>
      <c r="E290" s="126"/>
      <c r="F290" s="127"/>
      <c r="G290" s="126"/>
      <c r="H290" s="127"/>
      <c r="I290" s="126"/>
      <c r="J290" s="126"/>
      <c r="K290" s="127"/>
      <c r="L290" s="126"/>
      <c r="M290" s="126"/>
      <c r="N290" s="127"/>
      <c r="O290" s="126"/>
      <c r="P290" s="126"/>
      <c r="Q290" s="127"/>
      <c r="R290" s="126"/>
      <c r="S290" s="126"/>
      <c r="T290" s="127"/>
      <c r="U290" s="126"/>
      <c r="V290" s="126"/>
      <c r="W290" s="127"/>
      <c r="X290" s="126"/>
      <c r="Y290" s="126"/>
      <c r="Z290" s="127"/>
      <c r="AA290" s="126"/>
      <c r="AB290" s="126"/>
      <c r="AC290" s="127"/>
      <c r="AD290" s="126"/>
      <c r="AE290" s="126"/>
      <c r="AF290" s="126"/>
      <c r="AG290" s="127"/>
      <c r="AH290" s="126"/>
      <c r="AI290" s="126"/>
      <c r="AJ290" s="127"/>
      <c r="AK290" s="126"/>
      <c r="AL290" s="126"/>
      <c r="AM290" s="127"/>
      <c r="AN290" s="126"/>
      <c r="AO290" s="126"/>
      <c r="AP290" s="127"/>
      <c r="AQ290" s="126"/>
      <c r="AR290" s="126"/>
      <c r="AS290" s="127"/>
      <c r="AT290" s="126"/>
      <c r="AU290" s="126"/>
      <c r="AV290" s="127"/>
      <c r="AW290" s="126"/>
      <c r="AX290" s="126"/>
      <c r="AY290" s="127"/>
      <c r="AZ290" s="126"/>
      <c r="BA290" s="126"/>
      <c r="BB290" s="127"/>
      <c r="BC290" s="126"/>
      <c r="BD290" s="134"/>
      <c r="BE290" s="127"/>
      <c r="BF290" s="126"/>
      <c r="BG290" s="126"/>
      <c r="BH290" s="126"/>
      <c r="BI290" s="126"/>
      <c r="BJ290" s="126"/>
      <c r="BK290" s="126"/>
      <c r="BL290" s="126"/>
      <c r="BM290" s="126"/>
      <c r="BN290" s="126"/>
      <c r="BO290" s="126"/>
      <c r="BP290" s="126"/>
      <c r="BQ290" s="126"/>
      <c r="BR290" s="126"/>
      <c r="BS290" s="126"/>
      <c r="BT290" s="126"/>
      <c r="BU290" s="126"/>
      <c r="BV290" s="126"/>
      <c r="BW290" s="126"/>
      <c r="BX290" s="126"/>
    </row>
    <row r="291">
      <c r="A291" s="126"/>
      <c r="B291" s="126"/>
      <c r="C291" s="127"/>
      <c r="D291" s="126"/>
      <c r="E291" s="126"/>
      <c r="F291" s="127"/>
      <c r="G291" s="126"/>
      <c r="H291" s="127"/>
      <c r="I291" s="126"/>
      <c r="J291" s="126"/>
      <c r="K291" s="127"/>
      <c r="L291" s="126"/>
      <c r="M291" s="126"/>
      <c r="N291" s="127"/>
      <c r="O291" s="126"/>
      <c r="P291" s="126"/>
      <c r="Q291" s="127"/>
      <c r="R291" s="126"/>
      <c r="S291" s="126"/>
      <c r="T291" s="127"/>
      <c r="U291" s="126"/>
      <c r="V291" s="126"/>
      <c r="W291" s="127"/>
      <c r="X291" s="126"/>
      <c r="Y291" s="126"/>
      <c r="Z291" s="127"/>
      <c r="AA291" s="126"/>
      <c r="AB291" s="126"/>
      <c r="AC291" s="127"/>
      <c r="AD291" s="126"/>
      <c r="AE291" s="126"/>
      <c r="AF291" s="126"/>
      <c r="AG291" s="127"/>
      <c r="AH291" s="126"/>
      <c r="AI291" s="126"/>
      <c r="AJ291" s="127"/>
      <c r="AK291" s="126"/>
      <c r="AL291" s="126"/>
      <c r="AM291" s="127"/>
      <c r="AN291" s="126"/>
      <c r="AO291" s="126"/>
      <c r="AP291" s="127"/>
      <c r="AQ291" s="126"/>
      <c r="AR291" s="126"/>
      <c r="AS291" s="127"/>
      <c r="AT291" s="126"/>
      <c r="AU291" s="126"/>
      <c r="AV291" s="127"/>
      <c r="AW291" s="126"/>
      <c r="AX291" s="126"/>
      <c r="AY291" s="127"/>
      <c r="AZ291" s="126"/>
      <c r="BA291" s="126"/>
      <c r="BB291" s="127"/>
      <c r="BC291" s="126"/>
      <c r="BD291" s="134"/>
      <c r="BE291" s="127"/>
      <c r="BF291" s="126"/>
      <c r="BG291" s="126"/>
      <c r="BH291" s="126"/>
      <c r="BI291" s="126"/>
      <c r="BJ291" s="126"/>
      <c r="BK291" s="126"/>
      <c r="BL291" s="126"/>
      <c r="BM291" s="126"/>
      <c r="BN291" s="126"/>
      <c r="BO291" s="126"/>
      <c r="BP291" s="126"/>
      <c r="BQ291" s="126"/>
      <c r="BR291" s="126"/>
      <c r="BS291" s="126"/>
      <c r="BT291" s="126"/>
      <c r="BU291" s="126"/>
      <c r="BV291" s="126"/>
      <c r="BW291" s="126"/>
      <c r="BX291" s="126"/>
    </row>
    <row r="292">
      <c r="A292" s="126"/>
      <c r="B292" s="126"/>
      <c r="C292" s="127"/>
      <c r="D292" s="126"/>
      <c r="E292" s="126"/>
      <c r="F292" s="127"/>
      <c r="G292" s="126"/>
      <c r="H292" s="127"/>
      <c r="I292" s="126"/>
      <c r="J292" s="126"/>
      <c r="K292" s="127"/>
      <c r="L292" s="126"/>
      <c r="M292" s="126"/>
      <c r="N292" s="127"/>
      <c r="O292" s="126"/>
      <c r="P292" s="126"/>
      <c r="Q292" s="127"/>
      <c r="R292" s="126"/>
      <c r="S292" s="126"/>
      <c r="T292" s="127"/>
      <c r="U292" s="126"/>
      <c r="V292" s="126"/>
      <c r="W292" s="127"/>
      <c r="X292" s="126"/>
      <c r="Y292" s="126"/>
      <c r="Z292" s="127"/>
      <c r="AA292" s="126"/>
      <c r="AB292" s="126"/>
      <c r="AC292" s="127"/>
      <c r="AD292" s="126"/>
      <c r="AE292" s="126"/>
      <c r="AF292" s="126"/>
      <c r="AG292" s="127"/>
      <c r="AH292" s="126"/>
      <c r="AI292" s="126"/>
      <c r="AJ292" s="127"/>
      <c r="AK292" s="126"/>
      <c r="AL292" s="126"/>
      <c r="AM292" s="127"/>
      <c r="AN292" s="126"/>
      <c r="AO292" s="126"/>
      <c r="AP292" s="127"/>
      <c r="AQ292" s="126"/>
      <c r="AR292" s="126"/>
      <c r="AS292" s="127"/>
      <c r="AT292" s="126"/>
      <c r="AU292" s="126"/>
      <c r="AV292" s="127"/>
      <c r="AW292" s="126"/>
      <c r="AX292" s="126"/>
      <c r="AY292" s="127"/>
      <c r="AZ292" s="126"/>
      <c r="BA292" s="126"/>
      <c r="BB292" s="127"/>
      <c r="BC292" s="126"/>
      <c r="BD292" s="134"/>
      <c r="BE292" s="127"/>
      <c r="BF292" s="126"/>
      <c r="BG292" s="126"/>
      <c r="BH292" s="126"/>
      <c r="BI292" s="126"/>
      <c r="BJ292" s="126"/>
      <c r="BK292" s="126"/>
      <c r="BL292" s="126"/>
      <c r="BM292" s="126"/>
      <c r="BN292" s="126"/>
      <c r="BO292" s="126"/>
      <c r="BP292" s="126"/>
      <c r="BQ292" s="126"/>
      <c r="BR292" s="126"/>
      <c r="BS292" s="126"/>
      <c r="BT292" s="126"/>
      <c r="BU292" s="126"/>
      <c r="BV292" s="126"/>
      <c r="BW292" s="126"/>
      <c r="BX292" s="126"/>
    </row>
    <row r="293">
      <c r="A293" s="126"/>
      <c r="B293" s="126"/>
      <c r="C293" s="127"/>
      <c r="D293" s="126"/>
      <c r="E293" s="126"/>
      <c r="F293" s="127"/>
      <c r="G293" s="126"/>
      <c r="H293" s="127"/>
      <c r="I293" s="126"/>
      <c r="J293" s="126"/>
      <c r="K293" s="127"/>
      <c r="L293" s="126"/>
      <c r="M293" s="126"/>
      <c r="N293" s="127"/>
      <c r="O293" s="126"/>
      <c r="P293" s="126"/>
      <c r="Q293" s="127"/>
      <c r="R293" s="126"/>
      <c r="S293" s="126"/>
      <c r="T293" s="127"/>
      <c r="U293" s="126"/>
      <c r="V293" s="126"/>
      <c r="W293" s="127"/>
      <c r="X293" s="126"/>
      <c r="Y293" s="126"/>
      <c r="Z293" s="127"/>
      <c r="AA293" s="126"/>
      <c r="AB293" s="126"/>
      <c r="AC293" s="127"/>
      <c r="AD293" s="126"/>
      <c r="AE293" s="126"/>
      <c r="AF293" s="126"/>
      <c r="AG293" s="127"/>
      <c r="AH293" s="126"/>
      <c r="AI293" s="126"/>
      <c r="AJ293" s="127"/>
      <c r="AK293" s="126"/>
      <c r="AL293" s="126"/>
      <c r="AM293" s="127"/>
      <c r="AN293" s="126"/>
      <c r="AO293" s="126"/>
      <c r="AP293" s="127"/>
      <c r="AQ293" s="126"/>
      <c r="AR293" s="126"/>
      <c r="AS293" s="127"/>
      <c r="AT293" s="126"/>
      <c r="AU293" s="126"/>
      <c r="AV293" s="127"/>
      <c r="AW293" s="126"/>
      <c r="AX293" s="126"/>
      <c r="AY293" s="127"/>
      <c r="AZ293" s="126"/>
      <c r="BA293" s="126"/>
      <c r="BB293" s="127"/>
      <c r="BC293" s="126"/>
      <c r="BD293" s="134"/>
      <c r="BE293" s="127"/>
      <c r="BF293" s="126"/>
      <c r="BG293" s="126"/>
      <c r="BH293" s="126"/>
      <c r="BI293" s="126"/>
      <c r="BJ293" s="126"/>
      <c r="BK293" s="126"/>
      <c r="BL293" s="126"/>
      <c r="BM293" s="126"/>
      <c r="BN293" s="126"/>
      <c r="BO293" s="126"/>
      <c r="BP293" s="126"/>
      <c r="BQ293" s="126"/>
      <c r="BR293" s="126"/>
      <c r="BS293" s="126"/>
      <c r="BT293" s="126"/>
      <c r="BU293" s="126"/>
      <c r="BV293" s="126"/>
      <c r="BW293" s="126"/>
      <c r="BX293" s="126"/>
    </row>
    <row r="294">
      <c r="A294" s="126"/>
      <c r="B294" s="126"/>
      <c r="C294" s="127"/>
      <c r="D294" s="126"/>
      <c r="E294" s="126"/>
      <c r="F294" s="127"/>
      <c r="G294" s="126"/>
      <c r="H294" s="127"/>
      <c r="I294" s="126"/>
      <c r="J294" s="126"/>
      <c r="K294" s="127"/>
      <c r="L294" s="126"/>
      <c r="M294" s="126"/>
      <c r="N294" s="127"/>
      <c r="O294" s="126"/>
      <c r="P294" s="126"/>
      <c r="Q294" s="127"/>
      <c r="R294" s="126"/>
      <c r="S294" s="126"/>
      <c r="T294" s="127"/>
      <c r="U294" s="126"/>
      <c r="V294" s="126"/>
      <c r="W294" s="127"/>
      <c r="X294" s="126"/>
      <c r="Y294" s="126"/>
      <c r="Z294" s="127"/>
      <c r="AA294" s="126"/>
      <c r="AB294" s="126"/>
      <c r="AC294" s="127"/>
      <c r="AD294" s="126"/>
      <c r="AE294" s="126"/>
      <c r="AF294" s="126"/>
      <c r="AG294" s="127"/>
      <c r="AH294" s="126"/>
      <c r="AI294" s="126"/>
      <c r="AJ294" s="127"/>
      <c r="AK294" s="126"/>
      <c r="AL294" s="126"/>
      <c r="AM294" s="127"/>
      <c r="AN294" s="126"/>
      <c r="AO294" s="126"/>
      <c r="AP294" s="127"/>
      <c r="AQ294" s="126"/>
      <c r="AR294" s="126"/>
      <c r="AS294" s="127"/>
      <c r="AT294" s="126"/>
      <c r="AU294" s="126"/>
      <c r="AV294" s="127"/>
      <c r="AW294" s="126"/>
      <c r="AX294" s="126"/>
      <c r="AY294" s="127"/>
      <c r="AZ294" s="126"/>
      <c r="BA294" s="126"/>
      <c r="BB294" s="127"/>
      <c r="BC294" s="126"/>
      <c r="BD294" s="134"/>
      <c r="BE294" s="127"/>
      <c r="BF294" s="126"/>
      <c r="BG294" s="126"/>
      <c r="BH294" s="126"/>
      <c r="BI294" s="126"/>
      <c r="BJ294" s="126"/>
      <c r="BK294" s="126"/>
      <c r="BL294" s="126"/>
      <c r="BM294" s="126"/>
      <c r="BN294" s="126"/>
      <c r="BO294" s="126"/>
      <c r="BP294" s="126"/>
      <c r="BQ294" s="126"/>
      <c r="BR294" s="126"/>
      <c r="BS294" s="126"/>
      <c r="BT294" s="126"/>
      <c r="BU294" s="126"/>
      <c r="BV294" s="126"/>
      <c r="BW294" s="126"/>
      <c r="BX294" s="126"/>
    </row>
    <row r="295">
      <c r="A295" s="126"/>
      <c r="B295" s="126"/>
      <c r="C295" s="127"/>
      <c r="D295" s="126"/>
      <c r="E295" s="126"/>
      <c r="F295" s="127"/>
      <c r="G295" s="126"/>
      <c r="H295" s="127"/>
      <c r="I295" s="126"/>
      <c r="J295" s="126"/>
      <c r="K295" s="127"/>
      <c r="L295" s="126"/>
      <c r="M295" s="126"/>
      <c r="N295" s="127"/>
      <c r="O295" s="126"/>
      <c r="P295" s="126"/>
      <c r="Q295" s="127"/>
      <c r="R295" s="126"/>
      <c r="S295" s="126"/>
      <c r="T295" s="127"/>
      <c r="U295" s="126"/>
      <c r="V295" s="126"/>
      <c r="W295" s="127"/>
      <c r="X295" s="126"/>
      <c r="Y295" s="126"/>
      <c r="Z295" s="127"/>
      <c r="AA295" s="126"/>
      <c r="AB295" s="126"/>
      <c r="AC295" s="127"/>
      <c r="AD295" s="126"/>
      <c r="AE295" s="126"/>
      <c r="AF295" s="126"/>
      <c r="AG295" s="127"/>
      <c r="AH295" s="126"/>
      <c r="AI295" s="126"/>
      <c r="AJ295" s="127"/>
      <c r="AK295" s="126"/>
      <c r="AL295" s="126"/>
      <c r="AM295" s="127"/>
      <c r="AN295" s="126"/>
      <c r="AO295" s="126"/>
      <c r="AP295" s="127"/>
      <c r="AQ295" s="126"/>
      <c r="AR295" s="126"/>
      <c r="AS295" s="127"/>
      <c r="AT295" s="126"/>
      <c r="AU295" s="126"/>
      <c r="AV295" s="127"/>
      <c r="AW295" s="126"/>
      <c r="AX295" s="126"/>
      <c r="AY295" s="127"/>
      <c r="AZ295" s="126"/>
      <c r="BA295" s="126"/>
      <c r="BB295" s="127"/>
      <c r="BC295" s="126"/>
      <c r="BD295" s="134"/>
      <c r="BE295" s="127"/>
      <c r="BF295" s="126"/>
      <c r="BG295" s="126"/>
      <c r="BH295" s="126"/>
      <c r="BI295" s="126"/>
      <c r="BJ295" s="126"/>
      <c r="BK295" s="126"/>
      <c r="BL295" s="126"/>
      <c r="BM295" s="126"/>
      <c r="BN295" s="126"/>
      <c r="BO295" s="126"/>
      <c r="BP295" s="126"/>
      <c r="BQ295" s="126"/>
      <c r="BR295" s="126"/>
      <c r="BS295" s="126"/>
      <c r="BT295" s="126"/>
      <c r="BU295" s="126"/>
      <c r="BV295" s="126"/>
      <c r="BW295" s="126"/>
      <c r="BX295" s="126"/>
    </row>
    <row r="296">
      <c r="A296" s="126"/>
      <c r="B296" s="126"/>
      <c r="C296" s="127"/>
      <c r="D296" s="126"/>
      <c r="E296" s="126"/>
      <c r="F296" s="127"/>
      <c r="G296" s="126"/>
      <c r="H296" s="127"/>
      <c r="I296" s="126"/>
      <c r="J296" s="126"/>
      <c r="K296" s="127"/>
      <c r="L296" s="126"/>
      <c r="M296" s="126"/>
      <c r="N296" s="127"/>
      <c r="O296" s="126"/>
      <c r="P296" s="126"/>
      <c r="Q296" s="127"/>
      <c r="R296" s="126"/>
      <c r="S296" s="126"/>
      <c r="T296" s="127"/>
      <c r="U296" s="126"/>
      <c r="V296" s="126"/>
      <c r="W296" s="127"/>
      <c r="X296" s="126"/>
      <c r="Y296" s="126"/>
      <c r="Z296" s="127"/>
      <c r="AA296" s="126"/>
      <c r="AB296" s="126"/>
      <c r="AC296" s="127"/>
      <c r="AD296" s="126"/>
      <c r="AE296" s="126"/>
      <c r="AF296" s="126"/>
      <c r="AG296" s="127"/>
      <c r="AH296" s="126"/>
      <c r="AI296" s="126"/>
      <c r="AJ296" s="127"/>
      <c r="AK296" s="126"/>
      <c r="AL296" s="126"/>
      <c r="AM296" s="127"/>
      <c r="AN296" s="126"/>
      <c r="AO296" s="126"/>
      <c r="AP296" s="127"/>
      <c r="AQ296" s="126"/>
      <c r="AR296" s="126"/>
      <c r="AS296" s="127"/>
      <c r="AT296" s="126"/>
      <c r="AU296" s="126"/>
      <c r="AV296" s="127"/>
      <c r="AW296" s="126"/>
      <c r="AX296" s="126"/>
      <c r="AY296" s="127"/>
      <c r="AZ296" s="126"/>
      <c r="BA296" s="126"/>
      <c r="BB296" s="127"/>
      <c r="BC296" s="126"/>
      <c r="BD296" s="134"/>
      <c r="BE296" s="127"/>
      <c r="BF296" s="126"/>
      <c r="BG296" s="126"/>
      <c r="BH296" s="126"/>
      <c r="BI296" s="126"/>
      <c r="BJ296" s="126"/>
      <c r="BK296" s="126"/>
      <c r="BL296" s="126"/>
      <c r="BM296" s="126"/>
      <c r="BN296" s="126"/>
      <c r="BO296" s="126"/>
      <c r="BP296" s="126"/>
      <c r="BQ296" s="126"/>
      <c r="BR296" s="126"/>
      <c r="BS296" s="126"/>
      <c r="BT296" s="126"/>
      <c r="BU296" s="126"/>
      <c r="BV296" s="126"/>
      <c r="BW296" s="126"/>
      <c r="BX296" s="126"/>
    </row>
    <row r="297">
      <c r="A297" s="126"/>
      <c r="B297" s="126"/>
      <c r="C297" s="127"/>
      <c r="D297" s="126"/>
      <c r="E297" s="126"/>
      <c r="F297" s="127"/>
      <c r="G297" s="126"/>
      <c r="H297" s="127"/>
      <c r="I297" s="126"/>
      <c r="J297" s="126"/>
      <c r="K297" s="127"/>
      <c r="L297" s="126"/>
      <c r="M297" s="126"/>
      <c r="N297" s="127"/>
      <c r="O297" s="126"/>
      <c r="P297" s="126"/>
      <c r="Q297" s="127"/>
      <c r="R297" s="126"/>
      <c r="S297" s="126"/>
      <c r="T297" s="127"/>
      <c r="U297" s="126"/>
      <c r="V297" s="126"/>
      <c r="W297" s="127"/>
      <c r="X297" s="126"/>
      <c r="Y297" s="126"/>
      <c r="Z297" s="127"/>
      <c r="AA297" s="126"/>
      <c r="AB297" s="126"/>
      <c r="AC297" s="127"/>
      <c r="AD297" s="126"/>
      <c r="AE297" s="126"/>
      <c r="AF297" s="126"/>
      <c r="AG297" s="127"/>
      <c r="AH297" s="126"/>
      <c r="AI297" s="126"/>
      <c r="AJ297" s="127"/>
      <c r="AK297" s="126"/>
      <c r="AL297" s="126"/>
      <c r="AM297" s="127"/>
      <c r="AN297" s="126"/>
      <c r="AO297" s="126"/>
      <c r="AP297" s="127"/>
      <c r="AQ297" s="126"/>
      <c r="AR297" s="126"/>
      <c r="AS297" s="127"/>
      <c r="AT297" s="126"/>
      <c r="AU297" s="126"/>
      <c r="AV297" s="127"/>
      <c r="AW297" s="126"/>
      <c r="AX297" s="126"/>
      <c r="AY297" s="127"/>
      <c r="AZ297" s="126"/>
      <c r="BA297" s="126"/>
      <c r="BB297" s="127"/>
      <c r="BC297" s="126"/>
      <c r="BD297" s="134"/>
      <c r="BE297" s="127"/>
      <c r="BF297" s="126"/>
      <c r="BG297" s="126"/>
      <c r="BH297" s="126"/>
      <c r="BI297" s="126"/>
      <c r="BJ297" s="126"/>
      <c r="BK297" s="126"/>
      <c r="BL297" s="126"/>
      <c r="BM297" s="126"/>
      <c r="BN297" s="126"/>
      <c r="BO297" s="126"/>
      <c r="BP297" s="126"/>
      <c r="BQ297" s="126"/>
      <c r="BR297" s="126"/>
      <c r="BS297" s="126"/>
      <c r="BT297" s="126"/>
      <c r="BU297" s="126"/>
      <c r="BV297" s="126"/>
      <c r="BW297" s="126"/>
      <c r="BX297" s="126"/>
    </row>
    <row r="298">
      <c r="A298" s="126"/>
      <c r="B298" s="126"/>
      <c r="C298" s="127"/>
      <c r="D298" s="126"/>
      <c r="E298" s="126"/>
      <c r="F298" s="127"/>
      <c r="G298" s="126"/>
      <c r="H298" s="127"/>
      <c r="I298" s="126"/>
      <c r="J298" s="126"/>
      <c r="K298" s="127"/>
      <c r="L298" s="126"/>
      <c r="M298" s="126"/>
      <c r="N298" s="127"/>
      <c r="O298" s="126"/>
      <c r="P298" s="126"/>
      <c r="Q298" s="127"/>
      <c r="R298" s="126"/>
      <c r="S298" s="126"/>
      <c r="T298" s="127"/>
      <c r="U298" s="126"/>
      <c r="V298" s="126"/>
      <c r="W298" s="127"/>
      <c r="X298" s="126"/>
      <c r="Y298" s="126"/>
      <c r="Z298" s="127"/>
      <c r="AA298" s="126"/>
      <c r="AB298" s="126"/>
      <c r="AC298" s="127"/>
      <c r="AD298" s="126"/>
      <c r="AE298" s="126"/>
      <c r="AF298" s="126"/>
      <c r="AG298" s="127"/>
      <c r="AH298" s="126"/>
      <c r="AI298" s="126"/>
      <c r="AJ298" s="127"/>
      <c r="AK298" s="126"/>
      <c r="AL298" s="126"/>
      <c r="AM298" s="127"/>
      <c r="AN298" s="126"/>
      <c r="AO298" s="126"/>
      <c r="AP298" s="127"/>
      <c r="AQ298" s="126"/>
      <c r="AR298" s="126"/>
      <c r="AS298" s="127"/>
      <c r="AT298" s="126"/>
      <c r="AU298" s="126"/>
      <c r="AV298" s="127"/>
      <c r="AW298" s="126"/>
      <c r="AX298" s="126"/>
      <c r="AY298" s="127"/>
      <c r="AZ298" s="126"/>
      <c r="BA298" s="126"/>
      <c r="BB298" s="127"/>
      <c r="BC298" s="126"/>
      <c r="BD298" s="134"/>
      <c r="BE298" s="127"/>
      <c r="BF298" s="126"/>
      <c r="BG298" s="126"/>
      <c r="BH298" s="126"/>
      <c r="BI298" s="126"/>
      <c r="BJ298" s="126"/>
      <c r="BK298" s="126"/>
      <c r="BL298" s="126"/>
      <c r="BM298" s="126"/>
      <c r="BN298" s="126"/>
      <c r="BO298" s="126"/>
      <c r="BP298" s="126"/>
      <c r="BQ298" s="126"/>
      <c r="BR298" s="126"/>
      <c r="BS298" s="126"/>
      <c r="BT298" s="126"/>
      <c r="BU298" s="126"/>
      <c r="BV298" s="126"/>
      <c r="BW298" s="126"/>
      <c r="BX298" s="126"/>
    </row>
    <row r="299">
      <c r="A299" s="126"/>
      <c r="B299" s="126"/>
      <c r="C299" s="127"/>
      <c r="D299" s="126"/>
      <c r="E299" s="126"/>
      <c r="F299" s="127"/>
      <c r="G299" s="126"/>
      <c r="H299" s="127"/>
      <c r="I299" s="126"/>
      <c r="J299" s="126"/>
      <c r="K299" s="127"/>
      <c r="L299" s="126"/>
      <c r="M299" s="126"/>
      <c r="N299" s="127"/>
      <c r="O299" s="126"/>
      <c r="P299" s="126"/>
      <c r="Q299" s="127"/>
      <c r="R299" s="126"/>
      <c r="S299" s="126"/>
      <c r="T299" s="127"/>
      <c r="U299" s="126"/>
      <c r="V299" s="126"/>
      <c r="W299" s="127"/>
      <c r="X299" s="126"/>
      <c r="Y299" s="126"/>
      <c r="Z299" s="127"/>
      <c r="AA299" s="126"/>
      <c r="AB299" s="126"/>
      <c r="AC299" s="127"/>
      <c r="AD299" s="126"/>
      <c r="AE299" s="126"/>
      <c r="AF299" s="126"/>
      <c r="AG299" s="127"/>
      <c r="AH299" s="126"/>
      <c r="AI299" s="126"/>
      <c r="AJ299" s="127"/>
      <c r="AK299" s="126"/>
      <c r="AL299" s="126"/>
      <c r="AM299" s="127"/>
      <c r="AN299" s="126"/>
      <c r="AO299" s="126"/>
      <c r="AP299" s="127"/>
      <c r="AQ299" s="126"/>
      <c r="AR299" s="126"/>
      <c r="AS299" s="127"/>
      <c r="AT299" s="126"/>
      <c r="AU299" s="126"/>
      <c r="AV299" s="127"/>
      <c r="AW299" s="126"/>
      <c r="AX299" s="126"/>
      <c r="AY299" s="127"/>
      <c r="AZ299" s="126"/>
      <c r="BA299" s="126"/>
      <c r="BB299" s="127"/>
      <c r="BC299" s="126"/>
      <c r="BD299" s="134"/>
      <c r="BE299" s="127"/>
      <c r="BF299" s="126"/>
      <c r="BG299" s="126"/>
      <c r="BH299" s="126"/>
      <c r="BI299" s="126"/>
      <c r="BJ299" s="126"/>
      <c r="BK299" s="126"/>
      <c r="BL299" s="126"/>
      <c r="BM299" s="126"/>
      <c r="BN299" s="126"/>
      <c r="BO299" s="126"/>
      <c r="BP299" s="126"/>
      <c r="BQ299" s="126"/>
      <c r="BR299" s="126"/>
      <c r="BS299" s="126"/>
      <c r="BT299" s="126"/>
      <c r="BU299" s="126"/>
      <c r="BV299" s="126"/>
      <c r="BW299" s="126"/>
      <c r="BX299" s="126"/>
    </row>
    <row r="300">
      <c r="A300" s="126"/>
      <c r="B300" s="126"/>
      <c r="C300" s="127"/>
      <c r="D300" s="126"/>
      <c r="E300" s="126"/>
      <c r="F300" s="127"/>
      <c r="G300" s="126"/>
      <c r="H300" s="127"/>
      <c r="I300" s="126"/>
      <c r="J300" s="126"/>
      <c r="K300" s="127"/>
      <c r="L300" s="126"/>
      <c r="M300" s="126"/>
      <c r="N300" s="127"/>
      <c r="O300" s="126"/>
      <c r="P300" s="126"/>
      <c r="Q300" s="127"/>
      <c r="R300" s="126"/>
      <c r="S300" s="126"/>
      <c r="T300" s="127"/>
      <c r="U300" s="126"/>
      <c r="V300" s="126"/>
      <c r="W300" s="127"/>
      <c r="X300" s="126"/>
      <c r="Y300" s="126"/>
      <c r="Z300" s="127"/>
      <c r="AA300" s="126"/>
      <c r="AB300" s="126"/>
      <c r="AC300" s="127"/>
      <c r="AD300" s="126"/>
      <c r="AE300" s="126"/>
      <c r="AF300" s="126"/>
      <c r="AG300" s="127"/>
      <c r="AH300" s="126"/>
      <c r="AI300" s="126"/>
      <c r="AJ300" s="127"/>
      <c r="AK300" s="126"/>
      <c r="AL300" s="126"/>
      <c r="AM300" s="127"/>
      <c r="AN300" s="126"/>
      <c r="AO300" s="126"/>
      <c r="AP300" s="127"/>
      <c r="AQ300" s="126"/>
      <c r="AR300" s="126"/>
      <c r="AS300" s="127"/>
      <c r="AT300" s="126"/>
      <c r="AU300" s="126"/>
      <c r="AV300" s="127"/>
      <c r="AW300" s="126"/>
      <c r="AX300" s="126"/>
      <c r="AY300" s="127"/>
      <c r="AZ300" s="126"/>
      <c r="BA300" s="126"/>
      <c r="BB300" s="127"/>
      <c r="BC300" s="126"/>
      <c r="BD300" s="134"/>
      <c r="BE300" s="127"/>
      <c r="BF300" s="126"/>
      <c r="BG300" s="126"/>
      <c r="BH300" s="126"/>
      <c r="BI300" s="126"/>
      <c r="BJ300" s="126"/>
      <c r="BK300" s="126"/>
      <c r="BL300" s="126"/>
      <c r="BM300" s="126"/>
      <c r="BN300" s="126"/>
      <c r="BO300" s="126"/>
      <c r="BP300" s="126"/>
      <c r="BQ300" s="126"/>
      <c r="BR300" s="126"/>
      <c r="BS300" s="126"/>
      <c r="BT300" s="126"/>
      <c r="BU300" s="126"/>
      <c r="BV300" s="126"/>
      <c r="BW300" s="126"/>
      <c r="BX300" s="126"/>
    </row>
    <row r="301">
      <c r="A301" s="126"/>
      <c r="B301" s="126"/>
      <c r="C301" s="127"/>
      <c r="D301" s="126"/>
      <c r="E301" s="126"/>
      <c r="F301" s="127"/>
      <c r="G301" s="126"/>
      <c r="H301" s="127"/>
      <c r="I301" s="126"/>
      <c r="J301" s="126"/>
      <c r="K301" s="127"/>
      <c r="L301" s="126"/>
      <c r="M301" s="126"/>
      <c r="N301" s="127"/>
      <c r="O301" s="126"/>
      <c r="P301" s="126"/>
      <c r="Q301" s="127"/>
      <c r="R301" s="126"/>
      <c r="S301" s="126"/>
      <c r="T301" s="127"/>
      <c r="U301" s="126"/>
      <c r="V301" s="126"/>
      <c r="W301" s="127"/>
      <c r="X301" s="126"/>
      <c r="Y301" s="126"/>
      <c r="Z301" s="127"/>
      <c r="AA301" s="126"/>
      <c r="AB301" s="126"/>
      <c r="AC301" s="127"/>
      <c r="AD301" s="126"/>
      <c r="AE301" s="126"/>
      <c r="AF301" s="126"/>
      <c r="AG301" s="127"/>
      <c r="AH301" s="126"/>
      <c r="AI301" s="126"/>
      <c r="AJ301" s="127"/>
      <c r="AK301" s="126"/>
      <c r="AL301" s="126"/>
      <c r="AM301" s="127"/>
      <c r="AN301" s="126"/>
      <c r="AO301" s="126"/>
      <c r="AP301" s="127"/>
      <c r="AQ301" s="126"/>
      <c r="AR301" s="126"/>
      <c r="AS301" s="127"/>
      <c r="AT301" s="126"/>
      <c r="AU301" s="126"/>
      <c r="AV301" s="127"/>
      <c r="AW301" s="126"/>
      <c r="AX301" s="126"/>
      <c r="AY301" s="127"/>
      <c r="AZ301" s="126"/>
      <c r="BA301" s="126"/>
      <c r="BB301" s="127"/>
      <c r="BC301" s="126"/>
      <c r="BD301" s="134"/>
      <c r="BE301" s="127"/>
      <c r="BF301" s="126"/>
      <c r="BG301" s="126"/>
      <c r="BH301" s="126"/>
      <c r="BI301" s="126"/>
      <c r="BJ301" s="126"/>
      <c r="BK301" s="126"/>
      <c r="BL301" s="126"/>
      <c r="BM301" s="126"/>
      <c r="BN301" s="126"/>
      <c r="BO301" s="126"/>
      <c r="BP301" s="126"/>
      <c r="BQ301" s="126"/>
      <c r="BR301" s="126"/>
      <c r="BS301" s="126"/>
      <c r="BT301" s="126"/>
      <c r="BU301" s="126"/>
      <c r="BV301" s="126"/>
      <c r="BW301" s="126"/>
      <c r="BX301" s="126"/>
    </row>
    <row r="302">
      <c r="A302" s="126"/>
      <c r="B302" s="126"/>
      <c r="C302" s="127"/>
      <c r="D302" s="126"/>
      <c r="E302" s="126"/>
      <c r="F302" s="127"/>
      <c r="G302" s="126"/>
      <c r="H302" s="127"/>
      <c r="I302" s="126"/>
      <c r="J302" s="126"/>
      <c r="K302" s="127"/>
      <c r="L302" s="126"/>
      <c r="M302" s="126"/>
      <c r="N302" s="127"/>
      <c r="O302" s="126"/>
      <c r="P302" s="126"/>
      <c r="Q302" s="127"/>
      <c r="R302" s="126"/>
      <c r="S302" s="126"/>
      <c r="T302" s="127"/>
      <c r="U302" s="126"/>
      <c r="V302" s="126"/>
      <c r="W302" s="127"/>
      <c r="X302" s="126"/>
      <c r="Y302" s="126"/>
      <c r="Z302" s="127"/>
      <c r="AA302" s="126"/>
      <c r="AB302" s="126"/>
      <c r="AC302" s="127"/>
      <c r="AD302" s="126"/>
      <c r="AE302" s="126"/>
      <c r="AF302" s="126"/>
      <c r="AG302" s="127"/>
      <c r="AH302" s="126"/>
      <c r="AI302" s="126"/>
      <c r="AJ302" s="127"/>
      <c r="AK302" s="126"/>
      <c r="AL302" s="126"/>
      <c r="AM302" s="127"/>
      <c r="AN302" s="126"/>
      <c r="AO302" s="126"/>
      <c r="AP302" s="127"/>
      <c r="AQ302" s="126"/>
      <c r="AR302" s="126"/>
      <c r="AS302" s="127"/>
      <c r="AT302" s="126"/>
      <c r="AU302" s="126"/>
      <c r="AV302" s="127"/>
      <c r="AW302" s="126"/>
      <c r="AX302" s="126"/>
      <c r="AY302" s="127"/>
      <c r="AZ302" s="126"/>
      <c r="BA302" s="126"/>
      <c r="BB302" s="127"/>
      <c r="BC302" s="126"/>
      <c r="BD302" s="134"/>
      <c r="BE302" s="127"/>
      <c r="BF302" s="126"/>
      <c r="BG302" s="126"/>
      <c r="BH302" s="126"/>
      <c r="BI302" s="126"/>
      <c r="BJ302" s="126"/>
      <c r="BK302" s="126"/>
      <c r="BL302" s="126"/>
      <c r="BM302" s="126"/>
      <c r="BN302" s="126"/>
      <c r="BO302" s="126"/>
      <c r="BP302" s="126"/>
      <c r="BQ302" s="126"/>
      <c r="BR302" s="126"/>
      <c r="BS302" s="126"/>
      <c r="BT302" s="126"/>
      <c r="BU302" s="126"/>
      <c r="BV302" s="126"/>
      <c r="BW302" s="126"/>
      <c r="BX302" s="126"/>
    </row>
    <row r="303">
      <c r="A303" s="126"/>
      <c r="B303" s="126"/>
      <c r="C303" s="127"/>
      <c r="D303" s="126"/>
      <c r="E303" s="126"/>
      <c r="F303" s="127"/>
      <c r="G303" s="126"/>
      <c r="H303" s="127"/>
      <c r="I303" s="126"/>
      <c r="J303" s="126"/>
      <c r="K303" s="127"/>
      <c r="L303" s="126"/>
      <c r="M303" s="126"/>
      <c r="N303" s="127"/>
      <c r="O303" s="126"/>
      <c r="P303" s="126"/>
      <c r="Q303" s="127"/>
      <c r="R303" s="126"/>
      <c r="S303" s="126"/>
      <c r="T303" s="127"/>
      <c r="U303" s="126"/>
      <c r="V303" s="126"/>
      <c r="W303" s="127"/>
      <c r="X303" s="126"/>
      <c r="Y303" s="126"/>
      <c r="Z303" s="127"/>
      <c r="AA303" s="126"/>
      <c r="AB303" s="126"/>
      <c r="AC303" s="127"/>
      <c r="AD303" s="126"/>
      <c r="AE303" s="126"/>
      <c r="AF303" s="126"/>
      <c r="AG303" s="127"/>
      <c r="AH303" s="126"/>
      <c r="AI303" s="126"/>
      <c r="AJ303" s="127"/>
      <c r="AK303" s="126"/>
      <c r="AL303" s="126"/>
      <c r="AM303" s="127"/>
      <c r="AN303" s="126"/>
      <c r="AO303" s="126"/>
      <c r="AP303" s="127"/>
      <c r="AQ303" s="126"/>
      <c r="AR303" s="126"/>
      <c r="AS303" s="127"/>
      <c r="AT303" s="126"/>
      <c r="AU303" s="126"/>
      <c r="AV303" s="127"/>
      <c r="AW303" s="126"/>
      <c r="AX303" s="126"/>
      <c r="AY303" s="127"/>
      <c r="AZ303" s="126"/>
      <c r="BA303" s="126"/>
      <c r="BB303" s="127"/>
      <c r="BC303" s="126"/>
      <c r="BD303" s="134"/>
      <c r="BE303" s="127"/>
      <c r="BF303" s="126"/>
      <c r="BG303" s="126"/>
      <c r="BH303" s="126"/>
      <c r="BI303" s="126"/>
      <c r="BJ303" s="126"/>
      <c r="BK303" s="126"/>
      <c r="BL303" s="126"/>
      <c r="BM303" s="126"/>
      <c r="BN303" s="126"/>
      <c r="BO303" s="126"/>
      <c r="BP303" s="126"/>
      <c r="BQ303" s="126"/>
      <c r="BR303" s="126"/>
      <c r="BS303" s="126"/>
      <c r="BT303" s="126"/>
      <c r="BU303" s="126"/>
      <c r="BV303" s="126"/>
      <c r="BW303" s="126"/>
      <c r="BX303" s="126"/>
    </row>
    <row r="304">
      <c r="A304" s="126"/>
      <c r="B304" s="126"/>
      <c r="C304" s="127"/>
      <c r="D304" s="126"/>
      <c r="E304" s="126"/>
      <c r="F304" s="127"/>
      <c r="G304" s="126"/>
      <c r="H304" s="127"/>
      <c r="I304" s="126"/>
      <c r="J304" s="126"/>
      <c r="K304" s="127"/>
      <c r="L304" s="126"/>
      <c r="M304" s="126"/>
      <c r="N304" s="127"/>
      <c r="O304" s="126"/>
      <c r="P304" s="126"/>
      <c r="Q304" s="127"/>
      <c r="R304" s="126"/>
      <c r="S304" s="126"/>
      <c r="T304" s="127"/>
      <c r="U304" s="126"/>
      <c r="V304" s="126"/>
      <c r="W304" s="127"/>
      <c r="X304" s="126"/>
      <c r="Y304" s="126"/>
      <c r="Z304" s="127"/>
      <c r="AA304" s="126"/>
      <c r="AB304" s="126"/>
      <c r="AC304" s="127"/>
      <c r="AD304" s="126"/>
      <c r="AE304" s="126"/>
      <c r="AF304" s="126"/>
      <c r="AG304" s="127"/>
      <c r="AH304" s="126"/>
      <c r="AI304" s="126"/>
      <c r="AJ304" s="127"/>
      <c r="AK304" s="126"/>
      <c r="AL304" s="126"/>
      <c r="AM304" s="127"/>
      <c r="AN304" s="126"/>
      <c r="AO304" s="126"/>
      <c r="AP304" s="127"/>
      <c r="AQ304" s="126"/>
      <c r="AR304" s="126"/>
      <c r="AS304" s="127"/>
      <c r="AT304" s="126"/>
      <c r="AU304" s="126"/>
      <c r="AV304" s="127"/>
      <c r="AW304" s="126"/>
      <c r="AX304" s="126"/>
      <c r="AY304" s="127"/>
      <c r="AZ304" s="126"/>
      <c r="BA304" s="126"/>
      <c r="BB304" s="127"/>
      <c r="BC304" s="126"/>
      <c r="BD304" s="134"/>
      <c r="BE304" s="127"/>
      <c r="BF304" s="126"/>
      <c r="BG304" s="126"/>
      <c r="BH304" s="126"/>
      <c r="BI304" s="126"/>
      <c r="BJ304" s="126"/>
      <c r="BK304" s="126"/>
      <c r="BL304" s="126"/>
      <c r="BM304" s="126"/>
      <c r="BN304" s="126"/>
      <c r="BO304" s="126"/>
      <c r="BP304" s="126"/>
      <c r="BQ304" s="126"/>
      <c r="BR304" s="126"/>
      <c r="BS304" s="126"/>
      <c r="BT304" s="126"/>
      <c r="BU304" s="126"/>
      <c r="BV304" s="126"/>
      <c r="BW304" s="126"/>
      <c r="BX304" s="126"/>
    </row>
    <row r="305">
      <c r="A305" s="126"/>
      <c r="B305" s="126"/>
      <c r="C305" s="127"/>
      <c r="D305" s="126"/>
      <c r="E305" s="126"/>
      <c r="F305" s="127"/>
      <c r="G305" s="126"/>
      <c r="H305" s="127"/>
      <c r="I305" s="126"/>
      <c r="J305" s="126"/>
      <c r="K305" s="127"/>
      <c r="L305" s="126"/>
      <c r="M305" s="126"/>
      <c r="N305" s="127"/>
      <c r="O305" s="126"/>
      <c r="P305" s="126"/>
      <c r="Q305" s="127"/>
      <c r="R305" s="126"/>
      <c r="S305" s="126"/>
      <c r="T305" s="127"/>
      <c r="U305" s="126"/>
      <c r="V305" s="126"/>
      <c r="W305" s="127"/>
      <c r="X305" s="126"/>
      <c r="Y305" s="126"/>
      <c r="Z305" s="127"/>
      <c r="AA305" s="126"/>
      <c r="AB305" s="126"/>
      <c r="AC305" s="127"/>
      <c r="AD305" s="126"/>
      <c r="AE305" s="126"/>
      <c r="AF305" s="126"/>
      <c r="AG305" s="127"/>
      <c r="AH305" s="126"/>
      <c r="AI305" s="126"/>
      <c r="AJ305" s="127"/>
      <c r="AK305" s="126"/>
      <c r="AL305" s="126"/>
      <c r="AM305" s="127"/>
      <c r="AN305" s="126"/>
      <c r="AO305" s="126"/>
      <c r="AP305" s="127"/>
      <c r="AQ305" s="126"/>
      <c r="AR305" s="126"/>
      <c r="AS305" s="127"/>
      <c r="AT305" s="126"/>
      <c r="AU305" s="126"/>
      <c r="AV305" s="127"/>
      <c r="AW305" s="126"/>
      <c r="AX305" s="126"/>
      <c r="AY305" s="127"/>
      <c r="AZ305" s="126"/>
      <c r="BA305" s="126"/>
      <c r="BB305" s="127"/>
      <c r="BC305" s="126"/>
      <c r="BD305" s="134"/>
      <c r="BE305" s="127"/>
      <c r="BF305" s="126"/>
      <c r="BG305" s="126"/>
      <c r="BH305" s="126"/>
      <c r="BI305" s="126"/>
      <c r="BJ305" s="126"/>
      <c r="BK305" s="126"/>
      <c r="BL305" s="126"/>
      <c r="BM305" s="126"/>
      <c r="BN305" s="126"/>
      <c r="BO305" s="126"/>
      <c r="BP305" s="126"/>
      <c r="BQ305" s="126"/>
      <c r="BR305" s="126"/>
      <c r="BS305" s="126"/>
      <c r="BT305" s="126"/>
      <c r="BU305" s="126"/>
      <c r="BV305" s="126"/>
      <c r="BW305" s="126"/>
      <c r="BX305" s="126"/>
    </row>
    <row r="306">
      <c r="A306" s="126"/>
      <c r="B306" s="126"/>
      <c r="C306" s="127"/>
      <c r="D306" s="126"/>
      <c r="E306" s="126"/>
      <c r="F306" s="127"/>
      <c r="G306" s="126"/>
      <c r="H306" s="127"/>
      <c r="I306" s="126"/>
      <c r="J306" s="126"/>
      <c r="K306" s="127"/>
      <c r="L306" s="126"/>
      <c r="M306" s="126"/>
      <c r="N306" s="127"/>
      <c r="O306" s="126"/>
      <c r="P306" s="126"/>
      <c r="Q306" s="127"/>
      <c r="R306" s="126"/>
      <c r="S306" s="126"/>
      <c r="T306" s="127"/>
      <c r="U306" s="126"/>
      <c r="V306" s="126"/>
      <c r="W306" s="127"/>
      <c r="X306" s="126"/>
      <c r="Y306" s="126"/>
      <c r="Z306" s="127"/>
      <c r="AA306" s="126"/>
      <c r="AB306" s="126"/>
      <c r="AC306" s="127"/>
      <c r="AD306" s="126"/>
      <c r="AE306" s="126"/>
      <c r="AF306" s="126"/>
      <c r="AG306" s="127"/>
      <c r="AH306" s="126"/>
      <c r="AI306" s="126"/>
      <c r="AJ306" s="127"/>
      <c r="AK306" s="126"/>
      <c r="AL306" s="126"/>
      <c r="AM306" s="127"/>
      <c r="AN306" s="126"/>
      <c r="AO306" s="126"/>
      <c r="AP306" s="127"/>
      <c r="AQ306" s="126"/>
      <c r="AR306" s="126"/>
      <c r="AS306" s="127"/>
      <c r="AT306" s="126"/>
      <c r="AU306" s="126"/>
      <c r="AV306" s="127"/>
      <c r="AW306" s="126"/>
      <c r="AX306" s="126"/>
      <c r="AY306" s="127"/>
      <c r="AZ306" s="126"/>
      <c r="BA306" s="126"/>
      <c r="BB306" s="127"/>
      <c r="BC306" s="126"/>
      <c r="BD306" s="134"/>
      <c r="BE306" s="127"/>
      <c r="BF306" s="126"/>
      <c r="BG306" s="126"/>
      <c r="BH306" s="126"/>
      <c r="BI306" s="126"/>
      <c r="BJ306" s="126"/>
      <c r="BK306" s="126"/>
      <c r="BL306" s="126"/>
      <c r="BM306" s="126"/>
      <c r="BN306" s="126"/>
      <c r="BO306" s="126"/>
      <c r="BP306" s="126"/>
      <c r="BQ306" s="126"/>
      <c r="BR306" s="126"/>
      <c r="BS306" s="126"/>
      <c r="BT306" s="126"/>
      <c r="BU306" s="126"/>
      <c r="BV306" s="126"/>
      <c r="BW306" s="126"/>
      <c r="BX306" s="126"/>
    </row>
    <row r="307">
      <c r="A307" s="126"/>
      <c r="B307" s="126"/>
      <c r="C307" s="127"/>
      <c r="D307" s="126"/>
      <c r="E307" s="126"/>
      <c r="F307" s="127"/>
      <c r="G307" s="126"/>
      <c r="H307" s="127"/>
      <c r="I307" s="126"/>
      <c r="J307" s="126"/>
      <c r="K307" s="127"/>
      <c r="L307" s="126"/>
      <c r="M307" s="126"/>
      <c r="N307" s="127"/>
      <c r="O307" s="126"/>
      <c r="P307" s="126"/>
      <c r="Q307" s="127"/>
      <c r="R307" s="126"/>
      <c r="S307" s="126"/>
      <c r="T307" s="127"/>
      <c r="U307" s="126"/>
      <c r="V307" s="126"/>
      <c r="W307" s="127"/>
      <c r="X307" s="126"/>
      <c r="Y307" s="126"/>
      <c r="Z307" s="127"/>
      <c r="AA307" s="126"/>
      <c r="AB307" s="126"/>
      <c r="AC307" s="127"/>
      <c r="AD307" s="126"/>
      <c r="AE307" s="126"/>
      <c r="AF307" s="126"/>
      <c r="AG307" s="127"/>
      <c r="AH307" s="126"/>
      <c r="AI307" s="126"/>
      <c r="AJ307" s="127"/>
      <c r="AK307" s="126"/>
      <c r="AL307" s="126"/>
      <c r="AM307" s="127"/>
      <c r="AN307" s="126"/>
      <c r="AO307" s="126"/>
      <c r="AP307" s="127"/>
      <c r="AQ307" s="126"/>
      <c r="AR307" s="126"/>
      <c r="AS307" s="127"/>
      <c r="AT307" s="126"/>
      <c r="AU307" s="126"/>
      <c r="AV307" s="127"/>
      <c r="AW307" s="126"/>
      <c r="AX307" s="126"/>
      <c r="AY307" s="127"/>
      <c r="AZ307" s="126"/>
      <c r="BA307" s="126"/>
      <c r="BB307" s="127"/>
      <c r="BC307" s="126"/>
      <c r="BD307" s="134"/>
      <c r="BE307" s="127"/>
      <c r="BF307" s="126"/>
      <c r="BG307" s="126"/>
      <c r="BH307" s="126"/>
      <c r="BI307" s="126"/>
      <c r="BJ307" s="126"/>
      <c r="BK307" s="126"/>
      <c r="BL307" s="126"/>
      <c r="BM307" s="126"/>
      <c r="BN307" s="126"/>
      <c r="BO307" s="126"/>
      <c r="BP307" s="126"/>
      <c r="BQ307" s="126"/>
      <c r="BR307" s="126"/>
      <c r="BS307" s="126"/>
      <c r="BT307" s="126"/>
      <c r="BU307" s="126"/>
      <c r="BV307" s="126"/>
      <c r="BW307" s="126"/>
      <c r="BX307" s="126"/>
    </row>
    <row r="308">
      <c r="A308" s="126"/>
      <c r="B308" s="126"/>
      <c r="C308" s="127"/>
      <c r="D308" s="126"/>
      <c r="E308" s="126"/>
      <c r="F308" s="127"/>
      <c r="G308" s="126"/>
      <c r="H308" s="127"/>
      <c r="I308" s="126"/>
      <c r="J308" s="126"/>
      <c r="K308" s="127"/>
      <c r="L308" s="126"/>
      <c r="M308" s="126"/>
      <c r="N308" s="127"/>
      <c r="O308" s="126"/>
      <c r="P308" s="126"/>
      <c r="Q308" s="127"/>
      <c r="R308" s="126"/>
      <c r="S308" s="126"/>
      <c r="T308" s="127"/>
      <c r="U308" s="126"/>
      <c r="V308" s="126"/>
      <c r="W308" s="127"/>
      <c r="X308" s="126"/>
      <c r="Y308" s="126"/>
      <c r="Z308" s="127"/>
      <c r="AA308" s="126"/>
      <c r="AB308" s="126"/>
      <c r="AC308" s="127"/>
      <c r="AD308" s="126"/>
      <c r="AE308" s="126"/>
      <c r="AF308" s="126"/>
      <c r="AG308" s="127"/>
      <c r="AH308" s="126"/>
      <c r="AI308" s="126"/>
      <c r="AJ308" s="127"/>
      <c r="AK308" s="126"/>
      <c r="AL308" s="126"/>
      <c r="AM308" s="127"/>
      <c r="AN308" s="126"/>
      <c r="AO308" s="126"/>
      <c r="AP308" s="127"/>
      <c r="AQ308" s="126"/>
      <c r="AR308" s="126"/>
      <c r="AS308" s="127"/>
      <c r="AT308" s="126"/>
      <c r="AU308" s="126"/>
      <c r="AV308" s="127"/>
      <c r="AW308" s="126"/>
      <c r="AX308" s="126"/>
      <c r="AY308" s="127"/>
      <c r="AZ308" s="126"/>
      <c r="BA308" s="126"/>
      <c r="BB308" s="127"/>
      <c r="BC308" s="126"/>
      <c r="BD308" s="134"/>
      <c r="BE308" s="127"/>
      <c r="BF308" s="126"/>
      <c r="BG308" s="126"/>
      <c r="BH308" s="126"/>
      <c r="BI308" s="126"/>
      <c r="BJ308" s="126"/>
      <c r="BK308" s="126"/>
      <c r="BL308" s="126"/>
      <c r="BM308" s="126"/>
      <c r="BN308" s="126"/>
      <c r="BO308" s="126"/>
      <c r="BP308" s="126"/>
      <c r="BQ308" s="126"/>
      <c r="BR308" s="126"/>
      <c r="BS308" s="126"/>
      <c r="BT308" s="126"/>
      <c r="BU308" s="126"/>
      <c r="BV308" s="126"/>
      <c r="BW308" s="126"/>
      <c r="BX308" s="126"/>
    </row>
    <row r="309">
      <c r="A309" s="126"/>
      <c r="B309" s="126"/>
      <c r="C309" s="127"/>
      <c r="D309" s="126"/>
      <c r="E309" s="126"/>
      <c r="F309" s="127"/>
      <c r="G309" s="126"/>
      <c r="H309" s="127"/>
      <c r="I309" s="126"/>
      <c r="J309" s="126"/>
      <c r="K309" s="127"/>
      <c r="L309" s="126"/>
      <c r="M309" s="126"/>
      <c r="N309" s="127"/>
      <c r="O309" s="126"/>
      <c r="P309" s="126"/>
      <c r="Q309" s="127"/>
      <c r="R309" s="126"/>
      <c r="S309" s="126"/>
      <c r="T309" s="127"/>
      <c r="U309" s="126"/>
      <c r="V309" s="126"/>
      <c r="W309" s="127"/>
      <c r="X309" s="126"/>
      <c r="Y309" s="126"/>
      <c r="Z309" s="127"/>
      <c r="AA309" s="126"/>
      <c r="AB309" s="126"/>
      <c r="AC309" s="127"/>
      <c r="AD309" s="126"/>
      <c r="AE309" s="126"/>
      <c r="AF309" s="126"/>
      <c r="AG309" s="127"/>
      <c r="AH309" s="126"/>
      <c r="AI309" s="126"/>
      <c r="AJ309" s="127"/>
      <c r="AK309" s="126"/>
      <c r="AL309" s="126"/>
      <c r="AM309" s="127"/>
      <c r="AN309" s="126"/>
      <c r="AO309" s="126"/>
      <c r="AP309" s="127"/>
      <c r="AQ309" s="126"/>
      <c r="AR309" s="126"/>
      <c r="AS309" s="127"/>
      <c r="AT309" s="126"/>
      <c r="AU309" s="126"/>
      <c r="AV309" s="127"/>
      <c r="AW309" s="126"/>
      <c r="AX309" s="126"/>
      <c r="AY309" s="127"/>
      <c r="AZ309" s="126"/>
      <c r="BA309" s="126"/>
      <c r="BB309" s="127"/>
      <c r="BC309" s="126"/>
      <c r="BD309" s="134"/>
      <c r="BE309" s="127"/>
      <c r="BF309" s="126"/>
      <c r="BG309" s="126"/>
      <c r="BH309" s="126"/>
      <c r="BI309" s="126"/>
      <c r="BJ309" s="126"/>
      <c r="BK309" s="126"/>
      <c r="BL309" s="126"/>
      <c r="BM309" s="126"/>
      <c r="BN309" s="126"/>
      <c r="BO309" s="126"/>
      <c r="BP309" s="126"/>
      <c r="BQ309" s="126"/>
      <c r="BR309" s="126"/>
      <c r="BS309" s="126"/>
      <c r="BT309" s="126"/>
      <c r="BU309" s="126"/>
      <c r="BV309" s="126"/>
      <c r="BW309" s="126"/>
      <c r="BX309" s="126"/>
    </row>
    <row r="310">
      <c r="A310" s="126"/>
      <c r="B310" s="126"/>
      <c r="C310" s="127"/>
      <c r="D310" s="126"/>
      <c r="E310" s="126"/>
      <c r="F310" s="127"/>
      <c r="G310" s="126"/>
      <c r="H310" s="127"/>
      <c r="I310" s="126"/>
      <c r="J310" s="126"/>
      <c r="K310" s="127"/>
      <c r="L310" s="126"/>
      <c r="M310" s="126"/>
      <c r="N310" s="127"/>
      <c r="O310" s="126"/>
      <c r="P310" s="126"/>
      <c r="Q310" s="127"/>
      <c r="R310" s="126"/>
      <c r="S310" s="126"/>
      <c r="T310" s="127"/>
      <c r="U310" s="126"/>
      <c r="V310" s="126"/>
      <c r="W310" s="127"/>
      <c r="X310" s="126"/>
      <c r="Y310" s="126"/>
      <c r="Z310" s="127"/>
      <c r="AA310" s="126"/>
      <c r="AB310" s="126"/>
      <c r="AC310" s="127"/>
      <c r="AD310" s="126"/>
      <c r="AE310" s="126"/>
      <c r="AF310" s="126"/>
      <c r="AG310" s="127"/>
      <c r="AH310" s="126"/>
      <c r="AI310" s="126"/>
      <c r="AJ310" s="127"/>
      <c r="AK310" s="126"/>
      <c r="AL310" s="126"/>
      <c r="AM310" s="127"/>
      <c r="AN310" s="126"/>
      <c r="AO310" s="126"/>
      <c r="AP310" s="127"/>
      <c r="AQ310" s="126"/>
      <c r="AR310" s="126"/>
      <c r="AS310" s="127"/>
      <c r="AT310" s="126"/>
      <c r="AU310" s="126"/>
      <c r="AV310" s="127"/>
      <c r="AW310" s="126"/>
      <c r="AX310" s="126"/>
      <c r="AY310" s="127"/>
      <c r="AZ310" s="126"/>
      <c r="BA310" s="126"/>
      <c r="BB310" s="127"/>
      <c r="BC310" s="126"/>
      <c r="BD310" s="134"/>
      <c r="BE310" s="127"/>
      <c r="BF310" s="126"/>
      <c r="BG310" s="126"/>
      <c r="BH310" s="126"/>
      <c r="BI310" s="126"/>
      <c r="BJ310" s="126"/>
      <c r="BK310" s="126"/>
      <c r="BL310" s="126"/>
      <c r="BM310" s="126"/>
      <c r="BN310" s="126"/>
      <c r="BO310" s="126"/>
      <c r="BP310" s="126"/>
      <c r="BQ310" s="126"/>
      <c r="BR310" s="126"/>
      <c r="BS310" s="126"/>
      <c r="BT310" s="126"/>
      <c r="BU310" s="126"/>
      <c r="BV310" s="126"/>
      <c r="BW310" s="126"/>
      <c r="BX310" s="126"/>
    </row>
    <row r="311">
      <c r="A311" s="126"/>
      <c r="B311" s="126"/>
      <c r="C311" s="127"/>
      <c r="D311" s="126"/>
      <c r="E311" s="126"/>
      <c r="F311" s="127"/>
      <c r="G311" s="126"/>
      <c r="H311" s="127"/>
      <c r="I311" s="126"/>
      <c r="J311" s="126"/>
      <c r="K311" s="127"/>
      <c r="L311" s="126"/>
      <c r="M311" s="126"/>
      <c r="N311" s="127"/>
      <c r="O311" s="126"/>
      <c r="P311" s="126"/>
      <c r="Q311" s="127"/>
      <c r="R311" s="126"/>
      <c r="S311" s="126"/>
      <c r="T311" s="127"/>
      <c r="U311" s="126"/>
      <c r="V311" s="126"/>
      <c r="W311" s="127"/>
      <c r="X311" s="126"/>
      <c r="Y311" s="126"/>
      <c r="Z311" s="127"/>
      <c r="AA311" s="126"/>
      <c r="AB311" s="126"/>
      <c r="AC311" s="127"/>
      <c r="AD311" s="126"/>
      <c r="AE311" s="126"/>
      <c r="AF311" s="126"/>
      <c r="AG311" s="127"/>
      <c r="AH311" s="126"/>
      <c r="AI311" s="126"/>
      <c r="AJ311" s="127"/>
      <c r="AK311" s="126"/>
      <c r="AL311" s="126"/>
      <c r="AM311" s="127"/>
      <c r="AN311" s="126"/>
      <c r="AO311" s="126"/>
      <c r="AP311" s="127"/>
      <c r="AQ311" s="126"/>
      <c r="AR311" s="126"/>
      <c r="AS311" s="127"/>
      <c r="AT311" s="126"/>
      <c r="AU311" s="126"/>
      <c r="AV311" s="127"/>
      <c r="AW311" s="126"/>
      <c r="AX311" s="126"/>
      <c r="AY311" s="127"/>
      <c r="AZ311" s="126"/>
      <c r="BA311" s="126"/>
      <c r="BB311" s="127"/>
      <c r="BC311" s="126"/>
      <c r="BD311" s="134"/>
      <c r="BE311" s="127"/>
      <c r="BF311" s="126"/>
      <c r="BG311" s="126"/>
      <c r="BH311" s="126"/>
      <c r="BI311" s="126"/>
      <c r="BJ311" s="126"/>
      <c r="BK311" s="126"/>
      <c r="BL311" s="126"/>
      <c r="BM311" s="126"/>
      <c r="BN311" s="126"/>
      <c r="BO311" s="126"/>
      <c r="BP311" s="126"/>
      <c r="BQ311" s="126"/>
      <c r="BR311" s="126"/>
      <c r="BS311" s="126"/>
      <c r="BT311" s="126"/>
      <c r="BU311" s="126"/>
      <c r="BV311" s="126"/>
      <c r="BW311" s="126"/>
      <c r="BX311" s="126"/>
    </row>
    <row r="312">
      <c r="A312" s="126"/>
      <c r="B312" s="126"/>
      <c r="C312" s="127"/>
      <c r="D312" s="126"/>
      <c r="E312" s="126"/>
      <c r="F312" s="127"/>
      <c r="G312" s="126"/>
      <c r="H312" s="127"/>
      <c r="I312" s="126"/>
      <c r="J312" s="126"/>
      <c r="K312" s="127"/>
      <c r="L312" s="126"/>
      <c r="M312" s="126"/>
      <c r="N312" s="127"/>
      <c r="O312" s="126"/>
      <c r="P312" s="126"/>
      <c r="Q312" s="127"/>
      <c r="R312" s="126"/>
      <c r="S312" s="126"/>
      <c r="T312" s="127"/>
      <c r="U312" s="126"/>
      <c r="V312" s="126"/>
      <c r="W312" s="127"/>
      <c r="X312" s="126"/>
      <c r="Y312" s="126"/>
      <c r="Z312" s="127"/>
      <c r="AA312" s="126"/>
      <c r="AB312" s="126"/>
      <c r="AC312" s="127"/>
      <c r="AD312" s="126"/>
      <c r="AE312" s="126"/>
      <c r="AF312" s="126"/>
      <c r="AG312" s="127"/>
      <c r="AH312" s="126"/>
      <c r="AI312" s="126"/>
      <c r="AJ312" s="127"/>
      <c r="AK312" s="126"/>
      <c r="AL312" s="126"/>
      <c r="AM312" s="127"/>
      <c r="AN312" s="126"/>
      <c r="AO312" s="126"/>
      <c r="AP312" s="127"/>
      <c r="AQ312" s="126"/>
      <c r="AR312" s="126"/>
      <c r="AS312" s="127"/>
      <c r="AT312" s="126"/>
      <c r="AU312" s="126"/>
      <c r="AV312" s="127"/>
      <c r="AW312" s="126"/>
      <c r="AX312" s="126"/>
      <c r="AY312" s="127"/>
      <c r="AZ312" s="126"/>
      <c r="BA312" s="126"/>
      <c r="BB312" s="127"/>
      <c r="BC312" s="126"/>
      <c r="BD312" s="134"/>
      <c r="BE312" s="127"/>
      <c r="BF312" s="126"/>
      <c r="BG312" s="126"/>
      <c r="BH312" s="126"/>
      <c r="BI312" s="126"/>
      <c r="BJ312" s="126"/>
      <c r="BK312" s="126"/>
      <c r="BL312" s="126"/>
      <c r="BM312" s="126"/>
      <c r="BN312" s="126"/>
      <c r="BO312" s="126"/>
      <c r="BP312" s="126"/>
      <c r="BQ312" s="126"/>
      <c r="BR312" s="126"/>
      <c r="BS312" s="126"/>
      <c r="BT312" s="126"/>
      <c r="BU312" s="126"/>
      <c r="BV312" s="126"/>
      <c r="BW312" s="126"/>
      <c r="BX312" s="126"/>
    </row>
    <row r="313">
      <c r="A313" s="126"/>
      <c r="B313" s="126"/>
      <c r="C313" s="127"/>
      <c r="D313" s="126"/>
      <c r="E313" s="126"/>
      <c r="F313" s="127"/>
      <c r="G313" s="126"/>
      <c r="H313" s="127"/>
      <c r="I313" s="126"/>
      <c r="J313" s="126"/>
      <c r="K313" s="127"/>
      <c r="L313" s="126"/>
      <c r="M313" s="126"/>
      <c r="N313" s="127"/>
      <c r="O313" s="126"/>
      <c r="P313" s="126"/>
      <c r="Q313" s="127"/>
      <c r="R313" s="126"/>
      <c r="S313" s="126"/>
      <c r="T313" s="127"/>
      <c r="U313" s="126"/>
      <c r="V313" s="126"/>
      <c r="W313" s="127"/>
      <c r="X313" s="126"/>
      <c r="Y313" s="126"/>
      <c r="Z313" s="127"/>
      <c r="AA313" s="126"/>
      <c r="AB313" s="126"/>
      <c r="AC313" s="127"/>
      <c r="AD313" s="126"/>
      <c r="AE313" s="126"/>
      <c r="AF313" s="126"/>
      <c r="AG313" s="127"/>
      <c r="AH313" s="126"/>
      <c r="AI313" s="126"/>
      <c r="AJ313" s="127"/>
      <c r="AK313" s="126"/>
      <c r="AL313" s="126"/>
      <c r="AM313" s="127"/>
      <c r="AN313" s="126"/>
      <c r="AO313" s="126"/>
      <c r="AP313" s="127"/>
      <c r="AQ313" s="126"/>
      <c r="AR313" s="126"/>
      <c r="AS313" s="127"/>
      <c r="AT313" s="126"/>
      <c r="AU313" s="126"/>
      <c r="AV313" s="127"/>
      <c r="AW313" s="126"/>
      <c r="AX313" s="126"/>
      <c r="AY313" s="127"/>
      <c r="AZ313" s="126"/>
      <c r="BA313" s="126"/>
      <c r="BB313" s="127"/>
      <c r="BC313" s="126"/>
      <c r="BD313" s="134"/>
      <c r="BE313" s="127"/>
      <c r="BF313" s="126"/>
      <c r="BG313" s="126"/>
      <c r="BH313" s="126"/>
      <c r="BI313" s="126"/>
      <c r="BJ313" s="126"/>
      <c r="BK313" s="126"/>
      <c r="BL313" s="126"/>
      <c r="BM313" s="126"/>
      <c r="BN313" s="126"/>
      <c r="BO313" s="126"/>
      <c r="BP313" s="126"/>
      <c r="BQ313" s="126"/>
      <c r="BR313" s="126"/>
      <c r="BS313" s="126"/>
      <c r="BT313" s="126"/>
      <c r="BU313" s="126"/>
      <c r="BV313" s="126"/>
      <c r="BW313" s="126"/>
      <c r="BX313" s="126"/>
    </row>
    <row r="314">
      <c r="A314" s="126"/>
      <c r="B314" s="126"/>
      <c r="C314" s="127"/>
      <c r="D314" s="126"/>
      <c r="E314" s="126"/>
      <c r="F314" s="127"/>
      <c r="G314" s="126"/>
      <c r="H314" s="127"/>
      <c r="I314" s="126"/>
      <c r="J314" s="126"/>
      <c r="K314" s="127"/>
      <c r="L314" s="126"/>
      <c r="M314" s="126"/>
      <c r="N314" s="127"/>
      <c r="O314" s="126"/>
      <c r="P314" s="126"/>
      <c r="Q314" s="127"/>
      <c r="R314" s="126"/>
      <c r="S314" s="126"/>
      <c r="T314" s="127"/>
      <c r="U314" s="126"/>
      <c r="V314" s="126"/>
      <c r="W314" s="127"/>
      <c r="X314" s="126"/>
      <c r="Y314" s="126"/>
      <c r="Z314" s="127"/>
      <c r="AA314" s="126"/>
      <c r="AB314" s="126"/>
      <c r="AC314" s="127"/>
      <c r="AD314" s="126"/>
      <c r="AE314" s="126"/>
      <c r="AF314" s="126"/>
      <c r="AG314" s="127"/>
      <c r="AH314" s="126"/>
      <c r="AI314" s="126"/>
      <c r="AJ314" s="127"/>
      <c r="AK314" s="126"/>
      <c r="AL314" s="126"/>
      <c r="AM314" s="127"/>
      <c r="AN314" s="126"/>
      <c r="AO314" s="126"/>
      <c r="AP314" s="127"/>
      <c r="AQ314" s="126"/>
      <c r="AR314" s="126"/>
      <c r="AS314" s="127"/>
      <c r="AT314" s="126"/>
      <c r="AU314" s="126"/>
      <c r="AV314" s="127"/>
      <c r="AW314" s="126"/>
      <c r="AX314" s="126"/>
      <c r="AY314" s="127"/>
      <c r="AZ314" s="126"/>
      <c r="BA314" s="126"/>
      <c r="BB314" s="127"/>
      <c r="BC314" s="126"/>
      <c r="BD314" s="134"/>
      <c r="BE314" s="127"/>
      <c r="BF314" s="126"/>
      <c r="BG314" s="126"/>
      <c r="BH314" s="126"/>
      <c r="BI314" s="126"/>
      <c r="BJ314" s="126"/>
      <c r="BK314" s="126"/>
      <c r="BL314" s="126"/>
      <c r="BM314" s="126"/>
      <c r="BN314" s="126"/>
      <c r="BO314" s="126"/>
      <c r="BP314" s="126"/>
      <c r="BQ314" s="126"/>
      <c r="BR314" s="126"/>
      <c r="BS314" s="126"/>
      <c r="BT314" s="126"/>
      <c r="BU314" s="126"/>
      <c r="BV314" s="126"/>
      <c r="BW314" s="126"/>
      <c r="BX314" s="126"/>
    </row>
    <row r="315">
      <c r="A315" s="126"/>
      <c r="B315" s="126"/>
      <c r="C315" s="127"/>
      <c r="D315" s="126"/>
      <c r="E315" s="126"/>
      <c r="F315" s="127"/>
      <c r="G315" s="126"/>
      <c r="H315" s="127"/>
      <c r="I315" s="126"/>
      <c r="J315" s="126"/>
      <c r="K315" s="127"/>
      <c r="L315" s="126"/>
      <c r="M315" s="126"/>
      <c r="N315" s="127"/>
      <c r="O315" s="126"/>
      <c r="P315" s="126"/>
      <c r="Q315" s="127"/>
      <c r="R315" s="126"/>
      <c r="S315" s="126"/>
      <c r="T315" s="127"/>
      <c r="U315" s="126"/>
      <c r="V315" s="126"/>
      <c r="W315" s="127"/>
      <c r="X315" s="126"/>
      <c r="Y315" s="126"/>
      <c r="Z315" s="127"/>
      <c r="AA315" s="126"/>
      <c r="AB315" s="126"/>
      <c r="AC315" s="127"/>
      <c r="AD315" s="126"/>
      <c r="AE315" s="126"/>
      <c r="AF315" s="126"/>
      <c r="AG315" s="127"/>
      <c r="AH315" s="126"/>
      <c r="AI315" s="126"/>
      <c r="AJ315" s="127"/>
      <c r="AK315" s="126"/>
      <c r="AL315" s="126"/>
      <c r="AM315" s="127"/>
      <c r="AN315" s="126"/>
      <c r="AO315" s="126"/>
      <c r="AP315" s="127"/>
      <c r="AQ315" s="126"/>
      <c r="AR315" s="126"/>
      <c r="AS315" s="127"/>
      <c r="AT315" s="126"/>
      <c r="AU315" s="126"/>
      <c r="AV315" s="127"/>
      <c r="AW315" s="126"/>
      <c r="AX315" s="126"/>
      <c r="AY315" s="127"/>
      <c r="AZ315" s="126"/>
      <c r="BA315" s="126"/>
      <c r="BB315" s="127"/>
      <c r="BC315" s="126"/>
      <c r="BD315" s="134"/>
      <c r="BE315" s="127"/>
      <c r="BF315" s="126"/>
      <c r="BG315" s="126"/>
      <c r="BH315" s="126"/>
      <c r="BI315" s="126"/>
      <c r="BJ315" s="126"/>
      <c r="BK315" s="126"/>
      <c r="BL315" s="126"/>
      <c r="BM315" s="126"/>
      <c r="BN315" s="126"/>
      <c r="BO315" s="126"/>
      <c r="BP315" s="126"/>
      <c r="BQ315" s="126"/>
      <c r="BR315" s="126"/>
      <c r="BS315" s="126"/>
      <c r="BT315" s="126"/>
      <c r="BU315" s="126"/>
      <c r="BV315" s="126"/>
      <c r="BW315" s="126"/>
      <c r="BX315" s="126"/>
    </row>
    <row r="316">
      <c r="A316" s="126"/>
      <c r="B316" s="126"/>
      <c r="C316" s="127"/>
      <c r="D316" s="126"/>
      <c r="E316" s="126"/>
      <c r="F316" s="127"/>
      <c r="G316" s="126"/>
      <c r="H316" s="127"/>
      <c r="I316" s="126"/>
      <c r="J316" s="126"/>
      <c r="K316" s="127"/>
      <c r="L316" s="126"/>
      <c r="M316" s="126"/>
      <c r="N316" s="127"/>
      <c r="O316" s="126"/>
      <c r="P316" s="126"/>
      <c r="Q316" s="127"/>
      <c r="R316" s="126"/>
      <c r="S316" s="126"/>
      <c r="T316" s="127"/>
      <c r="U316" s="126"/>
      <c r="V316" s="126"/>
      <c r="W316" s="127"/>
      <c r="X316" s="126"/>
      <c r="Y316" s="126"/>
      <c r="Z316" s="127"/>
      <c r="AA316" s="126"/>
      <c r="AB316" s="126"/>
      <c r="AC316" s="127"/>
      <c r="AD316" s="126"/>
      <c r="AE316" s="126"/>
      <c r="AF316" s="126"/>
      <c r="AG316" s="127"/>
      <c r="AH316" s="126"/>
      <c r="AI316" s="126"/>
      <c r="AJ316" s="127"/>
      <c r="AK316" s="126"/>
      <c r="AL316" s="126"/>
      <c r="AM316" s="127"/>
      <c r="AN316" s="126"/>
      <c r="AO316" s="126"/>
      <c r="AP316" s="127"/>
      <c r="AQ316" s="126"/>
      <c r="AR316" s="126"/>
      <c r="AS316" s="127"/>
      <c r="AT316" s="126"/>
      <c r="AU316" s="126"/>
      <c r="AV316" s="127"/>
      <c r="AW316" s="126"/>
      <c r="AX316" s="126"/>
      <c r="AY316" s="127"/>
      <c r="AZ316" s="126"/>
      <c r="BA316" s="126"/>
      <c r="BB316" s="127"/>
      <c r="BC316" s="126"/>
      <c r="BD316" s="134"/>
      <c r="BE316" s="127"/>
      <c r="BF316" s="126"/>
      <c r="BG316" s="126"/>
      <c r="BH316" s="126"/>
      <c r="BI316" s="126"/>
      <c r="BJ316" s="126"/>
      <c r="BK316" s="126"/>
      <c r="BL316" s="126"/>
      <c r="BM316" s="126"/>
      <c r="BN316" s="126"/>
      <c r="BO316" s="126"/>
      <c r="BP316" s="126"/>
      <c r="BQ316" s="126"/>
      <c r="BR316" s="126"/>
      <c r="BS316" s="126"/>
      <c r="BT316" s="126"/>
      <c r="BU316" s="126"/>
      <c r="BV316" s="126"/>
      <c r="BW316" s="126"/>
      <c r="BX316" s="126"/>
    </row>
    <row r="317">
      <c r="A317" s="126"/>
      <c r="B317" s="126"/>
      <c r="C317" s="127"/>
      <c r="D317" s="126"/>
      <c r="E317" s="126"/>
      <c r="F317" s="127"/>
      <c r="G317" s="126"/>
      <c r="H317" s="127"/>
      <c r="I317" s="126"/>
      <c r="J317" s="126"/>
      <c r="K317" s="127"/>
      <c r="L317" s="126"/>
      <c r="M317" s="126"/>
      <c r="N317" s="127"/>
      <c r="O317" s="126"/>
      <c r="P317" s="126"/>
      <c r="Q317" s="127"/>
      <c r="R317" s="126"/>
      <c r="S317" s="126"/>
      <c r="T317" s="127"/>
      <c r="U317" s="126"/>
      <c r="V317" s="126"/>
      <c r="W317" s="127"/>
      <c r="X317" s="126"/>
      <c r="Y317" s="126"/>
      <c r="Z317" s="127"/>
      <c r="AA317" s="126"/>
      <c r="AB317" s="126"/>
      <c r="AC317" s="127"/>
      <c r="AD317" s="126"/>
      <c r="AE317" s="126"/>
      <c r="AF317" s="126"/>
      <c r="AG317" s="127"/>
      <c r="AH317" s="126"/>
      <c r="AI317" s="126"/>
      <c r="AJ317" s="127"/>
      <c r="AK317" s="126"/>
      <c r="AL317" s="126"/>
      <c r="AM317" s="127"/>
      <c r="AN317" s="126"/>
      <c r="AO317" s="126"/>
      <c r="AP317" s="127"/>
      <c r="AQ317" s="126"/>
      <c r="AR317" s="126"/>
      <c r="AS317" s="127"/>
      <c r="AT317" s="126"/>
      <c r="AU317" s="126"/>
      <c r="AV317" s="127"/>
      <c r="AW317" s="126"/>
      <c r="AX317" s="126"/>
      <c r="AY317" s="127"/>
      <c r="AZ317" s="126"/>
      <c r="BA317" s="126"/>
      <c r="BB317" s="127"/>
      <c r="BC317" s="126"/>
      <c r="BD317" s="134"/>
      <c r="BE317" s="127"/>
      <c r="BF317" s="126"/>
      <c r="BG317" s="126"/>
      <c r="BH317" s="126"/>
      <c r="BI317" s="126"/>
      <c r="BJ317" s="126"/>
      <c r="BK317" s="126"/>
      <c r="BL317" s="126"/>
      <c r="BM317" s="126"/>
      <c r="BN317" s="126"/>
      <c r="BO317" s="126"/>
      <c r="BP317" s="126"/>
      <c r="BQ317" s="126"/>
      <c r="BR317" s="126"/>
      <c r="BS317" s="126"/>
      <c r="BT317" s="126"/>
      <c r="BU317" s="126"/>
      <c r="BV317" s="126"/>
      <c r="BW317" s="126"/>
      <c r="BX317" s="126"/>
    </row>
    <row r="318">
      <c r="A318" s="126"/>
      <c r="B318" s="126"/>
      <c r="C318" s="127"/>
      <c r="D318" s="126"/>
      <c r="E318" s="126"/>
      <c r="F318" s="127"/>
      <c r="G318" s="126"/>
      <c r="H318" s="127"/>
      <c r="I318" s="126"/>
      <c r="J318" s="126"/>
      <c r="K318" s="127"/>
      <c r="L318" s="126"/>
      <c r="M318" s="126"/>
      <c r="N318" s="127"/>
      <c r="O318" s="126"/>
      <c r="P318" s="126"/>
      <c r="Q318" s="127"/>
      <c r="R318" s="126"/>
      <c r="S318" s="126"/>
      <c r="T318" s="127"/>
      <c r="U318" s="126"/>
      <c r="V318" s="126"/>
      <c r="W318" s="127"/>
      <c r="X318" s="126"/>
      <c r="Y318" s="126"/>
      <c r="Z318" s="127"/>
      <c r="AA318" s="126"/>
      <c r="AB318" s="126"/>
      <c r="AC318" s="127"/>
      <c r="AD318" s="126"/>
      <c r="AE318" s="126"/>
      <c r="AF318" s="126"/>
      <c r="AG318" s="127"/>
      <c r="AH318" s="126"/>
      <c r="AI318" s="126"/>
      <c r="AJ318" s="127"/>
      <c r="AK318" s="126"/>
      <c r="AL318" s="126"/>
      <c r="AM318" s="127"/>
      <c r="AN318" s="126"/>
      <c r="AO318" s="126"/>
      <c r="AP318" s="127"/>
      <c r="AQ318" s="126"/>
      <c r="AR318" s="126"/>
      <c r="AS318" s="127"/>
      <c r="AT318" s="126"/>
      <c r="AU318" s="126"/>
      <c r="AV318" s="127"/>
      <c r="AW318" s="126"/>
      <c r="AX318" s="126"/>
      <c r="AY318" s="127"/>
      <c r="AZ318" s="126"/>
      <c r="BA318" s="126"/>
      <c r="BB318" s="127"/>
      <c r="BC318" s="126"/>
      <c r="BD318" s="134"/>
      <c r="BE318" s="127"/>
      <c r="BF318" s="126"/>
      <c r="BG318" s="126"/>
      <c r="BH318" s="126"/>
      <c r="BI318" s="126"/>
      <c r="BJ318" s="126"/>
      <c r="BK318" s="126"/>
      <c r="BL318" s="126"/>
      <c r="BM318" s="126"/>
      <c r="BN318" s="126"/>
      <c r="BO318" s="126"/>
      <c r="BP318" s="126"/>
      <c r="BQ318" s="126"/>
      <c r="BR318" s="126"/>
      <c r="BS318" s="126"/>
      <c r="BT318" s="126"/>
      <c r="BU318" s="126"/>
      <c r="BV318" s="126"/>
      <c r="BW318" s="126"/>
      <c r="BX318" s="126"/>
    </row>
    <row r="319">
      <c r="A319" s="126"/>
      <c r="B319" s="126"/>
      <c r="C319" s="127"/>
      <c r="D319" s="126"/>
      <c r="E319" s="126"/>
      <c r="F319" s="127"/>
      <c r="G319" s="126"/>
      <c r="H319" s="127"/>
      <c r="I319" s="126"/>
      <c r="J319" s="126"/>
      <c r="K319" s="127"/>
      <c r="L319" s="126"/>
      <c r="M319" s="126"/>
      <c r="N319" s="127"/>
      <c r="O319" s="126"/>
      <c r="P319" s="126"/>
      <c r="Q319" s="127"/>
      <c r="R319" s="126"/>
      <c r="S319" s="126"/>
      <c r="T319" s="127"/>
      <c r="U319" s="126"/>
      <c r="V319" s="126"/>
      <c r="W319" s="127"/>
      <c r="X319" s="126"/>
      <c r="Y319" s="126"/>
      <c r="Z319" s="127"/>
      <c r="AA319" s="126"/>
      <c r="AB319" s="126"/>
      <c r="AC319" s="127"/>
      <c r="AD319" s="126"/>
      <c r="AE319" s="126"/>
      <c r="AF319" s="126"/>
      <c r="AG319" s="127"/>
      <c r="AH319" s="126"/>
      <c r="AI319" s="126"/>
      <c r="AJ319" s="127"/>
      <c r="AK319" s="126"/>
      <c r="AL319" s="126"/>
      <c r="AM319" s="127"/>
      <c r="AN319" s="126"/>
      <c r="AO319" s="126"/>
      <c r="AP319" s="127"/>
      <c r="AQ319" s="126"/>
      <c r="AR319" s="126"/>
      <c r="AS319" s="127"/>
      <c r="AT319" s="126"/>
      <c r="AU319" s="126"/>
      <c r="AV319" s="127"/>
      <c r="AW319" s="126"/>
      <c r="AX319" s="126"/>
      <c r="AY319" s="127"/>
      <c r="AZ319" s="126"/>
      <c r="BA319" s="126"/>
      <c r="BB319" s="127"/>
      <c r="BC319" s="126"/>
      <c r="BD319" s="134"/>
      <c r="BE319" s="127"/>
      <c r="BF319" s="126"/>
      <c r="BG319" s="126"/>
      <c r="BH319" s="126"/>
      <c r="BI319" s="126"/>
      <c r="BJ319" s="126"/>
      <c r="BK319" s="126"/>
      <c r="BL319" s="126"/>
      <c r="BM319" s="126"/>
      <c r="BN319" s="126"/>
      <c r="BO319" s="126"/>
      <c r="BP319" s="126"/>
      <c r="BQ319" s="126"/>
      <c r="BR319" s="126"/>
      <c r="BS319" s="126"/>
      <c r="BT319" s="126"/>
      <c r="BU319" s="126"/>
      <c r="BV319" s="126"/>
      <c r="BW319" s="126"/>
      <c r="BX319" s="126"/>
    </row>
    <row r="320">
      <c r="A320" s="126"/>
      <c r="B320" s="126"/>
      <c r="C320" s="127"/>
      <c r="D320" s="126"/>
      <c r="E320" s="126"/>
      <c r="F320" s="127"/>
      <c r="G320" s="126"/>
      <c r="H320" s="127"/>
      <c r="I320" s="126"/>
      <c r="J320" s="126"/>
      <c r="K320" s="127"/>
      <c r="L320" s="126"/>
      <c r="M320" s="126"/>
      <c r="N320" s="127"/>
      <c r="O320" s="126"/>
      <c r="P320" s="126"/>
      <c r="Q320" s="127"/>
      <c r="R320" s="126"/>
      <c r="S320" s="126"/>
      <c r="T320" s="127"/>
      <c r="U320" s="126"/>
      <c r="V320" s="126"/>
      <c r="W320" s="127"/>
      <c r="X320" s="126"/>
      <c r="Y320" s="126"/>
      <c r="Z320" s="127"/>
      <c r="AA320" s="126"/>
      <c r="AB320" s="126"/>
      <c r="AC320" s="127"/>
      <c r="AD320" s="126"/>
      <c r="AE320" s="126"/>
      <c r="AF320" s="126"/>
      <c r="AG320" s="127"/>
      <c r="AH320" s="126"/>
      <c r="AI320" s="126"/>
      <c r="AJ320" s="127"/>
      <c r="AK320" s="126"/>
      <c r="AL320" s="126"/>
      <c r="AM320" s="127"/>
      <c r="AN320" s="126"/>
      <c r="AO320" s="126"/>
      <c r="AP320" s="127"/>
      <c r="AQ320" s="126"/>
      <c r="AR320" s="126"/>
      <c r="AS320" s="127"/>
      <c r="AT320" s="126"/>
      <c r="AU320" s="126"/>
      <c r="AV320" s="127"/>
      <c r="AW320" s="126"/>
      <c r="AX320" s="126"/>
      <c r="AY320" s="127"/>
      <c r="AZ320" s="126"/>
      <c r="BA320" s="126"/>
      <c r="BB320" s="127"/>
      <c r="BC320" s="126"/>
      <c r="BD320" s="134"/>
      <c r="BE320" s="127"/>
      <c r="BF320" s="126"/>
      <c r="BG320" s="126"/>
      <c r="BH320" s="126"/>
      <c r="BI320" s="126"/>
      <c r="BJ320" s="126"/>
      <c r="BK320" s="126"/>
      <c r="BL320" s="126"/>
      <c r="BM320" s="126"/>
      <c r="BN320" s="126"/>
      <c r="BO320" s="126"/>
      <c r="BP320" s="126"/>
      <c r="BQ320" s="126"/>
      <c r="BR320" s="126"/>
      <c r="BS320" s="126"/>
      <c r="BT320" s="126"/>
      <c r="BU320" s="126"/>
      <c r="BV320" s="126"/>
      <c r="BW320" s="126"/>
      <c r="BX320" s="126"/>
    </row>
    <row r="321">
      <c r="A321" s="126"/>
      <c r="B321" s="126"/>
      <c r="C321" s="127"/>
      <c r="D321" s="126"/>
      <c r="E321" s="126"/>
      <c r="F321" s="127"/>
      <c r="G321" s="126"/>
      <c r="H321" s="127"/>
      <c r="I321" s="126"/>
      <c r="J321" s="126"/>
      <c r="K321" s="127"/>
      <c r="L321" s="126"/>
      <c r="M321" s="126"/>
      <c r="N321" s="127"/>
      <c r="O321" s="126"/>
      <c r="P321" s="126"/>
      <c r="Q321" s="127"/>
      <c r="R321" s="126"/>
      <c r="S321" s="126"/>
      <c r="T321" s="127"/>
      <c r="U321" s="126"/>
      <c r="V321" s="126"/>
      <c r="W321" s="127"/>
      <c r="X321" s="126"/>
      <c r="Y321" s="126"/>
      <c r="Z321" s="127"/>
      <c r="AA321" s="126"/>
      <c r="AB321" s="126"/>
      <c r="AC321" s="127"/>
      <c r="AD321" s="126"/>
      <c r="AE321" s="126"/>
      <c r="AF321" s="126"/>
      <c r="AG321" s="127"/>
      <c r="AH321" s="126"/>
      <c r="AI321" s="126"/>
      <c r="AJ321" s="127"/>
      <c r="AK321" s="126"/>
      <c r="AL321" s="126"/>
      <c r="AM321" s="127"/>
      <c r="AN321" s="126"/>
      <c r="AO321" s="126"/>
      <c r="AP321" s="127"/>
      <c r="AQ321" s="126"/>
      <c r="AR321" s="126"/>
      <c r="AS321" s="127"/>
      <c r="AT321" s="126"/>
      <c r="AU321" s="126"/>
      <c r="AV321" s="127"/>
      <c r="AW321" s="126"/>
      <c r="AX321" s="126"/>
      <c r="AY321" s="127"/>
      <c r="AZ321" s="126"/>
      <c r="BA321" s="126"/>
      <c r="BB321" s="127"/>
      <c r="BC321" s="126"/>
      <c r="BD321" s="134"/>
      <c r="BE321" s="127"/>
      <c r="BF321" s="126"/>
      <c r="BG321" s="126"/>
      <c r="BH321" s="126"/>
      <c r="BI321" s="126"/>
      <c r="BJ321" s="126"/>
      <c r="BK321" s="126"/>
      <c r="BL321" s="126"/>
      <c r="BM321" s="126"/>
      <c r="BN321" s="126"/>
      <c r="BO321" s="126"/>
      <c r="BP321" s="126"/>
      <c r="BQ321" s="126"/>
      <c r="BR321" s="126"/>
      <c r="BS321" s="126"/>
      <c r="BT321" s="126"/>
      <c r="BU321" s="126"/>
      <c r="BV321" s="126"/>
      <c r="BW321" s="126"/>
      <c r="BX321" s="126"/>
    </row>
    <row r="322">
      <c r="A322" s="126"/>
      <c r="B322" s="126"/>
      <c r="C322" s="127"/>
      <c r="D322" s="126"/>
      <c r="E322" s="126"/>
      <c r="F322" s="127"/>
      <c r="G322" s="126"/>
      <c r="H322" s="127"/>
      <c r="I322" s="126"/>
      <c r="J322" s="126"/>
      <c r="K322" s="127"/>
      <c r="L322" s="126"/>
      <c r="M322" s="126"/>
      <c r="N322" s="127"/>
      <c r="O322" s="126"/>
      <c r="P322" s="126"/>
      <c r="Q322" s="127"/>
      <c r="R322" s="126"/>
      <c r="S322" s="126"/>
      <c r="T322" s="127"/>
      <c r="U322" s="126"/>
      <c r="V322" s="126"/>
      <c r="W322" s="127"/>
      <c r="X322" s="126"/>
      <c r="Y322" s="126"/>
      <c r="Z322" s="127"/>
      <c r="AA322" s="126"/>
      <c r="AB322" s="126"/>
      <c r="AC322" s="127"/>
      <c r="AD322" s="126"/>
      <c r="AE322" s="126"/>
      <c r="AF322" s="126"/>
      <c r="AG322" s="127"/>
      <c r="AH322" s="126"/>
      <c r="AI322" s="126"/>
      <c r="AJ322" s="127"/>
      <c r="AK322" s="126"/>
      <c r="AL322" s="126"/>
      <c r="AM322" s="127"/>
      <c r="AN322" s="126"/>
      <c r="AO322" s="126"/>
      <c r="AP322" s="127"/>
      <c r="AQ322" s="126"/>
      <c r="AR322" s="126"/>
      <c r="AS322" s="127"/>
      <c r="AT322" s="126"/>
      <c r="AU322" s="126"/>
      <c r="AV322" s="127"/>
      <c r="AW322" s="126"/>
      <c r="AX322" s="126"/>
      <c r="AY322" s="127"/>
      <c r="AZ322" s="126"/>
      <c r="BA322" s="126"/>
      <c r="BB322" s="127"/>
      <c r="BC322" s="126"/>
      <c r="BD322" s="134"/>
      <c r="BE322" s="127"/>
      <c r="BF322" s="126"/>
      <c r="BG322" s="126"/>
      <c r="BH322" s="126"/>
      <c r="BI322" s="126"/>
      <c r="BJ322" s="126"/>
      <c r="BK322" s="126"/>
      <c r="BL322" s="126"/>
      <c r="BM322" s="126"/>
      <c r="BN322" s="126"/>
      <c r="BO322" s="126"/>
      <c r="BP322" s="126"/>
      <c r="BQ322" s="126"/>
      <c r="BR322" s="126"/>
      <c r="BS322" s="126"/>
      <c r="BT322" s="126"/>
      <c r="BU322" s="126"/>
      <c r="BV322" s="126"/>
      <c r="BW322" s="126"/>
      <c r="BX322" s="126"/>
    </row>
    <row r="323">
      <c r="A323" s="126"/>
      <c r="B323" s="126"/>
      <c r="C323" s="127"/>
      <c r="D323" s="126"/>
      <c r="E323" s="126"/>
      <c r="F323" s="127"/>
      <c r="G323" s="126"/>
      <c r="H323" s="127"/>
      <c r="I323" s="126"/>
      <c r="J323" s="126"/>
      <c r="K323" s="127"/>
      <c r="L323" s="126"/>
      <c r="M323" s="126"/>
      <c r="N323" s="127"/>
      <c r="O323" s="126"/>
      <c r="P323" s="126"/>
      <c r="Q323" s="127"/>
      <c r="R323" s="126"/>
      <c r="S323" s="126"/>
      <c r="T323" s="127"/>
      <c r="U323" s="126"/>
      <c r="V323" s="126"/>
      <c r="W323" s="127"/>
      <c r="X323" s="126"/>
      <c r="Y323" s="126"/>
      <c r="Z323" s="127"/>
      <c r="AA323" s="126"/>
      <c r="AB323" s="126"/>
      <c r="AC323" s="127"/>
      <c r="AD323" s="126"/>
      <c r="AE323" s="126"/>
      <c r="AF323" s="126"/>
      <c r="AG323" s="127"/>
      <c r="AH323" s="126"/>
      <c r="AI323" s="126"/>
      <c r="AJ323" s="127"/>
      <c r="AK323" s="126"/>
      <c r="AL323" s="126"/>
      <c r="AM323" s="127"/>
      <c r="AN323" s="126"/>
      <c r="AO323" s="126"/>
      <c r="AP323" s="127"/>
      <c r="AQ323" s="126"/>
      <c r="AR323" s="126"/>
      <c r="AS323" s="127"/>
      <c r="AT323" s="126"/>
      <c r="AU323" s="126"/>
      <c r="AV323" s="127"/>
      <c r="AW323" s="126"/>
      <c r="AX323" s="126"/>
      <c r="AY323" s="127"/>
      <c r="AZ323" s="126"/>
      <c r="BA323" s="126"/>
      <c r="BB323" s="127"/>
      <c r="BC323" s="126"/>
      <c r="BD323" s="134"/>
      <c r="BE323" s="127"/>
      <c r="BF323" s="126"/>
      <c r="BG323" s="126"/>
      <c r="BH323" s="126"/>
      <c r="BI323" s="126"/>
      <c r="BJ323" s="126"/>
      <c r="BK323" s="126"/>
      <c r="BL323" s="126"/>
      <c r="BM323" s="126"/>
      <c r="BN323" s="126"/>
      <c r="BO323" s="126"/>
      <c r="BP323" s="126"/>
      <c r="BQ323" s="126"/>
      <c r="BR323" s="126"/>
      <c r="BS323" s="126"/>
      <c r="BT323" s="126"/>
      <c r="BU323" s="126"/>
      <c r="BV323" s="126"/>
      <c r="BW323" s="126"/>
      <c r="BX323" s="126"/>
    </row>
    <row r="324">
      <c r="A324" s="126"/>
      <c r="B324" s="126"/>
      <c r="C324" s="127"/>
      <c r="D324" s="126"/>
      <c r="E324" s="126"/>
      <c r="F324" s="127"/>
      <c r="G324" s="126"/>
      <c r="H324" s="127"/>
      <c r="I324" s="126"/>
      <c r="J324" s="126"/>
      <c r="K324" s="127"/>
      <c r="L324" s="126"/>
      <c r="M324" s="126"/>
      <c r="N324" s="127"/>
      <c r="O324" s="126"/>
      <c r="P324" s="126"/>
      <c r="Q324" s="127"/>
      <c r="R324" s="126"/>
      <c r="S324" s="126"/>
      <c r="T324" s="127"/>
      <c r="U324" s="126"/>
      <c r="V324" s="126"/>
      <c r="W324" s="127"/>
      <c r="X324" s="126"/>
      <c r="Y324" s="126"/>
      <c r="Z324" s="127"/>
      <c r="AA324" s="126"/>
      <c r="AB324" s="126"/>
      <c r="AC324" s="127"/>
      <c r="AD324" s="126"/>
      <c r="AE324" s="126"/>
      <c r="AF324" s="126"/>
      <c r="AG324" s="127"/>
      <c r="AH324" s="126"/>
      <c r="AI324" s="126"/>
      <c r="AJ324" s="127"/>
      <c r="AK324" s="126"/>
      <c r="AL324" s="126"/>
      <c r="AM324" s="127"/>
      <c r="AN324" s="126"/>
      <c r="AO324" s="126"/>
      <c r="AP324" s="127"/>
      <c r="AQ324" s="126"/>
      <c r="AR324" s="126"/>
      <c r="AS324" s="127"/>
      <c r="AT324" s="126"/>
      <c r="AU324" s="126"/>
      <c r="AV324" s="127"/>
      <c r="AW324" s="126"/>
      <c r="AX324" s="126"/>
      <c r="AY324" s="127"/>
      <c r="AZ324" s="126"/>
      <c r="BA324" s="126"/>
      <c r="BB324" s="127"/>
      <c r="BC324" s="126"/>
      <c r="BD324" s="134"/>
      <c r="BE324" s="127"/>
      <c r="BF324" s="126"/>
      <c r="BG324" s="126"/>
      <c r="BH324" s="126"/>
      <c r="BI324" s="126"/>
      <c r="BJ324" s="126"/>
      <c r="BK324" s="126"/>
      <c r="BL324" s="126"/>
      <c r="BM324" s="126"/>
      <c r="BN324" s="126"/>
      <c r="BO324" s="126"/>
      <c r="BP324" s="126"/>
      <c r="BQ324" s="126"/>
      <c r="BR324" s="126"/>
      <c r="BS324" s="126"/>
      <c r="BT324" s="126"/>
      <c r="BU324" s="126"/>
      <c r="BV324" s="126"/>
      <c r="BW324" s="126"/>
      <c r="BX324" s="126"/>
    </row>
    <row r="325">
      <c r="A325" s="126"/>
      <c r="B325" s="126"/>
      <c r="C325" s="127"/>
      <c r="D325" s="126"/>
      <c r="E325" s="126"/>
      <c r="F325" s="127"/>
      <c r="G325" s="126"/>
      <c r="H325" s="127"/>
      <c r="I325" s="126"/>
      <c r="J325" s="126"/>
      <c r="K325" s="127"/>
      <c r="L325" s="126"/>
      <c r="M325" s="126"/>
      <c r="N325" s="127"/>
      <c r="O325" s="126"/>
      <c r="P325" s="126"/>
      <c r="Q325" s="127"/>
      <c r="R325" s="126"/>
      <c r="S325" s="126"/>
      <c r="T325" s="127"/>
      <c r="U325" s="126"/>
      <c r="V325" s="126"/>
      <c r="W325" s="127"/>
      <c r="X325" s="126"/>
      <c r="Y325" s="126"/>
      <c r="Z325" s="127"/>
      <c r="AA325" s="126"/>
      <c r="AB325" s="126"/>
      <c r="AC325" s="127"/>
      <c r="AD325" s="126"/>
      <c r="AE325" s="126"/>
      <c r="AF325" s="126"/>
      <c r="AG325" s="127"/>
      <c r="AH325" s="126"/>
      <c r="AI325" s="126"/>
      <c r="AJ325" s="127"/>
      <c r="AK325" s="126"/>
      <c r="AL325" s="126"/>
      <c r="AM325" s="127"/>
      <c r="AN325" s="126"/>
      <c r="AO325" s="126"/>
      <c r="AP325" s="127"/>
      <c r="AQ325" s="126"/>
      <c r="AR325" s="126"/>
      <c r="AS325" s="127"/>
      <c r="AT325" s="126"/>
      <c r="AU325" s="126"/>
      <c r="AV325" s="127"/>
      <c r="AW325" s="126"/>
      <c r="AX325" s="126"/>
      <c r="AY325" s="127"/>
      <c r="AZ325" s="126"/>
      <c r="BA325" s="126"/>
      <c r="BB325" s="127"/>
      <c r="BC325" s="126"/>
      <c r="BD325" s="134"/>
      <c r="BE325" s="127"/>
      <c r="BF325" s="126"/>
      <c r="BG325" s="126"/>
      <c r="BH325" s="126"/>
      <c r="BI325" s="126"/>
      <c r="BJ325" s="126"/>
      <c r="BK325" s="126"/>
      <c r="BL325" s="126"/>
      <c r="BM325" s="126"/>
      <c r="BN325" s="126"/>
      <c r="BO325" s="126"/>
      <c r="BP325" s="126"/>
      <c r="BQ325" s="126"/>
      <c r="BR325" s="126"/>
      <c r="BS325" s="126"/>
      <c r="BT325" s="126"/>
      <c r="BU325" s="126"/>
      <c r="BV325" s="126"/>
      <c r="BW325" s="126"/>
      <c r="BX325" s="126"/>
    </row>
    <row r="326">
      <c r="A326" s="126"/>
      <c r="B326" s="126"/>
      <c r="C326" s="127"/>
      <c r="D326" s="126"/>
      <c r="E326" s="126"/>
      <c r="F326" s="127"/>
      <c r="G326" s="126"/>
      <c r="H326" s="127"/>
      <c r="I326" s="126"/>
      <c r="J326" s="126"/>
      <c r="K326" s="127"/>
      <c r="L326" s="126"/>
      <c r="M326" s="126"/>
      <c r="N326" s="127"/>
      <c r="O326" s="126"/>
      <c r="P326" s="126"/>
      <c r="Q326" s="127"/>
      <c r="R326" s="126"/>
      <c r="S326" s="126"/>
      <c r="T326" s="127"/>
      <c r="U326" s="126"/>
      <c r="V326" s="126"/>
      <c r="W326" s="127"/>
      <c r="X326" s="126"/>
      <c r="Y326" s="126"/>
      <c r="Z326" s="127"/>
      <c r="AA326" s="126"/>
      <c r="AB326" s="126"/>
      <c r="AC326" s="127"/>
      <c r="AD326" s="126"/>
      <c r="AE326" s="126"/>
      <c r="AF326" s="126"/>
      <c r="AG326" s="127"/>
      <c r="AH326" s="126"/>
      <c r="AI326" s="126"/>
      <c r="AJ326" s="127"/>
      <c r="AK326" s="126"/>
      <c r="AL326" s="126"/>
      <c r="AM326" s="127"/>
      <c r="AN326" s="126"/>
      <c r="AO326" s="126"/>
      <c r="AP326" s="127"/>
      <c r="AQ326" s="126"/>
      <c r="AR326" s="126"/>
      <c r="AS326" s="127"/>
      <c r="AT326" s="126"/>
      <c r="AU326" s="126"/>
      <c r="AV326" s="127"/>
      <c r="AW326" s="126"/>
      <c r="AX326" s="126"/>
      <c r="AY326" s="127"/>
      <c r="AZ326" s="126"/>
      <c r="BA326" s="126"/>
      <c r="BB326" s="127"/>
      <c r="BC326" s="126"/>
      <c r="BD326" s="134"/>
      <c r="BE326" s="127"/>
      <c r="BF326" s="126"/>
      <c r="BG326" s="126"/>
      <c r="BH326" s="126"/>
      <c r="BI326" s="126"/>
      <c r="BJ326" s="126"/>
      <c r="BK326" s="126"/>
      <c r="BL326" s="126"/>
      <c r="BM326" s="126"/>
      <c r="BN326" s="126"/>
      <c r="BO326" s="126"/>
      <c r="BP326" s="126"/>
      <c r="BQ326" s="126"/>
      <c r="BR326" s="126"/>
      <c r="BS326" s="126"/>
      <c r="BT326" s="126"/>
      <c r="BU326" s="126"/>
      <c r="BV326" s="126"/>
      <c r="BW326" s="126"/>
      <c r="BX326" s="126"/>
    </row>
    <row r="327">
      <c r="A327" s="126"/>
      <c r="B327" s="126"/>
      <c r="C327" s="127"/>
      <c r="D327" s="126"/>
      <c r="E327" s="126"/>
      <c r="F327" s="127"/>
      <c r="G327" s="126"/>
      <c r="H327" s="127"/>
      <c r="I327" s="126"/>
      <c r="J327" s="126"/>
      <c r="K327" s="127"/>
      <c r="L327" s="126"/>
      <c r="M327" s="126"/>
      <c r="N327" s="127"/>
      <c r="O327" s="126"/>
      <c r="P327" s="126"/>
      <c r="Q327" s="127"/>
      <c r="R327" s="126"/>
      <c r="S327" s="126"/>
      <c r="T327" s="127"/>
      <c r="U327" s="126"/>
      <c r="V327" s="126"/>
      <c r="W327" s="127"/>
      <c r="X327" s="126"/>
      <c r="Y327" s="126"/>
      <c r="Z327" s="127"/>
      <c r="AA327" s="126"/>
      <c r="AB327" s="126"/>
      <c r="AC327" s="127"/>
      <c r="AD327" s="126"/>
      <c r="AE327" s="126"/>
      <c r="AF327" s="126"/>
      <c r="AG327" s="127"/>
      <c r="AH327" s="126"/>
      <c r="AI327" s="126"/>
      <c r="AJ327" s="127"/>
      <c r="AK327" s="126"/>
      <c r="AL327" s="126"/>
      <c r="AM327" s="127"/>
      <c r="AN327" s="126"/>
      <c r="AO327" s="126"/>
      <c r="AP327" s="127"/>
      <c r="AQ327" s="126"/>
      <c r="AR327" s="126"/>
      <c r="AS327" s="127"/>
      <c r="AT327" s="126"/>
      <c r="AU327" s="126"/>
      <c r="AV327" s="127"/>
      <c r="AW327" s="126"/>
      <c r="AX327" s="126"/>
      <c r="AY327" s="127"/>
      <c r="AZ327" s="126"/>
      <c r="BA327" s="126"/>
      <c r="BB327" s="127"/>
      <c r="BC327" s="126"/>
      <c r="BD327" s="134"/>
      <c r="BE327" s="127"/>
      <c r="BF327" s="126"/>
      <c r="BG327" s="126"/>
      <c r="BH327" s="126"/>
      <c r="BI327" s="126"/>
      <c r="BJ327" s="126"/>
      <c r="BK327" s="126"/>
      <c r="BL327" s="126"/>
      <c r="BM327" s="126"/>
      <c r="BN327" s="126"/>
      <c r="BO327" s="126"/>
      <c r="BP327" s="126"/>
      <c r="BQ327" s="126"/>
      <c r="BR327" s="126"/>
      <c r="BS327" s="126"/>
      <c r="BT327" s="126"/>
      <c r="BU327" s="126"/>
      <c r="BV327" s="126"/>
      <c r="BW327" s="126"/>
      <c r="BX327" s="126"/>
    </row>
    <row r="328">
      <c r="A328" s="126"/>
      <c r="B328" s="126"/>
      <c r="C328" s="127"/>
      <c r="D328" s="126"/>
      <c r="E328" s="126"/>
      <c r="F328" s="127"/>
      <c r="G328" s="126"/>
      <c r="H328" s="127"/>
      <c r="I328" s="126"/>
      <c r="J328" s="126"/>
      <c r="K328" s="127"/>
      <c r="L328" s="126"/>
      <c r="M328" s="126"/>
      <c r="N328" s="127"/>
      <c r="O328" s="126"/>
      <c r="P328" s="126"/>
      <c r="Q328" s="127"/>
      <c r="R328" s="126"/>
      <c r="S328" s="126"/>
      <c r="T328" s="127"/>
      <c r="U328" s="126"/>
      <c r="V328" s="126"/>
      <c r="W328" s="127"/>
      <c r="X328" s="126"/>
      <c r="Y328" s="126"/>
      <c r="Z328" s="127"/>
      <c r="AA328" s="126"/>
      <c r="AB328" s="126"/>
      <c r="AC328" s="127"/>
      <c r="AD328" s="126"/>
      <c r="AE328" s="126"/>
      <c r="AF328" s="126"/>
      <c r="AG328" s="127"/>
      <c r="AH328" s="126"/>
      <c r="AI328" s="126"/>
      <c r="AJ328" s="127"/>
      <c r="AK328" s="126"/>
      <c r="AL328" s="126"/>
      <c r="AM328" s="127"/>
      <c r="AN328" s="126"/>
      <c r="AO328" s="126"/>
      <c r="AP328" s="127"/>
      <c r="AQ328" s="126"/>
      <c r="AR328" s="126"/>
      <c r="AS328" s="127"/>
      <c r="AT328" s="126"/>
      <c r="AU328" s="126"/>
      <c r="AV328" s="127"/>
      <c r="AW328" s="126"/>
      <c r="AX328" s="126"/>
      <c r="AY328" s="127"/>
      <c r="AZ328" s="126"/>
      <c r="BA328" s="126"/>
      <c r="BB328" s="127"/>
      <c r="BC328" s="126"/>
      <c r="BD328" s="134"/>
      <c r="BE328" s="127"/>
      <c r="BF328" s="126"/>
      <c r="BG328" s="126"/>
      <c r="BH328" s="126"/>
      <c r="BI328" s="126"/>
      <c r="BJ328" s="126"/>
      <c r="BK328" s="126"/>
      <c r="BL328" s="126"/>
      <c r="BM328" s="126"/>
      <c r="BN328" s="126"/>
      <c r="BO328" s="126"/>
      <c r="BP328" s="126"/>
      <c r="BQ328" s="126"/>
      <c r="BR328" s="126"/>
      <c r="BS328" s="126"/>
      <c r="BT328" s="126"/>
      <c r="BU328" s="126"/>
      <c r="BV328" s="126"/>
      <c r="BW328" s="126"/>
      <c r="BX328" s="126"/>
    </row>
    <row r="329">
      <c r="A329" s="126"/>
      <c r="B329" s="126"/>
      <c r="C329" s="127"/>
      <c r="D329" s="126"/>
      <c r="E329" s="126"/>
      <c r="F329" s="127"/>
      <c r="G329" s="126"/>
      <c r="H329" s="127"/>
      <c r="I329" s="126"/>
      <c r="J329" s="126"/>
      <c r="K329" s="127"/>
      <c r="L329" s="126"/>
      <c r="M329" s="126"/>
      <c r="N329" s="127"/>
      <c r="O329" s="126"/>
      <c r="P329" s="126"/>
      <c r="Q329" s="127"/>
      <c r="R329" s="126"/>
      <c r="S329" s="126"/>
      <c r="T329" s="127"/>
      <c r="U329" s="126"/>
      <c r="V329" s="126"/>
      <c r="W329" s="127"/>
      <c r="X329" s="126"/>
      <c r="Y329" s="126"/>
      <c r="Z329" s="127"/>
      <c r="AA329" s="126"/>
      <c r="AB329" s="126"/>
      <c r="AC329" s="127"/>
      <c r="AD329" s="126"/>
      <c r="AE329" s="126"/>
      <c r="AF329" s="126"/>
      <c r="AG329" s="127"/>
      <c r="AH329" s="126"/>
      <c r="AI329" s="126"/>
      <c r="AJ329" s="127"/>
      <c r="AK329" s="126"/>
      <c r="AL329" s="126"/>
      <c r="AM329" s="127"/>
      <c r="AN329" s="126"/>
      <c r="AO329" s="126"/>
      <c r="AP329" s="127"/>
      <c r="AQ329" s="126"/>
      <c r="AR329" s="126"/>
      <c r="AS329" s="127"/>
      <c r="AT329" s="126"/>
      <c r="AU329" s="126"/>
      <c r="AV329" s="127"/>
      <c r="AW329" s="126"/>
      <c r="AX329" s="126"/>
      <c r="AY329" s="127"/>
      <c r="AZ329" s="126"/>
      <c r="BA329" s="126"/>
      <c r="BB329" s="127"/>
      <c r="BC329" s="126"/>
      <c r="BD329" s="134"/>
      <c r="BE329" s="127"/>
      <c r="BF329" s="126"/>
      <c r="BG329" s="126"/>
      <c r="BH329" s="126"/>
      <c r="BI329" s="126"/>
      <c r="BJ329" s="126"/>
      <c r="BK329" s="126"/>
      <c r="BL329" s="126"/>
      <c r="BM329" s="126"/>
      <c r="BN329" s="126"/>
      <c r="BO329" s="126"/>
      <c r="BP329" s="126"/>
      <c r="BQ329" s="126"/>
      <c r="BR329" s="126"/>
      <c r="BS329" s="126"/>
      <c r="BT329" s="126"/>
      <c r="BU329" s="126"/>
      <c r="BV329" s="126"/>
      <c r="BW329" s="126"/>
      <c r="BX329" s="126"/>
    </row>
    <row r="330">
      <c r="A330" s="126"/>
      <c r="B330" s="126"/>
      <c r="C330" s="127"/>
      <c r="D330" s="126"/>
      <c r="E330" s="126"/>
      <c r="F330" s="127"/>
      <c r="G330" s="126"/>
      <c r="H330" s="127"/>
      <c r="I330" s="126"/>
      <c r="J330" s="126"/>
      <c r="K330" s="127"/>
      <c r="L330" s="126"/>
      <c r="M330" s="126"/>
      <c r="N330" s="127"/>
      <c r="O330" s="126"/>
      <c r="P330" s="126"/>
      <c r="Q330" s="127"/>
      <c r="R330" s="126"/>
      <c r="S330" s="126"/>
      <c r="T330" s="127"/>
      <c r="U330" s="126"/>
      <c r="V330" s="126"/>
      <c r="W330" s="127"/>
      <c r="X330" s="126"/>
      <c r="Y330" s="126"/>
      <c r="Z330" s="127"/>
      <c r="AA330" s="126"/>
      <c r="AB330" s="126"/>
      <c r="AC330" s="127"/>
      <c r="AD330" s="126"/>
      <c r="AE330" s="126"/>
      <c r="AF330" s="126"/>
      <c r="AG330" s="127"/>
      <c r="AH330" s="126"/>
      <c r="AI330" s="126"/>
      <c r="AJ330" s="127"/>
      <c r="AK330" s="126"/>
      <c r="AL330" s="126"/>
      <c r="AM330" s="127"/>
      <c r="AN330" s="126"/>
      <c r="AO330" s="126"/>
      <c r="AP330" s="127"/>
      <c r="AQ330" s="126"/>
      <c r="AR330" s="126"/>
      <c r="AS330" s="127"/>
      <c r="AT330" s="126"/>
      <c r="AU330" s="126"/>
      <c r="AV330" s="127"/>
      <c r="AW330" s="126"/>
      <c r="AX330" s="126"/>
      <c r="AY330" s="127"/>
      <c r="AZ330" s="126"/>
      <c r="BA330" s="126"/>
      <c r="BB330" s="127"/>
      <c r="BC330" s="126"/>
      <c r="BD330" s="134"/>
      <c r="BE330" s="127"/>
      <c r="BF330" s="126"/>
      <c r="BG330" s="126"/>
      <c r="BH330" s="126"/>
      <c r="BI330" s="126"/>
      <c r="BJ330" s="126"/>
      <c r="BK330" s="126"/>
      <c r="BL330" s="126"/>
      <c r="BM330" s="126"/>
      <c r="BN330" s="126"/>
      <c r="BO330" s="126"/>
      <c r="BP330" s="126"/>
      <c r="BQ330" s="126"/>
      <c r="BR330" s="126"/>
      <c r="BS330" s="126"/>
      <c r="BT330" s="126"/>
      <c r="BU330" s="126"/>
      <c r="BV330" s="126"/>
      <c r="BW330" s="126"/>
      <c r="BX330" s="126"/>
    </row>
    <row r="331">
      <c r="A331" s="126"/>
      <c r="B331" s="126"/>
      <c r="C331" s="127"/>
      <c r="D331" s="126"/>
      <c r="E331" s="126"/>
      <c r="F331" s="127"/>
      <c r="G331" s="126"/>
      <c r="H331" s="127"/>
      <c r="I331" s="126"/>
      <c r="J331" s="126"/>
      <c r="K331" s="127"/>
      <c r="L331" s="126"/>
      <c r="M331" s="126"/>
      <c r="N331" s="127"/>
      <c r="O331" s="126"/>
      <c r="P331" s="126"/>
      <c r="Q331" s="127"/>
      <c r="R331" s="126"/>
      <c r="S331" s="126"/>
      <c r="T331" s="127"/>
      <c r="U331" s="126"/>
      <c r="V331" s="126"/>
      <c r="W331" s="127"/>
      <c r="X331" s="126"/>
      <c r="Y331" s="126"/>
      <c r="Z331" s="127"/>
      <c r="AA331" s="126"/>
      <c r="AB331" s="126"/>
      <c r="AC331" s="127"/>
      <c r="AD331" s="126"/>
      <c r="AE331" s="126"/>
      <c r="AF331" s="126"/>
      <c r="AG331" s="127"/>
      <c r="AH331" s="126"/>
      <c r="AI331" s="126"/>
      <c r="AJ331" s="127"/>
      <c r="AK331" s="126"/>
      <c r="AL331" s="126"/>
      <c r="AM331" s="127"/>
      <c r="AN331" s="126"/>
      <c r="AO331" s="126"/>
      <c r="AP331" s="127"/>
      <c r="AQ331" s="126"/>
      <c r="AR331" s="126"/>
      <c r="AS331" s="127"/>
      <c r="AT331" s="126"/>
      <c r="AU331" s="126"/>
      <c r="AV331" s="127"/>
      <c r="AW331" s="126"/>
      <c r="AX331" s="126"/>
      <c r="AY331" s="127"/>
      <c r="AZ331" s="126"/>
      <c r="BA331" s="126"/>
      <c r="BB331" s="127"/>
      <c r="BC331" s="126"/>
      <c r="BD331" s="134"/>
      <c r="BE331" s="127"/>
      <c r="BF331" s="126"/>
      <c r="BG331" s="126"/>
      <c r="BH331" s="126"/>
      <c r="BI331" s="126"/>
      <c r="BJ331" s="126"/>
      <c r="BK331" s="126"/>
      <c r="BL331" s="126"/>
      <c r="BM331" s="126"/>
      <c r="BN331" s="126"/>
      <c r="BO331" s="126"/>
      <c r="BP331" s="126"/>
      <c r="BQ331" s="126"/>
      <c r="BR331" s="126"/>
      <c r="BS331" s="126"/>
      <c r="BT331" s="126"/>
      <c r="BU331" s="126"/>
      <c r="BV331" s="126"/>
      <c r="BW331" s="126"/>
      <c r="BX331" s="126"/>
    </row>
    <row r="332">
      <c r="A332" s="126"/>
      <c r="B332" s="126"/>
      <c r="C332" s="127"/>
      <c r="D332" s="126"/>
      <c r="E332" s="126"/>
      <c r="F332" s="127"/>
      <c r="G332" s="126"/>
      <c r="H332" s="127"/>
      <c r="I332" s="126"/>
      <c r="J332" s="126"/>
      <c r="K332" s="127"/>
      <c r="L332" s="126"/>
      <c r="M332" s="126"/>
      <c r="N332" s="127"/>
      <c r="O332" s="126"/>
      <c r="P332" s="126"/>
      <c r="Q332" s="127"/>
      <c r="R332" s="126"/>
      <c r="S332" s="126"/>
      <c r="T332" s="127"/>
      <c r="U332" s="126"/>
      <c r="V332" s="126"/>
      <c r="W332" s="127"/>
      <c r="X332" s="126"/>
      <c r="Y332" s="126"/>
      <c r="Z332" s="127"/>
      <c r="AA332" s="126"/>
      <c r="AB332" s="126"/>
      <c r="AC332" s="127"/>
      <c r="AD332" s="126"/>
      <c r="AE332" s="126"/>
      <c r="AF332" s="126"/>
      <c r="AG332" s="127"/>
      <c r="AH332" s="126"/>
      <c r="AI332" s="126"/>
      <c r="AJ332" s="127"/>
      <c r="AK332" s="126"/>
      <c r="AL332" s="126"/>
      <c r="AM332" s="127"/>
      <c r="AN332" s="126"/>
      <c r="AO332" s="126"/>
      <c r="AP332" s="127"/>
      <c r="AQ332" s="126"/>
      <c r="AR332" s="126"/>
      <c r="AS332" s="127"/>
      <c r="AT332" s="126"/>
      <c r="AU332" s="126"/>
      <c r="AV332" s="127"/>
      <c r="AW332" s="126"/>
      <c r="AX332" s="126"/>
      <c r="AY332" s="127"/>
      <c r="AZ332" s="126"/>
      <c r="BA332" s="126"/>
      <c r="BB332" s="127"/>
      <c r="BC332" s="126"/>
      <c r="BD332" s="134"/>
      <c r="BE332" s="127"/>
      <c r="BF332" s="126"/>
      <c r="BG332" s="126"/>
      <c r="BH332" s="126"/>
      <c r="BI332" s="126"/>
      <c r="BJ332" s="126"/>
      <c r="BK332" s="126"/>
      <c r="BL332" s="126"/>
      <c r="BM332" s="126"/>
      <c r="BN332" s="126"/>
      <c r="BO332" s="126"/>
      <c r="BP332" s="126"/>
      <c r="BQ332" s="126"/>
      <c r="BR332" s="126"/>
      <c r="BS332" s="126"/>
      <c r="BT332" s="126"/>
      <c r="BU332" s="126"/>
      <c r="BV332" s="126"/>
      <c r="BW332" s="126"/>
      <c r="BX332" s="126"/>
    </row>
    <row r="333">
      <c r="A333" s="126"/>
      <c r="B333" s="126"/>
      <c r="C333" s="127"/>
      <c r="D333" s="126"/>
      <c r="E333" s="126"/>
      <c r="F333" s="127"/>
      <c r="G333" s="126"/>
      <c r="H333" s="127"/>
      <c r="I333" s="126"/>
      <c r="J333" s="126"/>
      <c r="K333" s="127"/>
      <c r="L333" s="126"/>
      <c r="M333" s="126"/>
      <c r="N333" s="127"/>
      <c r="O333" s="126"/>
      <c r="P333" s="126"/>
      <c r="Q333" s="127"/>
      <c r="R333" s="126"/>
      <c r="S333" s="126"/>
      <c r="T333" s="127"/>
      <c r="U333" s="126"/>
      <c r="V333" s="126"/>
      <c r="W333" s="127"/>
      <c r="X333" s="126"/>
      <c r="Y333" s="126"/>
      <c r="Z333" s="127"/>
      <c r="AA333" s="126"/>
      <c r="AB333" s="126"/>
      <c r="AC333" s="127"/>
      <c r="AD333" s="126"/>
      <c r="AE333" s="126"/>
      <c r="AF333" s="126"/>
      <c r="AG333" s="127"/>
      <c r="AH333" s="126"/>
      <c r="AI333" s="126"/>
      <c r="AJ333" s="127"/>
      <c r="AK333" s="126"/>
      <c r="AL333" s="126"/>
      <c r="AM333" s="127"/>
      <c r="AN333" s="126"/>
      <c r="AO333" s="126"/>
      <c r="AP333" s="127"/>
      <c r="AQ333" s="126"/>
      <c r="AR333" s="126"/>
      <c r="AS333" s="127"/>
      <c r="AT333" s="126"/>
      <c r="AU333" s="126"/>
      <c r="AV333" s="127"/>
      <c r="AW333" s="126"/>
      <c r="AX333" s="126"/>
      <c r="AY333" s="127"/>
      <c r="AZ333" s="126"/>
      <c r="BA333" s="126"/>
      <c r="BB333" s="127"/>
      <c r="BC333" s="126"/>
      <c r="BD333" s="134"/>
      <c r="BE333" s="127"/>
      <c r="BF333" s="126"/>
      <c r="BG333" s="126"/>
      <c r="BH333" s="126"/>
      <c r="BI333" s="126"/>
      <c r="BJ333" s="126"/>
      <c r="BK333" s="126"/>
      <c r="BL333" s="126"/>
      <c r="BM333" s="126"/>
      <c r="BN333" s="126"/>
      <c r="BO333" s="126"/>
      <c r="BP333" s="126"/>
      <c r="BQ333" s="126"/>
      <c r="BR333" s="126"/>
      <c r="BS333" s="126"/>
      <c r="BT333" s="126"/>
      <c r="BU333" s="126"/>
      <c r="BV333" s="126"/>
      <c r="BW333" s="126"/>
      <c r="BX333" s="126"/>
    </row>
    <row r="334">
      <c r="A334" s="126"/>
      <c r="B334" s="126"/>
      <c r="C334" s="127"/>
      <c r="D334" s="126"/>
      <c r="E334" s="126"/>
      <c r="F334" s="127"/>
      <c r="G334" s="126"/>
      <c r="H334" s="127"/>
      <c r="I334" s="126"/>
      <c r="J334" s="126"/>
      <c r="K334" s="127"/>
      <c r="L334" s="126"/>
      <c r="M334" s="126"/>
      <c r="N334" s="127"/>
      <c r="O334" s="126"/>
      <c r="P334" s="126"/>
      <c r="Q334" s="127"/>
      <c r="R334" s="126"/>
      <c r="S334" s="126"/>
      <c r="T334" s="127"/>
      <c r="U334" s="126"/>
      <c r="V334" s="126"/>
      <c r="W334" s="127"/>
      <c r="X334" s="126"/>
      <c r="Y334" s="126"/>
      <c r="Z334" s="127"/>
      <c r="AA334" s="126"/>
      <c r="AB334" s="126"/>
      <c r="AC334" s="127"/>
      <c r="AD334" s="126"/>
      <c r="AE334" s="126"/>
      <c r="AF334" s="126"/>
      <c r="AG334" s="127"/>
      <c r="AH334" s="126"/>
      <c r="AI334" s="126"/>
      <c r="AJ334" s="127"/>
      <c r="AK334" s="126"/>
      <c r="AL334" s="126"/>
      <c r="AM334" s="127"/>
      <c r="AN334" s="126"/>
      <c r="AO334" s="126"/>
      <c r="AP334" s="127"/>
      <c r="AQ334" s="126"/>
      <c r="AR334" s="126"/>
      <c r="AS334" s="127"/>
      <c r="AT334" s="126"/>
      <c r="AU334" s="126"/>
      <c r="AV334" s="127"/>
      <c r="AW334" s="126"/>
      <c r="AX334" s="126"/>
      <c r="AY334" s="127"/>
      <c r="AZ334" s="126"/>
      <c r="BA334" s="126"/>
      <c r="BB334" s="127"/>
      <c r="BC334" s="126"/>
      <c r="BD334" s="134"/>
      <c r="BE334" s="127"/>
      <c r="BF334" s="126"/>
      <c r="BG334" s="126"/>
      <c r="BH334" s="126"/>
      <c r="BI334" s="126"/>
      <c r="BJ334" s="126"/>
      <c r="BK334" s="126"/>
      <c r="BL334" s="126"/>
      <c r="BM334" s="126"/>
      <c r="BN334" s="126"/>
      <c r="BO334" s="126"/>
      <c r="BP334" s="126"/>
      <c r="BQ334" s="126"/>
      <c r="BR334" s="126"/>
      <c r="BS334" s="126"/>
      <c r="BT334" s="126"/>
      <c r="BU334" s="126"/>
      <c r="BV334" s="126"/>
      <c r="BW334" s="126"/>
      <c r="BX334" s="126"/>
    </row>
    <row r="335">
      <c r="A335" s="126"/>
      <c r="B335" s="126"/>
      <c r="C335" s="127"/>
      <c r="D335" s="126"/>
      <c r="E335" s="126"/>
      <c r="F335" s="127"/>
      <c r="G335" s="126"/>
      <c r="H335" s="127"/>
      <c r="I335" s="126"/>
      <c r="J335" s="126"/>
      <c r="K335" s="127"/>
      <c r="L335" s="126"/>
      <c r="M335" s="126"/>
      <c r="N335" s="127"/>
      <c r="O335" s="126"/>
      <c r="P335" s="126"/>
      <c r="Q335" s="127"/>
      <c r="R335" s="126"/>
      <c r="S335" s="126"/>
      <c r="T335" s="127"/>
      <c r="U335" s="126"/>
      <c r="V335" s="126"/>
      <c r="W335" s="127"/>
      <c r="X335" s="126"/>
      <c r="Y335" s="126"/>
      <c r="Z335" s="127"/>
      <c r="AA335" s="126"/>
      <c r="AB335" s="126"/>
      <c r="AC335" s="127"/>
      <c r="AD335" s="126"/>
      <c r="AE335" s="126"/>
      <c r="AF335" s="126"/>
      <c r="AG335" s="127"/>
      <c r="AH335" s="126"/>
      <c r="AI335" s="126"/>
      <c r="AJ335" s="127"/>
      <c r="AK335" s="126"/>
      <c r="AL335" s="126"/>
      <c r="AM335" s="127"/>
      <c r="AN335" s="126"/>
      <c r="AO335" s="126"/>
      <c r="AP335" s="127"/>
      <c r="AQ335" s="126"/>
      <c r="AR335" s="126"/>
      <c r="AS335" s="127"/>
      <c r="AT335" s="126"/>
      <c r="AU335" s="126"/>
      <c r="AV335" s="127"/>
      <c r="AW335" s="126"/>
      <c r="AX335" s="126"/>
      <c r="AY335" s="127"/>
      <c r="AZ335" s="126"/>
      <c r="BA335" s="126"/>
      <c r="BB335" s="127"/>
      <c r="BC335" s="126"/>
      <c r="BD335" s="134"/>
      <c r="BE335" s="127"/>
      <c r="BF335" s="126"/>
      <c r="BG335" s="126"/>
      <c r="BH335" s="126"/>
      <c r="BI335" s="126"/>
      <c r="BJ335" s="126"/>
      <c r="BK335" s="126"/>
      <c r="BL335" s="126"/>
      <c r="BM335" s="126"/>
      <c r="BN335" s="126"/>
      <c r="BO335" s="126"/>
      <c r="BP335" s="126"/>
      <c r="BQ335" s="126"/>
      <c r="BR335" s="126"/>
      <c r="BS335" s="126"/>
      <c r="BT335" s="126"/>
      <c r="BU335" s="126"/>
      <c r="BV335" s="126"/>
      <c r="BW335" s="126"/>
      <c r="BX335" s="126"/>
    </row>
    <row r="336">
      <c r="A336" s="126"/>
      <c r="B336" s="126"/>
      <c r="C336" s="127"/>
      <c r="D336" s="126"/>
      <c r="E336" s="126"/>
      <c r="F336" s="127"/>
      <c r="G336" s="126"/>
      <c r="H336" s="127"/>
      <c r="I336" s="126"/>
      <c r="J336" s="126"/>
      <c r="K336" s="127"/>
      <c r="L336" s="126"/>
      <c r="M336" s="126"/>
      <c r="N336" s="127"/>
      <c r="O336" s="126"/>
      <c r="P336" s="126"/>
      <c r="Q336" s="127"/>
      <c r="R336" s="126"/>
      <c r="S336" s="126"/>
      <c r="T336" s="127"/>
      <c r="U336" s="126"/>
      <c r="V336" s="126"/>
      <c r="W336" s="127"/>
      <c r="X336" s="126"/>
      <c r="Y336" s="126"/>
      <c r="Z336" s="127"/>
      <c r="AA336" s="126"/>
      <c r="AB336" s="126"/>
      <c r="AC336" s="127"/>
      <c r="AD336" s="126"/>
      <c r="AE336" s="126"/>
      <c r="AF336" s="126"/>
      <c r="AG336" s="127"/>
      <c r="AH336" s="126"/>
      <c r="AI336" s="126"/>
      <c r="AJ336" s="127"/>
      <c r="AK336" s="126"/>
      <c r="AL336" s="126"/>
      <c r="AM336" s="127"/>
      <c r="AN336" s="126"/>
      <c r="AO336" s="126"/>
      <c r="AP336" s="127"/>
      <c r="AQ336" s="126"/>
      <c r="AR336" s="126"/>
      <c r="AS336" s="127"/>
      <c r="AT336" s="126"/>
      <c r="AU336" s="126"/>
      <c r="AV336" s="127"/>
      <c r="AW336" s="126"/>
      <c r="AX336" s="126"/>
      <c r="AY336" s="127"/>
      <c r="AZ336" s="126"/>
      <c r="BA336" s="126"/>
      <c r="BB336" s="127"/>
      <c r="BC336" s="126"/>
      <c r="BD336" s="134"/>
      <c r="BE336" s="127"/>
      <c r="BF336" s="126"/>
      <c r="BG336" s="126"/>
      <c r="BH336" s="126"/>
      <c r="BI336" s="126"/>
      <c r="BJ336" s="126"/>
      <c r="BK336" s="126"/>
      <c r="BL336" s="126"/>
      <c r="BM336" s="126"/>
      <c r="BN336" s="126"/>
      <c r="BO336" s="126"/>
      <c r="BP336" s="126"/>
      <c r="BQ336" s="126"/>
      <c r="BR336" s="126"/>
      <c r="BS336" s="126"/>
      <c r="BT336" s="126"/>
      <c r="BU336" s="126"/>
      <c r="BV336" s="126"/>
      <c r="BW336" s="126"/>
      <c r="BX336" s="126"/>
    </row>
    <row r="337">
      <c r="A337" s="126"/>
      <c r="B337" s="126"/>
      <c r="C337" s="127"/>
      <c r="D337" s="126"/>
      <c r="E337" s="126"/>
      <c r="F337" s="127"/>
      <c r="G337" s="126"/>
      <c r="H337" s="127"/>
      <c r="I337" s="126"/>
      <c r="J337" s="126"/>
      <c r="K337" s="127"/>
      <c r="L337" s="126"/>
      <c r="M337" s="126"/>
      <c r="N337" s="127"/>
      <c r="O337" s="126"/>
      <c r="P337" s="126"/>
      <c r="Q337" s="127"/>
      <c r="R337" s="126"/>
      <c r="S337" s="126"/>
      <c r="T337" s="127"/>
      <c r="U337" s="126"/>
      <c r="V337" s="126"/>
      <c r="W337" s="127"/>
      <c r="X337" s="126"/>
      <c r="Y337" s="126"/>
      <c r="Z337" s="127"/>
      <c r="AA337" s="126"/>
      <c r="AB337" s="126"/>
      <c r="AC337" s="127"/>
      <c r="AD337" s="126"/>
      <c r="AE337" s="126"/>
      <c r="AF337" s="126"/>
      <c r="AG337" s="127"/>
      <c r="AH337" s="126"/>
      <c r="AI337" s="126"/>
      <c r="AJ337" s="127"/>
      <c r="AK337" s="126"/>
      <c r="AL337" s="126"/>
      <c r="AM337" s="127"/>
      <c r="AN337" s="126"/>
      <c r="AO337" s="126"/>
      <c r="AP337" s="127"/>
      <c r="AQ337" s="126"/>
      <c r="AR337" s="126"/>
      <c r="AS337" s="127"/>
      <c r="AT337" s="126"/>
      <c r="AU337" s="126"/>
      <c r="AV337" s="127"/>
      <c r="AW337" s="126"/>
      <c r="AX337" s="126"/>
      <c r="AY337" s="127"/>
      <c r="AZ337" s="126"/>
      <c r="BA337" s="126"/>
      <c r="BB337" s="127"/>
      <c r="BC337" s="126"/>
      <c r="BD337" s="134"/>
      <c r="BE337" s="127"/>
      <c r="BF337" s="126"/>
      <c r="BG337" s="126"/>
      <c r="BH337" s="126"/>
      <c r="BI337" s="126"/>
      <c r="BJ337" s="126"/>
      <c r="BK337" s="126"/>
      <c r="BL337" s="126"/>
      <c r="BM337" s="126"/>
      <c r="BN337" s="126"/>
      <c r="BO337" s="126"/>
      <c r="BP337" s="126"/>
      <c r="BQ337" s="126"/>
      <c r="BR337" s="126"/>
      <c r="BS337" s="126"/>
      <c r="BT337" s="126"/>
      <c r="BU337" s="126"/>
      <c r="BV337" s="126"/>
      <c r="BW337" s="126"/>
      <c r="BX337" s="126"/>
    </row>
    <row r="338">
      <c r="A338" s="126"/>
      <c r="B338" s="126"/>
      <c r="C338" s="127"/>
      <c r="D338" s="126"/>
      <c r="E338" s="126"/>
      <c r="F338" s="127"/>
      <c r="G338" s="126"/>
      <c r="H338" s="127"/>
      <c r="I338" s="126"/>
      <c r="J338" s="126"/>
      <c r="K338" s="127"/>
      <c r="L338" s="126"/>
      <c r="M338" s="126"/>
      <c r="N338" s="127"/>
      <c r="O338" s="126"/>
      <c r="P338" s="126"/>
      <c r="Q338" s="127"/>
      <c r="R338" s="126"/>
      <c r="S338" s="126"/>
      <c r="T338" s="127"/>
      <c r="U338" s="126"/>
      <c r="V338" s="126"/>
      <c r="W338" s="127"/>
      <c r="X338" s="126"/>
      <c r="Y338" s="126"/>
      <c r="Z338" s="127"/>
      <c r="AA338" s="126"/>
      <c r="AB338" s="126"/>
      <c r="AC338" s="127"/>
      <c r="AD338" s="126"/>
      <c r="AE338" s="126"/>
      <c r="AF338" s="126"/>
      <c r="AG338" s="127"/>
      <c r="AH338" s="126"/>
      <c r="AI338" s="126"/>
      <c r="AJ338" s="127"/>
      <c r="AK338" s="126"/>
      <c r="AL338" s="126"/>
      <c r="AM338" s="127"/>
      <c r="AN338" s="126"/>
      <c r="AO338" s="126"/>
      <c r="AP338" s="127"/>
      <c r="AQ338" s="126"/>
      <c r="AR338" s="126"/>
      <c r="AS338" s="127"/>
      <c r="AT338" s="126"/>
      <c r="AU338" s="126"/>
      <c r="AV338" s="127"/>
      <c r="AW338" s="126"/>
      <c r="AX338" s="126"/>
      <c r="AY338" s="127"/>
      <c r="AZ338" s="126"/>
      <c r="BA338" s="126"/>
      <c r="BB338" s="127"/>
      <c r="BC338" s="126"/>
      <c r="BD338" s="134"/>
      <c r="BE338" s="127"/>
      <c r="BF338" s="126"/>
      <c r="BG338" s="126"/>
      <c r="BH338" s="126"/>
      <c r="BI338" s="126"/>
      <c r="BJ338" s="126"/>
      <c r="BK338" s="126"/>
      <c r="BL338" s="126"/>
      <c r="BM338" s="126"/>
      <c r="BN338" s="126"/>
      <c r="BO338" s="126"/>
      <c r="BP338" s="126"/>
      <c r="BQ338" s="126"/>
      <c r="BR338" s="126"/>
      <c r="BS338" s="126"/>
      <c r="BT338" s="126"/>
      <c r="BU338" s="126"/>
      <c r="BV338" s="126"/>
      <c r="BW338" s="126"/>
      <c r="BX338" s="126"/>
    </row>
    <row r="339">
      <c r="A339" s="126"/>
      <c r="B339" s="126"/>
      <c r="C339" s="127"/>
      <c r="D339" s="126"/>
      <c r="E339" s="126"/>
      <c r="F339" s="127"/>
      <c r="G339" s="126"/>
      <c r="H339" s="127"/>
      <c r="I339" s="126"/>
      <c r="J339" s="126"/>
      <c r="K339" s="127"/>
      <c r="L339" s="126"/>
      <c r="M339" s="126"/>
      <c r="N339" s="127"/>
      <c r="O339" s="126"/>
      <c r="P339" s="126"/>
      <c r="Q339" s="127"/>
      <c r="R339" s="126"/>
      <c r="S339" s="126"/>
      <c r="T339" s="127"/>
      <c r="U339" s="126"/>
      <c r="V339" s="126"/>
      <c r="W339" s="127"/>
      <c r="X339" s="126"/>
      <c r="Y339" s="126"/>
      <c r="Z339" s="127"/>
      <c r="AA339" s="126"/>
      <c r="AB339" s="126"/>
      <c r="AC339" s="127"/>
      <c r="AD339" s="126"/>
      <c r="AE339" s="126"/>
      <c r="AF339" s="126"/>
      <c r="AG339" s="127"/>
      <c r="AH339" s="126"/>
      <c r="AI339" s="126"/>
      <c r="AJ339" s="127"/>
      <c r="AK339" s="126"/>
      <c r="AL339" s="126"/>
      <c r="AM339" s="127"/>
      <c r="AN339" s="126"/>
      <c r="AO339" s="126"/>
      <c r="AP339" s="127"/>
      <c r="AQ339" s="126"/>
      <c r="AR339" s="126"/>
      <c r="AS339" s="127"/>
      <c r="AT339" s="126"/>
      <c r="AU339" s="126"/>
      <c r="AV339" s="127"/>
      <c r="AW339" s="126"/>
      <c r="AX339" s="126"/>
      <c r="AY339" s="127"/>
      <c r="AZ339" s="126"/>
      <c r="BA339" s="126"/>
      <c r="BB339" s="127"/>
      <c r="BC339" s="126"/>
      <c r="BD339" s="134"/>
      <c r="BE339" s="127"/>
      <c r="BF339" s="126"/>
      <c r="BG339" s="126"/>
      <c r="BH339" s="126"/>
      <c r="BI339" s="126"/>
      <c r="BJ339" s="126"/>
      <c r="BK339" s="126"/>
      <c r="BL339" s="126"/>
      <c r="BM339" s="126"/>
      <c r="BN339" s="126"/>
      <c r="BO339" s="126"/>
      <c r="BP339" s="126"/>
      <c r="BQ339" s="126"/>
      <c r="BR339" s="126"/>
      <c r="BS339" s="126"/>
      <c r="BT339" s="126"/>
      <c r="BU339" s="126"/>
      <c r="BV339" s="126"/>
      <c r="BW339" s="126"/>
      <c r="BX339" s="126"/>
    </row>
    <row r="340">
      <c r="A340" s="126"/>
      <c r="B340" s="126"/>
      <c r="C340" s="127"/>
      <c r="D340" s="126"/>
      <c r="E340" s="126"/>
      <c r="F340" s="127"/>
      <c r="G340" s="126"/>
      <c r="H340" s="127"/>
      <c r="I340" s="126"/>
      <c r="J340" s="126"/>
      <c r="K340" s="127"/>
      <c r="L340" s="126"/>
      <c r="M340" s="126"/>
      <c r="N340" s="127"/>
      <c r="O340" s="126"/>
      <c r="P340" s="126"/>
      <c r="Q340" s="127"/>
      <c r="R340" s="126"/>
      <c r="S340" s="126"/>
      <c r="T340" s="127"/>
      <c r="U340" s="126"/>
      <c r="V340" s="126"/>
      <c r="W340" s="127"/>
      <c r="X340" s="126"/>
      <c r="Y340" s="126"/>
      <c r="Z340" s="127"/>
      <c r="AA340" s="126"/>
      <c r="AB340" s="126"/>
      <c r="AC340" s="127"/>
      <c r="AD340" s="126"/>
      <c r="AE340" s="126"/>
      <c r="AF340" s="126"/>
      <c r="AG340" s="127"/>
      <c r="AH340" s="126"/>
      <c r="AI340" s="126"/>
      <c r="AJ340" s="127"/>
      <c r="AK340" s="126"/>
      <c r="AL340" s="126"/>
      <c r="AM340" s="127"/>
      <c r="AN340" s="126"/>
      <c r="AO340" s="126"/>
      <c r="AP340" s="127"/>
      <c r="AQ340" s="126"/>
      <c r="AR340" s="126"/>
      <c r="AS340" s="127"/>
      <c r="AT340" s="126"/>
      <c r="AU340" s="126"/>
      <c r="AV340" s="127"/>
      <c r="AW340" s="126"/>
      <c r="AX340" s="126"/>
      <c r="AY340" s="127"/>
      <c r="AZ340" s="126"/>
      <c r="BA340" s="126"/>
      <c r="BB340" s="127"/>
      <c r="BC340" s="126"/>
      <c r="BD340" s="134"/>
      <c r="BE340" s="127"/>
      <c r="BF340" s="126"/>
      <c r="BG340" s="126"/>
      <c r="BH340" s="126"/>
      <c r="BI340" s="126"/>
      <c r="BJ340" s="126"/>
      <c r="BK340" s="126"/>
      <c r="BL340" s="126"/>
      <c r="BM340" s="126"/>
      <c r="BN340" s="126"/>
      <c r="BO340" s="126"/>
      <c r="BP340" s="126"/>
      <c r="BQ340" s="126"/>
      <c r="BR340" s="126"/>
      <c r="BS340" s="126"/>
      <c r="BT340" s="126"/>
      <c r="BU340" s="126"/>
      <c r="BV340" s="126"/>
      <c r="BW340" s="126"/>
      <c r="BX340" s="126"/>
    </row>
    <row r="341">
      <c r="A341" s="126"/>
      <c r="B341" s="126"/>
      <c r="C341" s="127"/>
      <c r="D341" s="126"/>
      <c r="E341" s="126"/>
      <c r="F341" s="127"/>
      <c r="G341" s="126"/>
      <c r="H341" s="127"/>
      <c r="I341" s="126"/>
      <c r="J341" s="126"/>
      <c r="K341" s="127"/>
      <c r="L341" s="126"/>
      <c r="M341" s="126"/>
      <c r="N341" s="127"/>
      <c r="O341" s="126"/>
      <c r="P341" s="126"/>
      <c r="Q341" s="127"/>
      <c r="R341" s="126"/>
      <c r="S341" s="126"/>
      <c r="T341" s="127"/>
      <c r="U341" s="126"/>
      <c r="V341" s="126"/>
      <c r="W341" s="127"/>
      <c r="X341" s="126"/>
      <c r="Y341" s="126"/>
      <c r="Z341" s="127"/>
      <c r="AA341" s="126"/>
      <c r="AB341" s="126"/>
      <c r="AC341" s="127"/>
      <c r="AD341" s="126"/>
      <c r="AE341" s="126"/>
      <c r="AF341" s="126"/>
      <c r="AG341" s="127"/>
      <c r="AH341" s="126"/>
      <c r="AI341" s="126"/>
      <c r="AJ341" s="127"/>
      <c r="AK341" s="126"/>
      <c r="AL341" s="126"/>
      <c r="AM341" s="127"/>
      <c r="AN341" s="126"/>
      <c r="AO341" s="126"/>
      <c r="AP341" s="127"/>
      <c r="AQ341" s="126"/>
      <c r="AR341" s="126"/>
      <c r="AS341" s="127"/>
      <c r="AT341" s="126"/>
      <c r="AU341" s="126"/>
      <c r="AV341" s="127"/>
      <c r="AW341" s="126"/>
      <c r="AX341" s="126"/>
      <c r="AY341" s="127"/>
      <c r="AZ341" s="126"/>
      <c r="BA341" s="126"/>
      <c r="BB341" s="127"/>
      <c r="BC341" s="126"/>
      <c r="BD341" s="134"/>
      <c r="BE341" s="127"/>
      <c r="BF341" s="126"/>
      <c r="BG341" s="126"/>
      <c r="BH341" s="126"/>
      <c r="BI341" s="126"/>
      <c r="BJ341" s="126"/>
      <c r="BK341" s="126"/>
      <c r="BL341" s="126"/>
      <c r="BM341" s="126"/>
      <c r="BN341" s="126"/>
      <c r="BO341" s="126"/>
      <c r="BP341" s="126"/>
      <c r="BQ341" s="126"/>
      <c r="BR341" s="126"/>
      <c r="BS341" s="126"/>
      <c r="BT341" s="126"/>
      <c r="BU341" s="126"/>
      <c r="BV341" s="126"/>
      <c r="BW341" s="126"/>
      <c r="BX341" s="126"/>
    </row>
    <row r="342">
      <c r="A342" s="126"/>
      <c r="B342" s="126"/>
      <c r="C342" s="127"/>
      <c r="D342" s="126"/>
      <c r="E342" s="126"/>
      <c r="F342" s="127"/>
      <c r="G342" s="126"/>
      <c r="H342" s="127"/>
      <c r="I342" s="126"/>
      <c r="J342" s="126"/>
      <c r="K342" s="127"/>
      <c r="L342" s="126"/>
      <c r="M342" s="126"/>
      <c r="N342" s="127"/>
      <c r="O342" s="126"/>
      <c r="P342" s="126"/>
      <c r="Q342" s="127"/>
      <c r="R342" s="126"/>
      <c r="S342" s="126"/>
      <c r="T342" s="127"/>
      <c r="U342" s="126"/>
      <c r="V342" s="126"/>
      <c r="W342" s="127"/>
      <c r="X342" s="126"/>
      <c r="Y342" s="126"/>
      <c r="Z342" s="127"/>
      <c r="AA342" s="126"/>
      <c r="AB342" s="126"/>
      <c r="AC342" s="127"/>
      <c r="AD342" s="126"/>
      <c r="AE342" s="126"/>
      <c r="AF342" s="126"/>
      <c r="AG342" s="127"/>
      <c r="AH342" s="126"/>
      <c r="AI342" s="126"/>
      <c r="AJ342" s="127"/>
      <c r="AK342" s="126"/>
      <c r="AL342" s="126"/>
      <c r="AM342" s="127"/>
      <c r="AN342" s="126"/>
      <c r="AO342" s="126"/>
      <c r="AP342" s="127"/>
      <c r="AQ342" s="126"/>
      <c r="AR342" s="126"/>
      <c r="AS342" s="127"/>
      <c r="AT342" s="126"/>
      <c r="AU342" s="126"/>
      <c r="AV342" s="127"/>
      <c r="AW342" s="126"/>
      <c r="AX342" s="126"/>
      <c r="AY342" s="127"/>
      <c r="AZ342" s="126"/>
      <c r="BA342" s="126"/>
      <c r="BB342" s="127"/>
      <c r="BC342" s="126"/>
      <c r="BD342" s="134"/>
      <c r="BE342" s="127"/>
      <c r="BF342" s="126"/>
      <c r="BG342" s="126"/>
      <c r="BH342" s="126"/>
      <c r="BI342" s="126"/>
      <c r="BJ342" s="126"/>
      <c r="BK342" s="126"/>
      <c r="BL342" s="126"/>
      <c r="BM342" s="126"/>
      <c r="BN342" s="126"/>
      <c r="BO342" s="126"/>
      <c r="BP342" s="126"/>
      <c r="BQ342" s="126"/>
      <c r="BR342" s="126"/>
      <c r="BS342" s="126"/>
      <c r="BT342" s="126"/>
      <c r="BU342" s="126"/>
      <c r="BV342" s="126"/>
      <c r="BW342" s="126"/>
      <c r="BX342" s="126"/>
    </row>
    <row r="343">
      <c r="A343" s="126"/>
      <c r="B343" s="126"/>
      <c r="C343" s="127"/>
      <c r="D343" s="126"/>
      <c r="E343" s="126"/>
      <c r="F343" s="127"/>
      <c r="G343" s="126"/>
      <c r="H343" s="127"/>
      <c r="I343" s="126"/>
      <c r="J343" s="126"/>
      <c r="K343" s="127"/>
      <c r="L343" s="126"/>
      <c r="M343" s="126"/>
      <c r="N343" s="127"/>
      <c r="O343" s="126"/>
      <c r="P343" s="126"/>
      <c r="Q343" s="127"/>
      <c r="R343" s="126"/>
      <c r="S343" s="126"/>
      <c r="T343" s="127"/>
      <c r="U343" s="126"/>
      <c r="V343" s="126"/>
      <c r="W343" s="127"/>
      <c r="X343" s="126"/>
      <c r="Y343" s="126"/>
      <c r="Z343" s="127"/>
      <c r="AA343" s="126"/>
      <c r="AB343" s="126"/>
      <c r="AC343" s="127"/>
      <c r="AD343" s="126"/>
      <c r="AE343" s="126"/>
      <c r="AF343" s="126"/>
      <c r="AG343" s="127"/>
      <c r="AH343" s="126"/>
      <c r="AI343" s="126"/>
      <c r="AJ343" s="127"/>
      <c r="AK343" s="126"/>
      <c r="AL343" s="126"/>
      <c r="AM343" s="127"/>
      <c r="AN343" s="126"/>
      <c r="AO343" s="126"/>
      <c r="AP343" s="127"/>
      <c r="AQ343" s="126"/>
      <c r="AR343" s="126"/>
      <c r="AS343" s="127"/>
      <c r="AT343" s="126"/>
      <c r="AU343" s="126"/>
      <c r="AV343" s="127"/>
      <c r="AW343" s="126"/>
      <c r="AX343" s="126"/>
      <c r="AY343" s="127"/>
      <c r="AZ343" s="126"/>
      <c r="BA343" s="126"/>
      <c r="BB343" s="127"/>
      <c r="BC343" s="126"/>
      <c r="BD343" s="134"/>
      <c r="BE343" s="127"/>
      <c r="BF343" s="126"/>
      <c r="BG343" s="126"/>
      <c r="BH343" s="126"/>
      <c r="BI343" s="126"/>
      <c r="BJ343" s="126"/>
      <c r="BK343" s="126"/>
      <c r="BL343" s="126"/>
      <c r="BM343" s="126"/>
      <c r="BN343" s="126"/>
      <c r="BO343" s="126"/>
      <c r="BP343" s="126"/>
      <c r="BQ343" s="126"/>
      <c r="BR343" s="126"/>
      <c r="BS343" s="126"/>
      <c r="BT343" s="126"/>
      <c r="BU343" s="126"/>
      <c r="BV343" s="126"/>
      <c r="BW343" s="126"/>
      <c r="BX343" s="126"/>
    </row>
    <row r="344">
      <c r="A344" s="126"/>
      <c r="B344" s="126"/>
      <c r="C344" s="127"/>
      <c r="D344" s="126"/>
      <c r="E344" s="126"/>
      <c r="F344" s="127"/>
      <c r="G344" s="126"/>
      <c r="H344" s="127"/>
      <c r="I344" s="126"/>
      <c r="J344" s="126"/>
      <c r="K344" s="127"/>
      <c r="L344" s="126"/>
      <c r="M344" s="126"/>
      <c r="N344" s="127"/>
      <c r="O344" s="126"/>
      <c r="P344" s="126"/>
      <c r="Q344" s="127"/>
      <c r="R344" s="126"/>
      <c r="S344" s="126"/>
      <c r="T344" s="127"/>
      <c r="U344" s="126"/>
      <c r="V344" s="126"/>
      <c r="W344" s="127"/>
      <c r="X344" s="126"/>
      <c r="Y344" s="126"/>
      <c r="Z344" s="127"/>
      <c r="AA344" s="126"/>
      <c r="AB344" s="126"/>
      <c r="AC344" s="127"/>
      <c r="AD344" s="126"/>
      <c r="AE344" s="126"/>
      <c r="AF344" s="126"/>
      <c r="AG344" s="127"/>
      <c r="AH344" s="126"/>
      <c r="AI344" s="126"/>
      <c r="AJ344" s="127"/>
      <c r="AK344" s="126"/>
      <c r="AL344" s="126"/>
      <c r="AM344" s="127"/>
      <c r="AN344" s="126"/>
      <c r="AO344" s="126"/>
      <c r="AP344" s="127"/>
      <c r="AQ344" s="126"/>
      <c r="AR344" s="126"/>
      <c r="AS344" s="127"/>
      <c r="AT344" s="126"/>
      <c r="AU344" s="126"/>
      <c r="AV344" s="127"/>
      <c r="AW344" s="126"/>
      <c r="AX344" s="126"/>
      <c r="AY344" s="127"/>
      <c r="AZ344" s="126"/>
      <c r="BA344" s="126"/>
      <c r="BB344" s="127"/>
      <c r="BC344" s="126"/>
      <c r="BD344" s="134"/>
      <c r="BE344" s="127"/>
      <c r="BF344" s="126"/>
      <c r="BG344" s="126"/>
      <c r="BH344" s="126"/>
      <c r="BI344" s="126"/>
      <c r="BJ344" s="126"/>
      <c r="BK344" s="126"/>
      <c r="BL344" s="126"/>
      <c r="BM344" s="126"/>
      <c r="BN344" s="126"/>
      <c r="BO344" s="126"/>
      <c r="BP344" s="126"/>
      <c r="BQ344" s="126"/>
      <c r="BR344" s="126"/>
      <c r="BS344" s="126"/>
      <c r="BT344" s="126"/>
      <c r="BU344" s="126"/>
      <c r="BV344" s="126"/>
      <c r="BW344" s="126"/>
      <c r="BX344" s="126"/>
    </row>
    <row r="345">
      <c r="A345" s="126"/>
      <c r="B345" s="126"/>
      <c r="C345" s="127"/>
      <c r="D345" s="126"/>
      <c r="E345" s="126"/>
      <c r="F345" s="127"/>
      <c r="G345" s="126"/>
      <c r="H345" s="127"/>
      <c r="I345" s="126"/>
      <c r="J345" s="126"/>
      <c r="K345" s="127"/>
      <c r="L345" s="126"/>
      <c r="M345" s="126"/>
      <c r="N345" s="127"/>
      <c r="O345" s="126"/>
      <c r="P345" s="126"/>
      <c r="Q345" s="127"/>
      <c r="R345" s="126"/>
      <c r="S345" s="126"/>
      <c r="T345" s="127"/>
      <c r="U345" s="126"/>
      <c r="V345" s="126"/>
      <c r="W345" s="127"/>
      <c r="X345" s="126"/>
      <c r="Y345" s="126"/>
      <c r="Z345" s="127"/>
      <c r="AA345" s="126"/>
      <c r="AB345" s="126"/>
      <c r="AC345" s="127"/>
      <c r="AD345" s="126"/>
      <c r="AE345" s="126"/>
      <c r="AF345" s="126"/>
      <c r="AG345" s="127"/>
      <c r="AH345" s="126"/>
      <c r="AI345" s="126"/>
      <c r="AJ345" s="127"/>
      <c r="AK345" s="126"/>
      <c r="AL345" s="126"/>
      <c r="AM345" s="127"/>
      <c r="AN345" s="126"/>
      <c r="AO345" s="126"/>
      <c r="AP345" s="127"/>
      <c r="AQ345" s="126"/>
      <c r="AR345" s="126"/>
      <c r="AS345" s="127"/>
      <c r="AT345" s="126"/>
      <c r="AU345" s="126"/>
      <c r="AV345" s="127"/>
      <c r="AW345" s="126"/>
      <c r="AX345" s="126"/>
      <c r="AY345" s="127"/>
      <c r="AZ345" s="126"/>
      <c r="BA345" s="126"/>
      <c r="BB345" s="127"/>
      <c r="BC345" s="126"/>
      <c r="BD345" s="134"/>
      <c r="BE345" s="127"/>
      <c r="BF345" s="126"/>
      <c r="BG345" s="126"/>
      <c r="BH345" s="126"/>
      <c r="BI345" s="126"/>
      <c r="BJ345" s="126"/>
      <c r="BK345" s="126"/>
      <c r="BL345" s="126"/>
      <c r="BM345" s="126"/>
      <c r="BN345" s="126"/>
      <c r="BO345" s="126"/>
      <c r="BP345" s="126"/>
      <c r="BQ345" s="126"/>
      <c r="BR345" s="126"/>
      <c r="BS345" s="126"/>
      <c r="BT345" s="126"/>
      <c r="BU345" s="126"/>
      <c r="BV345" s="126"/>
      <c r="BW345" s="126"/>
      <c r="BX345" s="126"/>
    </row>
    <row r="346">
      <c r="A346" s="126"/>
      <c r="B346" s="126"/>
      <c r="C346" s="127"/>
      <c r="D346" s="126"/>
      <c r="E346" s="126"/>
      <c r="F346" s="127"/>
      <c r="G346" s="126"/>
      <c r="H346" s="127"/>
      <c r="I346" s="126"/>
      <c r="J346" s="126"/>
      <c r="K346" s="127"/>
      <c r="L346" s="126"/>
      <c r="M346" s="126"/>
      <c r="N346" s="127"/>
      <c r="O346" s="126"/>
      <c r="P346" s="126"/>
      <c r="Q346" s="127"/>
      <c r="R346" s="126"/>
      <c r="S346" s="126"/>
      <c r="T346" s="127"/>
      <c r="U346" s="126"/>
      <c r="V346" s="126"/>
      <c r="W346" s="127"/>
      <c r="X346" s="126"/>
      <c r="Y346" s="126"/>
      <c r="Z346" s="127"/>
      <c r="AA346" s="126"/>
      <c r="AB346" s="126"/>
      <c r="AC346" s="127"/>
      <c r="AD346" s="126"/>
      <c r="AE346" s="126"/>
      <c r="AF346" s="126"/>
      <c r="AG346" s="127"/>
      <c r="AH346" s="126"/>
      <c r="AI346" s="126"/>
      <c r="AJ346" s="127"/>
      <c r="AK346" s="126"/>
      <c r="AL346" s="126"/>
      <c r="AM346" s="127"/>
      <c r="AN346" s="126"/>
      <c r="AO346" s="126"/>
      <c r="AP346" s="127"/>
      <c r="AQ346" s="126"/>
      <c r="AR346" s="126"/>
      <c r="AS346" s="127"/>
      <c r="AT346" s="126"/>
      <c r="AU346" s="126"/>
      <c r="AV346" s="127"/>
      <c r="AW346" s="126"/>
      <c r="AX346" s="126"/>
      <c r="AY346" s="127"/>
      <c r="AZ346" s="126"/>
      <c r="BA346" s="126"/>
      <c r="BB346" s="127"/>
      <c r="BC346" s="126"/>
      <c r="BD346" s="134"/>
      <c r="BE346" s="127"/>
      <c r="BF346" s="126"/>
      <c r="BG346" s="126"/>
      <c r="BH346" s="126"/>
      <c r="BI346" s="126"/>
      <c r="BJ346" s="126"/>
      <c r="BK346" s="126"/>
      <c r="BL346" s="126"/>
      <c r="BM346" s="126"/>
      <c r="BN346" s="126"/>
      <c r="BO346" s="126"/>
      <c r="BP346" s="126"/>
      <c r="BQ346" s="126"/>
      <c r="BR346" s="126"/>
      <c r="BS346" s="126"/>
      <c r="BT346" s="126"/>
      <c r="BU346" s="126"/>
      <c r="BV346" s="126"/>
      <c r="BW346" s="126"/>
      <c r="BX346" s="126"/>
    </row>
    <row r="347">
      <c r="A347" s="126"/>
      <c r="B347" s="126"/>
      <c r="C347" s="127"/>
      <c r="D347" s="126"/>
      <c r="E347" s="126"/>
      <c r="F347" s="127"/>
      <c r="G347" s="126"/>
      <c r="H347" s="127"/>
      <c r="I347" s="126"/>
      <c r="J347" s="126"/>
      <c r="K347" s="127"/>
      <c r="L347" s="126"/>
      <c r="M347" s="126"/>
      <c r="N347" s="127"/>
      <c r="O347" s="126"/>
      <c r="P347" s="126"/>
      <c r="Q347" s="127"/>
      <c r="R347" s="126"/>
      <c r="S347" s="126"/>
      <c r="T347" s="127"/>
      <c r="U347" s="126"/>
      <c r="V347" s="126"/>
      <c r="W347" s="127"/>
      <c r="X347" s="126"/>
      <c r="Y347" s="126"/>
      <c r="Z347" s="127"/>
      <c r="AA347" s="126"/>
      <c r="AB347" s="126"/>
      <c r="AC347" s="127"/>
      <c r="AD347" s="126"/>
      <c r="AE347" s="126"/>
      <c r="AF347" s="126"/>
      <c r="AG347" s="127"/>
      <c r="AH347" s="126"/>
      <c r="AI347" s="126"/>
      <c r="AJ347" s="127"/>
      <c r="AK347" s="126"/>
      <c r="AL347" s="126"/>
      <c r="AM347" s="127"/>
      <c r="AN347" s="126"/>
      <c r="AO347" s="126"/>
      <c r="AP347" s="127"/>
      <c r="AQ347" s="126"/>
      <c r="AR347" s="126"/>
      <c r="AS347" s="127"/>
      <c r="AT347" s="126"/>
      <c r="AU347" s="126"/>
      <c r="AV347" s="127"/>
      <c r="AW347" s="126"/>
      <c r="AX347" s="126"/>
      <c r="AY347" s="127"/>
      <c r="AZ347" s="126"/>
      <c r="BA347" s="126"/>
      <c r="BB347" s="127"/>
      <c r="BC347" s="126"/>
      <c r="BD347" s="134"/>
      <c r="BE347" s="127"/>
      <c r="BF347" s="126"/>
      <c r="BG347" s="126"/>
      <c r="BH347" s="126"/>
      <c r="BI347" s="126"/>
      <c r="BJ347" s="126"/>
      <c r="BK347" s="126"/>
      <c r="BL347" s="126"/>
      <c r="BM347" s="126"/>
      <c r="BN347" s="126"/>
      <c r="BO347" s="126"/>
      <c r="BP347" s="126"/>
      <c r="BQ347" s="126"/>
      <c r="BR347" s="126"/>
      <c r="BS347" s="126"/>
      <c r="BT347" s="126"/>
      <c r="BU347" s="126"/>
      <c r="BV347" s="126"/>
      <c r="BW347" s="126"/>
      <c r="BX347" s="126"/>
    </row>
    <row r="348">
      <c r="A348" s="126"/>
      <c r="B348" s="126"/>
      <c r="C348" s="127"/>
      <c r="D348" s="126"/>
      <c r="E348" s="126"/>
      <c r="F348" s="127"/>
      <c r="G348" s="126"/>
      <c r="H348" s="127"/>
      <c r="I348" s="126"/>
      <c r="J348" s="126"/>
      <c r="K348" s="127"/>
      <c r="L348" s="126"/>
      <c r="M348" s="126"/>
      <c r="N348" s="127"/>
      <c r="O348" s="126"/>
      <c r="P348" s="126"/>
      <c r="Q348" s="127"/>
      <c r="R348" s="126"/>
      <c r="S348" s="126"/>
      <c r="T348" s="127"/>
      <c r="U348" s="126"/>
      <c r="V348" s="126"/>
      <c r="W348" s="127"/>
      <c r="X348" s="126"/>
      <c r="Y348" s="126"/>
      <c r="Z348" s="127"/>
      <c r="AA348" s="126"/>
      <c r="AB348" s="126"/>
      <c r="AC348" s="127"/>
      <c r="AD348" s="126"/>
      <c r="AE348" s="126"/>
      <c r="AF348" s="126"/>
      <c r="AG348" s="127"/>
      <c r="AH348" s="126"/>
      <c r="AI348" s="126"/>
      <c r="AJ348" s="127"/>
      <c r="AK348" s="126"/>
      <c r="AL348" s="126"/>
      <c r="AM348" s="127"/>
      <c r="AN348" s="126"/>
      <c r="AO348" s="126"/>
      <c r="AP348" s="127"/>
      <c r="AQ348" s="126"/>
      <c r="AR348" s="126"/>
      <c r="AS348" s="127"/>
      <c r="AT348" s="126"/>
      <c r="AU348" s="126"/>
      <c r="AV348" s="127"/>
      <c r="AW348" s="126"/>
      <c r="AX348" s="126"/>
      <c r="AY348" s="127"/>
      <c r="AZ348" s="126"/>
      <c r="BA348" s="126"/>
      <c r="BB348" s="127"/>
      <c r="BC348" s="126"/>
      <c r="BD348" s="134"/>
      <c r="BE348" s="127"/>
      <c r="BF348" s="126"/>
      <c r="BG348" s="126"/>
      <c r="BH348" s="126"/>
      <c r="BI348" s="126"/>
      <c r="BJ348" s="126"/>
      <c r="BK348" s="126"/>
      <c r="BL348" s="126"/>
      <c r="BM348" s="126"/>
      <c r="BN348" s="126"/>
      <c r="BO348" s="126"/>
      <c r="BP348" s="126"/>
      <c r="BQ348" s="126"/>
      <c r="BR348" s="126"/>
      <c r="BS348" s="126"/>
      <c r="BT348" s="126"/>
      <c r="BU348" s="126"/>
      <c r="BV348" s="126"/>
      <c r="BW348" s="126"/>
      <c r="BX348" s="126"/>
    </row>
    <row r="349">
      <c r="A349" s="126"/>
      <c r="B349" s="126"/>
      <c r="C349" s="127"/>
      <c r="D349" s="126"/>
      <c r="E349" s="126"/>
      <c r="F349" s="127"/>
      <c r="G349" s="126"/>
      <c r="H349" s="127"/>
      <c r="I349" s="126"/>
      <c r="J349" s="126"/>
      <c r="K349" s="127"/>
      <c r="L349" s="126"/>
      <c r="M349" s="126"/>
      <c r="N349" s="127"/>
      <c r="O349" s="126"/>
      <c r="P349" s="126"/>
      <c r="Q349" s="127"/>
      <c r="R349" s="126"/>
      <c r="S349" s="126"/>
      <c r="T349" s="127"/>
      <c r="U349" s="126"/>
      <c r="V349" s="126"/>
      <c r="W349" s="127"/>
      <c r="X349" s="126"/>
      <c r="Y349" s="126"/>
      <c r="Z349" s="127"/>
      <c r="AA349" s="126"/>
      <c r="AB349" s="126"/>
      <c r="AC349" s="127"/>
      <c r="AD349" s="126"/>
      <c r="AE349" s="126"/>
      <c r="AF349" s="126"/>
      <c r="AG349" s="127"/>
      <c r="AH349" s="126"/>
      <c r="AI349" s="126"/>
      <c r="AJ349" s="127"/>
      <c r="AK349" s="126"/>
      <c r="AL349" s="126"/>
      <c r="AM349" s="127"/>
      <c r="AN349" s="126"/>
      <c r="AO349" s="126"/>
      <c r="AP349" s="127"/>
      <c r="AQ349" s="126"/>
      <c r="AR349" s="126"/>
      <c r="AS349" s="127"/>
      <c r="AT349" s="126"/>
      <c r="AU349" s="126"/>
      <c r="AV349" s="127"/>
      <c r="AW349" s="126"/>
      <c r="AX349" s="126"/>
      <c r="AY349" s="127"/>
      <c r="AZ349" s="126"/>
      <c r="BA349" s="126"/>
      <c r="BB349" s="127"/>
      <c r="BC349" s="126"/>
      <c r="BD349" s="134"/>
      <c r="BE349" s="127"/>
      <c r="BF349" s="126"/>
      <c r="BG349" s="126"/>
      <c r="BH349" s="126"/>
      <c r="BI349" s="126"/>
      <c r="BJ349" s="126"/>
      <c r="BK349" s="126"/>
      <c r="BL349" s="126"/>
      <c r="BM349" s="126"/>
      <c r="BN349" s="126"/>
      <c r="BO349" s="126"/>
      <c r="BP349" s="126"/>
      <c r="BQ349" s="126"/>
      <c r="BR349" s="126"/>
      <c r="BS349" s="126"/>
      <c r="BT349" s="126"/>
      <c r="BU349" s="126"/>
      <c r="BV349" s="126"/>
      <c r="BW349" s="126"/>
      <c r="BX349" s="126"/>
    </row>
    <row r="350">
      <c r="A350" s="126"/>
      <c r="B350" s="126"/>
      <c r="C350" s="127"/>
      <c r="D350" s="126"/>
      <c r="E350" s="126"/>
      <c r="F350" s="127"/>
      <c r="G350" s="126"/>
      <c r="H350" s="127"/>
      <c r="I350" s="126"/>
      <c r="J350" s="126"/>
      <c r="K350" s="127"/>
      <c r="L350" s="126"/>
      <c r="M350" s="126"/>
      <c r="N350" s="127"/>
      <c r="O350" s="126"/>
      <c r="P350" s="126"/>
      <c r="Q350" s="127"/>
      <c r="R350" s="126"/>
      <c r="S350" s="126"/>
      <c r="T350" s="127"/>
      <c r="U350" s="126"/>
      <c r="V350" s="126"/>
      <c r="W350" s="127"/>
      <c r="X350" s="126"/>
      <c r="Y350" s="126"/>
      <c r="Z350" s="127"/>
      <c r="AA350" s="126"/>
      <c r="AB350" s="126"/>
      <c r="AC350" s="127"/>
      <c r="AD350" s="126"/>
      <c r="AE350" s="126"/>
      <c r="AF350" s="126"/>
      <c r="AG350" s="127"/>
      <c r="AH350" s="126"/>
      <c r="AI350" s="126"/>
      <c r="AJ350" s="127"/>
      <c r="AK350" s="126"/>
      <c r="AL350" s="126"/>
      <c r="AM350" s="127"/>
      <c r="AN350" s="126"/>
      <c r="AO350" s="126"/>
      <c r="AP350" s="127"/>
      <c r="AQ350" s="126"/>
      <c r="AR350" s="126"/>
      <c r="AS350" s="127"/>
      <c r="AT350" s="126"/>
      <c r="AU350" s="126"/>
      <c r="AV350" s="127"/>
      <c r="AW350" s="126"/>
      <c r="AX350" s="126"/>
      <c r="AY350" s="127"/>
      <c r="AZ350" s="126"/>
      <c r="BA350" s="126"/>
      <c r="BB350" s="127"/>
      <c r="BC350" s="126"/>
      <c r="BD350" s="134"/>
      <c r="BE350" s="127"/>
      <c r="BF350" s="126"/>
      <c r="BG350" s="126"/>
      <c r="BH350" s="126"/>
      <c r="BI350" s="126"/>
      <c r="BJ350" s="126"/>
      <c r="BK350" s="126"/>
      <c r="BL350" s="126"/>
      <c r="BM350" s="126"/>
      <c r="BN350" s="126"/>
      <c r="BO350" s="126"/>
      <c r="BP350" s="126"/>
      <c r="BQ350" s="126"/>
      <c r="BR350" s="126"/>
      <c r="BS350" s="126"/>
      <c r="BT350" s="126"/>
      <c r="BU350" s="126"/>
      <c r="BV350" s="126"/>
      <c r="BW350" s="126"/>
      <c r="BX350" s="126"/>
    </row>
    <row r="351">
      <c r="A351" s="126"/>
      <c r="B351" s="126"/>
      <c r="C351" s="127"/>
      <c r="D351" s="126"/>
      <c r="E351" s="126"/>
      <c r="F351" s="127"/>
      <c r="G351" s="126"/>
      <c r="H351" s="127"/>
      <c r="I351" s="126"/>
      <c r="J351" s="126"/>
      <c r="K351" s="127"/>
      <c r="L351" s="126"/>
      <c r="M351" s="126"/>
      <c r="N351" s="127"/>
      <c r="O351" s="126"/>
      <c r="P351" s="126"/>
      <c r="Q351" s="127"/>
      <c r="R351" s="126"/>
      <c r="S351" s="126"/>
      <c r="T351" s="127"/>
      <c r="U351" s="126"/>
      <c r="V351" s="126"/>
      <c r="W351" s="127"/>
      <c r="X351" s="126"/>
      <c r="Y351" s="126"/>
      <c r="Z351" s="127"/>
      <c r="AA351" s="126"/>
      <c r="AB351" s="126"/>
      <c r="AC351" s="127"/>
      <c r="AD351" s="126"/>
      <c r="AE351" s="126"/>
      <c r="AF351" s="126"/>
      <c r="AG351" s="127"/>
      <c r="AH351" s="126"/>
      <c r="AI351" s="126"/>
      <c r="AJ351" s="127"/>
      <c r="AK351" s="126"/>
      <c r="AL351" s="126"/>
      <c r="AM351" s="127"/>
      <c r="AN351" s="126"/>
      <c r="AO351" s="126"/>
      <c r="AP351" s="127"/>
      <c r="AQ351" s="126"/>
      <c r="AR351" s="126"/>
      <c r="AS351" s="127"/>
      <c r="AT351" s="126"/>
      <c r="AU351" s="126"/>
      <c r="AV351" s="127"/>
      <c r="AW351" s="126"/>
      <c r="AX351" s="126"/>
      <c r="AY351" s="127"/>
      <c r="AZ351" s="126"/>
      <c r="BA351" s="126"/>
      <c r="BB351" s="127"/>
      <c r="BC351" s="126"/>
      <c r="BD351" s="134"/>
      <c r="BE351" s="127"/>
      <c r="BF351" s="126"/>
      <c r="BG351" s="126"/>
      <c r="BH351" s="126"/>
      <c r="BI351" s="126"/>
      <c r="BJ351" s="126"/>
      <c r="BK351" s="126"/>
      <c r="BL351" s="126"/>
      <c r="BM351" s="126"/>
      <c r="BN351" s="126"/>
      <c r="BO351" s="126"/>
      <c r="BP351" s="126"/>
      <c r="BQ351" s="126"/>
      <c r="BR351" s="126"/>
      <c r="BS351" s="126"/>
      <c r="BT351" s="126"/>
      <c r="BU351" s="126"/>
      <c r="BV351" s="126"/>
      <c r="BW351" s="126"/>
      <c r="BX351" s="126"/>
    </row>
    <row r="352">
      <c r="A352" s="126"/>
      <c r="B352" s="126"/>
      <c r="C352" s="127"/>
      <c r="D352" s="126"/>
      <c r="E352" s="126"/>
      <c r="F352" s="127"/>
      <c r="G352" s="126"/>
      <c r="H352" s="127"/>
      <c r="I352" s="126"/>
      <c r="J352" s="126"/>
      <c r="K352" s="127"/>
      <c r="L352" s="126"/>
      <c r="M352" s="126"/>
      <c r="N352" s="127"/>
      <c r="O352" s="126"/>
      <c r="P352" s="126"/>
      <c r="Q352" s="127"/>
      <c r="R352" s="126"/>
      <c r="S352" s="126"/>
      <c r="T352" s="127"/>
      <c r="U352" s="126"/>
      <c r="V352" s="126"/>
      <c r="W352" s="127"/>
      <c r="X352" s="126"/>
      <c r="Y352" s="126"/>
      <c r="Z352" s="127"/>
      <c r="AA352" s="126"/>
      <c r="AB352" s="126"/>
      <c r="AC352" s="127"/>
      <c r="AD352" s="126"/>
      <c r="AE352" s="126"/>
      <c r="AF352" s="126"/>
      <c r="AG352" s="127"/>
      <c r="AH352" s="126"/>
      <c r="AI352" s="126"/>
      <c r="AJ352" s="127"/>
      <c r="AK352" s="126"/>
      <c r="AL352" s="126"/>
      <c r="AM352" s="127"/>
      <c r="AN352" s="126"/>
      <c r="AO352" s="126"/>
      <c r="AP352" s="127"/>
      <c r="AQ352" s="126"/>
      <c r="AR352" s="126"/>
      <c r="AS352" s="127"/>
      <c r="AT352" s="126"/>
      <c r="AU352" s="126"/>
      <c r="AV352" s="127"/>
      <c r="AW352" s="126"/>
      <c r="AX352" s="126"/>
      <c r="AY352" s="127"/>
      <c r="AZ352" s="126"/>
      <c r="BA352" s="126"/>
      <c r="BB352" s="127"/>
      <c r="BC352" s="126"/>
      <c r="BD352" s="134"/>
      <c r="BE352" s="127"/>
      <c r="BF352" s="126"/>
      <c r="BG352" s="126"/>
      <c r="BH352" s="126"/>
      <c r="BI352" s="126"/>
      <c r="BJ352" s="126"/>
      <c r="BK352" s="126"/>
      <c r="BL352" s="126"/>
      <c r="BM352" s="126"/>
      <c r="BN352" s="126"/>
      <c r="BO352" s="126"/>
      <c r="BP352" s="126"/>
      <c r="BQ352" s="126"/>
      <c r="BR352" s="126"/>
      <c r="BS352" s="126"/>
      <c r="BT352" s="126"/>
      <c r="BU352" s="126"/>
      <c r="BV352" s="126"/>
      <c r="BW352" s="126"/>
      <c r="BX352" s="126"/>
    </row>
    <row r="353">
      <c r="A353" s="126"/>
      <c r="B353" s="126"/>
      <c r="C353" s="127"/>
      <c r="D353" s="126"/>
      <c r="E353" s="126"/>
      <c r="F353" s="127"/>
      <c r="G353" s="126"/>
      <c r="H353" s="127"/>
      <c r="I353" s="126"/>
      <c r="J353" s="126"/>
      <c r="K353" s="127"/>
      <c r="L353" s="126"/>
      <c r="M353" s="126"/>
      <c r="N353" s="127"/>
      <c r="O353" s="126"/>
      <c r="P353" s="126"/>
      <c r="Q353" s="127"/>
      <c r="R353" s="126"/>
      <c r="S353" s="126"/>
      <c r="T353" s="127"/>
      <c r="U353" s="126"/>
      <c r="V353" s="126"/>
      <c r="W353" s="127"/>
      <c r="X353" s="126"/>
      <c r="Y353" s="126"/>
      <c r="Z353" s="127"/>
      <c r="AA353" s="126"/>
      <c r="AB353" s="126"/>
      <c r="AC353" s="127"/>
      <c r="AD353" s="126"/>
      <c r="AE353" s="126"/>
      <c r="AF353" s="126"/>
      <c r="AG353" s="127"/>
      <c r="AH353" s="126"/>
      <c r="AI353" s="126"/>
      <c r="AJ353" s="127"/>
      <c r="AK353" s="126"/>
      <c r="AL353" s="126"/>
      <c r="AM353" s="127"/>
      <c r="AN353" s="126"/>
      <c r="AO353" s="126"/>
      <c r="AP353" s="127"/>
      <c r="AQ353" s="126"/>
      <c r="AR353" s="126"/>
      <c r="AS353" s="127"/>
      <c r="AT353" s="126"/>
      <c r="AU353" s="126"/>
      <c r="AV353" s="127"/>
      <c r="AW353" s="126"/>
      <c r="AX353" s="126"/>
      <c r="AY353" s="127"/>
      <c r="AZ353" s="126"/>
      <c r="BA353" s="126"/>
      <c r="BB353" s="127"/>
      <c r="BC353" s="126"/>
      <c r="BD353" s="134"/>
      <c r="BE353" s="127"/>
      <c r="BF353" s="126"/>
      <c r="BG353" s="126"/>
      <c r="BH353" s="126"/>
      <c r="BI353" s="126"/>
      <c r="BJ353" s="126"/>
      <c r="BK353" s="126"/>
      <c r="BL353" s="126"/>
      <c r="BM353" s="126"/>
      <c r="BN353" s="126"/>
      <c r="BO353" s="126"/>
      <c r="BP353" s="126"/>
      <c r="BQ353" s="126"/>
      <c r="BR353" s="126"/>
      <c r="BS353" s="126"/>
      <c r="BT353" s="126"/>
      <c r="BU353" s="126"/>
      <c r="BV353" s="126"/>
      <c r="BW353" s="126"/>
      <c r="BX353" s="126"/>
    </row>
    <row r="354">
      <c r="A354" s="126"/>
      <c r="B354" s="126"/>
      <c r="C354" s="127"/>
      <c r="D354" s="126"/>
      <c r="E354" s="126"/>
      <c r="F354" s="127"/>
      <c r="G354" s="126"/>
      <c r="H354" s="127"/>
      <c r="I354" s="126"/>
      <c r="J354" s="126"/>
      <c r="K354" s="127"/>
      <c r="L354" s="126"/>
      <c r="M354" s="126"/>
      <c r="N354" s="127"/>
      <c r="O354" s="126"/>
      <c r="P354" s="126"/>
      <c r="Q354" s="127"/>
      <c r="R354" s="126"/>
      <c r="S354" s="126"/>
      <c r="T354" s="127"/>
      <c r="U354" s="126"/>
      <c r="V354" s="126"/>
      <c r="W354" s="127"/>
      <c r="X354" s="126"/>
      <c r="Y354" s="126"/>
      <c r="Z354" s="127"/>
      <c r="AA354" s="126"/>
      <c r="AB354" s="126"/>
      <c r="AC354" s="127"/>
      <c r="AD354" s="126"/>
      <c r="AE354" s="126"/>
      <c r="AF354" s="126"/>
      <c r="AG354" s="127"/>
      <c r="AH354" s="126"/>
      <c r="AI354" s="126"/>
      <c r="AJ354" s="127"/>
      <c r="AK354" s="126"/>
      <c r="AL354" s="126"/>
      <c r="AM354" s="127"/>
      <c r="AN354" s="126"/>
      <c r="AO354" s="126"/>
      <c r="AP354" s="127"/>
      <c r="AQ354" s="126"/>
      <c r="AR354" s="126"/>
      <c r="AS354" s="127"/>
      <c r="AT354" s="126"/>
      <c r="AU354" s="126"/>
      <c r="AV354" s="127"/>
      <c r="AW354" s="126"/>
      <c r="AX354" s="126"/>
      <c r="AY354" s="127"/>
      <c r="AZ354" s="126"/>
      <c r="BA354" s="126"/>
      <c r="BB354" s="127"/>
      <c r="BC354" s="126"/>
      <c r="BD354" s="134"/>
      <c r="BE354" s="127"/>
      <c r="BF354" s="126"/>
      <c r="BG354" s="126"/>
      <c r="BH354" s="126"/>
      <c r="BI354" s="126"/>
      <c r="BJ354" s="126"/>
      <c r="BK354" s="126"/>
      <c r="BL354" s="126"/>
      <c r="BM354" s="126"/>
      <c r="BN354" s="126"/>
      <c r="BO354" s="126"/>
      <c r="BP354" s="126"/>
      <c r="BQ354" s="126"/>
      <c r="BR354" s="126"/>
      <c r="BS354" s="126"/>
      <c r="BT354" s="126"/>
      <c r="BU354" s="126"/>
      <c r="BV354" s="126"/>
      <c r="BW354" s="126"/>
      <c r="BX354" s="126"/>
    </row>
    <row r="355">
      <c r="A355" s="126"/>
      <c r="B355" s="126"/>
      <c r="C355" s="127"/>
      <c r="D355" s="126"/>
      <c r="E355" s="126"/>
      <c r="F355" s="127"/>
      <c r="G355" s="126"/>
      <c r="H355" s="127"/>
      <c r="I355" s="126"/>
      <c r="J355" s="126"/>
      <c r="K355" s="127"/>
      <c r="L355" s="126"/>
      <c r="M355" s="126"/>
      <c r="N355" s="127"/>
      <c r="O355" s="126"/>
      <c r="P355" s="126"/>
      <c r="Q355" s="127"/>
      <c r="R355" s="126"/>
      <c r="S355" s="126"/>
      <c r="T355" s="127"/>
      <c r="U355" s="126"/>
      <c r="V355" s="126"/>
      <c r="W355" s="127"/>
      <c r="X355" s="126"/>
      <c r="Y355" s="126"/>
      <c r="Z355" s="127"/>
      <c r="AA355" s="126"/>
      <c r="AB355" s="126"/>
      <c r="AC355" s="127"/>
      <c r="AD355" s="126"/>
      <c r="AE355" s="126"/>
      <c r="AF355" s="126"/>
      <c r="AG355" s="127"/>
      <c r="AH355" s="126"/>
      <c r="AI355" s="126"/>
      <c r="AJ355" s="127"/>
      <c r="AK355" s="126"/>
      <c r="AL355" s="126"/>
      <c r="AM355" s="127"/>
      <c r="AN355" s="126"/>
      <c r="AO355" s="126"/>
      <c r="AP355" s="127"/>
      <c r="AQ355" s="126"/>
      <c r="AR355" s="126"/>
      <c r="AS355" s="127"/>
      <c r="AT355" s="126"/>
      <c r="AU355" s="126"/>
      <c r="AV355" s="127"/>
      <c r="AW355" s="126"/>
      <c r="AX355" s="126"/>
      <c r="AY355" s="127"/>
      <c r="AZ355" s="126"/>
      <c r="BA355" s="126"/>
      <c r="BB355" s="127"/>
      <c r="BC355" s="126"/>
      <c r="BD355" s="134"/>
      <c r="BE355" s="127"/>
      <c r="BF355" s="126"/>
      <c r="BG355" s="126"/>
      <c r="BH355" s="126"/>
      <c r="BI355" s="126"/>
      <c r="BJ355" s="126"/>
      <c r="BK355" s="126"/>
      <c r="BL355" s="126"/>
      <c r="BM355" s="126"/>
      <c r="BN355" s="126"/>
      <c r="BO355" s="126"/>
      <c r="BP355" s="126"/>
      <c r="BQ355" s="126"/>
      <c r="BR355" s="126"/>
      <c r="BS355" s="126"/>
      <c r="BT355" s="126"/>
      <c r="BU355" s="126"/>
      <c r="BV355" s="126"/>
      <c r="BW355" s="126"/>
      <c r="BX355" s="126"/>
    </row>
    <row r="356">
      <c r="A356" s="126"/>
      <c r="B356" s="126"/>
      <c r="C356" s="127"/>
      <c r="D356" s="126"/>
      <c r="E356" s="126"/>
      <c r="F356" s="127"/>
      <c r="G356" s="126"/>
      <c r="H356" s="127"/>
      <c r="I356" s="126"/>
      <c r="J356" s="126"/>
      <c r="K356" s="127"/>
      <c r="L356" s="126"/>
      <c r="M356" s="126"/>
      <c r="N356" s="127"/>
      <c r="O356" s="126"/>
      <c r="P356" s="126"/>
      <c r="Q356" s="127"/>
      <c r="R356" s="126"/>
      <c r="S356" s="126"/>
      <c r="T356" s="127"/>
      <c r="U356" s="126"/>
      <c r="V356" s="126"/>
      <c r="W356" s="127"/>
      <c r="X356" s="126"/>
      <c r="Y356" s="126"/>
      <c r="Z356" s="127"/>
      <c r="AA356" s="126"/>
      <c r="AB356" s="126"/>
      <c r="AC356" s="127"/>
      <c r="AD356" s="126"/>
      <c r="AE356" s="126"/>
      <c r="AF356" s="126"/>
      <c r="AG356" s="127"/>
      <c r="AH356" s="126"/>
      <c r="AI356" s="126"/>
      <c r="AJ356" s="127"/>
      <c r="AK356" s="126"/>
      <c r="AL356" s="126"/>
      <c r="AM356" s="127"/>
      <c r="AN356" s="126"/>
      <c r="AO356" s="126"/>
      <c r="AP356" s="127"/>
      <c r="AQ356" s="126"/>
      <c r="AR356" s="126"/>
      <c r="AS356" s="127"/>
      <c r="AT356" s="126"/>
      <c r="AU356" s="126"/>
      <c r="AV356" s="127"/>
      <c r="AW356" s="126"/>
      <c r="AX356" s="126"/>
      <c r="AY356" s="127"/>
      <c r="AZ356" s="126"/>
      <c r="BA356" s="126"/>
      <c r="BB356" s="127"/>
      <c r="BC356" s="126"/>
      <c r="BD356" s="134"/>
      <c r="BE356" s="127"/>
      <c r="BF356" s="126"/>
      <c r="BG356" s="126"/>
      <c r="BH356" s="126"/>
      <c r="BI356" s="126"/>
      <c r="BJ356" s="126"/>
      <c r="BK356" s="126"/>
      <c r="BL356" s="126"/>
      <c r="BM356" s="126"/>
      <c r="BN356" s="126"/>
      <c r="BO356" s="126"/>
      <c r="BP356" s="126"/>
      <c r="BQ356" s="126"/>
      <c r="BR356" s="126"/>
      <c r="BS356" s="126"/>
      <c r="BT356" s="126"/>
      <c r="BU356" s="126"/>
      <c r="BV356" s="126"/>
      <c r="BW356" s="126"/>
      <c r="BX356" s="126"/>
    </row>
    <row r="357">
      <c r="A357" s="126"/>
      <c r="B357" s="126"/>
      <c r="C357" s="127"/>
      <c r="D357" s="126"/>
      <c r="E357" s="126"/>
      <c r="F357" s="127"/>
      <c r="G357" s="126"/>
      <c r="H357" s="127"/>
      <c r="I357" s="126"/>
      <c r="J357" s="126"/>
      <c r="K357" s="127"/>
      <c r="L357" s="126"/>
      <c r="M357" s="126"/>
      <c r="N357" s="127"/>
      <c r="O357" s="126"/>
      <c r="P357" s="126"/>
      <c r="Q357" s="127"/>
      <c r="R357" s="126"/>
      <c r="S357" s="126"/>
      <c r="T357" s="127"/>
      <c r="U357" s="126"/>
      <c r="V357" s="126"/>
      <c r="W357" s="127"/>
      <c r="X357" s="126"/>
      <c r="Y357" s="126"/>
      <c r="Z357" s="127"/>
      <c r="AA357" s="126"/>
      <c r="AB357" s="126"/>
      <c r="AC357" s="127"/>
      <c r="AD357" s="126"/>
      <c r="AE357" s="126"/>
      <c r="AF357" s="126"/>
      <c r="AG357" s="127"/>
      <c r="AH357" s="126"/>
      <c r="AI357" s="126"/>
      <c r="AJ357" s="127"/>
      <c r="AK357" s="126"/>
      <c r="AL357" s="126"/>
      <c r="AM357" s="127"/>
      <c r="AN357" s="126"/>
      <c r="AO357" s="126"/>
      <c r="AP357" s="127"/>
      <c r="AQ357" s="126"/>
      <c r="AR357" s="126"/>
      <c r="AS357" s="127"/>
      <c r="AT357" s="126"/>
      <c r="AU357" s="126"/>
      <c r="AV357" s="127"/>
      <c r="AW357" s="126"/>
      <c r="AX357" s="126"/>
      <c r="AY357" s="127"/>
      <c r="AZ357" s="126"/>
      <c r="BA357" s="126"/>
      <c r="BB357" s="127"/>
      <c r="BC357" s="126"/>
      <c r="BD357" s="134"/>
      <c r="BE357" s="127"/>
      <c r="BF357" s="126"/>
      <c r="BG357" s="126"/>
      <c r="BH357" s="126"/>
      <c r="BI357" s="126"/>
      <c r="BJ357" s="126"/>
      <c r="BK357" s="126"/>
      <c r="BL357" s="126"/>
      <c r="BM357" s="126"/>
      <c r="BN357" s="126"/>
      <c r="BO357" s="126"/>
      <c r="BP357" s="126"/>
      <c r="BQ357" s="126"/>
      <c r="BR357" s="126"/>
      <c r="BS357" s="126"/>
      <c r="BT357" s="126"/>
      <c r="BU357" s="126"/>
      <c r="BV357" s="126"/>
      <c r="BW357" s="126"/>
      <c r="BX357" s="126"/>
    </row>
    <row r="358">
      <c r="A358" s="126"/>
      <c r="B358" s="126"/>
      <c r="C358" s="127"/>
      <c r="D358" s="126"/>
      <c r="E358" s="126"/>
      <c r="F358" s="127"/>
      <c r="G358" s="126"/>
      <c r="H358" s="127"/>
      <c r="I358" s="126"/>
      <c r="J358" s="126"/>
      <c r="K358" s="127"/>
      <c r="L358" s="126"/>
      <c r="M358" s="126"/>
      <c r="N358" s="127"/>
      <c r="O358" s="126"/>
      <c r="P358" s="126"/>
      <c r="Q358" s="127"/>
      <c r="R358" s="126"/>
      <c r="S358" s="126"/>
      <c r="T358" s="127"/>
      <c r="U358" s="126"/>
      <c r="V358" s="126"/>
      <c r="W358" s="127"/>
      <c r="X358" s="126"/>
      <c r="Y358" s="126"/>
      <c r="Z358" s="127"/>
      <c r="AA358" s="126"/>
      <c r="AB358" s="126"/>
      <c r="AC358" s="127"/>
      <c r="AD358" s="126"/>
      <c r="AE358" s="126"/>
      <c r="AF358" s="126"/>
      <c r="AG358" s="127"/>
      <c r="AH358" s="126"/>
      <c r="AI358" s="126"/>
      <c r="AJ358" s="127"/>
      <c r="AK358" s="126"/>
      <c r="AL358" s="126"/>
      <c r="AM358" s="127"/>
      <c r="AN358" s="126"/>
      <c r="AO358" s="126"/>
      <c r="AP358" s="127"/>
      <c r="AQ358" s="126"/>
      <c r="AR358" s="126"/>
      <c r="AS358" s="127"/>
      <c r="AT358" s="126"/>
      <c r="AU358" s="126"/>
      <c r="AV358" s="127"/>
      <c r="AW358" s="126"/>
      <c r="AX358" s="126"/>
      <c r="AY358" s="127"/>
      <c r="AZ358" s="126"/>
      <c r="BA358" s="126"/>
      <c r="BB358" s="127"/>
      <c r="BC358" s="126"/>
      <c r="BD358" s="134"/>
      <c r="BE358" s="127"/>
      <c r="BF358" s="126"/>
      <c r="BG358" s="126"/>
      <c r="BH358" s="126"/>
      <c r="BI358" s="126"/>
      <c r="BJ358" s="126"/>
      <c r="BK358" s="126"/>
      <c r="BL358" s="126"/>
      <c r="BM358" s="126"/>
      <c r="BN358" s="126"/>
      <c r="BO358" s="126"/>
      <c r="BP358" s="126"/>
      <c r="BQ358" s="126"/>
      <c r="BR358" s="126"/>
      <c r="BS358" s="126"/>
      <c r="BT358" s="126"/>
      <c r="BU358" s="126"/>
      <c r="BV358" s="126"/>
      <c r="BW358" s="126"/>
      <c r="BX358" s="126"/>
    </row>
    <row r="359">
      <c r="A359" s="126"/>
      <c r="B359" s="126"/>
      <c r="C359" s="127"/>
      <c r="D359" s="126"/>
      <c r="E359" s="126"/>
      <c r="F359" s="127"/>
      <c r="G359" s="126"/>
      <c r="H359" s="127"/>
      <c r="I359" s="126"/>
      <c r="J359" s="126"/>
      <c r="K359" s="127"/>
      <c r="L359" s="126"/>
      <c r="M359" s="126"/>
      <c r="N359" s="127"/>
      <c r="O359" s="126"/>
      <c r="P359" s="126"/>
      <c r="Q359" s="127"/>
      <c r="R359" s="126"/>
      <c r="S359" s="126"/>
      <c r="T359" s="127"/>
      <c r="U359" s="126"/>
      <c r="V359" s="126"/>
      <c r="W359" s="127"/>
      <c r="X359" s="126"/>
      <c r="Y359" s="126"/>
      <c r="Z359" s="127"/>
      <c r="AA359" s="126"/>
      <c r="AB359" s="126"/>
      <c r="AC359" s="127"/>
      <c r="AD359" s="126"/>
      <c r="AE359" s="126"/>
      <c r="AF359" s="126"/>
      <c r="AG359" s="127"/>
      <c r="AH359" s="126"/>
      <c r="AI359" s="126"/>
      <c r="AJ359" s="127"/>
      <c r="AK359" s="126"/>
      <c r="AL359" s="126"/>
      <c r="AM359" s="127"/>
      <c r="AN359" s="126"/>
      <c r="AO359" s="126"/>
      <c r="AP359" s="127"/>
      <c r="AQ359" s="126"/>
      <c r="AR359" s="126"/>
      <c r="AS359" s="127"/>
      <c r="AT359" s="126"/>
      <c r="AU359" s="126"/>
      <c r="AV359" s="127"/>
      <c r="AW359" s="126"/>
      <c r="AX359" s="126"/>
      <c r="AY359" s="127"/>
      <c r="AZ359" s="126"/>
      <c r="BA359" s="126"/>
      <c r="BB359" s="127"/>
      <c r="BC359" s="126"/>
      <c r="BD359" s="134"/>
      <c r="BE359" s="127"/>
      <c r="BF359" s="126"/>
      <c r="BG359" s="126"/>
      <c r="BH359" s="126"/>
      <c r="BI359" s="126"/>
      <c r="BJ359" s="126"/>
      <c r="BK359" s="126"/>
      <c r="BL359" s="126"/>
      <c r="BM359" s="126"/>
      <c r="BN359" s="126"/>
      <c r="BO359" s="126"/>
      <c r="BP359" s="126"/>
      <c r="BQ359" s="126"/>
      <c r="BR359" s="126"/>
      <c r="BS359" s="126"/>
      <c r="BT359" s="126"/>
      <c r="BU359" s="126"/>
      <c r="BV359" s="126"/>
      <c r="BW359" s="126"/>
      <c r="BX359" s="126"/>
    </row>
    <row r="360">
      <c r="A360" s="126"/>
      <c r="B360" s="126"/>
      <c r="C360" s="127"/>
      <c r="D360" s="126"/>
      <c r="E360" s="126"/>
      <c r="F360" s="127"/>
      <c r="G360" s="126"/>
      <c r="H360" s="127"/>
      <c r="I360" s="126"/>
      <c r="J360" s="126"/>
      <c r="K360" s="127"/>
      <c r="L360" s="126"/>
      <c r="M360" s="126"/>
      <c r="N360" s="127"/>
      <c r="O360" s="126"/>
      <c r="P360" s="126"/>
      <c r="Q360" s="127"/>
      <c r="R360" s="126"/>
      <c r="S360" s="126"/>
      <c r="T360" s="127"/>
      <c r="U360" s="126"/>
      <c r="V360" s="126"/>
      <c r="W360" s="127"/>
      <c r="X360" s="126"/>
      <c r="Y360" s="126"/>
      <c r="Z360" s="127"/>
      <c r="AA360" s="126"/>
      <c r="AB360" s="126"/>
      <c r="AC360" s="127"/>
      <c r="AD360" s="126"/>
      <c r="AE360" s="126"/>
      <c r="AF360" s="126"/>
      <c r="AG360" s="127"/>
      <c r="AH360" s="126"/>
      <c r="AI360" s="126"/>
      <c r="AJ360" s="127"/>
      <c r="AK360" s="126"/>
      <c r="AL360" s="126"/>
      <c r="AM360" s="127"/>
      <c r="AN360" s="126"/>
      <c r="AO360" s="126"/>
      <c r="AP360" s="127"/>
      <c r="AQ360" s="126"/>
      <c r="AR360" s="126"/>
      <c r="AS360" s="127"/>
      <c r="AT360" s="126"/>
      <c r="AU360" s="126"/>
      <c r="AV360" s="127"/>
      <c r="AW360" s="126"/>
      <c r="AX360" s="126"/>
      <c r="AY360" s="127"/>
      <c r="AZ360" s="126"/>
      <c r="BA360" s="126"/>
      <c r="BB360" s="127"/>
      <c r="BC360" s="126"/>
      <c r="BD360" s="134"/>
      <c r="BE360" s="127"/>
      <c r="BF360" s="126"/>
      <c r="BG360" s="126"/>
      <c r="BH360" s="126"/>
      <c r="BI360" s="126"/>
      <c r="BJ360" s="126"/>
      <c r="BK360" s="126"/>
      <c r="BL360" s="126"/>
      <c r="BM360" s="126"/>
      <c r="BN360" s="126"/>
      <c r="BO360" s="126"/>
      <c r="BP360" s="126"/>
      <c r="BQ360" s="126"/>
      <c r="BR360" s="126"/>
      <c r="BS360" s="126"/>
      <c r="BT360" s="126"/>
      <c r="BU360" s="126"/>
      <c r="BV360" s="126"/>
      <c r="BW360" s="126"/>
      <c r="BX360" s="126"/>
    </row>
    <row r="361">
      <c r="A361" s="126"/>
      <c r="B361" s="126"/>
      <c r="C361" s="127"/>
      <c r="D361" s="126"/>
      <c r="E361" s="126"/>
      <c r="F361" s="127"/>
      <c r="G361" s="126"/>
      <c r="H361" s="127"/>
      <c r="I361" s="126"/>
      <c r="J361" s="126"/>
      <c r="K361" s="127"/>
      <c r="L361" s="126"/>
      <c r="M361" s="126"/>
      <c r="N361" s="127"/>
      <c r="O361" s="126"/>
      <c r="P361" s="126"/>
      <c r="Q361" s="127"/>
      <c r="R361" s="126"/>
      <c r="S361" s="126"/>
      <c r="T361" s="127"/>
      <c r="U361" s="126"/>
      <c r="V361" s="126"/>
      <c r="W361" s="127"/>
      <c r="X361" s="126"/>
      <c r="Y361" s="126"/>
      <c r="Z361" s="127"/>
      <c r="AA361" s="126"/>
      <c r="AB361" s="126"/>
      <c r="AC361" s="127"/>
      <c r="AD361" s="126"/>
      <c r="AE361" s="126"/>
      <c r="AF361" s="126"/>
      <c r="AG361" s="127"/>
      <c r="AH361" s="126"/>
      <c r="AI361" s="126"/>
      <c r="AJ361" s="127"/>
      <c r="AK361" s="126"/>
      <c r="AL361" s="126"/>
      <c r="AM361" s="127"/>
      <c r="AN361" s="126"/>
      <c r="AO361" s="126"/>
      <c r="AP361" s="127"/>
      <c r="AQ361" s="126"/>
      <c r="AR361" s="126"/>
      <c r="AS361" s="127"/>
      <c r="AT361" s="126"/>
      <c r="AU361" s="126"/>
      <c r="AV361" s="127"/>
      <c r="AW361" s="126"/>
      <c r="AX361" s="126"/>
      <c r="AY361" s="127"/>
      <c r="AZ361" s="126"/>
      <c r="BA361" s="126"/>
      <c r="BB361" s="127"/>
      <c r="BC361" s="126"/>
      <c r="BD361" s="134"/>
      <c r="BE361" s="127"/>
      <c r="BF361" s="126"/>
      <c r="BG361" s="126"/>
      <c r="BH361" s="126"/>
      <c r="BI361" s="126"/>
      <c r="BJ361" s="126"/>
      <c r="BK361" s="126"/>
      <c r="BL361" s="126"/>
      <c r="BM361" s="126"/>
      <c r="BN361" s="126"/>
      <c r="BO361" s="126"/>
      <c r="BP361" s="126"/>
      <c r="BQ361" s="126"/>
      <c r="BR361" s="126"/>
      <c r="BS361" s="126"/>
      <c r="BT361" s="126"/>
      <c r="BU361" s="126"/>
      <c r="BV361" s="126"/>
      <c r="BW361" s="126"/>
      <c r="BX361" s="126"/>
    </row>
    <row r="362">
      <c r="A362" s="126"/>
      <c r="B362" s="126"/>
      <c r="C362" s="127"/>
      <c r="D362" s="126"/>
      <c r="E362" s="126"/>
      <c r="F362" s="127"/>
      <c r="G362" s="126"/>
      <c r="H362" s="127"/>
      <c r="I362" s="126"/>
      <c r="J362" s="126"/>
      <c r="K362" s="127"/>
      <c r="L362" s="126"/>
      <c r="M362" s="126"/>
      <c r="N362" s="127"/>
      <c r="O362" s="126"/>
      <c r="P362" s="126"/>
      <c r="Q362" s="127"/>
      <c r="R362" s="126"/>
      <c r="S362" s="126"/>
      <c r="T362" s="127"/>
      <c r="U362" s="126"/>
      <c r="V362" s="126"/>
      <c r="W362" s="127"/>
      <c r="X362" s="126"/>
      <c r="Y362" s="126"/>
      <c r="Z362" s="127"/>
      <c r="AA362" s="126"/>
      <c r="AB362" s="126"/>
      <c r="AC362" s="127"/>
      <c r="AD362" s="126"/>
      <c r="AE362" s="126"/>
      <c r="AF362" s="126"/>
      <c r="AG362" s="127"/>
      <c r="AH362" s="126"/>
      <c r="AI362" s="126"/>
      <c r="AJ362" s="127"/>
      <c r="AK362" s="126"/>
      <c r="AL362" s="126"/>
      <c r="AM362" s="127"/>
      <c r="AN362" s="126"/>
      <c r="AO362" s="126"/>
      <c r="AP362" s="127"/>
      <c r="AQ362" s="126"/>
      <c r="AR362" s="126"/>
      <c r="AS362" s="127"/>
      <c r="AT362" s="126"/>
      <c r="AU362" s="126"/>
      <c r="AV362" s="127"/>
      <c r="AW362" s="126"/>
      <c r="AX362" s="126"/>
      <c r="AY362" s="127"/>
      <c r="AZ362" s="126"/>
      <c r="BA362" s="126"/>
      <c r="BB362" s="127"/>
      <c r="BC362" s="126"/>
      <c r="BD362" s="134"/>
      <c r="BE362" s="127"/>
      <c r="BF362" s="126"/>
      <c r="BG362" s="126"/>
      <c r="BH362" s="126"/>
      <c r="BI362" s="126"/>
      <c r="BJ362" s="126"/>
      <c r="BK362" s="126"/>
      <c r="BL362" s="126"/>
      <c r="BM362" s="126"/>
      <c r="BN362" s="126"/>
      <c r="BO362" s="126"/>
      <c r="BP362" s="126"/>
      <c r="BQ362" s="126"/>
      <c r="BR362" s="126"/>
      <c r="BS362" s="126"/>
      <c r="BT362" s="126"/>
      <c r="BU362" s="126"/>
      <c r="BV362" s="126"/>
      <c r="BW362" s="126"/>
      <c r="BX362" s="126"/>
    </row>
    <row r="363">
      <c r="A363" s="126"/>
      <c r="B363" s="126"/>
      <c r="C363" s="127"/>
      <c r="D363" s="126"/>
      <c r="E363" s="126"/>
      <c r="F363" s="127"/>
      <c r="G363" s="126"/>
      <c r="H363" s="127"/>
      <c r="I363" s="126"/>
      <c r="J363" s="126"/>
      <c r="K363" s="127"/>
      <c r="L363" s="126"/>
      <c r="M363" s="126"/>
      <c r="N363" s="127"/>
      <c r="O363" s="126"/>
      <c r="P363" s="126"/>
      <c r="Q363" s="127"/>
      <c r="R363" s="126"/>
      <c r="S363" s="126"/>
      <c r="T363" s="127"/>
      <c r="U363" s="126"/>
      <c r="V363" s="126"/>
      <c r="W363" s="127"/>
      <c r="X363" s="126"/>
      <c r="Y363" s="126"/>
      <c r="Z363" s="127"/>
      <c r="AA363" s="126"/>
      <c r="AB363" s="126"/>
      <c r="AC363" s="127"/>
      <c r="AD363" s="126"/>
      <c r="AE363" s="126"/>
      <c r="AF363" s="126"/>
      <c r="AG363" s="127"/>
      <c r="AH363" s="126"/>
      <c r="AI363" s="126"/>
      <c r="AJ363" s="127"/>
      <c r="AK363" s="126"/>
      <c r="AL363" s="126"/>
      <c r="AM363" s="127"/>
      <c r="AN363" s="126"/>
      <c r="AO363" s="126"/>
      <c r="AP363" s="127"/>
      <c r="AQ363" s="126"/>
      <c r="AR363" s="126"/>
      <c r="AS363" s="127"/>
      <c r="AT363" s="126"/>
      <c r="AU363" s="126"/>
      <c r="AV363" s="127"/>
      <c r="AW363" s="126"/>
      <c r="AX363" s="126"/>
      <c r="AY363" s="127"/>
      <c r="AZ363" s="126"/>
      <c r="BA363" s="126"/>
      <c r="BB363" s="127"/>
      <c r="BC363" s="126"/>
      <c r="BD363" s="134"/>
      <c r="BE363" s="127"/>
      <c r="BF363" s="126"/>
      <c r="BG363" s="126"/>
      <c r="BH363" s="126"/>
      <c r="BI363" s="126"/>
      <c r="BJ363" s="126"/>
      <c r="BK363" s="126"/>
      <c r="BL363" s="126"/>
      <c r="BM363" s="126"/>
      <c r="BN363" s="126"/>
      <c r="BO363" s="126"/>
      <c r="BP363" s="126"/>
      <c r="BQ363" s="126"/>
      <c r="BR363" s="126"/>
      <c r="BS363" s="126"/>
      <c r="BT363" s="126"/>
      <c r="BU363" s="126"/>
      <c r="BV363" s="126"/>
      <c r="BW363" s="126"/>
      <c r="BX363" s="126"/>
    </row>
    <row r="364">
      <c r="A364" s="126"/>
      <c r="B364" s="126"/>
      <c r="C364" s="127"/>
      <c r="D364" s="126"/>
      <c r="E364" s="126"/>
      <c r="F364" s="127"/>
      <c r="G364" s="126"/>
      <c r="H364" s="127"/>
      <c r="I364" s="126"/>
      <c r="J364" s="126"/>
      <c r="K364" s="127"/>
      <c r="L364" s="126"/>
      <c r="M364" s="126"/>
      <c r="N364" s="127"/>
      <c r="O364" s="126"/>
      <c r="P364" s="126"/>
      <c r="Q364" s="127"/>
      <c r="R364" s="126"/>
      <c r="S364" s="126"/>
      <c r="T364" s="127"/>
      <c r="U364" s="126"/>
      <c r="V364" s="126"/>
      <c r="W364" s="127"/>
      <c r="X364" s="126"/>
      <c r="Y364" s="126"/>
      <c r="Z364" s="127"/>
      <c r="AA364" s="126"/>
      <c r="AB364" s="126"/>
      <c r="AC364" s="127"/>
      <c r="AD364" s="126"/>
      <c r="AE364" s="126"/>
      <c r="AF364" s="126"/>
      <c r="AG364" s="127"/>
      <c r="AH364" s="126"/>
      <c r="AI364" s="126"/>
      <c r="AJ364" s="127"/>
      <c r="AK364" s="126"/>
      <c r="AL364" s="126"/>
      <c r="AM364" s="127"/>
      <c r="AN364" s="126"/>
      <c r="AO364" s="126"/>
      <c r="AP364" s="127"/>
      <c r="AQ364" s="126"/>
      <c r="AR364" s="126"/>
      <c r="AS364" s="127"/>
      <c r="AT364" s="126"/>
      <c r="AU364" s="126"/>
      <c r="AV364" s="127"/>
      <c r="AW364" s="126"/>
      <c r="AX364" s="126"/>
      <c r="AY364" s="127"/>
      <c r="AZ364" s="126"/>
      <c r="BA364" s="126"/>
      <c r="BB364" s="127"/>
      <c r="BC364" s="126"/>
      <c r="BD364" s="134"/>
      <c r="BE364" s="127"/>
      <c r="BF364" s="126"/>
      <c r="BG364" s="126"/>
      <c r="BH364" s="126"/>
      <c r="BI364" s="126"/>
      <c r="BJ364" s="126"/>
      <c r="BK364" s="126"/>
      <c r="BL364" s="126"/>
      <c r="BM364" s="126"/>
      <c r="BN364" s="126"/>
      <c r="BO364" s="126"/>
      <c r="BP364" s="126"/>
      <c r="BQ364" s="126"/>
      <c r="BR364" s="126"/>
      <c r="BS364" s="126"/>
      <c r="BT364" s="126"/>
      <c r="BU364" s="126"/>
      <c r="BV364" s="126"/>
      <c r="BW364" s="126"/>
      <c r="BX364" s="126"/>
    </row>
    <row r="365">
      <c r="A365" s="126"/>
      <c r="B365" s="126"/>
      <c r="C365" s="127"/>
      <c r="D365" s="126"/>
      <c r="E365" s="126"/>
      <c r="F365" s="127"/>
      <c r="G365" s="126"/>
      <c r="H365" s="127"/>
      <c r="I365" s="126"/>
      <c r="J365" s="126"/>
      <c r="K365" s="127"/>
      <c r="L365" s="126"/>
      <c r="M365" s="126"/>
      <c r="N365" s="127"/>
      <c r="O365" s="126"/>
      <c r="P365" s="126"/>
      <c r="Q365" s="127"/>
      <c r="R365" s="126"/>
      <c r="S365" s="126"/>
      <c r="T365" s="127"/>
      <c r="U365" s="126"/>
      <c r="V365" s="126"/>
      <c r="W365" s="127"/>
      <c r="X365" s="126"/>
      <c r="Y365" s="126"/>
      <c r="Z365" s="127"/>
      <c r="AA365" s="126"/>
      <c r="AB365" s="126"/>
      <c r="AC365" s="127"/>
      <c r="AD365" s="126"/>
      <c r="AE365" s="126"/>
      <c r="AF365" s="126"/>
      <c r="AG365" s="127"/>
      <c r="AH365" s="126"/>
      <c r="AI365" s="126"/>
      <c r="AJ365" s="127"/>
      <c r="AK365" s="126"/>
      <c r="AL365" s="126"/>
      <c r="AM365" s="127"/>
      <c r="AN365" s="126"/>
      <c r="AO365" s="126"/>
      <c r="AP365" s="127"/>
      <c r="AQ365" s="126"/>
      <c r="AR365" s="126"/>
      <c r="AS365" s="127"/>
      <c r="AT365" s="126"/>
      <c r="AU365" s="126"/>
      <c r="AV365" s="127"/>
      <c r="AW365" s="126"/>
      <c r="AX365" s="126"/>
      <c r="AY365" s="127"/>
      <c r="AZ365" s="126"/>
      <c r="BA365" s="126"/>
      <c r="BB365" s="127"/>
      <c r="BC365" s="126"/>
      <c r="BD365" s="134"/>
      <c r="BE365" s="127"/>
      <c r="BF365" s="126"/>
      <c r="BG365" s="126"/>
      <c r="BH365" s="126"/>
      <c r="BI365" s="126"/>
      <c r="BJ365" s="126"/>
      <c r="BK365" s="126"/>
      <c r="BL365" s="126"/>
      <c r="BM365" s="126"/>
      <c r="BN365" s="126"/>
      <c r="BO365" s="126"/>
      <c r="BP365" s="126"/>
      <c r="BQ365" s="126"/>
      <c r="BR365" s="126"/>
      <c r="BS365" s="126"/>
      <c r="BT365" s="126"/>
      <c r="BU365" s="126"/>
      <c r="BV365" s="126"/>
      <c r="BW365" s="126"/>
      <c r="BX365" s="126"/>
    </row>
    <row r="366">
      <c r="A366" s="126"/>
      <c r="B366" s="126"/>
      <c r="C366" s="127"/>
      <c r="D366" s="126"/>
      <c r="E366" s="126"/>
      <c r="F366" s="127"/>
      <c r="G366" s="126"/>
      <c r="H366" s="127"/>
      <c r="I366" s="126"/>
      <c r="J366" s="126"/>
      <c r="K366" s="127"/>
      <c r="L366" s="126"/>
      <c r="M366" s="126"/>
      <c r="N366" s="127"/>
      <c r="O366" s="126"/>
      <c r="P366" s="126"/>
      <c r="Q366" s="127"/>
      <c r="R366" s="126"/>
      <c r="S366" s="126"/>
      <c r="T366" s="127"/>
      <c r="U366" s="126"/>
      <c r="V366" s="126"/>
      <c r="W366" s="127"/>
      <c r="X366" s="126"/>
      <c r="Y366" s="126"/>
      <c r="Z366" s="127"/>
      <c r="AA366" s="126"/>
      <c r="AB366" s="126"/>
      <c r="AC366" s="127"/>
      <c r="AD366" s="126"/>
      <c r="AE366" s="126"/>
      <c r="AF366" s="126"/>
      <c r="AG366" s="127"/>
      <c r="AH366" s="126"/>
      <c r="AI366" s="126"/>
      <c r="AJ366" s="127"/>
      <c r="AK366" s="126"/>
      <c r="AL366" s="126"/>
      <c r="AM366" s="127"/>
      <c r="AN366" s="126"/>
      <c r="AO366" s="126"/>
      <c r="AP366" s="127"/>
      <c r="AQ366" s="126"/>
      <c r="AR366" s="126"/>
      <c r="AS366" s="127"/>
      <c r="AT366" s="126"/>
      <c r="AU366" s="126"/>
      <c r="AV366" s="127"/>
      <c r="AW366" s="126"/>
      <c r="AX366" s="126"/>
      <c r="AY366" s="127"/>
      <c r="AZ366" s="126"/>
      <c r="BA366" s="126"/>
      <c r="BB366" s="127"/>
      <c r="BC366" s="126"/>
      <c r="BD366" s="134"/>
      <c r="BE366" s="127"/>
      <c r="BF366" s="126"/>
      <c r="BG366" s="126"/>
      <c r="BH366" s="126"/>
      <c r="BI366" s="126"/>
      <c r="BJ366" s="126"/>
      <c r="BK366" s="126"/>
      <c r="BL366" s="126"/>
      <c r="BM366" s="126"/>
      <c r="BN366" s="126"/>
      <c r="BO366" s="126"/>
      <c r="BP366" s="126"/>
      <c r="BQ366" s="126"/>
      <c r="BR366" s="126"/>
      <c r="BS366" s="126"/>
      <c r="BT366" s="126"/>
      <c r="BU366" s="126"/>
      <c r="BV366" s="126"/>
      <c r="BW366" s="126"/>
      <c r="BX366" s="126"/>
    </row>
    <row r="367">
      <c r="A367" s="126"/>
      <c r="B367" s="126"/>
      <c r="C367" s="127"/>
      <c r="D367" s="126"/>
      <c r="E367" s="126"/>
      <c r="F367" s="127"/>
      <c r="G367" s="126"/>
      <c r="H367" s="127"/>
      <c r="I367" s="126"/>
      <c r="J367" s="126"/>
      <c r="K367" s="127"/>
      <c r="L367" s="126"/>
      <c r="M367" s="126"/>
      <c r="N367" s="127"/>
      <c r="O367" s="126"/>
      <c r="P367" s="126"/>
      <c r="Q367" s="127"/>
      <c r="R367" s="126"/>
      <c r="S367" s="126"/>
      <c r="T367" s="127"/>
      <c r="U367" s="126"/>
      <c r="V367" s="126"/>
      <c r="W367" s="127"/>
      <c r="X367" s="126"/>
      <c r="Y367" s="126"/>
      <c r="Z367" s="127"/>
      <c r="AA367" s="126"/>
      <c r="AB367" s="126"/>
      <c r="AC367" s="127"/>
      <c r="AD367" s="126"/>
      <c r="AE367" s="126"/>
      <c r="AF367" s="126"/>
      <c r="AG367" s="127"/>
      <c r="AH367" s="126"/>
      <c r="AI367" s="126"/>
      <c r="AJ367" s="127"/>
      <c r="AK367" s="126"/>
      <c r="AL367" s="126"/>
      <c r="AM367" s="127"/>
      <c r="AN367" s="126"/>
      <c r="AO367" s="126"/>
      <c r="AP367" s="127"/>
      <c r="AQ367" s="126"/>
      <c r="AR367" s="126"/>
      <c r="AS367" s="127"/>
      <c r="AT367" s="126"/>
      <c r="AU367" s="126"/>
      <c r="AV367" s="127"/>
      <c r="AW367" s="126"/>
      <c r="AX367" s="126"/>
      <c r="AY367" s="127"/>
      <c r="AZ367" s="126"/>
      <c r="BA367" s="126"/>
      <c r="BB367" s="127"/>
      <c r="BC367" s="126"/>
      <c r="BD367" s="134"/>
      <c r="BE367" s="127"/>
      <c r="BF367" s="126"/>
      <c r="BG367" s="126"/>
      <c r="BH367" s="126"/>
      <c r="BI367" s="126"/>
      <c r="BJ367" s="126"/>
      <c r="BK367" s="126"/>
      <c r="BL367" s="126"/>
      <c r="BM367" s="126"/>
      <c r="BN367" s="126"/>
      <c r="BO367" s="126"/>
      <c r="BP367" s="126"/>
      <c r="BQ367" s="126"/>
      <c r="BR367" s="126"/>
      <c r="BS367" s="126"/>
      <c r="BT367" s="126"/>
      <c r="BU367" s="126"/>
      <c r="BV367" s="126"/>
      <c r="BW367" s="126"/>
      <c r="BX367" s="126"/>
    </row>
    <row r="368">
      <c r="A368" s="126"/>
      <c r="B368" s="126"/>
      <c r="C368" s="127"/>
      <c r="D368" s="126"/>
      <c r="E368" s="126"/>
      <c r="F368" s="127"/>
      <c r="G368" s="126"/>
      <c r="H368" s="127"/>
      <c r="I368" s="126"/>
      <c r="J368" s="126"/>
      <c r="K368" s="127"/>
      <c r="L368" s="126"/>
      <c r="M368" s="126"/>
      <c r="N368" s="127"/>
      <c r="O368" s="126"/>
      <c r="P368" s="126"/>
      <c r="Q368" s="127"/>
      <c r="R368" s="126"/>
      <c r="S368" s="126"/>
      <c r="T368" s="127"/>
      <c r="U368" s="126"/>
      <c r="V368" s="126"/>
      <c r="W368" s="127"/>
      <c r="X368" s="126"/>
      <c r="Y368" s="126"/>
      <c r="Z368" s="127"/>
      <c r="AA368" s="126"/>
      <c r="AB368" s="126"/>
      <c r="AC368" s="127"/>
      <c r="AD368" s="126"/>
      <c r="AE368" s="126"/>
      <c r="AF368" s="126"/>
      <c r="AG368" s="127"/>
      <c r="AH368" s="126"/>
      <c r="AI368" s="126"/>
      <c r="AJ368" s="127"/>
      <c r="AK368" s="126"/>
      <c r="AL368" s="126"/>
      <c r="AM368" s="127"/>
      <c r="AN368" s="126"/>
      <c r="AO368" s="126"/>
      <c r="AP368" s="127"/>
      <c r="AQ368" s="126"/>
      <c r="AR368" s="126"/>
      <c r="AS368" s="127"/>
      <c r="AT368" s="126"/>
      <c r="AU368" s="126"/>
      <c r="AV368" s="127"/>
      <c r="AW368" s="126"/>
      <c r="AX368" s="126"/>
      <c r="AY368" s="127"/>
      <c r="AZ368" s="126"/>
      <c r="BA368" s="126"/>
      <c r="BB368" s="127"/>
      <c r="BC368" s="126"/>
      <c r="BD368" s="134"/>
      <c r="BE368" s="127"/>
      <c r="BF368" s="126"/>
      <c r="BG368" s="126"/>
      <c r="BH368" s="126"/>
      <c r="BI368" s="126"/>
      <c r="BJ368" s="126"/>
      <c r="BK368" s="126"/>
      <c r="BL368" s="126"/>
      <c r="BM368" s="126"/>
      <c r="BN368" s="126"/>
      <c r="BO368" s="126"/>
      <c r="BP368" s="126"/>
      <c r="BQ368" s="126"/>
      <c r="BR368" s="126"/>
      <c r="BS368" s="126"/>
      <c r="BT368" s="126"/>
      <c r="BU368" s="126"/>
      <c r="BV368" s="126"/>
      <c r="BW368" s="126"/>
      <c r="BX368" s="126"/>
    </row>
    <row r="369">
      <c r="A369" s="126"/>
      <c r="B369" s="126"/>
      <c r="C369" s="127"/>
      <c r="D369" s="126"/>
      <c r="E369" s="126"/>
      <c r="F369" s="127"/>
      <c r="G369" s="126"/>
      <c r="H369" s="127"/>
      <c r="I369" s="126"/>
      <c r="J369" s="126"/>
      <c r="K369" s="127"/>
      <c r="L369" s="126"/>
      <c r="M369" s="126"/>
      <c r="N369" s="127"/>
      <c r="O369" s="126"/>
      <c r="P369" s="126"/>
      <c r="Q369" s="127"/>
      <c r="R369" s="126"/>
      <c r="S369" s="126"/>
      <c r="T369" s="127"/>
      <c r="U369" s="126"/>
      <c r="V369" s="126"/>
      <c r="W369" s="127"/>
      <c r="X369" s="126"/>
      <c r="Y369" s="126"/>
      <c r="Z369" s="127"/>
      <c r="AA369" s="126"/>
      <c r="AB369" s="126"/>
      <c r="AC369" s="127"/>
      <c r="AD369" s="126"/>
      <c r="AE369" s="126"/>
      <c r="AF369" s="126"/>
      <c r="AG369" s="127"/>
      <c r="AH369" s="126"/>
      <c r="AI369" s="126"/>
      <c r="AJ369" s="127"/>
      <c r="AK369" s="126"/>
      <c r="AL369" s="126"/>
      <c r="AM369" s="127"/>
      <c r="AN369" s="126"/>
      <c r="AO369" s="126"/>
      <c r="AP369" s="127"/>
      <c r="AQ369" s="126"/>
      <c r="AR369" s="126"/>
      <c r="AS369" s="127"/>
      <c r="AT369" s="126"/>
      <c r="AU369" s="126"/>
      <c r="AV369" s="127"/>
      <c r="AW369" s="126"/>
      <c r="AX369" s="126"/>
      <c r="AY369" s="127"/>
      <c r="AZ369" s="126"/>
      <c r="BA369" s="126"/>
      <c r="BB369" s="127"/>
      <c r="BC369" s="126"/>
      <c r="BD369" s="134"/>
      <c r="BE369" s="127"/>
      <c r="BF369" s="126"/>
      <c r="BG369" s="126"/>
      <c r="BH369" s="126"/>
      <c r="BI369" s="126"/>
      <c r="BJ369" s="126"/>
      <c r="BK369" s="126"/>
      <c r="BL369" s="126"/>
      <c r="BM369" s="126"/>
      <c r="BN369" s="126"/>
      <c r="BO369" s="126"/>
      <c r="BP369" s="126"/>
      <c r="BQ369" s="126"/>
      <c r="BR369" s="126"/>
      <c r="BS369" s="126"/>
      <c r="BT369" s="126"/>
      <c r="BU369" s="126"/>
      <c r="BV369" s="126"/>
      <c r="BW369" s="126"/>
      <c r="BX369" s="126"/>
    </row>
    <row r="370">
      <c r="A370" s="126"/>
      <c r="B370" s="126"/>
      <c r="C370" s="127"/>
      <c r="D370" s="126"/>
      <c r="E370" s="126"/>
      <c r="F370" s="127"/>
      <c r="G370" s="126"/>
      <c r="H370" s="127"/>
      <c r="I370" s="126"/>
      <c r="J370" s="126"/>
      <c r="K370" s="127"/>
      <c r="L370" s="126"/>
      <c r="M370" s="126"/>
      <c r="N370" s="127"/>
      <c r="O370" s="126"/>
      <c r="P370" s="126"/>
      <c r="Q370" s="127"/>
      <c r="R370" s="126"/>
      <c r="S370" s="126"/>
      <c r="T370" s="127"/>
      <c r="U370" s="126"/>
      <c r="V370" s="126"/>
      <c r="W370" s="127"/>
      <c r="X370" s="126"/>
      <c r="Y370" s="126"/>
      <c r="Z370" s="127"/>
      <c r="AA370" s="126"/>
      <c r="AB370" s="126"/>
      <c r="AC370" s="127"/>
      <c r="AD370" s="126"/>
      <c r="AE370" s="126"/>
      <c r="AF370" s="126"/>
      <c r="AG370" s="127"/>
      <c r="AH370" s="126"/>
      <c r="AI370" s="126"/>
      <c r="AJ370" s="127"/>
      <c r="AK370" s="126"/>
      <c r="AL370" s="126"/>
      <c r="AM370" s="127"/>
      <c r="AN370" s="126"/>
      <c r="AO370" s="126"/>
      <c r="AP370" s="127"/>
      <c r="AQ370" s="126"/>
      <c r="AR370" s="126"/>
      <c r="AS370" s="127"/>
      <c r="AT370" s="126"/>
      <c r="AU370" s="126"/>
      <c r="AV370" s="127"/>
      <c r="AW370" s="126"/>
      <c r="AX370" s="126"/>
      <c r="AY370" s="127"/>
      <c r="AZ370" s="126"/>
      <c r="BA370" s="126"/>
      <c r="BB370" s="127"/>
      <c r="BC370" s="126"/>
      <c r="BD370" s="134"/>
      <c r="BE370" s="127"/>
      <c r="BF370" s="126"/>
      <c r="BG370" s="126"/>
      <c r="BH370" s="126"/>
      <c r="BI370" s="126"/>
      <c r="BJ370" s="126"/>
      <c r="BK370" s="126"/>
      <c r="BL370" s="126"/>
      <c r="BM370" s="126"/>
      <c r="BN370" s="126"/>
      <c r="BO370" s="126"/>
      <c r="BP370" s="126"/>
      <c r="BQ370" s="126"/>
      <c r="BR370" s="126"/>
      <c r="BS370" s="126"/>
      <c r="BT370" s="126"/>
      <c r="BU370" s="126"/>
      <c r="BV370" s="126"/>
      <c r="BW370" s="126"/>
      <c r="BX370" s="126"/>
    </row>
    <row r="371">
      <c r="A371" s="126"/>
      <c r="B371" s="126"/>
      <c r="C371" s="127"/>
      <c r="D371" s="126"/>
      <c r="E371" s="126"/>
      <c r="F371" s="127"/>
      <c r="G371" s="126"/>
      <c r="H371" s="127"/>
      <c r="I371" s="126"/>
      <c r="J371" s="126"/>
      <c r="K371" s="127"/>
      <c r="L371" s="126"/>
      <c r="M371" s="126"/>
      <c r="N371" s="127"/>
      <c r="O371" s="126"/>
      <c r="P371" s="126"/>
      <c r="Q371" s="127"/>
      <c r="R371" s="126"/>
      <c r="S371" s="126"/>
      <c r="T371" s="127"/>
      <c r="U371" s="126"/>
      <c r="V371" s="126"/>
      <c r="W371" s="127"/>
      <c r="X371" s="126"/>
      <c r="Y371" s="126"/>
      <c r="Z371" s="127"/>
      <c r="AA371" s="126"/>
      <c r="AB371" s="126"/>
      <c r="AC371" s="127"/>
      <c r="AD371" s="126"/>
      <c r="AE371" s="126"/>
      <c r="AF371" s="126"/>
      <c r="AG371" s="127"/>
      <c r="AH371" s="126"/>
      <c r="AI371" s="126"/>
      <c r="AJ371" s="127"/>
      <c r="AK371" s="126"/>
      <c r="AL371" s="126"/>
      <c r="AM371" s="127"/>
      <c r="AN371" s="126"/>
      <c r="AO371" s="126"/>
      <c r="AP371" s="127"/>
      <c r="AQ371" s="126"/>
      <c r="AR371" s="126"/>
      <c r="AS371" s="127"/>
      <c r="AT371" s="126"/>
      <c r="AU371" s="126"/>
      <c r="AV371" s="127"/>
      <c r="AW371" s="126"/>
      <c r="AX371" s="126"/>
      <c r="AY371" s="127"/>
      <c r="AZ371" s="126"/>
      <c r="BA371" s="126"/>
      <c r="BB371" s="127"/>
      <c r="BC371" s="126"/>
      <c r="BD371" s="134"/>
      <c r="BE371" s="127"/>
      <c r="BF371" s="126"/>
      <c r="BG371" s="126"/>
      <c r="BH371" s="126"/>
      <c r="BI371" s="126"/>
      <c r="BJ371" s="126"/>
      <c r="BK371" s="126"/>
      <c r="BL371" s="126"/>
      <c r="BM371" s="126"/>
      <c r="BN371" s="126"/>
      <c r="BO371" s="126"/>
      <c r="BP371" s="126"/>
      <c r="BQ371" s="126"/>
      <c r="BR371" s="126"/>
      <c r="BS371" s="126"/>
      <c r="BT371" s="126"/>
      <c r="BU371" s="126"/>
      <c r="BV371" s="126"/>
      <c r="BW371" s="126"/>
      <c r="BX371" s="126"/>
    </row>
    <row r="372">
      <c r="A372" s="126"/>
      <c r="B372" s="126"/>
      <c r="C372" s="127"/>
      <c r="D372" s="126"/>
      <c r="E372" s="126"/>
      <c r="F372" s="127"/>
      <c r="G372" s="126"/>
      <c r="H372" s="127"/>
      <c r="I372" s="126"/>
      <c r="J372" s="126"/>
      <c r="K372" s="127"/>
      <c r="L372" s="126"/>
      <c r="M372" s="126"/>
      <c r="N372" s="127"/>
      <c r="O372" s="126"/>
      <c r="P372" s="126"/>
      <c r="Q372" s="127"/>
      <c r="R372" s="126"/>
      <c r="S372" s="126"/>
      <c r="T372" s="127"/>
      <c r="U372" s="126"/>
      <c r="V372" s="126"/>
      <c r="W372" s="127"/>
      <c r="X372" s="126"/>
      <c r="Y372" s="126"/>
      <c r="Z372" s="127"/>
      <c r="AA372" s="126"/>
      <c r="AB372" s="126"/>
      <c r="AC372" s="127"/>
      <c r="AD372" s="126"/>
      <c r="AE372" s="126"/>
      <c r="AF372" s="126"/>
      <c r="AG372" s="127"/>
      <c r="AH372" s="126"/>
      <c r="AI372" s="126"/>
      <c r="AJ372" s="127"/>
      <c r="AK372" s="126"/>
      <c r="AL372" s="126"/>
      <c r="AM372" s="127"/>
      <c r="AN372" s="126"/>
      <c r="AO372" s="126"/>
      <c r="AP372" s="127"/>
      <c r="AQ372" s="126"/>
      <c r="AR372" s="126"/>
      <c r="AS372" s="127"/>
      <c r="AT372" s="126"/>
      <c r="AU372" s="126"/>
      <c r="AV372" s="127"/>
      <c r="AW372" s="126"/>
      <c r="AX372" s="126"/>
      <c r="AY372" s="127"/>
      <c r="AZ372" s="126"/>
      <c r="BA372" s="126"/>
      <c r="BB372" s="127"/>
      <c r="BC372" s="126"/>
      <c r="BD372" s="134"/>
      <c r="BE372" s="127"/>
      <c r="BF372" s="126"/>
      <c r="BG372" s="126"/>
      <c r="BH372" s="126"/>
      <c r="BI372" s="126"/>
      <c r="BJ372" s="126"/>
      <c r="BK372" s="126"/>
      <c r="BL372" s="126"/>
      <c r="BM372" s="126"/>
      <c r="BN372" s="126"/>
      <c r="BO372" s="126"/>
      <c r="BP372" s="126"/>
      <c r="BQ372" s="126"/>
      <c r="BR372" s="126"/>
      <c r="BS372" s="126"/>
      <c r="BT372" s="126"/>
      <c r="BU372" s="126"/>
      <c r="BV372" s="126"/>
      <c r="BW372" s="126"/>
      <c r="BX372" s="126"/>
    </row>
    <row r="373">
      <c r="A373" s="126"/>
      <c r="B373" s="126"/>
      <c r="C373" s="127"/>
      <c r="D373" s="126"/>
      <c r="E373" s="126"/>
      <c r="F373" s="127"/>
      <c r="G373" s="126"/>
      <c r="H373" s="127"/>
      <c r="I373" s="126"/>
      <c r="J373" s="126"/>
      <c r="K373" s="127"/>
      <c r="L373" s="126"/>
      <c r="M373" s="126"/>
      <c r="N373" s="127"/>
      <c r="O373" s="126"/>
      <c r="P373" s="126"/>
      <c r="Q373" s="127"/>
      <c r="R373" s="126"/>
      <c r="S373" s="126"/>
      <c r="T373" s="127"/>
      <c r="U373" s="126"/>
      <c r="V373" s="126"/>
      <c r="W373" s="127"/>
      <c r="X373" s="126"/>
      <c r="Y373" s="126"/>
      <c r="Z373" s="127"/>
      <c r="AA373" s="126"/>
      <c r="AB373" s="126"/>
      <c r="AC373" s="127"/>
      <c r="AD373" s="126"/>
      <c r="AE373" s="126"/>
      <c r="AF373" s="126"/>
      <c r="AG373" s="127"/>
      <c r="AH373" s="126"/>
      <c r="AI373" s="126"/>
      <c r="AJ373" s="127"/>
      <c r="AK373" s="126"/>
      <c r="AL373" s="126"/>
      <c r="AM373" s="127"/>
      <c r="AN373" s="126"/>
      <c r="AO373" s="126"/>
      <c r="AP373" s="127"/>
      <c r="AQ373" s="126"/>
      <c r="AR373" s="126"/>
      <c r="AS373" s="127"/>
      <c r="AT373" s="126"/>
      <c r="AU373" s="126"/>
      <c r="AV373" s="127"/>
      <c r="AW373" s="126"/>
      <c r="AX373" s="126"/>
      <c r="AY373" s="127"/>
      <c r="AZ373" s="126"/>
      <c r="BA373" s="126"/>
      <c r="BB373" s="127"/>
      <c r="BC373" s="126"/>
      <c r="BD373" s="134"/>
      <c r="BE373" s="127"/>
      <c r="BF373" s="126"/>
      <c r="BG373" s="126"/>
      <c r="BH373" s="126"/>
      <c r="BI373" s="126"/>
      <c r="BJ373" s="126"/>
      <c r="BK373" s="126"/>
      <c r="BL373" s="126"/>
      <c r="BM373" s="126"/>
      <c r="BN373" s="126"/>
      <c r="BO373" s="126"/>
      <c r="BP373" s="126"/>
      <c r="BQ373" s="126"/>
      <c r="BR373" s="126"/>
      <c r="BS373" s="126"/>
      <c r="BT373" s="126"/>
      <c r="BU373" s="126"/>
      <c r="BV373" s="126"/>
      <c r="BW373" s="126"/>
      <c r="BX373" s="126"/>
    </row>
    <row r="374">
      <c r="A374" s="126"/>
      <c r="B374" s="126"/>
      <c r="C374" s="127"/>
      <c r="D374" s="126"/>
      <c r="E374" s="126"/>
      <c r="F374" s="127"/>
      <c r="G374" s="126"/>
      <c r="H374" s="127"/>
      <c r="I374" s="126"/>
      <c r="J374" s="126"/>
      <c r="K374" s="127"/>
      <c r="L374" s="126"/>
      <c r="M374" s="126"/>
      <c r="N374" s="127"/>
      <c r="O374" s="126"/>
      <c r="P374" s="126"/>
      <c r="Q374" s="127"/>
      <c r="R374" s="126"/>
      <c r="S374" s="126"/>
      <c r="T374" s="127"/>
      <c r="U374" s="126"/>
      <c r="V374" s="126"/>
      <c r="W374" s="127"/>
      <c r="X374" s="126"/>
      <c r="Y374" s="126"/>
      <c r="Z374" s="127"/>
      <c r="AA374" s="126"/>
      <c r="AB374" s="126"/>
      <c r="AC374" s="127"/>
      <c r="AD374" s="126"/>
      <c r="AE374" s="126"/>
      <c r="AF374" s="126"/>
      <c r="AG374" s="127"/>
      <c r="AH374" s="126"/>
      <c r="AI374" s="126"/>
      <c r="AJ374" s="127"/>
      <c r="AK374" s="126"/>
      <c r="AL374" s="126"/>
      <c r="AM374" s="127"/>
      <c r="AN374" s="126"/>
      <c r="AO374" s="126"/>
      <c r="AP374" s="127"/>
      <c r="AQ374" s="126"/>
      <c r="AR374" s="126"/>
      <c r="AS374" s="127"/>
      <c r="AT374" s="126"/>
      <c r="AU374" s="126"/>
      <c r="AV374" s="127"/>
      <c r="AW374" s="126"/>
      <c r="AX374" s="126"/>
      <c r="AY374" s="127"/>
      <c r="AZ374" s="126"/>
      <c r="BA374" s="126"/>
      <c r="BB374" s="127"/>
      <c r="BC374" s="126"/>
      <c r="BD374" s="134"/>
      <c r="BE374" s="127"/>
      <c r="BF374" s="126"/>
      <c r="BG374" s="126"/>
      <c r="BH374" s="126"/>
      <c r="BI374" s="126"/>
      <c r="BJ374" s="126"/>
      <c r="BK374" s="126"/>
      <c r="BL374" s="126"/>
      <c r="BM374" s="126"/>
      <c r="BN374" s="126"/>
      <c r="BO374" s="126"/>
      <c r="BP374" s="126"/>
      <c r="BQ374" s="126"/>
      <c r="BR374" s="126"/>
      <c r="BS374" s="126"/>
      <c r="BT374" s="126"/>
      <c r="BU374" s="126"/>
      <c r="BV374" s="126"/>
      <c r="BW374" s="126"/>
      <c r="BX374" s="126"/>
    </row>
    <row r="375">
      <c r="A375" s="126"/>
      <c r="B375" s="126"/>
      <c r="C375" s="127"/>
      <c r="D375" s="126"/>
      <c r="E375" s="126"/>
      <c r="F375" s="127"/>
      <c r="G375" s="126"/>
      <c r="H375" s="127"/>
      <c r="I375" s="126"/>
      <c r="J375" s="126"/>
      <c r="K375" s="127"/>
      <c r="L375" s="126"/>
      <c r="M375" s="126"/>
      <c r="N375" s="127"/>
      <c r="O375" s="126"/>
      <c r="P375" s="126"/>
      <c r="Q375" s="127"/>
      <c r="R375" s="126"/>
      <c r="S375" s="126"/>
      <c r="T375" s="127"/>
      <c r="U375" s="126"/>
      <c r="V375" s="126"/>
      <c r="W375" s="127"/>
      <c r="X375" s="126"/>
      <c r="Y375" s="126"/>
      <c r="Z375" s="127"/>
      <c r="AA375" s="126"/>
      <c r="AB375" s="126"/>
      <c r="AC375" s="127"/>
      <c r="AD375" s="126"/>
      <c r="AE375" s="126"/>
      <c r="AF375" s="126"/>
      <c r="AG375" s="127"/>
      <c r="AH375" s="126"/>
      <c r="AI375" s="126"/>
      <c r="AJ375" s="127"/>
      <c r="AK375" s="126"/>
      <c r="AL375" s="126"/>
      <c r="AM375" s="127"/>
      <c r="AN375" s="126"/>
      <c r="AO375" s="126"/>
      <c r="AP375" s="127"/>
      <c r="AQ375" s="126"/>
      <c r="AR375" s="126"/>
      <c r="AS375" s="127"/>
      <c r="AT375" s="126"/>
      <c r="AU375" s="126"/>
      <c r="AV375" s="127"/>
      <c r="AW375" s="126"/>
      <c r="AX375" s="126"/>
      <c r="AY375" s="127"/>
      <c r="AZ375" s="126"/>
      <c r="BA375" s="126"/>
      <c r="BB375" s="127"/>
      <c r="BC375" s="126"/>
      <c r="BD375" s="134"/>
      <c r="BE375" s="127"/>
      <c r="BF375" s="126"/>
      <c r="BG375" s="126"/>
      <c r="BH375" s="126"/>
      <c r="BI375" s="126"/>
      <c r="BJ375" s="126"/>
      <c r="BK375" s="126"/>
      <c r="BL375" s="126"/>
      <c r="BM375" s="126"/>
      <c r="BN375" s="126"/>
      <c r="BO375" s="126"/>
      <c r="BP375" s="126"/>
      <c r="BQ375" s="126"/>
      <c r="BR375" s="126"/>
      <c r="BS375" s="126"/>
      <c r="BT375" s="126"/>
      <c r="BU375" s="126"/>
      <c r="BV375" s="126"/>
      <c r="BW375" s="126"/>
      <c r="BX375" s="126"/>
    </row>
    <row r="376">
      <c r="A376" s="126"/>
      <c r="B376" s="126"/>
      <c r="C376" s="127"/>
      <c r="D376" s="126"/>
      <c r="E376" s="126"/>
      <c r="F376" s="127"/>
      <c r="G376" s="126"/>
      <c r="H376" s="127"/>
      <c r="I376" s="126"/>
      <c r="J376" s="126"/>
      <c r="K376" s="127"/>
      <c r="L376" s="126"/>
      <c r="M376" s="126"/>
      <c r="N376" s="127"/>
      <c r="O376" s="126"/>
      <c r="P376" s="126"/>
      <c r="Q376" s="127"/>
      <c r="R376" s="126"/>
      <c r="S376" s="126"/>
      <c r="T376" s="127"/>
      <c r="U376" s="126"/>
      <c r="V376" s="126"/>
      <c r="W376" s="127"/>
      <c r="X376" s="126"/>
      <c r="Y376" s="126"/>
      <c r="Z376" s="127"/>
      <c r="AA376" s="126"/>
      <c r="AB376" s="126"/>
      <c r="AC376" s="127"/>
      <c r="AD376" s="126"/>
      <c r="AE376" s="126"/>
      <c r="AF376" s="126"/>
      <c r="AG376" s="127"/>
      <c r="AH376" s="126"/>
      <c r="AI376" s="126"/>
      <c r="AJ376" s="127"/>
      <c r="AK376" s="126"/>
      <c r="AL376" s="126"/>
      <c r="AM376" s="127"/>
      <c r="AN376" s="126"/>
      <c r="AO376" s="126"/>
      <c r="AP376" s="127"/>
      <c r="AQ376" s="126"/>
      <c r="AR376" s="126"/>
      <c r="AS376" s="127"/>
      <c r="AT376" s="126"/>
      <c r="AU376" s="126"/>
      <c r="AV376" s="127"/>
      <c r="AW376" s="126"/>
      <c r="AX376" s="126"/>
      <c r="AY376" s="127"/>
      <c r="AZ376" s="126"/>
      <c r="BA376" s="126"/>
      <c r="BB376" s="127"/>
      <c r="BC376" s="126"/>
      <c r="BD376" s="134"/>
      <c r="BE376" s="127"/>
      <c r="BF376" s="126"/>
      <c r="BG376" s="126"/>
      <c r="BH376" s="126"/>
      <c r="BI376" s="126"/>
      <c r="BJ376" s="126"/>
      <c r="BK376" s="126"/>
      <c r="BL376" s="126"/>
      <c r="BM376" s="126"/>
      <c r="BN376" s="126"/>
      <c r="BO376" s="126"/>
      <c r="BP376" s="126"/>
      <c r="BQ376" s="126"/>
      <c r="BR376" s="126"/>
      <c r="BS376" s="126"/>
      <c r="BT376" s="126"/>
      <c r="BU376" s="126"/>
      <c r="BV376" s="126"/>
      <c r="BW376" s="126"/>
      <c r="BX376" s="126"/>
    </row>
    <row r="377">
      <c r="A377" s="126"/>
      <c r="B377" s="126"/>
      <c r="C377" s="127"/>
      <c r="D377" s="126"/>
      <c r="E377" s="126"/>
      <c r="F377" s="127"/>
      <c r="G377" s="126"/>
      <c r="H377" s="127"/>
      <c r="I377" s="126"/>
      <c r="J377" s="126"/>
      <c r="K377" s="127"/>
      <c r="L377" s="126"/>
      <c r="M377" s="126"/>
      <c r="N377" s="127"/>
      <c r="O377" s="126"/>
      <c r="P377" s="126"/>
      <c r="Q377" s="127"/>
      <c r="R377" s="126"/>
      <c r="S377" s="126"/>
      <c r="T377" s="127"/>
      <c r="U377" s="126"/>
      <c r="V377" s="126"/>
      <c r="W377" s="127"/>
      <c r="X377" s="126"/>
      <c r="Y377" s="126"/>
      <c r="Z377" s="127"/>
      <c r="AA377" s="126"/>
      <c r="AB377" s="126"/>
      <c r="AC377" s="127"/>
      <c r="AD377" s="126"/>
      <c r="AE377" s="126"/>
      <c r="AF377" s="126"/>
      <c r="AG377" s="127"/>
      <c r="AH377" s="126"/>
      <c r="AI377" s="126"/>
      <c r="AJ377" s="127"/>
      <c r="AK377" s="126"/>
      <c r="AL377" s="126"/>
      <c r="AM377" s="127"/>
      <c r="AN377" s="126"/>
      <c r="AO377" s="126"/>
      <c r="AP377" s="127"/>
      <c r="AQ377" s="126"/>
      <c r="AR377" s="126"/>
      <c r="AS377" s="127"/>
      <c r="AT377" s="126"/>
      <c r="AU377" s="126"/>
      <c r="AV377" s="127"/>
      <c r="AW377" s="126"/>
      <c r="AX377" s="126"/>
      <c r="AY377" s="127"/>
      <c r="AZ377" s="126"/>
      <c r="BA377" s="126"/>
      <c r="BB377" s="127"/>
      <c r="BC377" s="126"/>
      <c r="BD377" s="134"/>
      <c r="BE377" s="127"/>
      <c r="BF377" s="126"/>
      <c r="BG377" s="126"/>
      <c r="BH377" s="126"/>
      <c r="BI377" s="126"/>
      <c r="BJ377" s="126"/>
      <c r="BK377" s="126"/>
      <c r="BL377" s="126"/>
      <c r="BM377" s="126"/>
      <c r="BN377" s="126"/>
      <c r="BO377" s="126"/>
      <c r="BP377" s="126"/>
      <c r="BQ377" s="126"/>
      <c r="BR377" s="126"/>
      <c r="BS377" s="126"/>
      <c r="BT377" s="126"/>
      <c r="BU377" s="126"/>
      <c r="BV377" s="126"/>
      <c r="BW377" s="126"/>
      <c r="BX377" s="126"/>
    </row>
    <row r="378">
      <c r="A378" s="126"/>
      <c r="B378" s="126"/>
      <c r="C378" s="127"/>
      <c r="D378" s="126"/>
      <c r="E378" s="126"/>
      <c r="F378" s="127"/>
      <c r="G378" s="126"/>
      <c r="H378" s="127"/>
      <c r="I378" s="126"/>
      <c r="J378" s="126"/>
      <c r="K378" s="127"/>
      <c r="L378" s="126"/>
      <c r="M378" s="126"/>
      <c r="N378" s="127"/>
      <c r="O378" s="126"/>
      <c r="P378" s="126"/>
      <c r="Q378" s="127"/>
      <c r="R378" s="126"/>
      <c r="S378" s="126"/>
      <c r="T378" s="127"/>
      <c r="U378" s="126"/>
      <c r="V378" s="126"/>
      <c r="W378" s="127"/>
      <c r="X378" s="126"/>
      <c r="Y378" s="126"/>
      <c r="Z378" s="127"/>
      <c r="AA378" s="126"/>
      <c r="AB378" s="126"/>
      <c r="AC378" s="127"/>
      <c r="AD378" s="126"/>
      <c r="AE378" s="126"/>
      <c r="AF378" s="126"/>
      <c r="AG378" s="127"/>
      <c r="AH378" s="126"/>
      <c r="AI378" s="126"/>
      <c r="AJ378" s="127"/>
      <c r="AK378" s="126"/>
      <c r="AL378" s="126"/>
      <c r="AM378" s="127"/>
      <c r="AN378" s="126"/>
      <c r="AO378" s="126"/>
      <c r="AP378" s="127"/>
      <c r="AQ378" s="126"/>
      <c r="AR378" s="126"/>
      <c r="AS378" s="127"/>
      <c r="AT378" s="126"/>
      <c r="AU378" s="126"/>
      <c r="AV378" s="127"/>
      <c r="AW378" s="126"/>
      <c r="AX378" s="126"/>
      <c r="AY378" s="127"/>
      <c r="AZ378" s="126"/>
      <c r="BA378" s="126"/>
      <c r="BB378" s="127"/>
      <c r="BC378" s="126"/>
      <c r="BD378" s="134"/>
      <c r="BE378" s="127"/>
      <c r="BF378" s="126"/>
      <c r="BG378" s="126"/>
      <c r="BH378" s="126"/>
      <c r="BI378" s="126"/>
      <c r="BJ378" s="126"/>
      <c r="BK378" s="126"/>
      <c r="BL378" s="126"/>
      <c r="BM378" s="126"/>
      <c r="BN378" s="126"/>
      <c r="BO378" s="126"/>
      <c r="BP378" s="126"/>
      <c r="BQ378" s="126"/>
      <c r="BR378" s="126"/>
      <c r="BS378" s="126"/>
      <c r="BT378" s="126"/>
      <c r="BU378" s="126"/>
      <c r="BV378" s="126"/>
      <c r="BW378" s="126"/>
      <c r="BX378" s="126"/>
    </row>
    <row r="379">
      <c r="A379" s="126"/>
      <c r="B379" s="126"/>
      <c r="C379" s="127"/>
      <c r="D379" s="126"/>
      <c r="E379" s="126"/>
      <c r="F379" s="127"/>
      <c r="G379" s="126"/>
      <c r="H379" s="127"/>
      <c r="I379" s="126"/>
      <c r="J379" s="126"/>
      <c r="K379" s="127"/>
      <c r="L379" s="126"/>
      <c r="M379" s="126"/>
      <c r="N379" s="127"/>
      <c r="O379" s="126"/>
      <c r="P379" s="126"/>
      <c r="Q379" s="127"/>
      <c r="R379" s="126"/>
      <c r="S379" s="126"/>
      <c r="T379" s="127"/>
      <c r="U379" s="126"/>
      <c r="V379" s="126"/>
      <c r="W379" s="127"/>
      <c r="X379" s="126"/>
      <c r="Y379" s="126"/>
      <c r="Z379" s="127"/>
      <c r="AA379" s="126"/>
      <c r="AB379" s="126"/>
      <c r="AC379" s="127"/>
      <c r="AD379" s="126"/>
      <c r="AE379" s="126"/>
      <c r="AF379" s="126"/>
      <c r="AG379" s="127"/>
      <c r="AH379" s="126"/>
      <c r="AI379" s="126"/>
      <c r="AJ379" s="127"/>
      <c r="AK379" s="126"/>
      <c r="AL379" s="126"/>
      <c r="AM379" s="127"/>
      <c r="AN379" s="126"/>
      <c r="AO379" s="126"/>
      <c r="AP379" s="127"/>
      <c r="AQ379" s="126"/>
      <c r="AR379" s="126"/>
      <c r="AS379" s="127"/>
      <c r="AT379" s="126"/>
      <c r="AU379" s="126"/>
      <c r="AV379" s="127"/>
      <c r="AW379" s="126"/>
      <c r="AX379" s="126"/>
      <c r="AY379" s="127"/>
      <c r="AZ379" s="126"/>
      <c r="BA379" s="126"/>
      <c r="BB379" s="127"/>
      <c r="BC379" s="126"/>
      <c r="BD379" s="134"/>
      <c r="BE379" s="127"/>
      <c r="BF379" s="126"/>
      <c r="BG379" s="126"/>
      <c r="BH379" s="126"/>
      <c r="BI379" s="126"/>
      <c r="BJ379" s="126"/>
      <c r="BK379" s="126"/>
      <c r="BL379" s="126"/>
      <c r="BM379" s="126"/>
      <c r="BN379" s="126"/>
      <c r="BO379" s="126"/>
      <c r="BP379" s="126"/>
      <c r="BQ379" s="126"/>
      <c r="BR379" s="126"/>
      <c r="BS379" s="126"/>
      <c r="BT379" s="126"/>
      <c r="BU379" s="126"/>
      <c r="BV379" s="126"/>
      <c r="BW379" s="126"/>
      <c r="BX379" s="126"/>
    </row>
    <row r="380">
      <c r="A380" s="126"/>
      <c r="B380" s="126"/>
      <c r="C380" s="127"/>
      <c r="D380" s="126"/>
      <c r="E380" s="126"/>
      <c r="F380" s="127"/>
      <c r="G380" s="126"/>
      <c r="H380" s="127"/>
      <c r="I380" s="126"/>
      <c r="J380" s="126"/>
      <c r="K380" s="127"/>
      <c r="L380" s="126"/>
      <c r="M380" s="126"/>
      <c r="N380" s="127"/>
      <c r="O380" s="126"/>
      <c r="P380" s="126"/>
      <c r="Q380" s="127"/>
      <c r="R380" s="126"/>
      <c r="S380" s="126"/>
      <c r="T380" s="127"/>
      <c r="U380" s="126"/>
      <c r="V380" s="126"/>
      <c r="W380" s="127"/>
      <c r="X380" s="126"/>
      <c r="Y380" s="126"/>
      <c r="Z380" s="127"/>
      <c r="AA380" s="126"/>
      <c r="AB380" s="126"/>
      <c r="AC380" s="127"/>
      <c r="AD380" s="126"/>
      <c r="AE380" s="126"/>
      <c r="AF380" s="126"/>
      <c r="AG380" s="127"/>
      <c r="AH380" s="126"/>
      <c r="AI380" s="126"/>
      <c r="AJ380" s="127"/>
      <c r="AK380" s="126"/>
      <c r="AL380" s="126"/>
      <c r="AM380" s="127"/>
      <c r="AN380" s="126"/>
      <c r="AO380" s="126"/>
      <c r="AP380" s="127"/>
      <c r="AQ380" s="126"/>
      <c r="AR380" s="126"/>
      <c r="AS380" s="127"/>
      <c r="AT380" s="126"/>
      <c r="AU380" s="126"/>
      <c r="AV380" s="127"/>
      <c r="AW380" s="126"/>
      <c r="AX380" s="126"/>
      <c r="AY380" s="127"/>
      <c r="AZ380" s="126"/>
      <c r="BA380" s="126"/>
      <c r="BB380" s="127"/>
      <c r="BC380" s="126"/>
      <c r="BD380" s="134"/>
      <c r="BE380" s="127"/>
      <c r="BF380" s="126"/>
      <c r="BG380" s="126"/>
      <c r="BH380" s="126"/>
      <c r="BI380" s="126"/>
      <c r="BJ380" s="126"/>
      <c r="BK380" s="126"/>
      <c r="BL380" s="126"/>
      <c r="BM380" s="126"/>
      <c r="BN380" s="126"/>
      <c r="BO380" s="126"/>
      <c r="BP380" s="126"/>
      <c r="BQ380" s="126"/>
      <c r="BR380" s="126"/>
      <c r="BS380" s="126"/>
      <c r="BT380" s="126"/>
      <c r="BU380" s="126"/>
      <c r="BV380" s="126"/>
      <c r="BW380" s="126"/>
      <c r="BX380" s="126"/>
    </row>
    <row r="381">
      <c r="A381" s="126"/>
      <c r="B381" s="126"/>
      <c r="C381" s="127"/>
      <c r="D381" s="126"/>
      <c r="E381" s="126"/>
      <c r="F381" s="127"/>
      <c r="G381" s="126"/>
      <c r="H381" s="127"/>
      <c r="I381" s="126"/>
      <c r="J381" s="126"/>
      <c r="K381" s="127"/>
      <c r="L381" s="126"/>
      <c r="M381" s="126"/>
      <c r="N381" s="127"/>
      <c r="O381" s="126"/>
      <c r="P381" s="126"/>
      <c r="Q381" s="127"/>
      <c r="R381" s="126"/>
      <c r="S381" s="126"/>
      <c r="T381" s="127"/>
      <c r="U381" s="126"/>
      <c r="V381" s="126"/>
      <c r="W381" s="127"/>
      <c r="X381" s="126"/>
      <c r="Y381" s="126"/>
      <c r="Z381" s="127"/>
      <c r="AA381" s="126"/>
      <c r="AB381" s="126"/>
      <c r="AC381" s="127"/>
      <c r="AD381" s="126"/>
      <c r="AE381" s="126"/>
      <c r="AF381" s="126"/>
      <c r="AG381" s="127"/>
      <c r="AH381" s="126"/>
      <c r="AI381" s="126"/>
      <c r="AJ381" s="127"/>
      <c r="AK381" s="126"/>
      <c r="AL381" s="126"/>
      <c r="AM381" s="127"/>
      <c r="AN381" s="126"/>
      <c r="AO381" s="126"/>
      <c r="AP381" s="127"/>
      <c r="AQ381" s="126"/>
      <c r="AR381" s="126"/>
      <c r="AS381" s="127"/>
      <c r="AT381" s="126"/>
      <c r="AU381" s="126"/>
      <c r="AV381" s="127"/>
      <c r="AW381" s="126"/>
      <c r="AX381" s="126"/>
      <c r="AY381" s="127"/>
      <c r="AZ381" s="126"/>
      <c r="BA381" s="126"/>
      <c r="BB381" s="127"/>
      <c r="BC381" s="126"/>
      <c r="BD381" s="134"/>
      <c r="BE381" s="127"/>
      <c r="BF381" s="126"/>
      <c r="BG381" s="126"/>
      <c r="BH381" s="126"/>
      <c r="BI381" s="126"/>
      <c r="BJ381" s="126"/>
      <c r="BK381" s="126"/>
      <c r="BL381" s="126"/>
      <c r="BM381" s="126"/>
      <c r="BN381" s="126"/>
      <c r="BO381" s="126"/>
      <c r="BP381" s="126"/>
      <c r="BQ381" s="126"/>
      <c r="BR381" s="126"/>
      <c r="BS381" s="126"/>
      <c r="BT381" s="126"/>
      <c r="BU381" s="126"/>
      <c r="BV381" s="126"/>
      <c r="BW381" s="126"/>
      <c r="BX381" s="126"/>
    </row>
    <row r="382">
      <c r="A382" s="126"/>
      <c r="B382" s="126"/>
      <c r="C382" s="127"/>
      <c r="D382" s="126"/>
      <c r="E382" s="126"/>
      <c r="F382" s="127"/>
      <c r="G382" s="126"/>
      <c r="H382" s="127"/>
      <c r="I382" s="126"/>
      <c r="J382" s="126"/>
      <c r="K382" s="127"/>
      <c r="L382" s="126"/>
      <c r="M382" s="126"/>
      <c r="N382" s="127"/>
      <c r="O382" s="126"/>
      <c r="P382" s="126"/>
      <c r="Q382" s="127"/>
      <c r="R382" s="126"/>
      <c r="S382" s="126"/>
      <c r="T382" s="127"/>
      <c r="U382" s="126"/>
      <c r="V382" s="126"/>
      <c r="W382" s="127"/>
      <c r="X382" s="126"/>
      <c r="Y382" s="126"/>
      <c r="Z382" s="127"/>
      <c r="AA382" s="126"/>
      <c r="AB382" s="126"/>
      <c r="AC382" s="127"/>
      <c r="AD382" s="126"/>
      <c r="AE382" s="126"/>
      <c r="AF382" s="126"/>
      <c r="AG382" s="127"/>
      <c r="AH382" s="126"/>
      <c r="AI382" s="126"/>
      <c r="AJ382" s="127"/>
      <c r="AK382" s="126"/>
      <c r="AL382" s="126"/>
      <c r="AM382" s="127"/>
      <c r="AN382" s="126"/>
      <c r="AO382" s="126"/>
      <c r="AP382" s="127"/>
      <c r="AQ382" s="126"/>
      <c r="AR382" s="126"/>
      <c r="AS382" s="127"/>
      <c r="AT382" s="126"/>
      <c r="AU382" s="126"/>
      <c r="AV382" s="127"/>
      <c r="AW382" s="126"/>
      <c r="AX382" s="126"/>
      <c r="AY382" s="127"/>
      <c r="AZ382" s="126"/>
      <c r="BA382" s="126"/>
      <c r="BB382" s="127"/>
      <c r="BC382" s="126"/>
      <c r="BD382" s="134"/>
      <c r="BE382" s="127"/>
      <c r="BF382" s="126"/>
      <c r="BG382" s="126"/>
      <c r="BH382" s="126"/>
      <c r="BI382" s="126"/>
      <c r="BJ382" s="126"/>
      <c r="BK382" s="126"/>
      <c r="BL382" s="126"/>
      <c r="BM382" s="126"/>
      <c r="BN382" s="126"/>
      <c r="BO382" s="126"/>
      <c r="BP382" s="126"/>
      <c r="BQ382" s="126"/>
      <c r="BR382" s="126"/>
      <c r="BS382" s="126"/>
      <c r="BT382" s="126"/>
      <c r="BU382" s="126"/>
      <c r="BV382" s="126"/>
      <c r="BW382" s="126"/>
      <c r="BX382" s="126"/>
    </row>
    <row r="383">
      <c r="A383" s="126"/>
      <c r="B383" s="126"/>
      <c r="C383" s="127"/>
      <c r="D383" s="126"/>
      <c r="E383" s="126"/>
      <c r="F383" s="127"/>
      <c r="G383" s="126"/>
      <c r="H383" s="127"/>
      <c r="I383" s="126"/>
      <c r="J383" s="126"/>
      <c r="K383" s="127"/>
      <c r="L383" s="126"/>
      <c r="M383" s="126"/>
      <c r="N383" s="127"/>
      <c r="O383" s="126"/>
      <c r="P383" s="126"/>
      <c r="Q383" s="127"/>
      <c r="R383" s="126"/>
      <c r="S383" s="126"/>
      <c r="T383" s="127"/>
      <c r="U383" s="126"/>
      <c r="V383" s="126"/>
      <c r="W383" s="127"/>
      <c r="X383" s="126"/>
      <c r="Y383" s="126"/>
      <c r="Z383" s="127"/>
      <c r="AA383" s="126"/>
      <c r="AB383" s="126"/>
      <c r="AC383" s="127"/>
      <c r="AD383" s="126"/>
      <c r="AE383" s="126"/>
      <c r="AF383" s="126"/>
      <c r="AG383" s="127"/>
      <c r="AH383" s="126"/>
      <c r="AI383" s="126"/>
      <c r="AJ383" s="127"/>
      <c r="AK383" s="126"/>
      <c r="AL383" s="126"/>
      <c r="AM383" s="127"/>
      <c r="AN383" s="126"/>
      <c r="AO383" s="126"/>
      <c r="AP383" s="127"/>
      <c r="AQ383" s="126"/>
      <c r="AR383" s="126"/>
      <c r="AS383" s="127"/>
      <c r="AT383" s="126"/>
      <c r="AU383" s="126"/>
      <c r="AV383" s="127"/>
      <c r="AW383" s="126"/>
      <c r="AX383" s="126"/>
      <c r="AY383" s="127"/>
      <c r="AZ383" s="126"/>
      <c r="BA383" s="126"/>
      <c r="BB383" s="127"/>
      <c r="BC383" s="126"/>
      <c r="BD383" s="134"/>
      <c r="BE383" s="127"/>
      <c r="BF383" s="126"/>
      <c r="BG383" s="126"/>
      <c r="BH383" s="126"/>
      <c r="BI383" s="126"/>
      <c r="BJ383" s="126"/>
      <c r="BK383" s="126"/>
      <c r="BL383" s="126"/>
      <c r="BM383" s="126"/>
      <c r="BN383" s="126"/>
      <c r="BO383" s="126"/>
      <c r="BP383" s="126"/>
      <c r="BQ383" s="126"/>
      <c r="BR383" s="126"/>
      <c r="BS383" s="126"/>
      <c r="BT383" s="126"/>
      <c r="BU383" s="126"/>
      <c r="BV383" s="126"/>
      <c r="BW383" s="126"/>
      <c r="BX383" s="126"/>
    </row>
    <row r="384">
      <c r="A384" s="126"/>
      <c r="B384" s="126"/>
      <c r="C384" s="127"/>
      <c r="D384" s="126"/>
      <c r="E384" s="126"/>
      <c r="F384" s="127"/>
      <c r="G384" s="126"/>
      <c r="H384" s="127"/>
      <c r="I384" s="126"/>
      <c r="J384" s="126"/>
      <c r="K384" s="127"/>
      <c r="L384" s="126"/>
      <c r="M384" s="126"/>
      <c r="N384" s="127"/>
      <c r="O384" s="126"/>
      <c r="P384" s="126"/>
      <c r="Q384" s="127"/>
      <c r="R384" s="126"/>
      <c r="S384" s="126"/>
      <c r="T384" s="127"/>
      <c r="U384" s="126"/>
      <c r="V384" s="126"/>
      <c r="W384" s="127"/>
      <c r="X384" s="126"/>
      <c r="Y384" s="126"/>
      <c r="Z384" s="127"/>
      <c r="AA384" s="126"/>
      <c r="AB384" s="126"/>
      <c r="AC384" s="127"/>
      <c r="AD384" s="126"/>
      <c r="AE384" s="126"/>
      <c r="AF384" s="126"/>
      <c r="AG384" s="127"/>
      <c r="AH384" s="126"/>
      <c r="AI384" s="126"/>
      <c r="AJ384" s="127"/>
      <c r="AK384" s="126"/>
      <c r="AL384" s="126"/>
      <c r="AM384" s="127"/>
      <c r="AN384" s="126"/>
      <c r="AO384" s="126"/>
      <c r="AP384" s="127"/>
      <c r="AQ384" s="126"/>
      <c r="AR384" s="126"/>
      <c r="AS384" s="127"/>
      <c r="AT384" s="126"/>
      <c r="AU384" s="126"/>
      <c r="AV384" s="127"/>
      <c r="AW384" s="126"/>
      <c r="AX384" s="126"/>
      <c r="AY384" s="127"/>
      <c r="AZ384" s="126"/>
      <c r="BA384" s="126"/>
      <c r="BB384" s="127"/>
      <c r="BC384" s="126"/>
      <c r="BD384" s="134"/>
      <c r="BE384" s="127"/>
      <c r="BF384" s="126"/>
      <c r="BG384" s="126"/>
      <c r="BH384" s="126"/>
      <c r="BI384" s="126"/>
      <c r="BJ384" s="126"/>
      <c r="BK384" s="126"/>
      <c r="BL384" s="126"/>
      <c r="BM384" s="126"/>
      <c r="BN384" s="126"/>
      <c r="BO384" s="126"/>
      <c r="BP384" s="126"/>
      <c r="BQ384" s="126"/>
      <c r="BR384" s="126"/>
      <c r="BS384" s="126"/>
      <c r="BT384" s="126"/>
      <c r="BU384" s="126"/>
      <c r="BV384" s="126"/>
      <c r="BW384" s="126"/>
      <c r="BX384" s="126"/>
    </row>
    <row r="385">
      <c r="A385" s="126"/>
      <c r="B385" s="126"/>
      <c r="C385" s="127"/>
      <c r="D385" s="126"/>
      <c r="E385" s="126"/>
      <c r="F385" s="127"/>
      <c r="G385" s="126"/>
      <c r="H385" s="127"/>
      <c r="I385" s="126"/>
      <c r="J385" s="126"/>
      <c r="K385" s="127"/>
      <c r="L385" s="126"/>
      <c r="M385" s="126"/>
      <c r="N385" s="127"/>
      <c r="O385" s="126"/>
      <c r="P385" s="126"/>
      <c r="Q385" s="127"/>
      <c r="R385" s="126"/>
      <c r="S385" s="126"/>
      <c r="T385" s="127"/>
      <c r="U385" s="126"/>
      <c r="V385" s="126"/>
      <c r="W385" s="127"/>
      <c r="X385" s="126"/>
      <c r="Y385" s="126"/>
      <c r="Z385" s="127"/>
      <c r="AA385" s="126"/>
      <c r="AB385" s="126"/>
      <c r="AC385" s="127"/>
      <c r="AD385" s="126"/>
      <c r="AE385" s="126"/>
      <c r="AF385" s="126"/>
      <c r="AG385" s="127"/>
      <c r="AH385" s="126"/>
      <c r="AI385" s="126"/>
      <c r="AJ385" s="127"/>
      <c r="AK385" s="126"/>
      <c r="AL385" s="126"/>
      <c r="AM385" s="127"/>
      <c r="AN385" s="126"/>
      <c r="AO385" s="126"/>
      <c r="AP385" s="127"/>
      <c r="AQ385" s="126"/>
      <c r="AR385" s="126"/>
      <c r="AS385" s="127"/>
      <c r="AT385" s="126"/>
      <c r="AU385" s="126"/>
      <c r="AV385" s="127"/>
      <c r="AW385" s="126"/>
      <c r="AX385" s="126"/>
      <c r="AY385" s="127"/>
      <c r="AZ385" s="126"/>
      <c r="BA385" s="126"/>
      <c r="BB385" s="127"/>
      <c r="BC385" s="126"/>
      <c r="BD385" s="134"/>
      <c r="BE385" s="127"/>
      <c r="BF385" s="126"/>
      <c r="BG385" s="126"/>
      <c r="BH385" s="126"/>
      <c r="BI385" s="126"/>
      <c r="BJ385" s="126"/>
      <c r="BK385" s="126"/>
      <c r="BL385" s="126"/>
      <c r="BM385" s="126"/>
      <c r="BN385" s="126"/>
      <c r="BO385" s="126"/>
      <c r="BP385" s="126"/>
      <c r="BQ385" s="126"/>
      <c r="BR385" s="126"/>
      <c r="BS385" s="126"/>
      <c r="BT385" s="126"/>
      <c r="BU385" s="126"/>
      <c r="BV385" s="126"/>
      <c r="BW385" s="126"/>
      <c r="BX385" s="126"/>
    </row>
    <row r="386">
      <c r="A386" s="126"/>
      <c r="B386" s="126"/>
      <c r="C386" s="127"/>
      <c r="D386" s="126"/>
      <c r="E386" s="126"/>
      <c r="F386" s="127"/>
      <c r="G386" s="126"/>
      <c r="H386" s="127"/>
      <c r="I386" s="126"/>
      <c r="J386" s="126"/>
      <c r="K386" s="127"/>
      <c r="L386" s="126"/>
      <c r="M386" s="126"/>
      <c r="N386" s="127"/>
      <c r="O386" s="126"/>
      <c r="P386" s="126"/>
      <c r="Q386" s="127"/>
      <c r="R386" s="126"/>
      <c r="S386" s="126"/>
      <c r="T386" s="127"/>
      <c r="U386" s="126"/>
      <c r="V386" s="126"/>
      <c r="W386" s="127"/>
      <c r="X386" s="126"/>
      <c r="Y386" s="126"/>
      <c r="Z386" s="127"/>
      <c r="AA386" s="126"/>
      <c r="AB386" s="126"/>
      <c r="AC386" s="127"/>
      <c r="AD386" s="126"/>
      <c r="AE386" s="126"/>
      <c r="AF386" s="126"/>
      <c r="AG386" s="127"/>
      <c r="AH386" s="126"/>
      <c r="AI386" s="126"/>
      <c r="AJ386" s="127"/>
      <c r="AK386" s="126"/>
      <c r="AL386" s="126"/>
      <c r="AM386" s="127"/>
      <c r="AN386" s="126"/>
      <c r="AO386" s="126"/>
      <c r="AP386" s="127"/>
      <c r="AQ386" s="126"/>
      <c r="AR386" s="126"/>
      <c r="AS386" s="127"/>
      <c r="AT386" s="126"/>
      <c r="AU386" s="126"/>
      <c r="AV386" s="127"/>
      <c r="AW386" s="126"/>
      <c r="AX386" s="126"/>
      <c r="AY386" s="127"/>
      <c r="AZ386" s="126"/>
      <c r="BA386" s="126"/>
      <c r="BB386" s="127"/>
      <c r="BC386" s="126"/>
      <c r="BD386" s="134"/>
      <c r="BE386" s="127"/>
      <c r="BF386" s="126"/>
      <c r="BG386" s="126"/>
      <c r="BH386" s="126"/>
      <c r="BI386" s="126"/>
      <c r="BJ386" s="126"/>
      <c r="BK386" s="126"/>
      <c r="BL386" s="126"/>
      <c r="BM386" s="126"/>
      <c r="BN386" s="126"/>
      <c r="BO386" s="126"/>
      <c r="BP386" s="126"/>
      <c r="BQ386" s="126"/>
      <c r="BR386" s="126"/>
      <c r="BS386" s="126"/>
      <c r="BT386" s="126"/>
      <c r="BU386" s="126"/>
      <c r="BV386" s="126"/>
      <c r="BW386" s="126"/>
      <c r="BX386" s="126"/>
    </row>
    <row r="387">
      <c r="A387" s="126"/>
      <c r="B387" s="126"/>
      <c r="C387" s="127"/>
      <c r="D387" s="126"/>
      <c r="E387" s="126"/>
      <c r="F387" s="127"/>
      <c r="G387" s="126"/>
      <c r="H387" s="127"/>
      <c r="I387" s="126"/>
      <c r="J387" s="126"/>
      <c r="K387" s="127"/>
      <c r="L387" s="126"/>
      <c r="M387" s="126"/>
      <c r="N387" s="127"/>
      <c r="O387" s="126"/>
      <c r="P387" s="126"/>
      <c r="Q387" s="127"/>
      <c r="R387" s="126"/>
      <c r="S387" s="126"/>
      <c r="T387" s="127"/>
      <c r="U387" s="126"/>
      <c r="V387" s="126"/>
      <c r="W387" s="127"/>
      <c r="X387" s="126"/>
      <c r="Y387" s="126"/>
      <c r="Z387" s="127"/>
      <c r="AA387" s="126"/>
      <c r="AB387" s="126"/>
      <c r="AC387" s="127"/>
      <c r="AD387" s="126"/>
      <c r="AE387" s="126"/>
      <c r="AF387" s="126"/>
      <c r="AG387" s="127"/>
      <c r="AH387" s="126"/>
      <c r="AI387" s="126"/>
      <c r="AJ387" s="127"/>
      <c r="AK387" s="126"/>
      <c r="AL387" s="126"/>
      <c r="AM387" s="127"/>
      <c r="AN387" s="126"/>
      <c r="AO387" s="126"/>
      <c r="AP387" s="127"/>
      <c r="AQ387" s="126"/>
      <c r="AR387" s="126"/>
      <c r="AS387" s="127"/>
      <c r="AT387" s="126"/>
      <c r="AU387" s="126"/>
      <c r="AV387" s="127"/>
      <c r="AW387" s="126"/>
      <c r="AX387" s="126"/>
      <c r="AY387" s="127"/>
      <c r="AZ387" s="126"/>
      <c r="BA387" s="126"/>
      <c r="BB387" s="127"/>
      <c r="BC387" s="126"/>
      <c r="BD387" s="134"/>
      <c r="BE387" s="127"/>
      <c r="BF387" s="126"/>
      <c r="BG387" s="126"/>
      <c r="BH387" s="126"/>
      <c r="BI387" s="126"/>
      <c r="BJ387" s="126"/>
      <c r="BK387" s="126"/>
      <c r="BL387" s="126"/>
      <c r="BM387" s="126"/>
      <c r="BN387" s="126"/>
      <c r="BO387" s="126"/>
      <c r="BP387" s="126"/>
      <c r="BQ387" s="126"/>
      <c r="BR387" s="126"/>
      <c r="BS387" s="126"/>
      <c r="BT387" s="126"/>
      <c r="BU387" s="126"/>
      <c r="BV387" s="126"/>
      <c r="BW387" s="126"/>
      <c r="BX387" s="126"/>
    </row>
    <row r="388">
      <c r="A388" s="126"/>
      <c r="B388" s="126"/>
      <c r="C388" s="127"/>
      <c r="D388" s="126"/>
      <c r="E388" s="126"/>
      <c r="F388" s="127"/>
      <c r="G388" s="126"/>
      <c r="H388" s="127"/>
      <c r="I388" s="126"/>
      <c r="J388" s="126"/>
      <c r="K388" s="127"/>
      <c r="L388" s="126"/>
      <c r="M388" s="126"/>
      <c r="N388" s="127"/>
      <c r="O388" s="126"/>
      <c r="P388" s="126"/>
      <c r="Q388" s="127"/>
      <c r="R388" s="126"/>
      <c r="S388" s="126"/>
      <c r="T388" s="127"/>
      <c r="U388" s="126"/>
      <c r="V388" s="126"/>
      <c r="W388" s="127"/>
      <c r="X388" s="126"/>
      <c r="Y388" s="126"/>
      <c r="Z388" s="127"/>
      <c r="AA388" s="126"/>
      <c r="AB388" s="126"/>
      <c r="AC388" s="127"/>
      <c r="AD388" s="126"/>
      <c r="AE388" s="126"/>
      <c r="AF388" s="126"/>
      <c r="AG388" s="127"/>
      <c r="AH388" s="126"/>
      <c r="AI388" s="126"/>
      <c r="AJ388" s="127"/>
      <c r="AK388" s="126"/>
      <c r="AL388" s="126"/>
      <c r="AM388" s="127"/>
      <c r="AN388" s="126"/>
      <c r="AO388" s="126"/>
      <c r="AP388" s="127"/>
      <c r="AQ388" s="126"/>
      <c r="AR388" s="126"/>
      <c r="AS388" s="127"/>
      <c r="AT388" s="126"/>
      <c r="AU388" s="126"/>
      <c r="AV388" s="127"/>
      <c r="AW388" s="126"/>
      <c r="AX388" s="126"/>
      <c r="AY388" s="127"/>
      <c r="AZ388" s="126"/>
      <c r="BA388" s="126"/>
      <c r="BB388" s="127"/>
      <c r="BC388" s="126"/>
      <c r="BD388" s="134"/>
      <c r="BE388" s="127"/>
      <c r="BF388" s="126"/>
      <c r="BG388" s="126"/>
      <c r="BH388" s="126"/>
      <c r="BI388" s="126"/>
      <c r="BJ388" s="126"/>
      <c r="BK388" s="126"/>
      <c r="BL388" s="126"/>
      <c r="BM388" s="126"/>
      <c r="BN388" s="126"/>
      <c r="BO388" s="126"/>
      <c r="BP388" s="126"/>
      <c r="BQ388" s="126"/>
      <c r="BR388" s="126"/>
      <c r="BS388" s="126"/>
      <c r="BT388" s="126"/>
      <c r="BU388" s="126"/>
      <c r="BV388" s="126"/>
      <c r="BW388" s="126"/>
      <c r="BX388" s="126"/>
    </row>
    <row r="389">
      <c r="A389" s="126"/>
      <c r="B389" s="126"/>
      <c r="C389" s="127"/>
      <c r="D389" s="126"/>
      <c r="E389" s="126"/>
      <c r="F389" s="127"/>
      <c r="G389" s="126"/>
      <c r="H389" s="127"/>
      <c r="I389" s="126"/>
      <c r="J389" s="126"/>
      <c r="K389" s="127"/>
      <c r="L389" s="126"/>
      <c r="M389" s="126"/>
      <c r="N389" s="127"/>
      <c r="O389" s="126"/>
      <c r="P389" s="126"/>
      <c r="Q389" s="127"/>
      <c r="R389" s="126"/>
      <c r="S389" s="126"/>
      <c r="T389" s="127"/>
      <c r="U389" s="126"/>
      <c r="V389" s="126"/>
      <c r="W389" s="127"/>
      <c r="X389" s="126"/>
      <c r="Y389" s="126"/>
      <c r="Z389" s="127"/>
      <c r="AA389" s="126"/>
      <c r="AB389" s="126"/>
      <c r="AC389" s="127"/>
      <c r="AD389" s="126"/>
      <c r="AE389" s="126"/>
      <c r="AF389" s="126"/>
      <c r="AG389" s="127"/>
      <c r="AH389" s="126"/>
      <c r="AI389" s="126"/>
      <c r="AJ389" s="127"/>
      <c r="AK389" s="126"/>
      <c r="AL389" s="126"/>
      <c r="AM389" s="127"/>
      <c r="AN389" s="126"/>
      <c r="AO389" s="126"/>
      <c r="AP389" s="127"/>
      <c r="AQ389" s="126"/>
      <c r="AR389" s="126"/>
      <c r="AS389" s="127"/>
      <c r="AT389" s="126"/>
      <c r="AU389" s="126"/>
      <c r="AV389" s="127"/>
      <c r="AW389" s="126"/>
      <c r="AX389" s="126"/>
      <c r="AY389" s="127"/>
      <c r="AZ389" s="126"/>
      <c r="BA389" s="126"/>
      <c r="BB389" s="127"/>
      <c r="BC389" s="126"/>
      <c r="BD389" s="134"/>
      <c r="BE389" s="127"/>
      <c r="BF389" s="126"/>
      <c r="BG389" s="126"/>
      <c r="BH389" s="126"/>
      <c r="BI389" s="126"/>
      <c r="BJ389" s="126"/>
      <c r="BK389" s="126"/>
      <c r="BL389" s="126"/>
      <c r="BM389" s="126"/>
      <c r="BN389" s="126"/>
      <c r="BO389" s="126"/>
      <c r="BP389" s="126"/>
      <c r="BQ389" s="126"/>
      <c r="BR389" s="126"/>
      <c r="BS389" s="126"/>
      <c r="BT389" s="126"/>
      <c r="BU389" s="126"/>
      <c r="BV389" s="126"/>
      <c r="BW389" s="126"/>
      <c r="BX389" s="126"/>
    </row>
    <row r="390">
      <c r="A390" s="126"/>
      <c r="B390" s="126"/>
      <c r="C390" s="127"/>
      <c r="D390" s="126"/>
      <c r="E390" s="126"/>
      <c r="F390" s="127"/>
      <c r="G390" s="126"/>
      <c r="H390" s="127"/>
      <c r="I390" s="126"/>
      <c r="J390" s="126"/>
      <c r="K390" s="127"/>
      <c r="L390" s="126"/>
      <c r="M390" s="126"/>
      <c r="N390" s="127"/>
      <c r="O390" s="126"/>
      <c r="P390" s="126"/>
      <c r="Q390" s="127"/>
      <c r="R390" s="126"/>
      <c r="S390" s="126"/>
      <c r="T390" s="127"/>
      <c r="U390" s="126"/>
      <c r="V390" s="126"/>
      <c r="W390" s="127"/>
      <c r="X390" s="126"/>
      <c r="Y390" s="126"/>
      <c r="Z390" s="127"/>
      <c r="AA390" s="126"/>
      <c r="AB390" s="126"/>
      <c r="AC390" s="127"/>
      <c r="AD390" s="126"/>
      <c r="AE390" s="126"/>
      <c r="AF390" s="126"/>
      <c r="AG390" s="127"/>
      <c r="AH390" s="126"/>
      <c r="AI390" s="126"/>
      <c r="AJ390" s="127"/>
      <c r="AK390" s="126"/>
      <c r="AL390" s="126"/>
      <c r="AM390" s="127"/>
      <c r="AN390" s="126"/>
      <c r="AO390" s="126"/>
      <c r="AP390" s="127"/>
      <c r="AQ390" s="126"/>
      <c r="AR390" s="126"/>
      <c r="AS390" s="127"/>
      <c r="AT390" s="126"/>
      <c r="AU390" s="126"/>
      <c r="AV390" s="127"/>
      <c r="AW390" s="126"/>
      <c r="AX390" s="126"/>
      <c r="AY390" s="127"/>
      <c r="AZ390" s="126"/>
      <c r="BA390" s="126"/>
      <c r="BB390" s="127"/>
      <c r="BC390" s="126"/>
      <c r="BD390" s="134"/>
      <c r="BE390" s="127"/>
      <c r="BF390" s="126"/>
      <c r="BG390" s="126"/>
      <c r="BH390" s="126"/>
      <c r="BI390" s="126"/>
      <c r="BJ390" s="126"/>
      <c r="BK390" s="126"/>
      <c r="BL390" s="126"/>
      <c r="BM390" s="126"/>
      <c r="BN390" s="126"/>
      <c r="BO390" s="126"/>
      <c r="BP390" s="126"/>
      <c r="BQ390" s="126"/>
      <c r="BR390" s="126"/>
      <c r="BS390" s="126"/>
      <c r="BT390" s="126"/>
      <c r="BU390" s="126"/>
      <c r="BV390" s="126"/>
      <c r="BW390" s="126"/>
      <c r="BX390" s="126"/>
    </row>
    <row r="391">
      <c r="A391" s="126"/>
      <c r="B391" s="126"/>
      <c r="C391" s="127"/>
      <c r="D391" s="126"/>
      <c r="E391" s="126"/>
      <c r="F391" s="127"/>
      <c r="G391" s="126"/>
      <c r="H391" s="127"/>
      <c r="I391" s="126"/>
      <c r="J391" s="126"/>
      <c r="K391" s="127"/>
      <c r="L391" s="126"/>
      <c r="M391" s="126"/>
      <c r="N391" s="127"/>
      <c r="O391" s="126"/>
      <c r="P391" s="126"/>
      <c r="Q391" s="127"/>
      <c r="R391" s="126"/>
      <c r="S391" s="126"/>
      <c r="T391" s="127"/>
      <c r="U391" s="126"/>
      <c r="V391" s="126"/>
      <c r="W391" s="127"/>
      <c r="X391" s="126"/>
      <c r="Y391" s="126"/>
      <c r="Z391" s="127"/>
      <c r="AA391" s="126"/>
      <c r="AB391" s="126"/>
      <c r="AC391" s="127"/>
      <c r="AD391" s="126"/>
      <c r="AE391" s="126"/>
      <c r="AF391" s="126"/>
      <c r="AG391" s="127"/>
      <c r="AH391" s="126"/>
      <c r="AI391" s="126"/>
      <c r="AJ391" s="127"/>
      <c r="AK391" s="126"/>
      <c r="AL391" s="126"/>
      <c r="AM391" s="127"/>
      <c r="AN391" s="126"/>
      <c r="AO391" s="126"/>
      <c r="AP391" s="127"/>
      <c r="AQ391" s="126"/>
      <c r="AR391" s="126"/>
      <c r="AS391" s="127"/>
      <c r="AT391" s="126"/>
      <c r="AU391" s="126"/>
      <c r="AV391" s="127"/>
      <c r="AW391" s="126"/>
      <c r="AX391" s="126"/>
      <c r="AY391" s="127"/>
      <c r="AZ391" s="126"/>
      <c r="BA391" s="126"/>
      <c r="BB391" s="127"/>
      <c r="BC391" s="126"/>
      <c r="BD391" s="134"/>
      <c r="BE391" s="127"/>
      <c r="BF391" s="126"/>
      <c r="BG391" s="126"/>
      <c r="BH391" s="126"/>
      <c r="BI391" s="126"/>
      <c r="BJ391" s="126"/>
      <c r="BK391" s="126"/>
      <c r="BL391" s="126"/>
      <c r="BM391" s="126"/>
      <c r="BN391" s="126"/>
      <c r="BO391" s="126"/>
      <c r="BP391" s="126"/>
      <c r="BQ391" s="126"/>
      <c r="BR391" s="126"/>
      <c r="BS391" s="126"/>
      <c r="BT391" s="126"/>
      <c r="BU391" s="126"/>
      <c r="BV391" s="126"/>
      <c r="BW391" s="126"/>
      <c r="BX391" s="126"/>
    </row>
    <row r="392">
      <c r="A392" s="126"/>
      <c r="B392" s="126"/>
      <c r="C392" s="127"/>
      <c r="D392" s="126"/>
      <c r="E392" s="126"/>
      <c r="F392" s="127"/>
      <c r="G392" s="126"/>
      <c r="H392" s="127"/>
      <c r="I392" s="126"/>
      <c r="J392" s="126"/>
      <c r="K392" s="127"/>
      <c r="L392" s="126"/>
      <c r="M392" s="126"/>
      <c r="N392" s="127"/>
      <c r="O392" s="126"/>
      <c r="P392" s="126"/>
      <c r="Q392" s="127"/>
      <c r="R392" s="126"/>
      <c r="S392" s="126"/>
      <c r="T392" s="127"/>
      <c r="U392" s="126"/>
      <c r="V392" s="126"/>
      <c r="W392" s="127"/>
      <c r="X392" s="126"/>
      <c r="Y392" s="126"/>
      <c r="Z392" s="127"/>
      <c r="AA392" s="126"/>
      <c r="AB392" s="126"/>
      <c r="AC392" s="127"/>
      <c r="AD392" s="126"/>
      <c r="AE392" s="126"/>
      <c r="AF392" s="126"/>
      <c r="AG392" s="127"/>
      <c r="AH392" s="126"/>
      <c r="AI392" s="126"/>
      <c r="AJ392" s="127"/>
      <c r="AK392" s="126"/>
      <c r="AL392" s="126"/>
      <c r="AM392" s="127"/>
      <c r="AN392" s="126"/>
      <c r="AO392" s="126"/>
      <c r="AP392" s="127"/>
      <c r="AQ392" s="126"/>
      <c r="AR392" s="126"/>
      <c r="AS392" s="127"/>
      <c r="AT392" s="126"/>
      <c r="AU392" s="126"/>
      <c r="AV392" s="127"/>
      <c r="AW392" s="126"/>
      <c r="AX392" s="126"/>
      <c r="AY392" s="127"/>
      <c r="AZ392" s="126"/>
      <c r="BA392" s="126"/>
      <c r="BB392" s="127"/>
      <c r="BC392" s="126"/>
      <c r="BD392" s="134"/>
      <c r="BE392" s="127"/>
      <c r="BF392" s="126"/>
      <c r="BG392" s="126"/>
      <c r="BH392" s="126"/>
      <c r="BI392" s="126"/>
      <c r="BJ392" s="126"/>
      <c r="BK392" s="126"/>
      <c r="BL392" s="126"/>
      <c r="BM392" s="126"/>
      <c r="BN392" s="126"/>
      <c r="BO392" s="126"/>
      <c r="BP392" s="126"/>
      <c r="BQ392" s="126"/>
      <c r="BR392" s="126"/>
      <c r="BS392" s="126"/>
      <c r="BT392" s="126"/>
      <c r="BU392" s="126"/>
      <c r="BV392" s="126"/>
      <c r="BW392" s="126"/>
      <c r="BX392" s="126"/>
    </row>
    <row r="393">
      <c r="A393" s="126"/>
      <c r="B393" s="126"/>
      <c r="C393" s="127"/>
      <c r="D393" s="126"/>
      <c r="E393" s="126"/>
      <c r="F393" s="127"/>
      <c r="G393" s="126"/>
      <c r="H393" s="127"/>
      <c r="I393" s="126"/>
      <c r="J393" s="126"/>
      <c r="K393" s="127"/>
      <c r="L393" s="126"/>
      <c r="M393" s="126"/>
      <c r="N393" s="127"/>
      <c r="O393" s="126"/>
      <c r="P393" s="126"/>
      <c r="Q393" s="127"/>
      <c r="R393" s="126"/>
      <c r="S393" s="126"/>
      <c r="T393" s="127"/>
      <c r="U393" s="126"/>
      <c r="V393" s="126"/>
      <c r="W393" s="127"/>
      <c r="X393" s="126"/>
      <c r="Y393" s="126"/>
      <c r="Z393" s="127"/>
      <c r="AA393" s="126"/>
      <c r="AB393" s="126"/>
      <c r="AC393" s="127"/>
      <c r="AD393" s="126"/>
      <c r="AE393" s="126"/>
      <c r="AF393" s="126"/>
      <c r="AG393" s="127"/>
      <c r="AH393" s="126"/>
      <c r="AI393" s="126"/>
      <c r="AJ393" s="127"/>
      <c r="AK393" s="126"/>
      <c r="AL393" s="126"/>
      <c r="AM393" s="127"/>
      <c r="AN393" s="126"/>
      <c r="AO393" s="126"/>
      <c r="AP393" s="127"/>
      <c r="AQ393" s="126"/>
      <c r="AR393" s="126"/>
      <c r="AS393" s="127"/>
      <c r="AT393" s="126"/>
      <c r="AU393" s="126"/>
      <c r="AV393" s="127"/>
      <c r="AW393" s="126"/>
      <c r="AX393" s="126"/>
      <c r="AY393" s="127"/>
      <c r="AZ393" s="126"/>
      <c r="BA393" s="126"/>
      <c r="BB393" s="127"/>
      <c r="BC393" s="126"/>
      <c r="BD393" s="134"/>
      <c r="BE393" s="127"/>
      <c r="BF393" s="126"/>
      <c r="BG393" s="126"/>
      <c r="BH393" s="126"/>
      <c r="BI393" s="126"/>
      <c r="BJ393" s="126"/>
      <c r="BK393" s="126"/>
      <c r="BL393" s="126"/>
      <c r="BM393" s="126"/>
      <c r="BN393" s="126"/>
      <c r="BO393" s="126"/>
      <c r="BP393" s="126"/>
      <c r="BQ393" s="126"/>
      <c r="BR393" s="126"/>
      <c r="BS393" s="126"/>
      <c r="BT393" s="126"/>
      <c r="BU393" s="126"/>
      <c r="BV393" s="126"/>
      <c r="BW393" s="126"/>
      <c r="BX393" s="126"/>
    </row>
    <row r="394">
      <c r="A394" s="126"/>
      <c r="B394" s="126"/>
      <c r="C394" s="127"/>
      <c r="D394" s="126"/>
      <c r="E394" s="126"/>
      <c r="F394" s="127"/>
      <c r="G394" s="126"/>
      <c r="H394" s="127"/>
      <c r="I394" s="126"/>
      <c r="J394" s="126"/>
      <c r="K394" s="127"/>
      <c r="L394" s="126"/>
      <c r="M394" s="126"/>
      <c r="N394" s="127"/>
      <c r="O394" s="126"/>
      <c r="P394" s="126"/>
      <c r="Q394" s="127"/>
      <c r="R394" s="126"/>
      <c r="S394" s="126"/>
      <c r="T394" s="127"/>
      <c r="U394" s="126"/>
      <c r="V394" s="126"/>
      <c r="W394" s="127"/>
      <c r="X394" s="126"/>
      <c r="Y394" s="126"/>
      <c r="Z394" s="127"/>
      <c r="AA394" s="126"/>
      <c r="AB394" s="126"/>
      <c r="AC394" s="127"/>
      <c r="AD394" s="126"/>
      <c r="AE394" s="126"/>
      <c r="AF394" s="126"/>
      <c r="AG394" s="127"/>
      <c r="AH394" s="126"/>
      <c r="AI394" s="126"/>
      <c r="AJ394" s="127"/>
      <c r="AK394" s="126"/>
      <c r="AL394" s="126"/>
      <c r="AM394" s="127"/>
      <c r="AN394" s="126"/>
      <c r="AO394" s="126"/>
      <c r="AP394" s="127"/>
      <c r="AQ394" s="126"/>
      <c r="AR394" s="126"/>
      <c r="AS394" s="127"/>
      <c r="AT394" s="126"/>
      <c r="AU394" s="126"/>
      <c r="AV394" s="127"/>
      <c r="AW394" s="126"/>
      <c r="AX394" s="126"/>
      <c r="AY394" s="127"/>
      <c r="AZ394" s="126"/>
      <c r="BA394" s="126"/>
      <c r="BB394" s="127"/>
      <c r="BC394" s="126"/>
      <c r="BD394" s="134"/>
      <c r="BE394" s="127"/>
      <c r="BF394" s="126"/>
      <c r="BG394" s="126"/>
      <c r="BH394" s="126"/>
      <c r="BI394" s="126"/>
      <c r="BJ394" s="126"/>
      <c r="BK394" s="126"/>
      <c r="BL394" s="126"/>
      <c r="BM394" s="126"/>
      <c r="BN394" s="126"/>
      <c r="BO394" s="126"/>
      <c r="BP394" s="126"/>
      <c r="BQ394" s="126"/>
      <c r="BR394" s="126"/>
      <c r="BS394" s="126"/>
      <c r="BT394" s="126"/>
      <c r="BU394" s="126"/>
      <c r="BV394" s="126"/>
      <c r="BW394" s="126"/>
      <c r="BX394" s="126"/>
    </row>
    <row r="395">
      <c r="A395" s="126"/>
      <c r="B395" s="126"/>
      <c r="C395" s="127"/>
      <c r="D395" s="126"/>
      <c r="E395" s="126"/>
      <c r="F395" s="127"/>
      <c r="G395" s="126"/>
      <c r="H395" s="127"/>
      <c r="I395" s="126"/>
      <c r="J395" s="126"/>
      <c r="K395" s="127"/>
      <c r="L395" s="126"/>
      <c r="M395" s="126"/>
      <c r="N395" s="127"/>
      <c r="O395" s="126"/>
      <c r="P395" s="126"/>
      <c r="Q395" s="127"/>
      <c r="R395" s="126"/>
      <c r="S395" s="126"/>
      <c r="T395" s="127"/>
      <c r="U395" s="126"/>
      <c r="V395" s="126"/>
      <c r="W395" s="127"/>
      <c r="X395" s="126"/>
      <c r="Y395" s="126"/>
      <c r="Z395" s="127"/>
      <c r="AA395" s="126"/>
      <c r="AB395" s="126"/>
      <c r="AC395" s="127"/>
      <c r="AD395" s="126"/>
      <c r="AE395" s="126"/>
      <c r="AF395" s="126"/>
      <c r="AG395" s="127"/>
      <c r="AH395" s="126"/>
      <c r="AI395" s="126"/>
      <c r="AJ395" s="127"/>
      <c r="AK395" s="126"/>
      <c r="AL395" s="126"/>
      <c r="AM395" s="127"/>
      <c r="AN395" s="126"/>
      <c r="AO395" s="126"/>
      <c r="AP395" s="127"/>
      <c r="AQ395" s="126"/>
      <c r="AR395" s="126"/>
      <c r="AS395" s="127"/>
      <c r="AT395" s="126"/>
      <c r="AU395" s="126"/>
      <c r="AV395" s="127"/>
      <c r="AW395" s="126"/>
      <c r="AX395" s="126"/>
      <c r="AY395" s="127"/>
      <c r="AZ395" s="126"/>
      <c r="BA395" s="126"/>
      <c r="BB395" s="127"/>
      <c r="BC395" s="126"/>
      <c r="BD395" s="134"/>
      <c r="BE395" s="127"/>
      <c r="BF395" s="126"/>
      <c r="BG395" s="126"/>
      <c r="BH395" s="126"/>
      <c r="BI395" s="126"/>
      <c r="BJ395" s="126"/>
      <c r="BK395" s="126"/>
      <c r="BL395" s="126"/>
      <c r="BM395" s="126"/>
      <c r="BN395" s="126"/>
      <c r="BO395" s="126"/>
      <c r="BP395" s="126"/>
      <c r="BQ395" s="126"/>
      <c r="BR395" s="126"/>
      <c r="BS395" s="126"/>
      <c r="BT395" s="126"/>
      <c r="BU395" s="126"/>
      <c r="BV395" s="126"/>
      <c r="BW395" s="126"/>
      <c r="BX395" s="126"/>
    </row>
    <row r="396">
      <c r="A396" s="126"/>
      <c r="B396" s="126"/>
      <c r="C396" s="127"/>
      <c r="D396" s="126"/>
      <c r="E396" s="126"/>
      <c r="F396" s="127"/>
      <c r="G396" s="126"/>
      <c r="H396" s="127"/>
      <c r="I396" s="126"/>
      <c r="J396" s="126"/>
      <c r="K396" s="127"/>
      <c r="L396" s="126"/>
      <c r="M396" s="126"/>
      <c r="N396" s="127"/>
      <c r="O396" s="126"/>
      <c r="P396" s="126"/>
      <c r="Q396" s="127"/>
      <c r="R396" s="126"/>
      <c r="S396" s="126"/>
      <c r="T396" s="127"/>
      <c r="U396" s="126"/>
      <c r="V396" s="126"/>
      <c r="W396" s="127"/>
      <c r="X396" s="126"/>
      <c r="Y396" s="126"/>
      <c r="Z396" s="127"/>
      <c r="AA396" s="126"/>
      <c r="AB396" s="126"/>
      <c r="AC396" s="127"/>
      <c r="AD396" s="126"/>
      <c r="AE396" s="126"/>
      <c r="AF396" s="126"/>
      <c r="AG396" s="127"/>
      <c r="AH396" s="126"/>
      <c r="AI396" s="126"/>
      <c r="AJ396" s="127"/>
      <c r="AK396" s="126"/>
      <c r="AL396" s="126"/>
      <c r="AM396" s="127"/>
      <c r="AN396" s="126"/>
      <c r="AO396" s="126"/>
      <c r="AP396" s="127"/>
      <c r="AQ396" s="126"/>
      <c r="AR396" s="126"/>
      <c r="AS396" s="127"/>
      <c r="AT396" s="126"/>
      <c r="AU396" s="126"/>
      <c r="AV396" s="127"/>
      <c r="AW396" s="126"/>
      <c r="AX396" s="126"/>
      <c r="AY396" s="127"/>
      <c r="AZ396" s="126"/>
      <c r="BA396" s="126"/>
      <c r="BB396" s="127"/>
      <c r="BC396" s="126"/>
      <c r="BD396" s="134"/>
      <c r="BE396" s="127"/>
      <c r="BF396" s="126"/>
      <c r="BG396" s="126"/>
      <c r="BH396" s="126"/>
      <c r="BI396" s="126"/>
      <c r="BJ396" s="126"/>
      <c r="BK396" s="126"/>
      <c r="BL396" s="126"/>
      <c r="BM396" s="126"/>
      <c r="BN396" s="126"/>
      <c r="BO396" s="126"/>
      <c r="BP396" s="126"/>
      <c r="BQ396" s="126"/>
      <c r="BR396" s="126"/>
      <c r="BS396" s="126"/>
      <c r="BT396" s="126"/>
      <c r="BU396" s="126"/>
      <c r="BV396" s="126"/>
      <c r="BW396" s="126"/>
      <c r="BX396" s="126"/>
    </row>
    <row r="397">
      <c r="A397" s="126"/>
      <c r="B397" s="126"/>
      <c r="C397" s="127"/>
      <c r="D397" s="126"/>
      <c r="E397" s="126"/>
      <c r="F397" s="127"/>
      <c r="G397" s="126"/>
      <c r="H397" s="127"/>
      <c r="I397" s="126"/>
      <c r="J397" s="126"/>
      <c r="K397" s="127"/>
      <c r="L397" s="126"/>
      <c r="M397" s="126"/>
      <c r="N397" s="127"/>
      <c r="O397" s="126"/>
      <c r="P397" s="126"/>
      <c r="Q397" s="127"/>
      <c r="R397" s="126"/>
      <c r="S397" s="126"/>
      <c r="T397" s="127"/>
      <c r="U397" s="126"/>
      <c r="V397" s="126"/>
      <c r="W397" s="127"/>
      <c r="X397" s="126"/>
      <c r="Y397" s="126"/>
      <c r="Z397" s="127"/>
      <c r="AA397" s="126"/>
      <c r="AB397" s="126"/>
      <c r="AC397" s="127"/>
      <c r="AD397" s="126"/>
      <c r="AE397" s="126"/>
      <c r="AF397" s="126"/>
      <c r="AG397" s="127"/>
      <c r="AH397" s="126"/>
      <c r="AI397" s="126"/>
      <c r="AJ397" s="127"/>
      <c r="AK397" s="126"/>
      <c r="AL397" s="126"/>
      <c r="AM397" s="127"/>
      <c r="AN397" s="126"/>
      <c r="AO397" s="126"/>
      <c r="AP397" s="127"/>
      <c r="AQ397" s="126"/>
      <c r="AR397" s="126"/>
      <c r="AS397" s="127"/>
      <c r="AT397" s="126"/>
      <c r="AU397" s="126"/>
      <c r="AV397" s="127"/>
      <c r="AW397" s="126"/>
      <c r="AX397" s="126"/>
      <c r="AY397" s="127"/>
      <c r="AZ397" s="126"/>
      <c r="BA397" s="126"/>
      <c r="BB397" s="127"/>
      <c r="BC397" s="126"/>
      <c r="BD397" s="134"/>
      <c r="BE397" s="127"/>
      <c r="BF397" s="126"/>
      <c r="BG397" s="126"/>
      <c r="BH397" s="126"/>
      <c r="BI397" s="126"/>
      <c r="BJ397" s="126"/>
      <c r="BK397" s="126"/>
      <c r="BL397" s="126"/>
      <c r="BM397" s="126"/>
      <c r="BN397" s="126"/>
      <c r="BO397" s="126"/>
      <c r="BP397" s="126"/>
      <c r="BQ397" s="126"/>
      <c r="BR397" s="126"/>
      <c r="BS397" s="126"/>
      <c r="BT397" s="126"/>
      <c r="BU397" s="126"/>
      <c r="BV397" s="126"/>
      <c r="BW397" s="126"/>
      <c r="BX397" s="126"/>
    </row>
    <row r="398">
      <c r="A398" s="126"/>
      <c r="B398" s="126"/>
      <c r="C398" s="127"/>
      <c r="D398" s="126"/>
      <c r="E398" s="126"/>
      <c r="F398" s="127"/>
      <c r="G398" s="126"/>
      <c r="H398" s="127"/>
      <c r="I398" s="126"/>
      <c r="J398" s="126"/>
      <c r="K398" s="127"/>
      <c r="L398" s="126"/>
      <c r="M398" s="126"/>
      <c r="N398" s="127"/>
      <c r="O398" s="126"/>
      <c r="P398" s="126"/>
      <c r="Q398" s="127"/>
      <c r="R398" s="126"/>
      <c r="S398" s="126"/>
      <c r="T398" s="127"/>
      <c r="U398" s="126"/>
      <c r="V398" s="126"/>
      <c r="W398" s="127"/>
      <c r="X398" s="126"/>
      <c r="Y398" s="126"/>
      <c r="Z398" s="127"/>
      <c r="AA398" s="126"/>
      <c r="AB398" s="126"/>
      <c r="AC398" s="127"/>
      <c r="AD398" s="126"/>
      <c r="AE398" s="126"/>
      <c r="AF398" s="126"/>
      <c r="AG398" s="127"/>
      <c r="AH398" s="126"/>
      <c r="AI398" s="126"/>
      <c r="AJ398" s="127"/>
      <c r="AK398" s="126"/>
      <c r="AL398" s="126"/>
      <c r="AM398" s="127"/>
      <c r="AN398" s="126"/>
      <c r="AO398" s="126"/>
      <c r="AP398" s="127"/>
      <c r="AQ398" s="126"/>
      <c r="AR398" s="126"/>
      <c r="AS398" s="127"/>
      <c r="AT398" s="126"/>
      <c r="AU398" s="126"/>
      <c r="AV398" s="127"/>
      <c r="AW398" s="126"/>
      <c r="AX398" s="126"/>
      <c r="AY398" s="127"/>
      <c r="AZ398" s="126"/>
      <c r="BA398" s="126"/>
      <c r="BB398" s="127"/>
      <c r="BC398" s="126"/>
      <c r="BD398" s="134"/>
      <c r="BE398" s="127"/>
      <c r="BF398" s="126"/>
      <c r="BG398" s="126"/>
      <c r="BH398" s="126"/>
      <c r="BI398" s="126"/>
      <c r="BJ398" s="126"/>
      <c r="BK398" s="126"/>
      <c r="BL398" s="126"/>
      <c r="BM398" s="126"/>
      <c r="BN398" s="126"/>
      <c r="BO398" s="126"/>
      <c r="BP398" s="126"/>
      <c r="BQ398" s="126"/>
      <c r="BR398" s="126"/>
      <c r="BS398" s="126"/>
      <c r="BT398" s="126"/>
      <c r="BU398" s="126"/>
      <c r="BV398" s="126"/>
      <c r="BW398" s="126"/>
      <c r="BX398" s="126"/>
    </row>
    <row r="399">
      <c r="A399" s="126"/>
      <c r="B399" s="126"/>
      <c r="C399" s="127"/>
      <c r="D399" s="126"/>
      <c r="E399" s="126"/>
      <c r="F399" s="127"/>
      <c r="G399" s="126"/>
      <c r="H399" s="127"/>
      <c r="I399" s="126"/>
      <c r="J399" s="126"/>
      <c r="K399" s="127"/>
      <c r="L399" s="126"/>
      <c r="M399" s="126"/>
      <c r="N399" s="127"/>
      <c r="O399" s="126"/>
      <c r="P399" s="126"/>
      <c r="Q399" s="127"/>
      <c r="R399" s="126"/>
      <c r="S399" s="126"/>
      <c r="T399" s="127"/>
      <c r="U399" s="126"/>
      <c r="V399" s="126"/>
      <c r="W399" s="127"/>
      <c r="X399" s="126"/>
      <c r="Y399" s="126"/>
      <c r="Z399" s="127"/>
      <c r="AA399" s="126"/>
      <c r="AB399" s="126"/>
      <c r="AC399" s="127"/>
      <c r="AD399" s="126"/>
      <c r="AE399" s="126"/>
      <c r="AF399" s="126"/>
      <c r="AG399" s="127"/>
      <c r="AH399" s="126"/>
      <c r="AI399" s="126"/>
      <c r="AJ399" s="127"/>
      <c r="AK399" s="126"/>
      <c r="AL399" s="126"/>
      <c r="AM399" s="127"/>
      <c r="AN399" s="126"/>
      <c r="AO399" s="126"/>
      <c r="AP399" s="127"/>
      <c r="AQ399" s="126"/>
      <c r="AR399" s="126"/>
      <c r="AS399" s="127"/>
      <c r="AT399" s="126"/>
      <c r="AU399" s="126"/>
      <c r="AV399" s="127"/>
      <c r="AW399" s="126"/>
      <c r="AX399" s="126"/>
      <c r="AY399" s="127"/>
      <c r="AZ399" s="126"/>
      <c r="BA399" s="126"/>
      <c r="BB399" s="127"/>
      <c r="BC399" s="126"/>
      <c r="BD399" s="134"/>
      <c r="BE399" s="127"/>
      <c r="BF399" s="126"/>
      <c r="BG399" s="126"/>
      <c r="BH399" s="126"/>
      <c r="BI399" s="126"/>
      <c r="BJ399" s="126"/>
      <c r="BK399" s="126"/>
      <c r="BL399" s="126"/>
      <c r="BM399" s="126"/>
      <c r="BN399" s="126"/>
      <c r="BO399" s="126"/>
      <c r="BP399" s="126"/>
      <c r="BQ399" s="126"/>
      <c r="BR399" s="126"/>
      <c r="BS399" s="126"/>
      <c r="BT399" s="126"/>
      <c r="BU399" s="126"/>
      <c r="BV399" s="126"/>
      <c r="BW399" s="126"/>
      <c r="BX399" s="126"/>
    </row>
    <row r="400">
      <c r="A400" s="126"/>
      <c r="B400" s="126"/>
      <c r="C400" s="127"/>
      <c r="D400" s="126"/>
      <c r="E400" s="126"/>
      <c r="F400" s="127"/>
      <c r="G400" s="126"/>
      <c r="H400" s="127"/>
      <c r="I400" s="126"/>
      <c r="J400" s="126"/>
      <c r="K400" s="127"/>
      <c r="L400" s="126"/>
      <c r="M400" s="126"/>
      <c r="N400" s="127"/>
      <c r="O400" s="126"/>
      <c r="P400" s="126"/>
      <c r="Q400" s="127"/>
      <c r="R400" s="126"/>
      <c r="S400" s="126"/>
      <c r="T400" s="127"/>
      <c r="U400" s="126"/>
      <c r="V400" s="126"/>
      <c r="W400" s="127"/>
      <c r="X400" s="126"/>
      <c r="Y400" s="126"/>
      <c r="Z400" s="127"/>
      <c r="AA400" s="126"/>
      <c r="AB400" s="126"/>
      <c r="AC400" s="127"/>
      <c r="AD400" s="126"/>
      <c r="AE400" s="126"/>
      <c r="AF400" s="126"/>
      <c r="AG400" s="127"/>
      <c r="AH400" s="126"/>
      <c r="AI400" s="126"/>
      <c r="AJ400" s="127"/>
      <c r="AK400" s="126"/>
      <c r="AL400" s="126"/>
      <c r="AM400" s="127"/>
      <c r="AN400" s="126"/>
      <c r="AO400" s="126"/>
      <c r="AP400" s="127"/>
      <c r="AQ400" s="126"/>
      <c r="AR400" s="126"/>
      <c r="AS400" s="127"/>
      <c r="AT400" s="126"/>
      <c r="AU400" s="126"/>
      <c r="AV400" s="127"/>
      <c r="AW400" s="126"/>
      <c r="AX400" s="126"/>
      <c r="AY400" s="127"/>
      <c r="AZ400" s="126"/>
      <c r="BA400" s="126"/>
      <c r="BB400" s="127"/>
      <c r="BC400" s="126"/>
      <c r="BD400" s="134"/>
      <c r="BE400" s="127"/>
      <c r="BF400" s="126"/>
      <c r="BG400" s="126"/>
      <c r="BH400" s="126"/>
      <c r="BI400" s="126"/>
      <c r="BJ400" s="126"/>
      <c r="BK400" s="126"/>
      <c r="BL400" s="126"/>
      <c r="BM400" s="126"/>
      <c r="BN400" s="126"/>
      <c r="BO400" s="126"/>
      <c r="BP400" s="126"/>
      <c r="BQ400" s="126"/>
      <c r="BR400" s="126"/>
      <c r="BS400" s="126"/>
      <c r="BT400" s="126"/>
      <c r="BU400" s="126"/>
      <c r="BV400" s="126"/>
      <c r="BW400" s="126"/>
      <c r="BX400" s="126"/>
    </row>
    <row r="401">
      <c r="A401" s="126"/>
      <c r="B401" s="126"/>
      <c r="C401" s="127"/>
      <c r="D401" s="126"/>
      <c r="E401" s="126"/>
      <c r="F401" s="127"/>
      <c r="G401" s="126"/>
      <c r="H401" s="127"/>
      <c r="I401" s="126"/>
      <c r="J401" s="126"/>
      <c r="K401" s="127"/>
      <c r="L401" s="126"/>
      <c r="M401" s="126"/>
      <c r="N401" s="127"/>
      <c r="O401" s="126"/>
      <c r="P401" s="126"/>
      <c r="Q401" s="127"/>
      <c r="R401" s="126"/>
      <c r="S401" s="126"/>
      <c r="T401" s="127"/>
      <c r="U401" s="126"/>
      <c r="V401" s="126"/>
      <c r="W401" s="127"/>
      <c r="X401" s="126"/>
      <c r="Y401" s="126"/>
      <c r="Z401" s="127"/>
      <c r="AA401" s="126"/>
      <c r="AB401" s="126"/>
      <c r="AC401" s="127"/>
      <c r="AD401" s="126"/>
      <c r="AE401" s="126"/>
      <c r="AF401" s="126"/>
      <c r="AG401" s="127"/>
      <c r="AH401" s="126"/>
      <c r="AI401" s="126"/>
      <c r="AJ401" s="127"/>
      <c r="AK401" s="126"/>
      <c r="AL401" s="126"/>
      <c r="AM401" s="127"/>
      <c r="AN401" s="126"/>
      <c r="AO401" s="126"/>
      <c r="AP401" s="127"/>
      <c r="AQ401" s="126"/>
      <c r="AR401" s="126"/>
      <c r="AS401" s="127"/>
      <c r="AT401" s="126"/>
      <c r="AU401" s="126"/>
      <c r="AV401" s="127"/>
      <c r="AW401" s="126"/>
      <c r="AX401" s="126"/>
      <c r="AY401" s="127"/>
      <c r="AZ401" s="126"/>
      <c r="BA401" s="126"/>
      <c r="BB401" s="127"/>
      <c r="BC401" s="126"/>
      <c r="BD401" s="134"/>
      <c r="BE401" s="127"/>
      <c r="BF401" s="126"/>
      <c r="BG401" s="126"/>
      <c r="BH401" s="126"/>
      <c r="BI401" s="126"/>
      <c r="BJ401" s="126"/>
      <c r="BK401" s="126"/>
      <c r="BL401" s="126"/>
      <c r="BM401" s="126"/>
      <c r="BN401" s="126"/>
      <c r="BO401" s="126"/>
      <c r="BP401" s="126"/>
      <c r="BQ401" s="126"/>
      <c r="BR401" s="126"/>
      <c r="BS401" s="126"/>
      <c r="BT401" s="126"/>
      <c r="BU401" s="126"/>
      <c r="BV401" s="126"/>
      <c r="BW401" s="126"/>
      <c r="BX401" s="126"/>
    </row>
    <row r="402">
      <c r="A402" s="126"/>
      <c r="B402" s="126"/>
      <c r="C402" s="127"/>
      <c r="D402" s="126"/>
      <c r="E402" s="126"/>
      <c r="F402" s="127"/>
      <c r="G402" s="126"/>
      <c r="H402" s="127"/>
      <c r="I402" s="126"/>
      <c r="J402" s="126"/>
      <c r="K402" s="127"/>
      <c r="L402" s="126"/>
      <c r="M402" s="126"/>
      <c r="N402" s="127"/>
      <c r="O402" s="126"/>
      <c r="P402" s="126"/>
      <c r="Q402" s="127"/>
      <c r="R402" s="126"/>
      <c r="S402" s="126"/>
      <c r="T402" s="127"/>
      <c r="U402" s="126"/>
      <c r="V402" s="126"/>
      <c r="W402" s="127"/>
      <c r="X402" s="126"/>
      <c r="Y402" s="126"/>
      <c r="Z402" s="127"/>
      <c r="AA402" s="126"/>
      <c r="AB402" s="126"/>
      <c r="AC402" s="127"/>
      <c r="AD402" s="126"/>
      <c r="AE402" s="126"/>
      <c r="AF402" s="126"/>
      <c r="AG402" s="127"/>
      <c r="AH402" s="126"/>
      <c r="AI402" s="126"/>
      <c r="AJ402" s="127"/>
      <c r="AK402" s="126"/>
      <c r="AL402" s="126"/>
      <c r="AM402" s="127"/>
      <c r="AN402" s="126"/>
      <c r="AO402" s="126"/>
      <c r="AP402" s="127"/>
      <c r="AQ402" s="126"/>
      <c r="AR402" s="126"/>
      <c r="AS402" s="127"/>
      <c r="AT402" s="126"/>
      <c r="AU402" s="126"/>
      <c r="AV402" s="127"/>
      <c r="AW402" s="126"/>
      <c r="AX402" s="126"/>
      <c r="AY402" s="127"/>
      <c r="AZ402" s="126"/>
      <c r="BA402" s="126"/>
      <c r="BB402" s="127"/>
      <c r="BC402" s="126"/>
      <c r="BD402" s="134"/>
      <c r="BE402" s="127"/>
      <c r="BF402" s="126"/>
      <c r="BG402" s="126"/>
      <c r="BH402" s="126"/>
      <c r="BI402" s="126"/>
      <c r="BJ402" s="126"/>
      <c r="BK402" s="126"/>
      <c r="BL402" s="126"/>
      <c r="BM402" s="126"/>
      <c r="BN402" s="126"/>
      <c r="BO402" s="126"/>
      <c r="BP402" s="126"/>
      <c r="BQ402" s="126"/>
      <c r="BR402" s="126"/>
      <c r="BS402" s="126"/>
      <c r="BT402" s="126"/>
      <c r="BU402" s="126"/>
      <c r="BV402" s="126"/>
      <c r="BW402" s="126"/>
      <c r="BX402" s="126"/>
    </row>
    <row r="403">
      <c r="A403" s="126"/>
      <c r="B403" s="126"/>
      <c r="C403" s="127"/>
      <c r="D403" s="126"/>
      <c r="E403" s="126"/>
      <c r="F403" s="127"/>
      <c r="G403" s="126"/>
      <c r="H403" s="127"/>
      <c r="I403" s="126"/>
      <c r="J403" s="126"/>
      <c r="K403" s="127"/>
      <c r="L403" s="126"/>
      <c r="M403" s="126"/>
      <c r="N403" s="127"/>
      <c r="O403" s="126"/>
      <c r="P403" s="126"/>
      <c r="Q403" s="127"/>
      <c r="R403" s="126"/>
      <c r="S403" s="126"/>
      <c r="T403" s="127"/>
      <c r="U403" s="126"/>
      <c r="V403" s="126"/>
      <c r="W403" s="127"/>
      <c r="X403" s="126"/>
      <c r="Y403" s="126"/>
      <c r="Z403" s="127"/>
      <c r="AA403" s="126"/>
      <c r="AB403" s="126"/>
      <c r="AC403" s="127"/>
      <c r="AD403" s="126"/>
      <c r="AE403" s="126"/>
      <c r="AF403" s="126"/>
      <c r="AG403" s="127"/>
      <c r="AH403" s="126"/>
      <c r="AI403" s="126"/>
      <c r="AJ403" s="127"/>
      <c r="AK403" s="126"/>
      <c r="AL403" s="126"/>
      <c r="AM403" s="127"/>
      <c r="AN403" s="126"/>
      <c r="AO403" s="126"/>
      <c r="AP403" s="127"/>
      <c r="AQ403" s="126"/>
      <c r="AR403" s="126"/>
      <c r="AS403" s="127"/>
      <c r="AT403" s="126"/>
      <c r="AU403" s="126"/>
      <c r="AV403" s="127"/>
      <c r="AW403" s="126"/>
      <c r="AX403" s="126"/>
      <c r="AY403" s="127"/>
      <c r="AZ403" s="126"/>
      <c r="BA403" s="126"/>
      <c r="BB403" s="127"/>
      <c r="BC403" s="126"/>
      <c r="BD403" s="134"/>
      <c r="BE403" s="127"/>
      <c r="BF403" s="126"/>
      <c r="BG403" s="126"/>
      <c r="BH403" s="126"/>
      <c r="BI403" s="126"/>
      <c r="BJ403" s="126"/>
      <c r="BK403" s="126"/>
      <c r="BL403" s="126"/>
      <c r="BM403" s="126"/>
      <c r="BN403" s="126"/>
      <c r="BO403" s="126"/>
      <c r="BP403" s="126"/>
      <c r="BQ403" s="126"/>
      <c r="BR403" s="126"/>
      <c r="BS403" s="126"/>
      <c r="BT403" s="126"/>
      <c r="BU403" s="126"/>
      <c r="BV403" s="126"/>
      <c r="BW403" s="126"/>
      <c r="BX403" s="126"/>
    </row>
    <row r="404">
      <c r="A404" s="126"/>
      <c r="B404" s="126"/>
      <c r="C404" s="127"/>
      <c r="D404" s="126"/>
      <c r="E404" s="126"/>
      <c r="F404" s="127"/>
      <c r="G404" s="126"/>
      <c r="H404" s="127"/>
      <c r="I404" s="126"/>
      <c r="J404" s="126"/>
      <c r="K404" s="127"/>
      <c r="L404" s="126"/>
      <c r="M404" s="126"/>
      <c r="N404" s="127"/>
      <c r="O404" s="126"/>
      <c r="P404" s="126"/>
      <c r="Q404" s="127"/>
      <c r="R404" s="126"/>
      <c r="S404" s="126"/>
      <c r="T404" s="127"/>
      <c r="U404" s="126"/>
      <c r="V404" s="126"/>
      <c r="W404" s="127"/>
      <c r="X404" s="126"/>
      <c r="Y404" s="126"/>
      <c r="Z404" s="127"/>
      <c r="AA404" s="126"/>
      <c r="AB404" s="126"/>
      <c r="AC404" s="127"/>
      <c r="AD404" s="126"/>
      <c r="AE404" s="126"/>
      <c r="AF404" s="126"/>
      <c r="AG404" s="127"/>
      <c r="AH404" s="126"/>
      <c r="AI404" s="126"/>
      <c r="AJ404" s="127"/>
      <c r="AK404" s="126"/>
      <c r="AL404" s="126"/>
      <c r="AM404" s="127"/>
      <c r="AN404" s="126"/>
      <c r="AO404" s="126"/>
      <c r="AP404" s="127"/>
      <c r="AQ404" s="126"/>
      <c r="AR404" s="126"/>
      <c r="AS404" s="127"/>
      <c r="AT404" s="126"/>
      <c r="AU404" s="126"/>
      <c r="AV404" s="127"/>
      <c r="AW404" s="126"/>
      <c r="AX404" s="126"/>
      <c r="AY404" s="127"/>
      <c r="AZ404" s="126"/>
      <c r="BA404" s="126"/>
      <c r="BB404" s="127"/>
      <c r="BC404" s="126"/>
      <c r="BD404" s="134"/>
      <c r="BE404" s="127"/>
      <c r="BF404" s="126"/>
      <c r="BG404" s="126"/>
      <c r="BH404" s="126"/>
      <c r="BI404" s="126"/>
      <c r="BJ404" s="126"/>
      <c r="BK404" s="126"/>
      <c r="BL404" s="126"/>
      <c r="BM404" s="126"/>
      <c r="BN404" s="126"/>
      <c r="BO404" s="126"/>
      <c r="BP404" s="126"/>
      <c r="BQ404" s="126"/>
      <c r="BR404" s="126"/>
      <c r="BS404" s="126"/>
      <c r="BT404" s="126"/>
      <c r="BU404" s="126"/>
      <c r="BV404" s="126"/>
      <c r="BW404" s="126"/>
      <c r="BX404" s="126"/>
    </row>
    <row r="405">
      <c r="A405" s="126"/>
      <c r="B405" s="126"/>
      <c r="C405" s="127"/>
      <c r="D405" s="126"/>
      <c r="E405" s="126"/>
      <c r="F405" s="127"/>
      <c r="G405" s="126"/>
      <c r="H405" s="127"/>
      <c r="I405" s="126"/>
      <c r="J405" s="126"/>
      <c r="K405" s="127"/>
      <c r="L405" s="126"/>
      <c r="M405" s="126"/>
      <c r="N405" s="127"/>
      <c r="O405" s="126"/>
      <c r="P405" s="126"/>
      <c r="Q405" s="127"/>
      <c r="R405" s="126"/>
      <c r="S405" s="126"/>
      <c r="T405" s="127"/>
      <c r="U405" s="126"/>
      <c r="V405" s="126"/>
      <c r="W405" s="127"/>
      <c r="X405" s="126"/>
      <c r="Y405" s="126"/>
      <c r="Z405" s="127"/>
      <c r="AA405" s="126"/>
      <c r="AB405" s="126"/>
      <c r="AC405" s="127"/>
      <c r="AD405" s="126"/>
      <c r="AE405" s="126"/>
      <c r="AF405" s="126"/>
      <c r="AG405" s="127"/>
      <c r="AH405" s="126"/>
      <c r="AI405" s="126"/>
      <c r="AJ405" s="127"/>
      <c r="AK405" s="126"/>
      <c r="AL405" s="126"/>
      <c r="AM405" s="127"/>
      <c r="AN405" s="126"/>
      <c r="AO405" s="126"/>
      <c r="AP405" s="127"/>
      <c r="AQ405" s="126"/>
      <c r="AR405" s="126"/>
      <c r="AS405" s="127"/>
      <c r="AT405" s="126"/>
      <c r="AU405" s="126"/>
      <c r="AV405" s="127"/>
      <c r="AW405" s="126"/>
      <c r="AX405" s="126"/>
      <c r="AY405" s="127"/>
      <c r="AZ405" s="126"/>
      <c r="BA405" s="126"/>
      <c r="BB405" s="127"/>
      <c r="BC405" s="126"/>
      <c r="BD405" s="134"/>
      <c r="BE405" s="127"/>
      <c r="BF405" s="126"/>
      <c r="BG405" s="126"/>
      <c r="BH405" s="126"/>
      <c r="BI405" s="126"/>
      <c r="BJ405" s="126"/>
      <c r="BK405" s="126"/>
      <c r="BL405" s="126"/>
      <c r="BM405" s="126"/>
      <c r="BN405" s="126"/>
      <c r="BO405" s="126"/>
      <c r="BP405" s="126"/>
      <c r="BQ405" s="126"/>
      <c r="BR405" s="126"/>
      <c r="BS405" s="126"/>
      <c r="BT405" s="126"/>
      <c r="BU405" s="126"/>
      <c r="BV405" s="126"/>
      <c r="BW405" s="126"/>
      <c r="BX405" s="126"/>
    </row>
    <row r="406">
      <c r="A406" s="126"/>
      <c r="B406" s="126"/>
      <c r="C406" s="127"/>
      <c r="D406" s="126"/>
      <c r="E406" s="126"/>
      <c r="F406" s="127"/>
      <c r="G406" s="126"/>
      <c r="H406" s="127"/>
      <c r="I406" s="126"/>
      <c r="J406" s="126"/>
      <c r="K406" s="127"/>
      <c r="L406" s="126"/>
      <c r="M406" s="126"/>
      <c r="N406" s="127"/>
      <c r="O406" s="126"/>
      <c r="P406" s="126"/>
      <c r="Q406" s="127"/>
      <c r="R406" s="126"/>
      <c r="S406" s="126"/>
      <c r="T406" s="127"/>
      <c r="U406" s="126"/>
      <c r="V406" s="126"/>
      <c r="W406" s="127"/>
      <c r="X406" s="126"/>
      <c r="Y406" s="126"/>
      <c r="Z406" s="127"/>
      <c r="AA406" s="126"/>
      <c r="AB406" s="126"/>
      <c r="AC406" s="127"/>
      <c r="AD406" s="126"/>
      <c r="AE406" s="126"/>
      <c r="AF406" s="126"/>
      <c r="AG406" s="127"/>
      <c r="AH406" s="126"/>
      <c r="AI406" s="126"/>
      <c r="AJ406" s="127"/>
      <c r="AK406" s="126"/>
      <c r="AL406" s="126"/>
      <c r="AM406" s="127"/>
      <c r="AN406" s="126"/>
      <c r="AO406" s="126"/>
      <c r="AP406" s="127"/>
      <c r="AQ406" s="126"/>
      <c r="AR406" s="126"/>
      <c r="AS406" s="127"/>
      <c r="AT406" s="126"/>
      <c r="AU406" s="126"/>
      <c r="AV406" s="127"/>
      <c r="AW406" s="126"/>
      <c r="AX406" s="126"/>
      <c r="AY406" s="127"/>
      <c r="AZ406" s="126"/>
      <c r="BA406" s="126"/>
      <c r="BB406" s="127"/>
      <c r="BC406" s="126"/>
      <c r="BD406" s="134"/>
      <c r="BE406" s="127"/>
      <c r="BF406" s="126"/>
      <c r="BG406" s="126"/>
      <c r="BH406" s="126"/>
      <c r="BI406" s="126"/>
      <c r="BJ406" s="126"/>
      <c r="BK406" s="126"/>
      <c r="BL406" s="126"/>
      <c r="BM406" s="126"/>
      <c r="BN406" s="126"/>
      <c r="BO406" s="126"/>
      <c r="BP406" s="126"/>
      <c r="BQ406" s="126"/>
      <c r="BR406" s="126"/>
      <c r="BS406" s="126"/>
      <c r="BT406" s="126"/>
      <c r="BU406" s="126"/>
      <c r="BV406" s="126"/>
      <c r="BW406" s="126"/>
      <c r="BX406" s="126"/>
    </row>
    <row r="407">
      <c r="A407" s="126"/>
      <c r="B407" s="126"/>
      <c r="C407" s="127"/>
      <c r="D407" s="126"/>
      <c r="E407" s="126"/>
      <c r="F407" s="127"/>
      <c r="G407" s="126"/>
      <c r="H407" s="127"/>
      <c r="I407" s="126"/>
      <c r="J407" s="126"/>
      <c r="K407" s="127"/>
      <c r="L407" s="126"/>
      <c r="M407" s="126"/>
      <c r="N407" s="127"/>
      <c r="O407" s="126"/>
      <c r="P407" s="126"/>
      <c r="Q407" s="127"/>
      <c r="R407" s="126"/>
      <c r="S407" s="126"/>
      <c r="T407" s="127"/>
      <c r="U407" s="126"/>
      <c r="V407" s="126"/>
      <c r="W407" s="127"/>
      <c r="X407" s="126"/>
      <c r="Y407" s="126"/>
      <c r="Z407" s="127"/>
      <c r="AA407" s="126"/>
      <c r="AB407" s="126"/>
      <c r="AC407" s="127"/>
      <c r="AD407" s="126"/>
      <c r="AE407" s="126"/>
      <c r="AF407" s="126"/>
      <c r="AG407" s="127"/>
      <c r="AH407" s="126"/>
      <c r="AI407" s="126"/>
      <c r="AJ407" s="127"/>
      <c r="AK407" s="126"/>
      <c r="AL407" s="126"/>
      <c r="AM407" s="127"/>
      <c r="AN407" s="126"/>
      <c r="AO407" s="126"/>
      <c r="AP407" s="127"/>
      <c r="AQ407" s="126"/>
      <c r="AR407" s="126"/>
      <c r="AS407" s="127"/>
      <c r="AT407" s="126"/>
      <c r="AU407" s="126"/>
      <c r="AV407" s="127"/>
      <c r="AW407" s="126"/>
      <c r="AX407" s="126"/>
      <c r="AY407" s="127"/>
      <c r="AZ407" s="126"/>
      <c r="BA407" s="126"/>
      <c r="BB407" s="127"/>
      <c r="BC407" s="126"/>
      <c r="BD407" s="134"/>
      <c r="BE407" s="127"/>
      <c r="BF407" s="126"/>
      <c r="BG407" s="126"/>
      <c r="BH407" s="126"/>
      <c r="BI407" s="126"/>
      <c r="BJ407" s="126"/>
      <c r="BK407" s="126"/>
      <c r="BL407" s="126"/>
      <c r="BM407" s="126"/>
      <c r="BN407" s="126"/>
      <c r="BO407" s="126"/>
      <c r="BP407" s="126"/>
      <c r="BQ407" s="126"/>
      <c r="BR407" s="126"/>
      <c r="BS407" s="126"/>
      <c r="BT407" s="126"/>
      <c r="BU407" s="126"/>
      <c r="BV407" s="126"/>
      <c r="BW407" s="126"/>
      <c r="BX407" s="126"/>
    </row>
    <row r="408">
      <c r="A408" s="126"/>
      <c r="B408" s="126"/>
      <c r="C408" s="127"/>
      <c r="D408" s="126"/>
      <c r="E408" s="126"/>
      <c r="F408" s="127"/>
      <c r="G408" s="126"/>
      <c r="H408" s="127"/>
      <c r="I408" s="126"/>
      <c r="J408" s="126"/>
      <c r="K408" s="127"/>
      <c r="L408" s="126"/>
      <c r="M408" s="126"/>
      <c r="N408" s="127"/>
      <c r="O408" s="126"/>
      <c r="P408" s="126"/>
      <c r="Q408" s="127"/>
      <c r="R408" s="126"/>
      <c r="S408" s="126"/>
      <c r="T408" s="127"/>
      <c r="U408" s="126"/>
      <c r="V408" s="126"/>
      <c r="W408" s="127"/>
      <c r="X408" s="126"/>
      <c r="Y408" s="126"/>
      <c r="Z408" s="127"/>
      <c r="AA408" s="126"/>
      <c r="AB408" s="126"/>
      <c r="AC408" s="127"/>
      <c r="AD408" s="126"/>
      <c r="AE408" s="126"/>
      <c r="AF408" s="126"/>
      <c r="AG408" s="127"/>
      <c r="AH408" s="126"/>
      <c r="AI408" s="126"/>
      <c r="AJ408" s="127"/>
      <c r="AK408" s="126"/>
      <c r="AL408" s="126"/>
      <c r="AM408" s="127"/>
      <c r="AN408" s="126"/>
      <c r="AO408" s="126"/>
      <c r="AP408" s="127"/>
      <c r="AQ408" s="126"/>
      <c r="AR408" s="126"/>
      <c r="AS408" s="127"/>
      <c r="AT408" s="126"/>
      <c r="AU408" s="126"/>
      <c r="AV408" s="127"/>
      <c r="AW408" s="126"/>
      <c r="AX408" s="126"/>
      <c r="AY408" s="127"/>
      <c r="AZ408" s="126"/>
      <c r="BA408" s="126"/>
      <c r="BB408" s="127"/>
      <c r="BC408" s="126"/>
      <c r="BD408" s="134"/>
      <c r="BE408" s="127"/>
      <c r="BF408" s="126"/>
      <c r="BG408" s="126"/>
      <c r="BH408" s="126"/>
      <c r="BI408" s="126"/>
      <c r="BJ408" s="126"/>
      <c r="BK408" s="126"/>
      <c r="BL408" s="126"/>
      <c r="BM408" s="126"/>
      <c r="BN408" s="126"/>
      <c r="BO408" s="126"/>
      <c r="BP408" s="126"/>
      <c r="BQ408" s="126"/>
      <c r="BR408" s="126"/>
      <c r="BS408" s="126"/>
      <c r="BT408" s="126"/>
      <c r="BU408" s="126"/>
      <c r="BV408" s="126"/>
      <c r="BW408" s="126"/>
      <c r="BX408" s="126"/>
    </row>
    <row r="409">
      <c r="A409" s="126"/>
      <c r="B409" s="126"/>
      <c r="C409" s="127"/>
      <c r="D409" s="126"/>
      <c r="E409" s="126"/>
      <c r="F409" s="127"/>
      <c r="G409" s="126"/>
      <c r="H409" s="127"/>
      <c r="I409" s="126"/>
      <c r="J409" s="126"/>
      <c r="K409" s="127"/>
      <c r="L409" s="126"/>
      <c r="M409" s="126"/>
      <c r="N409" s="127"/>
      <c r="O409" s="126"/>
      <c r="P409" s="126"/>
      <c r="Q409" s="127"/>
      <c r="R409" s="126"/>
      <c r="S409" s="126"/>
      <c r="T409" s="127"/>
      <c r="U409" s="126"/>
      <c r="V409" s="126"/>
      <c r="W409" s="127"/>
      <c r="X409" s="126"/>
      <c r="Y409" s="126"/>
      <c r="Z409" s="127"/>
      <c r="AA409" s="126"/>
      <c r="AB409" s="126"/>
      <c r="AC409" s="127"/>
      <c r="AD409" s="126"/>
      <c r="AE409" s="126"/>
      <c r="AF409" s="126"/>
      <c r="AG409" s="127"/>
      <c r="AH409" s="126"/>
      <c r="AI409" s="126"/>
      <c r="AJ409" s="127"/>
      <c r="AK409" s="126"/>
      <c r="AL409" s="126"/>
      <c r="AM409" s="127"/>
      <c r="AN409" s="126"/>
      <c r="AO409" s="126"/>
      <c r="AP409" s="127"/>
      <c r="AQ409" s="126"/>
      <c r="AR409" s="126"/>
      <c r="AS409" s="127"/>
      <c r="AT409" s="126"/>
      <c r="AU409" s="126"/>
      <c r="AV409" s="127"/>
      <c r="AW409" s="126"/>
      <c r="AX409" s="126"/>
      <c r="AY409" s="127"/>
      <c r="AZ409" s="126"/>
      <c r="BA409" s="126"/>
      <c r="BB409" s="127"/>
      <c r="BC409" s="126"/>
      <c r="BD409" s="134"/>
      <c r="BE409" s="127"/>
      <c r="BF409" s="126"/>
      <c r="BG409" s="126"/>
      <c r="BH409" s="126"/>
      <c r="BI409" s="126"/>
      <c r="BJ409" s="126"/>
      <c r="BK409" s="126"/>
      <c r="BL409" s="126"/>
      <c r="BM409" s="126"/>
      <c r="BN409" s="126"/>
      <c r="BO409" s="126"/>
      <c r="BP409" s="126"/>
      <c r="BQ409" s="126"/>
      <c r="BR409" s="126"/>
      <c r="BS409" s="126"/>
      <c r="BT409" s="126"/>
      <c r="BU409" s="126"/>
      <c r="BV409" s="126"/>
      <c r="BW409" s="126"/>
      <c r="BX409" s="126"/>
    </row>
    <row r="410">
      <c r="A410" s="126"/>
      <c r="B410" s="126"/>
      <c r="C410" s="127"/>
      <c r="D410" s="126"/>
      <c r="E410" s="126"/>
      <c r="F410" s="127"/>
      <c r="G410" s="126"/>
      <c r="H410" s="127"/>
      <c r="I410" s="126"/>
      <c r="J410" s="126"/>
      <c r="K410" s="127"/>
      <c r="L410" s="126"/>
      <c r="M410" s="126"/>
      <c r="N410" s="127"/>
      <c r="O410" s="126"/>
      <c r="P410" s="126"/>
      <c r="Q410" s="127"/>
      <c r="R410" s="126"/>
      <c r="S410" s="126"/>
      <c r="T410" s="127"/>
      <c r="U410" s="126"/>
      <c r="V410" s="126"/>
      <c r="W410" s="127"/>
      <c r="X410" s="126"/>
      <c r="Y410" s="126"/>
      <c r="Z410" s="127"/>
      <c r="AA410" s="126"/>
      <c r="AB410" s="126"/>
      <c r="AC410" s="127"/>
      <c r="AD410" s="126"/>
      <c r="AE410" s="126"/>
      <c r="AF410" s="126"/>
      <c r="AG410" s="127"/>
      <c r="AH410" s="126"/>
      <c r="AI410" s="126"/>
      <c r="AJ410" s="127"/>
      <c r="AK410" s="126"/>
      <c r="AL410" s="126"/>
      <c r="AM410" s="127"/>
      <c r="AN410" s="126"/>
      <c r="AO410" s="126"/>
      <c r="AP410" s="127"/>
      <c r="AQ410" s="126"/>
      <c r="AR410" s="126"/>
      <c r="AS410" s="127"/>
      <c r="AT410" s="126"/>
      <c r="AU410" s="126"/>
      <c r="AV410" s="127"/>
      <c r="AW410" s="126"/>
      <c r="AX410" s="126"/>
      <c r="AY410" s="127"/>
      <c r="AZ410" s="126"/>
      <c r="BA410" s="126"/>
      <c r="BB410" s="127"/>
      <c r="BC410" s="126"/>
      <c r="BD410" s="134"/>
      <c r="BE410" s="127"/>
      <c r="BF410" s="126"/>
      <c r="BG410" s="126"/>
      <c r="BH410" s="126"/>
      <c r="BI410" s="126"/>
      <c r="BJ410" s="126"/>
      <c r="BK410" s="126"/>
      <c r="BL410" s="126"/>
      <c r="BM410" s="126"/>
      <c r="BN410" s="126"/>
      <c r="BO410" s="126"/>
      <c r="BP410" s="126"/>
      <c r="BQ410" s="126"/>
      <c r="BR410" s="126"/>
      <c r="BS410" s="126"/>
      <c r="BT410" s="126"/>
      <c r="BU410" s="126"/>
      <c r="BV410" s="126"/>
      <c r="BW410" s="126"/>
      <c r="BX410" s="126"/>
    </row>
    <row r="411">
      <c r="A411" s="126"/>
      <c r="B411" s="126"/>
      <c r="C411" s="127"/>
      <c r="D411" s="126"/>
      <c r="E411" s="126"/>
      <c r="F411" s="127"/>
      <c r="G411" s="126"/>
      <c r="H411" s="127"/>
      <c r="I411" s="126"/>
      <c r="J411" s="126"/>
      <c r="K411" s="127"/>
      <c r="L411" s="126"/>
      <c r="M411" s="126"/>
      <c r="N411" s="127"/>
      <c r="O411" s="126"/>
      <c r="P411" s="126"/>
      <c r="Q411" s="127"/>
      <c r="R411" s="126"/>
      <c r="S411" s="126"/>
      <c r="T411" s="127"/>
      <c r="U411" s="126"/>
      <c r="V411" s="126"/>
      <c r="W411" s="127"/>
      <c r="X411" s="126"/>
      <c r="Y411" s="126"/>
      <c r="Z411" s="127"/>
      <c r="AA411" s="126"/>
      <c r="AB411" s="126"/>
      <c r="AC411" s="127"/>
      <c r="AD411" s="126"/>
      <c r="AE411" s="126"/>
      <c r="AF411" s="126"/>
      <c r="AG411" s="127"/>
      <c r="AH411" s="126"/>
      <c r="AI411" s="126"/>
      <c r="AJ411" s="127"/>
      <c r="AK411" s="126"/>
      <c r="AL411" s="126"/>
      <c r="AM411" s="127"/>
      <c r="AN411" s="126"/>
      <c r="AO411" s="126"/>
      <c r="AP411" s="127"/>
      <c r="AQ411" s="126"/>
      <c r="AR411" s="126"/>
      <c r="AS411" s="127"/>
      <c r="AT411" s="126"/>
      <c r="AU411" s="126"/>
      <c r="AV411" s="127"/>
      <c r="AW411" s="126"/>
      <c r="AX411" s="126"/>
      <c r="AY411" s="127"/>
      <c r="AZ411" s="126"/>
      <c r="BA411" s="126"/>
      <c r="BB411" s="127"/>
      <c r="BC411" s="126"/>
      <c r="BD411" s="134"/>
      <c r="BE411" s="127"/>
      <c r="BF411" s="126"/>
      <c r="BG411" s="126"/>
      <c r="BH411" s="126"/>
      <c r="BI411" s="126"/>
      <c r="BJ411" s="126"/>
      <c r="BK411" s="126"/>
      <c r="BL411" s="126"/>
      <c r="BM411" s="126"/>
      <c r="BN411" s="126"/>
      <c r="BO411" s="126"/>
      <c r="BP411" s="126"/>
      <c r="BQ411" s="126"/>
      <c r="BR411" s="126"/>
      <c r="BS411" s="126"/>
      <c r="BT411" s="126"/>
      <c r="BU411" s="126"/>
      <c r="BV411" s="126"/>
      <c r="BW411" s="126"/>
      <c r="BX411" s="126"/>
    </row>
    <row r="412">
      <c r="A412" s="126"/>
      <c r="B412" s="126"/>
      <c r="C412" s="127"/>
      <c r="D412" s="126"/>
      <c r="E412" s="126"/>
      <c r="F412" s="127"/>
      <c r="G412" s="126"/>
      <c r="H412" s="127"/>
      <c r="I412" s="126"/>
      <c r="J412" s="126"/>
      <c r="K412" s="127"/>
      <c r="L412" s="126"/>
      <c r="M412" s="126"/>
      <c r="N412" s="127"/>
      <c r="O412" s="126"/>
      <c r="P412" s="126"/>
      <c r="Q412" s="127"/>
      <c r="R412" s="126"/>
      <c r="S412" s="126"/>
      <c r="T412" s="127"/>
      <c r="U412" s="126"/>
      <c r="V412" s="126"/>
      <c r="W412" s="127"/>
      <c r="X412" s="126"/>
      <c r="Y412" s="126"/>
      <c r="Z412" s="127"/>
      <c r="AA412" s="126"/>
      <c r="AB412" s="126"/>
      <c r="AC412" s="127"/>
      <c r="AD412" s="126"/>
      <c r="AE412" s="126"/>
      <c r="AF412" s="126"/>
      <c r="AG412" s="127"/>
      <c r="AH412" s="126"/>
      <c r="AI412" s="126"/>
      <c r="AJ412" s="127"/>
      <c r="AK412" s="126"/>
      <c r="AL412" s="126"/>
      <c r="AM412" s="127"/>
      <c r="AN412" s="126"/>
      <c r="AO412" s="126"/>
      <c r="AP412" s="127"/>
      <c r="AQ412" s="126"/>
      <c r="AR412" s="126"/>
      <c r="AS412" s="127"/>
      <c r="AT412" s="126"/>
      <c r="AU412" s="126"/>
      <c r="AV412" s="127"/>
      <c r="AW412" s="126"/>
      <c r="AX412" s="126"/>
      <c r="AY412" s="127"/>
      <c r="AZ412" s="126"/>
      <c r="BA412" s="126"/>
      <c r="BB412" s="127"/>
      <c r="BC412" s="126"/>
      <c r="BD412" s="134"/>
      <c r="BE412" s="127"/>
      <c r="BF412" s="126"/>
      <c r="BG412" s="126"/>
      <c r="BH412" s="126"/>
      <c r="BI412" s="126"/>
      <c r="BJ412" s="126"/>
      <c r="BK412" s="126"/>
      <c r="BL412" s="126"/>
      <c r="BM412" s="126"/>
      <c r="BN412" s="126"/>
      <c r="BO412" s="126"/>
      <c r="BP412" s="126"/>
      <c r="BQ412" s="126"/>
      <c r="BR412" s="126"/>
      <c r="BS412" s="126"/>
      <c r="BT412" s="126"/>
      <c r="BU412" s="126"/>
      <c r="BV412" s="126"/>
      <c r="BW412" s="126"/>
      <c r="BX412" s="126"/>
    </row>
    <row r="413">
      <c r="A413" s="126"/>
      <c r="B413" s="126"/>
      <c r="C413" s="127"/>
      <c r="D413" s="126"/>
      <c r="E413" s="126"/>
      <c r="F413" s="127"/>
      <c r="G413" s="126"/>
      <c r="H413" s="127"/>
      <c r="I413" s="126"/>
      <c r="J413" s="126"/>
      <c r="K413" s="127"/>
      <c r="L413" s="126"/>
      <c r="M413" s="126"/>
      <c r="N413" s="127"/>
      <c r="O413" s="126"/>
      <c r="P413" s="126"/>
      <c r="Q413" s="127"/>
      <c r="R413" s="126"/>
      <c r="S413" s="126"/>
      <c r="T413" s="127"/>
      <c r="U413" s="126"/>
      <c r="V413" s="126"/>
      <c r="W413" s="127"/>
      <c r="X413" s="126"/>
      <c r="Y413" s="126"/>
      <c r="Z413" s="127"/>
      <c r="AA413" s="126"/>
      <c r="AB413" s="126"/>
      <c r="AC413" s="127"/>
      <c r="AD413" s="126"/>
      <c r="AE413" s="126"/>
      <c r="AF413" s="126"/>
      <c r="AG413" s="127"/>
      <c r="AH413" s="126"/>
      <c r="AI413" s="126"/>
      <c r="AJ413" s="127"/>
      <c r="AK413" s="126"/>
      <c r="AL413" s="126"/>
      <c r="AM413" s="127"/>
      <c r="AN413" s="126"/>
      <c r="AO413" s="126"/>
      <c r="AP413" s="127"/>
      <c r="AQ413" s="126"/>
      <c r="AR413" s="126"/>
      <c r="AS413" s="127"/>
      <c r="AT413" s="126"/>
      <c r="AU413" s="126"/>
      <c r="AV413" s="127"/>
      <c r="AW413" s="126"/>
      <c r="AX413" s="126"/>
      <c r="AY413" s="127"/>
      <c r="AZ413" s="126"/>
      <c r="BA413" s="126"/>
      <c r="BB413" s="127"/>
      <c r="BC413" s="126"/>
      <c r="BD413" s="134"/>
      <c r="BE413" s="127"/>
      <c r="BF413" s="126"/>
      <c r="BG413" s="126"/>
      <c r="BH413" s="126"/>
      <c r="BI413" s="126"/>
      <c r="BJ413" s="126"/>
      <c r="BK413" s="126"/>
      <c r="BL413" s="126"/>
      <c r="BM413" s="126"/>
      <c r="BN413" s="126"/>
      <c r="BO413" s="126"/>
      <c r="BP413" s="126"/>
      <c r="BQ413" s="126"/>
      <c r="BR413" s="126"/>
      <c r="BS413" s="126"/>
      <c r="BT413" s="126"/>
      <c r="BU413" s="126"/>
      <c r="BV413" s="126"/>
      <c r="BW413" s="126"/>
      <c r="BX413" s="126"/>
    </row>
    <row r="414">
      <c r="A414" s="126"/>
      <c r="B414" s="126"/>
      <c r="C414" s="127"/>
      <c r="D414" s="126"/>
      <c r="E414" s="126"/>
      <c r="F414" s="127"/>
      <c r="G414" s="126"/>
      <c r="H414" s="127"/>
      <c r="I414" s="126"/>
      <c r="J414" s="126"/>
      <c r="K414" s="127"/>
      <c r="L414" s="126"/>
      <c r="M414" s="126"/>
      <c r="N414" s="127"/>
      <c r="O414" s="126"/>
      <c r="P414" s="126"/>
      <c r="Q414" s="127"/>
      <c r="R414" s="126"/>
      <c r="S414" s="126"/>
      <c r="T414" s="127"/>
      <c r="U414" s="126"/>
      <c r="V414" s="126"/>
      <c r="W414" s="127"/>
      <c r="X414" s="126"/>
      <c r="Y414" s="126"/>
      <c r="Z414" s="127"/>
      <c r="AA414" s="126"/>
      <c r="AB414" s="126"/>
      <c r="AC414" s="127"/>
      <c r="AD414" s="126"/>
      <c r="AE414" s="126"/>
      <c r="AF414" s="126"/>
      <c r="AG414" s="127"/>
      <c r="AH414" s="126"/>
      <c r="AI414" s="126"/>
      <c r="AJ414" s="127"/>
      <c r="AK414" s="126"/>
      <c r="AL414" s="126"/>
      <c r="AM414" s="127"/>
      <c r="AN414" s="126"/>
      <c r="AO414" s="126"/>
      <c r="AP414" s="127"/>
      <c r="AQ414" s="126"/>
      <c r="AR414" s="126"/>
      <c r="AS414" s="127"/>
      <c r="AT414" s="126"/>
      <c r="AU414" s="126"/>
      <c r="AV414" s="127"/>
      <c r="AW414" s="126"/>
      <c r="AX414" s="126"/>
      <c r="AY414" s="127"/>
      <c r="AZ414" s="126"/>
      <c r="BA414" s="126"/>
      <c r="BB414" s="127"/>
      <c r="BC414" s="126"/>
      <c r="BD414" s="134"/>
      <c r="BE414" s="127"/>
      <c r="BF414" s="126"/>
      <c r="BG414" s="126"/>
      <c r="BH414" s="126"/>
      <c r="BI414" s="126"/>
      <c r="BJ414" s="126"/>
      <c r="BK414" s="126"/>
      <c r="BL414" s="126"/>
      <c r="BM414" s="126"/>
      <c r="BN414" s="126"/>
      <c r="BO414" s="126"/>
      <c r="BP414" s="126"/>
      <c r="BQ414" s="126"/>
      <c r="BR414" s="126"/>
      <c r="BS414" s="126"/>
      <c r="BT414" s="126"/>
      <c r="BU414" s="126"/>
      <c r="BV414" s="126"/>
      <c r="BW414" s="126"/>
      <c r="BX414" s="126"/>
    </row>
    <row r="415">
      <c r="A415" s="126"/>
      <c r="B415" s="126"/>
      <c r="C415" s="127"/>
      <c r="D415" s="126"/>
      <c r="E415" s="126"/>
      <c r="F415" s="127"/>
      <c r="G415" s="126"/>
      <c r="H415" s="127"/>
      <c r="I415" s="126"/>
      <c r="J415" s="126"/>
      <c r="K415" s="127"/>
      <c r="L415" s="126"/>
      <c r="M415" s="126"/>
      <c r="N415" s="127"/>
      <c r="O415" s="126"/>
      <c r="P415" s="126"/>
      <c r="Q415" s="127"/>
      <c r="R415" s="126"/>
      <c r="S415" s="126"/>
      <c r="T415" s="127"/>
      <c r="U415" s="126"/>
      <c r="V415" s="126"/>
      <c r="W415" s="127"/>
      <c r="X415" s="126"/>
      <c r="Y415" s="126"/>
      <c r="Z415" s="127"/>
      <c r="AA415" s="126"/>
      <c r="AB415" s="126"/>
      <c r="AC415" s="127"/>
      <c r="AD415" s="126"/>
      <c r="AE415" s="126"/>
      <c r="AF415" s="126"/>
      <c r="AG415" s="127"/>
      <c r="AH415" s="126"/>
      <c r="AI415" s="126"/>
      <c r="AJ415" s="127"/>
      <c r="AK415" s="126"/>
      <c r="AL415" s="126"/>
      <c r="AM415" s="127"/>
      <c r="AN415" s="126"/>
      <c r="AO415" s="126"/>
      <c r="AP415" s="127"/>
      <c r="AQ415" s="126"/>
      <c r="AR415" s="126"/>
      <c r="AS415" s="127"/>
      <c r="AT415" s="126"/>
      <c r="AU415" s="126"/>
      <c r="AV415" s="127"/>
      <c r="AW415" s="126"/>
      <c r="AX415" s="126"/>
      <c r="AY415" s="127"/>
      <c r="AZ415" s="126"/>
      <c r="BA415" s="126"/>
      <c r="BB415" s="127"/>
      <c r="BC415" s="126"/>
      <c r="BD415" s="134"/>
      <c r="BE415" s="127"/>
      <c r="BF415" s="126"/>
      <c r="BG415" s="126"/>
      <c r="BH415" s="126"/>
      <c r="BI415" s="126"/>
      <c r="BJ415" s="126"/>
      <c r="BK415" s="126"/>
      <c r="BL415" s="126"/>
      <c r="BM415" s="126"/>
      <c r="BN415" s="126"/>
      <c r="BO415" s="126"/>
      <c r="BP415" s="126"/>
      <c r="BQ415" s="126"/>
      <c r="BR415" s="126"/>
      <c r="BS415" s="126"/>
      <c r="BT415" s="126"/>
      <c r="BU415" s="126"/>
      <c r="BV415" s="126"/>
      <c r="BW415" s="126"/>
      <c r="BX415" s="126"/>
    </row>
    <row r="416">
      <c r="A416" s="126"/>
      <c r="B416" s="126"/>
      <c r="C416" s="127"/>
      <c r="D416" s="126"/>
      <c r="E416" s="126"/>
      <c r="F416" s="127"/>
      <c r="G416" s="126"/>
      <c r="H416" s="127"/>
      <c r="I416" s="126"/>
      <c r="J416" s="126"/>
      <c r="K416" s="127"/>
      <c r="L416" s="126"/>
      <c r="M416" s="126"/>
      <c r="N416" s="127"/>
      <c r="O416" s="126"/>
      <c r="P416" s="126"/>
      <c r="Q416" s="127"/>
      <c r="R416" s="126"/>
      <c r="S416" s="126"/>
      <c r="T416" s="127"/>
      <c r="U416" s="126"/>
      <c r="V416" s="126"/>
      <c r="W416" s="127"/>
      <c r="X416" s="126"/>
      <c r="Y416" s="126"/>
      <c r="Z416" s="127"/>
      <c r="AA416" s="126"/>
      <c r="AB416" s="126"/>
      <c r="AC416" s="127"/>
      <c r="AD416" s="126"/>
      <c r="AE416" s="126"/>
      <c r="AF416" s="126"/>
      <c r="AG416" s="127"/>
      <c r="AH416" s="126"/>
      <c r="AI416" s="126"/>
      <c r="AJ416" s="127"/>
      <c r="AK416" s="126"/>
      <c r="AL416" s="126"/>
      <c r="AM416" s="127"/>
      <c r="AN416" s="126"/>
      <c r="AO416" s="126"/>
      <c r="AP416" s="127"/>
      <c r="AQ416" s="126"/>
      <c r="AR416" s="126"/>
      <c r="AS416" s="127"/>
      <c r="AT416" s="126"/>
      <c r="AU416" s="126"/>
      <c r="AV416" s="127"/>
      <c r="AW416" s="126"/>
      <c r="AX416" s="126"/>
      <c r="AY416" s="127"/>
      <c r="AZ416" s="126"/>
      <c r="BA416" s="126"/>
      <c r="BB416" s="127"/>
      <c r="BC416" s="126"/>
      <c r="BD416" s="134"/>
      <c r="BE416" s="127"/>
      <c r="BF416" s="126"/>
      <c r="BG416" s="126"/>
      <c r="BH416" s="126"/>
      <c r="BI416" s="126"/>
      <c r="BJ416" s="126"/>
      <c r="BK416" s="126"/>
      <c r="BL416" s="126"/>
      <c r="BM416" s="126"/>
      <c r="BN416" s="126"/>
      <c r="BO416" s="126"/>
      <c r="BP416" s="126"/>
      <c r="BQ416" s="126"/>
      <c r="BR416" s="126"/>
      <c r="BS416" s="126"/>
      <c r="BT416" s="126"/>
      <c r="BU416" s="126"/>
      <c r="BV416" s="126"/>
      <c r="BW416" s="126"/>
      <c r="BX416" s="126"/>
    </row>
    <row r="417">
      <c r="A417" s="126"/>
      <c r="B417" s="126"/>
      <c r="C417" s="127"/>
      <c r="D417" s="126"/>
      <c r="E417" s="126"/>
      <c r="F417" s="127"/>
      <c r="G417" s="126"/>
      <c r="H417" s="127"/>
      <c r="I417" s="126"/>
      <c r="J417" s="126"/>
      <c r="K417" s="127"/>
      <c r="L417" s="126"/>
      <c r="M417" s="126"/>
      <c r="N417" s="127"/>
      <c r="O417" s="126"/>
      <c r="P417" s="126"/>
      <c r="Q417" s="127"/>
      <c r="R417" s="126"/>
      <c r="S417" s="126"/>
      <c r="T417" s="127"/>
      <c r="U417" s="126"/>
      <c r="V417" s="126"/>
      <c r="W417" s="127"/>
      <c r="X417" s="126"/>
      <c r="Y417" s="126"/>
      <c r="Z417" s="127"/>
      <c r="AA417" s="126"/>
      <c r="AB417" s="126"/>
      <c r="AC417" s="127"/>
      <c r="AD417" s="126"/>
      <c r="AE417" s="126"/>
      <c r="AF417" s="126"/>
      <c r="AG417" s="127"/>
      <c r="AH417" s="126"/>
      <c r="AI417" s="126"/>
      <c r="AJ417" s="127"/>
      <c r="AK417" s="126"/>
      <c r="AL417" s="126"/>
      <c r="AM417" s="127"/>
      <c r="AN417" s="126"/>
      <c r="AO417" s="126"/>
      <c r="AP417" s="127"/>
      <c r="AQ417" s="126"/>
      <c r="AR417" s="126"/>
      <c r="AS417" s="127"/>
      <c r="AT417" s="126"/>
      <c r="AU417" s="126"/>
      <c r="AV417" s="127"/>
      <c r="AW417" s="126"/>
      <c r="AX417" s="126"/>
      <c r="AY417" s="127"/>
      <c r="AZ417" s="126"/>
      <c r="BA417" s="126"/>
      <c r="BB417" s="127"/>
      <c r="BC417" s="126"/>
      <c r="BD417" s="134"/>
      <c r="BE417" s="127"/>
      <c r="BF417" s="126"/>
      <c r="BG417" s="126"/>
      <c r="BH417" s="126"/>
      <c r="BI417" s="126"/>
      <c r="BJ417" s="126"/>
      <c r="BK417" s="126"/>
      <c r="BL417" s="126"/>
      <c r="BM417" s="126"/>
      <c r="BN417" s="126"/>
      <c r="BO417" s="126"/>
      <c r="BP417" s="126"/>
      <c r="BQ417" s="126"/>
      <c r="BR417" s="126"/>
      <c r="BS417" s="126"/>
      <c r="BT417" s="126"/>
      <c r="BU417" s="126"/>
      <c r="BV417" s="126"/>
      <c r="BW417" s="126"/>
      <c r="BX417" s="126"/>
    </row>
    <row r="418">
      <c r="A418" s="126"/>
      <c r="B418" s="126"/>
      <c r="C418" s="127"/>
      <c r="D418" s="126"/>
      <c r="E418" s="126"/>
      <c r="F418" s="127"/>
      <c r="G418" s="126"/>
      <c r="H418" s="127"/>
      <c r="I418" s="126"/>
      <c r="J418" s="126"/>
      <c r="K418" s="127"/>
      <c r="L418" s="126"/>
      <c r="M418" s="126"/>
      <c r="N418" s="127"/>
      <c r="O418" s="126"/>
      <c r="P418" s="126"/>
      <c r="Q418" s="127"/>
      <c r="R418" s="126"/>
      <c r="S418" s="126"/>
      <c r="T418" s="127"/>
      <c r="U418" s="126"/>
      <c r="V418" s="126"/>
      <c r="W418" s="127"/>
      <c r="X418" s="126"/>
      <c r="Y418" s="126"/>
      <c r="Z418" s="127"/>
      <c r="AA418" s="126"/>
      <c r="AB418" s="126"/>
      <c r="AC418" s="127"/>
      <c r="AD418" s="126"/>
      <c r="AE418" s="126"/>
      <c r="AF418" s="126"/>
      <c r="AG418" s="127"/>
      <c r="AH418" s="126"/>
      <c r="AI418" s="126"/>
      <c r="AJ418" s="127"/>
      <c r="AK418" s="126"/>
      <c r="AL418" s="126"/>
      <c r="AM418" s="127"/>
      <c r="AN418" s="126"/>
      <c r="AO418" s="126"/>
      <c r="AP418" s="127"/>
      <c r="AQ418" s="126"/>
      <c r="AR418" s="126"/>
      <c r="AS418" s="127"/>
      <c r="AT418" s="126"/>
      <c r="AU418" s="126"/>
      <c r="AV418" s="127"/>
      <c r="AW418" s="126"/>
      <c r="AX418" s="126"/>
      <c r="AY418" s="127"/>
      <c r="AZ418" s="126"/>
      <c r="BA418" s="126"/>
      <c r="BB418" s="127"/>
      <c r="BC418" s="126"/>
      <c r="BD418" s="134"/>
      <c r="BE418" s="127"/>
      <c r="BF418" s="126"/>
      <c r="BG418" s="126"/>
      <c r="BH418" s="126"/>
      <c r="BI418" s="126"/>
      <c r="BJ418" s="126"/>
      <c r="BK418" s="126"/>
      <c r="BL418" s="126"/>
      <c r="BM418" s="126"/>
      <c r="BN418" s="126"/>
      <c r="BO418" s="126"/>
      <c r="BP418" s="126"/>
      <c r="BQ418" s="126"/>
      <c r="BR418" s="126"/>
      <c r="BS418" s="126"/>
      <c r="BT418" s="126"/>
      <c r="BU418" s="126"/>
      <c r="BV418" s="126"/>
      <c r="BW418" s="126"/>
      <c r="BX418" s="126"/>
    </row>
    <row r="419">
      <c r="A419" s="126"/>
      <c r="B419" s="126"/>
      <c r="C419" s="127"/>
      <c r="D419" s="126"/>
      <c r="E419" s="126"/>
      <c r="F419" s="127"/>
      <c r="G419" s="126"/>
      <c r="H419" s="127"/>
      <c r="I419" s="126"/>
      <c r="J419" s="126"/>
      <c r="K419" s="127"/>
      <c r="L419" s="126"/>
      <c r="M419" s="126"/>
      <c r="N419" s="127"/>
      <c r="O419" s="126"/>
      <c r="P419" s="126"/>
      <c r="Q419" s="127"/>
      <c r="R419" s="126"/>
      <c r="S419" s="126"/>
      <c r="T419" s="127"/>
      <c r="U419" s="126"/>
      <c r="V419" s="126"/>
      <c r="W419" s="127"/>
      <c r="X419" s="126"/>
      <c r="Y419" s="126"/>
      <c r="Z419" s="127"/>
      <c r="AA419" s="126"/>
      <c r="AB419" s="126"/>
      <c r="AC419" s="127"/>
      <c r="AD419" s="126"/>
      <c r="AE419" s="126"/>
      <c r="AF419" s="126"/>
      <c r="AG419" s="127"/>
      <c r="AH419" s="126"/>
      <c r="AI419" s="126"/>
      <c r="AJ419" s="127"/>
      <c r="AK419" s="126"/>
      <c r="AL419" s="126"/>
      <c r="AM419" s="127"/>
      <c r="AN419" s="126"/>
      <c r="AO419" s="126"/>
      <c r="AP419" s="127"/>
      <c r="AQ419" s="126"/>
      <c r="AR419" s="126"/>
      <c r="AS419" s="127"/>
      <c r="AT419" s="126"/>
      <c r="AU419" s="126"/>
      <c r="AV419" s="127"/>
      <c r="AW419" s="126"/>
      <c r="AX419" s="126"/>
      <c r="AY419" s="127"/>
      <c r="AZ419" s="126"/>
      <c r="BA419" s="126"/>
      <c r="BB419" s="127"/>
      <c r="BC419" s="126"/>
      <c r="BD419" s="134"/>
      <c r="BE419" s="127"/>
      <c r="BF419" s="126"/>
      <c r="BG419" s="126"/>
      <c r="BH419" s="126"/>
      <c r="BI419" s="126"/>
      <c r="BJ419" s="126"/>
      <c r="BK419" s="126"/>
      <c r="BL419" s="126"/>
      <c r="BM419" s="126"/>
      <c r="BN419" s="126"/>
      <c r="BO419" s="126"/>
      <c r="BP419" s="126"/>
      <c r="BQ419" s="126"/>
      <c r="BR419" s="126"/>
      <c r="BS419" s="126"/>
      <c r="BT419" s="126"/>
      <c r="BU419" s="126"/>
      <c r="BV419" s="126"/>
      <c r="BW419" s="126"/>
      <c r="BX419" s="126"/>
    </row>
    <row r="420">
      <c r="A420" s="126"/>
      <c r="B420" s="126"/>
      <c r="C420" s="127"/>
      <c r="D420" s="126"/>
      <c r="E420" s="126"/>
      <c r="F420" s="127"/>
      <c r="G420" s="126"/>
      <c r="H420" s="127"/>
      <c r="I420" s="126"/>
      <c r="J420" s="126"/>
      <c r="K420" s="127"/>
      <c r="L420" s="126"/>
      <c r="M420" s="126"/>
      <c r="N420" s="127"/>
      <c r="O420" s="126"/>
      <c r="P420" s="126"/>
      <c r="Q420" s="127"/>
      <c r="R420" s="126"/>
      <c r="S420" s="126"/>
      <c r="T420" s="127"/>
      <c r="U420" s="126"/>
      <c r="V420" s="126"/>
      <c r="W420" s="127"/>
      <c r="X420" s="126"/>
      <c r="Y420" s="126"/>
      <c r="Z420" s="127"/>
      <c r="AA420" s="126"/>
      <c r="AB420" s="126"/>
      <c r="AC420" s="127"/>
      <c r="AD420" s="126"/>
      <c r="AE420" s="126"/>
      <c r="AF420" s="126"/>
      <c r="AG420" s="127"/>
      <c r="AH420" s="126"/>
      <c r="AI420" s="126"/>
      <c r="AJ420" s="127"/>
      <c r="AK420" s="126"/>
      <c r="AL420" s="126"/>
      <c r="AM420" s="127"/>
      <c r="AN420" s="126"/>
      <c r="AO420" s="126"/>
      <c r="AP420" s="127"/>
      <c r="AQ420" s="126"/>
      <c r="AR420" s="126"/>
      <c r="AS420" s="127"/>
      <c r="AT420" s="126"/>
      <c r="AU420" s="126"/>
      <c r="AV420" s="127"/>
      <c r="AW420" s="126"/>
      <c r="AX420" s="126"/>
      <c r="AY420" s="127"/>
      <c r="AZ420" s="126"/>
      <c r="BA420" s="126"/>
      <c r="BB420" s="127"/>
      <c r="BC420" s="126"/>
      <c r="BD420" s="134"/>
      <c r="BE420" s="127"/>
      <c r="BF420" s="126"/>
      <c r="BG420" s="126"/>
      <c r="BH420" s="126"/>
      <c r="BI420" s="126"/>
      <c r="BJ420" s="126"/>
      <c r="BK420" s="126"/>
      <c r="BL420" s="126"/>
      <c r="BM420" s="126"/>
      <c r="BN420" s="126"/>
      <c r="BO420" s="126"/>
      <c r="BP420" s="126"/>
      <c r="BQ420" s="126"/>
      <c r="BR420" s="126"/>
      <c r="BS420" s="126"/>
      <c r="BT420" s="126"/>
      <c r="BU420" s="126"/>
      <c r="BV420" s="126"/>
      <c r="BW420" s="126"/>
      <c r="BX420" s="126"/>
    </row>
    <row r="421">
      <c r="A421" s="126"/>
      <c r="B421" s="126"/>
      <c r="C421" s="127"/>
      <c r="D421" s="126"/>
      <c r="E421" s="126"/>
      <c r="F421" s="127"/>
      <c r="G421" s="126"/>
      <c r="H421" s="127"/>
      <c r="I421" s="126"/>
      <c r="J421" s="126"/>
      <c r="K421" s="127"/>
      <c r="L421" s="126"/>
      <c r="M421" s="126"/>
      <c r="N421" s="127"/>
      <c r="O421" s="126"/>
      <c r="P421" s="126"/>
      <c r="Q421" s="127"/>
      <c r="R421" s="126"/>
      <c r="S421" s="126"/>
      <c r="T421" s="127"/>
      <c r="U421" s="126"/>
      <c r="V421" s="126"/>
      <c r="W421" s="127"/>
      <c r="X421" s="126"/>
      <c r="Y421" s="126"/>
      <c r="Z421" s="127"/>
      <c r="AA421" s="126"/>
      <c r="AB421" s="126"/>
      <c r="AC421" s="127"/>
      <c r="AD421" s="126"/>
      <c r="AE421" s="126"/>
      <c r="AF421" s="126"/>
      <c r="AG421" s="127"/>
      <c r="AH421" s="126"/>
      <c r="AI421" s="126"/>
      <c r="AJ421" s="127"/>
      <c r="AK421" s="126"/>
      <c r="AL421" s="126"/>
      <c r="AM421" s="127"/>
      <c r="AN421" s="126"/>
      <c r="AO421" s="126"/>
      <c r="AP421" s="127"/>
      <c r="AQ421" s="126"/>
      <c r="AR421" s="126"/>
      <c r="AS421" s="127"/>
      <c r="AT421" s="126"/>
      <c r="AU421" s="126"/>
      <c r="AV421" s="127"/>
      <c r="AW421" s="126"/>
      <c r="AX421" s="126"/>
      <c r="AY421" s="127"/>
      <c r="AZ421" s="126"/>
      <c r="BA421" s="126"/>
      <c r="BB421" s="127"/>
      <c r="BC421" s="126"/>
      <c r="BD421" s="134"/>
      <c r="BE421" s="127"/>
      <c r="BF421" s="126"/>
      <c r="BG421" s="126"/>
      <c r="BH421" s="126"/>
      <c r="BI421" s="126"/>
      <c r="BJ421" s="126"/>
      <c r="BK421" s="126"/>
      <c r="BL421" s="126"/>
      <c r="BM421" s="126"/>
      <c r="BN421" s="126"/>
      <c r="BO421" s="126"/>
      <c r="BP421" s="126"/>
      <c r="BQ421" s="126"/>
      <c r="BR421" s="126"/>
      <c r="BS421" s="126"/>
      <c r="BT421" s="126"/>
      <c r="BU421" s="126"/>
      <c r="BV421" s="126"/>
      <c r="BW421" s="126"/>
      <c r="BX421" s="126"/>
    </row>
    <row r="422">
      <c r="A422" s="126"/>
      <c r="B422" s="126"/>
      <c r="C422" s="127"/>
      <c r="D422" s="126"/>
      <c r="E422" s="126"/>
      <c r="F422" s="127"/>
      <c r="G422" s="126"/>
      <c r="H422" s="127"/>
      <c r="I422" s="126"/>
      <c r="J422" s="126"/>
      <c r="K422" s="127"/>
      <c r="L422" s="126"/>
      <c r="M422" s="126"/>
      <c r="N422" s="127"/>
      <c r="O422" s="126"/>
      <c r="P422" s="126"/>
      <c r="Q422" s="127"/>
      <c r="R422" s="126"/>
      <c r="S422" s="126"/>
      <c r="T422" s="127"/>
      <c r="U422" s="126"/>
      <c r="V422" s="126"/>
      <c r="W422" s="127"/>
      <c r="X422" s="126"/>
      <c r="Y422" s="126"/>
      <c r="Z422" s="127"/>
      <c r="AA422" s="126"/>
      <c r="AB422" s="126"/>
      <c r="AC422" s="127"/>
      <c r="AD422" s="126"/>
      <c r="AE422" s="126"/>
      <c r="AF422" s="126"/>
      <c r="AG422" s="127"/>
      <c r="AH422" s="126"/>
      <c r="AI422" s="126"/>
      <c r="AJ422" s="127"/>
      <c r="AK422" s="126"/>
      <c r="AL422" s="126"/>
      <c r="AM422" s="127"/>
      <c r="AN422" s="126"/>
      <c r="AO422" s="126"/>
      <c r="AP422" s="127"/>
      <c r="AQ422" s="126"/>
      <c r="AR422" s="126"/>
      <c r="AS422" s="127"/>
      <c r="AT422" s="126"/>
      <c r="AU422" s="126"/>
      <c r="AV422" s="127"/>
      <c r="AW422" s="126"/>
      <c r="AX422" s="126"/>
      <c r="AY422" s="127"/>
      <c r="AZ422" s="126"/>
      <c r="BA422" s="126"/>
      <c r="BB422" s="127"/>
      <c r="BC422" s="126"/>
      <c r="BD422" s="134"/>
      <c r="BE422" s="127"/>
      <c r="BF422" s="126"/>
      <c r="BG422" s="126"/>
      <c r="BH422" s="126"/>
      <c r="BI422" s="126"/>
      <c r="BJ422" s="126"/>
      <c r="BK422" s="126"/>
      <c r="BL422" s="126"/>
      <c r="BM422" s="126"/>
      <c r="BN422" s="126"/>
      <c r="BO422" s="126"/>
      <c r="BP422" s="126"/>
      <c r="BQ422" s="126"/>
      <c r="BR422" s="126"/>
      <c r="BS422" s="126"/>
      <c r="BT422" s="126"/>
      <c r="BU422" s="126"/>
      <c r="BV422" s="126"/>
      <c r="BW422" s="126"/>
      <c r="BX422" s="126"/>
    </row>
    <row r="423">
      <c r="A423" s="126"/>
      <c r="B423" s="126"/>
      <c r="C423" s="127"/>
      <c r="D423" s="126"/>
      <c r="E423" s="126"/>
      <c r="F423" s="127"/>
      <c r="G423" s="126"/>
      <c r="H423" s="127"/>
      <c r="I423" s="126"/>
      <c r="J423" s="126"/>
      <c r="K423" s="127"/>
      <c r="L423" s="126"/>
      <c r="M423" s="126"/>
      <c r="N423" s="127"/>
      <c r="O423" s="126"/>
      <c r="P423" s="126"/>
      <c r="Q423" s="127"/>
      <c r="R423" s="126"/>
      <c r="S423" s="126"/>
      <c r="T423" s="127"/>
      <c r="U423" s="126"/>
      <c r="V423" s="126"/>
      <c r="W423" s="127"/>
      <c r="X423" s="126"/>
      <c r="Y423" s="126"/>
      <c r="Z423" s="127"/>
      <c r="AA423" s="126"/>
      <c r="AB423" s="126"/>
      <c r="AC423" s="127"/>
      <c r="AD423" s="126"/>
      <c r="AE423" s="126"/>
      <c r="AF423" s="126"/>
      <c r="AG423" s="127"/>
      <c r="AH423" s="126"/>
      <c r="AI423" s="126"/>
      <c r="AJ423" s="127"/>
      <c r="AK423" s="126"/>
      <c r="AL423" s="126"/>
      <c r="AM423" s="127"/>
      <c r="AN423" s="126"/>
      <c r="AO423" s="126"/>
      <c r="AP423" s="127"/>
      <c r="AQ423" s="126"/>
      <c r="AR423" s="126"/>
      <c r="AS423" s="127"/>
      <c r="AT423" s="126"/>
      <c r="AU423" s="126"/>
      <c r="AV423" s="127"/>
      <c r="AW423" s="126"/>
      <c r="AX423" s="126"/>
      <c r="AY423" s="127"/>
      <c r="AZ423" s="126"/>
      <c r="BA423" s="126"/>
      <c r="BB423" s="127"/>
      <c r="BC423" s="126"/>
      <c r="BD423" s="134"/>
      <c r="BE423" s="127"/>
      <c r="BF423" s="126"/>
      <c r="BG423" s="126"/>
      <c r="BH423" s="126"/>
      <c r="BI423" s="126"/>
      <c r="BJ423" s="126"/>
      <c r="BK423" s="126"/>
      <c r="BL423" s="126"/>
      <c r="BM423" s="126"/>
      <c r="BN423" s="126"/>
      <c r="BO423" s="126"/>
      <c r="BP423" s="126"/>
      <c r="BQ423" s="126"/>
      <c r="BR423" s="126"/>
      <c r="BS423" s="126"/>
      <c r="BT423" s="126"/>
      <c r="BU423" s="126"/>
      <c r="BV423" s="126"/>
      <c r="BW423" s="126"/>
      <c r="BX423" s="126"/>
    </row>
    <row r="424">
      <c r="A424" s="126"/>
      <c r="B424" s="126"/>
      <c r="C424" s="127"/>
      <c r="D424" s="126"/>
      <c r="E424" s="126"/>
      <c r="F424" s="127"/>
      <c r="G424" s="126"/>
      <c r="H424" s="127"/>
      <c r="I424" s="126"/>
      <c r="J424" s="126"/>
      <c r="K424" s="127"/>
      <c r="L424" s="126"/>
      <c r="M424" s="126"/>
      <c r="N424" s="127"/>
      <c r="O424" s="126"/>
      <c r="P424" s="126"/>
      <c r="Q424" s="127"/>
      <c r="R424" s="126"/>
      <c r="S424" s="126"/>
      <c r="T424" s="127"/>
      <c r="U424" s="126"/>
      <c r="V424" s="126"/>
      <c r="W424" s="127"/>
      <c r="X424" s="126"/>
      <c r="Y424" s="126"/>
      <c r="Z424" s="127"/>
      <c r="AA424" s="126"/>
      <c r="AB424" s="126"/>
      <c r="AC424" s="127"/>
      <c r="AD424" s="126"/>
      <c r="AE424" s="126"/>
      <c r="AF424" s="126"/>
      <c r="AG424" s="127"/>
      <c r="AH424" s="126"/>
      <c r="AI424" s="126"/>
      <c r="AJ424" s="127"/>
      <c r="AK424" s="126"/>
      <c r="AL424" s="126"/>
      <c r="AM424" s="127"/>
      <c r="AN424" s="126"/>
      <c r="AO424" s="126"/>
      <c r="AP424" s="127"/>
      <c r="AQ424" s="126"/>
      <c r="AR424" s="126"/>
      <c r="AS424" s="127"/>
      <c r="AT424" s="126"/>
      <c r="AU424" s="126"/>
      <c r="AV424" s="127"/>
      <c r="AW424" s="126"/>
      <c r="AX424" s="126"/>
      <c r="AY424" s="127"/>
      <c r="AZ424" s="126"/>
      <c r="BA424" s="126"/>
      <c r="BB424" s="127"/>
      <c r="BC424" s="126"/>
      <c r="BD424" s="134"/>
      <c r="BE424" s="127"/>
      <c r="BF424" s="126"/>
      <c r="BG424" s="126"/>
      <c r="BH424" s="126"/>
      <c r="BI424" s="126"/>
      <c r="BJ424" s="126"/>
      <c r="BK424" s="126"/>
      <c r="BL424" s="126"/>
      <c r="BM424" s="126"/>
      <c r="BN424" s="126"/>
      <c r="BO424" s="126"/>
      <c r="BP424" s="126"/>
      <c r="BQ424" s="126"/>
      <c r="BR424" s="126"/>
      <c r="BS424" s="126"/>
      <c r="BT424" s="126"/>
      <c r="BU424" s="126"/>
      <c r="BV424" s="126"/>
      <c r="BW424" s="126"/>
      <c r="BX424" s="126"/>
    </row>
    <row r="425">
      <c r="A425" s="126"/>
      <c r="B425" s="126"/>
      <c r="C425" s="127"/>
      <c r="D425" s="126"/>
      <c r="E425" s="126"/>
      <c r="F425" s="127"/>
      <c r="G425" s="126"/>
      <c r="H425" s="127"/>
      <c r="I425" s="126"/>
      <c r="J425" s="126"/>
      <c r="K425" s="127"/>
      <c r="L425" s="126"/>
      <c r="M425" s="126"/>
      <c r="N425" s="127"/>
      <c r="O425" s="126"/>
      <c r="P425" s="126"/>
      <c r="Q425" s="127"/>
      <c r="R425" s="126"/>
      <c r="S425" s="126"/>
      <c r="T425" s="127"/>
      <c r="U425" s="126"/>
      <c r="V425" s="126"/>
      <c r="W425" s="127"/>
      <c r="X425" s="126"/>
      <c r="Y425" s="126"/>
      <c r="Z425" s="127"/>
      <c r="AA425" s="126"/>
      <c r="AB425" s="126"/>
      <c r="AC425" s="127"/>
      <c r="AD425" s="126"/>
      <c r="AE425" s="126"/>
      <c r="AF425" s="126"/>
      <c r="AG425" s="127"/>
      <c r="AH425" s="126"/>
      <c r="AI425" s="126"/>
      <c r="AJ425" s="127"/>
      <c r="AK425" s="126"/>
      <c r="AL425" s="126"/>
      <c r="AM425" s="127"/>
      <c r="AN425" s="126"/>
      <c r="AO425" s="126"/>
      <c r="AP425" s="127"/>
      <c r="AQ425" s="126"/>
      <c r="AR425" s="126"/>
      <c r="AS425" s="127"/>
      <c r="AT425" s="126"/>
      <c r="AU425" s="126"/>
      <c r="AV425" s="127"/>
      <c r="AW425" s="126"/>
      <c r="AX425" s="126"/>
      <c r="AY425" s="127"/>
      <c r="AZ425" s="126"/>
      <c r="BA425" s="126"/>
      <c r="BB425" s="127"/>
      <c r="BC425" s="126"/>
      <c r="BD425" s="134"/>
      <c r="BE425" s="127"/>
      <c r="BF425" s="126"/>
      <c r="BG425" s="126"/>
      <c r="BH425" s="126"/>
      <c r="BI425" s="126"/>
      <c r="BJ425" s="126"/>
      <c r="BK425" s="126"/>
      <c r="BL425" s="126"/>
      <c r="BM425" s="126"/>
      <c r="BN425" s="126"/>
      <c r="BO425" s="126"/>
      <c r="BP425" s="126"/>
      <c r="BQ425" s="126"/>
      <c r="BR425" s="126"/>
      <c r="BS425" s="126"/>
      <c r="BT425" s="126"/>
      <c r="BU425" s="126"/>
      <c r="BV425" s="126"/>
      <c r="BW425" s="126"/>
      <c r="BX425" s="126"/>
    </row>
    <row r="426">
      <c r="A426" s="126"/>
      <c r="B426" s="126"/>
      <c r="C426" s="127"/>
      <c r="D426" s="126"/>
      <c r="E426" s="126"/>
      <c r="F426" s="127"/>
      <c r="G426" s="126"/>
      <c r="H426" s="127"/>
      <c r="I426" s="126"/>
      <c r="J426" s="126"/>
      <c r="K426" s="127"/>
      <c r="L426" s="126"/>
      <c r="M426" s="126"/>
      <c r="N426" s="127"/>
      <c r="O426" s="126"/>
      <c r="P426" s="126"/>
      <c r="Q426" s="127"/>
      <c r="R426" s="126"/>
      <c r="S426" s="126"/>
      <c r="T426" s="127"/>
      <c r="U426" s="126"/>
      <c r="V426" s="126"/>
      <c r="W426" s="127"/>
      <c r="X426" s="126"/>
      <c r="Y426" s="126"/>
      <c r="Z426" s="127"/>
      <c r="AA426" s="126"/>
      <c r="AB426" s="126"/>
      <c r="AC426" s="127"/>
      <c r="AD426" s="126"/>
      <c r="AE426" s="126"/>
      <c r="AF426" s="126"/>
      <c r="AG426" s="127"/>
      <c r="AH426" s="126"/>
      <c r="AI426" s="126"/>
      <c r="AJ426" s="127"/>
      <c r="AK426" s="126"/>
      <c r="AL426" s="126"/>
      <c r="AM426" s="127"/>
      <c r="AN426" s="126"/>
      <c r="AO426" s="126"/>
      <c r="AP426" s="127"/>
      <c r="AQ426" s="126"/>
      <c r="AR426" s="126"/>
      <c r="AS426" s="127"/>
      <c r="AT426" s="126"/>
      <c r="AU426" s="126"/>
      <c r="AV426" s="127"/>
      <c r="AW426" s="126"/>
      <c r="AX426" s="126"/>
      <c r="AY426" s="127"/>
      <c r="AZ426" s="126"/>
      <c r="BA426" s="126"/>
      <c r="BB426" s="127"/>
      <c r="BC426" s="126"/>
      <c r="BD426" s="134"/>
      <c r="BE426" s="127"/>
      <c r="BF426" s="126"/>
      <c r="BG426" s="126"/>
      <c r="BH426" s="126"/>
      <c r="BI426" s="126"/>
      <c r="BJ426" s="126"/>
      <c r="BK426" s="126"/>
      <c r="BL426" s="126"/>
      <c r="BM426" s="126"/>
      <c r="BN426" s="126"/>
      <c r="BO426" s="126"/>
      <c r="BP426" s="126"/>
      <c r="BQ426" s="126"/>
      <c r="BR426" s="126"/>
      <c r="BS426" s="126"/>
      <c r="BT426" s="126"/>
      <c r="BU426" s="126"/>
      <c r="BV426" s="126"/>
      <c r="BW426" s="126"/>
      <c r="BX426" s="126"/>
    </row>
    <row r="427">
      <c r="A427" s="126"/>
      <c r="B427" s="126"/>
      <c r="C427" s="127"/>
      <c r="D427" s="126"/>
      <c r="E427" s="126"/>
      <c r="F427" s="127"/>
      <c r="G427" s="126"/>
      <c r="H427" s="127"/>
      <c r="I427" s="126"/>
      <c r="J427" s="126"/>
      <c r="K427" s="127"/>
      <c r="L427" s="126"/>
      <c r="M427" s="126"/>
      <c r="N427" s="127"/>
      <c r="O427" s="126"/>
      <c r="P427" s="126"/>
      <c r="Q427" s="127"/>
      <c r="R427" s="126"/>
      <c r="S427" s="126"/>
      <c r="T427" s="127"/>
      <c r="U427" s="126"/>
      <c r="V427" s="126"/>
      <c r="W427" s="127"/>
      <c r="X427" s="126"/>
      <c r="Y427" s="126"/>
      <c r="Z427" s="127"/>
      <c r="AA427" s="126"/>
      <c r="AB427" s="126"/>
      <c r="AC427" s="127"/>
      <c r="AD427" s="126"/>
      <c r="AE427" s="126"/>
      <c r="AF427" s="126"/>
      <c r="AG427" s="127"/>
      <c r="AH427" s="126"/>
      <c r="AI427" s="126"/>
      <c r="AJ427" s="127"/>
      <c r="AK427" s="126"/>
      <c r="AL427" s="126"/>
      <c r="AM427" s="127"/>
      <c r="AN427" s="126"/>
      <c r="AO427" s="126"/>
      <c r="AP427" s="127"/>
      <c r="AQ427" s="126"/>
      <c r="AR427" s="126"/>
      <c r="AS427" s="127"/>
      <c r="AT427" s="126"/>
      <c r="AU427" s="126"/>
      <c r="AV427" s="127"/>
      <c r="AW427" s="126"/>
      <c r="AX427" s="126"/>
      <c r="AY427" s="127"/>
      <c r="AZ427" s="126"/>
      <c r="BA427" s="126"/>
      <c r="BB427" s="127"/>
      <c r="BC427" s="126"/>
      <c r="BD427" s="134"/>
      <c r="BE427" s="127"/>
      <c r="BF427" s="126"/>
      <c r="BG427" s="126"/>
      <c r="BH427" s="126"/>
      <c r="BI427" s="126"/>
      <c r="BJ427" s="126"/>
      <c r="BK427" s="126"/>
      <c r="BL427" s="126"/>
      <c r="BM427" s="126"/>
      <c r="BN427" s="126"/>
      <c r="BO427" s="126"/>
      <c r="BP427" s="126"/>
      <c r="BQ427" s="126"/>
      <c r="BR427" s="126"/>
      <c r="BS427" s="126"/>
      <c r="BT427" s="126"/>
      <c r="BU427" s="126"/>
      <c r="BV427" s="126"/>
      <c r="BW427" s="126"/>
      <c r="BX427" s="126"/>
    </row>
    <row r="428">
      <c r="A428" s="126"/>
      <c r="B428" s="126"/>
      <c r="C428" s="127"/>
      <c r="D428" s="126"/>
      <c r="E428" s="126"/>
      <c r="F428" s="127"/>
      <c r="G428" s="126"/>
      <c r="H428" s="127"/>
      <c r="I428" s="126"/>
      <c r="J428" s="126"/>
      <c r="K428" s="127"/>
      <c r="L428" s="126"/>
      <c r="M428" s="126"/>
      <c r="N428" s="127"/>
      <c r="O428" s="126"/>
      <c r="P428" s="126"/>
      <c r="Q428" s="127"/>
      <c r="R428" s="126"/>
      <c r="S428" s="126"/>
      <c r="T428" s="127"/>
      <c r="U428" s="126"/>
      <c r="V428" s="126"/>
      <c r="W428" s="127"/>
      <c r="X428" s="126"/>
      <c r="Y428" s="126"/>
      <c r="Z428" s="127"/>
      <c r="AA428" s="126"/>
      <c r="AB428" s="126"/>
      <c r="AC428" s="127"/>
      <c r="AD428" s="126"/>
      <c r="AE428" s="126"/>
      <c r="AF428" s="126"/>
      <c r="AG428" s="127"/>
      <c r="AH428" s="126"/>
      <c r="AI428" s="126"/>
      <c r="AJ428" s="127"/>
      <c r="AK428" s="126"/>
      <c r="AL428" s="126"/>
      <c r="AM428" s="127"/>
      <c r="AN428" s="126"/>
      <c r="AO428" s="126"/>
      <c r="AP428" s="127"/>
      <c r="AQ428" s="126"/>
      <c r="AR428" s="126"/>
      <c r="AS428" s="127"/>
      <c r="AT428" s="126"/>
      <c r="AU428" s="126"/>
      <c r="AV428" s="127"/>
      <c r="AW428" s="126"/>
      <c r="AX428" s="126"/>
      <c r="AY428" s="127"/>
      <c r="AZ428" s="126"/>
      <c r="BA428" s="126"/>
      <c r="BB428" s="127"/>
      <c r="BC428" s="126"/>
      <c r="BD428" s="134"/>
      <c r="BE428" s="127"/>
      <c r="BF428" s="126"/>
      <c r="BG428" s="126"/>
      <c r="BH428" s="126"/>
      <c r="BI428" s="126"/>
      <c r="BJ428" s="126"/>
      <c r="BK428" s="126"/>
      <c r="BL428" s="126"/>
      <c r="BM428" s="126"/>
      <c r="BN428" s="126"/>
      <c r="BO428" s="126"/>
      <c r="BP428" s="126"/>
      <c r="BQ428" s="126"/>
      <c r="BR428" s="126"/>
      <c r="BS428" s="126"/>
      <c r="BT428" s="126"/>
      <c r="BU428" s="126"/>
      <c r="BV428" s="126"/>
      <c r="BW428" s="126"/>
      <c r="BX428" s="126"/>
    </row>
    <row r="429">
      <c r="A429" s="126"/>
      <c r="B429" s="126"/>
      <c r="C429" s="127"/>
      <c r="D429" s="126"/>
      <c r="E429" s="126"/>
      <c r="F429" s="127"/>
      <c r="G429" s="126"/>
      <c r="H429" s="127"/>
      <c r="I429" s="126"/>
      <c r="J429" s="126"/>
      <c r="K429" s="127"/>
      <c r="L429" s="126"/>
      <c r="M429" s="126"/>
      <c r="N429" s="127"/>
      <c r="O429" s="126"/>
      <c r="P429" s="126"/>
      <c r="Q429" s="127"/>
      <c r="R429" s="126"/>
      <c r="S429" s="126"/>
      <c r="T429" s="127"/>
      <c r="U429" s="126"/>
      <c r="V429" s="126"/>
      <c r="W429" s="127"/>
      <c r="X429" s="126"/>
      <c r="Y429" s="126"/>
      <c r="Z429" s="127"/>
      <c r="AA429" s="126"/>
      <c r="AB429" s="126"/>
      <c r="AC429" s="127"/>
      <c r="AD429" s="126"/>
      <c r="AE429" s="126"/>
      <c r="AF429" s="126"/>
      <c r="AG429" s="127"/>
      <c r="AH429" s="126"/>
      <c r="AI429" s="126"/>
      <c r="AJ429" s="127"/>
      <c r="AK429" s="126"/>
      <c r="AL429" s="126"/>
      <c r="AM429" s="127"/>
      <c r="AN429" s="126"/>
      <c r="AO429" s="126"/>
      <c r="AP429" s="127"/>
      <c r="AQ429" s="126"/>
      <c r="AR429" s="126"/>
      <c r="AS429" s="127"/>
      <c r="AT429" s="126"/>
      <c r="AU429" s="126"/>
      <c r="AV429" s="127"/>
      <c r="AW429" s="126"/>
      <c r="AX429" s="126"/>
      <c r="AY429" s="127"/>
      <c r="AZ429" s="126"/>
      <c r="BA429" s="126"/>
      <c r="BB429" s="127"/>
      <c r="BC429" s="126"/>
      <c r="BD429" s="134"/>
      <c r="BE429" s="127"/>
      <c r="BF429" s="126"/>
      <c r="BG429" s="126"/>
      <c r="BH429" s="126"/>
      <c r="BI429" s="126"/>
      <c r="BJ429" s="126"/>
      <c r="BK429" s="126"/>
      <c r="BL429" s="126"/>
      <c r="BM429" s="126"/>
      <c r="BN429" s="126"/>
      <c r="BO429" s="126"/>
      <c r="BP429" s="126"/>
      <c r="BQ429" s="126"/>
      <c r="BR429" s="126"/>
      <c r="BS429" s="126"/>
      <c r="BT429" s="126"/>
      <c r="BU429" s="126"/>
      <c r="BV429" s="126"/>
      <c r="BW429" s="126"/>
      <c r="BX429" s="126"/>
    </row>
    <row r="430">
      <c r="A430" s="126"/>
      <c r="B430" s="126"/>
      <c r="C430" s="127"/>
      <c r="D430" s="126"/>
      <c r="E430" s="126"/>
      <c r="F430" s="127"/>
      <c r="G430" s="126"/>
      <c r="H430" s="127"/>
      <c r="I430" s="126"/>
      <c r="J430" s="126"/>
      <c r="K430" s="127"/>
      <c r="L430" s="126"/>
      <c r="M430" s="126"/>
      <c r="N430" s="127"/>
      <c r="O430" s="126"/>
      <c r="P430" s="126"/>
      <c r="Q430" s="127"/>
      <c r="R430" s="126"/>
      <c r="S430" s="126"/>
      <c r="T430" s="127"/>
      <c r="U430" s="126"/>
      <c r="V430" s="126"/>
      <c r="W430" s="127"/>
      <c r="X430" s="126"/>
      <c r="Y430" s="126"/>
      <c r="Z430" s="127"/>
      <c r="AA430" s="126"/>
      <c r="AB430" s="126"/>
      <c r="AC430" s="127"/>
      <c r="AD430" s="126"/>
      <c r="AE430" s="126"/>
      <c r="AF430" s="126"/>
      <c r="AG430" s="127"/>
      <c r="AH430" s="126"/>
      <c r="AI430" s="126"/>
      <c r="AJ430" s="127"/>
      <c r="AK430" s="126"/>
      <c r="AL430" s="126"/>
      <c r="AM430" s="127"/>
      <c r="AN430" s="126"/>
      <c r="AO430" s="126"/>
      <c r="AP430" s="127"/>
      <c r="AQ430" s="126"/>
      <c r="AR430" s="126"/>
      <c r="AS430" s="127"/>
      <c r="AT430" s="126"/>
      <c r="AU430" s="126"/>
      <c r="AV430" s="127"/>
      <c r="AW430" s="126"/>
      <c r="AX430" s="126"/>
      <c r="AY430" s="127"/>
      <c r="AZ430" s="126"/>
      <c r="BA430" s="126"/>
      <c r="BB430" s="127"/>
      <c r="BC430" s="126"/>
      <c r="BD430" s="134"/>
      <c r="BE430" s="127"/>
      <c r="BF430" s="126"/>
      <c r="BG430" s="126"/>
      <c r="BH430" s="126"/>
      <c r="BI430" s="126"/>
      <c r="BJ430" s="126"/>
      <c r="BK430" s="126"/>
      <c r="BL430" s="126"/>
      <c r="BM430" s="126"/>
      <c r="BN430" s="126"/>
      <c r="BO430" s="126"/>
      <c r="BP430" s="126"/>
      <c r="BQ430" s="126"/>
      <c r="BR430" s="126"/>
      <c r="BS430" s="126"/>
      <c r="BT430" s="126"/>
      <c r="BU430" s="126"/>
      <c r="BV430" s="126"/>
      <c r="BW430" s="126"/>
      <c r="BX430" s="126"/>
    </row>
    <row r="431">
      <c r="A431" s="126"/>
      <c r="B431" s="126"/>
      <c r="C431" s="127"/>
      <c r="D431" s="126"/>
      <c r="E431" s="126"/>
      <c r="F431" s="127"/>
      <c r="G431" s="126"/>
      <c r="H431" s="127"/>
      <c r="I431" s="126"/>
      <c r="J431" s="126"/>
      <c r="K431" s="127"/>
      <c r="L431" s="126"/>
      <c r="M431" s="126"/>
      <c r="N431" s="127"/>
      <c r="O431" s="126"/>
      <c r="P431" s="126"/>
      <c r="Q431" s="127"/>
      <c r="R431" s="126"/>
      <c r="S431" s="126"/>
      <c r="T431" s="127"/>
      <c r="U431" s="126"/>
      <c r="V431" s="126"/>
      <c r="W431" s="127"/>
      <c r="X431" s="126"/>
      <c r="Y431" s="126"/>
      <c r="Z431" s="127"/>
      <c r="AA431" s="126"/>
      <c r="AB431" s="126"/>
      <c r="AC431" s="127"/>
      <c r="AD431" s="126"/>
      <c r="AE431" s="126"/>
      <c r="AF431" s="126"/>
      <c r="AG431" s="127"/>
      <c r="AH431" s="126"/>
      <c r="AI431" s="126"/>
      <c r="AJ431" s="127"/>
      <c r="AK431" s="126"/>
      <c r="AL431" s="126"/>
      <c r="AM431" s="127"/>
      <c r="AN431" s="126"/>
      <c r="AO431" s="126"/>
      <c r="AP431" s="127"/>
      <c r="AQ431" s="126"/>
      <c r="AR431" s="126"/>
      <c r="AS431" s="127"/>
      <c r="AT431" s="126"/>
      <c r="AU431" s="126"/>
      <c r="AV431" s="127"/>
      <c r="AW431" s="126"/>
      <c r="AX431" s="126"/>
      <c r="AY431" s="127"/>
      <c r="AZ431" s="126"/>
      <c r="BA431" s="126"/>
      <c r="BB431" s="127"/>
      <c r="BC431" s="126"/>
      <c r="BD431" s="134"/>
      <c r="BE431" s="127"/>
      <c r="BF431" s="126"/>
      <c r="BG431" s="126"/>
      <c r="BH431" s="126"/>
      <c r="BI431" s="126"/>
      <c r="BJ431" s="126"/>
      <c r="BK431" s="126"/>
      <c r="BL431" s="126"/>
      <c r="BM431" s="126"/>
      <c r="BN431" s="126"/>
      <c r="BO431" s="126"/>
      <c r="BP431" s="126"/>
      <c r="BQ431" s="126"/>
      <c r="BR431" s="126"/>
      <c r="BS431" s="126"/>
      <c r="BT431" s="126"/>
      <c r="BU431" s="126"/>
      <c r="BV431" s="126"/>
      <c r="BW431" s="126"/>
      <c r="BX431" s="126"/>
    </row>
    <row r="432">
      <c r="A432" s="126"/>
      <c r="B432" s="126"/>
      <c r="C432" s="127"/>
      <c r="D432" s="126"/>
      <c r="E432" s="126"/>
      <c r="F432" s="127"/>
      <c r="G432" s="126"/>
      <c r="H432" s="127"/>
      <c r="I432" s="126"/>
      <c r="J432" s="126"/>
      <c r="K432" s="127"/>
      <c r="L432" s="126"/>
      <c r="M432" s="126"/>
      <c r="N432" s="127"/>
      <c r="O432" s="126"/>
      <c r="P432" s="126"/>
      <c r="Q432" s="127"/>
      <c r="R432" s="126"/>
      <c r="S432" s="126"/>
      <c r="T432" s="127"/>
      <c r="U432" s="126"/>
      <c r="V432" s="126"/>
      <c r="W432" s="127"/>
      <c r="X432" s="126"/>
      <c r="Y432" s="126"/>
      <c r="Z432" s="127"/>
      <c r="AA432" s="126"/>
      <c r="AB432" s="126"/>
      <c r="AC432" s="127"/>
      <c r="AD432" s="126"/>
      <c r="AE432" s="126"/>
      <c r="AF432" s="126"/>
      <c r="AG432" s="127"/>
      <c r="AH432" s="126"/>
      <c r="AI432" s="126"/>
      <c r="AJ432" s="127"/>
      <c r="AK432" s="126"/>
      <c r="AL432" s="126"/>
      <c r="AM432" s="127"/>
      <c r="AN432" s="126"/>
      <c r="AO432" s="126"/>
      <c r="AP432" s="127"/>
      <c r="AQ432" s="126"/>
      <c r="AR432" s="126"/>
      <c r="AS432" s="127"/>
      <c r="AT432" s="126"/>
      <c r="AU432" s="126"/>
      <c r="AV432" s="127"/>
      <c r="AW432" s="126"/>
      <c r="AX432" s="126"/>
      <c r="AY432" s="127"/>
      <c r="AZ432" s="126"/>
      <c r="BA432" s="126"/>
      <c r="BB432" s="127"/>
      <c r="BC432" s="126"/>
      <c r="BD432" s="134"/>
      <c r="BE432" s="127"/>
      <c r="BF432" s="126"/>
      <c r="BG432" s="126"/>
      <c r="BH432" s="126"/>
      <c r="BI432" s="126"/>
      <c r="BJ432" s="126"/>
      <c r="BK432" s="126"/>
      <c r="BL432" s="126"/>
      <c r="BM432" s="126"/>
      <c r="BN432" s="126"/>
      <c r="BO432" s="126"/>
      <c r="BP432" s="126"/>
      <c r="BQ432" s="126"/>
      <c r="BR432" s="126"/>
      <c r="BS432" s="126"/>
      <c r="BT432" s="126"/>
      <c r="BU432" s="126"/>
      <c r="BV432" s="126"/>
      <c r="BW432" s="126"/>
      <c r="BX432" s="126"/>
    </row>
    <row r="433">
      <c r="A433" s="126"/>
      <c r="B433" s="126"/>
      <c r="C433" s="127"/>
      <c r="D433" s="126"/>
      <c r="E433" s="126"/>
      <c r="F433" s="127"/>
      <c r="G433" s="126"/>
      <c r="H433" s="127"/>
      <c r="I433" s="126"/>
      <c r="J433" s="126"/>
      <c r="K433" s="127"/>
      <c r="L433" s="126"/>
      <c r="M433" s="126"/>
      <c r="N433" s="127"/>
      <c r="O433" s="126"/>
      <c r="P433" s="126"/>
      <c r="Q433" s="127"/>
      <c r="R433" s="126"/>
      <c r="S433" s="126"/>
      <c r="T433" s="127"/>
      <c r="U433" s="126"/>
      <c r="V433" s="126"/>
      <c r="W433" s="127"/>
      <c r="X433" s="126"/>
      <c r="Y433" s="126"/>
      <c r="Z433" s="127"/>
      <c r="AA433" s="126"/>
      <c r="AB433" s="126"/>
      <c r="AC433" s="127"/>
      <c r="AD433" s="126"/>
      <c r="AE433" s="126"/>
      <c r="AF433" s="126"/>
      <c r="AG433" s="127"/>
      <c r="AH433" s="126"/>
      <c r="AI433" s="126"/>
      <c r="AJ433" s="127"/>
      <c r="AK433" s="126"/>
      <c r="AL433" s="126"/>
      <c r="AM433" s="127"/>
      <c r="AN433" s="126"/>
      <c r="AO433" s="126"/>
      <c r="AP433" s="127"/>
      <c r="AQ433" s="126"/>
      <c r="AR433" s="126"/>
      <c r="AS433" s="127"/>
      <c r="AT433" s="126"/>
      <c r="AU433" s="126"/>
      <c r="AV433" s="127"/>
      <c r="AW433" s="126"/>
      <c r="AX433" s="126"/>
      <c r="AY433" s="127"/>
      <c r="AZ433" s="126"/>
      <c r="BA433" s="126"/>
      <c r="BB433" s="127"/>
      <c r="BC433" s="126"/>
      <c r="BD433" s="134"/>
      <c r="BE433" s="127"/>
      <c r="BF433" s="126"/>
      <c r="BG433" s="126"/>
      <c r="BH433" s="126"/>
      <c r="BI433" s="126"/>
      <c r="BJ433" s="126"/>
      <c r="BK433" s="126"/>
      <c r="BL433" s="126"/>
      <c r="BM433" s="126"/>
      <c r="BN433" s="126"/>
      <c r="BO433" s="126"/>
      <c r="BP433" s="126"/>
      <c r="BQ433" s="126"/>
      <c r="BR433" s="126"/>
      <c r="BS433" s="126"/>
      <c r="BT433" s="126"/>
      <c r="BU433" s="126"/>
      <c r="BV433" s="126"/>
      <c r="BW433" s="126"/>
      <c r="BX433" s="126"/>
    </row>
    <row r="434">
      <c r="A434" s="126"/>
      <c r="B434" s="126"/>
      <c r="C434" s="127"/>
      <c r="D434" s="126"/>
      <c r="E434" s="126"/>
      <c r="F434" s="127"/>
      <c r="G434" s="126"/>
      <c r="H434" s="127"/>
      <c r="I434" s="126"/>
      <c r="J434" s="126"/>
      <c r="K434" s="127"/>
      <c r="L434" s="126"/>
      <c r="M434" s="126"/>
      <c r="N434" s="127"/>
      <c r="O434" s="126"/>
      <c r="P434" s="126"/>
      <c r="Q434" s="127"/>
      <c r="R434" s="126"/>
      <c r="S434" s="126"/>
      <c r="T434" s="127"/>
      <c r="U434" s="126"/>
      <c r="V434" s="126"/>
      <c r="W434" s="127"/>
      <c r="X434" s="126"/>
      <c r="Y434" s="126"/>
      <c r="Z434" s="127"/>
      <c r="AA434" s="126"/>
      <c r="AB434" s="126"/>
      <c r="AC434" s="127"/>
      <c r="AD434" s="126"/>
      <c r="AE434" s="126"/>
      <c r="AF434" s="126"/>
      <c r="AG434" s="127"/>
      <c r="AH434" s="126"/>
      <c r="AI434" s="126"/>
      <c r="AJ434" s="127"/>
      <c r="AK434" s="126"/>
      <c r="AL434" s="126"/>
      <c r="AM434" s="127"/>
      <c r="AN434" s="126"/>
      <c r="AO434" s="126"/>
      <c r="AP434" s="127"/>
      <c r="AQ434" s="126"/>
      <c r="AR434" s="126"/>
      <c r="AS434" s="127"/>
      <c r="AT434" s="126"/>
      <c r="AU434" s="126"/>
      <c r="AV434" s="127"/>
      <c r="AW434" s="126"/>
      <c r="AX434" s="126"/>
      <c r="AY434" s="127"/>
      <c r="AZ434" s="126"/>
      <c r="BA434" s="126"/>
      <c r="BB434" s="127"/>
      <c r="BC434" s="126"/>
      <c r="BD434" s="134"/>
      <c r="BE434" s="127"/>
      <c r="BF434" s="126"/>
      <c r="BG434" s="126"/>
      <c r="BH434" s="126"/>
      <c r="BI434" s="126"/>
      <c r="BJ434" s="126"/>
      <c r="BK434" s="126"/>
      <c r="BL434" s="126"/>
      <c r="BM434" s="126"/>
      <c r="BN434" s="126"/>
      <c r="BO434" s="126"/>
      <c r="BP434" s="126"/>
      <c r="BQ434" s="126"/>
      <c r="BR434" s="126"/>
      <c r="BS434" s="126"/>
      <c r="BT434" s="126"/>
      <c r="BU434" s="126"/>
      <c r="BV434" s="126"/>
      <c r="BW434" s="126"/>
      <c r="BX434" s="126"/>
    </row>
    <row r="435">
      <c r="A435" s="126"/>
      <c r="B435" s="126"/>
      <c r="C435" s="127"/>
      <c r="D435" s="126"/>
      <c r="E435" s="126"/>
      <c r="F435" s="127"/>
      <c r="G435" s="126"/>
      <c r="H435" s="127"/>
      <c r="I435" s="126"/>
      <c r="J435" s="126"/>
      <c r="K435" s="127"/>
      <c r="L435" s="126"/>
      <c r="M435" s="126"/>
      <c r="N435" s="127"/>
      <c r="O435" s="126"/>
      <c r="P435" s="126"/>
      <c r="Q435" s="127"/>
      <c r="R435" s="126"/>
      <c r="S435" s="126"/>
      <c r="T435" s="127"/>
      <c r="U435" s="126"/>
      <c r="V435" s="126"/>
      <c r="W435" s="127"/>
      <c r="X435" s="126"/>
      <c r="Y435" s="126"/>
      <c r="Z435" s="127"/>
      <c r="AA435" s="126"/>
      <c r="AB435" s="126"/>
      <c r="AC435" s="127"/>
      <c r="AD435" s="126"/>
      <c r="AE435" s="126"/>
      <c r="AF435" s="126"/>
      <c r="AG435" s="127"/>
      <c r="AH435" s="126"/>
      <c r="AI435" s="126"/>
      <c r="AJ435" s="127"/>
      <c r="AK435" s="126"/>
      <c r="AL435" s="126"/>
      <c r="AM435" s="127"/>
      <c r="AN435" s="126"/>
      <c r="AO435" s="126"/>
      <c r="AP435" s="127"/>
      <c r="AQ435" s="126"/>
      <c r="AR435" s="126"/>
      <c r="AS435" s="127"/>
      <c r="AT435" s="126"/>
      <c r="AU435" s="126"/>
      <c r="AV435" s="127"/>
      <c r="AW435" s="126"/>
      <c r="AX435" s="126"/>
      <c r="AY435" s="127"/>
      <c r="AZ435" s="126"/>
      <c r="BA435" s="126"/>
      <c r="BB435" s="127"/>
      <c r="BC435" s="126"/>
      <c r="BD435" s="134"/>
      <c r="BE435" s="127"/>
      <c r="BF435" s="126"/>
      <c r="BG435" s="126"/>
      <c r="BH435" s="126"/>
      <c r="BI435" s="126"/>
      <c r="BJ435" s="126"/>
      <c r="BK435" s="126"/>
      <c r="BL435" s="126"/>
      <c r="BM435" s="126"/>
      <c r="BN435" s="126"/>
      <c r="BO435" s="126"/>
      <c r="BP435" s="126"/>
      <c r="BQ435" s="126"/>
      <c r="BR435" s="126"/>
      <c r="BS435" s="126"/>
      <c r="BT435" s="126"/>
      <c r="BU435" s="126"/>
      <c r="BV435" s="126"/>
      <c r="BW435" s="126"/>
      <c r="BX435" s="126"/>
    </row>
    <row r="436">
      <c r="A436" s="126"/>
      <c r="B436" s="126"/>
      <c r="C436" s="127"/>
      <c r="D436" s="126"/>
      <c r="E436" s="126"/>
      <c r="F436" s="127"/>
      <c r="G436" s="126"/>
      <c r="H436" s="127"/>
      <c r="I436" s="126"/>
      <c r="J436" s="126"/>
      <c r="K436" s="127"/>
      <c r="L436" s="126"/>
      <c r="M436" s="126"/>
      <c r="N436" s="127"/>
      <c r="O436" s="126"/>
      <c r="P436" s="126"/>
      <c r="Q436" s="127"/>
      <c r="R436" s="126"/>
      <c r="S436" s="126"/>
      <c r="T436" s="127"/>
      <c r="U436" s="126"/>
      <c r="V436" s="126"/>
      <c r="W436" s="127"/>
      <c r="X436" s="126"/>
      <c r="Y436" s="126"/>
      <c r="Z436" s="127"/>
      <c r="AA436" s="126"/>
      <c r="AB436" s="126"/>
      <c r="AC436" s="127"/>
      <c r="AD436" s="126"/>
      <c r="AE436" s="126"/>
      <c r="AF436" s="126"/>
      <c r="AG436" s="127"/>
      <c r="AH436" s="126"/>
      <c r="AI436" s="126"/>
      <c r="AJ436" s="127"/>
      <c r="AK436" s="126"/>
      <c r="AL436" s="126"/>
      <c r="AM436" s="127"/>
      <c r="AN436" s="126"/>
      <c r="AO436" s="126"/>
      <c r="AP436" s="127"/>
      <c r="AQ436" s="126"/>
      <c r="AR436" s="126"/>
      <c r="AS436" s="127"/>
      <c r="AT436" s="126"/>
      <c r="AU436" s="126"/>
      <c r="AV436" s="127"/>
      <c r="AW436" s="126"/>
      <c r="AX436" s="126"/>
      <c r="AY436" s="127"/>
      <c r="AZ436" s="126"/>
      <c r="BA436" s="126"/>
      <c r="BB436" s="127"/>
      <c r="BC436" s="126"/>
      <c r="BD436" s="134"/>
      <c r="BE436" s="127"/>
      <c r="BF436" s="126"/>
      <c r="BG436" s="126"/>
      <c r="BH436" s="126"/>
      <c r="BI436" s="126"/>
      <c r="BJ436" s="126"/>
      <c r="BK436" s="126"/>
      <c r="BL436" s="126"/>
      <c r="BM436" s="126"/>
      <c r="BN436" s="126"/>
      <c r="BO436" s="126"/>
      <c r="BP436" s="126"/>
      <c r="BQ436" s="126"/>
      <c r="BR436" s="126"/>
      <c r="BS436" s="126"/>
      <c r="BT436" s="126"/>
      <c r="BU436" s="126"/>
      <c r="BV436" s="126"/>
      <c r="BW436" s="126"/>
      <c r="BX436" s="126"/>
    </row>
    <row r="437">
      <c r="A437" s="126"/>
      <c r="B437" s="126"/>
      <c r="C437" s="127"/>
      <c r="D437" s="126"/>
      <c r="E437" s="126"/>
      <c r="F437" s="127"/>
      <c r="G437" s="126"/>
      <c r="H437" s="127"/>
      <c r="I437" s="126"/>
      <c r="J437" s="126"/>
      <c r="K437" s="127"/>
      <c r="L437" s="126"/>
      <c r="M437" s="126"/>
      <c r="N437" s="127"/>
      <c r="O437" s="126"/>
      <c r="P437" s="126"/>
      <c r="Q437" s="127"/>
      <c r="R437" s="126"/>
      <c r="S437" s="126"/>
      <c r="T437" s="127"/>
      <c r="U437" s="126"/>
      <c r="V437" s="126"/>
      <c r="W437" s="127"/>
      <c r="X437" s="126"/>
      <c r="Y437" s="126"/>
      <c r="Z437" s="127"/>
      <c r="AA437" s="126"/>
      <c r="AB437" s="126"/>
      <c r="AC437" s="127"/>
      <c r="AD437" s="126"/>
      <c r="AE437" s="126"/>
      <c r="AF437" s="126"/>
      <c r="AG437" s="127"/>
      <c r="AH437" s="126"/>
      <c r="AI437" s="126"/>
      <c r="AJ437" s="127"/>
      <c r="AK437" s="126"/>
      <c r="AL437" s="126"/>
      <c r="AM437" s="127"/>
      <c r="AN437" s="126"/>
      <c r="AO437" s="126"/>
      <c r="AP437" s="127"/>
      <c r="AQ437" s="126"/>
      <c r="AR437" s="126"/>
      <c r="AS437" s="127"/>
      <c r="AT437" s="126"/>
      <c r="AU437" s="126"/>
      <c r="AV437" s="127"/>
      <c r="AW437" s="126"/>
      <c r="AX437" s="126"/>
      <c r="AY437" s="127"/>
      <c r="AZ437" s="126"/>
      <c r="BA437" s="126"/>
      <c r="BB437" s="127"/>
      <c r="BC437" s="126"/>
      <c r="BD437" s="134"/>
      <c r="BE437" s="127"/>
      <c r="BF437" s="126"/>
      <c r="BG437" s="126"/>
      <c r="BH437" s="126"/>
      <c r="BI437" s="126"/>
      <c r="BJ437" s="126"/>
      <c r="BK437" s="126"/>
      <c r="BL437" s="126"/>
      <c r="BM437" s="126"/>
      <c r="BN437" s="126"/>
      <c r="BO437" s="126"/>
      <c r="BP437" s="126"/>
      <c r="BQ437" s="126"/>
      <c r="BR437" s="126"/>
      <c r="BS437" s="126"/>
      <c r="BT437" s="126"/>
      <c r="BU437" s="126"/>
      <c r="BV437" s="126"/>
      <c r="BW437" s="126"/>
      <c r="BX437" s="126"/>
    </row>
    <row r="438">
      <c r="A438" s="126"/>
      <c r="B438" s="126"/>
      <c r="C438" s="127"/>
      <c r="D438" s="126"/>
      <c r="E438" s="126"/>
      <c r="F438" s="127"/>
      <c r="G438" s="126"/>
      <c r="H438" s="127"/>
      <c r="I438" s="126"/>
      <c r="J438" s="126"/>
      <c r="K438" s="127"/>
      <c r="L438" s="126"/>
      <c r="M438" s="126"/>
      <c r="N438" s="127"/>
      <c r="O438" s="126"/>
      <c r="P438" s="126"/>
      <c r="Q438" s="127"/>
      <c r="R438" s="126"/>
      <c r="S438" s="126"/>
      <c r="T438" s="127"/>
      <c r="U438" s="126"/>
      <c r="V438" s="126"/>
      <c r="W438" s="127"/>
      <c r="X438" s="126"/>
      <c r="Y438" s="126"/>
      <c r="Z438" s="127"/>
      <c r="AA438" s="126"/>
      <c r="AB438" s="126"/>
      <c r="AC438" s="127"/>
      <c r="AD438" s="126"/>
      <c r="AE438" s="126"/>
      <c r="AF438" s="126"/>
      <c r="AG438" s="127"/>
      <c r="AH438" s="126"/>
      <c r="AI438" s="126"/>
      <c r="AJ438" s="127"/>
      <c r="AK438" s="126"/>
      <c r="AL438" s="126"/>
      <c r="AM438" s="127"/>
      <c r="AN438" s="126"/>
      <c r="AO438" s="126"/>
      <c r="AP438" s="127"/>
      <c r="AQ438" s="126"/>
      <c r="AR438" s="126"/>
      <c r="AS438" s="127"/>
      <c r="AT438" s="126"/>
      <c r="AU438" s="126"/>
      <c r="AV438" s="127"/>
      <c r="AW438" s="126"/>
      <c r="AX438" s="126"/>
      <c r="AY438" s="127"/>
      <c r="AZ438" s="126"/>
      <c r="BA438" s="126"/>
      <c r="BB438" s="127"/>
      <c r="BC438" s="126"/>
      <c r="BD438" s="134"/>
      <c r="BE438" s="127"/>
      <c r="BF438" s="126"/>
      <c r="BG438" s="126"/>
      <c r="BH438" s="126"/>
      <c r="BI438" s="126"/>
      <c r="BJ438" s="126"/>
      <c r="BK438" s="126"/>
      <c r="BL438" s="126"/>
      <c r="BM438" s="126"/>
      <c r="BN438" s="126"/>
      <c r="BO438" s="126"/>
      <c r="BP438" s="126"/>
      <c r="BQ438" s="126"/>
      <c r="BR438" s="126"/>
      <c r="BS438" s="126"/>
      <c r="BT438" s="126"/>
      <c r="BU438" s="126"/>
      <c r="BV438" s="126"/>
      <c r="BW438" s="126"/>
      <c r="BX438" s="126"/>
    </row>
    <row r="439">
      <c r="A439" s="126"/>
      <c r="B439" s="126"/>
      <c r="C439" s="127"/>
      <c r="D439" s="126"/>
      <c r="E439" s="126"/>
      <c r="F439" s="127"/>
      <c r="G439" s="126"/>
      <c r="H439" s="127"/>
      <c r="I439" s="126"/>
      <c r="J439" s="126"/>
      <c r="K439" s="127"/>
      <c r="L439" s="126"/>
      <c r="M439" s="126"/>
      <c r="N439" s="127"/>
      <c r="O439" s="126"/>
      <c r="P439" s="126"/>
      <c r="Q439" s="127"/>
      <c r="R439" s="126"/>
      <c r="S439" s="126"/>
      <c r="T439" s="127"/>
      <c r="U439" s="126"/>
      <c r="V439" s="126"/>
      <c r="W439" s="127"/>
      <c r="X439" s="126"/>
      <c r="Y439" s="126"/>
      <c r="Z439" s="127"/>
      <c r="AA439" s="126"/>
      <c r="AB439" s="126"/>
      <c r="AC439" s="127"/>
      <c r="AD439" s="126"/>
      <c r="AE439" s="126"/>
      <c r="AF439" s="126"/>
      <c r="AG439" s="127"/>
      <c r="AH439" s="126"/>
      <c r="AI439" s="126"/>
      <c r="AJ439" s="127"/>
      <c r="AK439" s="126"/>
      <c r="AL439" s="126"/>
      <c r="AM439" s="127"/>
      <c r="AN439" s="126"/>
      <c r="AO439" s="126"/>
      <c r="AP439" s="127"/>
      <c r="AQ439" s="126"/>
      <c r="AR439" s="126"/>
      <c r="AS439" s="127"/>
      <c r="AT439" s="126"/>
      <c r="AU439" s="126"/>
      <c r="AV439" s="127"/>
      <c r="AW439" s="126"/>
      <c r="AX439" s="126"/>
      <c r="AY439" s="127"/>
      <c r="AZ439" s="126"/>
      <c r="BA439" s="126"/>
      <c r="BB439" s="127"/>
      <c r="BC439" s="126"/>
      <c r="BD439" s="134"/>
      <c r="BE439" s="127"/>
      <c r="BF439" s="126"/>
      <c r="BG439" s="126"/>
      <c r="BH439" s="126"/>
      <c r="BI439" s="126"/>
      <c r="BJ439" s="126"/>
      <c r="BK439" s="126"/>
      <c r="BL439" s="126"/>
      <c r="BM439" s="126"/>
      <c r="BN439" s="126"/>
      <c r="BO439" s="126"/>
      <c r="BP439" s="126"/>
      <c r="BQ439" s="126"/>
      <c r="BR439" s="126"/>
      <c r="BS439" s="126"/>
      <c r="BT439" s="126"/>
      <c r="BU439" s="126"/>
      <c r="BV439" s="126"/>
      <c r="BW439" s="126"/>
      <c r="BX439" s="126"/>
    </row>
    <row r="440">
      <c r="A440" s="126"/>
      <c r="B440" s="126"/>
      <c r="C440" s="127"/>
      <c r="D440" s="126"/>
      <c r="E440" s="126"/>
      <c r="F440" s="127"/>
      <c r="G440" s="126"/>
      <c r="H440" s="127"/>
      <c r="I440" s="126"/>
      <c r="J440" s="126"/>
      <c r="K440" s="127"/>
      <c r="L440" s="126"/>
      <c r="M440" s="126"/>
      <c r="N440" s="127"/>
      <c r="O440" s="126"/>
      <c r="P440" s="126"/>
      <c r="Q440" s="127"/>
      <c r="R440" s="126"/>
      <c r="S440" s="126"/>
      <c r="T440" s="127"/>
      <c r="U440" s="126"/>
      <c r="V440" s="126"/>
      <c r="W440" s="127"/>
      <c r="X440" s="126"/>
      <c r="Y440" s="126"/>
      <c r="Z440" s="127"/>
      <c r="AA440" s="126"/>
      <c r="AB440" s="126"/>
      <c r="AC440" s="127"/>
      <c r="AD440" s="126"/>
      <c r="AE440" s="126"/>
      <c r="AF440" s="126"/>
      <c r="AG440" s="127"/>
      <c r="AH440" s="126"/>
      <c r="AI440" s="126"/>
      <c r="AJ440" s="127"/>
      <c r="AK440" s="126"/>
      <c r="AL440" s="126"/>
      <c r="AM440" s="127"/>
      <c r="AN440" s="126"/>
      <c r="AO440" s="126"/>
      <c r="AP440" s="127"/>
      <c r="AQ440" s="126"/>
      <c r="AR440" s="126"/>
      <c r="AS440" s="127"/>
      <c r="AT440" s="126"/>
      <c r="AU440" s="126"/>
      <c r="AV440" s="127"/>
      <c r="AW440" s="126"/>
      <c r="AX440" s="126"/>
      <c r="AY440" s="127"/>
      <c r="AZ440" s="126"/>
      <c r="BA440" s="126"/>
      <c r="BB440" s="127"/>
      <c r="BC440" s="126"/>
      <c r="BD440" s="134"/>
      <c r="BE440" s="127"/>
      <c r="BF440" s="126"/>
      <c r="BG440" s="126"/>
      <c r="BH440" s="126"/>
      <c r="BI440" s="126"/>
      <c r="BJ440" s="126"/>
      <c r="BK440" s="126"/>
      <c r="BL440" s="126"/>
      <c r="BM440" s="126"/>
      <c r="BN440" s="126"/>
      <c r="BO440" s="126"/>
      <c r="BP440" s="126"/>
      <c r="BQ440" s="126"/>
      <c r="BR440" s="126"/>
      <c r="BS440" s="126"/>
      <c r="BT440" s="126"/>
      <c r="BU440" s="126"/>
      <c r="BV440" s="126"/>
      <c r="BW440" s="126"/>
      <c r="BX440" s="126"/>
    </row>
    <row r="441">
      <c r="A441" s="126"/>
      <c r="B441" s="126"/>
      <c r="C441" s="127"/>
      <c r="D441" s="126"/>
      <c r="E441" s="126"/>
      <c r="F441" s="127"/>
      <c r="G441" s="126"/>
      <c r="H441" s="127"/>
      <c r="I441" s="126"/>
      <c r="J441" s="126"/>
      <c r="K441" s="127"/>
      <c r="L441" s="126"/>
      <c r="M441" s="126"/>
      <c r="N441" s="127"/>
      <c r="O441" s="126"/>
      <c r="P441" s="126"/>
      <c r="Q441" s="127"/>
      <c r="R441" s="126"/>
      <c r="S441" s="126"/>
      <c r="T441" s="127"/>
      <c r="U441" s="126"/>
      <c r="V441" s="126"/>
      <c r="W441" s="127"/>
      <c r="X441" s="126"/>
      <c r="Y441" s="126"/>
      <c r="Z441" s="127"/>
      <c r="AA441" s="126"/>
      <c r="AB441" s="126"/>
      <c r="AC441" s="127"/>
      <c r="AD441" s="126"/>
      <c r="AE441" s="126"/>
      <c r="AF441" s="126"/>
      <c r="AG441" s="127"/>
      <c r="AH441" s="126"/>
      <c r="AI441" s="126"/>
      <c r="AJ441" s="127"/>
      <c r="AK441" s="126"/>
      <c r="AL441" s="126"/>
      <c r="AM441" s="127"/>
      <c r="AN441" s="126"/>
      <c r="AO441" s="126"/>
      <c r="AP441" s="127"/>
      <c r="AQ441" s="126"/>
      <c r="AR441" s="126"/>
      <c r="AS441" s="127"/>
      <c r="AT441" s="126"/>
      <c r="AU441" s="126"/>
      <c r="AV441" s="127"/>
      <c r="AW441" s="126"/>
      <c r="AX441" s="126"/>
      <c r="AY441" s="127"/>
      <c r="AZ441" s="126"/>
      <c r="BA441" s="126"/>
      <c r="BB441" s="127"/>
      <c r="BC441" s="126"/>
      <c r="BD441" s="134"/>
      <c r="BE441" s="127"/>
      <c r="BF441" s="126"/>
      <c r="BG441" s="126"/>
      <c r="BH441" s="126"/>
      <c r="BI441" s="126"/>
      <c r="BJ441" s="126"/>
      <c r="BK441" s="126"/>
      <c r="BL441" s="126"/>
      <c r="BM441" s="126"/>
      <c r="BN441" s="126"/>
      <c r="BO441" s="126"/>
      <c r="BP441" s="126"/>
      <c r="BQ441" s="126"/>
      <c r="BR441" s="126"/>
      <c r="BS441" s="126"/>
      <c r="BT441" s="126"/>
      <c r="BU441" s="126"/>
      <c r="BV441" s="126"/>
      <c r="BW441" s="126"/>
      <c r="BX441" s="126"/>
    </row>
    <row r="442">
      <c r="A442" s="126"/>
      <c r="B442" s="126"/>
      <c r="C442" s="127"/>
      <c r="D442" s="126"/>
      <c r="E442" s="126"/>
      <c r="F442" s="127"/>
      <c r="G442" s="126"/>
      <c r="H442" s="127"/>
      <c r="I442" s="126"/>
      <c r="J442" s="126"/>
      <c r="K442" s="127"/>
      <c r="L442" s="126"/>
      <c r="M442" s="126"/>
      <c r="N442" s="127"/>
      <c r="O442" s="126"/>
      <c r="P442" s="126"/>
      <c r="Q442" s="127"/>
      <c r="R442" s="126"/>
      <c r="S442" s="126"/>
      <c r="T442" s="127"/>
      <c r="U442" s="126"/>
      <c r="V442" s="126"/>
      <c r="W442" s="127"/>
      <c r="X442" s="126"/>
      <c r="Y442" s="126"/>
      <c r="Z442" s="127"/>
      <c r="AA442" s="126"/>
      <c r="AB442" s="126"/>
      <c r="AC442" s="127"/>
      <c r="AD442" s="126"/>
      <c r="AE442" s="126"/>
      <c r="AF442" s="126"/>
      <c r="AG442" s="127"/>
      <c r="AH442" s="126"/>
      <c r="AI442" s="126"/>
      <c r="AJ442" s="127"/>
      <c r="AK442" s="126"/>
      <c r="AL442" s="126"/>
      <c r="AM442" s="127"/>
      <c r="AN442" s="126"/>
      <c r="AO442" s="126"/>
      <c r="AP442" s="127"/>
      <c r="AQ442" s="126"/>
      <c r="AR442" s="126"/>
      <c r="AS442" s="127"/>
      <c r="AT442" s="126"/>
      <c r="AU442" s="126"/>
      <c r="AV442" s="127"/>
      <c r="AW442" s="126"/>
      <c r="AX442" s="126"/>
      <c r="AY442" s="127"/>
      <c r="AZ442" s="126"/>
      <c r="BA442" s="126"/>
      <c r="BB442" s="127"/>
      <c r="BC442" s="126"/>
      <c r="BD442" s="134"/>
      <c r="BE442" s="127"/>
      <c r="BF442" s="126"/>
      <c r="BG442" s="126"/>
      <c r="BH442" s="126"/>
      <c r="BI442" s="126"/>
      <c r="BJ442" s="126"/>
      <c r="BK442" s="126"/>
      <c r="BL442" s="126"/>
      <c r="BM442" s="126"/>
      <c r="BN442" s="126"/>
      <c r="BO442" s="126"/>
      <c r="BP442" s="126"/>
      <c r="BQ442" s="126"/>
      <c r="BR442" s="126"/>
      <c r="BS442" s="126"/>
      <c r="BT442" s="126"/>
      <c r="BU442" s="126"/>
      <c r="BV442" s="126"/>
      <c r="BW442" s="126"/>
      <c r="BX442" s="126"/>
    </row>
    <row r="443">
      <c r="A443" s="126"/>
      <c r="B443" s="126"/>
      <c r="C443" s="127"/>
      <c r="D443" s="126"/>
      <c r="E443" s="126"/>
      <c r="F443" s="127"/>
      <c r="G443" s="126"/>
      <c r="H443" s="127"/>
      <c r="I443" s="126"/>
      <c r="J443" s="126"/>
      <c r="K443" s="127"/>
      <c r="L443" s="126"/>
      <c r="M443" s="126"/>
      <c r="N443" s="127"/>
      <c r="O443" s="126"/>
      <c r="P443" s="126"/>
      <c r="Q443" s="127"/>
      <c r="R443" s="126"/>
      <c r="S443" s="126"/>
      <c r="T443" s="127"/>
      <c r="U443" s="126"/>
      <c r="V443" s="126"/>
      <c r="W443" s="127"/>
      <c r="X443" s="126"/>
      <c r="Y443" s="126"/>
      <c r="Z443" s="127"/>
      <c r="AA443" s="126"/>
      <c r="AB443" s="126"/>
      <c r="AC443" s="127"/>
      <c r="AD443" s="126"/>
      <c r="AE443" s="126"/>
      <c r="AF443" s="126"/>
      <c r="AG443" s="127"/>
      <c r="AH443" s="126"/>
      <c r="AI443" s="126"/>
      <c r="AJ443" s="127"/>
      <c r="AK443" s="126"/>
      <c r="AL443" s="126"/>
      <c r="AM443" s="127"/>
      <c r="AN443" s="126"/>
      <c r="AO443" s="126"/>
      <c r="AP443" s="127"/>
      <c r="AQ443" s="126"/>
      <c r="AR443" s="126"/>
      <c r="AS443" s="127"/>
      <c r="AT443" s="126"/>
      <c r="AU443" s="126"/>
      <c r="AV443" s="127"/>
      <c r="AW443" s="126"/>
      <c r="AX443" s="126"/>
      <c r="AY443" s="127"/>
      <c r="AZ443" s="126"/>
      <c r="BA443" s="126"/>
      <c r="BB443" s="127"/>
      <c r="BC443" s="126"/>
      <c r="BD443" s="134"/>
      <c r="BE443" s="127"/>
      <c r="BF443" s="126"/>
      <c r="BG443" s="126"/>
      <c r="BH443" s="126"/>
      <c r="BI443" s="126"/>
      <c r="BJ443" s="126"/>
      <c r="BK443" s="126"/>
      <c r="BL443" s="126"/>
      <c r="BM443" s="126"/>
      <c r="BN443" s="126"/>
      <c r="BO443" s="126"/>
      <c r="BP443" s="126"/>
      <c r="BQ443" s="126"/>
      <c r="BR443" s="126"/>
      <c r="BS443" s="126"/>
      <c r="BT443" s="126"/>
      <c r="BU443" s="126"/>
      <c r="BV443" s="126"/>
      <c r="BW443" s="126"/>
      <c r="BX443" s="126"/>
    </row>
    <row r="444">
      <c r="A444" s="126"/>
      <c r="B444" s="126"/>
      <c r="C444" s="127"/>
      <c r="D444" s="126"/>
      <c r="E444" s="126"/>
      <c r="F444" s="127"/>
      <c r="G444" s="126"/>
      <c r="H444" s="127"/>
      <c r="I444" s="126"/>
      <c r="J444" s="126"/>
      <c r="K444" s="127"/>
      <c r="L444" s="126"/>
      <c r="M444" s="126"/>
      <c r="N444" s="127"/>
      <c r="O444" s="126"/>
      <c r="P444" s="126"/>
      <c r="Q444" s="127"/>
      <c r="R444" s="126"/>
      <c r="S444" s="126"/>
      <c r="T444" s="127"/>
      <c r="U444" s="126"/>
      <c r="V444" s="126"/>
      <c r="W444" s="127"/>
      <c r="X444" s="126"/>
      <c r="Y444" s="126"/>
      <c r="Z444" s="127"/>
      <c r="AA444" s="126"/>
      <c r="AB444" s="126"/>
      <c r="AC444" s="127"/>
      <c r="AD444" s="126"/>
      <c r="AE444" s="126"/>
      <c r="AF444" s="126"/>
      <c r="AG444" s="127"/>
      <c r="AH444" s="126"/>
      <c r="AI444" s="126"/>
      <c r="AJ444" s="127"/>
      <c r="AK444" s="126"/>
      <c r="AL444" s="126"/>
      <c r="AM444" s="127"/>
      <c r="AN444" s="126"/>
      <c r="AO444" s="126"/>
      <c r="AP444" s="127"/>
      <c r="AQ444" s="126"/>
      <c r="AR444" s="126"/>
      <c r="AS444" s="127"/>
      <c r="AT444" s="126"/>
      <c r="AU444" s="126"/>
      <c r="AV444" s="127"/>
      <c r="AW444" s="126"/>
      <c r="AX444" s="126"/>
      <c r="AY444" s="127"/>
      <c r="AZ444" s="126"/>
      <c r="BA444" s="126"/>
      <c r="BB444" s="127"/>
      <c r="BC444" s="126"/>
      <c r="BD444" s="134"/>
      <c r="BE444" s="127"/>
      <c r="BF444" s="126"/>
      <c r="BG444" s="126"/>
      <c r="BH444" s="126"/>
      <c r="BI444" s="126"/>
      <c r="BJ444" s="126"/>
      <c r="BK444" s="126"/>
      <c r="BL444" s="126"/>
      <c r="BM444" s="126"/>
      <c r="BN444" s="126"/>
      <c r="BO444" s="126"/>
      <c r="BP444" s="126"/>
      <c r="BQ444" s="126"/>
      <c r="BR444" s="126"/>
      <c r="BS444" s="126"/>
      <c r="BT444" s="126"/>
      <c r="BU444" s="126"/>
      <c r="BV444" s="126"/>
      <c r="BW444" s="126"/>
      <c r="BX444" s="126"/>
    </row>
    <row r="445">
      <c r="A445" s="126"/>
      <c r="B445" s="126"/>
      <c r="C445" s="127"/>
      <c r="D445" s="126"/>
      <c r="E445" s="126"/>
      <c r="F445" s="127"/>
      <c r="G445" s="126"/>
      <c r="H445" s="127"/>
      <c r="I445" s="126"/>
      <c r="J445" s="126"/>
      <c r="K445" s="127"/>
      <c r="L445" s="126"/>
      <c r="M445" s="126"/>
      <c r="N445" s="127"/>
      <c r="O445" s="126"/>
      <c r="P445" s="126"/>
      <c r="Q445" s="127"/>
      <c r="R445" s="126"/>
      <c r="S445" s="126"/>
      <c r="T445" s="127"/>
      <c r="U445" s="126"/>
      <c r="V445" s="126"/>
      <c r="W445" s="127"/>
      <c r="X445" s="126"/>
      <c r="Y445" s="126"/>
      <c r="Z445" s="127"/>
      <c r="AA445" s="126"/>
      <c r="AB445" s="126"/>
      <c r="AC445" s="127"/>
      <c r="AD445" s="126"/>
      <c r="AE445" s="126"/>
      <c r="AF445" s="126"/>
      <c r="AG445" s="127"/>
      <c r="AH445" s="126"/>
      <c r="AI445" s="126"/>
      <c r="AJ445" s="127"/>
      <c r="AK445" s="126"/>
      <c r="AL445" s="126"/>
      <c r="AM445" s="127"/>
      <c r="AN445" s="126"/>
      <c r="AO445" s="126"/>
      <c r="AP445" s="127"/>
      <c r="AQ445" s="126"/>
      <c r="AR445" s="126"/>
      <c r="AS445" s="127"/>
      <c r="AT445" s="126"/>
      <c r="AU445" s="126"/>
      <c r="AV445" s="127"/>
      <c r="AW445" s="126"/>
      <c r="AX445" s="126"/>
      <c r="AY445" s="127"/>
      <c r="AZ445" s="126"/>
      <c r="BA445" s="126"/>
      <c r="BB445" s="127"/>
      <c r="BC445" s="126"/>
      <c r="BD445" s="134"/>
      <c r="BE445" s="127"/>
      <c r="BF445" s="126"/>
      <c r="BG445" s="126"/>
      <c r="BH445" s="126"/>
      <c r="BI445" s="126"/>
      <c r="BJ445" s="126"/>
      <c r="BK445" s="126"/>
      <c r="BL445" s="126"/>
      <c r="BM445" s="126"/>
      <c r="BN445" s="126"/>
      <c r="BO445" s="126"/>
      <c r="BP445" s="126"/>
      <c r="BQ445" s="126"/>
      <c r="BR445" s="126"/>
      <c r="BS445" s="126"/>
      <c r="BT445" s="126"/>
      <c r="BU445" s="126"/>
      <c r="BV445" s="126"/>
      <c r="BW445" s="126"/>
      <c r="BX445" s="126"/>
    </row>
    <row r="446">
      <c r="A446" s="126"/>
      <c r="B446" s="126"/>
      <c r="C446" s="127"/>
      <c r="D446" s="126"/>
      <c r="E446" s="126"/>
      <c r="F446" s="127"/>
      <c r="G446" s="126"/>
      <c r="H446" s="127"/>
      <c r="I446" s="126"/>
      <c r="J446" s="126"/>
      <c r="K446" s="127"/>
      <c r="L446" s="126"/>
      <c r="M446" s="126"/>
      <c r="N446" s="127"/>
      <c r="O446" s="126"/>
      <c r="P446" s="126"/>
      <c r="Q446" s="127"/>
      <c r="R446" s="126"/>
      <c r="S446" s="126"/>
      <c r="T446" s="127"/>
      <c r="U446" s="126"/>
      <c r="V446" s="126"/>
      <c r="W446" s="127"/>
      <c r="X446" s="126"/>
      <c r="Y446" s="126"/>
      <c r="Z446" s="127"/>
      <c r="AA446" s="126"/>
      <c r="AB446" s="126"/>
      <c r="AC446" s="127"/>
      <c r="AD446" s="126"/>
      <c r="AE446" s="126"/>
      <c r="AF446" s="126"/>
      <c r="AG446" s="127"/>
      <c r="AH446" s="126"/>
      <c r="AI446" s="126"/>
      <c r="AJ446" s="127"/>
      <c r="AK446" s="126"/>
      <c r="AL446" s="126"/>
      <c r="AM446" s="127"/>
      <c r="AN446" s="126"/>
      <c r="AO446" s="126"/>
      <c r="AP446" s="127"/>
      <c r="AQ446" s="126"/>
      <c r="AR446" s="126"/>
      <c r="AS446" s="127"/>
      <c r="AT446" s="126"/>
      <c r="AU446" s="126"/>
      <c r="AV446" s="127"/>
      <c r="AW446" s="126"/>
      <c r="AX446" s="126"/>
      <c r="AY446" s="127"/>
      <c r="AZ446" s="126"/>
      <c r="BA446" s="126"/>
      <c r="BB446" s="127"/>
      <c r="BC446" s="126"/>
      <c r="BD446" s="134"/>
      <c r="BE446" s="127"/>
      <c r="BF446" s="126"/>
      <c r="BG446" s="126"/>
      <c r="BH446" s="126"/>
      <c r="BI446" s="126"/>
      <c r="BJ446" s="126"/>
      <c r="BK446" s="126"/>
      <c r="BL446" s="126"/>
      <c r="BM446" s="126"/>
      <c r="BN446" s="126"/>
      <c r="BO446" s="126"/>
      <c r="BP446" s="126"/>
      <c r="BQ446" s="126"/>
      <c r="BR446" s="126"/>
      <c r="BS446" s="126"/>
      <c r="BT446" s="126"/>
      <c r="BU446" s="126"/>
      <c r="BV446" s="126"/>
      <c r="BW446" s="126"/>
      <c r="BX446" s="126"/>
    </row>
    <row r="447">
      <c r="A447" s="126"/>
      <c r="B447" s="126"/>
      <c r="C447" s="127"/>
      <c r="D447" s="126"/>
      <c r="E447" s="126"/>
      <c r="F447" s="127"/>
      <c r="G447" s="126"/>
      <c r="H447" s="127"/>
      <c r="I447" s="126"/>
      <c r="J447" s="126"/>
      <c r="K447" s="127"/>
      <c r="L447" s="126"/>
      <c r="M447" s="126"/>
      <c r="N447" s="127"/>
      <c r="O447" s="126"/>
      <c r="P447" s="126"/>
      <c r="Q447" s="127"/>
      <c r="R447" s="126"/>
      <c r="S447" s="126"/>
      <c r="T447" s="127"/>
      <c r="U447" s="126"/>
      <c r="V447" s="126"/>
      <c r="W447" s="127"/>
      <c r="X447" s="126"/>
      <c r="Y447" s="126"/>
      <c r="Z447" s="127"/>
      <c r="AA447" s="126"/>
      <c r="AB447" s="126"/>
      <c r="AC447" s="127"/>
      <c r="AD447" s="126"/>
      <c r="AE447" s="126"/>
      <c r="AF447" s="126"/>
      <c r="AG447" s="127"/>
      <c r="AH447" s="126"/>
      <c r="AI447" s="126"/>
      <c r="AJ447" s="127"/>
      <c r="AK447" s="126"/>
      <c r="AL447" s="126"/>
      <c r="AM447" s="127"/>
      <c r="AN447" s="126"/>
      <c r="AO447" s="126"/>
      <c r="AP447" s="127"/>
      <c r="AQ447" s="126"/>
      <c r="AR447" s="126"/>
      <c r="AS447" s="127"/>
      <c r="AT447" s="126"/>
      <c r="AU447" s="126"/>
      <c r="AV447" s="127"/>
      <c r="AW447" s="126"/>
      <c r="AX447" s="126"/>
      <c r="AY447" s="127"/>
      <c r="AZ447" s="126"/>
      <c r="BA447" s="126"/>
      <c r="BB447" s="127"/>
      <c r="BC447" s="126"/>
      <c r="BD447" s="134"/>
      <c r="BE447" s="127"/>
      <c r="BF447" s="126"/>
      <c r="BG447" s="126"/>
      <c r="BH447" s="126"/>
      <c r="BI447" s="126"/>
      <c r="BJ447" s="126"/>
      <c r="BK447" s="126"/>
      <c r="BL447" s="126"/>
      <c r="BM447" s="126"/>
      <c r="BN447" s="126"/>
      <c r="BO447" s="126"/>
      <c r="BP447" s="126"/>
      <c r="BQ447" s="126"/>
      <c r="BR447" s="126"/>
      <c r="BS447" s="126"/>
      <c r="BT447" s="126"/>
      <c r="BU447" s="126"/>
      <c r="BV447" s="126"/>
      <c r="BW447" s="126"/>
      <c r="BX447" s="126"/>
    </row>
    <row r="448">
      <c r="A448" s="126"/>
      <c r="B448" s="126"/>
      <c r="C448" s="127"/>
      <c r="D448" s="126"/>
      <c r="E448" s="126"/>
      <c r="F448" s="127"/>
      <c r="G448" s="126"/>
      <c r="H448" s="127"/>
      <c r="I448" s="126"/>
      <c r="J448" s="126"/>
      <c r="K448" s="127"/>
      <c r="L448" s="126"/>
      <c r="M448" s="126"/>
      <c r="N448" s="127"/>
      <c r="O448" s="126"/>
      <c r="P448" s="126"/>
      <c r="Q448" s="127"/>
      <c r="R448" s="126"/>
      <c r="S448" s="126"/>
      <c r="T448" s="127"/>
      <c r="U448" s="126"/>
      <c r="V448" s="126"/>
      <c r="W448" s="127"/>
      <c r="X448" s="126"/>
      <c r="Y448" s="126"/>
      <c r="Z448" s="127"/>
      <c r="AA448" s="126"/>
      <c r="AB448" s="126"/>
      <c r="AC448" s="127"/>
      <c r="AD448" s="126"/>
      <c r="AE448" s="126"/>
      <c r="AF448" s="126"/>
      <c r="AG448" s="127"/>
      <c r="AH448" s="126"/>
      <c r="AI448" s="126"/>
      <c r="AJ448" s="127"/>
      <c r="AK448" s="126"/>
      <c r="AL448" s="126"/>
      <c r="AM448" s="127"/>
      <c r="AN448" s="126"/>
      <c r="AO448" s="126"/>
      <c r="AP448" s="127"/>
      <c r="AQ448" s="126"/>
      <c r="AR448" s="126"/>
      <c r="AS448" s="127"/>
      <c r="AT448" s="126"/>
      <c r="AU448" s="126"/>
      <c r="AV448" s="127"/>
      <c r="AW448" s="126"/>
      <c r="AX448" s="126"/>
      <c r="AY448" s="127"/>
      <c r="AZ448" s="126"/>
      <c r="BA448" s="126"/>
      <c r="BB448" s="127"/>
      <c r="BC448" s="126"/>
      <c r="BD448" s="134"/>
      <c r="BE448" s="127"/>
      <c r="BF448" s="126"/>
      <c r="BG448" s="126"/>
      <c r="BH448" s="126"/>
      <c r="BI448" s="126"/>
      <c r="BJ448" s="126"/>
      <c r="BK448" s="126"/>
      <c r="BL448" s="126"/>
      <c r="BM448" s="126"/>
      <c r="BN448" s="126"/>
      <c r="BO448" s="126"/>
      <c r="BP448" s="126"/>
      <c r="BQ448" s="126"/>
      <c r="BR448" s="126"/>
      <c r="BS448" s="126"/>
      <c r="BT448" s="126"/>
      <c r="BU448" s="126"/>
      <c r="BV448" s="126"/>
      <c r="BW448" s="126"/>
      <c r="BX448" s="126"/>
    </row>
    <row r="449">
      <c r="A449" s="126"/>
      <c r="B449" s="126"/>
      <c r="C449" s="127"/>
      <c r="D449" s="126"/>
      <c r="E449" s="126"/>
      <c r="F449" s="127"/>
      <c r="G449" s="126"/>
      <c r="H449" s="127"/>
      <c r="I449" s="126"/>
      <c r="J449" s="126"/>
      <c r="K449" s="127"/>
      <c r="L449" s="126"/>
      <c r="M449" s="126"/>
      <c r="N449" s="127"/>
      <c r="O449" s="126"/>
      <c r="P449" s="126"/>
      <c r="Q449" s="127"/>
      <c r="R449" s="126"/>
      <c r="S449" s="126"/>
      <c r="T449" s="127"/>
      <c r="U449" s="126"/>
      <c r="V449" s="126"/>
      <c r="W449" s="127"/>
      <c r="X449" s="126"/>
      <c r="Y449" s="126"/>
      <c r="Z449" s="127"/>
      <c r="AA449" s="126"/>
      <c r="AB449" s="126"/>
      <c r="AC449" s="127"/>
      <c r="AD449" s="126"/>
      <c r="AE449" s="126"/>
      <c r="AF449" s="126"/>
      <c r="AG449" s="127"/>
      <c r="AH449" s="126"/>
      <c r="AI449" s="126"/>
      <c r="AJ449" s="127"/>
      <c r="AK449" s="126"/>
      <c r="AL449" s="126"/>
      <c r="AM449" s="127"/>
      <c r="AN449" s="126"/>
      <c r="AO449" s="126"/>
      <c r="AP449" s="127"/>
      <c r="AQ449" s="126"/>
      <c r="AR449" s="126"/>
      <c r="AS449" s="127"/>
      <c r="AT449" s="126"/>
      <c r="AU449" s="126"/>
      <c r="AV449" s="127"/>
      <c r="AW449" s="126"/>
      <c r="AX449" s="126"/>
      <c r="AY449" s="127"/>
      <c r="AZ449" s="126"/>
      <c r="BA449" s="126"/>
      <c r="BB449" s="127"/>
      <c r="BC449" s="126"/>
      <c r="BD449" s="134"/>
      <c r="BE449" s="127"/>
      <c r="BF449" s="126"/>
      <c r="BG449" s="126"/>
      <c r="BH449" s="126"/>
      <c r="BI449" s="126"/>
      <c r="BJ449" s="126"/>
      <c r="BK449" s="126"/>
      <c r="BL449" s="126"/>
      <c r="BM449" s="126"/>
      <c r="BN449" s="126"/>
      <c r="BO449" s="126"/>
      <c r="BP449" s="126"/>
      <c r="BQ449" s="126"/>
      <c r="BR449" s="126"/>
      <c r="BS449" s="126"/>
      <c r="BT449" s="126"/>
      <c r="BU449" s="126"/>
      <c r="BV449" s="126"/>
      <c r="BW449" s="126"/>
      <c r="BX449" s="126"/>
    </row>
    <row r="450">
      <c r="A450" s="126"/>
      <c r="B450" s="126"/>
      <c r="C450" s="127"/>
      <c r="D450" s="126"/>
      <c r="E450" s="126"/>
      <c r="F450" s="127"/>
      <c r="G450" s="126"/>
      <c r="H450" s="127"/>
      <c r="I450" s="126"/>
      <c r="J450" s="126"/>
      <c r="K450" s="127"/>
      <c r="L450" s="126"/>
      <c r="M450" s="126"/>
      <c r="N450" s="127"/>
      <c r="O450" s="126"/>
      <c r="P450" s="126"/>
      <c r="Q450" s="127"/>
      <c r="R450" s="126"/>
      <c r="S450" s="126"/>
      <c r="T450" s="127"/>
      <c r="U450" s="126"/>
      <c r="V450" s="126"/>
      <c r="W450" s="127"/>
      <c r="X450" s="126"/>
      <c r="Y450" s="126"/>
      <c r="Z450" s="127"/>
      <c r="AA450" s="126"/>
      <c r="AB450" s="126"/>
      <c r="AC450" s="127"/>
      <c r="AD450" s="126"/>
      <c r="AE450" s="126"/>
      <c r="AF450" s="126"/>
      <c r="AG450" s="127"/>
      <c r="AH450" s="126"/>
      <c r="AI450" s="126"/>
      <c r="AJ450" s="127"/>
      <c r="AK450" s="126"/>
      <c r="AL450" s="126"/>
      <c r="AM450" s="127"/>
      <c r="AN450" s="126"/>
      <c r="AO450" s="126"/>
      <c r="AP450" s="127"/>
      <c r="AQ450" s="126"/>
      <c r="AR450" s="126"/>
      <c r="AS450" s="127"/>
      <c r="AT450" s="126"/>
      <c r="AU450" s="126"/>
      <c r="AV450" s="127"/>
      <c r="AW450" s="126"/>
      <c r="AX450" s="126"/>
      <c r="AY450" s="127"/>
      <c r="AZ450" s="126"/>
      <c r="BA450" s="126"/>
      <c r="BB450" s="127"/>
      <c r="BC450" s="126"/>
      <c r="BD450" s="134"/>
      <c r="BE450" s="127"/>
      <c r="BF450" s="126"/>
      <c r="BG450" s="126"/>
      <c r="BH450" s="126"/>
      <c r="BI450" s="126"/>
      <c r="BJ450" s="126"/>
      <c r="BK450" s="126"/>
      <c r="BL450" s="126"/>
      <c r="BM450" s="126"/>
      <c r="BN450" s="126"/>
      <c r="BO450" s="126"/>
      <c r="BP450" s="126"/>
      <c r="BQ450" s="126"/>
      <c r="BR450" s="126"/>
      <c r="BS450" s="126"/>
      <c r="BT450" s="126"/>
      <c r="BU450" s="126"/>
      <c r="BV450" s="126"/>
      <c r="BW450" s="126"/>
      <c r="BX450" s="126"/>
    </row>
    <row r="451">
      <c r="A451" s="126"/>
      <c r="B451" s="126"/>
      <c r="C451" s="127"/>
      <c r="D451" s="126"/>
      <c r="E451" s="126"/>
      <c r="F451" s="127"/>
      <c r="G451" s="126"/>
      <c r="H451" s="127"/>
      <c r="I451" s="126"/>
      <c r="J451" s="126"/>
      <c r="K451" s="127"/>
      <c r="L451" s="126"/>
      <c r="M451" s="126"/>
      <c r="N451" s="127"/>
      <c r="O451" s="126"/>
      <c r="P451" s="126"/>
      <c r="Q451" s="127"/>
      <c r="R451" s="126"/>
      <c r="S451" s="126"/>
      <c r="T451" s="127"/>
      <c r="U451" s="126"/>
      <c r="V451" s="126"/>
      <c r="W451" s="127"/>
      <c r="X451" s="126"/>
      <c r="Y451" s="126"/>
      <c r="Z451" s="127"/>
      <c r="AA451" s="126"/>
      <c r="AB451" s="126"/>
      <c r="AC451" s="127"/>
      <c r="AD451" s="126"/>
      <c r="AE451" s="126"/>
      <c r="AF451" s="126"/>
      <c r="AG451" s="127"/>
      <c r="AH451" s="126"/>
      <c r="AI451" s="126"/>
      <c r="AJ451" s="127"/>
      <c r="AK451" s="126"/>
      <c r="AL451" s="126"/>
      <c r="AM451" s="127"/>
      <c r="AN451" s="126"/>
      <c r="AO451" s="126"/>
      <c r="AP451" s="127"/>
      <c r="AQ451" s="126"/>
      <c r="AR451" s="126"/>
      <c r="AS451" s="127"/>
      <c r="AT451" s="126"/>
      <c r="AU451" s="126"/>
      <c r="AV451" s="127"/>
      <c r="AW451" s="126"/>
      <c r="AX451" s="126"/>
      <c r="AY451" s="127"/>
      <c r="AZ451" s="126"/>
      <c r="BA451" s="126"/>
      <c r="BB451" s="127"/>
      <c r="BC451" s="126"/>
      <c r="BD451" s="134"/>
      <c r="BE451" s="127"/>
      <c r="BF451" s="126"/>
      <c r="BG451" s="126"/>
      <c r="BH451" s="126"/>
      <c r="BI451" s="126"/>
      <c r="BJ451" s="126"/>
      <c r="BK451" s="126"/>
      <c r="BL451" s="126"/>
      <c r="BM451" s="126"/>
      <c r="BN451" s="126"/>
      <c r="BO451" s="126"/>
      <c r="BP451" s="126"/>
      <c r="BQ451" s="126"/>
      <c r="BR451" s="126"/>
      <c r="BS451" s="126"/>
      <c r="BT451" s="126"/>
      <c r="BU451" s="126"/>
      <c r="BV451" s="126"/>
      <c r="BW451" s="126"/>
      <c r="BX451" s="126"/>
    </row>
    <row r="452">
      <c r="A452" s="126"/>
      <c r="B452" s="126"/>
      <c r="C452" s="127"/>
      <c r="D452" s="126"/>
      <c r="E452" s="126"/>
      <c r="F452" s="127"/>
      <c r="G452" s="126"/>
      <c r="H452" s="127"/>
      <c r="I452" s="126"/>
      <c r="J452" s="126"/>
      <c r="K452" s="127"/>
      <c r="L452" s="126"/>
      <c r="M452" s="126"/>
      <c r="N452" s="127"/>
      <c r="O452" s="126"/>
      <c r="P452" s="126"/>
      <c r="Q452" s="127"/>
      <c r="R452" s="126"/>
      <c r="S452" s="126"/>
      <c r="T452" s="127"/>
      <c r="U452" s="126"/>
      <c r="V452" s="126"/>
      <c r="W452" s="127"/>
      <c r="X452" s="126"/>
      <c r="Y452" s="126"/>
      <c r="Z452" s="127"/>
      <c r="AA452" s="126"/>
      <c r="AB452" s="126"/>
      <c r="AC452" s="127"/>
      <c r="AD452" s="126"/>
      <c r="AE452" s="126"/>
      <c r="AF452" s="126"/>
      <c r="AG452" s="127"/>
      <c r="AH452" s="126"/>
      <c r="AI452" s="126"/>
      <c r="AJ452" s="127"/>
      <c r="AK452" s="126"/>
      <c r="AL452" s="126"/>
      <c r="AM452" s="127"/>
      <c r="AN452" s="126"/>
      <c r="AO452" s="126"/>
      <c r="AP452" s="127"/>
      <c r="AQ452" s="126"/>
      <c r="AR452" s="126"/>
      <c r="AS452" s="127"/>
      <c r="AT452" s="126"/>
      <c r="AU452" s="126"/>
      <c r="AV452" s="127"/>
      <c r="AW452" s="126"/>
      <c r="AX452" s="126"/>
      <c r="AY452" s="127"/>
      <c r="AZ452" s="126"/>
      <c r="BA452" s="126"/>
      <c r="BB452" s="127"/>
      <c r="BC452" s="126"/>
      <c r="BD452" s="134"/>
      <c r="BE452" s="127"/>
      <c r="BF452" s="126"/>
      <c r="BG452" s="126"/>
      <c r="BH452" s="126"/>
      <c r="BI452" s="126"/>
      <c r="BJ452" s="126"/>
      <c r="BK452" s="126"/>
      <c r="BL452" s="126"/>
      <c r="BM452" s="126"/>
      <c r="BN452" s="126"/>
      <c r="BO452" s="126"/>
      <c r="BP452" s="126"/>
      <c r="BQ452" s="126"/>
      <c r="BR452" s="126"/>
      <c r="BS452" s="126"/>
      <c r="BT452" s="126"/>
      <c r="BU452" s="126"/>
      <c r="BV452" s="126"/>
      <c r="BW452" s="126"/>
      <c r="BX452" s="126"/>
    </row>
    <row r="453">
      <c r="A453" s="126"/>
      <c r="B453" s="126"/>
      <c r="C453" s="127"/>
      <c r="D453" s="126"/>
      <c r="E453" s="126"/>
      <c r="F453" s="127"/>
      <c r="G453" s="126"/>
      <c r="H453" s="127"/>
      <c r="I453" s="126"/>
      <c r="J453" s="126"/>
      <c r="K453" s="127"/>
      <c r="L453" s="126"/>
      <c r="M453" s="126"/>
      <c r="N453" s="127"/>
      <c r="O453" s="126"/>
      <c r="P453" s="126"/>
      <c r="Q453" s="127"/>
      <c r="R453" s="126"/>
      <c r="S453" s="126"/>
      <c r="T453" s="127"/>
      <c r="U453" s="126"/>
      <c r="V453" s="126"/>
      <c r="W453" s="127"/>
      <c r="X453" s="126"/>
      <c r="Y453" s="126"/>
      <c r="Z453" s="127"/>
      <c r="AA453" s="126"/>
      <c r="AB453" s="126"/>
      <c r="AC453" s="127"/>
      <c r="AD453" s="126"/>
      <c r="AE453" s="126"/>
      <c r="AF453" s="126"/>
      <c r="AG453" s="127"/>
      <c r="AH453" s="126"/>
      <c r="AI453" s="126"/>
      <c r="AJ453" s="127"/>
      <c r="AK453" s="126"/>
      <c r="AL453" s="126"/>
      <c r="AM453" s="127"/>
      <c r="AN453" s="126"/>
      <c r="AO453" s="126"/>
      <c r="AP453" s="127"/>
      <c r="AQ453" s="126"/>
      <c r="AR453" s="126"/>
      <c r="AS453" s="127"/>
      <c r="AT453" s="126"/>
      <c r="AU453" s="126"/>
      <c r="AV453" s="127"/>
      <c r="AW453" s="126"/>
      <c r="AX453" s="126"/>
      <c r="AY453" s="127"/>
      <c r="AZ453" s="126"/>
      <c r="BA453" s="126"/>
      <c r="BB453" s="127"/>
      <c r="BC453" s="126"/>
      <c r="BD453" s="134"/>
      <c r="BE453" s="127"/>
      <c r="BF453" s="126"/>
      <c r="BG453" s="126"/>
      <c r="BH453" s="126"/>
      <c r="BI453" s="126"/>
      <c r="BJ453" s="126"/>
      <c r="BK453" s="126"/>
      <c r="BL453" s="126"/>
      <c r="BM453" s="126"/>
      <c r="BN453" s="126"/>
      <c r="BO453" s="126"/>
      <c r="BP453" s="126"/>
      <c r="BQ453" s="126"/>
      <c r="BR453" s="126"/>
      <c r="BS453" s="126"/>
      <c r="BT453" s="126"/>
      <c r="BU453" s="126"/>
      <c r="BV453" s="126"/>
      <c r="BW453" s="126"/>
      <c r="BX453" s="126"/>
    </row>
    <row r="454">
      <c r="A454" s="126"/>
      <c r="B454" s="126"/>
      <c r="C454" s="127"/>
      <c r="D454" s="126"/>
      <c r="E454" s="126"/>
      <c r="F454" s="127"/>
      <c r="G454" s="126"/>
      <c r="H454" s="127"/>
      <c r="I454" s="126"/>
      <c r="J454" s="126"/>
      <c r="K454" s="127"/>
      <c r="L454" s="126"/>
      <c r="M454" s="126"/>
      <c r="N454" s="127"/>
      <c r="O454" s="126"/>
      <c r="P454" s="126"/>
      <c r="Q454" s="127"/>
      <c r="R454" s="126"/>
      <c r="S454" s="126"/>
      <c r="T454" s="127"/>
      <c r="U454" s="126"/>
      <c r="V454" s="126"/>
      <c r="W454" s="127"/>
      <c r="X454" s="126"/>
      <c r="Y454" s="126"/>
      <c r="Z454" s="127"/>
      <c r="AA454" s="126"/>
      <c r="AB454" s="126"/>
      <c r="AC454" s="127"/>
      <c r="AD454" s="126"/>
      <c r="AE454" s="126"/>
      <c r="AF454" s="126"/>
      <c r="AG454" s="127"/>
      <c r="AH454" s="126"/>
      <c r="AI454" s="126"/>
      <c r="AJ454" s="127"/>
      <c r="AK454" s="126"/>
      <c r="AL454" s="126"/>
      <c r="AM454" s="127"/>
      <c r="AN454" s="126"/>
      <c r="AO454" s="126"/>
      <c r="AP454" s="127"/>
      <c r="AQ454" s="126"/>
      <c r="AR454" s="126"/>
      <c r="AS454" s="127"/>
      <c r="AT454" s="126"/>
      <c r="AU454" s="126"/>
      <c r="AV454" s="127"/>
      <c r="AW454" s="126"/>
      <c r="AX454" s="126"/>
      <c r="AY454" s="127"/>
      <c r="AZ454" s="126"/>
      <c r="BA454" s="126"/>
      <c r="BB454" s="127"/>
      <c r="BC454" s="126"/>
      <c r="BD454" s="134"/>
      <c r="BE454" s="127"/>
      <c r="BF454" s="126"/>
      <c r="BG454" s="126"/>
      <c r="BH454" s="126"/>
      <c r="BI454" s="126"/>
      <c r="BJ454" s="126"/>
      <c r="BK454" s="126"/>
      <c r="BL454" s="126"/>
      <c r="BM454" s="126"/>
      <c r="BN454" s="126"/>
      <c r="BO454" s="126"/>
      <c r="BP454" s="126"/>
      <c r="BQ454" s="126"/>
      <c r="BR454" s="126"/>
      <c r="BS454" s="126"/>
      <c r="BT454" s="126"/>
      <c r="BU454" s="126"/>
      <c r="BV454" s="126"/>
      <c r="BW454" s="126"/>
      <c r="BX454" s="126"/>
    </row>
    <row r="455">
      <c r="A455" s="126"/>
      <c r="B455" s="126"/>
      <c r="C455" s="127"/>
      <c r="D455" s="126"/>
      <c r="E455" s="126"/>
      <c r="F455" s="127"/>
      <c r="G455" s="126"/>
      <c r="H455" s="127"/>
      <c r="I455" s="126"/>
      <c r="J455" s="126"/>
      <c r="K455" s="127"/>
      <c r="L455" s="126"/>
      <c r="M455" s="126"/>
      <c r="N455" s="127"/>
      <c r="O455" s="126"/>
      <c r="P455" s="126"/>
      <c r="Q455" s="127"/>
      <c r="R455" s="126"/>
      <c r="S455" s="126"/>
      <c r="T455" s="127"/>
      <c r="U455" s="126"/>
      <c r="V455" s="126"/>
      <c r="W455" s="127"/>
      <c r="X455" s="126"/>
      <c r="Y455" s="126"/>
      <c r="Z455" s="127"/>
      <c r="AA455" s="126"/>
      <c r="AB455" s="126"/>
      <c r="AC455" s="127"/>
      <c r="AD455" s="126"/>
      <c r="AE455" s="126"/>
      <c r="AF455" s="126"/>
      <c r="AG455" s="127"/>
      <c r="AH455" s="126"/>
      <c r="AI455" s="126"/>
      <c r="AJ455" s="127"/>
      <c r="AK455" s="126"/>
      <c r="AL455" s="126"/>
      <c r="AM455" s="127"/>
      <c r="AN455" s="126"/>
      <c r="AO455" s="126"/>
      <c r="AP455" s="127"/>
      <c r="AQ455" s="126"/>
      <c r="AR455" s="126"/>
      <c r="AS455" s="127"/>
      <c r="AT455" s="126"/>
      <c r="AU455" s="126"/>
      <c r="AV455" s="127"/>
      <c r="AW455" s="126"/>
      <c r="AX455" s="126"/>
      <c r="AY455" s="127"/>
      <c r="AZ455" s="126"/>
      <c r="BA455" s="126"/>
      <c r="BB455" s="127"/>
      <c r="BC455" s="126"/>
      <c r="BD455" s="134"/>
      <c r="BE455" s="127"/>
      <c r="BF455" s="126"/>
      <c r="BG455" s="126"/>
      <c r="BH455" s="126"/>
      <c r="BI455" s="126"/>
      <c r="BJ455" s="126"/>
      <c r="BK455" s="126"/>
      <c r="BL455" s="126"/>
      <c r="BM455" s="126"/>
      <c r="BN455" s="126"/>
      <c r="BO455" s="126"/>
      <c r="BP455" s="126"/>
      <c r="BQ455" s="126"/>
      <c r="BR455" s="126"/>
      <c r="BS455" s="126"/>
      <c r="BT455" s="126"/>
      <c r="BU455" s="126"/>
      <c r="BV455" s="126"/>
      <c r="BW455" s="126"/>
      <c r="BX455" s="126"/>
    </row>
    <row r="456">
      <c r="A456" s="126"/>
      <c r="B456" s="126"/>
      <c r="C456" s="127"/>
      <c r="D456" s="126"/>
      <c r="E456" s="126"/>
      <c r="F456" s="127"/>
      <c r="G456" s="126"/>
      <c r="H456" s="127"/>
      <c r="I456" s="126"/>
      <c r="J456" s="126"/>
      <c r="K456" s="127"/>
      <c r="L456" s="126"/>
      <c r="M456" s="126"/>
      <c r="N456" s="127"/>
      <c r="O456" s="126"/>
      <c r="P456" s="126"/>
      <c r="Q456" s="127"/>
      <c r="R456" s="126"/>
      <c r="S456" s="126"/>
      <c r="T456" s="127"/>
      <c r="U456" s="126"/>
      <c r="V456" s="126"/>
      <c r="W456" s="127"/>
      <c r="X456" s="126"/>
      <c r="Y456" s="126"/>
      <c r="Z456" s="127"/>
      <c r="AA456" s="126"/>
      <c r="AB456" s="126"/>
      <c r="AC456" s="127"/>
      <c r="AD456" s="126"/>
      <c r="AE456" s="126"/>
      <c r="AF456" s="126"/>
      <c r="AG456" s="127"/>
      <c r="AH456" s="126"/>
      <c r="AI456" s="126"/>
      <c r="AJ456" s="127"/>
      <c r="AK456" s="126"/>
      <c r="AL456" s="126"/>
      <c r="AM456" s="127"/>
      <c r="AN456" s="126"/>
      <c r="AO456" s="126"/>
      <c r="AP456" s="127"/>
      <c r="AQ456" s="126"/>
      <c r="AR456" s="126"/>
      <c r="AS456" s="127"/>
      <c r="AT456" s="126"/>
      <c r="AU456" s="126"/>
      <c r="AV456" s="127"/>
      <c r="AW456" s="126"/>
      <c r="AX456" s="126"/>
      <c r="AY456" s="127"/>
      <c r="AZ456" s="126"/>
      <c r="BA456" s="126"/>
      <c r="BB456" s="127"/>
      <c r="BC456" s="126"/>
      <c r="BD456" s="134"/>
      <c r="BE456" s="127"/>
      <c r="BF456" s="126"/>
      <c r="BG456" s="126"/>
      <c r="BH456" s="126"/>
      <c r="BI456" s="126"/>
      <c r="BJ456" s="126"/>
      <c r="BK456" s="126"/>
      <c r="BL456" s="126"/>
      <c r="BM456" s="126"/>
      <c r="BN456" s="126"/>
      <c r="BO456" s="126"/>
      <c r="BP456" s="126"/>
      <c r="BQ456" s="126"/>
      <c r="BR456" s="126"/>
      <c r="BS456" s="126"/>
      <c r="BT456" s="126"/>
      <c r="BU456" s="126"/>
      <c r="BV456" s="126"/>
      <c r="BW456" s="126"/>
      <c r="BX456" s="126"/>
    </row>
    <row r="457">
      <c r="A457" s="126"/>
      <c r="B457" s="126"/>
      <c r="C457" s="127"/>
      <c r="D457" s="126"/>
      <c r="E457" s="126"/>
      <c r="F457" s="127"/>
      <c r="G457" s="126"/>
      <c r="H457" s="127"/>
      <c r="I457" s="126"/>
      <c r="J457" s="126"/>
      <c r="K457" s="127"/>
      <c r="L457" s="126"/>
      <c r="M457" s="126"/>
      <c r="N457" s="127"/>
      <c r="O457" s="126"/>
      <c r="P457" s="126"/>
      <c r="Q457" s="127"/>
      <c r="R457" s="126"/>
      <c r="S457" s="126"/>
      <c r="T457" s="127"/>
      <c r="U457" s="126"/>
      <c r="V457" s="126"/>
      <c r="W457" s="127"/>
      <c r="X457" s="126"/>
      <c r="Y457" s="126"/>
      <c r="Z457" s="127"/>
      <c r="AA457" s="126"/>
      <c r="AB457" s="126"/>
      <c r="AC457" s="127"/>
      <c r="AD457" s="126"/>
      <c r="AE457" s="126"/>
      <c r="AF457" s="126"/>
      <c r="AG457" s="127"/>
      <c r="AH457" s="126"/>
      <c r="AI457" s="126"/>
      <c r="AJ457" s="127"/>
      <c r="AK457" s="126"/>
      <c r="AL457" s="126"/>
      <c r="AM457" s="127"/>
      <c r="AN457" s="126"/>
      <c r="AO457" s="126"/>
      <c r="AP457" s="127"/>
      <c r="AQ457" s="126"/>
      <c r="AR457" s="126"/>
      <c r="AS457" s="127"/>
      <c r="AT457" s="126"/>
      <c r="AU457" s="126"/>
      <c r="AV457" s="127"/>
      <c r="AW457" s="126"/>
      <c r="AX457" s="126"/>
      <c r="AY457" s="127"/>
      <c r="AZ457" s="126"/>
      <c r="BA457" s="126"/>
      <c r="BB457" s="127"/>
      <c r="BC457" s="126"/>
      <c r="BD457" s="134"/>
      <c r="BE457" s="127"/>
      <c r="BF457" s="126"/>
      <c r="BG457" s="126"/>
      <c r="BH457" s="126"/>
      <c r="BI457" s="126"/>
      <c r="BJ457" s="126"/>
      <c r="BK457" s="126"/>
      <c r="BL457" s="126"/>
      <c r="BM457" s="126"/>
      <c r="BN457" s="126"/>
      <c r="BO457" s="126"/>
      <c r="BP457" s="126"/>
      <c r="BQ457" s="126"/>
      <c r="BR457" s="126"/>
      <c r="BS457" s="126"/>
      <c r="BT457" s="126"/>
      <c r="BU457" s="126"/>
      <c r="BV457" s="126"/>
      <c r="BW457" s="126"/>
      <c r="BX457" s="126"/>
    </row>
    <row r="458">
      <c r="A458" s="126"/>
      <c r="B458" s="126"/>
      <c r="C458" s="127"/>
      <c r="D458" s="126"/>
      <c r="E458" s="126"/>
      <c r="F458" s="127"/>
      <c r="G458" s="126"/>
      <c r="H458" s="127"/>
      <c r="I458" s="126"/>
      <c r="J458" s="126"/>
      <c r="K458" s="127"/>
      <c r="L458" s="126"/>
      <c r="M458" s="126"/>
      <c r="N458" s="127"/>
      <c r="O458" s="126"/>
      <c r="P458" s="126"/>
      <c r="Q458" s="127"/>
      <c r="R458" s="126"/>
      <c r="S458" s="126"/>
      <c r="T458" s="127"/>
      <c r="U458" s="126"/>
      <c r="V458" s="126"/>
      <c r="W458" s="127"/>
      <c r="X458" s="126"/>
      <c r="Y458" s="126"/>
      <c r="Z458" s="127"/>
      <c r="AA458" s="126"/>
      <c r="AB458" s="126"/>
      <c r="AC458" s="127"/>
      <c r="AD458" s="126"/>
      <c r="AE458" s="126"/>
      <c r="AF458" s="126"/>
      <c r="AG458" s="127"/>
      <c r="AH458" s="126"/>
      <c r="AI458" s="126"/>
      <c r="AJ458" s="127"/>
      <c r="AK458" s="126"/>
      <c r="AL458" s="126"/>
      <c r="AM458" s="127"/>
      <c r="AN458" s="126"/>
      <c r="AO458" s="126"/>
      <c r="AP458" s="127"/>
      <c r="AQ458" s="126"/>
      <c r="AR458" s="126"/>
      <c r="AS458" s="127"/>
      <c r="AT458" s="126"/>
      <c r="AU458" s="126"/>
      <c r="AV458" s="127"/>
      <c r="AW458" s="126"/>
      <c r="AX458" s="126"/>
      <c r="AY458" s="127"/>
      <c r="AZ458" s="126"/>
      <c r="BA458" s="126"/>
      <c r="BB458" s="127"/>
      <c r="BC458" s="126"/>
      <c r="BD458" s="134"/>
      <c r="BE458" s="127"/>
      <c r="BF458" s="126"/>
      <c r="BG458" s="126"/>
      <c r="BH458" s="126"/>
      <c r="BI458" s="126"/>
      <c r="BJ458" s="126"/>
      <c r="BK458" s="126"/>
      <c r="BL458" s="126"/>
      <c r="BM458" s="126"/>
      <c r="BN458" s="126"/>
      <c r="BO458" s="126"/>
      <c r="BP458" s="126"/>
      <c r="BQ458" s="126"/>
      <c r="BR458" s="126"/>
      <c r="BS458" s="126"/>
      <c r="BT458" s="126"/>
      <c r="BU458" s="126"/>
      <c r="BV458" s="126"/>
      <c r="BW458" s="126"/>
      <c r="BX458" s="126"/>
    </row>
    <row r="459">
      <c r="A459" s="126"/>
      <c r="B459" s="126"/>
      <c r="C459" s="127"/>
      <c r="D459" s="126"/>
      <c r="E459" s="126"/>
      <c r="F459" s="127"/>
      <c r="G459" s="126"/>
      <c r="H459" s="127"/>
      <c r="I459" s="126"/>
      <c r="J459" s="126"/>
      <c r="K459" s="127"/>
      <c r="L459" s="126"/>
      <c r="M459" s="126"/>
      <c r="N459" s="127"/>
      <c r="O459" s="126"/>
      <c r="P459" s="126"/>
      <c r="Q459" s="127"/>
      <c r="R459" s="126"/>
      <c r="S459" s="126"/>
      <c r="T459" s="127"/>
      <c r="U459" s="126"/>
      <c r="V459" s="126"/>
      <c r="W459" s="127"/>
      <c r="X459" s="126"/>
      <c r="Y459" s="126"/>
      <c r="Z459" s="127"/>
      <c r="AA459" s="126"/>
      <c r="AB459" s="126"/>
      <c r="AC459" s="127"/>
      <c r="AD459" s="126"/>
      <c r="AE459" s="126"/>
      <c r="AF459" s="126"/>
      <c r="AG459" s="127"/>
      <c r="AH459" s="126"/>
      <c r="AI459" s="126"/>
      <c r="AJ459" s="127"/>
      <c r="AK459" s="126"/>
      <c r="AL459" s="126"/>
      <c r="AM459" s="127"/>
      <c r="AN459" s="126"/>
      <c r="AO459" s="126"/>
      <c r="AP459" s="127"/>
      <c r="AQ459" s="126"/>
      <c r="AR459" s="126"/>
      <c r="AS459" s="127"/>
      <c r="AT459" s="126"/>
      <c r="AU459" s="126"/>
      <c r="AV459" s="127"/>
      <c r="AW459" s="126"/>
      <c r="AX459" s="126"/>
      <c r="AY459" s="127"/>
      <c r="AZ459" s="126"/>
      <c r="BA459" s="126"/>
      <c r="BB459" s="127"/>
      <c r="BC459" s="126"/>
      <c r="BD459" s="134"/>
      <c r="BE459" s="127"/>
      <c r="BF459" s="126"/>
      <c r="BG459" s="126"/>
      <c r="BH459" s="126"/>
      <c r="BI459" s="126"/>
      <c r="BJ459" s="126"/>
      <c r="BK459" s="126"/>
      <c r="BL459" s="126"/>
      <c r="BM459" s="126"/>
      <c r="BN459" s="126"/>
      <c r="BO459" s="126"/>
      <c r="BP459" s="126"/>
      <c r="BQ459" s="126"/>
      <c r="BR459" s="126"/>
      <c r="BS459" s="126"/>
      <c r="BT459" s="126"/>
      <c r="BU459" s="126"/>
      <c r="BV459" s="126"/>
      <c r="BW459" s="126"/>
      <c r="BX459" s="126"/>
    </row>
    <row r="460">
      <c r="A460" s="126"/>
      <c r="B460" s="126"/>
      <c r="C460" s="127"/>
      <c r="D460" s="126"/>
      <c r="E460" s="126"/>
      <c r="F460" s="127"/>
      <c r="G460" s="126"/>
      <c r="H460" s="127"/>
      <c r="I460" s="126"/>
      <c r="J460" s="126"/>
      <c r="K460" s="127"/>
      <c r="L460" s="126"/>
      <c r="M460" s="126"/>
      <c r="N460" s="127"/>
      <c r="O460" s="126"/>
      <c r="P460" s="126"/>
      <c r="Q460" s="127"/>
      <c r="R460" s="126"/>
      <c r="S460" s="126"/>
      <c r="T460" s="127"/>
      <c r="U460" s="126"/>
      <c r="V460" s="126"/>
      <c r="W460" s="127"/>
      <c r="X460" s="126"/>
      <c r="Y460" s="126"/>
      <c r="Z460" s="127"/>
      <c r="AA460" s="126"/>
      <c r="AB460" s="126"/>
      <c r="AC460" s="127"/>
      <c r="AD460" s="126"/>
      <c r="AE460" s="126"/>
      <c r="AF460" s="126"/>
      <c r="AG460" s="127"/>
      <c r="AH460" s="126"/>
      <c r="AI460" s="126"/>
      <c r="AJ460" s="127"/>
      <c r="AK460" s="126"/>
      <c r="AL460" s="126"/>
      <c r="AM460" s="127"/>
      <c r="AN460" s="126"/>
      <c r="AO460" s="126"/>
      <c r="AP460" s="127"/>
      <c r="AQ460" s="126"/>
      <c r="AR460" s="126"/>
      <c r="AS460" s="127"/>
      <c r="AT460" s="126"/>
      <c r="AU460" s="126"/>
      <c r="AV460" s="127"/>
      <c r="AW460" s="126"/>
      <c r="AX460" s="126"/>
      <c r="AY460" s="127"/>
      <c r="AZ460" s="126"/>
      <c r="BA460" s="126"/>
      <c r="BB460" s="127"/>
      <c r="BC460" s="126"/>
      <c r="BD460" s="134"/>
      <c r="BE460" s="127"/>
      <c r="BF460" s="126"/>
      <c r="BG460" s="126"/>
      <c r="BH460" s="126"/>
      <c r="BI460" s="126"/>
      <c r="BJ460" s="126"/>
      <c r="BK460" s="126"/>
      <c r="BL460" s="126"/>
      <c r="BM460" s="126"/>
      <c r="BN460" s="126"/>
      <c r="BO460" s="126"/>
      <c r="BP460" s="126"/>
      <c r="BQ460" s="126"/>
      <c r="BR460" s="126"/>
      <c r="BS460" s="126"/>
      <c r="BT460" s="126"/>
      <c r="BU460" s="126"/>
      <c r="BV460" s="126"/>
      <c r="BW460" s="126"/>
      <c r="BX460" s="126"/>
    </row>
    <row r="461">
      <c r="A461" s="126"/>
      <c r="B461" s="126"/>
      <c r="C461" s="127"/>
      <c r="D461" s="126"/>
      <c r="E461" s="126"/>
      <c r="F461" s="127"/>
      <c r="G461" s="126"/>
      <c r="H461" s="127"/>
      <c r="I461" s="126"/>
      <c r="J461" s="126"/>
      <c r="K461" s="127"/>
      <c r="L461" s="126"/>
      <c r="M461" s="126"/>
      <c r="N461" s="127"/>
      <c r="O461" s="126"/>
      <c r="P461" s="126"/>
      <c r="Q461" s="127"/>
      <c r="R461" s="126"/>
      <c r="S461" s="126"/>
      <c r="T461" s="127"/>
      <c r="U461" s="126"/>
      <c r="V461" s="126"/>
      <c r="W461" s="127"/>
      <c r="X461" s="126"/>
      <c r="Y461" s="126"/>
      <c r="Z461" s="127"/>
      <c r="AA461" s="126"/>
      <c r="AB461" s="126"/>
      <c r="AC461" s="127"/>
      <c r="AD461" s="126"/>
      <c r="AE461" s="126"/>
      <c r="AF461" s="126"/>
      <c r="AG461" s="127"/>
      <c r="AH461" s="126"/>
      <c r="AI461" s="126"/>
      <c r="AJ461" s="127"/>
      <c r="AK461" s="126"/>
      <c r="AL461" s="126"/>
      <c r="AM461" s="127"/>
      <c r="AN461" s="126"/>
      <c r="AO461" s="126"/>
      <c r="AP461" s="127"/>
      <c r="AQ461" s="126"/>
      <c r="AR461" s="126"/>
      <c r="AS461" s="127"/>
      <c r="AT461" s="126"/>
      <c r="AU461" s="126"/>
      <c r="AV461" s="127"/>
      <c r="AW461" s="126"/>
      <c r="AX461" s="126"/>
      <c r="AY461" s="127"/>
      <c r="AZ461" s="126"/>
      <c r="BA461" s="126"/>
      <c r="BB461" s="127"/>
      <c r="BC461" s="126"/>
      <c r="BD461" s="134"/>
      <c r="BE461" s="127"/>
      <c r="BF461" s="126"/>
      <c r="BG461" s="126"/>
      <c r="BH461" s="126"/>
      <c r="BI461" s="126"/>
      <c r="BJ461" s="126"/>
      <c r="BK461" s="126"/>
      <c r="BL461" s="126"/>
      <c r="BM461" s="126"/>
      <c r="BN461" s="126"/>
      <c r="BO461" s="126"/>
      <c r="BP461" s="126"/>
      <c r="BQ461" s="126"/>
      <c r="BR461" s="126"/>
      <c r="BS461" s="126"/>
      <c r="BT461" s="126"/>
      <c r="BU461" s="126"/>
      <c r="BV461" s="126"/>
      <c r="BW461" s="126"/>
      <c r="BX461" s="126"/>
    </row>
    <row r="462">
      <c r="A462" s="126"/>
      <c r="B462" s="126"/>
      <c r="C462" s="127"/>
      <c r="D462" s="126"/>
      <c r="E462" s="126"/>
      <c r="F462" s="127"/>
      <c r="G462" s="126"/>
      <c r="H462" s="127"/>
      <c r="I462" s="126"/>
      <c r="J462" s="126"/>
      <c r="K462" s="127"/>
      <c r="L462" s="126"/>
      <c r="M462" s="126"/>
      <c r="N462" s="127"/>
      <c r="O462" s="126"/>
      <c r="P462" s="126"/>
      <c r="Q462" s="127"/>
      <c r="R462" s="126"/>
      <c r="S462" s="126"/>
      <c r="T462" s="127"/>
      <c r="U462" s="126"/>
      <c r="V462" s="126"/>
      <c r="W462" s="127"/>
      <c r="X462" s="126"/>
      <c r="Y462" s="126"/>
      <c r="Z462" s="127"/>
      <c r="AA462" s="126"/>
      <c r="AB462" s="126"/>
      <c r="AC462" s="127"/>
      <c r="AD462" s="126"/>
      <c r="AE462" s="126"/>
      <c r="AF462" s="126"/>
      <c r="AG462" s="127"/>
      <c r="AH462" s="126"/>
      <c r="AI462" s="126"/>
      <c r="AJ462" s="127"/>
      <c r="AK462" s="126"/>
      <c r="AL462" s="126"/>
      <c r="AM462" s="127"/>
      <c r="AN462" s="126"/>
      <c r="AO462" s="126"/>
      <c r="AP462" s="127"/>
      <c r="AQ462" s="126"/>
      <c r="AR462" s="126"/>
      <c r="AS462" s="127"/>
      <c r="AT462" s="126"/>
      <c r="AU462" s="126"/>
      <c r="AV462" s="127"/>
      <c r="AW462" s="126"/>
      <c r="AX462" s="126"/>
      <c r="AY462" s="127"/>
      <c r="AZ462" s="126"/>
      <c r="BA462" s="126"/>
      <c r="BB462" s="127"/>
      <c r="BC462" s="126"/>
      <c r="BD462" s="134"/>
      <c r="BE462" s="127"/>
      <c r="BF462" s="126"/>
      <c r="BG462" s="126"/>
      <c r="BH462" s="126"/>
      <c r="BI462" s="126"/>
      <c r="BJ462" s="126"/>
      <c r="BK462" s="126"/>
      <c r="BL462" s="126"/>
      <c r="BM462" s="126"/>
      <c r="BN462" s="126"/>
      <c r="BO462" s="126"/>
      <c r="BP462" s="126"/>
      <c r="BQ462" s="126"/>
      <c r="BR462" s="126"/>
      <c r="BS462" s="126"/>
      <c r="BT462" s="126"/>
      <c r="BU462" s="126"/>
      <c r="BV462" s="126"/>
      <c r="BW462" s="126"/>
      <c r="BX462" s="126"/>
    </row>
    <row r="463">
      <c r="A463" s="126"/>
      <c r="B463" s="126"/>
      <c r="C463" s="127"/>
      <c r="D463" s="126"/>
      <c r="E463" s="126"/>
      <c r="F463" s="127"/>
      <c r="G463" s="126"/>
      <c r="H463" s="127"/>
      <c r="I463" s="126"/>
      <c r="J463" s="126"/>
      <c r="K463" s="127"/>
      <c r="L463" s="126"/>
      <c r="M463" s="126"/>
      <c r="N463" s="127"/>
      <c r="O463" s="126"/>
      <c r="P463" s="126"/>
      <c r="Q463" s="127"/>
      <c r="R463" s="126"/>
      <c r="S463" s="126"/>
      <c r="T463" s="127"/>
      <c r="U463" s="126"/>
      <c r="V463" s="126"/>
      <c r="W463" s="127"/>
      <c r="X463" s="126"/>
      <c r="Y463" s="126"/>
      <c r="Z463" s="127"/>
      <c r="AA463" s="126"/>
      <c r="AB463" s="126"/>
      <c r="AC463" s="127"/>
      <c r="AD463" s="126"/>
      <c r="AE463" s="126"/>
      <c r="AF463" s="126"/>
      <c r="AG463" s="127"/>
      <c r="AH463" s="126"/>
      <c r="AI463" s="126"/>
      <c r="AJ463" s="127"/>
      <c r="AK463" s="126"/>
      <c r="AL463" s="126"/>
      <c r="AM463" s="127"/>
      <c r="AN463" s="126"/>
      <c r="AO463" s="126"/>
      <c r="AP463" s="127"/>
      <c r="AQ463" s="126"/>
      <c r="AR463" s="126"/>
      <c r="AS463" s="127"/>
      <c r="AT463" s="126"/>
      <c r="AU463" s="126"/>
      <c r="AV463" s="127"/>
      <c r="AW463" s="126"/>
      <c r="AX463" s="126"/>
      <c r="AY463" s="127"/>
      <c r="AZ463" s="126"/>
      <c r="BA463" s="126"/>
      <c r="BB463" s="127"/>
      <c r="BC463" s="126"/>
      <c r="BD463" s="134"/>
      <c r="BE463" s="127"/>
      <c r="BF463" s="126"/>
      <c r="BG463" s="126"/>
      <c r="BH463" s="126"/>
      <c r="BI463" s="126"/>
      <c r="BJ463" s="126"/>
      <c r="BK463" s="126"/>
      <c r="BL463" s="126"/>
      <c r="BM463" s="126"/>
      <c r="BN463" s="126"/>
      <c r="BO463" s="126"/>
      <c r="BP463" s="126"/>
      <c r="BQ463" s="126"/>
      <c r="BR463" s="126"/>
      <c r="BS463" s="126"/>
      <c r="BT463" s="126"/>
      <c r="BU463" s="126"/>
      <c r="BV463" s="126"/>
      <c r="BW463" s="126"/>
      <c r="BX463" s="126"/>
    </row>
    <row r="464">
      <c r="A464" s="126"/>
      <c r="B464" s="126"/>
      <c r="C464" s="127"/>
      <c r="D464" s="126"/>
      <c r="E464" s="126"/>
      <c r="F464" s="127"/>
      <c r="G464" s="126"/>
      <c r="H464" s="127"/>
      <c r="I464" s="126"/>
      <c r="J464" s="126"/>
      <c r="K464" s="127"/>
      <c r="L464" s="126"/>
      <c r="M464" s="126"/>
      <c r="N464" s="127"/>
      <c r="O464" s="126"/>
      <c r="P464" s="126"/>
      <c r="Q464" s="127"/>
      <c r="R464" s="126"/>
      <c r="S464" s="126"/>
      <c r="T464" s="127"/>
      <c r="U464" s="126"/>
      <c r="V464" s="126"/>
      <c r="W464" s="127"/>
      <c r="X464" s="126"/>
      <c r="Y464" s="126"/>
      <c r="Z464" s="127"/>
      <c r="AA464" s="126"/>
      <c r="AB464" s="126"/>
      <c r="AC464" s="127"/>
      <c r="AD464" s="126"/>
      <c r="AE464" s="126"/>
      <c r="AF464" s="126"/>
      <c r="AG464" s="127"/>
      <c r="AH464" s="126"/>
      <c r="AI464" s="126"/>
      <c r="AJ464" s="127"/>
      <c r="AK464" s="126"/>
      <c r="AL464" s="126"/>
      <c r="AM464" s="127"/>
      <c r="AN464" s="126"/>
      <c r="AO464" s="126"/>
      <c r="AP464" s="127"/>
      <c r="AQ464" s="126"/>
      <c r="AR464" s="126"/>
      <c r="AS464" s="127"/>
      <c r="AT464" s="126"/>
      <c r="AU464" s="126"/>
      <c r="AV464" s="127"/>
      <c r="AW464" s="126"/>
      <c r="AX464" s="126"/>
      <c r="AY464" s="127"/>
      <c r="AZ464" s="126"/>
      <c r="BA464" s="126"/>
      <c r="BB464" s="127"/>
      <c r="BC464" s="126"/>
      <c r="BD464" s="134"/>
      <c r="BE464" s="127"/>
      <c r="BF464" s="126"/>
      <c r="BG464" s="126"/>
      <c r="BH464" s="126"/>
      <c r="BI464" s="126"/>
      <c r="BJ464" s="126"/>
      <c r="BK464" s="126"/>
      <c r="BL464" s="126"/>
      <c r="BM464" s="126"/>
      <c r="BN464" s="126"/>
      <c r="BO464" s="126"/>
      <c r="BP464" s="126"/>
      <c r="BQ464" s="126"/>
      <c r="BR464" s="126"/>
      <c r="BS464" s="126"/>
      <c r="BT464" s="126"/>
      <c r="BU464" s="126"/>
      <c r="BV464" s="126"/>
      <c r="BW464" s="126"/>
      <c r="BX464" s="126"/>
    </row>
    <row r="465">
      <c r="A465" s="126"/>
      <c r="B465" s="126"/>
      <c r="C465" s="127"/>
      <c r="D465" s="126"/>
      <c r="E465" s="126"/>
      <c r="F465" s="127"/>
      <c r="G465" s="126"/>
      <c r="H465" s="127"/>
      <c r="I465" s="126"/>
      <c r="J465" s="126"/>
      <c r="K465" s="127"/>
      <c r="L465" s="126"/>
      <c r="M465" s="126"/>
      <c r="N465" s="127"/>
      <c r="O465" s="126"/>
      <c r="P465" s="126"/>
      <c r="Q465" s="127"/>
      <c r="R465" s="126"/>
      <c r="S465" s="126"/>
      <c r="T465" s="127"/>
      <c r="U465" s="126"/>
      <c r="V465" s="126"/>
      <c r="W465" s="127"/>
      <c r="X465" s="126"/>
      <c r="Y465" s="126"/>
      <c r="Z465" s="127"/>
      <c r="AA465" s="126"/>
      <c r="AB465" s="126"/>
      <c r="AC465" s="127"/>
      <c r="AD465" s="126"/>
      <c r="AE465" s="126"/>
      <c r="AF465" s="126"/>
      <c r="AG465" s="127"/>
      <c r="AH465" s="126"/>
      <c r="AI465" s="126"/>
      <c r="AJ465" s="127"/>
      <c r="AK465" s="126"/>
      <c r="AL465" s="126"/>
      <c r="AM465" s="127"/>
      <c r="AN465" s="126"/>
      <c r="AO465" s="126"/>
      <c r="AP465" s="127"/>
      <c r="AQ465" s="126"/>
      <c r="AR465" s="126"/>
      <c r="AS465" s="127"/>
      <c r="AT465" s="126"/>
      <c r="AU465" s="126"/>
      <c r="AV465" s="127"/>
      <c r="AW465" s="126"/>
      <c r="AX465" s="126"/>
      <c r="AY465" s="127"/>
      <c r="AZ465" s="126"/>
      <c r="BA465" s="126"/>
      <c r="BB465" s="127"/>
      <c r="BC465" s="126"/>
      <c r="BD465" s="134"/>
      <c r="BE465" s="127"/>
      <c r="BF465" s="126"/>
      <c r="BG465" s="126"/>
      <c r="BH465" s="126"/>
      <c r="BI465" s="126"/>
      <c r="BJ465" s="126"/>
      <c r="BK465" s="126"/>
      <c r="BL465" s="126"/>
      <c r="BM465" s="126"/>
      <c r="BN465" s="126"/>
      <c r="BO465" s="126"/>
      <c r="BP465" s="126"/>
      <c r="BQ465" s="126"/>
      <c r="BR465" s="126"/>
      <c r="BS465" s="126"/>
      <c r="BT465" s="126"/>
      <c r="BU465" s="126"/>
      <c r="BV465" s="126"/>
      <c r="BW465" s="126"/>
      <c r="BX465" s="126"/>
    </row>
    <row r="466">
      <c r="A466" s="126"/>
      <c r="B466" s="126"/>
      <c r="C466" s="127"/>
      <c r="D466" s="126"/>
      <c r="E466" s="126"/>
      <c r="F466" s="127"/>
      <c r="G466" s="126"/>
      <c r="H466" s="127"/>
      <c r="I466" s="126"/>
      <c r="J466" s="126"/>
      <c r="K466" s="127"/>
      <c r="L466" s="126"/>
      <c r="M466" s="126"/>
      <c r="N466" s="127"/>
      <c r="O466" s="126"/>
      <c r="P466" s="126"/>
      <c r="Q466" s="127"/>
      <c r="R466" s="126"/>
      <c r="S466" s="126"/>
      <c r="T466" s="127"/>
      <c r="U466" s="126"/>
      <c r="V466" s="126"/>
      <c r="W466" s="127"/>
      <c r="X466" s="126"/>
      <c r="Y466" s="126"/>
      <c r="Z466" s="127"/>
      <c r="AA466" s="126"/>
      <c r="AB466" s="126"/>
      <c r="AC466" s="127"/>
      <c r="AD466" s="126"/>
      <c r="AE466" s="126"/>
      <c r="AF466" s="126"/>
      <c r="AG466" s="127"/>
      <c r="AH466" s="126"/>
      <c r="AI466" s="126"/>
      <c r="AJ466" s="127"/>
      <c r="AK466" s="126"/>
      <c r="AL466" s="126"/>
      <c r="AM466" s="127"/>
      <c r="AN466" s="126"/>
      <c r="AO466" s="126"/>
      <c r="AP466" s="127"/>
      <c r="AQ466" s="126"/>
      <c r="AR466" s="126"/>
      <c r="AS466" s="127"/>
      <c r="AT466" s="126"/>
      <c r="AU466" s="126"/>
      <c r="AV466" s="127"/>
      <c r="AW466" s="126"/>
      <c r="AX466" s="126"/>
      <c r="AY466" s="127"/>
      <c r="AZ466" s="126"/>
      <c r="BA466" s="126"/>
      <c r="BB466" s="127"/>
      <c r="BC466" s="126"/>
      <c r="BD466" s="134"/>
      <c r="BE466" s="127"/>
      <c r="BF466" s="126"/>
      <c r="BG466" s="126"/>
      <c r="BH466" s="126"/>
      <c r="BI466" s="126"/>
      <c r="BJ466" s="126"/>
      <c r="BK466" s="126"/>
      <c r="BL466" s="126"/>
      <c r="BM466" s="126"/>
      <c r="BN466" s="126"/>
      <c r="BO466" s="126"/>
      <c r="BP466" s="126"/>
      <c r="BQ466" s="126"/>
      <c r="BR466" s="126"/>
      <c r="BS466" s="126"/>
      <c r="BT466" s="126"/>
      <c r="BU466" s="126"/>
      <c r="BV466" s="126"/>
      <c r="BW466" s="126"/>
      <c r="BX466" s="126"/>
    </row>
    <row r="467">
      <c r="A467" s="126"/>
      <c r="B467" s="126"/>
      <c r="C467" s="127"/>
      <c r="D467" s="126"/>
      <c r="E467" s="126"/>
      <c r="F467" s="127"/>
      <c r="G467" s="126"/>
      <c r="H467" s="127"/>
      <c r="I467" s="126"/>
      <c r="J467" s="126"/>
      <c r="K467" s="127"/>
      <c r="L467" s="126"/>
      <c r="M467" s="126"/>
      <c r="N467" s="127"/>
      <c r="O467" s="126"/>
      <c r="P467" s="126"/>
      <c r="Q467" s="127"/>
      <c r="R467" s="126"/>
      <c r="S467" s="126"/>
      <c r="T467" s="127"/>
      <c r="U467" s="126"/>
      <c r="V467" s="126"/>
      <c r="W467" s="127"/>
      <c r="X467" s="126"/>
      <c r="Y467" s="126"/>
      <c r="Z467" s="127"/>
      <c r="AA467" s="126"/>
      <c r="AB467" s="126"/>
      <c r="AC467" s="127"/>
      <c r="AD467" s="126"/>
      <c r="AE467" s="126"/>
      <c r="AF467" s="126"/>
      <c r="AG467" s="127"/>
      <c r="AH467" s="126"/>
      <c r="AI467" s="126"/>
      <c r="AJ467" s="127"/>
      <c r="AK467" s="126"/>
      <c r="AL467" s="126"/>
      <c r="AM467" s="127"/>
      <c r="AN467" s="126"/>
      <c r="AO467" s="126"/>
      <c r="AP467" s="127"/>
      <c r="AQ467" s="126"/>
      <c r="AR467" s="126"/>
      <c r="AS467" s="127"/>
      <c r="AT467" s="126"/>
      <c r="AU467" s="126"/>
      <c r="AV467" s="127"/>
      <c r="AW467" s="126"/>
      <c r="AX467" s="126"/>
      <c r="AY467" s="127"/>
      <c r="AZ467" s="126"/>
      <c r="BA467" s="126"/>
      <c r="BB467" s="127"/>
      <c r="BC467" s="126"/>
      <c r="BD467" s="134"/>
      <c r="BE467" s="127"/>
      <c r="BF467" s="126"/>
      <c r="BG467" s="126"/>
      <c r="BH467" s="126"/>
      <c r="BI467" s="126"/>
      <c r="BJ467" s="126"/>
      <c r="BK467" s="126"/>
      <c r="BL467" s="126"/>
      <c r="BM467" s="126"/>
      <c r="BN467" s="126"/>
      <c r="BO467" s="126"/>
      <c r="BP467" s="126"/>
      <c r="BQ467" s="126"/>
      <c r="BR467" s="126"/>
      <c r="BS467" s="126"/>
      <c r="BT467" s="126"/>
      <c r="BU467" s="126"/>
      <c r="BV467" s="126"/>
      <c r="BW467" s="126"/>
      <c r="BX467" s="126"/>
    </row>
    <row r="468">
      <c r="A468" s="126"/>
      <c r="B468" s="126"/>
      <c r="C468" s="127"/>
      <c r="D468" s="126"/>
      <c r="E468" s="126"/>
      <c r="F468" s="127"/>
      <c r="G468" s="126"/>
      <c r="H468" s="127"/>
      <c r="I468" s="126"/>
      <c r="J468" s="126"/>
      <c r="K468" s="127"/>
      <c r="L468" s="126"/>
      <c r="M468" s="126"/>
      <c r="N468" s="127"/>
      <c r="O468" s="126"/>
      <c r="P468" s="126"/>
      <c r="Q468" s="127"/>
      <c r="R468" s="126"/>
      <c r="S468" s="126"/>
      <c r="T468" s="127"/>
      <c r="U468" s="126"/>
      <c r="V468" s="126"/>
      <c r="W468" s="127"/>
      <c r="X468" s="126"/>
      <c r="Y468" s="126"/>
      <c r="Z468" s="127"/>
      <c r="AA468" s="126"/>
      <c r="AB468" s="126"/>
      <c r="AC468" s="127"/>
      <c r="AD468" s="126"/>
      <c r="AE468" s="126"/>
      <c r="AF468" s="126"/>
      <c r="AG468" s="127"/>
      <c r="AH468" s="126"/>
      <c r="AI468" s="126"/>
      <c r="AJ468" s="127"/>
      <c r="AK468" s="126"/>
      <c r="AL468" s="126"/>
      <c r="AM468" s="127"/>
      <c r="AN468" s="126"/>
      <c r="AO468" s="126"/>
      <c r="AP468" s="127"/>
      <c r="AQ468" s="126"/>
      <c r="AR468" s="126"/>
      <c r="AS468" s="127"/>
      <c r="AT468" s="126"/>
      <c r="AU468" s="126"/>
      <c r="AV468" s="127"/>
      <c r="AW468" s="126"/>
      <c r="AX468" s="126"/>
      <c r="AY468" s="127"/>
      <c r="AZ468" s="126"/>
      <c r="BA468" s="126"/>
      <c r="BB468" s="127"/>
      <c r="BC468" s="126"/>
      <c r="BD468" s="134"/>
      <c r="BE468" s="127"/>
      <c r="BF468" s="126"/>
      <c r="BG468" s="126"/>
      <c r="BH468" s="126"/>
      <c r="BI468" s="126"/>
      <c r="BJ468" s="126"/>
      <c r="BK468" s="126"/>
      <c r="BL468" s="126"/>
      <c r="BM468" s="126"/>
      <c r="BN468" s="126"/>
      <c r="BO468" s="126"/>
      <c r="BP468" s="126"/>
      <c r="BQ468" s="126"/>
      <c r="BR468" s="126"/>
      <c r="BS468" s="126"/>
      <c r="BT468" s="126"/>
      <c r="BU468" s="126"/>
      <c r="BV468" s="126"/>
      <c r="BW468" s="126"/>
      <c r="BX468" s="126"/>
    </row>
    <row r="469">
      <c r="A469" s="126"/>
      <c r="B469" s="126"/>
      <c r="C469" s="127"/>
      <c r="D469" s="126"/>
      <c r="E469" s="126"/>
      <c r="F469" s="127"/>
      <c r="G469" s="126"/>
      <c r="H469" s="127"/>
      <c r="I469" s="126"/>
      <c r="J469" s="126"/>
      <c r="K469" s="127"/>
      <c r="L469" s="126"/>
      <c r="M469" s="126"/>
      <c r="N469" s="127"/>
      <c r="O469" s="126"/>
      <c r="P469" s="126"/>
      <c r="Q469" s="127"/>
      <c r="R469" s="126"/>
      <c r="S469" s="126"/>
      <c r="T469" s="127"/>
      <c r="U469" s="126"/>
      <c r="V469" s="126"/>
      <c r="W469" s="127"/>
      <c r="X469" s="126"/>
      <c r="Y469" s="126"/>
      <c r="Z469" s="127"/>
      <c r="AA469" s="126"/>
      <c r="AB469" s="126"/>
      <c r="AC469" s="127"/>
      <c r="AD469" s="126"/>
      <c r="AE469" s="126"/>
      <c r="AF469" s="126"/>
      <c r="AG469" s="127"/>
      <c r="AH469" s="126"/>
      <c r="AI469" s="126"/>
      <c r="AJ469" s="127"/>
      <c r="AK469" s="126"/>
      <c r="AL469" s="126"/>
      <c r="AM469" s="127"/>
      <c r="AN469" s="126"/>
      <c r="AO469" s="126"/>
      <c r="AP469" s="127"/>
      <c r="AQ469" s="126"/>
      <c r="AR469" s="126"/>
      <c r="AS469" s="127"/>
      <c r="AT469" s="126"/>
      <c r="AU469" s="126"/>
      <c r="AV469" s="127"/>
      <c r="AW469" s="126"/>
      <c r="AX469" s="126"/>
      <c r="AY469" s="127"/>
      <c r="AZ469" s="126"/>
      <c r="BA469" s="126"/>
      <c r="BB469" s="127"/>
      <c r="BC469" s="126"/>
      <c r="BD469" s="134"/>
      <c r="BE469" s="127"/>
      <c r="BF469" s="126"/>
      <c r="BG469" s="126"/>
      <c r="BH469" s="126"/>
      <c r="BI469" s="126"/>
      <c r="BJ469" s="126"/>
      <c r="BK469" s="126"/>
      <c r="BL469" s="126"/>
      <c r="BM469" s="126"/>
      <c r="BN469" s="126"/>
      <c r="BO469" s="126"/>
      <c r="BP469" s="126"/>
      <c r="BQ469" s="126"/>
      <c r="BR469" s="126"/>
      <c r="BS469" s="126"/>
      <c r="BT469" s="126"/>
      <c r="BU469" s="126"/>
      <c r="BV469" s="126"/>
      <c r="BW469" s="126"/>
      <c r="BX469" s="126"/>
    </row>
    <row r="470">
      <c r="A470" s="126"/>
      <c r="B470" s="126"/>
      <c r="C470" s="127"/>
      <c r="D470" s="126"/>
      <c r="E470" s="126"/>
      <c r="F470" s="127"/>
      <c r="G470" s="126"/>
      <c r="H470" s="127"/>
      <c r="I470" s="126"/>
      <c r="J470" s="126"/>
      <c r="K470" s="127"/>
      <c r="L470" s="126"/>
      <c r="M470" s="126"/>
      <c r="N470" s="127"/>
      <c r="O470" s="126"/>
      <c r="P470" s="126"/>
      <c r="Q470" s="127"/>
      <c r="R470" s="126"/>
      <c r="S470" s="126"/>
      <c r="T470" s="127"/>
      <c r="U470" s="126"/>
      <c r="V470" s="126"/>
      <c r="W470" s="127"/>
      <c r="X470" s="126"/>
      <c r="Y470" s="126"/>
      <c r="Z470" s="127"/>
      <c r="AA470" s="126"/>
      <c r="AB470" s="126"/>
      <c r="AC470" s="127"/>
      <c r="AD470" s="126"/>
      <c r="AE470" s="126"/>
      <c r="AF470" s="126"/>
      <c r="AG470" s="127"/>
      <c r="AH470" s="126"/>
      <c r="AI470" s="126"/>
      <c r="AJ470" s="127"/>
      <c r="AK470" s="126"/>
      <c r="AL470" s="126"/>
      <c r="AM470" s="127"/>
      <c r="AN470" s="126"/>
      <c r="AO470" s="126"/>
      <c r="AP470" s="127"/>
      <c r="AQ470" s="126"/>
      <c r="AR470" s="126"/>
      <c r="AS470" s="127"/>
      <c r="AT470" s="126"/>
      <c r="AU470" s="126"/>
      <c r="AV470" s="127"/>
      <c r="AW470" s="126"/>
      <c r="AX470" s="126"/>
      <c r="AY470" s="127"/>
      <c r="AZ470" s="126"/>
      <c r="BA470" s="126"/>
      <c r="BB470" s="127"/>
      <c r="BC470" s="126"/>
      <c r="BD470" s="134"/>
      <c r="BE470" s="127"/>
      <c r="BF470" s="126"/>
      <c r="BG470" s="126"/>
      <c r="BH470" s="126"/>
      <c r="BI470" s="126"/>
      <c r="BJ470" s="126"/>
      <c r="BK470" s="126"/>
      <c r="BL470" s="126"/>
      <c r="BM470" s="126"/>
      <c r="BN470" s="126"/>
      <c r="BO470" s="126"/>
      <c r="BP470" s="126"/>
      <c r="BQ470" s="126"/>
      <c r="BR470" s="126"/>
      <c r="BS470" s="126"/>
      <c r="BT470" s="126"/>
      <c r="BU470" s="126"/>
      <c r="BV470" s="126"/>
      <c r="BW470" s="126"/>
      <c r="BX470" s="126"/>
    </row>
    <row r="471">
      <c r="A471" s="126"/>
      <c r="B471" s="126"/>
      <c r="C471" s="127"/>
      <c r="D471" s="126"/>
      <c r="E471" s="126"/>
      <c r="F471" s="127"/>
      <c r="G471" s="126"/>
      <c r="H471" s="127"/>
      <c r="I471" s="126"/>
      <c r="J471" s="126"/>
      <c r="K471" s="127"/>
      <c r="L471" s="126"/>
      <c r="M471" s="126"/>
      <c r="N471" s="127"/>
      <c r="O471" s="126"/>
      <c r="P471" s="126"/>
      <c r="Q471" s="127"/>
      <c r="R471" s="126"/>
      <c r="S471" s="126"/>
      <c r="T471" s="127"/>
      <c r="U471" s="126"/>
      <c r="V471" s="126"/>
      <c r="W471" s="127"/>
      <c r="X471" s="126"/>
      <c r="Y471" s="126"/>
      <c r="Z471" s="127"/>
      <c r="AA471" s="126"/>
      <c r="AB471" s="126"/>
      <c r="AC471" s="127"/>
      <c r="AD471" s="126"/>
      <c r="AE471" s="126"/>
      <c r="AF471" s="126"/>
      <c r="AG471" s="127"/>
      <c r="AH471" s="126"/>
      <c r="AI471" s="126"/>
      <c r="AJ471" s="127"/>
      <c r="AK471" s="126"/>
      <c r="AL471" s="126"/>
      <c r="AM471" s="127"/>
      <c r="AN471" s="126"/>
      <c r="AO471" s="126"/>
      <c r="AP471" s="127"/>
      <c r="AQ471" s="126"/>
      <c r="AR471" s="126"/>
      <c r="AS471" s="127"/>
      <c r="AT471" s="126"/>
      <c r="AU471" s="126"/>
      <c r="AV471" s="127"/>
      <c r="AW471" s="126"/>
      <c r="AX471" s="126"/>
      <c r="AY471" s="127"/>
      <c r="AZ471" s="126"/>
      <c r="BA471" s="126"/>
      <c r="BB471" s="127"/>
      <c r="BC471" s="126"/>
      <c r="BD471" s="134"/>
      <c r="BE471" s="127"/>
      <c r="BF471" s="126"/>
      <c r="BG471" s="126"/>
      <c r="BH471" s="126"/>
      <c r="BI471" s="126"/>
      <c r="BJ471" s="126"/>
      <c r="BK471" s="126"/>
      <c r="BL471" s="126"/>
      <c r="BM471" s="126"/>
      <c r="BN471" s="126"/>
      <c r="BO471" s="126"/>
      <c r="BP471" s="126"/>
      <c r="BQ471" s="126"/>
      <c r="BR471" s="126"/>
      <c r="BS471" s="126"/>
      <c r="BT471" s="126"/>
      <c r="BU471" s="126"/>
      <c r="BV471" s="126"/>
      <c r="BW471" s="126"/>
      <c r="BX471" s="126"/>
    </row>
    <row r="472">
      <c r="A472" s="126"/>
      <c r="B472" s="126"/>
      <c r="C472" s="127"/>
      <c r="D472" s="126"/>
      <c r="E472" s="126"/>
      <c r="F472" s="127"/>
      <c r="G472" s="126"/>
      <c r="H472" s="127"/>
      <c r="I472" s="126"/>
      <c r="J472" s="126"/>
      <c r="K472" s="127"/>
      <c r="L472" s="126"/>
      <c r="M472" s="126"/>
      <c r="N472" s="127"/>
      <c r="O472" s="126"/>
      <c r="P472" s="126"/>
      <c r="Q472" s="127"/>
      <c r="R472" s="126"/>
      <c r="S472" s="126"/>
      <c r="T472" s="127"/>
      <c r="U472" s="126"/>
      <c r="V472" s="126"/>
      <c r="W472" s="127"/>
      <c r="X472" s="126"/>
      <c r="Y472" s="126"/>
      <c r="Z472" s="127"/>
      <c r="AA472" s="126"/>
      <c r="AB472" s="126"/>
      <c r="AC472" s="127"/>
      <c r="AD472" s="126"/>
      <c r="AE472" s="126"/>
      <c r="AF472" s="126"/>
      <c r="AG472" s="127"/>
      <c r="AH472" s="126"/>
      <c r="AI472" s="126"/>
      <c r="AJ472" s="127"/>
      <c r="AK472" s="126"/>
      <c r="AL472" s="126"/>
      <c r="AM472" s="127"/>
      <c r="AN472" s="126"/>
      <c r="AO472" s="126"/>
      <c r="AP472" s="127"/>
      <c r="AQ472" s="126"/>
      <c r="AR472" s="126"/>
      <c r="AS472" s="127"/>
      <c r="AT472" s="126"/>
      <c r="AU472" s="126"/>
      <c r="AV472" s="127"/>
      <c r="AW472" s="126"/>
      <c r="AX472" s="126"/>
      <c r="AY472" s="127"/>
      <c r="AZ472" s="126"/>
      <c r="BA472" s="126"/>
      <c r="BB472" s="127"/>
      <c r="BC472" s="126"/>
      <c r="BD472" s="134"/>
      <c r="BE472" s="127"/>
      <c r="BF472" s="126"/>
      <c r="BG472" s="126"/>
      <c r="BH472" s="126"/>
      <c r="BI472" s="126"/>
      <c r="BJ472" s="126"/>
      <c r="BK472" s="126"/>
      <c r="BL472" s="126"/>
      <c r="BM472" s="126"/>
      <c r="BN472" s="126"/>
      <c r="BO472" s="126"/>
      <c r="BP472" s="126"/>
      <c r="BQ472" s="126"/>
      <c r="BR472" s="126"/>
      <c r="BS472" s="126"/>
      <c r="BT472" s="126"/>
      <c r="BU472" s="126"/>
      <c r="BV472" s="126"/>
      <c r="BW472" s="126"/>
      <c r="BX472" s="126"/>
    </row>
    <row r="473">
      <c r="A473" s="126"/>
      <c r="B473" s="126"/>
      <c r="C473" s="127"/>
      <c r="D473" s="126"/>
      <c r="E473" s="126"/>
      <c r="F473" s="127"/>
      <c r="G473" s="126"/>
      <c r="H473" s="127"/>
      <c r="I473" s="126"/>
      <c r="J473" s="126"/>
      <c r="K473" s="127"/>
      <c r="L473" s="126"/>
      <c r="M473" s="126"/>
      <c r="N473" s="127"/>
      <c r="O473" s="126"/>
      <c r="P473" s="126"/>
      <c r="Q473" s="127"/>
      <c r="R473" s="126"/>
      <c r="S473" s="126"/>
      <c r="T473" s="127"/>
      <c r="U473" s="126"/>
      <c r="V473" s="126"/>
      <c r="W473" s="127"/>
      <c r="X473" s="126"/>
      <c r="Y473" s="126"/>
      <c r="Z473" s="127"/>
      <c r="AA473" s="126"/>
      <c r="AB473" s="126"/>
      <c r="AC473" s="127"/>
      <c r="AD473" s="126"/>
      <c r="AE473" s="126"/>
      <c r="AF473" s="126"/>
      <c r="AG473" s="127"/>
      <c r="AH473" s="126"/>
      <c r="AI473" s="126"/>
      <c r="AJ473" s="127"/>
      <c r="AK473" s="126"/>
      <c r="AL473" s="126"/>
      <c r="AM473" s="127"/>
      <c r="AN473" s="126"/>
      <c r="AO473" s="126"/>
      <c r="AP473" s="127"/>
      <c r="AQ473" s="126"/>
      <c r="AR473" s="126"/>
      <c r="AS473" s="127"/>
      <c r="AT473" s="126"/>
      <c r="AU473" s="126"/>
      <c r="AV473" s="127"/>
      <c r="AW473" s="126"/>
      <c r="AX473" s="126"/>
      <c r="AY473" s="127"/>
      <c r="AZ473" s="126"/>
      <c r="BA473" s="126"/>
      <c r="BB473" s="127"/>
      <c r="BC473" s="126"/>
      <c r="BD473" s="134"/>
      <c r="BE473" s="127"/>
      <c r="BF473" s="126"/>
      <c r="BG473" s="126"/>
      <c r="BH473" s="126"/>
      <c r="BI473" s="126"/>
      <c r="BJ473" s="126"/>
      <c r="BK473" s="126"/>
      <c r="BL473" s="126"/>
      <c r="BM473" s="126"/>
      <c r="BN473" s="126"/>
      <c r="BO473" s="126"/>
      <c r="BP473" s="126"/>
      <c r="BQ473" s="126"/>
      <c r="BR473" s="126"/>
      <c r="BS473" s="126"/>
      <c r="BT473" s="126"/>
      <c r="BU473" s="126"/>
      <c r="BV473" s="126"/>
      <c r="BW473" s="126"/>
      <c r="BX473" s="126"/>
    </row>
    <row r="474">
      <c r="A474" s="126"/>
      <c r="B474" s="126"/>
      <c r="C474" s="127"/>
      <c r="D474" s="126"/>
      <c r="E474" s="126"/>
      <c r="F474" s="127"/>
      <c r="G474" s="126"/>
      <c r="H474" s="127"/>
      <c r="I474" s="126"/>
      <c r="J474" s="126"/>
      <c r="K474" s="127"/>
      <c r="L474" s="126"/>
      <c r="M474" s="126"/>
      <c r="N474" s="127"/>
      <c r="O474" s="126"/>
      <c r="P474" s="126"/>
      <c r="Q474" s="127"/>
      <c r="R474" s="126"/>
      <c r="S474" s="126"/>
      <c r="T474" s="127"/>
      <c r="U474" s="126"/>
      <c r="V474" s="126"/>
      <c r="W474" s="127"/>
      <c r="X474" s="126"/>
      <c r="Y474" s="126"/>
      <c r="Z474" s="127"/>
      <c r="AA474" s="126"/>
      <c r="AB474" s="126"/>
      <c r="AC474" s="127"/>
      <c r="AD474" s="126"/>
      <c r="AE474" s="126"/>
      <c r="AF474" s="126"/>
      <c r="AG474" s="127"/>
      <c r="AH474" s="126"/>
      <c r="AI474" s="126"/>
      <c r="AJ474" s="127"/>
      <c r="AK474" s="126"/>
      <c r="AL474" s="126"/>
      <c r="AM474" s="127"/>
      <c r="AN474" s="126"/>
      <c r="AO474" s="126"/>
      <c r="AP474" s="127"/>
      <c r="AQ474" s="126"/>
      <c r="AR474" s="126"/>
      <c r="AS474" s="127"/>
      <c r="AT474" s="126"/>
      <c r="AU474" s="126"/>
      <c r="AV474" s="127"/>
      <c r="AW474" s="126"/>
      <c r="AX474" s="126"/>
      <c r="AY474" s="127"/>
      <c r="AZ474" s="126"/>
      <c r="BA474" s="126"/>
      <c r="BB474" s="127"/>
      <c r="BC474" s="126"/>
      <c r="BD474" s="134"/>
      <c r="BE474" s="127"/>
      <c r="BF474" s="126"/>
      <c r="BG474" s="126"/>
      <c r="BH474" s="126"/>
      <c r="BI474" s="126"/>
      <c r="BJ474" s="126"/>
      <c r="BK474" s="126"/>
      <c r="BL474" s="126"/>
      <c r="BM474" s="126"/>
      <c r="BN474" s="126"/>
      <c r="BO474" s="126"/>
      <c r="BP474" s="126"/>
      <c r="BQ474" s="126"/>
      <c r="BR474" s="126"/>
      <c r="BS474" s="126"/>
      <c r="BT474" s="126"/>
      <c r="BU474" s="126"/>
      <c r="BV474" s="126"/>
      <c r="BW474" s="126"/>
      <c r="BX474" s="126"/>
    </row>
    <row r="475">
      <c r="A475" s="126"/>
      <c r="B475" s="126"/>
      <c r="C475" s="127"/>
      <c r="D475" s="126"/>
      <c r="E475" s="126"/>
      <c r="F475" s="127"/>
      <c r="G475" s="126"/>
      <c r="H475" s="127"/>
      <c r="I475" s="126"/>
      <c r="J475" s="126"/>
      <c r="K475" s="127"/>
      <c r="L475" s="126"/>
      <c r="M475" s="126"/>
      <c r="N475" s="127"/>
      <c r="O475" s="126"/>
      <c r="P475" s="126"/>
      <c r="Q475" s="127"/>
      <c r="R475" s="126"/>
      <c r="S475" s="126"/>
      <c r="T475" s="127"/>
      <c r="U475" s="126"/>
      <c r="V475" s="126"/>
      <c r="W475" s="127"/>
      <c r="X475" s="126"/>
      <c r="Y475" s="126"/>
      <c r="Z475" s="127"/>
      <c r="AA475" s="126"/>
      <c r="AB475" s="126"/>
      <c r="AC475" s="127"/>
      <c r="AD475" s="126"/>
      <c r="AE475" s="126"/>
      <c r="AF475" s="126"/>
      <c r="AG475" s="127"/>
      <c r="AH475" s="126"/>
      <c r="AI475" s="126"/>
      <c r="AJ475" s="127"/>
      <c r="AK475" s="126"/>
      <c r="AL475" s="126"/>
      <c r="AM475" s="127"/>
      <c r="AN475" s="126"/>
      <c r="AO475" s="126"/>
      <c r="AP475" s="127"/>
      <c r="AQ475" s="126"/>
      <c r="AR475" s="126"/>
      <c r="AS475" s="127"/>
      <c r="AT475" s="126"/>
      <c r="AU475" s="126"/>
      <c r="AV475" s="127"/>
      <c r="AW475" s="126"/>
      <c r="AX475" s="126"/>
      <c r="AY475" s="127"/>
      <c r="AZ475" s="126"/>
      <c r="BA475" s="126"/>
      <c r="BB475" s="127"/>
      <c r="BC475" s="126"/>
      <c r="BD475" s="134"/>
      <c r="BE475" s="127"/>
      <c r="BF475" s="126"/>
      <c r="BG475" s="126"/>
      <c r="BH475" s="126"/>
      <c r="BI475" s="126"/>
      <c r="BJ475" s="126"/>
      <c r="BK475" s="126"/>
      <c r="BL475" s="126"/>
      <c r="BM475" s="126"/>
      <c r="BN475" s="126"/>
      <c r="BO475" s="126"/>
      <c r="BP475" s="126"/>
      <c r="BQ475" s="126"/>
      <c r="BR475" s="126"/>
      <c r="BS475" s="126"/>
      <c r="BT475" s="126"/>
      <c r="BU475" s="126"/>
      <c r="BV475" s="126"/>
      <c r="BW475" s="126"/>
      <c r="BX475" s="126"/>
    </row>
    <row r="476">
      <c r="A476" s="126"/>
      <c r="B476" s="126"/>
      <c r="C476" s="127"/>
      <c r="D476" s="126"/>
      <c r="E476" s="126"/>
      <c r="F476" s="127"/>
      <c r="G476" s="126"/>
      <c r="H476" s="127"/>
      <c r="I476" s="126"/>
      <c r="J476" s="126"/>
      <c r="K476" s="127"/>
      <c r="L476" s="126"/>
      <c r="M476" s="126"/>
      <c r="N476" s="127"/>
      <c r="O476" s="126"/>
      <c r="P476" s="126"/>
      <c r="Q476" s="127"/>
      <c r="R476" s="126"/>
      <c r="S476" s="126"/>
      <c r="T476" s="127"/>
      <c r="U476" s="126"/>
      <c r="V476" s="126"/>
      <c r="W476" s="127"/>
      <c r="X476" s="126"/>
      <c r="Y476" s="126"/>
      <c r="Z476" s="127"/>
      <c r="AA476" s="126"/>
      <c r="AB476" s="126"/>
      <c r="AC476" s="127"/>
      <c r="AD476" s="126"/>
      <c r="AE476" s="126"/>
      <c r="AF476" s="126"/>
      <c r="AG476" s="127"/>
      <c r="AH476" s="126"/>
      <c r="AI476" s="126"/>
      <c r="AJ476" s="127"/>
      <c r="AK476" s="126"/>
      <c r="AL476" s="126"/>
      <c r="AM476" s="127"/>
      <c r="AN476" s="126"/>
      <c r="AO476" s="126"/>
      <c r="AP476" s="127"/>
      <c r="AQ476" s="126"/>
      <c r="AR476" s="126"/>
      <c r="AS476" s="127"/>
      <c r="AT476" s="126"/>
      <c r="AU476" s="126"/>
      <c r="AV476" s="127"/>
      <c r="AW476" s="126"/>
      <c r="AX476" s="126"/>
      <c r="AY476" s="127"/>
      <c r="AZ476" s="126"/>
      <c r="BA476" s="126"/>
      <c r="BB476" s="127"/>
      <c r="BC476" s="126"/>
      <c r="BD476" s="134"/>
      <c r="BE476" s="127"/>
      <c r="BF476" s="126"/>
      <c r="BG476" s="126"/>
      <c r="BH476" s="126"/>
      <c r="BI476" s="126"/>
      <c r="BJ476" s="126"/>
      <c r="BK476" s="126"/>
      <c r="BL476" s="126"/>
      <c r="BM476" s="126"/>
      <c r="BN476" s="126"/>
      <c r="BO476" s="126"/>
      <c r="BP476" s="126"/>
      <c r="BQ476" s="126"/>
      <c r="BR476" s="126"/>
      <c r="BS476" s="126"/>
      <c r="BT476" s="126"/>
      <c r="BU476" s="126"/>
      <c r="BV476" s="126"/>
      <c r="BW476" s="126"/>
      <c r="BX476" s="126"/>
    </row>
    <row r="477">
      <c r="A477" s="126"/>
      <c r="B477" s="126"/>
      <c r="C477" s="127"/>
      <c r="D477" s="126"/>
      <c r="E477" s="126"/>
      <c r="F477" s="127"/>
      <c r="G477" s="126"/>
      <c r="H477" s="127"/>
      <c r="I477" s="126"/>
      <c r="J477" s="126"/>
      <c r="K477" s="127"/>
      <c r="L477" s="126"/>
      <c r="M477" s="126"/>
      <c r="N477" s="127"/>
      <c r="O477" s="126"/>
      <c r="P477" s="126"/>
      <c r="Q477" s="127"/>
      <c r="R477" s="126"/>
      <c r="S477" s="126"/>
      <c r="T477" s="127"/>
      <c r="U477" s="126"/>
      <c r="V477" s="126"/>
      <c r="W477" s="127"/>
      <c r="X477" s="126"/>
      <c r="Y477" s="126"/>
      <c r="Z477" s="127"/>
      <c r="AA477" s="126"/>
      <c r="AB477" s="126"/>
      <c r="AC477" s="127"/>
      <c r="AD477" s="126"/>
      <c r="AE477" s="126"/>
      <c r="AF477" s="126"/>
      <c r="AG477" s="127"/>
      <c r="AH477" s="126"/>
      <c r="AI477" s="126"/>
      <c r="AJ477" s="127"/>
      <c r="AK477" s="126"/>
      <c r="AL477" s="126"/>
      <c r="AM477" s="127"/>
      <c r="AN477" s="126"/>
      <c r="AO477" s="126"/>
      <c r="AP477" s="127"/>
      <c r="AQ477" s="126"/>
      <c r="AR477" s="126"/>
      <c r="AS477" s="127"/>
      <c r="AT477" s="126"/>
      <c r="AU477" s="126"/>
      <c r="AV477" s="127"/>
      <c r="AW477" s="126"/>
      <c r="AX477" s="126"/>
      <c r="AY477" s="127"/>
      <c r="AZ477" s="126"/>
      <c r="BA477" s="126"/>
      <c r="BB477" s="127"/>
      <c r="BC477" s="126"/>
      <c r="BD477" s="134"/>
      <c r="BE477" s="127"/>
      <c r="BF477" s="126"/>
      <c r="BG477" s="126"/>
      <c r="BH477" s="126"/>
      <c r="BI477" s="126"/>
      <c r="BJ477" s="126"/>
      <c r="BK477" s="126"/>
      <c r="BL477" s="126"/>
      <c r="BM477" s="126"/>
      <c r="BN477" s="126"/>
      <c r="BO477" s="126"/>
      <c r="BP477" s="126"/>
      <c r="BQ477" s="126"/>
      <c r="BR477" s="126"/>
      <c r="BS477" s="126"/>
      <c r="BT477" s="126"/>
      <c r="BU477" s="126"/>
      <c r="BV477" s="126"/>
      <c r="BW477" s="126"/>
      <c r="BX477" s="126"/>
    </row>
    <row r="478">
      <c r="A478" s="126"/>
      <c r="B478" s="126"/>
      <c r="C478" s="127"/>
      <c r="D478" s="126"/>
      <c r="E478" s="126"/>
      <c r="F478" s="127"/>
      <c r="G478" s="126"/>
      <c r="H478" s="127"/>
      <c r="I478" s="126"/>
      <c r="J478" s="126"/>
      <c r="K478" s="127"/>
      <c r="L478" s="126"/>
      <c r="M478" s="126"/>
      <c r="N478" s="127"/>
      <c r="O478" s="126"/>
      <c r="P478" s="126"/>
      <c r="Q478" s="127"/>
      <c r="R478" s="126"/>
      <c r="S478" s="126"/>
      <c r="T478" s="127"/>
      <c r="U478" s="126"/>
      <c r="V478" s="126"/>
      <c r="W478" s="127"/>
      <c r="X478" s="126"/>
      <c r="Y478" s="126"/>
      <c r="Z478" s="127"/>
      <c r="AA478" s="126"/>
      <c r="AB478" s="126"/>
      <c r="AC478" s="127"/>
      <c r="AD478" s="126"/>
      <c r="AE478" s="126"/>
      <c r="AF478" s="126"/>
      <c r="AG478" s="127"/>
      <c r="AH478" s="126"/>
      <c r="AI478" s="126"/>
      <c r="AJ478" s="127"/>
      <c r="AK478" s="126"/>
      <c r="AL478" s="126"/>
      <c r="AM478" s="127"/>
      <c r="AN478" s="126"/>
      <c r="AO478" s="126"/>
      <c r="AP478" s="127"/>
      <c r="AQ478" s="126"/>
      <c r="AR478" s="126"/>
      <c r="AS478" s="127"/>
      <c r="AT478" s="126"/>
      <c r="AU478" s="126"/>
      <c r="AV478" s="127"/>
      <c r="AW478" s="126"/>
      <c r="AX478" s="126"/>
      <c r="AY478" s="127"/>
      <c r="AZ478" s="126"/>
      <c r="BA478" s="126"/>
      <c r="BB478" s="127"/>
      <c r="BC478" s="126"/>
      <c r="BD478" s="134"/>
      <c r="BE478" s="127"/>
      <c r="BF478" s="126"/>
      <c r="BG478" s="126"/>
      <c r="BH478" s="126"/>
      <c r="BI478" s="126"/>
      <c r="BJ478" s="126"/>
      <c r="BK478" s="126"/>
      <c r="BL478" s="126"/>
      <c r="BM478" s="126"/>
      <c r="BN478" s="126"/>
      <c r="BO478" s="126"/>
      <c r="BP478" s="126"/>
      <c r="BQ478" s="126"/>
      <c r="BR478" s="126"/>
      <c r="BS478" s="126"/>
      <c r="BT478" s="126"/>
      <c r="BU478" s="126"/>
      <c r="BV478" s="126"/>
      <c r="BW478" s="126"/>
      <c r="BX478" s="126"/>
    </row>
    <row r="479">
      <c r="A479" s="126"/>
      <c r="B479" s="126"/>
      <c r="C479" s="127"/>
      <c r="D479" s="126"/>
      <c r="E479" s="126"/>
      <c r="F479" s="127"/>
      <c r="G479" s="126"/>
      <c r="H479" s="127"/>
      <c r="I479" s="126"/>
      <c r="J479" s="126"/>
      <c r="K479" s="127"/>
      <c r="L479" s="126"/>
      <c r="M479" s="126"/>
      <c r="N479" s="127"/>
      <c r="O479" s="126"/>
      <c r="P479" s="126"/>
      <c r="Q479" s="127"/>
      <c r="R479" s="126"/>
      <c r="S479" s="126"/>
      <c r="T479" s="127"/>
      <c r="U479" s="126"/>
      <c r="V479" s="126"/>
      <c r="W479" s="127"/>
      <c r="X479" s="126"/>
      <c r="Y479" s="126"/>
      <c r="Z479" s="127"/>
      <c r="AA479" s="126"/>
      <c r="AB479" s="126"/>
      <c r="AC479" s="127"/>
      <c r="AD479" s="126"/>
      <c r="AE479" s="126"/>
      <c r="AF479" s="126"/>
      <c r="AG479" s="127"/>
      <c r="AH479" s="126"/>
      <c r="AI479" s="126"/>
      <c r="AJ479" s="127"/>
      <c r="AK479" s="126"/>
      <c r="AL479" s="126"/>
      <c r="AM479" s="127"/>
      <c r="AN479" s="126"/>
      <c r="AO479" s="126"/>
      <c r="AP479" s="127"/>
      <c r="AQ479" s="126"/>
      <c r="AR479" s="126"/>
      <c r="AS479" s="127"/>
      <c r="AT479" s="126"/>
      <c r="AU479" s="126"/>
      <c r="AV479" s="127"/>
      <c r="AW479" s="126"/>
      <c r="AX479" s="126"/>
      <c r="AY479" s="127"/>
      <c r="AZ479" s="126"/>
      <c r="BA479" s="126"/>
      <c r="BB479" s="127"/>
      <c r="BC479" s="126"/>
      <c r="BD479" s="134"/>
      <c r="BE479" s="127"/>
      <c r="BF479" s="126"/>
      <c r="BG479" s="126"/>
      <c r="BH479" s="126"/>
      <c r="BI479" s="126"/>
      <c r="BJ479" s="126"/>
      <c r="BK479" s="126"/>
      <c r="BL479" s="126"/>
      <c r="BM479" s="126"/>
      <c r="BN479" s="126"/>
      <c r="BO479" s="126"/>
      <c r="BP479" s="126"/>
      <c r="BQ479" s="126"/>
      <c r="BR479" s="126"/>
      <c r="BS479" s="126"/>
      <c r="BT479" s="126"/>
      <c r="BU479" s="126"/>
      <c r="BV479" s="126"/>
      <c r="BW479" s="126"/>
      <c r="BX479" s="126"/>
    </row>
    <row r="480">
      <c r="A480" s="126"/>
      <c r="B480" s="126"/>
      <c r="C480" s="127"/>
      <c r="D480" s="126"/>
      <c r="E480" s="126"/>
      <c r="F480" s="127"/>
      <c r="G480" s="126"/>
      <c r="H480" s="127"/>
      <c r="I480" s="126"/>
      <c r="J480" s="126"/>
      <c r="K480" s="127"/>
      <c r="L480" s="126"/>
      <c r="M480" s="126"/>
      <c r="N480" s="127"/>
      <c r="O480" s="126"/>
      <c r="P480" s="126"/>
      <c r="Q480" s="127"/>
      <c r="R480" s="126"/>
      <c r="S480" s="126"/>
      <c r="T480" s="127"/>
      <c r="U480" s="126"/>
      <c r="V480" s="126"/>
      <c r="W480" s="127"/>
      <c r="X480" s="126"/>
      <c r="Y480" s="126"/>
      <c r="Z480" s="127"/>
      <c r="AA480" s="126"/>
      <c r="AB480" s="126"/>
      <c r="AC480" s="127"/>
      <c r="AD480" s="126"/>
      <c r="AE480" s="126"/>
      <c r="AF480" s="126"/>
      <c r="AG480" s="127"/>
      <c r="AH480" s="126"/>
      <c r="AI480" s="126"/>
      <c r="AJ480" s="127"/>
      <c r="AK480" s="126"/>
      <c r="AL480" s="126"/>
      <c r="AM480" s="127"/>
      <c r="AN480" s="126"/>
      <c r="AO480" s="126"/>
      <c r="AP480" s="127"/>
      <c r="AQ480" s="126"/>
      <c r="AR480" s="126"/>
      <c r="AS480" s="127"/>
      <c r="AT480" s="126"/>
      <c r="AU480" s="126"/>
      <c r="AV480" s="127"/>
      <c r="AW480" s="126"/>
      <c r="AX480" s="126"/>
      <c r="AY480" s="127"/>
      <c r="AZ480" s="126"/>
      <c r="BA480" s="126"/>
      <c r="BB480" s="127"/>
      <c r="BC480" s="126"/>
      <c r="BD480" s="134"/>
      <c r="BE480" s="127"/>
      <c r="BF480" s="126"/>
      <c r="BG480" s="126"/>
      <c r="BH480" s="126"/>
      <c r="BI480" s="126"/>
      <c r="BJ480" s="126"/>
      <c r="BK480" s="126"/>
      <c r="BL480" s="126"/>
      <c r="BM480" s="126"/>
      <c r="BN480" s="126"/>
      <c r="BO480" s="126"/>
      <c r="BP480" s="126"/>
      <c r="BQ480" s="126"/>
      <c r="BR480" s="126"/>
      <c r="BS480" s="126"/>
      <c r="BT480" s="126"/>
      <c r="BU480" s="126"/>
      <c r="BV480" s="126"/>
      <c r="BW480" s="126"/>
      <c r="BX480" s="126"/>
    </row>
    <row r="481">
      <c r="A481" s="126"/>
      <c r="B481" s="126"/>
      <c r="C481" s="127"/>
      <c r="D481" s="126"/>
      <c r="E481" s="126"/>
      <c r="F481" s="127"/>
      <c r="G481" s="126"/>
      <c r="H481" s="127"/>
      <c r="I481" s="126"/>
      <c r="J481" s="126"/>
      <c r="K481" s="127"/>
      <c r="L481" s="126"/>
      <c r="M481" s="126"/>
      <c r="N481" s="127"/>
      <c r="O481" s="126"/>
      <c r="P481" s="126"/>
      <c r="Q481" s="127"/>
      <c r="R481" s="126"/>
      <c r="S481" s="126"/>
      <c r="T481" s="127"/>
      <c r="U481" s="126"/>
      <c r="V481" s="126"/>
      <c r="W481" s="127"/>
      <c r="X481" s="126"/>
      <c r="Y481" s="126"/>
      <c r="Z481" s="127"/>
      <c r="AA481" s="126"/>
      <c r="AB481" s="126"/>
      <c r="AC481" s="127"/>
      <c r="AD481" s="126"/>
      <c r="AE481" s="126"/>
      <c r="AF481" s="126"/>
      <c r="AG481" s="127"/>
      <c r="AH481" s="126"/>
      <c r="AI481" s="126"/>
      <c r="AJ481" s="127"/>
      <c r="AK481" s="126"/>
      <c r="AL481" s="126"/>
      <c r="AM481" s="127"/>
      <c r="AN481" s="126"/>
      <c r="AO481" s="126"/>
      <c r="AP481" s="127"/>
      <c r="AQ481" s="126"/>
      <c r="AR481" s="126"/>
      <c r="AS481" s="127"/>
      <c r="AT481" s="126"/>
      <c r="AU481" s="126"/>
      <c r="AV481" s="127"/>
      <c r="AW481" s="126"/>
      <c r="AX481" s="126"/>
      <c r="AY481" s="127"/>
      <c r="AZ481" s="126"/>
      <c r="BA481" s="126"/>
      <c r="BB481" s="127"/>
      <c r="BC481" s="126"/>
      <c r="BD481" s="134"/>
      <c r="BE481" s="127"/>
      <c r="BF481" s="126"/>
      <c r="BG481" s="126"/>
      <c r="BH481" s="126"/>
      <c r="BI481" s="126"/>
      <c r="BJ481" s="126"/>
      <c r="BK481" s="126"/>
      <c r="BL481" s="126"/>
      <c r="BM481" s="126"/>
      <c r="BN481" s="126"/>
      <c r="BO481" s="126"/>
      <c r="BP481" s="126"/>
      <c r="BQ481" s="126"/>
      <c r="BR481" s="126"/>
      <c r="BS481" s="126"/>
      <c r="BT481" s="126"/>
      <c r="BU481" s="126"/>
      <c r="BV481" s="126"/>
      <c r="BW481" s="126"/>
      <c r="BX481" s="126"/>
    </row>
    <row r="482">
      <c r="A482" s="126"/>
      <c r="B482" s="126"/>
      <c r="C482" s="127"/>
      <c r="D482" s="126"/>
      <c r="E482" s="126"/>
      <c r="F482" s="127"/>
      <c r="G482" s="126"/>
      <c r="H482" s="127"/>
      <c r="I482" s="126"/>
      <c r="J482" s="126"/>
      <c r="K482" s="127"/>
      <c r="L482" s="126"/>
      <c r="M482" s="126"/>
      <c r="N482" s="127"/>
      <c r="O482" s="126"/>
      <c r="P482" s="126"/>
      <c r="Q482" s="127"/>
      <c r="R482" s="126"/>
      <c r="S482" s="126"/>
      <c r="T482" s="127"/>
      <c r="U482" s="126"/>
      <c r="V482" s="126"/>
      <c r="W482" s="127"/>
      <c r="X482" s="126"/>
      <c r="Y482" s="126"/>
      <c r="Z482" s="127"/>
      <c r="AA482" s="126"/>
      <c r="AB482" s="126"/>
      <c r="AC482" s="127"/>
      <c r="AD482" s="126"/>
      <c r="AE482" s="126"/>
      <c r="AF482" s="126"/>
      <c r="AG482" s="127"/>
      <c r="AH482" s="126"/>
      <c r="AI482" s="126"/>
      <c r="AJ482" s="127"/>
      <c r="AK482" s="126"/>
      <c r="AL482" s="126"/>
      <c r="AM482" s="127"/>
      <c r="AN482" s="126"/>
      <c r="AO482" s="126"/>
      <c r="AP482" s="127"/>
      <c r="AQ482" s="126"/>
      <c r="AR482" s="126"/>
      <c r="AS482" s="127"/>
      <c r="AT482" s="126"/>
      <c r="AU482" s="126"/>
      <c r="AV482" s="127"/>
      <c r="AW482" s="126"/>
      <c r="AX482" s="126"/>
      <c r="AY482" s="127"/>
      <c r="AZ482" s="126"/>
      <c r="BA482" s="126"/>
      <c r="BB482" s="127"/>
      <c r="BC482" s="126"/>
      <c r="BD482" s="134"/>
      <c r="BE482" s="127"/>
      <c r="BF482" s="126"/>
      <c r="BG482" s="126"/>
      <c r="BH482" s="126"/>
      <c r="BI482" s="126"/>
      <c r="BJ482" s="126"/>
      <c r="BK482" s="126"/>
      <c r="BL482" s="126"/>
      <c r="BM482" s="126"/>
      <c r="BN482" s="126"/>
      <c r="BO482" s="126"/>
      <c r="BP482" s="126"/>
      <c r="BQ482" s="126"/>
      <c r="BR482" s="126"/>
      <c r="BS482" s="126"/>
      <c r="BT482" s="126"/>
      <c r="BU482" s="126"/>
      <c r="BV482" s="126"/>
      <c r="BW482" s="126"/>
      <c r="BX482" s="126"/>
    </row>
    <row r="483">
      <c r="A483" s="126"/>
      <c r="B483" s="126"/>
      <c r="C483" s="127"/>
      <c r="D483" s="126"/>
      <c r="E483" s="126"/>
      <c r="F483" s="127"/>
      <c r="G483" s="126"/>
      <c r="H483" s="127"/>
      <c r="I483" s="126"/>
      <c r="J483" s="126"/>
      <c r="K483" s="127"/>
      <c r="L483" s="126"/>
      <c r="M483" s="126"/>
      <c r="N483" s="127"/>
      <c r="O483" s="126"/>
      <c r="P483" s="126"/>
      <c r="Q483" s="127"/>
      <c r="R483" s="126"/>
      <c r="S483" s="126"/>
      <c r="T483" s="127"/>
      <c r="U483" s="126"/>
      <c r="V483" s="126"/>
      <c r="W483" s="127"/>
      <c r="X483" s="126"/>
      <c r="Y483" s="126"/>
      <c r="Z483" s="127"/>
      <c r="AA483" s="126"/>
      <c r="AB483" s="126"/>
      <c r="AC483" s="127"/>
      <c r="AD483" s="126"/>
      <c r="AE483" s="126"/>
      <c r="AF483" s="126"/>
      <c r="AG483" s="127"/>
      <c r="AH483" s="126"/>
      <c r="AI483" s="126"/>
      <c r="AJ483" s="127"/>
      <c r="AK483" s="126"/>
      <c r="AL483" s="126"/>
      <c r="AM483" s="127"/>
      <c r="AN483" s="126"/>
      <c r="AO483" s="126"/>
      <c r="AP483" s="127"/>
      <c r="AQ483" s="126"/>
      <c r="AR483" s="126"/>
      <c r="AS483" s="127"/>
      <c r="AT483" s="126"/>
      <c r="AU483" s="126"/>
      <c r="AV483" s="127"/>
      <c r="AW483" s="126"/>
      <c r="AX483" s="126"/>
      <c r="AY483" s="127"/>
      <c r="AZ483" s="126"/>
      <c r="BA483" s="126"/>
      <c r="BB483" s="127"/>
      <c r="BC483" s="126"/>
      <c r="BD483" s="134"/>
      <c r="BE483" s="127"/>
      <c r="BF483" s="126"/>
      <c r="BG483" s="126"/>
      <c r="BH483" s="126"/>
      <c r="BI483" s="126"/>
      <c r="BJ483" s="126"/>
      <c r="BK483" s="126"/>
      <c r="BL483" s="126"/>
      <c r="BM483" s="126"/>
      <c r="BN483" s="126"/>
      <c r="BO483" s="126"/>
      <c r="BP483" s="126"/>
      <c r="BQ483" s="126"/>
      <c r="BR483" s="126"/>
      <c r="BS483" s="126"/>
      <c r="BT483" s="126"/>
      <c r="BU483" s="126"/>
      <c r="BV483" s="126"/>
      <c r="BW483" s="126"/>
      <c r="BX483" s="126"/>
    </row>
    <row r="484">
      <c r="A484" s="126"/>
      <c r="B484" s="126"/>
      <c r="C484" s="127"/>
      <c r="D484" s="126"/>
      <c r="E484" s="126"/>
      <c r="F484" s="127"/>
      <c r="G484" s="126"/>
      <c r="H484" s="127"/>
      <c r="I484" s="126"/>
      <c r="J484" s="126"/>
      <c r="K484" s="127"/>
      <c r="L484" s="126"/>
      <c r="M484" s="126"/>
      <c r="N484" s="127"/>
      <c r="O484" s="126"/>
      <c r="P484" s="126"/>
      <c r="Q484" s="127"/>
      <c r="R484" s="126"/>
      <c r="S484" s="126"/>
      <c r="T484" s="127"/>
      <c r="U484" s="126"/>
      <c r="V484" s="126"/>
      <c r="W484" s="127"/>
      <c r="X484" s="126"/>
      <c r="Y484" s="126"/>
      <c r="Z484" s="127"/>
      <c r="AA484" s="126"/>
      <c r="AB484" s="126"/>
      <c r="AC484" s="127"/>
      <c r="AD484" s="126"/>
      <c r="AE484" s="126"/>
      <c r="AF484" s="126"/>
      <c r="AG484" s="127"/>
      <c r="AH484" s="126"/>
      <c r="AI484" s="126"/>
      <c r="AJ484" s="127"/>
      <c r="AK484" s="126"/>
      <c r="AL484" s="126"/>
      <c r="AM484" s="127"/>
      <c r="AN484" s="126"/>
      <c r="AO484" s="126"/>
      <c r="AP484" s="127"/>
      <c r="AQ484" s="126"/>
      <c r="AR484" s="126"/>
      <c r="AS484" s="127"/>
      <c r="AT484" s="126"/>
      <c r="AU484" s="126"/>
      <c r="AV484" s="127"/>
      <c r="AW484" s="126"/>
      <c r="AX484" s="126"/>
      <c r="AY484" s="127"/>
      <c r="AZ484" s="126"/>
      <c r="BA484" s="126"/>
      <c r="BB484" s="127"/>
      <c r="BC484" s="126"/>
      <c r="BD484" s="134"/>
      <c r="BE484" s="127"/>
      <c r="BF484" s="126"/>
      <c r="BG484" s="126"/>
      <c r="BH484" s="126"/>
      <c r="BI484" s="126"/>
      <c r="BJ484" s="126"/>
      <c r="BK484" s="126"/>
      <c r="BL484" s="126"/>
      <c r="BM484" s="126"/>
      <c r="BN484" s="126"/>
      <c r="BO484" s="126"/>
      <c r="BP484" s="126"/>
      <c r="BQ484" s="126"/>
      <c r="BR484" s="126"/>
      <c r="BS484" s="126"/>
      <c r="BT484" s="126"/>
      <c r="BU484" s="126"/>
      <c r="BV484" s="126"/>
      <c r="BW484" s="126"/>
      <c r="BX484" s="126"/>
    </row>
    <row r="485">
      <c r="A485" s="126"/>
      <c r="B485" s="126"/>
      <c r="C485" s="127"/>
      <c r="D485" s="126"/>
      <c r="E485" s="126"/>
      <c r="F485" s="127"/>
      <c r="G485" s="126"/>
      <c r="H485" s="127"/>
      <c r="I485" s="126"/>
      <c r="J485" s="126"/>
      <c r="K485" s="127"/>
      <c r="L485" s="126"/>
      <c r="M485" s="126"/>
      <c r="N485" s="127"/>
      <c r="O485" s="126"/>
      <c r="P485" s="126"/>
      <c r="Q485" s="127"/>
      <c r="R485" s="126"/>
      <c r="S485" s="126"/>
      <c r="T485" s="127"/>
      <c r="U485" s="126"/>
      <c r="V485" s="126"/>
      <c r="W485" s="127"/>
      <c r="X485" s="126"/>
      <c r="Y485" s="126"/>
      <c r="Z485" s="127"/>
      <c r="AA485" s="126"/>
      <c r="AB485" s="126"/>
      <c r="AC485" s="127"/>
      <c r="AD485" s="126"/>
      <c r="AE485" s="126"/>
      <c r="AF485" s="126"/>
      <c r="AG485" s="127"/>
      <c r="AH485" s="126"/>
      <c r="AI485" s="126"/>
      <c r="AJ485" s="127"/>
      <c r="AK485" s="126"/>
      <c r="AL485" s="126"/>
      <c r="AM485" s="127"/>
      <c r="AN485" s="126"/>
      <c r="AO485" s="126"/>
      <c r="AP485" s="127"/>
      <c r="AQ485" s="126"/>
      <c r="AR485" s="126"/>
      <c r="AS485" s="127"/>
      <c r="AT485" s="126"/>
      <c r="AU485" s="126"/>
      <c r="AV485" s="127"/>
      <c r="AW485" s="126"/>
      <c r="AX485" s="126"/>
      <c r="AY485" s="127"/>
      <c r="AZ485" s="126"/>
      <c r="BA485" s="126"/>
      <c r="BB485" s="127"/>
      <c r="BC485" s="126"/>
      <c r="BD485" s="134"/>
      <c r="BE485" s="127"/>
      <c r="BF485" s="126"/>
      <c r="BG485" s="126"/>
      <c r="BH485" s="126"/>
      <c r="BI485" s="126"/>
      <c r="BJ485" s="126"/>
      <c r="BK485" s="126"/>
      <c r="BL485" s="126"/>
      <c r="BM485" s="126"/>
      <c r="BN485" s="126"/>
      <c r="BO485" s="126"/>
      <c r="BP485" s="126"/>
      <c r="BQ485" s="126"/>
      <c r="BR485" s="126"/>
      <c r="BS485" s="126"/>
      <c r="BT485" s="126"/>
      <c r="BU485" s="126"/>
      <c r="BV485" s="126"/>
      <c r="BW485" s="126"/>
      <c r="BX485" s="126"/>
    </row>
    <row r="486">
      <c r="A486" s="126"/>
      <c r="B486" s="126"/>
      <c r="C486" s="127"/>
      <c r="D486" s="126"/>
      <c r="E486" s="126"/>
      <c r="F486" s="127"/>
      <c r="G486" s="126"/>
      <c r="H486" s="127"/>
      <c r="I486" s="126"/>
      <c r="J486" s="126"/>
      <c r="K486" s="127"/>
      <c r="L486" s="126"/>
      <c r="M486" s="126"/>
      <c r="N486" s="127"/>
      <c r="O486" s="126"/>
      <c r="P486" s="126"/>
      <c r="Q486" s="127"/>
      <c r="R486" s="126"/>
      <c r="S486" s="126"/>
      <c r="T486" s="127"/>
      <c r="U486" s="126"/>
      <c r="V486" s="126"/>
      <c r="W486" s="127"/>
      <c r="X486" s="126"/>
      <c r="Y486" s="126"/>
      <c r="Z486" s="127"/>
      <c r="AA486" s="126"/>
      <c r="AB486" s="126"/>
      <c r="AC486" s="127"/>
      <c r="AD486" s="126"/>
      <c r="AE486" s="126"/>
      <c r="AF486" s="126"/>
      <c r="AG486" s="127"/>
      <c r="AH486" s="126"/>
      <c r="AI486" s="126"/>
      <c r="AJ486" s="127"/>
      <c r="AK486" s="126"/>
      <c r="AL486" s="126"/>
      <c r="AM486" s="127"/>
      <c r="AN486" s="126"/>
      <c r="AO486" s="126"/>
      <c r="AP486" s="127"/>
      <c r="AQ486" s="126"/>
      <c r="AR486" s="126"/>
      <c r="AS486" s="127"/>
      <c r="AT486" s="126"/>
      <c r="AU486" s="126"/>
      <c r="AV486" s="127"/>
      <c r="AW486" s="126"/>
      <c r="AX486" s="126"/>
      <c r="AY486" s="127"/>
      <c r="AZ486" s="126"/>
      <c r="BA486" s="126"/>
      <c r="BB486" s="127"/>
      <c r="BC486" s="126"/>
      <c r="BD486" s="134"/>
      <c r="BE486" s="127"/>
      <c r="BF486" s="126"/>
      <c r="BG486" s="126"/>
      <c r="BH486" s="126"/>
      <c r="BI486" s="126"/>
      <c r="BJ486" s="126"/>
      <c r="BK486" s="126"/>
      <c r="BL486" s="126"/>
      <c r="BM486" s="126"/>
      <c r="BN486" s="126"/>
      <c r="BO486" s="126"/>
      <c r="BP486" s="126"/>
      <c r="BQ486" s="126"/>
      <c r="BR486" s="126"/>
      <c r="BS486" s="126"/>
      <c r="BT486" s="126"/>
      <c r="BU486" s="126"/>
      <c r="BV486" s="126"/>
      <c r="BW486" s="126"/>
      <c r="BX486" s="126"/>
    </row>
    <row r="487">
      <c r="A487" s="126"/>
      <c r="B487" s="126"/>
      <c r="C487" s="127"/>
      <c r="D487" s="126"/>
      <c r="E487" s="126"/>
      <c r="F487" s="127"/>
      <c r="G487" s="126"/>
      <c r="H487" s="127"/>
      <c r="I487" s="126"/>
      <c r="J487" s="126"/>
      <c r="K487" s="127"/>
      <c r="L487" s="126"/>
      <c r="M487" s="126"/>
      <c r="N487" s="127"/>
      <c r="O487" s="126"/>
      <c r="P487" s="126"/>
      <c r="Q487" s="127"/>
      <c r="R487" s="126"/>
      <c r="S487" s="126"/>
      <c r="T487" s="127"/>
      <c r="U487" s="126"/>
      <c r="V487" s="126"/>
      <c r="W487" s="127"/>
      <c r="X487" s="126"/>
      <c r="Y487" s="126"/>
      <c r="Z487" s="127"/>
      <c r="AA487" s="126"/>
      <c r="AB487" s="126"/>
      <c r="AC487" s="127"/>
      <c r="AD487" s="126"/>
      <c r="AE487" s="126"/>
      <c r="AF487" s="126"/>
      <c r="AG487" s="127"/>
      <c r="AH487" s="126"/>
      <c r="AI487" s="126"/>
      <c r="AJ487" s="127"/>
      <c r="AK487" s="126"/>
      <c r="AL487" s="126"/>
      <c r="AM487" s="127"/>
      <c r="AN487" s="126"/>
      <c r="AO487" s="126"/>
      <c r="AP487" s="127"/>
      <c r="AQ487" s="126"/>
      <c r="AR487" s="126"/>
      <c r="AS487" s="127"/>
      <c r="AT487" s="126"/>
      <c r="AU487" s="126"/>
      <c r="AV487" s="127"/>
      <c r="AW487" s="126"/>
      <c r="AX487" s="126"/>
      <c r="AY487" s="127"/>
      <c r="AZ487" s="126"/>
      <c r="BA487" s="126"/>
      <c r="BB487" s="127"/>
      <c r="BC487" s="126"/>
      <c r="BD487" s="134"/>
      <c r="BE487" s="127"/>
      <c r="BF487" s="126"/>
      <c r="BG487" s="126"/>
      <c r="BH487" s="126"/>
      <c r="BI487" s="126"/>
      <c r="BJ487" s="126"/>
      <c r="BK487" s="126"/>
      <c r="BL487" s="126"/>
      <c r="BM487" s="126"/>
      <c r="BN487" s="126"/>
      <c r="BO487" s="126"/>
      <c r="BP487" s="126"/>
      <c r="BQ487" s="126"/>
      <c r="BR487" s="126"/>
      <c r="BS487" s="126"/>
      <c r="BT487" s="126"/>
      <c r="BU487" s="126"/>
      <c r="BV487" s="126"/>
      <c r="BW487" s="126"/>
      <c r="BX487" s="126"/>
    </row>
    <row r="488">
      <c r="A488" s="126"/>
      <c r="B488" s="126"/>
      <c r="C488" s="127"/>
      <c r="D488" s="126"/>
      <c r="E488" s="126"/>
      <c r="F488" s="127"/>
      <c r="G488" s="126"/>
      <c r="H488" s="127"/>
      <c r="I488" s="126"/>
      <c r="J488" s="126"/>
      <c r="K488" s="127"/>
      <c r="L488" s="126"/>
      <c r="M488" s="126"/>
      <c r="N488" s="127"/>
      <c r="O488" s="126"/>
      <c r="P488" s="126"/>
      <c r="Q488" s="127"/>
      <c r="R488" s="126"/>
      <c r="S488" s="126"/>
      <c r="T488" s="127"/>
      <c r="U488" s="126"/>
      <c r="V488" s="126"/>
      <c r="W488" s="127"/>
      <c r="X488" s="126"/>
      <c r="Y488" s="126"/>
      <c r="Z488" s="127"/>
      <c r="AA488" s="126"/>
      <c r="AB488" s="126"/>
      <c r="AC488" s="127"/>
      <c r="AD488" s="126"/>
      <c r="AE488" s="126"/>
      <c r="AF488" s="126"/>
      <c r="AG488" s="127"/>
      <c r="AH488" s="126"/>
      <c r="AI488" s="126"/>
      <c r="AJ488" s="127"/>
      <c r="AK488" s="126"/>
      <c r="AL488" s="126"/>
      <c r="AM488" s="127"/>
      <c r="AN488" s="126"/>
      <c r="AO488" s="126"/>
      <c r="AP488" s="127"/>
      <c r="AQ488" s="126"/>
      <c r="AR488" s="126"/>
      <c r="AS488" s="127"/>
      <c r="AT488" s="126"/>
      <c r="AU488" s="126"/>
      <c r="AV488" s="127"/>
      <c r="AW488" s="126"/>
      <c r="AX488" s="126"/>
      <c r="AY488" s="127"/>
      <c r="AZ488" s="126"/>
      <c r="BA488" s="126"/>
      <c r="BB488" s="127"/>
      <c r="BC488" s="126"/>
      <c r="BD488" s="134"/>
      <c r="BE488" s="127"/>
      <c r="BF488" s="126"/>
      <c r="BG488" s="126"/>
      <c r="BH488" s="126"/>
      <c r="BI488" s="126"/>
      <c r="BJ488" s="126"/>
      <c r="BK488" s="126"/>
      <c r="BL488" s="126"/>
      <c r="BM488" s="126"/>
      <c r="BN488" s="126"/>
      <c r="BO488" s="126"/>
      <c r="BP488" s="126"/>
      <c r="BQ488" s="126"/>
      <c r="BR488" s="126"/>
      <c r="BS488" s="126"/>
      <c r="BT488" s="126"/>
      <c r="BU488" s="126"/>
      <c r="BV488" s="126"/>
      <c r="BW488" s="126"/>
      <c r="BX488" s="126"/>
    </row>
    <row r="489">
      <c r="A489" s="126"/>
      <c r="B489" s="126"/>
      <c r="C489" s="127"/>
      <c r="D489" s="126"/>
      <c r="E489" s="126"/>
      <c r="F489" s="127"/>
      <c r="G489" s="126"/>
      <c r="H489" s="127"/>
      <c r="I489" s="126"/>
      <c r="J489" s="126"/>
      <c r="K489" s="127"/>
      <c r="L489" s="126"/>
      <c r="M489" s="126"/>
      <c r="N489" s="127"/>
      <c r="O489" s="126"/>
      <c r="P489" s="126"/>
      <c r="Q489" s="127"/>
      <c r="R489" s="126"/>
      <c r="S489" s="126"/>
      <c r="T489" s="127"/>
      <c r="U489" s="126"/>
      <c r="V489" s="126"/>
      <c r="W489" s="127"/>
      <c r="X489" s="126"/>
      <c r="Y489" s="126"/>
      <c r="Z489" s="127"/>
      <c r="AA489" s="126"/>
      <c r="AB489" s="126"/>
      <c r="AC489" s="127"/>
      <c r="AD489" s="126"/>
      <c r="AE489" s="126"/>
      <c r="AF489" s="126"/>
      <c r="AG489" s="127"/>
      <c r="AH489" s="126"/>
      <c r="AI489" s="126"/>
      <c r="AJ489" s="127"/>
      <c r="AK489" s="126"/>
      <c r="AL489" s="126"/>
      <c r="AM489" s="127"/>
      <c r="AN489" s="126"/>
      <c r="AO489" s="126"/>
      <c r="AP489" s="127"/>
      <c r="AQ489" s="126"/>
      <c r="AR489" s="126"/>
      <c r="AS489" s="127"/>
      <c r="AT489" s="126"/>
      <c r="AU489" s="126"/>
      <c r="AV489" s="127"/>
      <c r="AW489" s="126"/>
      <c r="AX489" s="126"/>
      <c r="AY489" s="127"/>
      <c r="AZ489" s="126"/>
      <c r="BA489" s="126"/>
      <c r="BB489" s="127"/>
      <c r="BC489" s="126"/>
      <c r="BD489" s="134"/>
      <c r="BE489" s="127"/>
      <c r="BF489" s="126"/>
      <c r="BG489" s="126"/>
      <c r="BH489" s="126"/>
      <c r="BI489" s="126"/>
      <c r="BJ489" s="126"/>
      <c r="BK489" s="126"/>
      <c r="BL489" s="126"/>
      <c r="BM489" s="126"/>
      <c r="BN489" s="126"/>
      <c r="BO489" s="126"/>
      <c r="BP489" s="126"/>
      <c r="BQ489" s="126"/>
      <c r="BR489" s="126"/>
      <c r="BS489" s="126"/>
      <c r="BT489" s="126"/>
      <c r="BU489" s="126"/>
      <c r="BV489" s="126"/>
      <c r="BW489" s="126"/>
      <c r="BX489" s="126"/>
    </row>
    <row r="490">
      <c r="A490" s="126"/>
      <c r="B490" s="126"/>
      <c r="C490" s="127"/>
      <c r="D490" s="126"/>
      <c r="E490" s="126"/>
      <c r="F490" s="127"/>
      <c r="G490" s="126"/>
      <c r="H490" s="127"/>
      <c r="I490" s="126"/>
      <c r="J490" s="126"/>
      <c r="K490" s="127"/>
      <c r="L490" s="126"/>
      <c r="M490" s="126"/>
      <c r="N490" s="127"/>
      <c r="O490" s="126"/>
      <c r="P490" s="126"/>
      <c r="Q490" s="127"/>
      <c r="R490" s="126"/>
      <c r="S490" s="126"/>
      <c r="T490" s="127"/>
      <c r="U490" s="126"/>
      <c r="V490" s="126"/>
      <c r="W490" s="127"/>
      <c r="X490" s="126"/>
      <c r="Y490" s="126"/>
      <c r="Z490" s="127"/>
      <c r="AA490" s="126"/>
      <c r="AB490" s="126"/>
      <c r="AC490" s="127"/>
      <c r="AD490" s="126"/>
      <c r="AE490" s="126"/>
      <c r="AF490" s="126"/>
      <c r="AG490" s="127"/>
      <c r="AH490" s="126"/>
      <c r="AI490" s="126"/>
      <c r="AJ490" s="127"/>
      <c r="AK490" s="126"/>
      <c r="AL490" s="126"/>
      <c r="AM490" s="127"/>
      <c r="AN490" s="126"/>
      <c r="AO490" s="126"/>
      <c r="AP490" s="127"/>
      <c r="AQ490" s="126"/>
      <c r="AR490" s="126"/>
      <c r="AS490" s="127"/>
      <c r="AT490" s="126"/>
      <c r="AU490" s="126"/>
      <c r="AV490" s="127"/>
      <c r="AW490" s="126"/>
      <c r="AX490" s="126"/>
      <c r="AY490" s="127"/>
      <c r="AZ490" s="126"/>
      <c r="BA490" s="126"/>
      <c r="BB490" s="127"/>
      <c r="BC490" s="126"/>
      <c r="BD490" s="134"/>
      <c r="BE490" s="127"/>
      <c r="BF490" s="126"/>
      <c r="BG490" s="126"/>
      <c r="BH490" s="126"/>
      <c r="BI490" s="126"/>
      <c r="BJ490" s="126"/>
      <c r="BK490" s="126"/>
      <c r="BL490" s="126"/>
      <c r="BM490" s="126"/>
      <c r="BN490" s="126"/>
      <c r="BO490" s="126"/>
      <c r="BP490" s="126"/>
      <c r="BQ490" s="126"/>
      <c r="BR490" s="126"/>
      <c r="BS490" s="126"/>
      <c r="BT490" s="126"/>
      <c r="BU490" s="126"/>
      <c r="BV490" s="126"/>
      <c r="BW490" s="126"/>
      <c r="BX490" s="126"/>
    </row>
    <row r="491">
      <c r="A491" s="126"/>
      <c r="B491" s="126"/>
      <c r="C491" s="127"/>
      <c r="D491" s="126"/>
      <c r="E491" s="126"/>
      <c r="F491" s="127"/>
      <c r="G491" s="126"/>
      <c r="H491" s="127"/>
      <c r="I491" s="126"/>
      <c r="J491" s="126"/>
      <c r="K491" s="127"/>
      <c r="L491" s="126"/>
      <c r="M491" s="126"/>
      <c r="N491" s="127"/>
      <c r="O491" s="126"/>
      <c r="P491" s="126"/>
      <c r="Q491" s="127"/>
      <c r="R491" s="126"/>
      <c r="S491" s="126"/>
      <c r="T491" s="127"/>
      <c r="U491" s="126"/>
      <c r="V491" s="126"/>
      <c r="W491" s="127"/>
      <c r="X491" s="126"/>
      <c r="Y491" s="126"/>
      <c r="Z491" s="127"/>
      <c r="AA491" s="126"/>
      <c r="AB491" s="126"/>
      <c r="AC491" s="127"/>
      <c r="AD491" s="126"/>
      <c r="AE491" s="126"/>
      <c r="AF491" s="126"/>
      <c r="AG491" s="127"/>
      <c r="AH491" s="126"/>
      <c r="AI491" s="126"/>
      <c r="AJ491" s="127"/>
      <c r="AK491" s="126"/>
      <c r="AL491" s="126"/>
      <c r="AM491" s="127"/>
      <c r="AN491" s="126"/>
      <c r="AO491" s="126"/>
      <c r="AP491" s="127"/>
      <c r="AQ491" s="126"/>
      <c r="AR491" s="126"/>
      <c r="AS491" s="127"/>
      <c r="AT491" s="126"/>
      <c r="AU491" s="126"/>
      <c r="AV491" s="127"/>
      <c r="AW491" s="126"/>
      <c r="AX491" s="126"/>
      <c r="AY491" s="127"/>
      <c r="AZ491" s="126"/>
      <c r="BA491" s="126"/>
      <c r="BB491" s="127"/>
      <c r="BC491" s="126"/>
      <c r="BD491" s="134"/>
      <c r="BE491" s="127"/>
      <c r="BF491" s="126"/>
      <c r="BG491" s="126"/>
      <c r="BH491" s="126"/>
      <c r="BI491" s="126"/>
      <c r="BJ491" s="126"/>
      <c r="BK491" s="126"/>
      <c r="BL491" s="126"/>
      <c r="BM491" s="126"/>
      <c r="BN491" s="126"/>
      <c r="BO491" s="126"/>
      <c r="BP491" s="126"/>
      <c r="BQ491" s="126"/>
      <c r="BR491" s="126"/>
      <c r="BS491" s="126"/>
      <c r="BT491" s="126"/>
      <c r="BU491" s="126"/>
      <c r="BV491" s="126"/>
      <c r="BW491" s="126"/>
      <c r="BX491" s="126"/>
    </row>
    <row r="492">
      <c r="A492" s="126"/>
      <c r="B492" s="126"/>
      <c r="C492" s="127"/>
      <c r="D492" s="126"/>
      <c r="E492" s="126"/>
      <c r="F492" s="127"/>
      <c r="G492" s="126"/>
      <c r="H492" s="127"/>
      <c r="I492" s="126"/>
      <c r="J492" s="126"/>
      <c r="K492" s="127"/>
      <c r="L492" s="126"/>
      <c r="M492" s="126"/>
      <c r="N492" s="127"/>
      <c r="O492" s="126"/>
      <c r="P492" s="126"/>
      <c r="Q492" s="127"/>
      <c r="R492" s="126"/>
      <c r="S492" s="126"/>
      <c r="T492" s="127"/>
      <c r="U492" s="126"/>
      <c r="V492" s="126"/>
      <c r="W492" s="127"/>
      <c r="X492" s="126"/>
      <c r="Y492" s="126"/>
      <c r="Z492" s="127"/>
      <c r="AA492" s="126"/>
      <c r="AB492" s="126"/>
      <c r="AC492" s="127"/>
      <c r="AD492" s="126"/>
      <c r="AE492" s="126"/>
      <c r="AF492" s="126"/>
      <c r="AG492" s="127"/>
      <c r="AH492" s="126"/>
      <c r="AI492" s="126"/>
      <c r="AJ492" s="127"/>
      <c r="AK492" s="126"/>
      <c r="AL492" s="126"/>
      <c r="AM492" s="127"/>
      <c r="AN492" s="126"/>
      <c r="AO492" s="126"/>
      <c r="AP492" s="127"/>
      <c r="AQ492" s="126"/>
      <c r="AR492" s="126"/>
      <c r="AS492" s="127"/>
      <c r="AT492" s="126"/>
      <c r="AU492" s="126"/>
      <c r="AV492" s="127"/>
      <c r="AW492" s="126"/>
      <c r="AX492" s="126"/>
      <c r="AY492" s="127"/>
      <c r="AZ492" s="126"/>
      <c r="BA492" s="126"/>
      <c r="BB492" s="127"/>
      <c r="BC492" s="126"/>
      <c r="BD492" s="134"/>
      <c r="BE492" s="127"/>
      <c r="BF492" s="126"/>
      <c r="BG492" s="126"/>
      <c r="BH492" s="126"/>
      <c r="BI492" s="126"/>
      <c r="BJ492" s="126"/>
      <c r="BK492" s="126"/>
      <c r="BL492" s="126"/>
      <c r="BM492" s="126"/>
      <c r="BN492" s="126"/>
      <c r="BO492" s="126"/>
      <c r="BP492" s="126"/>
      <c r="BQ492" s="126"/>
      <c r="BR492" s="126"/>
      <c r="BS492" s="126"/>
      <c r="BT492" s="126"/>
      <c r="BU492" s="126"/>
      <c r="BV492" s="126"/>
      <c r="BW492" s="126"/>
      <c r="BX492" s="126"/>
    </row>
    <row r="493">
      <c r="A493" s="126"/>
      <c r="B493" s="126"/>
      <c r="C493" s="127"/>
      <c r="D493" s="126"/>
      <c r="E493" s="126"/>
      <c r="F493" s="127"/>
      <c r="G493" s="126"/>
      <c r="H493" s="127"/>
      <c r="I493" s="126"/>
      <c r="J493" s="126"/>
      <c r="K493" s="127"/>
      <c r="L493" s="126"/>
      <c r="M493" s="126"/>
      <c r="N493" s="127"/>
      <c r="O493" s="126"/>
      <c r="P493" s="126"/>
      <c r="Q493" s="127"/>
      <c r="R493" s="126"/>
      <c r="S493" s="126"/>
      <c r="T493" s="127"/>
      <c r="U493" s="126"/>
      <c r="V493" s="126"/>
      <c r="W493" s="127"/>
      <c r="X493" s="126"/>
      <c r="Y493" s="126"/>
      <c r="Z493" s="127"/>
      <c r="AA493" s="126"/>
      <c r="AB493" s="126"/>
      <c r="AC493" s="127"/>
      <c r="AD493" s="126"/>
      <c r="AE493" s="126"/>
      <c r="AF493" s="126"/>
      <c r="AG493" s="127"/>
      <c r="AH493" s="126"/>
      <c r="AI493" s="126"/>
      <c r="AJ493" s="127"/>
      <c r="AK493" s="126"/>
      <c r="AL493" s="126"/>
      <c r="AM493" s="127"/>
      <c r="AN493" s="126"/>
      <c r="AO493" s="126"/>
      <c r="AP493" s="127"/>
      <c r="AQ493" s="126"/>
      <c r="AR493" s="126"/>
      <c r="AS493" s="127"/>
      <c r="AT493" s="126"/>
      <c r="AU493" s="126"/>
      <c r="AV493" s="127"/>
      <c r="AW493" s="126"/>
      <c r="AX493" s="126"/>
      <c r="AY493" s="127"/>
      <c r="AZ493" s="126"/>
      <c r="BA493" s="126"/>
      <c r="BB493" s="127"/>
      <c r="BC493" s="126"/>
      <c r="BD493" s="134"/>
      <c r="BE493" s="127"/>
      <c r="BF493" s="126"/>
      <c r="BG493" s="126"/>
      <c r="BH493" s="126"/>
      <c r="BI493" s="126"/>
      <c r="BJ493" s="126"/>
      <c r="BK493" s="126"/>
      <c r="BL493" s="126"/>
      <c r="BM493" s="126"/>
      <c r="BN493" s="126"/>
      <c r="BO493" s="126"/>
      <c r="BP493" s="126"/>
      <c r="BQ493" s="126"/>
      <c r="BR493" s="126"/>
      <c r="BS493" s="126"/>
      <c r="BT493" s="126"/>
      <c r="BU493" s="126"/>
      <c r="BV493" s="126"/>
      <c r="BW493" s="126"/>
      <c r="BX493" s="126"/>
    </row>
    <row r="494">
      <c r="A494" s="126"/>
      <c r="B494" s="126"/>
      <c r="C494" s="127"/>
      <c r="D494" s="126"/>
      <c r="E494" s="126"/>
      <c r="F494" s="127"/>
      <c r="G494" s="126"/>
      <c r="H494" s="127"/>
      <c r="I494" s="126"/>
      <c r="J494" s="126"/>
      <c r="K494" s="127"/>
      <c r="L494" s="126"/>
      <c r="M494" s="126"/>
      <c r="N494" s="127"/>
      <c r="O494" s="126"/>
      <c r="P494" s="126"/>
      <c r="Q494" s="127"/>
      <c r="R494" s="126"/>
      <c r="S494" s="126"/>
      <c r="T494" s="127"/>
      <c r="U494" s="126"/>
      <c r="V494" s="126"/>
      <c r="W494" s="127"/>
      <c r="X494" s="126"/>
      <c r="Y494" s="126"/>
      <c r="Z494" s="127"/>
      <c r="AA494" s="126"/>
      <c r="AB494" s="126"/>
      <c r="AC494" s="127"/>
      <c r="AD494" s="126"/>
      <c r="AE494" s="126"/>
      <c r="AF494" s="126"/>
      <c r="AG494" s="127"/>
      <c r="AH494" s="126"/>
      <c r="AI494" s="126"/>
      <c r="AJ494" s="127"/>
      <c r="AK494" s="126"/>
      <c r="AL494" s="126"/>
      <c r="AM494" s="127"/>
      <c r="AN494" s="126"/>
      <c r="AO494" s="126"/>
      <c r="AP494" s="127"/>
      <c r="AQ494" s="126"/>
      <c r="AR494" s="126"/>
      <c r="AS494" s="127"/>
      <c r="AT494" s="126"/>
      <c r="AU494" s="126"/>
      <c r="AV494" s="127"/>
      <c r="AW494" s="126"/>
      <c r="AX494" s="126"/>
      <c r="AY494" s="127"/>
      <c r="AZ494" s="126"/>
      <c r="BA494" s="126"/>
      <c r="BB494" s="127"/>
      <c r="BC494" s="126"/>
      <c r="BD494" s="134"/>
      <c r="BE494" s="127"/>
      <c r="BF494" s="126"/>
      <c r="BG494" s="126"/>
      <c r="BH494" s="126"/>
      <c r="BI494" s="126"/>
      <c r="BJ494" s="126"/>
      <c r="BK494" s="126"/>
      <c r="BL494" s="126"/>
      <c r="BM494" s="126"/>
      <c r="BN494" s="126"/>
      <c r="BO494" s="126"/>
      <c r="BP494" s="126"/>
      <c r="BQ494" s="126"/>
      <c r="BR494" s="126"/>
      <c r="BS494" s="126"/>
      <c r="BT494" s="126"/>
      <c r="BU494" s="126"/>
      <c r="BV494" s="126"/>
      <c r="BW494" s="126"/>
      <c r="BX494" s="126"/>
    </row>
    <row r="495">
      <c r="A495" s="126"/>
      <c r="B495" s="126"/>
      <c r="C495" s="127"/>
      <c r="D495" s="126"/>
      <c r="E495" s="126"/>
      <c r="F495" s="127"/>
      <c r="G495" s="126"/>
      <c r="H495" s="127"/>
      <c r="I495" s="126"/>
      <c r="J495" s="126"/>
      <c r="K495" s="127"/>
      <c r="L495" s="126"/>
      <c r="M495" s="126"/>
      <c r="N495" s="127"/>
      <c r="O495" s="126"/>
      <c r="P495" s="126"/>
      <c r="Q495" s="127"/>
      <c r="R495" s="126"/>
      <c r="S495" s="126"/>
      <c r="T495" s="127"/>
      <c r="U495" s="126"/>
      <c r="V495" s="126"/>
      <c r="W495" s="127"/>
      <c r="X495" s="126"/>
      <c r="Y495" s="126"/>
      <c r="Z495" s="127"/>
      <c r="AA495" s="126"/>
      <c r="AB495" s="126"/>
      <c r="AC495" s="127"/>
      <c r="AD495" s="126"/>
      <c r="AE495" s="126"/>
      <c r="AF495" s="126"/>
      <c r="AG495" s="127"/>
      <c r="AH495" s="126"/>
      <c r="AI495" s="126"/>
      <c r="AJ495" s="127"/>
      <c r="AK495" s="126"/>
      <c r="AL495" s="126"/>
      <c r="AM495" s="127"/>
      <c r="AN495" s="126"/>
      <c r="AO495" s="126"/>
      <c r="AP495" s="127"/>
      <c r="AQ495" s="126"/>
      <c r="AR495" s="126"/>
      <c r="AS495" s="127"/>
      <c r="AT495" s="126"/>
      <c r="AU495" s="126"/>
      <c r="AV495" s="127"/>
      <c r="AW495" s="126"/>
      <c r="AX495" s="126"/>
      <c r="AY495" s="127"/>
      <c r="AZ495" s="126"/>
      <c r="BA495" s="126"/>
      <c r="BB495" s="127"/>
      <c r="BC495" s="126"/>
      <c r="BD495" s="134"/>
      <c r="BE495" s="127"/>
      <c r="BF495" s="126"/>
      <c r="BG495" s="126"/>
      <c r="BH495" s="126"/>
      <c r="BI495" s="126"/>
      <c r="BJ495" s="126"/>
      <c r="BK495" s="126"/>
      <c r="BL495" s="126"/>
      <c r="BM495" s="126"/>
      <c r="BN495" s="126"/>
      <c r="BO495" s="126"/>
      <c r="BP495" s="126"/>
      <c r="BQ495" s="126"/>
      <c r="BR495" s="126"/>
      <c r="BS495" s="126"/>
      <c r="BT495" s="126"/>
      <c r="BU495" s="126"/>
      <c r="BV495" s="126"/>
      <c r="BW495" s="126"/>
      <c r="BX495" s="126"/>
    </row>
    <row r="496">
      <c r="A496" s="126"/>
      <c r="B496" s="126"/>
      <c r="C496" s="127"/>
      <c r="D496" s="126"/>
      <c r="E496" s="126"/>
      <c r="F496" s="127"/>
      <c r="G496" s="126"/>
      <c r="H496" s="127"/>
      <c r="I496" s="126"/>
      <c r="J496" s="126"/>
      <c r="K496" s="127"/>
      <c r="L496" s="126"/>
      <c r="M496" s="126"/>
      <c r="N496" s="127"/>
      <c r="O496" s="126"/>
      <c r="P496" s="126"/>
      <c r="Q496" s="127"/>
      <c r="R496" s="126"/>
      <c r="S496" s="126"/>
      <c r="T496" s="127"/>
      <c r="U496" s="126"/>
      <c r="V496" s="126"/>
      <c r="W496" s="127"/>
      <c r="X496" s="126"/>
      <c r="Y496" s="126"/>
      <c r="Z496" s="127"/>
      <c r="AA496" s="126"/>
      <c r="AB496" s="126"/>
      <c r="AC496" s="127"/>
      <c r="AD496" s="126"/>
      <c r="AE496" s="126"/>
      <c r="AF496" s="126"/>
      <c r="AG496" s="127"/>
      <c r="AH496" s="126"/>
      <c r="AI496" s="126"/>
      <c r="AJ496" s="127"/>
      <c r="AK496" s="126"/>
      <c r="AL496" s="126"/>
      <c r="AM496" s="127"/>
      <c r="AN496" s="126"/>
      <c r="AO496" s="126"/>
      <c r="AP496" s="127"/>
      <c r="AQ496" s="126"/>
      <c r="AR496" s="126"/>
      <c r="AS496" s="127"/>
      <c r="AT496" s="126"/>
      <c r="AU496" s="126"/>
      <c r="AV496" s="127"/>
      <c r="AW496" s="126"/>
      <c r="AX496" s="126"/>
      <c r="AY496" s="127"/>
      <c r="AZ496" s="126"/>
      <c r="BA496" s="126"/>
      <c r="BB496" s="127"/>
      <c r="BC496" s="126"/>
      <c r="BD496" s="134"/>
      <c r="BE496" s="127"/>
      <c r="BF496" s="126"/>
      <c r="BG496" s="126"/>
      <c r="BH496" s="126"/>
      <c r="BI496" s="126"/>
      <c r="BJ496" s="126"/>
      <c r="BK496" s="126"/>
      <c r="BL496" s="126"/>
      <c r="BM496" s="126"/>
      <c r="BN496" s="126"/>
      <c r="BO496" s="126"/>
      <c r="BP496" s="126"/>
      <c r="BQ496" s="126"/>
      <c r="BR496" s="126"/>
      <c r="BS496" s="126"/>
      <c r="BT496" s="126"/>
      <c r="BU496" s="126"/>
      <c r="BV496" s="126"/>
      <c r="BW496" s="126"/>
      <c r="BX496" s="126"/>
    </row>
    <row r="497">
      <c r="A497" s="126"/>
      <c r="B497" s="126"/>
      <c r="C497" s="127"/>
      <c r="D497" s="126"/>
      <c r="E497" s="126"/>
      <c r="F497" s="127"/>
      <c r="G497" s="126"/>
      <c r="H497" s="127"/>
      <c r="I497" s="126"/>
      <c r="J497" s="126"/>
      <c r="K497" s="127"/>
      <c r="L497" s="126"/>
      <c r="M497" s="126"/>
      <c r="N497" s="127"/>
      <c r="O497" s="126"/>
      <c r="P497" s="126"/>
      <c r="Q497" s="127"/>
      <c r="R497" s="126"/>
      <c r="S497" s="126"/>
      <c r="T497" s="127"/>
      <c r="U497" s="126"/>
      <c r="V497" s="126"/>
      <c r="W497" s="127"/>
      <c r="X497" s="126"/>
      <c r="Y497" s="126"/>
      <c r="Z497" s="127"/>
      <c r="AA497" s="126"/>
      <c r="AB497" s="126"/>
      <c r="AC497" s="127"/>
      <c r="AD497" s="126"/>
      <c r="AE497" s="126"/>
      <c r="AF497" s="126"/>
      <c r="AG497" s="127"/>
      <c r="AH497" s="126"/>
      <c r="AI497" s="126"/>
      <c r="AJ497" s="127"/>
      <c r="AK497" s="126"/>
      <c r="AL497" s="126"/>
      <c r="AM497" s="127"/>
      <c r="AN497" s="126"/>
      <c r="AO497" s="126"/>
      <c r="AP497" s="127"/>
      <c r="AQ497" s="126"/>
      <c r="AR497" s="126"/>
      <c r="AS497" s="127"/>
      <c r="AT497" s="126"/>
      <c r="AU497" s="126"/>
      <c r="AV497" s="127"/>
      <c r="AW497" s="126"/>
      <c r="AX497" s="126"/>
      <c r="AY497" s="127"/>
      <c r="AZ497" s="126"/>
      <c r="BA497" s="126"/>
      <c r="BB497" s="127"/>
      <c r="BC497" s="126"/>
      <c r="BD497" s="134"/>
      <c r="BE497" s="127"/>
      <c r="BF497" s="126"/>
      <c r="BG497" s="126"/>
      <c r="BH497" s="126"/>
      <c r="BI497" s="126"/>
      <c r="BJ497" s="126"/>
      <c r="BK497" s="126"/>
      <c r="BL497" s="126"/>
      <c r="BM497" s="126"/>
      <c r="BN497" s="126"/>
      <c r="BO497" s="126"/>
      <c r="BP497" s="126"/>
      <c r="BQ497" s="126"/>
      <c r="BR497" s="126"/>
      <c r="BS497" s="126"/>
      <c r="BT497" s="126"/>
      <c r="BU497" s="126"/>
      <c r="BV497" s="126"/>
      <c r="BW497" s="126"/>
      <c r="BX497" s="126"/>
    </row>
    <row r="498">
      <c r="A498" s="126"/>
      <c r="B498" s="126"/>
      <c r="C498" s="127"/>
      <c r="D498" s="126"/>
      <c r="E498" s="126"/>
      <c r="F498" s="127"/>
      <c r="G498" s="126"/>
      <c r="H498" s="127"/>
      <c r="I498" s="126"/>
      <c r="J498" s="126"/>
      <c r="K498" s="127"/>
      <c r="L498" s="126"/>
      <c r="M498" s="126"/>
      <c r="N498" s="127"/>
      <c r="O498" s="126"/>
      <c r="P498" s="126"/>
      <c r="Q498" s="127"/>
      <c r="R498" s="126"/>
      <c r="S498" s="126"/>
      <c r="T498" s="127"/>
      <c r="U498" s="126"/>
      <c r="V498" s="126"/>
      <c r="W498" s="127"/>
      <c r="X498" s="126"/>
      <c r="Y498" s="126"/>
      <c r="Z498" s="127"/>
      <c r="AA498" s="126"/>
      <c r="AB498" s="126"/>
      <c r="AC498" s="127"/>
      <c r="AD498" s="126"/>
      <c r="AE498" s="126"/>
      <c r="AF498" s="126"/>
      <c r="AG498" s="127"/>
      <c r="AH498" s="126"/>
      <c r="AI498" s="126"/>
      <c r="AJ498" s="127"/>
      <c r="AK498" s="126"/>
      <c r="AL498" s="126"/>
      <c r="AM498" s="127"/>
      <c r="AN498" s="126"/>
      <c r="AO498" s="126"/>
      <c r="AP498" s="127"/>
      <c r="AQ498" s="126"/>
      <c r="AR498" s="126"/>
      <c r="AS498" s="127"/>
      <c r="AT498" s="126"/>
      <c r="AU498" s="126"/>
      <c r="AV498" s="127"/>
      <c r="AW498" s="126"/>
      <c r="AX498" s="126"/>
      <c r="AY498" s="127"/>
      <c r="AZ498" s="126"/>
      <c r="BA498" s="126"/>
      <c r="BB498" s="127"/>
      <c r="BC498" s="126"/>
      <c r="BD498" s="134"/>
      <c r="BE498" s="127"/>
      <c r="BF498" s="126"/>
      <c r="BG498" s="126"/>
      <c r="BH498" s="126"/>
      <c r="BI498" s="126"/>
      <c r="BJ498" s="126"/>
      <c r="BK498" s="126"/>
      <c r="BL498" s="126"/>
      <c r="BM498" s="126"/>
      <c r="BN498" s="126"/>
      <c r="BO498" s="126"/>
      <c r="BP498" s="126"/>
      <c r="BQ498" s="126"/>
      <c r="BR498" s="126"/>
      <c r="BS498" s="126"/>
      <c r="BT498" s="126"/>
      <c r="BU498" s="126"/>
      <c r="BV498" s="126"/>
      <c r="BW498" s="126"/>
      <c r="BX498" s="126"/>
    </row>
    <row r="499">
      <c r="A499" s="126"/>
      <c r="B499" s="126"/>
      <c r="C499" s="127"/>
      <c r="D499" s="126"/>
      <c r="E499" s="126"/>
      <c r="F499" s="127"/>
      <c r="G499" s="126"/>
      <c r="H499" s="127"/>
      <c r="I499" s="126"/>
      <c r="J499" s="126"/>
      <c r="K499" s="127"/>
      <c r="L499" s="126"/>
      <c r="M499" s="126"/>
      <c r="N499" s="127"/>
      <c r="O499" s="126"/>
      <c r="P499" s="126"/>
      <c r="Q499" s="127"/>
      <c r="R499" s="126"/>
      <c r="S499" s="126"/>
      <c r="T499" s="127"/>
      <c r="U499" s="126"/>
      <c r="V499" s="126"/>
      <c r="W499" s="127"/>
      <c r="X499" s="126"/>
      <c r="Y499" s="126"/>
      <c r="Z499" s="127"/>
      <c r="AA499" s="126"/>
      <c r="AB499" s="126"/>
      <c r="AC499" s="127"/>
      <c r="AD499" s="126"/>
      <c r="AE499" s="126"/>
      <c r="AF499" s="126"/>
      <c r="AG499" s="127"/>
      <c r="AH499" s="126"/>
      <c r="AI499" s="126"/>
      <c r="AJ499" s="127"/>
      <c r="AK499" s="126"/>
      <c r="AL499" s="126"/>
      <c r="AM499" s="127"/>
      <c r="AN499" s="126"/>
      <c r="AO499" s="126"/>
      <c r="AP499" s="127"/>
      <c r="AQ499" s="126"/>
      <c r="AR499" s="126"/>
      <c r="AS499" s="127"/>
      <c r="AT499" s="126"/>
      <c r="AU499" s="126"/>
      <c r="AV499" s="127"/>
      <c r="AW499" s="126"/>
      <c r="AX499" s="126"/>
      <c r="AY499" s="127"/>
      <c r="AZ499" s="126"/>
      <c r="BA499" s="126"/>
      <c r="BB499" s="127"/>
      <c r="BC499" s="126"/>
      <c r="BD499" s="134"/>
      <c r="BE499" s="127"/>
      <c r="BF499" s="126"/>
      <c r="BG499" s="126"/>
      <c r="BH499" s="126"/>
      <c r="BI499" s="126"/>
      <c r="BJ499" s="126"/>
      <c r="BK499" s="126"/>
      <c r="BL499" s="126"/>
      <c r="BM499" s="126"/>
      <c r="BN499" s="126"/>
      <c r="BO499" s="126"/>
      <c r="BP499" s="126"/>
      <c r="BQ499" s="126"/>
      <c r="BR499" s="126"/>
      <c r="BS499" s="126"/>
      <c r="BT499" s="126"/>
      <c r="BU499" s="126"/>
      <c r="BV499" s="126"/>
      <c r="BW499" s="126"/>
      <c r="BX499" s="126"/>
    </row>
    <row r="500">
      <c r="A500" s="126"/>
      <c r="B500" s="126"/>
      <c r="C500" s="127"/>
      <c r="D500" s="126"/>
      <c r="E500" s="126"/>
      <c r="F500" s="127"/>
      <c r="G500" s="126"/>
      <c r="H500" s="127"/>
      <c r="I500" s="126"/>
      <c r="J500" s="126"/>
      <c r="K500" s="127"/>
      <c r="L500" s="126"/>
      <c r="M500" s="126"/>
      <c r="N500" s="127"/>
      <c r="O500" s="126"/>
      <c r="P500" s="126"/>
      <c r="Q500" s="127"/>
      <c r="R500" s="126"/>
      <c r="S500" s="126"/>
      <c r="T500" s="127"/>
      <c r="U500" s="126"/>
      <c r="V500" s="126"/>
      <c r="W500" s="127"/>
      <c r="X500" s="126"/>
      <c r="Y500" s="126"/>
      <c r="Z500" s="127"/>
      <c r="AA500" s="126"/>
      <c r="AB500" s="126"/>
      <c r="AC500" s="127"/>
      <c r="AD500" s="126"/>
      <c r="AE500" s="126"/>
      <c r="AF500" s="126"/>
      <c r="AG500" s="127"/>
      <c r="AH500" s="126"/>
      <c r="AI500" s="126"/>
      <c r="AJ500" s="127"/>
      <c r="AK500" s="126"/>
      <c r="AL500" s="126"/>
      <c r="AM500" s="127"/>
      <c r="AN500" s="126"/>
      <c r="AO500" s="126"/>
      <c r="AP500" s="127"/>
      <c r="AQ500" s="126"/>
      <c r="AR500" s="126"/>
      <c r="AS500" s="127"/>
      <c r="AT500" s="126"/>
      <c r="AU500" s="126"/>
      <c r="AV500" s="127"/>
      <c r="AW500" s="126"/>
      <c r="AX500" s="126"/>
      <c r="AY500" s="127"/>
      <c r="AZ500" s="126"/>
      <c r="BA500" s="126"/>
      <c r="BB500" s="127"/>
      <c r="BC500" s="126"/>
      <c r="BD500" s="134"/>
      <c r="BE500" s="127"/>
      <c r="BF500" s="126"/>
      <c r="BG500" s="126"/>
      <c r="BH500" s="126"/>
      <c r="BI500" s="126"/>
      <c r="BJ500" s="126"/>
      <c r="BK500" s="126"/>
      <c r="BL500" s="126"/>
      <c r="BM500" s="126"/>
      <c r="BN500" s="126"/>
      <c r="BO500" s="126"/>
      <c r="BP500" s="126"/>
      <c r="BQ500" s="126"/>
      <c r="BR500" s="126"/>
      <c r="BS500" s="126"/>
      <c r="BT500" s="126"/>
      <c r="BU500" s="126"/>
      <c r="BV500" s="126"/>
      <c r="BW500" s="126"/>
      <c r="BX500" s="126"/>
    </row>
    <row r="501">
      <c r="A501" s="126"/>
      <c r="B501" s="126"/>
      <c r="C501" s="127"/>
      <c r="D501" s="126"/>
      <c r="E501" s="126"/>
      <c r="F501" s="127"/>
      <c r="G501" s="126"/>
      <c r="H501" s="127"/>
      <c r="I501" s="126"/>
      <c r="J501" s="126"/>
      <c r="K501" s="127"/>
      <c r="L501" s="126"/>
      <c r="M501" s="126"/>
      <c r="N501" s="127"/>
      <c r="O501" s="126"/>
      <c r="P501" s="126"/>
      <c r="Q501" s="127"/>
      <c r="R501" s="126"/>
      <c r="S501" s="126"/>
      <c r="T501" s="127"/>
      <c r="U501" s="126"/>
      <c r="V501" s="126"/>
      <c r="W501" s="127"/>
      <c r="X501" s="126"/>
      <c r="Y501" s="126"/>
      <c r="Z501" s="127"/>
      <c r="AA501" s="126"/>
      <c r="AB501" s="126"/>
      <c r="AC501" s="127"/>
      <c r="AD501" s="126"/>
      <c r="AE501" s="126"/>
      <c r="AF501" s="126"/>
      <c r="AG501" s="127"/>
      <c r="AH501" s="126"/>
      <c r="AI501" s="126"/>
      <c r="AJ501" s="127"/>
      <c r="AK501" s="126"/>
      <c r="AL501" s="126"/>
      <c r="AM501" s="127"/>
      <c r="AN501" s="126"/>
      <c r="AO501" s="126"/>
      <c r="AP501" s="127"/>
      <c r="AQ501" s="126"/>
      <c r="AR501" s="126"/>
      <c r="AS501" s="127"/>
      <c r="AT501" s="126"/>
      <c r="AU501" s="126"/>
      <c r="AV501" s="127"/>
      <c r="AW501" s="126"/>
      <c r="AX501" s="126"/>
      <c r="AY501" s="127"/>
      <c r="AZ501" s="126"/>
      <c r="BA501" s="126"/>
      <c r="BB501" s="127"/>
      <c r="BC501" s="126"/>
      <c r="BD501" s="134"/>
      <c r="BE501" s="127"/>
      <c r="BF501" s="126"/>
      <c r="BG501" s="126"/>
      <c r="BH501" s="126"/>
      <c r="BI501" s="126"/>
      <c r="BJ501" s="126"/>
      <c r="BK501" s="126"/>
      <c r="BL501" s="126"/>
      <c r="BM501" s="126"/>
      <c r="BN501" s="126"/>
      <c r="BO501" s="126"/>
      <c r="BP501" s="126"/>
      <c r="BQ501" s="126"/>
      <c r="BR501" s="126"/>
      <c r="BS501" s="126"/>
      <c r="BT501" s="126"/>
      <c r="BU501" s="126"/>
      <c r="BV501" s="126"/>
      <c r="BW501" s="126"/>
      <c r="BX501" s="126"/>
    </row>
    <row r="502">
      <c r="A502" s="126"/>
      <c r="B502" s="126"/>
      <c r="C502" s="127"/>
      <c r="D502" s="126"/>
      <c r="E502" s="126"/>
      <c r="F502" s="127"/>
      <c r="G502" s="126"/>
      <c r="H502" s="127"/>
      <c r="I502" s="126"/>
      <c r="J502" s="126"/>
      <c r="K502" s="127"/>
      <c r="L502" s="126"/>
      <c r="M502" s="126"/>
      <c r="N502" s="127"/>
      <c r="O502" s="126"/>
      <c r="P502" s="126"/>
      <c r="Q502" s="127"/>
      <c r="R502" s="126"/>
      <c r="S502" s="126"/>
      <c r="T502" s="127"/>
      <c r="U502" s="126"/>
      <c r="V502" s="126"/>
      <c r="W502" s="127"/>
      <c r="X502" s="126"/>
      <c r="Y502" s="126"/>
      <c r="Z502" s="127"/>
      <c r="AA502" s="126"/>
      <c r="AB502" s="126"/>
      <c r="AC502" s="127"/>
      <c r="AD502" s="126"/>
      <c r="AE502" s="126"/>
      <c r="AF502" s="126"/>
      <c r="AG502" s="127"/>
      <c r="AH502" s="126"/>
      <c r="AI502" s="126"/>
      <c r="AJ502" s="127"/>
      <c r="AK502" s="126"/>
      <c r="AL502" s="126"/>
      <c r="AM502" s="127"/>
      <c r="AN502" s="126"/>
      <c r="AO502" s="126"/>
      <c r="AP502" s="127"/>
      <c r="AQ502" s="126"/>
      <c r="AR502" s="126"/>
      <c r="AS502" s="127"/>
      <c r="AT502" s="126"/>
      <c r="AU502" s="126"/>
      <c r="AV502" s="127"/>
      <c r="AW502" s="126"/>
      <c r="AX502" s="126"/>
      <c r="AY502" s="127"/>
      <c r="AZ502" s="126"/>
      <c r="BA502" s="126"/>
      <c r="BB502" s="127"/>
      <c r="BC502" s="126"/>
      <c r="BD502" s="134"/>
      <c r="BE502" s="127"/>
      <c r="BF502" s="126"/>
      <c r="BG502" s="126"/>
      <c r="BH502" s="126"/>
      <c r="BI502" s="126"/>
      <c r="BJ502" s="126"/>
      <c r="BK502" s="126"/>
      <c r="BL502" s="126"/>
      <c r="BM502" s="126"/>
      <c r="BN502" s="126"/>
      <c r="BO502" s="126"/>
      <c r="BP502" s="126"/>
      <c r="BQ502" s="126"/>
      <c r="BR502" s="126"/>
      <c r="BS502" s="126"/>
      <c r="BT502" s="126"/>
      <c r="BU502" s="126"/>
      <c r="BV502" s="126"/>
      <c r="BW502" s="126"/>
      <c r="BX502" s="126"/>
    </row>
    <row r="503">
      <c r="A503" s="126"/>
      <c r="B503" s="126"/>
      <c r="C503" s="127"/>
      <c r="D503" s="126"/>
      <c r="E503" s="126"/>
      <c r="F503" s="127"/>
      <c r="G503" s="126"/>
      <c r="H503" s="127"/>
      <c r="I503" s="126"/>
      <c r="J503" s="126"/>
      <c r="K503" s="127"/>
      <c r="L503" s="126"/>
      <c r="M503" s="126"/>
      <c r="N503" s="127"/>
      <c r="O503" s="126"/>
      <c r="P503" s="126"/>
      <c r="Q503" s="127"/>
      <c r="R503" s="126"/>
      <c r="S503" s="126"/>
      <c r="T503" s="127"/>
      <c r="U503" s="126"/>
      <c r="V503" s="126"/>
      <c r="W503" s="127"/>
      <c r="X503" s="126"/>
      <c r="Y503" s="126"/>
      <c r="Z503" s="127"/>
      <c r="AA503" s="126"/>
      <c r="AB503" s="126"/>
      <c r="AC503" s="127"/>
      <c r="AD503" s="126"/>
      <c r="AE503" s="126"/>
      <c r="AF503" s="126"/>
      <c r="AG503" s="127"/>
      <c r="AH503" s="126"/>
      <c r="AI503" s="126"/>
      <c r="AJ503" s="127"/>
      <c r="AK503" s="126"/>
      <c r="AL503" s="126"/>
      <c r="AM503" s="127"/>
      <c r="AN503" s="126"/>
      <c r="AO503" s="126"/>
      <c r="AP503" s="127"/>
      <c r="AQ503" s="126"/>
      <c r="AR503" s="126"/>
      <c r="AS503" s="127"/>
      <c r="AT503" s="126"/>
      <c r="AU503" s="126"/>
      <c r="AV503" s="127"/>
      <c r="AW503" s="126"/>
      <c r="AX503" s="126"/>
      <c r="AY503" s="127"/>
      <c r="AZ503" s="126"/>
      <c r="BA503" s="126"/>
      <c r="BB503" s="127"/>
      <c r="BC503" s="126"/>
      <c r="BD503" s="134"/>
      <c r="BE503" s="127"/>
      <c r="BF503" s="126"/>
      <c r="BG503" s="126"/>
      <c r="BH503" s="126"/>
      <c r="BI503" s="126"/>
      <c r="BJ503" s="126"/>
      <c r="BK503" s="126"/>
      <c r="BL503" s="126"/>
      <c r="BM503" s="126"/>
      <c r="BN503" s="126"/>
      <c r="BO503" s="126"/>
      <c r="BP503" s="126"/>
      <c r="BQ503" s="126"/>
      <c r="BR503" s="126"/>
      <c r="BS503" s="126"/>
      <c r="BT503" s="126"/>
      <c r="BU503" s="126"/>
      <c r="BV503" s="126"/>
      <c r="BW503" s="126"/>
      <c r="BX503" s="126"/>
    </row>
    <row r="504">
      <c r="A504" s="126"/>
      <c r="B504" s="126"/>
      <c r="C504" s="127"/>
      <c r="D504" s="126"/>
      <c r="E504" s="126"/>
      <c r="F504" s="127"/>
      <c r="G504" s="126"/>
      <c r="H504" s="127"/>
      <c r="I504" s="126"/>
      <c r="J504" s="126"/>
      <c r="K504" s="127"/>
      <c r="L504" s="126"/>
      <c r="M504" s="126"/>
      <c r="N504" s="127"/>
      <c r="O504" s="126"/>
      <c r="P504" s="126"/>
      <c r="Q504" s="127"/>
      <c r="R504" s="126"/>
      <c r="S504" s="126"/>
      <c r="T504" s="127"/>
      <c r="U504" s="126"/>
      <c r="V504" s="126"/>
      <c r="W504" s="127"/>
      <c r="X504" s="126"/>
      <c r="Y504" s="126"/>
      <c r="Z504" s="127"/>
      <c r="AA504" s="126"/>
      <c r="AB504" s="126"/>
      <c r="AC504" s="127"/>
      <c r="AD504" s="126"/>
      <c r="AE504" s="126"/>
      <c r="AF504" s="126"/>
      <c r="AG504" s="127"/>
      <c r="AH504" s="126"/>
      <c r="AI504" s="126"/>
      <c r="AJ504" s="127"/>
      <c r="AK504" s="126"/>
      <c r="AL504" s="126"/>
      <c r="AM504" s="127"/>
      <c r="AN504" s="126"/>
      <c r="AO504" s="126"/>
      <c r="AP504" s="127"/>
      <c r="AQ504" s="126"/>
      <c r="AR504" s="126"/>
      <c r="AS504" s="127"/>
      <c r="AT504" s="126"/>
      <c r="AU504" s="126"/>
      <c r="AV504" s="127"/>
      <c r="AW504" s="126"/>
      <c r="AX504" s="126"/>
      <c r="AY504" s="127"/>
      <c r="AZ504" s="126"/>
      <c r="BA504" s="126"/>
      <c r="BB504" s="127"/>
      <c r="BC504" s="126"/>
      <c r="BD504" s="134"/>
      <c r="BE504" s="127"/>
      <c r="BF504" s="126"/>
      <c r="BG504" s="126"/>
      <c r="BH504" s="126"/>
      <c r="BI504" s="126"/>
      <c r="BJ504" s="126"/>
      <c r="BK504" s="126"/>
      <c r="BL504" s="126"/>
      <c r="BM504" s="126"/>
      <c r="BN504" s="126"/>
      <c r="BO504" s="126"/>
      <c r="BP504" s="126"/>
      <c r="BQ504" s="126"/>
      <c r="BR504" s="126"/>
      <c r="BS504" s="126"/>
      <c r="BT504" s="126"/>
      <c r="BU504" s="126"/>
      <c r="BV504" s="126"/>
      <c r="BW504" s="126"/>
      <c r="BX504" s="126"/>
    </row>
    <row r="505">
      <c r="A505" s="126"/>
      <c r="B505" s="126"/>
      <c r="C505" s="127"/>
      <c r="D505" s="126"/>
      <c r="E505" s="126"/>
      <c r="F505" s="127"/>
      <c r="G505" s="126"/>
      <c r="H505" s="127"/>
      <c r="I505" s="126"/>
      <c r="J505" s="126"/>
      <c r="K505" s="127"/>
      <c r="L505" s="126"/>
      <c r="M505" s="126"/>
      <c r="N505" s="127"/>
      <c r="O505" s="126"/>
      <c r="P505" s="126"/>
      <c r="Q505" s="127"/>
      <c r="R505" s="126"/>
      <c r="S505" s="126"/>
      <c r="T505" s="127"/>
      <c r="U505" s="126"/>
      <c r="V505" s="126"/>
      <c r="W505" s="127"/>
      <c r="X505" s="126"/>
      <c r="Y505" s="126"/>
      <c r="Z505" s="127"/>
      <c r="AA505" s="126"/>
      <c r="AB505" s="126"/>
      <c r="AC505" s="127"/>
      <c r="AD505" s="126"/>
      <c r="AE505" s="126"/>
      <c r="AF505" s="126"/>
      <c r="AG505" s="127"/>
      <c r="AH505" s="126"/>
      <c r="AI505" s="126"/>
      <c r="AJ505" s="127"/>
      <c r="AK505" s="126"/>
      <c r="AL505" s="126"/>
      <c r="AM505" s="127"/>
      <c r="AN505" s="126"/>
      <c r="AO505" s="126"/>
      <c r="AP505" s="127"/>
      <c r="AQ505" s="126"/>
      <c r="AR505" s="126"/>
      <c r="AS505" s="127"/>
      <c r="AT505" s="126"/>
      <c r="AU505" s="126"/>
      <c r="AV505" s="127"/>
      <c r="AW505" s="126"/>
      <c r="AX505" s="126"/>
      <c r="AY505" s="127"/>
      <c r="AZ505" s="126"/>
      <c r="BA505" s="126"/>
      <c r="BB505" s="127"/>
      <c r="BC505" s="126"/>
      <c r="BD505" s="134"/>
      <c r="BE505" s="127"/>
      <c r="BF505" s="126"/>
      <c r="BG505" s="126"/>
      <c r="BH505" s="126"/>
      <c r="BI505" s="126"/>
      <c r="BJ505" s="126"/>
      <c r="BK505" s="126"/>
      <c r="BL505" s="126"/>
      <c r="BM505" s="126"/>
      <c r="BN505" s="126"/>
      <c r="BO505" s="126"/>
      <c r="BP505" s="126"/>
      <c r="BQ505" s="126"/>
      <c r="BR505" s="126"/>
      <c r="BS505" s="126"/>
      <c r="BT505" s="126"/>
      <c r="BU505" s="126"/>
      <c r="BV505" s="126"/>
      <c r="BW505" s="126"/>
      <c r="BX505" s="126"/>
    </row>
    <row r="506">
      <c r="A506" s="126"/>
      <c r="B506" s="126"/>
      <c r="C506" s="127"/>
      <c r="D506" s="126"/>
      <c r="E506" s="126"/>
      <c r="F506" s="127"/>
      <c r="G506" s="126"/>
      <c r="H506" s="127"/>
      <c r="I506" s="126"/>
      <c r="J506" s="126"/>
      <c r="K506" s="127"/>
      <c r="L506" s="126"/>
      <c r="M506" s="126"/>
      <c r="N506" s="127"/>
      <c r="O506" s="126"/>
      <c r="P506" s="126"/>
      <c r="Q506" s="127"/>
      <c r="R506" s="126"/>
      <c r="S506" s="126"/>
      <c r="T506" s="127"/>
      <c r="U506" s="126"/>
      <c r="V506" s="126"/>
      <c r="W506" s="127"/>
      <c r="X506" s="126"/>
      <c r="Y506" s="126"/>
      <c r="Z506" s="127"/>
      <c r="AA506" s="126"/>
      <c r="AB506" s="126"/>
      <c r="AC506" s="127"/>
      <c r="AD506" s="126"/>
      <c r="AE506" s="126"/>
      <c r="AF506" s="126"/>
      <c r="AG506" s="127"/>
      <c r="AH506" s="126"/>
      <c r="AI506" s="126"/>
      <c r="AJ506" s="127"/>
      <c r="AK506" s="126"/>
      <c r="AL506" s="126"/>
      <c r="AM506" s="127"/>
      <c r="AN506" s="126"/>
      <c r="AO506" s="126"/>
      <c r="AP506" s="127"/>
      <c r="AQ506" s="126"/>
      <c r="AR506" s="126"/>
      <c r="AS506" s="127"/>
      <c r="AT506" s="126"/>
      <c r="AU506" s="126"/>
      <c r="AV506" s="127"/>
      <c r="AW506" s="126"/>
      <c r="AX506" s="126"/>
      <c r="AY506" s="127"/>
      <c r="AZ506" s="126"/>
      <c r="BA506" s="126"/>
      <c r="BB506" s="127"/>
      <c r="BC506" s="126"/>
      <c r="BD506" s="134"/>
      <c r="BE506" s="127"/>
      <c r="BF506" s="126"/>
      <c r="BG506" s="126"/>
      <c r="BH506" s="126"/>
      <c r="BI506" s="126"/>
      <c r="BJ506" s="126"/>
      <c r="BK506" s="126"/>
      <c r="BL506" s="126"/>
      <c r="BM506" s="126"/>
      <c r="BN506" s="126"/>
      <c r="BO506" s="126"/>
      <c r="BP506" s="126"/>
      <c r="BQ506" s="126"/>
      <c r="BR506" s="126"/>
      <c r="BS506" s="126"/>
      <c r="BT506" s="126"/>
      <c r="BU506" s="126"/>
      <c r="BV506" s="126"/>
      <c r="BW506" s="126"/>
      <c r="BX506" s="126"/>
    </row>
    <row r="507">
      <c r="A507" s="126"/>
      <c r="B507" s="126"/>
      <c r="C507" s="127"/>
      <c r="D507" s="126"/>
      <c r="E507" s="126"/>
      <c r="F507" s="127"/>
      <c r="G507" s="126"/>
      <c r="H507" s="127"/>
      <c r="I507" s="126"/>
      <c r="J507" s="126"/>
      <c r="K507" s="127"/>
      <c r="L507" s="126"/>
      <c r="M507" s="126"/>
      <c r="N507" s="127"/>
      <c r="O507" s="126"/>
      <c r="P507" s="126"/>
      <c r="Q507" s="127"/>
      <c r="R507" s="126"/>
      <c r="S507" s="126"/>
      <c r="T507" s="127"/>
      <c r="U507" s="126"/>
      <c r="V507" s="126"/>
      <c r="W507" s="127"/>
      <c r="X507" s="126"/>
      <c r="Y507" s="126"/>
      <c r="Z507" s="127"/>
      <c r="AA507" s="126"/>
      <c r="AB507" s="126"/>
      <c r="AC507" s="127"/>
      <c r="AD507" s="126"/>
      <c r="AE507" s="126"/>
      <c r="AF507" s="126"/>
      <c r="AG507" s="127"/>
      <c r="AH507" s="126"/>
      <c r="AI507" s="126"/>
      <c r="AJ507" s="127"/>
      <c r="AK507" s="126"/>
      <c r="AL507" s="126"/>
      <c r="AM507" s="127"/>
      <c r="AN507" s="126"/>
      <c r="AO507" s="126"/>
      <c r="AP507" s="127"/>
      <c r="AQ507" s="126"/>
      <c r="AR507" s="126"/>
      <c r="AS507" s="127"/>
      <c r="AT507" s="126"/>
      <c r="AU507" s="126"/>
      <c r="AV507" s="127"/>
      <c r="AW507" s="126"/>
      <c r="AX507" s="126"/>
      <c r="AY507" s="127"/>
      <c r="AZ507" s="126"/>
      <c r="BA507" s="126"/>
      <c r="BB507" s="127"/>
      <c r="BC507" s="126"/>
      <c r="BD507" s="134"/>
      <c r="BE507" s="127"/>
      <c r="BF507" s="126"/>
      <c r="BG507" s="126"/>
      <c r="BH507" s="126"/>
      <c r="BI507" s="126"/>
      <c r="BJ507" s="126"/>
      <c r="BK507" s="126"/>
      <c r="BL507" s="126"/>
      <c r="BM507" s="126"/>
      <c r="BN507" s="126"/>
      <c r="BO507" s="126"/>
      <c r="BP507" s="126"/>
      <c r="BQ507" s="126"/>
      <c r="BR507" s="126"/>
      <c r="BS507" s="126"/>
      <c r="BT507" s="126"/>
      <c r="BU507" s="126"/>
      <c r="BV507" s="126"/>
      <c r="BW507" s="126"/>
      <c r="BX507" s="126"/>
    </row>
    <row r="508">
      <c r="A508" s="126"/>
      <c r="B508" s="126"/>
      <c r="C508" s="127"/>
      <c r="D508" s="126"/>
      <c r="E508" s="126"/>
      <c r="F508" s="127"/>
      <c r="G508" s="126"/>
      <c r="H508" s="127"/>
      <c r="I508" s="126"/>
      <c r="J508" s="126"/>
      <c r="K508" s="127"/>
      <c r="L508" s="126"/>
      <c r="M508" s="126"/>
      <c r="N508" s="127"/>
      <c r="O508" s="126"/>
      <c r="P508" s="126"/>
      <c r="Q508" s="127"/>
      <c r="R508" s="126"/>
      <c r="S508" s="126"/>
      <c r="T508" s="127"/>
      <c r="U508" s="126"/>
      <c r="V508" s="126"/>
      <c r="W508" s="127"/>
      <c r="X508" s="126"/>
      <c r="Y508" s="126"/>
      <c r="Z508" s="127"/>
      <c r="AA508" s="126"/>
      <c r="AB508" s="126"/>
      <c r="AC508" s="127"/>
      <c r="AD508" s="126"/>
      <c r="AE508" s="126"/>
      <c r="AF508" s="126"/>
      <c r="AG508" s="127"/>
      <c r="AH508" s="126"/>
      <c r="AI508" s="126"/>
      <c r="AJ508" s="127"/>
      <c r="AK508" s="126"/>
      <c r="AL508" s="126"/>
      <c r="AM508" s="127"/>
      <c r="AN508" s="126"/>
      <c r="AO508" s="126"/>
      <c r="AP508" s="127"/>
      <c r="AQ508" s="126"/>
      <c r="AR508" s="126"/>
      <c r="AS508" s="127"/>
      <c r="AT508" s="126"/>
      <c r="AU508" s="126"/>
      <c r="AV508" s="127"/>
      <c r="AW508" s="126"/>
      <c r="AX508" s="126"/>
      <c r="AY508" s="127"/>
      <c r="AZ508" s="126"/>
      <c r="BA508" s="126"/>
      <c r="BB508" s="127"/>
      <c r="BC508" s="126"/>
      <c r="BD508" s="134"/>
      <c r="BE508" s="127"/>
      <c r="BF508" s="126"/>
      <c r="BG508" s="126"/>
      <c r="BH508" s="126"/>
      <c r="BI508" s="126"/>
      <c r="BJ508" s="126"/>
      <c r="BK508" s="126"/>
      <c r="BL508" s="126"/>
      <c r="BM508" s="126"/>
      <c r="BN508" s="126"/>
      <c r="BO508" s="126"/>
      <c r="BP508" s="126"/>
      <c r="BQ508" s="126"/>
      <c r="BR508" s="126"/>
      <c r="BS508" s="126"/>
      <c r="BT508" s="126"/>
      <c r="BU508" s="126"/>
      <c r="BV508" s="126"/>
      <c r="BW508" s="126"/>
      <c r="BX508" s="126"/>
    </row>
    <row r="509">
      <c r="A509" s="126"/>
      <c r="B509" s="126"/>
      <c r="C509" s="127"/>
      <c r="D509" s="126"/>
      <c r="E509" s="126"/>
      <c r="F509" s="127"/>
      <c r="G509" s="126"/>
      <c r="H509" s="127"/>
      <c r="I509" s="126"/>
      <c r="J509" s="126"/>
      <c r="K509" s="127"/>
      <c r="L509" s="126"/>
      <c r="M509" s="126"/>
      <c r="N509" s="127"/>
      <c r="O509" s="126"/>
      <c r="P509" s="126"/>
      <c r="Q509" s="127"/>
      <c r="R509" s="126"/>
      <c r="S509" s="126"/>
      <c r="T509" s="127"/>
      <c r="U509" s="126"/>
      <c r="V509" s="126"/>
      <c r="W509" s="127"/>
      <c r="X509" s="126"/>
      <c r="Y509" s="126"/>
      <c r="Z509" s="127"/>
      <c r="AA509" s="126"/>
      <c r="AB509" s="126"/>
      <c r="AC509" s="127"/>
      <c r="AD509" s="126"/>
      <c r="AE509" s="126"/>
      <c r="AF509" s="126"/>
      <c r="AG509" s="127"/>
      <c r="AH509" s="126"/>
      <c r="AI509" s="126"/>
      <c r="AJ509" s="127"/>
      <c r="AK509" s="126"/>
      <c r="AL509" s="126"/>
      <c r="AM509" s="127"/>
      <c r="AN509" s="126"/>
      <c r="AO509" s="126"/>
      <c r="AP509" s="127"/>
      <c r="AQ509" s="126"/>
      <c r="AR509" s="126"/>
      <c r="AS509" s="127"/>
      <c r="AT509" s="126"/>
      <c r="AU509" s="126"/>
      <c r="AV509" s="127"/>
      <c r="AW509" s="126"/>
      <c r="AX509" s="126"/>
      <c r="AY509" s="127"/>
      <c r="AZ509" s="126"/>
      <c r="BA509" s="126"/>
      <c r="BB509" s="127"/>
      <c r="BC509" s="126"/>
      <c r="BD509" s="134"/>
      <c r="BE509" s="127"/>
      <c r="BF509" s="126"/>
      <c r="BG509" s="126"/>
      <c r="BH509" s="126"/>
      <c r="BI509" s="126"/>
      <c r="BJ509" s="126"/>
      <c r="BK509" s="126"/>
      <c r="BL509" s="126"/>
      <c r="BM509" s="126"/>
      <c r="BN509" s="126"/>
      <c r="BO509" s="126"/>
      <c r="BP509" s="126"/>
      <c r="BQ509" s="126"/>
      <c r="BR509" s="126"/>
      <c r="BS509" s="126"/>
      <c r="BT509" s="126"/>
      <c r="BU509" s="126"/>
      <c r="BV509" s="126"/>
      <c r="BW509" s="126"/>
      <c r="BX509" s="126"/>
    </row>
    <row r="510">
      <c r="A510" s="126"/>
      <c r="B510" s="126"/>
      <c r="C510" s="127"/>
      <c r="D510" s="126"/>
      <c r="E510" s="126"/>
      <c r="F510" s="127"/>
      <c r="G510" s="126"/>
      <c r="H510" s="127"/>
      <c r="I510" s="126"/>
      <c r="J510" s="126"/>
      <c r="K510" s="127"/>
      <c r="L510" s="126"/>
      <c r="M510" s="126"/>
      <c r="N510" s="127"/>
      <c r="O510" s="126"/>
      <c r="P510" s="126"/>
      <c r="Q510" s="127"/>
      <c r="R510" s="126"/>
      <c r="S510" s="126"/>
      <c r="T510" s="127"/>
      <c r="U510" s="126"/>
      <c r="V510" s="126"/>
      <c r="W510" s="127"/>
      <c r="X510" s="126"/>
      <c r="Y510" s="126"/>
      <c r="Z510" s="127"/>
      <c r="AA510" s="126"/>
      <c r="AB510" s="126"/>
      <c r="AC510" s="127"/>
      <c r="AD510" s="126"/>
      <c r="AE510" s="126"/>
      <c r="AF510" s="126"/>
      <c r="AG510" s="127"/>
      <c r="AH510" s="126"/>
      <c r="AI510" s="126"/>
      <c r="AJ510" s="127"/>
      <c r="AK510" s="126"/>
      <c r="AL510" s="126"/>
      <c r="AM510" s="127"/>
      <c r="AN510" s="126"/>
      <c r="AO510" s="126"/>
      <c r="AP510" s="127"/>
      <c r="AQ510" s="126"/>
      <c r="AR510" s="126"/>
      <c r="AS510" s="127"/>
      <c r="AT510" s="126"/>
      <c r="AU510" s="126"/>
      <c r="AV510" s="127"/>
      <c r="AW510" s="126"/>
      <c r="AX510" s="126"/>
      <c r="AY510" s="127"/>
      <c r="AZ510" s="126"/>
      <c r="BA510" s="126"/>
      <c r="BB510" s="127"/>
      <c r="BC510" s="126"/>
      <c r="BD510" s="134"/>
      <c r="BE510" s="127"/>
      <c r="BF510" s="126"/>
      <c r="BG510" s="126"/>
      <c r="BH510" s="126"/>
      <c r="BI510" s="126"/>
      <c r="BJ510" s="126"/>
      <c r="BK510" s="126"/>
      <c r="BL510" s="126"/>
      <c r="BM510" s="126"/>
      <c r="BN510" s="126"/>
      <c r="BO510" s="126"/>
      <c r="BP510" s="126"/>
      <c r="BQ510" s="126"/>
      <c r="BR510" s="126"/>
      <c r="BS510" s="126"/>
      <c r="BT510" s="126"/>
      <c r="BU510" s="126"/>
      <c r="BV510" s="126"/>
      <c r="BW510" s="126"/>
      <c r="BX510" s="126"/>
    </row>
    <row r="511">
      <c r="A511" s="126"/>
      <c r="B511" s="126"/>
      <c r="C511" s="127"/>
      <c r="D511" s="126"/>
      <c r="E511" s="126"/>
      <c r="F511" s="127"/>
      <c r="G511" s="126"/>
      <c r="H511" s="127"/>
      <c r="I511" s="126"/>
      <c r="J511" s="126"/>
      <c r="K511" s="127"/>
      <c r="L511" s="126"/>
      <c r="M511" s="126"/>
      <c r="N511" s="127"/>
      <c r="O511" s="126"/>
      <c r="P511" s="126"/>
      <c r="Q511" s="127"/>
      <c r="R511" s="126"/>
      <c r="S511" s="126"/>
      <c r="T511" s="127"/>
      <c r="U511" s="126"/>
      <c r="V511" s="126"/>
      <c r="W511" s="127"/>
      <c r="X511" s="126"/>
      <c r="Y511" s="126"/>
      <c r="Z511" s="127"/>
      <c r="AA511" s="126"/>
      <c r="AB511" s="126"/>
      <c r="AC511" s="127"/>
      <c r="AD511" s="126"/>
      <c r="AE511" s="126"/>
      <c r="AF511" s="126"/>
      <c r="AG511" s="127"/>
      <c r="AH511" s="126"/>
      <c r="AI511" s="126"/>
      <c r="AJ511" s="127"/>
      <c r="AK511" s="126"/>
      <c r="AL511" s="126"/>
      <c r="AM511" s="127"/>
      <c r="AN511" s="126"/>
      <c r="AO511" s="126"/>
      <c r="AP511" s="127"/>
      <c r="AQ511" s="126"/>
      <c r="AR511" s="126"/>
      <c r="AS511" s="127"/>
      <c r="AT511" s="126"/>
      <c r="AU511" s="126"/>
      <c r="AV511" s="127"/>
      <c r="AW511" s="126"/>
      <c r="AX511" s="126"/>
      <c r="AY511" s="127"/>
      <c r="AZ511" s="126"/>
      <c r="BA511" s="126"/>
      <c r="BB511" s="127"/>
      <c r="BC511" s="126"/>
      <c r="BD511" s="134"/>
      <c r="BE511" s="127"/>
      <c r="BF511" s="126"/>
      <c r="BG511" s="126"/>
      <c r="BH511" s="126"/>
      <c r="BI511" s="126"/>
      <c r="BJ511" s="126"/>
      <c r="BK511" s="126"/>
      <c r="BL511" s="126"/>
      <c r="BM511" s="126"/>
      <c r="BN511" s="126"/>
      <c r="BO511" s="126"/>
      <c r="BP511" s="126"/>
      <c r="BQ511" s="126"/>
      <c r="BR511" s="126"/>
      <c r="BS511" s="126"/>
      <c r="BT511" s="126"/>
      <c r="BU511" s="126"/>
      <c r="BV511" s="126"/>
      <c r="BW511" s="126"/>
      <c r="BX511" s="126"/>
    </row>
    <row r="512">
      <c r="A512" s="126"/>
      <c r="B512" s="126"/>
      <c r="C512" s="127"/>
      <c r="D512" s="126"/>
      <c r="E512" s="126"/>
      <c r="F512" s="127"/>
      <c r="G512" s="126"/>
      <c r="H512" s="127"/>
      <c r="I512" s="126"/>
      <c r="J512" s="126"/>
      <c r="K512" s="127"/>
      <c r="L512" s="126"/>
      <c r="M512" s="126"/>
      <c r="N512" s="127"/>
      <c r="O512" s="126"/>
      <c r="P512" s="126"/>
      <c r="Q512" s="127"/>
      <c r="R512" s="126"/>
      <c r="S512" s="126"/>
      <c r="T512" s="127"/>
      <c r="U512" s="126"/>
      <c r="V512" s="126"/>
      <c r="W512" s="127"/>
      <c r="X512" s="126"/>
      <c r="Y512" s="126"/>
      <c r="Z512" s="127"/>
      <c r="AA512" s="126"/>
      <c r="AB512" s="126"/>
      <c r="AC512" s="127"/>
      <c r="AD512" s="126"/>
      <c r="AE512" s="126"/>
      <c r="AF512" s="126"/>
      <c r="AG512" s="127"/>
      <c r="AH512" s="126"/>
      <c r="AI512" s="126"/>
      <c r="AJ512" s="127"/>
      <c r="AK512" s="126"/>
      <c r="AL512" s="126"/>
      <c r="AM512" s="127"/>
      <c r="AN512" s="126"/>
      <c r="AO512" s="126"/>
      <c r="AP512" s="127"/>
      <c r="AQ512" s="126"/>
      <c r="AR512" s="126"/>
      <c r="AS512" s="127"/>
      <c r="AT512" s="126"/>
      <c r="AU512" s="126"/>
      <c r="AV512" s="127"/>
      <c r="AW512" s="126"/>
      <c r="AX512" s="126"/>
      <c r="AY512" s="127"/>
      <c r="AZ512" s="126"/>
      <c r="BA512" s="126"/>
      <c r="BB512" s="127"/>
      <c r="BC512" s="126"/>
      <c r="BD512" s="134"/>
      <c r="BE512" s="127"/>
      <c r="BF512" s="126"/>
      <c r="BG512" s="126"/>
      <c r="BH512" s="126"/>
      <c r="BI512" s="126"/>
      <c r="BJ512" s="126"/>
      <c r="BK512" s="126"/>
      <c r="BL512" s="126"/>
      <c r="BM512" s="126"/>
      <c r="BN512" s="126"/>
      <c r="BO512" s="126"/>
      <c r="BP512" s="126"/>
      <c r="BQ512" s="126"/>
      <c r="BR512" s="126"/>
      <c r="BS512" s="126"/>
      <c r="BT512" s="126"/>
      <c r="BU512" s="126"/>
      <c r="BV512" s="126"/>
      <c r="BW512" s="126"/>
      <c r="BX512" s="126"/>
    </row>
    <row r="513">
      <c r="A513" s="126"/>
      <c r="B513" s="126"/>
      <c r="C513" s="127"/>
      <c r="D513" s="126"/>
      <c r="E513" s="126"/>
      <c r="F513" s="127"/>
      <c r="G513" s="126"/>
      <c r="H513" s="127"/>
      <c r="I513" s="126"/>
      <c r="J513" s="126"/>
      <c r="K513" s="127"/>
      <c r="L513" s="126"/>
      <c r="M513" s="126"/>
      <c r="N513" s="127"/>
      <c r="O513" s="126"/>
      <c r="P513" s="126"/>
      <c r="Q513" s="127"/>
      <c r="R513" s="126"/>
      <c r="S513" s="126"/>
      <c r="T513" s="127"/>
      <c r="U513" s="126"/>
      <c r="V513" s="126"/>
      <c r="W513" s="127"/>
      <c r="X513" s="126"/>
      <c r="Y513" s="126"/>
      <c r="Z513" s="127"/>
      <c r="AA513" s="126"/>
      <c r="AB513" s="126"/>
      <c r="AC513" s="127"/>
      <c r="AD513" s="126"/>
      <c r="AE513" s="126"/>
      <c r="AF513" s="126"/>
      <c r="AG513" s="127"/>
      <c r="AH513" s="126"/>
      <c r="AI513" s="126"/>
      <c r="AJ513" s="127"/>
      <c r="AK513" s="126"/>
      <c r="AL513" s="126"/>
      <c r="AM513" s="127"/>
      <c r="AN513" s="126"/>
      <c r="AO513" s="126"/>
      <c r="AP513" s="127"/>
      <c r="AQ513" s="126"/>
      <c r="AR513" s="126"/>
      <c r="AS513" s="127"/>
      <c r="AT513" s="126"/>
      <c r="AU513" s="126"/>
      <c r="AV513" s="127"/>
      <c r="AW513" s="126"/>
      <c r="AX513" s="126"/>
      <c r="AY513" s="127"/>
      <c r="AZ513" s="126"/>
      <c r="BA513" s="126"/>
      <c r="BB513" s="127"/>
      <c r="BC513" s="126"/>
      <c r="BD513" s="134"/>
      <c r="BE513" s="127"/>
      <c r="BF513" s="126"/>
      <c r="BG513" s="126"/>
      <c r="BH513" s="126"/>
      <c r="BI513" s="126"/>
      <c r="BJ513" s="126"/>
      <c r="BK513" s="126"/>
      <c r="BL513" s="126"/>
      <c r="BM513" s="126"/>
      <c r="BN513" s="126"/>
      <c r="BO513" s="126"/>
      <c r="BP513" s="126"/>
      <c r="BQ513" s="126"/>
      <c r="BR513" s="126"/>
      <c r="BS513" s="126"/>
      <c r="BT513" s="126"/>
      <c r="BU513" s="126"/>
      <c r="BV513" s="126"/>
      <c r="BW513" s="126"/>
      <c r="BX513" s="126"/>
    </row>
    <row r="514">
      <c r="A514" s="126"/>
      <c r="B514" s="126"/>
      <c r="C514" s="127"/>
      <c r="D514" s="126"/>
      <c r="E514" s="126"/>
      <c r="F514" s="127"/>
      <c r="G514" s="126"/>
      <c r="H514" s="127"/>
      <c r="I514" s="126"/>
      <c r="J514" s="126"/>
      <c r="K514" s="127"/>
      <c r="L514" s="126"/>
      <c r="M514" s="126"/>
      <c r="N514" s="127"/>
      <c r="O514" s="126"/>
      <c r="P514" s="126"/>
      <c r="Q514" s="127"/>
      <c r="R514" s="126"/>
      <c r="S514" s="126"/>
      <c r="T514" s="127"/>
      <c r="U514" s="126"/>
      <c r="V514" s="126"/>
      <c r="W514" s="127"/>
      <c r="X514" s="126"/>
      <c r="Y514" s="126"/>
      <c r="Z514" s="127"/>
      <c r="AA514" s="126"/>
      <c r="AB514" s="126"/>
      <c r="AC514" s="127"/>
      <c r="AD514" s="126"/>
      <c r="AE514" s="126"/>
      <c r="AF514" s="126"/>
      <c r="AG514" s="127"/>
      <c r="AH514" s="126"/>
      <c r="AI514" s="126"/>
      <c r="AJ514" s="127"/>
      <c r="AK514" s="126"/>
      <c r="AL514" s="126"/>
      <c r="AM514" s="127"/>
      <c r="AN514" s="126"/>
      <c r="AO514" s="126"/>
      <c r="AP514" s="127"/>
      <c r="AQ514" s="126"/>
      <c r="AR514" s="126"/>
      <c r="AS514" s="127"/>
      <c r="AT514" s="126"/>
      <c r="AU514" s="126"/>
      <c r="AV514" s="127"/>
      <c r="AW514" s="126"/>
      <c r="AX514" s="126"/>
      <c r="AY514" s="127"/>
      <c r="AZ514" s="126"/>
      <c r="BA514" s="126"/>
      <c r="BB514" s="127"/>
      <c r="BC514" s="126"/>
      <c r="BD514" s="134"/>
      <c r="BE514" s="127"/>
      <c r="BF514" s="126"/>
      <c r="BG514" s="126"/>
      <c r="BH514" s="126"/>
      <c r="BI514" s="126"/>
      <c r="BJ514" s="126"/>
      <c r="BK514" s="126"/>
      <c r="BL514" s="126"/>
      <c r="BM514" s="126"/>
      <c r="BN514" s="126"/>
      <c r="BO514" s="126"/>
      <c r="BP514" s="126"/>
      <c r="BQ514" s="126"/>
      <c r="BR514" s="126"/>
      <c r="BS514" s="126"/>
      <c r="BT514" s="126"/>
      <c r="BU514" s="126"/>
      <c r="BV514" s="126"/>
      <c r="BW514" s="126"/>
      <c r="BX514" s="126"/>
    </row>
    <row r="515">
      <c r="A515" s="126"/>
      <c r="B515" s="126"/>
      <c r="C515" s="127"/>
      <c r="D515" s="126"/>
      <c r="E515" s="126"/>
      <c r="F515" s="127"/>
      <c r="G515" s="126"/>
      <c r="H515" s="127"/>
      <c r="I515" s="126"/>
      <c r="J515" s="126"/>
      <c r="K515" s="127"/>
      <c r="L515" s="126"/>
      <c r="M515" s="126"/>
      <c r="N515" s="127"/>
      <c r="O515" s="126"/>
      <c r="P515" s="126"/>
      <c r="Q515" s="127"/>
      <c r="R515" s="126"/>
      <c r="S515" s="126"/>
      <c r="T515" s="127"/>
      <c r="U515" s="126"/>
      <c r="V515" s="126"/>
      <c r="W515" s="127"/>
      <c r="X515" s="126"/>
      <c r="Y515" s="126"/>
      <c r="Z515" s="127"/>
      <c r="AA515" s="126"/>
      <c r="AB515" s="126"/>
      <c r="AC515" s="127"/>
      <c r="AD515" s="126"/>
      <c r="AE515" s="126"/>
      <c r="AF515" s="126"/>
      <c r="AG515" s="127"/>
      <c r="AH515" s="126"/>
      <c r="AI515" s="126"/>
      <c r="AJ515" s="127"/>
      <c r="AK515" s="126"/>
      <c r="AL515" s="126"/>
      <c r="AM515" s="127"/>
      <c r="AN515" s="126"/>
      <c r="AO515" s="126"/>
      <c r="AP515" s="127"/>
      <c r="AQ515" s="126"/>
      <c r="AR515" s="126"/>
      <c r="AS515" s="127"/>
      <c r="AT515" s="126"/>
      <c r="AU515" s="126"/>
      <c r="AV515" s="127"/>
      <c r="AW515" s="126"/>
      <c r="AX515" s="126"/>
      <c r="AY515" s="127"/>
      <c r="AZ515" s="126"/>
      <c r="BA515" s="126"/>
      <c r="BB515" s="127"/>
      <c r="BC515" s="126"/>
      <c r="BD515" s="134"/>
      <c r="BE515" s="127"/>
      <c r="BF515" s="126"/>
      <c r="BG515" s="126"/>
      <c r="BH515" s="126"/>
      <c r="BI515" s="126"/>
      <c r="BJ515" s="126"/>
      <c r="BK515" s="126"/>
      <c r="BL515" s="126"/>
      <c r="BM515" s="126"/>
      <c r="BN515" s="126"/>
      <c r="BO515" s="126"/>
      <c r="BP515" s="126"/>
      <c r="BQ515" s="126"/>
      <c r="BR515" s="126"/>
      <c r="BS515" s="126"/>
      <c r="BT515" s="126"/>
      <c r="BU515" s="126"/>
      <c r="BV515" s="126"/>
      <c r="BW515" s="126"/>
      <c r="BX515" s="126"/>
    </row>
    <row r="516">
      <c r="A516" s="126"/>
      <c r="B516" s="126"/>
      <c r="C516" s="127"/>
      <c r="D516" s="126"/>
      <c r="E516" s="126"/>
      <c r="F516" s="127"/>
      <c r="G516" s="126"/>
      <c r="H516" s="127"/>
      <c r="I516" s="126"/>
      <c r="J516" s="126"/>
      <c r="K516" s="127"/>
      <c r="L516" s="126"/>
      <c r="M516" s="126"/>
      <c r="N516" s="127"/>
      <c r="O516" s="126"/>
      <c r="P516" s="126"/>
      <c r="Q516" s="127"/>
      <c r="R516" s="126"/>
      <c r="S516" s="126"/>
      <c r="T516" s="127"/>
      <c r="U516" s="126"/>
      <c r="V516" s="126"/>
      <c r="W516" s="127"/>
      <c r="X516" s="126"/>
      <c r="Y516" s="126"/>
      <c r="Z516" s="127"/>
      <c r="AA516" s="126"/>
      <c r="AB516" s="126"/>
      <c r="AC516" s="127"/>
      <c r="AD516" s="126"/>
      <c r="AE516" s="126"/>
      <c r="AF516" s="126"/>
      <c r="AG516" s="127"/>
      <c r="AH516" s="126"/>
      <c r="AI516" s="126"/>
      <c r="AJ516" s="127"/>
      <c r="AK516" s="126"/>
      <c r="AL516" s="126"/>
      <c r="AM516" s="127"/>
      <c r="AN516" s="126"/>
      <c r="AO516" s="126"/>
      <c r="AP516" s="127"/>
      <c r="AQ516" s="126"/>
      <c r="AR516" s="126"/>
      <c r="AS516" s="127"/>
      <c r="AT516" s="126"/>
      <c r="AU516" s="126"/>
      <c r="AV516" s="127"/>
      <c r="AW516" s="126"/>
      <c r="AX516" s="126"/>
      <c r="AY516" s="127"/>
      <c r="AZ516" s="126"/>
      <c r="BA516" s="126"/>
      <c r="BB516" s="127"/>
      <c r="BC516" s="126"/>
      <c r="BD516" s="134"/>
      <c r="BE516" s="127"/>
      <c r="BF516" s="126"/>
      <c r="BG516" s="126"/>
      <c r="BH516" s="126"/>
      <c r="BI516" s="126"/>
      <c r="BJ516" s="126"/>
      <c r="BK516" s="126"/>
      <c r="BL516" s="126"/>
      <c r="BM516" s="126"/>
      <c r="BN516" s="126"/>
      <c r="BO516" s="126"/>
      <c r="BP516" s="126"/>
      <c r="BQ516" s="126"/>
      <c r="BR516" s="126"/>
      <c r="BS516" s="126"/>
      <c r="BT516" s="126"/>
      <c r="BU516" s="126"/>
      <c r="BV516" s="126"/>
      <c r="BW516" s="126"/>
      <c r="BX516" s="126"/>
    </row>
    <row r="517">
      <c r="A517" s="126"/>
      <c r="B517" s="126"/>
      <c r="C517" s="127"/>
      <c r="D517" s="126"/>
      <c r="E517" s="126"/>
      <c r="F517" s="127"/>
      <c r="G517" s="126"/>
      <c r="H517" s="127"/>
      <c r="I517" s="126"/>
      <c r="J517" s="126"/>
      <c r="K517" s="127"/>
      <c r="L517" s="126"/>
      <c r="M517" s="126"/>
      <c r="N517" s="127"/>
      <c r="O517" s="126"/>
      <c r="P517" s="126"/>
      <c r="Q517" s="127"/>
      <c r="R517" s="126"/>
      <c r="S517" s="126"/>
      <c r="T517" s="127"/>
      <c r="U517" s="126"/>
      <c r="V517" s="126"/>
      <c r="W517" s="127"/>
      <c r="X517" s="126"/>
      <c r="Y517" s="126"/>
      <c r="Z517" s="127"/>
      <c r="AA517" s="126"/>
      <c r="AB517" s="126"/>
      <c r="AC517" s="127"/>
      <c r="AD517" s="126"/>
      <c r="AE517" s="126"/>
      <c r="AF517" s="126"/>
      <c r="AG517" s="127"/>
      <c r="AH517" s="126"/>
      <c r="AI517" s="126"/>
      <c r="AJ517" s="127"/>
      <c r="AK517" s="126"/>
      <c r="AL517" s="126"/>
      <c r="AM517" s="127"/>
      <c r="AN517" s="126"/>
      <c r="AO517" s="126"/>
      <c r="AP517" s="127"/>
      <c r="AQ517" s="126"/>
      <c r="AR517" s="126"/>
      <c r="AS517" s="127"/>
      <c r="AT517" s="126"/>
      <c r="AU517" s="126"/>
      <c r="AV517" s="127"/>
      <c r="AW517" s="126"/>
      <c r="AX517" s="126"/>
      <c r="AY517" s="127"/>
      <c r="AZ517" s="126"/>
      <c r="BA517" s="126"/>
      <c r="BB517" s="127"/>
      <c r="BC517" s="126"/>
      <c r="BD517" s="134"/>
      <c r="BE517" s="127"/>
      <c r="BF517" s="126"/>
      <c r="BG517" s="126"/>
      <c r="BH517" s="126"/>
      <c r="BI517" s="126"/>
      <c r="BJ517" s="126"/>
      <c r="BK517" s="126"/>
      <c r="BL517" s="126"/>
      <c r="BM517" s="126"/>
      <c r="BN517" s="126"/>
      <c r="BO517" s="126"/>
      <c r="BP517" s="126"/>
      <c r="BQ517" s="126"/>
      <c r="BR517" s="126"/>
      <c r="BS517" s="126"/>
      <c r="BT517" s="126"/>
      <c r="BU517" s="126"/>
      <c r="BV517" s="126"/>
      <c r="BW517" s="126"/>
      <c r="BX517" s="126"/>
    </row>
    <row r="518">
      <c r="A518" s="126"/>
      <c r="B518" s="126"/>
      <c r="C518" s="127"/>
      <c r="D518" s="126"/>
      <c r="E518" s="126"/>
      <c r="F518" s="127"/>
      <c r="G518" s="126"/>
      <c r="H518" s="127"/>
      <c r="I518" s="126"/>
      <c r="J518" s="126"/>
      <c r="K518" s="127"/>
      <c r="L518" s="126"/>
      <c r="M518" s="126"/>
      <c r="N518" s="127"/>
      <c r="O518" s="126"/>
      <c r="P518" s="126"/>
      <c r="Q518" s="127"/>
      <c r="R518" s="126"/>
      <c r="S518" s="126"/>
      <c r="T518" s="127"/>
      <c r="U518" s="126"/>
      <c r="V518" s="126"/>
      <c r="W518" s="127"/>
      <c r="X518" s="126"/>
      <c r="Y518" s="126"/>
      <c r="Z518" s="127"/>
      <c r="AA518" s="126"/>
      <c r="AB518" s="126"/>
      <c r="AC518" s="127"/>
      <c r="AD518" s="126"/>
      <c r="AE518" s="126"/>
      <c r="AF518" s="126"/>
      <c r="AG518" s="127"/>
      <c r="AH518" s="126"/>
      <c r="AI518" s="126"/>
      <c r="AJ518" s="127"/>
      <c r="AK518" s="126"/>
      <c r="AL518" s="126"/>
      <c r="AM518" s="127"/>
      <c r="AN518" s="126"/>
      <c r="AO518" s="126"/>
      <c r="AP518" s="127"/>
      <c r="AQ518" s="126"/>
      <c r="AR518" s="126"/>
      <c r="AS518" s="127"/>
      <c r="AT518" s="126"/>
      <c r="AU518" s="126"/>
      <c r="AV518" s="127"/>
      <c r="AW518" s="126"/>
      <c r="AX518" s="126"/>
      <c r="AY518" s="127"/>
      <c r="AZ518" s="126"/>
      <c r="BA518" s="126"/>
      <c r="BB518" s="127"/>
      <c r="BC518" s="126"/>
      <c r="BD518" s="134"/>
      <c r="BE518" s="127"/>
      <c r="BF518" s="126"/>
      <c r="BG518" s="126"/>
      <c r="BH518" s="126"/>
      <c r="BI518" s="126"/>
      <c r="BJ518" s="126"/>
      <c r="BK518" s="126"/>
      <c r="BL518" s="126"/>
      <c r="BM518" s="126"/>
      <c r="BN518" s="126"/>
      <c r="BO518" s="126"/>
      <c r="BP518" s="126"/>
      <c r="BQ518" s="126"/>
      <c r="BR518" s="126"/>
      <c r="BS518" s="126"/>
      <c r="BT518" s="126"/>
      <c r="BU518" s="126"/>
      <c r="BV518" s="126"/>
      <c r="BW518" s="126"/>
      <c r="BX518" s="126"/>
    </row>
    <row r="519">
      <c r="A519" s="126"/>
      <c r="B519" s="126"/>
      <c r="C519" s="127"/>
      <c r="D519" s="126"/>
      <c r="E519" s="126"/>
      <c r="F519" s="127"/>
      <c r="G519" s="126"/>
      <c r="H519" s="127"/>
      <c r="I519" s="126"/>
      <c r="J519" s="126"/>
      <c r="K519" s="127"/>
      <c r="L519" s="126"/>
      <c r="M519" s="126"/>
      <c r="N519" s="127"/>
      <c r="O519" s="126"/>
      <c r="P519" s="126"/>
      <c r="Q519" s="127"/>
      <c r="R519" s="126"/>
      <c r="S519" s="126"/>
      <c r="T519" s="127"/>
      <c r="U519" s="126"/>
      <c r="V519" s="126"/>
      <c r="W519" s="127"/>
      <c r="X519" s="126"/>
      <c r="Y519" s="126"/>
      <c r="Z519" s="127"/>
      <c r="AA519" s="126"/>
      <c r="AB519" s="126"/>
      <c r="AC519" s="127"/>
      <c r="AD519" s="126"/>
      <c r="AE519" s="126"/>
      <c r="AF519" s="126"/>
      <c r="AG519" s="127"/>
      <c r="AH519" s="126"/>
      <c r="AI519" s="126"/>
      <c r="AJ519" s="127"/>
      <c r="AK519" s="126"/>
      <c r="AL519" s="126"/>
      <c r="AM519" s="127"/>
      <c r="AN519" s="126"/>
      <c r="AO519" s="126"/>
      <c r="AP519" s="127"/>
      <c r="AQ519" s="126"/>
      <c r="AR519" s="126"/>
      <c r="AS519" s="127"/>
      <c r="AT519" s="126"/>
      <c r="AU519" s="126"/>
      <c r="AV519" s="127"/>
      <c r="AW519" s="126"/>
      <c r="AX519" s="126"/>
      <c r="AY519" s="127"/>
      <c r="AZ519" s="126"/>
      <c r="BA519" s="126"/>
      <c r="BB519" s="127"/>
      <c r="BC519" s="126"/>
      <c r="BD519" s="134"/>
      <c r="BE519" s="127"/>
      <c r="BF519" s="126"/>
      <c r="BG519" s="126"/>
      <c r="BH519" s="126"/>
      <c r="BI519" s="126"/>
      <c r="BJ519" s="126"/>
      <c r="BK519" s="126"/>
      <c r="BL519" s="126"/>
      <c r="BM519" s="126"/>
      <c r="BN519" s="126"/>
      <c r="BO519" s="126"/>
      <c r="BP519" s="126"/>
      <c r="BQ519" s="126"/>
      <c r="BR519" s="126"/>
      <c r="BS519" s="126"/>
      <c r="BT519" s="126"/>
      <c r="BU519" s="126"/>
      <c r="BV519" s="126"/>
      <c r="BW519" s="126"/>
      <c r="BX519" s="126"/>
    </row>
    <row r="520">
      <c r="A520" s="126"/>
      <c r="B520" s="126"/>
      <c r="C520" s="127"/>
      <c r="D520" s="126"/>
      <c r="E520" s="126"/>
      <c r="F520" s="127"/>
      <c r="G520" s="126"/>
      <c r="H520" s="127"/>
      <c r="I520" s="126"/>
      <c r="J520" s="126"/>
      <c r="K520" s="127"/>
      <c r="L520" s="126"/>
      <c r="M520" s="126"/>
      <c r="N520" s="127"/>
      <c r="O520" s="126"/>
      <c r="P520" s="126"/>
      <c r="Q520" s="127"/>
      <c r="R520" s="126"/>
      <c r="S520" s="126"/>
      <c r="T520" s="127"/>
      <c r="U520" s="126"/>
      <c r="V520" s="126"/>
      <c r="W520" s="127"/>
      <c r="X520" s="126"/>
      <c r="Y520" s="126"/>
      <c r="Z520" s="127"/>
      <c r="AA520" s="126"/>
      <c r="AB520" s="126"/>
      <c r="AC520" s="127"/>
      <c r="AD520" s="126"/>
      <c r="AE520" s="126"/>
      <c r="AF520" s="126"/>
      <c r="AG520" s="127"/>
      <c r="AH520" s="126"/>
      <c r="AI520" s="126"/>
      <c r="AJ520" s="127"/>
      <c r="AK520" s="126"/>
      <c r="AL520" s="126"/>
      <c r="AM520" s="127"/>
      <c r="AN520" s="126"/>
      <c r="AO520" s="126"/>
      <c r="AP520" s="127"/>
      <c r="AQ520" s="126"/>
      <c r="AR520" s="126"/>
      <c r="AS520" s="127"/>
      <c r="AT520" s="126"/>
      <c r="AU520" s="126"/>
      <c r="AV520" s="127"/>
      <c r="AW520" s="126"/>
      <c r="AX520" s="126"/>
      <c r="AY520" s="127"/>
      <c r="AZ520" s="126"/>
      <c r="BA520" s="126"/>
      <c r="BB520" s="127"/>
      <c r="BC520" s="126"/>
      <c r="BD520" s="134"/>
      <c r="BE520" s="127"/>
      <c r="BF520" s="126"/>
      <c r="BG520" s="126"/>
      <c r="BH520" s="126"/>
      <c r="BI520" s="126"/>
      <c r="BJ520" s="126"/>
      <c r="BK520" s="126"/>
      <c r="BL520" s="126"/>
      <c r="BM520" s="126"/>
      <c r="BN520" s="126"/>
      <c r="BO520" s="126"/>
      <c r="BP520" s="126"/>
      <c r="BQ520" s="126"/>
      <c r="BR520" s="126"/>
      <c r="BS520" s="126"/>
      <c r="BT520" s="126"/>
      <c r="BU520" s="126"/>
      <c r="BV520" s="126"/>
      <c r="BW520" s="126"/>
      <c r="BX520" s="126"/>
    </row>
    <row r="521">
      <c r="A521" s="126"/>
      <c r="B521" s="126"/>
      <c r="C521" s="127"/>
      <c r="D521" s="126"/>
      <c r="E521" s="126"/>
      <c r="F521" s="127"/>
      <c r="G521" s="126"/>
      <c r="H521" s="127"/>
      <c r="I521" s="126"/>
      <c r="J521" s="126"/>
      <c r="K521" s="127"/>
      <c r="L521" s="126"/>
      <c r="M521" s="126"/>
      <c r="N521" s="127"/>
      <c r="O521" s="126"/>
      <c r="P521" s="126"/>
      <c r="Q521" s="127"/>
      <c r="R521" s="126"/>
      <c r="S521" s="126"/>
      <c r="T521" s="127"/>
      <c r="U521" s="126"/>
      <c r="V521" s="126"/>
      <c r="W521" s="127"/>
      <c r="X521" s="126"/>
      <c r="Y521" s="126"/>
      <c r="Z521" s="127"/>
      <c r="AA521" s="126"/>
      <c r="AB521" s="126"/>
      <c r="AC521" s="127"/>
      <c r="AD521" s="126"/>
      <c r="AE521" s="126"/>
      <c r="AF521" s="126"/>
      <c r="AG521" s="127"/>
      <c r="AH521" s="126"/>
      <c r="AI521" s="126"/>
      <c r="AJ521" s="127"/>
      <c r="AK521" s="126"/>
      <c r="AL521" s="126"/>
      <c r="AM521" s="127"/>
      <c r="AN521" s="126"/>
      <c r="AO521" s="126"/>
      <c r="AP521" s="127"/>
      <c r="AQ521" s="126"/>
      <c r="AR521" s="126"/>
      <c r="AS521" s="127"/>
      <c r="AT521" s="126"/>
      <c r="AU521" s="126"/>
      <c r="AV521" s="127"/>
      <c r="AW521" s="126"/>
      <c r="AX521" s="126"/>
      <c r="AY521" s="127"/>
      <c r="AZ521" s="126"/>
      <c r="BA521" s="126"/>
      <c r="BB521" s="127"/>
      <c r="BC521" s="126"/>
      <c r="BD521" s="134"/>
      <c r="BE521" s="127"/>
      <c r="BF521" s="126"/>
      <c r="BG521" s="126"/>
      <c r="BH521" s="126"/>
      <c r="BI521" s="126"/>
      <c r="BJ521" s="126"/>
      <c r="BK521" s="126"/>
      <c r="BL521" s="126"/>
      <c r="BM521" s="126"/>
      <c r="BN521" s="126"/>
      <c r="BO521" s="126"/>
      <c r="BP521" s="126"/>
      <c r="BQ521" s="126"/>
      <c r="BR521" s="126"/>
      <c r="BS521" s="126"/>
      <c r="BT521" s="126"/>
      <c r="BU521" s="126"/>
      <c r="BV521" s="126"/>
      <c r="BW521" s="126"/>
      <c r="BX521" s="126"/>
    </row>
    <row r="522">
      <c r="A522" s="126"/>
      <c r="B522" s="126"/>
      <c r="C522" s="127"/>
      <c r="D522" s="126"/>
      <c r="E522" s="126"/>
      <c r="F522" s="127"/>
      <c r="G522" s="126"/>
      <c r="H522" s="127"/>
      <c r="I522" s="126"/>
      <c r="J522" s="126"/>
      <c r="K522" s="127"/>
      <c r="L522" s="126"/>
      <c r="M522" s="126"/>
      <c r="N522" s="127"/>
      <c r="O522" s="126"/>
      <c r="P522" s="126"/>
      <c r="Q522" s="127"/>
      <c r="R522" s="126"/>
      <c r="S522" s="126"/>
      <c r="T522" s="127"/>
      <c r="U522" s="126"/>
      <c r="V522" s="126"/>
      <c r="W522" s="127"/>
      <c r="X522" s="126"/>
      <c r="Y522" s="126"/>
      <c r="Z522" s="127"/>
      <c r="AA522" s="126"/>
      <c r="AB522" s="126"/>
      <c r="AC522" s="127"/>
      <c r="AD522" s="126"/>
      <c r="AE522" s="126"/>
      <c r="AF522" s="126"/>
      <c r="AG522" s="127"/>
      <c r="AH522" s="126"/>
      <c r="AI522" s="126"/>
      <c r="AJ522" s="127"/>
      <c r="AK522" s="126"/>
      <c r="AL522" s="126"/>
      <c r="AM522" s="127"/>
      <c r="AN522" s="126"/>
      <c r="AO522" s="126"/>
      <c r="AP522" s="127"/>
      <c r="AQ522" s="126"/>
      <c r="AR522" s="126"/>
      <c r="AS522" s="127"/>
      <c r="AT522" s="126"/>
      <c r="AU522" s="126"/>
      <c r="AV522" s="127"/>
      <c r="AW522" s="126"/>
      <c r="AX522" s="126"/>
      <c r="AY522" s="127"/>
      <c r="AZ522" s="126"/>
      <c r="BA522" s="126"/>
      <c r="BB522" s="127"/>
      <c r="BC522" s="126"/>
      <c r="BD522" s="134"/>
      <c r="BE522" s="127"/>
      <c r="BF522" s="126"/>
      <c r="BG522" s="126"/>
      <c r="BH522" s="126"/>
      <c r="BI522" s="126"/>
      <c r="BJ522" s="126"/>
      <c r="BK522" s="126"/>
      <c r="BL522" s="126"/>
      <c r="BM522" s="126"/>
      <c r="BN522" s="126"/>
      <c r="BO522" s="126"/>
      <c r="BP522" s="126"/>
      <c r="BQ522" s="126"/>
      <c r="BR522" s="126"/>
      <c r="BS522" s="126"/>
      <c r="BT522" s="126"/>
      <c r="BU522" s="126"/>
      <c r="BV522" s="126"/>
      <c r="BW522" s="126"/>
      <c r="BX522" s="126"/>
    </row>
    <row r="523">
      <c r="A523" s="126"/>
      <c r="B523" s="126"/>
      <c r="C523" s="127"/>
      <c r="D523" s="126"/>
      <c r="E523" s="126"/>
      <c r="F523" s="127"/>
      <c r="G523" s="126"/>
      <c r="H523" s="127"/>
      <c r="I523" s="126"/>
      <c r="J523" s="126"/>
      <c r="K523" s="127"/>
      <c r="L523" s="126"/>
      <c r="M523" s="126"/>
      <c r="N523" s="127"/>
      <c r="O523" s="126"/>
      <c r="P523" s="126"/>
      <c r="Q523" s="127"/>
      <c r="R523" s="126"/>
      <c r="S523" s="126"/>
      <c r="T523" s="127"/>
      <c r="U523" s="126"/>
      <c r="V523" s="126"/>
      <c r="W523" s="127"/>
      <c r="X523" s="126"/>
      <c r="Y523" s="126"/>
      <c r="Z523" s="127"/>
      <c r="AA523" s="126"/>
      <c r="AB523" s="126"/>
      <c r="AC523" s="127"/>
      <c r="AD523" s="126"/>
      <c r="AE523" s="126"/>
      <c r="AF523" s="126"/>
      <c r="AG523" s="127"/>
      <c r="AH523" s="126"/>
      <c r="AI523" s="126"/>
      <c r="AJ523" s="127"/>
      <c r="AK523" s="126"/>
      <c r="AL523" s="126"/>
      <c r="AM523" s="127"/>
      <c r="AN523" s="126"/>
      <c r="AO523" s="126"/>
      <c r="AP523" s="127"/>
      <c r="AQ523" s="126"/>
      <c r="AR523" s="126"/>
      <c r="AS523" s="127"/>
      <c r="AT523" s="126"/>
      <c r="AU523" s="126"/>
      <c r="AV523" s="127"/>
      <c r="AW523" s="126"/>
      <c r="AX523" s="126"/>
      <c r="AY523" s="127"/>
      <c r="AZ523" s="126"/>
      <c r="BA523" s="126"/>
      <c r="BB523" s="127"/>
      <c r="BC523" s="126"/>
      <c r="BD523" s="134"/>
      <c r="BE523" s="127"/>
      <c r="BF523" s="126"/>
      <c r="BG523" s="126"/>
      <c r="BH523" s="126"/>
      <c r="BI523" s="126"/>
      <c r="BJ523" s="126"/>
      <c r="BK523" s="126"/>
      <c r="BL523" s="126"/>
      <c r="BM523" s="126"/>
      <c r="BN523" s="126"/>
      <c r="BO523" s="126"/>
      <c r="BP523" s="126"/>
      <c r="BQ523" s="126"/>
      <c r="BR523" s="126"/>
      <c r="BS523" s="126"/>
      <c r="BT523" s="126"/>
      <c r="BU523" s="126"/>
      <c r="BV523" s="126"/>
      <c r="BW523" s="126"/>
      <c r="BX523" s="126"/>
    </row>
    <row r="524">
      <c r="A524" s="126"/>
      <c r="B524" s="126"/>
      <c r="C524" s="127"/>
      <c r="D524" s="126"/>
      <c r="E524" s="126"/>
      <c r="F524" s="127"/>
      <c r="G524" s="126"/>
      <c r="H524" s="127"/>
      <c r="I524" s="126"/>
      <c r="J524" s="126"/>
      <c r="K524" s="127"/>
      <c r="L524" s="126"/>
      <c r="M524" s="126"/>
      <c r="N524" s="127"/>
      <c r="O524" s="126"/>
      <c r="P524" s="126"/>
      <c r="Q524" s="127"/>
      <c r="R524" s="126"/>
      <c r="S524" s="126"/>
      <c r="T524" s="127"/>
      <c r="U524" s="126"/>
      <c r="V524" s="126"/>
      <c r="W524" s="127"/>
      <c r="X524" s="126"/>
      <c r="Y524" s="126"/>
      <c r="Z524" s="127"/>
      <c r="AA524" s="126"/>
      <c r="AB524" s="126"/>
      <c r="AC524" s="127"/>
      <c r="AD524" s="126"/>
      <c r="AE524" s="126"/>
      <c r="AF524" s="126"/>
      <c r="AG524" s="127"/>
      <c r="AH524" s="126"/>
      <c r="AI524" s="126"/>
      <c r="AJ524" s="127"/>
      <c r="AK524" s="126"/>
      <c r="AL524" s="126"/>
      <c r="AM524" s="127"/>
      <c r="AN524" s="126"/>
      <c r="AO524" s="126"/>
      <c r="AP524" s="127"/>
      <c r="AQ524" s="126"/>
      <c r="AR524" s="126"/>
      <c r="AS524" s="127"/>
      <c r="AT524" s="126"/>
      <c r="AU524" s="126"/>
      <c r="AV524" s="127"/>
      <c r="AW524" s="126"/>
      <c r="AX524" s="126"/>
      <c r="AY524" s="127"/>
      <c r="AZ524" s="126"/>
      <c r="BA524" s="126"/>
      <c r="BB524" s="127"/>
      <c r="BC524" s="126"/>
      <c r="BD524" s="134"/>
      <c r="BE524" s="127"/>
      <c r="BF524" s="126"/>
      <c r="BG524" s="126"/>
      <c r="BH524" s="126"/>
      <c r="BI524" s="126"/>
      <c r="BJ524" s="126"/>
      <c r="BK524" s="126"/>
      <c r="BL524" s="126"/>
      <c r="BM524" s="126"/>
      <c r="BN524" s="126"/>
      <c r="BO524" s="126"/>
      <c r="BP524" s="126"/>
      <c r="BQ524" s="126"/>
      <c r="BR524" s="126"/>
      <c r="BS524" s="126"/>
      <c r="BT524" s="126"/>
      <c r="BU524" s="126"/>
      <c r="BV524" s="126"/>
      <c r="BW524" s="126"/>
      <c r="BX524" s="126"/>
    </row>
    <row r="525">
      <c r="A525" s="126"/>
      <c r="B525" s="126"/>
      <c r="C525" s="127"/>
      <c r="D525" s="126"/>
      <c r="E525" s="126"/>
      <c r="F525" s="127"/>
      <c r="G525" s="126"/>
      <c r="H525" s="127"/>
      <c r="I525" s="126"/>
      <c r="J525" s="126"/>
      <c r="K525" s="127"/>
      <c r="L525" s="126"/>
      <c r="M525" s="126"/>
      <c r="N525" s="127"/>
      <c r="O525" s="126"/>
      <c r="P525" s="126"/>
      <c r="Q525" s="127"/>
      <c r="R525" s="126"/>
      <c r="S525" s="126"/>
      <c r="T525" s="127"/>
      <c r="U525" s="126"/>
      <c r="V525" s="126"/>
      <c r="W525" s="127"/>
      <c r="X525" s="126"/>
      <c r="Y525" s="126"/>
      <c r="Z525" s="127"/>
      <c r="AA525" s="126"/>
      <c r="AB525" s="126"/>
      <c r="AC525" s="127"/>
      <c r="AD525" s="126"/>
      <c r="AE525" s="126"/>
      <c r="AF525" s="126"/>
      <c r="AG525" s="127"/>
      <c r="AH525" s="126"/>
      <c r="AI525" s="126"/>
      <c r="AJ525" s="127"/>
      <c r="AK525" s="126"/>
      <c r="AL525" s="126"/>
      <c r="AM525" s="127"/>
      <c r="AN525" s="126"/>
      <c r="AO525" s="126"/>
      <c r="AP525" s="127"/>
      <c r="AQ525" s="126"/>
      <c r="AR525" s="126"/>
      <c r="AS525" s="127"/>
      <c r="AT525" s="126"/>
      <c r="AU525" s="126"/>
      <c r="AV525" s="127"/>
      <c r="AW525" s="126"/>
      <c r="AX525" s="126"/>
      <c r="AY525" s="127"/>
      <c r="AZ525" s="126"/>
      <c r="BA525" s="126"/>
      <c r="BB525" s="127"/>
      <c r="BC525" s="126"/>
      <c r="BD525" s="134"/>
      <c r="BE525" s="127"/>
      <c r="BF525" s="126"/>
      <c r="BG525" s="126"/>
      <c r="BH525" s="126"/>
      <c r="BI525" s="126"/>
      <c r="BJ525" s="126"/>
      <c r="BK525" s="126"/>
      <c r="BL525" s="126"/>
      <c r="BM525" s="126"/>
      <c r="BN525" s="126"/>
      <c r="BO525" s="126"/>
      <c r="BP525" s="126"/>
      <c r="BQ525" s="126"/>
      <c r="BR525" s="126"/>
      <c r="BS525" s="126"/>
      <c r="BT525" s="126"/>
      <c r="BU525" s="126"/>
      <c r="BV525" s="126"/>
      <c r="BW525" s="126"/>
      <c r="BX525" s="126"/>
    </row>
    <row r="526">
      <c r="A526" s="126"/>
      <c r="B526" s="126"/>
      <c r="C526" s="127"/>
      <c r="D526" s="126"/>
      <c r="E526" s="126"/>
      <c r="F526" s="127"/>
      <c r="G526" s="126"/>
      <c r="H526" s="127"/>
      <c r="I526" s="126"/>
      <c r="J526" s="126"/>
      <c r="K526" s="127"/>
      <c r="L526" s="126"/>
      <c r="M526" s="126"/>
      <c r="N526" s="127"/>
      <c r="O526" s="126"/>
      <c r="P526" s="126"/>
      <c r="Q526" s="127"/>
      <c r="R526" s="126"/>
      <c r="S526" s="126"/>
      <c r="T526" s="127"/>
      <c r="U526" s="126"/>
      <c r="V526" s="126"/>
      <c r="W526" s="127"/>
      <c r="X526" s="126"/>
      <c r="Y526" s="126"/>
      <c r="Z526" s="127"/>
      <c r="AA526" s="126"/>
      <c r="AB526" s="126"/>
      <c r="AC526" s="127"/>
      <c r="AD526" s="126"/>
      <c r="AE526" s="126"/>
      <c r="AF526" s="126"/>
      <c r="AG526" s="127"/>
      <c r="AH526" s="126"/>
      <c r="AI526" s="126"/>
      <c r="AJ526" s="127"/>
      <c r="AK526" s="126"/>
      <c r="AL526" s="126"/>
      <c r="AM526" s="127"/>
      <c r="AN526" s="126"/>
      <c r="AO526" s="126"/>
      <c r="AP526" s="127"/>
      <c r="AQ526" s="126"/>
      <c r="AR526" s="126"/>
      <c r="AS526" s="127"/>
      <c r="AT526" s="126"/>
      <c r="AU526" s="126"/>
      <c r="AV526" s="127"/>
      <c r="AW526" s="126"/>
      <c r="AX526" s="126"/>
      <c r="AY526" s="127"/>
      <c r="AZ526" s="126"/>
      <c r="BA526" s="126"/>
      <c r="BB526" s="127"/>
      <c r="BC526" s="126"/>
      <c r="BD526" s="134"/>
      <c r="BE526" s="127"/>
      <c r="BF526" s="126"/>
      <c r="BG526" s="126"/>
      <c r="BH526" s="126"/>
      <c r="BI526" s="126"/>
      <c r="BJ526" s="126"/>
      <c r="BK526" s="126"/>
      <c r="BL526" s="126"/>
      <c r="BM526" s="126"/>
      <c r="BN526" s="126"/>
      <c r="BO526" s="126"/>
      <c r="BP526" s="126"/>
      <c r="BQ526" s="126"/>
      <c r="BR526" s="126"/>
      <c r="BS526" s="126"/>
      <c r="BT526" s="126"/>
      <c r="BU526" s="126"/>
      <c r="BV526" s="126"/>
      <c r="BW526" s="126"/>
      <c r="BX526" s="126"/>
    </row>
    <row r="527">
      <c r="A527" s="126"/>
      <c r="B527" s="126"/>
      <c r="C527" s="127"/>
      <c r="D527" s="126"/>
      <c r="E527" s="126"/>
      <c r="F527" s="127"/>
      <c r="G527" s="126"/>
      <c r="H527" s="127"/>
      <c r="I527" s="126"/>
      <c r="J527" s="126"/>
      <c r="K527" s="127"/>
      <c r="L527" s="126"/>
      <c r="M527" s="126"/>
      <c r="N527" s="127"/>
      <c r="O527" s="126"/>
      <c r="P527" s="126"/>
      <c r="Q527" s="127"/>
      <c r="R527" s="126"/>
      <c r="S527" s="126"/>
      <c r="T527" s="127"/>
      <c r="U527" s="126"/>
      <c r="V527" s="126"/>
      <c r="W527" s="127"/>
      <c r="X527" s="126"/>
      <c r="Y527" s="126"/>
      <c r="Z527" s="127"/>
      <c r="AA527" s="126"/>
      <c r="AB527" s="126"/>
      <c r="AC527" s="127"/>
      <c r="AD527" s="126"/>
      <c r="AE527" s="126"/>
      <c r="AF527" s="126"/>
      <c r="AG527" s="127"/>
      <c r="AH527" s="126"/>
      <c r="AI527" s="126"/>
      <c r="AJ527" s="127"/>
      <c r="AK527" s="126"/>
      <c r="AL527" s="126"/>
      <c r="AM527" s="127"/>
      <c r="AN527" s="126"/>
      <c r="AO527" s="126"/>
      <c r="AP527" s="127"/>
      <c r="AQ527" s="126"/>
      <c r="AR527" s="126"/>
      <c r="AS527" s="127"/>
      <c r="AT527" s="126"/>
      <c r="AU527" s="126"/>
      <c r="AV527" s="127"/>
      <c r="AW527" s="126"/>
      <c r="AX527" s="126"/>
      <c r="AY527" s="127"/>
      <c r="AZ527" s="126"/>
      <c r="BA527" s="126"/>
      <c r="BB527" s="127"/>
      <c r="BC527" s="126"/>
      <c r="BD527" s="134"/>
      <c r="BE527" s="127"/>
      <c r="BF527" s="126"/>
      <c r="BG527" s="126"/>
      <c r="BH527" s="126"/>
      <c r="BI527" s="126"/>
      <c r="BJ527" s="126"/>
      <c r="BK527" s="126"/>
      <c r="BL527" s="126"/>
      <c r="BM527" s="126"/>
      <c r="BN527" s="126"/>
      <c r="BO527" s="126"/>
      <c r="BP527" s="126"/>
      <c r="BQ527" s="126"/>
      <c r="BR527" s="126"/>
      <c r="BS527" s="126"/>
      <c r="BT527" s="126"/>
      <c r="BU527" s="126"/>
      <c r="BV527" s="126"/>
      <c r="BW527" s="126"/>
      <c r="BX527" s="126"/>
    </row>
    <row r="528">
      <c r="A528" s="126"/>
      <c r="B528" s="126"/>
      <c r="C528" s="127"/>
      <c r="D528" s="126"/>
      <c r="E528" s="126"/>
      <c r="F528" s="127"/>
      <c r="G528" s="126"/>
      <c r="H528" s="127"/>
      <c r="I528" s="126"/>
      <c r="J528" s="126"/>
      <c r="K528" s="127"/>
      <c r="L528" s="126"/>
      <c r="M528" s="126"/>
      <c r="N528" s="127"/>
      <c r="O528" s="126"/>
      <c r="P528" s="126"/>
      <c r="Q528" s="127"/>
      <c r="R528" s="126"/>
      <c r="S528" s="126"/>
      <c r="T528" s="127"/>
      <c r="U528" s="126"/>
      <c r="V528" s="126"/>
      <c r="W528" s="127"/>
      <c r="X528" s="126"/>
      <c r="Y528" s="126"/>
      <c r="Z528" s="127"/>
      <c r="AA528" s="126"/>
      <c r="AB528" s="126"/>
      <c r="AC528" s="127"/>
      <c r="AD528" s="126"/>
      <c r="AE528" s="126"/>
      <c r="AF528" s="126"/>
      <c r="AG528" s="127"/>
      <c r="AH528" s="126"/>
      <c r="AI528" s="126"/>
      <c r="AJ528" s="127"/>
      <c r="AK528" s="126"/>
      <c r="AL528" s="126"/>
      <c r="AM528" s="127"/>
      <c r="AN528" s="126"/>
      <c r="AO528" s="126"/>
      <c r="AP528" s="127"/>
      <c r="AQ528" s="126"/>
      <c r="AR528" s="126"/>
      <c r="AS528" s="127"/>
      <c r="AT528" s="126"/>
      <c r="AU528" s="126"/>
      <c r="AV528" s="127"/>
      <c r="AW528" s="126"/>
      <c r="AX528" s="126"/>
      <c r="AY528" s="127"/>
      <c r="AZ528" s="126"/>
      <c r="BA528" s="126"/>
      <c r="BB528" s="127"/>
      <c r="BC528" s="126"/>
      <c r="BD528" s="134"/>
      <c r="BE528" s="127"/>
      <c r="BF528" s="126"/>
      <c r="BG528" s="126"/>
      <c r="BH528" s="126"/>
      <c r="BI528" s="126"/>
      <c r="BJ528" s="126"/>
      <c r="BK528" s="126"/>
      <c r="BL528" s="126"/>
      <c r="BM528" s="126"/>
      <c r="BN528" s="126"/>
      <c r="BO528" s="126"/>
      <c r="BP528" s="126"/>
      <c r="BQ528" s="126"/>
      <c r="BR528" s="126"/>
      <c r="BS528" s="126"/>
      <c r="BT528" s="126"/>
      <c r="BU528" s="126"/>
      <c r="BV528" s="126"/>
      <c r="BW528" s="126"/>
      <c r="BX528" s="126"/>
    </row>
    <row r="529">
      <c r="A529" s="126"/>
      <c r="B529" s="126"/>
      <c r="C529" s="127"/>
      <c r="D529" s="126"/>
      <c r="E529" s="126"/>
      <c r="F529" s="127"/>
      <c r="G529" s="126"/>
      <c r="H529" s="127"/>
      <c r="I529" s="126"/>
      <c r="J529" s="126"/>
      <c r="K529" s="127"/>
      <c r="L529" s="126"/>
      <c r="M529" s="126"/>
      <c r="N529" s="127"/>
      <c r="O529" s="126"/>
      <c r="P529" s="126"/>
      <c r="Q529" s="127"/>
      <c r="R529" s="126"/>
      <c r="S529" s="126"/>
      <c r="T529" s="127"/>
      <c r="U529" s="126"/>
      <c r="V529" s="126"/>
      <c r="W529" s="127"/>
      <c r="X529" s="126"/>
      <c r="Y529" s="126"/>
      <c r="Z529" s="127"/>
      <c r="AA529" s="126"/>
      <c r="AB529" s="126"/>
      <c r="AC529" s="127"/>
      <c r="AD529" s="126"/>
      <c r="AE529" s="126"/>
      <c r="AF529" s="126"/>
      <c r="AG529" s="127"/>
      <c r="AH529" s="126"/>
      <c r="AI529" s="126"/>
      <c r="AJ529" s="127"/>
      <c r="AK529" s="126"/>
      <c r="AL529" s="126"/>
      <c r="AM529" s="127"/>
      <c r="AN529" s="126"/>
      <c r="AO529" s="126"/>
      <c r="AP529" s="127"/>
      <c r="AQ529" s="126"/>
      <c r="AR529" s="126"/>
      <c r="AS529" s="127"/>
      <c r="AT529" s="126"/>
      <c r="AU529" s="126"/>
      <c r="AV529" s="127"/>
      <c r="AW529" s="126"/>
      <c r="AX529" s="126"/>
      <c r="AY529" s="127"/>
      <c r="AZ529" s="126"/>
      <c r="BA529" s="126"/>
      <c r="BB529" s="127"/>
      <c r="BC529" s="126"/>
      <c r="BD529" s="134"/>
      <c r="BE529" s="127"/>
      <c r="BF529" s="126"/>
      <c r="BG529" s="126"/>
      <c r="BH529" s="126"/>
      <c r="BI529" s="126"/>
      <c r="BJ529" s="126"/>
      <c r="BK529" s="126"/>
      <c r="BL529" s="126"/>
      <c r="BM529" s="126"/>
      <c r="BN529" s="126"/>
      <c r="BO529" s="126"/>
      <c r="BP529" s="126"/>
      <c r="BQ529" s="126"/>
      <c r="BR529" s="126"/>
      <c r="BS529" s="126"/>
      <c r="BT529" s="126"/>
      <c r="BU529" s="126"/>
      <c r="BV529" s="126"/>
      <c r="BW529" s="126"/>
      <c r="BX529" s="126"/>
    </row>
    <row r="530">
      <c r="A530" s="126"/>
      <c r="B530" s="126"/>
      <c r="C530" s="127"/>
      <c r="D530" s="126"/>
      <c r="E530" s="126"/>
      <c r="F530" s="127"/>
      <c r="G530" s="126"/>
      <c r="H530" s="127"/>
      <c r="I530" s="126"/>
      <c r="J530" s="126"/>
      <c r="K530" s="127"/>
      <c r="L530" s="126"/>
      <c r="M530" s="126"/>
      <c r="N530" s="127"/>
      <c r="O530" s="126"/>
      <c r="P530" s="126"/>
      <c r="Q530" s="127"/>
      <c r="R530" s="126"/>
      <c r="S530" s="126"/>
      <c r="T530" s="127"/>
      <c r="U530" s="126"/>
      <c r="V530" s="126"/>
      <c r="W530" s="127"/>
      <c r="X530" s="126"/>
      <c r="Y530" s="126"/>
      <c r="Z530" s="127"/>
      <c r="AA530" s="126"/>
      <c r="AB530" s="126"/>
      <c r="AC530" s="127"/>
      <c r="AD530" s="126"/>
      <c r="AE530" s="126"/>
      <c r="AF530" s="126"/>
      <c r="AG530" s="127"/>
      <c r="AH530" s="126"/>
      <c r="AI530" s="126"/>
      <c r="AJ530" s="127"/>
      <c r="AK530" s="126"/>
      <c r="AL530" s="126"/>
      <c r="AM530" s="127"/>
      <c r="AN530" s="126"/>
      <c r="AO530" s="126"/>
      <c r="AP530" s="127"/>
      <c r="AQ530" s="126"/>
      <c r="AR530" s="126"/>
      <c r="AS530" s="127"/>
      <c r="AT530" s="126"/>
      <c r="AU530" s="126"/>
      <c r="AV530" s="127"/>
      <c r="AW530" s="126"/>
      <c r="AX530" s="126"/>
      <c r="AY530" s="127"/>
      <c r="AZ530" s="126"/>
      <c r="BA530" s="126"/>
      <c r="BB530" s="127"/>
      <c r="BC530" s="126"/>
      <c r="BD530" s="134"/>
      <c r="BE530" s="127"/>
      <c r="BF530" s="126"/>
      <c r="BG530" s="126"/>
      <c r="BH530" s="126"/>
      <c r="BI530" s="126"/>
      <c r="BJ530" s="126"/>
      <c r="BK530" s="126"/>
      <c r="BL530" s="126"/>
      <c r="BM530" s="126"/>
      <c r="BN530" s="126"/>
      <c r="BO530" s="126"/>
      <c r="BP530" s="126"/>
      <c r="BQ530" s="126"/>
      <c r="BR530" s="126"/>
      <c r="BS530" s="126"/>
      <c r="BT530" s="126"/>
      <c r="BU530" s="126"/>
      <c r="BV530" s="126"/>
      <c r="BW530" s="126"/>
      <c r="BX530" s="126"/>
    </row>
    <row r="531">
      <c r="A531" s="126"/>
      <c r="B531" s="126"/>
      <c r="C531" s="127"/>
      <c r="D531" s="126"/>
      <c r="E531" s="126"/>
      <c r="F531" s="127"/>
      <c r="G531" s="126"/>
      <c r="H531" s="127"/>
      <c r="I531" s="126"/>
      <c r="J531" s="126"/>
      <c r="K531" s="127"/>
      <c r="L531" s="126"/>
      <c r="M531" s="126"/>
      <c r="N531" s="127"/>
      <c r="O531" s="126"/>
      <c r="P531" s="126"/>
      <c r="Q531" s="127"/>
      <c r="R531" s="126"/>
      <c r="S531" s="126"/>
      <c r="T531" s="127"/>
      <c r="U531" s="126"/>
      <c r="V531" s="126"/>
      <c r="W531" s="127"/>
      <c r="X531" s="126"/>
      <c r="Y531" s="126"/>
      <c r="Z531" s="127"/>
      <c r="AA531" s="126"/>
      <c r="AB531" s="126"/>
      <c r="AC531" s="127"/>
      <c r="AD531" s="126"/>
      <c r="AE531" s="126"/>
      <c r="AF531" s="126"/>
      <c r="AG531" s="127"/>
      <c r="AH531" s="126"/>
      <c r="AI531" s="126"/>
      <c r="AJ531" s="127"/>
      <c r="AK531" s="126"/>
      <c r="AL531" s="126"/>
      <c r="AM531" s="127"/>
      <c r="AN531" s="126"/>
      <c r="AO531" s="126"/>
      <c r="AP531" s="127"/>
      <c r="AQ531" s="126"/>
      <c r="AR531" s="126"/>
      <c r="AS531" s="127"/>
      <c r="AT531" s="126"/>
      <c r="AU531" s="126"/>
      <c r="AV531" s="127"/>
      <c r="AW531" s="126"/>
      <c r="AX531" s="126"/>
      <c r="AY531" s="127"/>
      <c r="AZ531" s="126"/>
      <c r="BA531" s="126"/>
      <c r="BB531" s="127"/>
      <c r="BC531" s="126"/>
      <c r="BD531" s="134"/>
      <c r="BE531" s="127"/>
      <c r="BF531" s="126"/>
      <c r="BG531" s="126"/>
      <c r="BH531" s="126"/>
      <c r="BI531" s="126"/>
      <c r="BJ531" s="126"/>
      <c r="BK531" s="126"/>
      <c r="BL531" s="126"/>
      <c r="BM531" s="126"/>
      <c r="BN531" s="126"/>
      <c r="BO531" s="126"/>
      <c r="BP531" s="126"/>
      <c r="BQ531" s="126"/>
      <c r="BR531" s="126"/>
      <c r="BS531" s="126"/>
      <c r="BT531" s="126"/>
      <c r="BU531" s="126"/>
      <c r="BV531" s="126"/>
      <c r="BW531" s="126"/>
      <c r="BX531" s="126"/>
    </row>
    <row r="532">
      <c r="A532" s="126"/>
      <c r="B532" s="126"/>
      <c r="C532" s="127"/>
      <c r="D532" s="126"/>
      <c r="E532" s="126"/>
      <c r="F532" s="127"/>
      <c r="G532" s="126"/>
      <c r="H532" s="127"/>
      <c r="I532" s="126"/>
      <c r="J532" s="126"/>
      <c r="K532" s="127"/>
      <c r="L532" s="126"/>
      <c r="M532" s="126"/>
      <c r="N532" s="127"/>
      <c r="O532" s="126"/>
      <c r="P532" s="126"/>
      <c r="Q532" s="127"/>
      <c r="R532" s="126"/>
      <c r="S532" s="126"/>
      <c r="T532" s="127"/>
      <c r="U532" s="126"/>
      <c r="V532" s="126"/>
      <c r="W532" s="127"/>
      <c r="X532" s="126"/>
      <c r="Y532" s="126"/>
      <c r="Z532" s="127"/>
      <c r="AA532" s="126"/>
      <c r="AB532" s="126"/>
      <c r="AC532" s="127"/>
      <c r="AD532" s="126"/>
      <c r="AE532" s="126"/>
      <c r="AF532" s="126"/>
      <c r="AG532" s="127"/>
      <c r="AH532" s="126"/>
      <c r="AI532" s="126"/>
      <c r="AJ532" s="127"/>
      <c r="AK532" s="126"/>
      <c r="AL532" s="126"/>
      <c r="AM532" s="127"/>
      <c r="AN532" s="126"/>
      <c r="AO532" s="126"/>
      <c r="AP532" s="127"/>
      <c r="AQ532" s="126"/>
      <c r="AR532" s="126"/>
      <c r="AS532" s="127"/>
      <c r="AT532" s="126"/>
      <c r="AU532" s="126"/>
      <c r="AV532" s="127"/>
      <c r="AW532" s="126"/>
      <c r="AX532" s="126"/>
      <c r="AY532" s="127"/>
      <c r="AZ532" s="126"/>
      <c r="BA532" s="126"/>
      <c r="BB532" s="127"/>
      <c r="BC532" s="126"/>
      <c r="BD532" s="134"/>
      <c r="BE532" s="127"/>
      <c r="BF532" s="126"/>
      <c r="BG532" s="126"/>
      <c r="BH532" s="126"/>
      <c r="BI532" s="126"/>
      <c r="BJ532" s="126"/>
      <c r="BK532" s="126"/>
      <c r="BL532" s="126"/>
      <c r="BM532" s="126"/>
      <c r="BN532" s="126"/>
      <c r="BO532" s="126"/>
      <c r="BP532" s="126"/>
      <c r="BQ532" s="126"/>
      <c r="BR532" s="126"/>
      <c r="BS532" s="126"/>
      <c r="BT532" s="126"/>
      <c r="BU532" s="126"/>
      <c r="BV532" s="126"/>
      <c r="BW532" s="126"/>
      <c r="BX532" s="126"/>
    </row>
    <row r="533">
      <c r="A533" s="126"/>
      <c r="B533" s="126"/>
      <c r="C533" s="127"/>
      <c r="D533" s="126"/>
      <c r="E533" s="126"/>
      <c r="F533" s="127"/>
      <c r="G533" s="126"/>
      <c r="H533" s="127"/>
      <c r="I533" s="126"/>
      <c r="J533" s="126"/>
      <c r="K533" s="127"/>
      <c r="L533" s="126"/>
      <c r="M533" s="126"/>
      <c r="N533" s="127"/>
      <c r="O533" s="126"/>
      <c r="P533" s="126"/>
      <c r="Q533" s="127"/>
      <c r="R533" s="126"/>
      <c r="S533" s="126"/>
      <c r="T533" s="127"/>
      <c r="U533" s="126"/>
      <c r="V533" s="126"/>
      <c r="W533" s="127"/>
      <c r="X533" s="126"/>
      <c r="Y533" s="126"/>
      <c r="Z533" s="127"/>
      <c r="AA533" s="126"/>
      <c r="AB533" s="126"/>
      <c r="AC533" s="127"/>
      <c r="AD533" s="126"/>
      <c r="AE533" s="126"/>
      <c r="AF533" s="126"/>
      <c r="AG533" s="127"/>
      <c r="AH533" s="126"/>
      <c r="AI533" s="126"/>
      <c r="AJ533" s="127"/>
      <c r="AK533" s="126"/>
      <c r="AL533" s="126"/>
      <c r="AM533" s="127"/>
      <c r="AN533" s="126"/>
      <c r="AO533" s="126"/>
      <c r="AP533" s="127"/>
      <c r="AQ533" s="126"/>
      <c r="AR533" s="126"/>
      <c r="AS533" s="127"/>
      <c r="AT533" s="126"/>
      <c r="AU533" s="126"/>
      <c r="AV533" s="127"/>
      <c r="AW533" s="126"/>
      <c r="AX533" s="126"/>
      <c r="AY533" s="127"/>
      <c r="AZ533" s="126"/>
      <c r="BA533" s="126"/>
      <c r="BB533" s="127"/>
      <c r="BC533" s="126"/>
      <c r="BD533" s="134"/>
      <c r="BE533" s="127"/>
      <c r="BF533" s="126"/>
      <c r="BG533" s="126"/>
      <c r="BH533" s="126"/>
      <c r="BI533" s="126"/>
      <c r="BJ533" s="126"/>
      <c r="BK533" s="126"/>
      <c r="BL533" s="126"/>
      <c r="BM533" s="126"/>
      <c r="BN533" s="126"/>
      <c r="BO533" s="126"/>
      <c r="BP533" s="126"/>
      <c r="BQ533" s="126"/>
      <c r="BR533" s="126"/>
      <c r="BS533" s="126"/>
      <c r="BT533" s="126"/>
      <c r="BU533" s="126"/>
      <c r="BV533" s="126"/>
      <c r="BW533" s="126"/>
      <c r="BX533" s="126"/>
    </row>
    <row r="534">
      <c r="A534" s="126"/>
      <c r="B534" s="126"/>
      <c r="C534" s="127"/>
      <c r="D534" s="126"/>
      <c r="E534" s="126"/>
      <c r="F534" s="127"/>
      <c r="G534" s="126"/>
      <c r="H534" s="127"/>
      <c r="I534" s="126"/>
      <c r="J534" s="126"/>
      <c r="K534" s="127"/>
      <c r="L534" s="126"/>
      <c r="M534" s="126"/>
      <c r="N534" s="127"/>
      <c r="O534" s="126"/>
      <c r="P534" s="126"/>
      <c r="Q534" s="127"/>
      <c r="R534" s="126"/>
      <c r="S534" s="126"/>
      <c r="T534" s="127"/>
      <c r="U534" s="126"/>
      <c r="V534" s="126"/>
      <c r="W534" s="127"/>
      <c r="X534" s="126"/>
      <c r="Y534" s="126"/>
      <c r="Z534" s="127"/>
      <c r="AA534" s="126"/>
      <c r="AB534" s="126"/>
      <c r="AC534" s="127"/>
      <c r="AD534" s="126"/>
      <c r="AE534" s="126"/>
      <c r="AF534" s="126"/>
      <c r="AG534" s="127"/>
      <c r="AH534" s="126"/>
      <c r="AI534" s="126"/>
      <c r="AJ534" s="127"/>
      <c r="AK534" s="126"/>
      <c r="AL534" s="126"/>
      <c r="AM534" s="127"/>
      <c r="AN534" s="126"/>
      <c r="AO534" s="126"/>
      <c r="AP534" s="127"/>
      <c r="AQ534" s="126"/>
      <c r="AR534" s="126"/>
      <c r="AS534" s="127"/>
      <c r="AT534" s="126"/>
      <c r="AU534" s="126"/>
      <c r="AV534" s="127"/>
      <c r="AW534" s="126"/>
      <c r="AX534" s="126"/>
      <c r="AY534" s="127"/>
      <c r="AZ534" s="126"/>
      <c r="BA534" s="126"/>
      <c r="BB534" s="127"/>
      <c r="BC534" s="126"/>
      <c r="BD534" s="134"/>
      <c r="BE534" s="127"/>
      <c r="BF534" s="126"/>
      <c r="BG534" s="126"/>
      <c r="BH534" s="126"/>
      <c r="BI534" s="126"/>
      <c r="BJ534" s="126"/>
      <c r="BK534" s="126"/>
      <c r="BL534" s="126"/>
      <c r="BM534" s="126"/>
      <c r="BN534" s="126"/>
      <c r="BO534" s="126"/>
      <c r="BP534" s="126"/>
      <c r="BQ534" s="126"/>
      <c r="BR534" s="126"/>
      <c r="BS534" s="126"/>
      <c r="BT534" s="126"/>
      <c r="BU534" s="126"/>
      <c r="BV534" s="126"/>
      <c r="BW534" s="126"/>
      <c r="BX534" s="126"/>
    </row>
    <row r="535">
      <c r="A535" s="126"/>
      <c r="B535" s="126"/>
      <c r="C535" s="127"/>
      <c r="D535" s="126"/>
      <c r="E535" s="126"/>
      <c r="F535" s="127"/>
      <c r="G535" s="126"/>
      <c r="H535" s="127"/>
      <c r="I535" s="126"/>
      <c r="J535" s="126"/>
      <c r="K535" s="127"/>
      <c r="L535" s="126"/>
      <c r="M535" s="126"/>
      <c r="N535" s="127"/>
      <c r="O535" s="126"/>
      <c r="P535" s="126"/>
      <c r="Q535" s="127"/>
      <c r="R535" s="126"/>
      <c r="S535" s="126"/>
      <c r="T535" s="127"/>
      <c r="U535" s="126"/>
      <c r="V535" s="126"/>
      <c r="W535" s="127"/>
      <c r="X535" s="126"/>
      <c r="Y535" s="126"/>
      <c r="Z535" s="127"/>
      <c r="AA535" s="126"/>
      <c r="AB535" s="126"/>
      <c r="AC535" s="127"/>
      <c r="AD535" s="126"/>
      <c r="AE535" s="126"/>
      <c r="AF535" s="126"/>
      <c r="AG535" s="127"/>
      <c r="AH535" s="126"/>
      <c r="AI535" s="126"/>
      <c r="AJ535" s="127"/>
      <c r="AK535" s="126"/>
      <c r="AL535" s="126"/>
      <c r="AM535" s="127"/>
      <c r="AN535" s="126"/>
      <c r="AO535" s="126"/>
      <c r="AP535" s="127"/>
      <c r="AQ535" s="126"/>
      <c r="AR535" s="126"/>
      <c r="AS535" s="127"/>
      <c r="AT535" s="126"/>
      <c r="AU535" s="126"/>
      <c r="AV535" s="127"/>
      <c r="AW535" s="126"/>
      <c r="AX535" s="126"/>
      <c r="AY535" s="127"/>
      <c r="AZ535" s="126"/>
      <c r="BA535" s="126"/>
      <c r="BB535" s="127"/>
      <c r="BC535" s="126"/>
      <c r="BD535" s="134"/>
      <c r="BE535" s="127"/>
      <c r="BF535" s="126"/>
      <c r="BG535" s="126"/>
      <c r="BH535" s="126"/>
      <c r="BI535" s="126"/>
      <c r="BJ535" s="126"/>
      <c r="BK535" s="126"/>
      <c r="BL535" s="126"/>
      <c r="BM535" s="126"/>
      <c r="BN535" s="126"/>
      <c r="BO535" s="126"/>
      <c r="BP535" s="126"/>
      <c r="BQ535" s="126"/>
      <c r="BR535" s="126"/>
      <c r="BS535" s="126"/>
      <c r="BT535" s="126"/>
      <c r="BU535" s="126"/>
      <c r="BV535" s="126"/>
      <c r="BW535" s="126"/>
      <c r="BX535" s="126"/>
    </row>
    <row r="536">
      <c r="A536" s="126"/>
      <c r="B536" s="126"/>
      <c r="C536" s="127"/>
      <c r="D536" s="126"/>
      <c r="E536" s="126"/>
      <c r="F536" s="127"/>
      <c r="G536" s="126"/>
      <c r="H536" s="127"/>
      <c r="I536" s="126"/>
      <c r="J536" s="126"/>
      <c r="K536" s="127"/>
      <c r="L536" s="126"/>
      <c r="M536" s="126"/>
      <c r="N536" s="127"/>
      <c r="O536" s="126"/>
      <c r="P536" s="126"/>
      <c r="Q536" s="127"/>
      <c r="R536" s="126"/>
      <c r="S536" s="126"/>
      <c r="T536" s="127"/>
      <c r="U536" s="126"/>
      <c r="V536" s="126"/>
      <c r="W536" s="127"/>
      <c r="X536" s="126"/>
      <c r="Y536" s="126"/>
      <c r="Z536" s="127"/>
      <c r="AA536" s="126"/>
      <c r="AB536" s="126"/>
      <c r="AC536" s="127"/>
      <c r="AD536" s="126"/>
      <c r="AE536" s="126"/>
      <c r="AF536" s="126"/>
      <c r="AG536" s="127"/>
      <c r="AH536" s="126"/>
      <c r="AI536" s="126"/>
      <c r="AJ536" s="127"/>
      <c r="AK536" s="126"/>
      <c r="AL536" s="126"/>
      <c r="AM536" s="127"/>
      <c r="AN536" s="126"/>
      <c r="AO536" s="126"/>
      <c r="AP536" s="127"/>
      <c r="AQ536" s="126"/>
      <c r="AR536" s="126"/>
      <c r="AS536" s="127"/>
      <c r="AT536" s="126"/>
      <c r="AU536" s="126"/>
      <c r="AV536" s="127"/>
      <c r="AW536" s="126"/>
      <c r="AX536" s="126"/>
      <c r="AY536" s="127"/>
      <c r="AZ536" s="126"/>
      <c r="BA536" s="126"/>
      <c r="BB536" s="127"/>
      <c r="BC536" s="126"/>
      <c r="BD536" s="134"/>
      <c r="BE536" s="127"/>
      <c r="BF536" s="126"/>
      <c r="BG536" s="126"/>
      <c r="BH536" s="126"/>
      <c r="BI536" s="126"/>
      <c r="BJ536" s="126"/>
      <c r="BK536" s="126"/>
      <c r="BL536" s="126"/>
      <c r="BM536" s="126"/>
      <c r="BN536" s="126"/>
      <c r="BO536" s="126"/>
      <c r="BP536" s="126"/>
      <c r="BQ536" s="126"/>
      <c r="BR536" s="126"/>
      <c r="BS536" s="126"/>
      <c r="BT536" s="126"/>
      <c r="BU536" s="126"/>
      <c r="BV536" s="126"/>
      <c r="BW536" s="126"/>
      <c r="BX536" s="126"/>
    </row>
    <row r="537">
      <c r="A537" s="126"/>
      <c r="B537" s="126"/>
      <c r="C537" s="127"/>
      <c r="D537" s="126"/>
      <c r="E537" s="126"/>
      <c r="F537" s="127"/>
      <c r="G537" s="126"/>
      <c r="H537" s="127"/>
      <c r="I537" s="126"/>
      <c r="J537" s="126"/>
      <c r="K537" s="127"/>
      <c r="L537" s="126"/>
      <c r="M537" s="126"/>
      <c r="N537" s="127"/>
      <c r="O537" s="126"/>
      <c r="P537" s="126"/>
      <c r="Q537" s="127"/>
      <c r="R537" s="126"/>
      <c r="S537" s="126"/>
      <c r="T537" s="127"/>
      <c r="U537" s="126"/>
      <c r="V537" s="126"/>
      <c r="W537" s="127"/>
      <c r="X537" s="126"/>
      <c r="Y537" s="126"/>
      <c r="Z537" s="127"/>
      <c r="AA537" s="126"/>
      <c r="AB537" s="126"/>
      <c r="AC537" s="127"/>
      <c r="AD537" s="126"/>
      <c r="AE537" s="126"/>
      <c r="AF537" s="126"/>
      <c r="AG537" s="127"/>
      <c r="AH537" s="126"/>
      <c r="AI537" s="126"/>
      <c r="AJ537" s="127"/>
      <c r="AK537" s="126"/>
      <c r="AL537" s="126"/>
      <c r="AM537" s="127"/>
      <c r="AN537" s="126"/>
      <c r="AO537" s="126"/>
      <c r="AP537" s="127"/>
      <c r="AQ537" s="126"/>
      <c r="AR537" s="126"/>
      <c r="AS537" s="127"/>
      <c r="AT537" s="126"/>
      <c r="AU537" s="126"/>
      <c r="AV537" s="127"/>
      <c r="AW537" s="126"/>
      <c r="AX537" s="126"/>
      <c r="AY537" s="127"/>
      <c r="AZ537" s="126"/>
      <c r="BA537" s="126"/>
      <c r="BB537" s="127"/>
      <c r="BC537" s="126"/>
      <c r="BD537" s="134"/>
      <c r="BE537" s="127"/>
      <c r="BF537" s="126"/>
      <c r="BG537" s="126"/>
      <c r="BH537" s="126"/>
      <c r="BI537" s="126"/>
      <c r="BJ537" s="126"/>
      <c r="BK537" s="126"/>
      <c r="BL537" s="126"/>
      <c r="BM537" s="126"/>
      <c r="BN537" s="126"/>
      <c r="BO537" s="126"/>
      <c r="BP537" s="126"/>
      <c r="BQ537" s="126"/>
      <c r="BR537" s="126"/>
      <c r="BS537" s="126"/>
      <c r="BT537" s="126"/>
      <c r="BU537" s="126"/>
      <c r="BV537" s="126"/>
      <c r="BW537" s="126"/>
      <c r="BX537" s="126"/>
    </row>
    <row r="538">
      <c r="A538" s="126"/>
      <c r="B538" s="126"/>
      <c r="C538" s="127"/>
      <c r="D538" s="126"/>
      <c r="E538" s="126"/>
      <c r="F538" s="127"/>
      <c r="G538" s="126"/>
      <c r="H538" s="127"/>
      <c r="I538" s="126"/>
      <c r="J538" s="126"/>
      <c r="K538" s="127"/>
      <c r="L538" s="126"/>
      <c r="M538" s="126"/>
      <c r="N538" s="127"/>
      <c r="O538" s="126"/>
      <c r="P538" s="126"/>
      <c r="Q538" s="127"/>
      <c r="R538" s="126"/>
      <c r="S538" s="126"/>
      <c r="T538" s="127"/>
      <c r="U538" s="126"/>
      <c r="V538" s="126"/>
      <c r="W538" s="127"/>
      <c r="X538" s="126"/>
      <c r="Y538" s="126"/>
      <c r="Z538" s="127"/>
      <c r="AA538" s="126"/>
      <c r="AB538" s="126"/>
      <c r="AC538" s="127"/>
      <c r="AD538" s="126"/>
      <c r="AE538" s="126"/>
      <c r="AF538" s="126"/>
      <c r="AG538" s="127"/>
      <c r="AH538" s="126"/>
      <c r="AI538" s="126"/>
      <c r="AJ538" s="127"/>
      <c r="AK538" s="126"/>
      <c r="AL538" s="126"/>
      <c r="AM538" s="127"/>
      <c r="AN538" s="126"/>
      <c r="AO538" s="126"/>
      <c r="AP538" s="127"/>
      <c r="AQ538" s="126"/>
      <c r="AR538" s="126"/>
      <c r="AS538" s="127"/>
      <c r="AT538" s="126"/>
      <c r="AU538" s="126"/>
      <c r="AV538" s="127"/>
      <c r="AW538" s="126"/>
      <c r="AX538" s="126"/>
      <c r="AY538" s="127"/>
      <c r="AZ538" s="126"/>
      <c r="BA538" s="126"/>
      <c r="BB538" s="127"/>
      <c r="BC538" s="126"/>
      <c r="BD538" s="134"/>
      <c r="BE538" s="127"/>
      <c r="BF538" s="126"/>
      <c r="BG538" s="126"/>
      <c r="BH538" s="126"/>
      <c r="BI538" s="126"/>
      <c r="BJ538" s="126"/>
      <c r="BK538" s="126"/>
      <c r="BL538" s="126"/>
      <c r="BM538" s="126"/>
      <c r="BN538" s="126"/>
      <c r="BO538" s="126"/>
      <c r="BP538" s="126"/>
      <c r="BQ538" s="126"/>
      <c r="BR538" s="126"/>
      <c r="BS538" s="126"/>
      <c r="BT538" s="126"/>
      <c r="BU538" s="126"/>
      <c r="BV538" s="126"/>
      <c r="BW538" s="126"/>
      <c r="BX538" s="126"/>
    </row>
    <row r="539">
      <c r="A539" s="126"/>
      <c r="B539" s="126"/>
      <c r="C539" s="127"/>
      <c r="D539" s="126"/>
      <c r="E539" s="126"/>
      <c r="F539" s="127"/>
      <c r="G539" s="126"/>
      <c r="H539" s="127"/>
      <c r="I539" s="126"/>
      <c r="J539" s="126"/>
      <c r="K539" s="127"/>
      <c r="L539" s="126"/>
      <c r="M539" s="126"/>
      <c r="N539" s="127"/>
      <c r="O539" s="126"/>
      <c r="P539" s="126"/>
      <c r="Q539" s="127"/>
      <c r="R539" s="126"/>
      <c r="S539" s="126"/>
      <c r="T539" s="127"/>
      <c r="U539" s="126"/>
      <c r="V539" s="126"/>
      <c r="W539" s="127"/>
      <c r="X539" s="126"/>
      <c r="Y539" s="126"/>
      <c r="Z539" s="127"/>
      <c r="AA539" s="126"/>
      <c r="AB539" s="126"/>
      <c r="AC539" s="127"/>
      <c r="AD539" s="126"/>
      <c r="AE539" s="126"/>
      <c r="AF539" s="126"/>
      <c r="AG539" s="127"/>
      <c r="AH539" s="126"/>
      <c r="AI539" s="126"/>
      <c r="AJ539" s="127"/>
      <c r="AK539" s="126"/>
      <c r="AL539" s="126"/>
      <c r="AM539" s="127"/>
      <c r="AN539" s="126"/>
      <c r="AO539" s="126"/>
      <c r="AP539" s="127"/>
      <c r="AQ539" s="126"/>
      <c r="AR539" s="126"/>
      <c r="AS539" s="127"/>
      <c r="AT539" s="126"/>
      <c r="AU539" s="126"/>
      <c r="AV539" s="127"/>
      <c r="AW539" s="126"/>
      <c r="AX539" s="126"/>
      <c r="AY539" s="127"/>
      <c r="AZ539" s="126"/>
      <c r="BA539" s="126"/>
      <c r="BB539" s="127"/>
      <c r="BC539" s="126"/>
      <c r="BD539" s="134"/>
      <c r="BE539" s="127"/>
      <c r="BF539" s="126"/>
      <c r="BG539" s="126"/>
      <c r="BH539" s="126"/>
      <c r="BI539" s="126"/>
      <c r="BJ539" s="126"/>
      <c r="BK539" s="126"/>
      <c r="BL539" s="126"/>
      <c r="BM539" s="126"/>
      <c r="BN539" s="126"/>
      <c r="BO539" s="126"/>
      <c r="BP539" s="126"/>
      <c r="BQ539" s="126"/>
      <c r="BR539" s="126"/>
      <c r="BS539" s="126"/>
      <c r="BT539" s="126"/>
      <c r="BU539" s="126"/>
      <c r="BV539" s="126"/>
      <c r="BW539" s="126"/>
      <c r="BX539" s="126"/>
    </row>
    <row r="540">
      <c r="A540" s="126"/>
      <c r="B540" s="126"/>
      <c r="C540" s="127"/>
      <c r="D540" s="126"/>
      <c r="E540" s="126"/>
      <c r="F540" s="127"/>
      <c r="G540" s="126"/>
      <c r="H540" s="127"/>
      <c r="I540" s="126"/>
      <c r="J540" s="126"/>
      <c r="K540" s="127"/>
      <c r="L540" s="126"/>
      <c r="M540" s="126"/>
      <c r="N540" s="127"/>
      <c r="O540" s="126"/>
      <c r="P540" s="126"/>
      <c r="Q540" s="127"/>
      <c r="R540" s="126"/>
      <c r="S540" s="126"/>
      <c r="T540" s="127"/>
      <c r="U540" s="126"/>
      <c r="V540" s="126"/>
      <c r="W540" s="127"/>
      <c r="X540" s="126"/>
      <c r="Y540" s="126"/>
      <c r="Z540" s="127"/>
      <c r="AA540" s="126"/>
      <c r="AB540" s="126"/>
      <c r="AC540" s="127"/>
      <c r="AD540" s="126"/>
      <c r="AE540" s="126"/>
      <c r="AF540" s="126"/>
      <c r="AG540" s="127"/>
      <c r="AH540" s="126"/>
      <c r="AI540" s="126"/>
      <c r="AJ540" s="127"/>
      <c r="AK540" s="126"/>
      <c r="AL540" s="126"/>
      <c r="AM540" s="127"/>
      <c r="AN540" s="126"/>
      <c r="AO540" s="126"/>
      <c r="AP540" s="127"/>
      <c r="AQ540" s="126"/>
      <c r="AR540" s="126"/>
      <c r="AS540" s="127"/>
      <c r="AT540" s="126"/>
      <c r="AU540" s="126"/>
      <c r="AV540" s="127"/>
      <c r="AW540" s="126"/>
      <c r="AX540" s="126"/>
      <c r="AY540" s="127"/>
      <c r="AZ540" s="126"/>
      <c r="BA540" s="126"/>
      <c r="BB540" s="127"/>
      <c r="BC540" s="126"/>
      <c r="BD540" s="134"/>
      <c r="BE540" s="127"/>
      <c r="BF540" s="126"/>
      <c r="BG540" s="126"/>
      <c r="BH540" s="126"/>
      <c r="BI540" s="126"/>
      <c r="BJ540" s="126"/>
      <c r="BK540" s="126"/>
      <c r="BL540" s="126"/>
      <c r="BM540" s="126"/>
      <c r="BN540" s="126"/>
      <c r="BO540" s="126"/>
      <c r="BP540" s="126"/>
      <c r="BQ540" s="126"/>
      <c r="BR540" s="126"/>
      <c r="BS540" s="126"/>
      <c r="BT540" s="126"/>
      <c r="BU540" s="126"/>
      <c r="BV540" s="126"/>
      <c r="BW540" s="126"/>
      <c r="BX540" s="126"/>
    </row>
    <row r="541">
      <c r="A541" s="126"/>
      <c r="B541" s="126"/>
      <c r="C541" s="127"/>
      <c r="D541" s="126"/>
      <c r="E541" s="126"/>
      <c r="F541" s="127"/>
      <c r="G541" s="126"/>
      <c r="H541" s="127"/>
      <c r="I541" s="126"/>
      <c r="J541" s="126"/>
      <c r="K541" s="127"/>
      <c r="L541" s="126"/>
      <c r="M541" s="126"/>
      <c r="N541" s="127"/>
      <c r="O541" s="126"/>
      <c r="P541" s="126"/>
      <c r="Q541" s="127"/>
      <c r="R541" s="126"/>
      <c r="S541" s="126"/>
      <c r="T541" s="127"/>
      <c r="U541" s="126"/>
      <c r="V541" s="126"/>
      <c r="W541" s="127"/>
      <c r="X541" s="126"/>
      <c r="Y541" s="126"/>
      <c r="Z541" s="127"/>
      <c r="AA541" s="126"/>
      <c r="AB541" s="126"/>
      <c r="AC541" s="127"/>
      <c r="AD541" s="126"/>
      <c r="AE541" s="126"/>
      <c r="AF541" s="126"/>
      <c r="AG541" s="127"/>
      <c r="AH541" s="126"/>
      <c r="AI541" s="126"/>
      <c r="AJ541" s="127"/>
      <c r="AK541" s="126"/>
      <c r="AL541" s="126"/>
      <c r="AM541" s="127"/>
      <c r="AN541" s="126"/>
      <c r="AO541" s="126"/>
      <c r="AP541" s="127"/>
      <c r="AQ541" s="126"/>
      <c r="AR541" s="126"/>
      <c r="AS541" s="127"/>
      <c r="AT541" s="126"/>
      <c r="AU541" s="126"/>
      <c r="AV541" s="127"/>
      <c r="AW541" s="126"/>
      <c r="AX541" s="126"/>
      <c r="AY541" s="127"/>
      <c r="AZ541" s="126"/>
      <c r="BA541" s="126"/>
      <c r="BB541" s="127"/>
      <c r="BC541" s="126"/>
      <c r="BD541" s="134"/>
      <c r="BE541" s="127"/>
      <c r="BF541" s="126"/>
      <c r="BG541" s="126"/>
      <c r="BH541" s="126"/>
      <c r="BI541" s="126"/>
      <c r="BJ541" s="126"/>
      <c r="BK541" s="126"/>
      <c r="BL541" s="126"/>
      <c r="BM541" s="126"/>
      <c r="BN541" s="126"/>
      <c r="BO541" s="126"/>
      <c r="BP541" s="126"/>
      <c r="BQ541" s="126"/>
      <c r="BR541" s="126"/>
      <c r="BS541" s="126"/>
      <c r="BT541" s="126"/>
      <c r="BU541" s="126"/>
      <c r="BV541" s="126"/>
      <c r="BW541" s="126"/>
      <c r="BX541" s="126"/>
    </row>
    <row r="542">
      <c r="A542" s="126"/>
      <c r="B542" s="126"/>
      <c r="C542" s="127"/>
      <c r="D542" s="126"/>
      <c r="E542" s="126"/>
      <c r="F542" s="127"/>
      <c r="G542" s="126"/>
      <c r="H542" s="127"/>
      <c r="I542" s="126"/>
      <c r="J542" s="126"/>
      <c r="K542" s="127"/>
      <c r="L542" s="126"/>
      <c r="M542" s="126"/>
      <c r="N542" s="127"/>
      <c r="O542" s="126"/>
      <c r="P542" s="126"/>
      <c r="Q542" s="127"/>
      <c r="R542" s="126"/>
      <c r="S542" s="126"/>
      <c r="T542" s="127"/>
      <c r="U542" s="126"/>
      <c r="V542" s="126"/>
      <c r="W542" s="127"/>
      <c r="X542" s="126"/>
      <c r="Y542" s="126"/>
      <c r="Z542" s="127"/>
      <c r="AA542" s="126"/>
      <c r="AB542" s="126"/>
      <c r="AC542" s="127"/>
      <c r="AD542" s="126"/>
      <c r="AE542" s="126"/>
      <c r="AF542" s="126"/>
      <c r="AG542" s="127"/>
      <c r="AH542" s="126"/>
      <c r="AI542" s="126"/>
      <c r="AJ542" s="127"/>
      <c r="AK542" s="126"/>
      <c r="AL542" s="126"/>
      <c r="AM542" s="127"/>
      <c r="AN542" s="126"/>
      <c r="AO542" s="126"/>
      <c r="AP542" s="127"/>
      <c r="AQ542" s="126"/>
      <c r="AR542" s="126"/>
      <c r="AS542" s="127"/>
      <c r="AT542" s="126"/>
      <c r="AU542" s="126"/>
      <c r="AV542" s="127"/>
      <c r="AW542" s="126"/>
      <c r="AX542" s="126"/>
      <c r="AY542" s="127"/>
      <c r="AZ542" s="126"/>
      <c r="BA542" s="126"/>
      <c r="BB542" s="127"/>
      <c r="BC542" s="126"/>
      <c r="BD542" s="134"/>
      <c r="BE542" s="127"/>
      <c r="BF542" s="126"/>
      <c r="BG542" s="126"/>
      <c r="BH542" s="126"/>
      <c r="BI542" s="126"/>
      <c r="BJ542" s="126"/>
      <c r="BK542" s="126"/>
      <c r="BL542" s="126"/>
      <c r="BM542" s="126"/>
      <c r="BN542" s="126"/>
      <c r="BO542" s="126"/>
      <c r="BP542" s="126"/>
      <c r="BQ542" s="126"/>
      <c r="BR542" s="126"/>
      <c r="BS542" s="126"/>
      <c r="BT542" s="126"/>
      <c r="BU542" s="126"/>
      <c r="BV542" s="126"/>
      <c r="BW542" s="126"/>
      <c r="BX542" s="126"/>
    </row>
    <row r="543">
      <c r="A543" s="126"/>
      <c r="B543" s="126"/>
      <c r="C543" s="127"/>
      <c r="D543" s="126"/>
      <c r="E543" s="126"/>
      <c r="F543" s="127"/>
      <c r="G543" s="126"/>
      <c r="H543" s="127"/>
      <c r="I543" s="126"/>
      <c r="J543" s="126"/>
      <c r="K543" s="127"/>
      <c r="L543" s="126"/>
      <c r="M543" s="126"/>
      <c r="N543" s="127"/>
      <c r="O543" s="126"/>
      <c r="P543" s="126"/>
      <c r="Q543" s="127"/>
      <c r="R543" s="126"/>
      <c r="S543" s="126"/>
      <c r="T543" s="127"/>
      <c r="U543" s="126"/>
      <c r="V543" s="126"/>
      <c r="W543" s="127"/>
      <c r="X543" s="126"/>
      <c r="Y543" s="126"/>
      <c r="Z543" s="127"/>
      <c r="AA543" s="126"/>
      <c r="AB543" s="126"/>
      <c r="AC543" s="127"/>
      <c r="AD543" s="126"/>
      <c r="AE543" s="126"/>
      <c r="AF543" s="126"/>
      <c r="AG543" s="127"/>
      <c r="AH543" s="126"/>
      <c r="AI543" s="126"/>
      <c r="AJ543" s="127"/>
      <c r="AK543" s="126"/>
      <c r="AL543" s="126"/>
      <c r="AM543" s="127"/>
      <c r="AN543" s="126"/>
      <c r="AO543" s="126"/>
      <c r="AP543" s="127"/>
      <c r="AQ543" s="126"/>
      <c r="AR543" s="126"/>
      <c r="AS543" s="127"/>
      <c r="AT543" s="126"/>
      <c r="AU543" s="126"/>
      <c r="AV543" s="127"/>
      <c r="AW543" s="126"/>
      <c r="AX543" s="126"/>
      <c r="AY543" s="127"/>
      <c r="AZ543" s="126"/>
      <c r="BA543" s="126"/>
      <c r="BB543" s="127"/>
      <c r="BC543" s="126"/>
      <c r="BD543" s="134"/>
      <c r="BE543" s="127"/>
      <c r="BF543" s="126"/>
      <c r="BG543" s="126"/>
      <c r="BH543" s="126"/>
      <c r="BI543" s="126"/>
      <c r="BJ543" s="126"/>
      <c r="BK543" s="126"/>
      <c r="BL543" s="126"/>
      <c r="BM543" s="126"/>
      <c r="BN543" s="126"/>
      <c r="BO543" s="126"/>
      <c r="BP543" s="126"/>
      <c r="BQ543" s="126"/>
      <c r="BR543" s="126"/>
      <c r="BS543" s="126"/>
      <c r="BT543" s="126"/>
      <c r="BU543" s="126"/>
      <c r="BV543" s="126"/>
      <c r="BW543" s="126"/>
      <c r="BX543" s="126"/>
    </row>
    <row r="544">
      <c r="A544" s="126"/>
      <c r="B544" s="126"/>
      <c r="C544" s="127"/>
      <c r="D544" s="126"/>
      <c r="E544" s="126"/>
      <c r="F544" s="127"/>
      <c r="G544" s="126"/>
      <c r="H544" s="127"/>
      <c r="I544" s="126"/>
      <c r="J544" s="126"/>
      <c r="K544" s="127"/>
      <c r="L544" s="126"/>
      <c r="M544" s="126"/>
      <c r="N544" s="127"/>
      <c r="O544" s="126"/>
      <c r="P544" s="126"/>
      <c r="Q544" s="127"/>
      <c r="R544" s="126"/>
      <c r="S544" s="126"/>
      <c r="T544" s="127"/>
      <c r="U544" s="126"/>
      <c r="V544" s="126"/>
      <c r="W544" s="127"/>
      <c r="X544" s="126"/>
      <c r="Y544" s="126"/>
      <c r="Z544" s="127"/>
      <c r="AA544" s="126"/>
      <c r="AB544" s="126"/>
      <c r="AC544" s="127"/>
      <c r="AD544" s="126"/>
      <c r="AE544" s="126"/>
      <c r="AF544" s="126"/>
      <c r="AG544" s="127"/>
      <c r="AH544" s="126"/>
      <c r="AI544" s="126"/>
      <c r="AJ544" s="127"/>
      <c r="AK544" s="126"/>
      <c r="AL544" s="126"/>
      <c r="AM544" s="127"/>
      <c r="AN544" s="126"/>
      <c r="AO544" s="126"/>
      <c r="AP544" s="127"/>
      <c r="AQ544" s="126"/>
      <c r="AR544" s="126"/>
      <c r="AS544" s="127"/>
      <c r="AT544" s="126"/>
      <c r="AU544" s="126"/>
      <c r="AV544" s="127"/>
      <c r="AW544" s="126"/>
      <c r="AX544" s="126"/>
      <c r="AY544" s="127"/>
      <c r="AZ544" s="126"/>
      <c r="BA544" s="126"/>
      <c r="BB544" s="127"/>
      <c r="BC544" s="126"/>
      <c r="BD544" s="134"/>
      <c r="BE544" s="127"/>
      <c r="BF544" s="126"/>
      <c r="BG544" s="126"/>
      <c r="BH544" s="126"/>
      <c r="BI544" s="126"/>
      <c r="BJ544" s="126"/>
      <c r="BK544" s="126"/>
      <c r="BL544" s="126"/>
      <c r="BM544" s="126"/>
      <c r="BN544" s="126"/>
      <c r="BO544" s="126"/>
      <c r="BP544" s="126"/>
      <c r="BQ544" s="126"/>
      <c r="BR544" s="126"/>
      <c r="BS544" s="126"/>
      <c r="BT544" s="126"/>
      <c r="BU544" s="126"/>
      <c r="BV544" s="126"/>
      <c r="BW544" s="126"/>
      <c r="BX544" s="126"/>
    </row>
    <row r="545">
      <c r="A545" s="126"/>
      <c r="B545" s="126"/>
      <c r="C545" s="127"/>
      <c r="D545" s="126"/>
      <c r="E545" s="126"/>
      <c r="F545" s="127"/>
      <c r="G545" s="126"/>
      <c r="H545" s="127"/>
      <c r="I545" s="126"/>
      <c r="J545" s="126"/>
      <c r="K545" s="127"/>
      <c r="L545" s="126"/>
      <c r="M545" s="126"/>
      <c r="N545" s="127"/>
      <c r="O545" s="126"/>
      <c r="P545" s="126"/>
      <c r="Q545" s="127"/>
      <c r="R545" s="126"/>
      <c r="S545" s="126"/>
      <c r="T545" s="127"/>
      <c r="U545" s="126"/>
      <c r="V545" s="126"/>
      <c r="W545" s="127"/>
      <c r="X545" s="126"/>
      <c r="Y545" s="126"/>
      <c r="Z545" s="127"/>
      <c r="AA545" s="126"/>
      <c r="AB545" s="126"/>
      <c r="AC545" s="127"/>
      <c r="AD545" s="126"/>
      <c r="AE545" s="126"/>
      <c r="AF545" s="126"/>
      <c r="AG545" s="127"/>
      <c r="AH545" s="126"/>
      <c r="AI545" s="126"/>
      <c r="AJ545" s="127"/>
      <c r="AK545" s="126"/>
      <c r="AL545" s="126"/>
      <c r="AM545" s="127"/>
      <c r="AN545" s="126"/>
      <c r="AO545" s="126"/>
      <c r="AP545" s="127"/>
      <c r="AQ545" s="126"/>
      <c r="AR545" s="126"/>
      <c r="AS545" s="127"/>
      <c r="AT545" s="126"/>
      <c r="AU545" s="126"/>
      <c r="AV545" s="127"/>
      <c r="AW545" s="126"/>
      <c r="AX545" s="126"/>
      <c r="AY545" s="127"/>
      <c r="AZ545" s="126"/>
      <c r="BA545" s="126"/>
      <c r="BB545" s="127"/>
      <c r="BC545" s="126"/>
      <c r="BD545" s="134"/>
      <c r="BE545" s="127"/>
      <c r="BF545" s="126"/>
      <c r="BG545" s="126"/>
      <c r="BH545" s="126"/>
      <c r="BI545" s="126"/>
      <c r="BJ545" s="126"/>
      <c r="BK545" s="126"/>
      <c r="BL545" s="126"/>
      <c r="BM545" s="126"/>
      <c r="BN545" s="126"/>
      <c r="BO545" s="126"/>
      <c r="BP545" s="126"/>
      <c r="BQ545" s="126"/>
      <c r="BR545" s="126"/>
      <c r="BS545" s="126"/>
      <c r="BT545" s="126"/>
      <c r="BU545" s="126"/>
      <c r="BV545" s="126"/>
      <c r="BW545" s="126"/>
      <c r="BX545" s="126"/>
    </row>
    <row r="546">
      <c r="A546" s="126"/>
      <c r="B546" s="126"/>
      <c r="C546" s="127"/>
      <c r="D546" s="126"/>
      <c r="E546" s="126"/>
      <c r="F546" s="127"/>
      <c r="G546" s="126"/>
      <c r="H546" s="127"/>
      <c r="I546" s="126"/>
      <c r="J546" s="126"/>
      <c r="K546" s="127"/>
      <c r="L546" s="126"/>
      <c r="M546" s="126"/>
      <c r="N546" s="127"/>
      <c r="O546" s="126"/>
      <c r="P546" s="126"/>
      <c r="Q546" s="127"/>
      <c r="R546" s="126"/>
      <c r="S546" s="126"/>
      <c r="T546" s="127"/>
      <c r="U546" s="126"/>
      <c r="V546" s="126"/>
      <c r="W546" s="127"/>
      <c r="X546" s="126"/>
      <c r="Y546" s="126"/>
      <c r="Z546" s="127"/>
      <c r="AA546" s="126"/>
      <c r="AB546" s="126"/>
      <c r="AC546" s="127"/>
      <c r="AD546" s="126"/>
      <c r="AE546" s="126"/>
      <c r="AF546" s="126"/>
      <c r="AG546" s="127"/>
      <c r="AH546" s="126"/>
      <c r="AI546" s="126"/>
      <c r="AJ546" s="127"/>
      <c r="AK546" s="126"/>
      <c r="AL546" s="126"/>
      <c r="AM546" s="127"/>
      <c r="AN546" s="126"/>
      <c r="AO546" s="126"/>
      <c r="AP546" s="127"/>
      <c r="AQ546" s="126"/>
      <c r="AR546" s="126"/>
      <c r="AS546" s="127"/>
      <c r="AT546" s="126"/>
      <c r="AU546" s="126"/>
      <c r="AV546" s="127"/>
      <c r="AW546" s="126"/>
      <c r="AX546" s="126"/>
      <c r="AY546" s="127"/>
      <c r="AZ546" s="126"/>
      <c r="BA546" s="126"/>
      <c r="BB546" s="127"/>
      <c r="BC546" s="126"/>
      <c r="BD546" s="134"/>
      <c r="BE546" s="127"/>
      <c r="BF546" s="126"/>
      <c r="BG546" s="126"/>
      <c r="BH546" s="126"/>
      <c r="BI546" s="126"/>
      <c r="BJ546" s="126"/>
      <c r="BK546" s="126"/>
      <c r="BL546" s="126"/>
      <c r="BM546" s="126"/>
      <c r="BN546" s="126"/>
      <c r="BO546" s="126"/>
      <c r="BP546" s="126"/>
      <c r="BQ546" s="126"/>
      <c r="BR546" s="126"/>
      <c r="BS546" s="126"/>
      <c r="BT546" s="126"/>
      <c r="BU546" s="126"/>
      <c r="BV546" s="126"/>
      <c r="BW546" s="126"/>
      <c r="BX546" s="126"/>
    </row>
    <row r="547">
      <c r="A547" s="126"/>
      <c r="B547" s="126"/>
      <c r="C547" s="127"/>
      <c r="D547" s="126"/>
      <c r="E547" s="126"/>
      <c r="F547" s="127"/>
      <c r="G547" s="126"/>
      <c r="H547" s="127"/>
      <c r="I547" s="126"/>
      <c r="J547" s="126"/>
      <c r="K547" s="127"/>
      <c r="L547" s="126"/>
      <c r="M547" s="126"/>
      <c r="N547" s="127"/>
      <c r="O547" s="126"/>
      <c r="P547" s="126"/>
      <c r="Q547" s="127"/>
      <c r="R547" s="126"/>
      <c r="S547" s="126"/>
      <c r="T547" s="127"/>
      <c r="U547" s="126"/>
      <c r="V547" s="126"/>
      <c r="W547" s="127"/>
      <c r="X547" s="126"/>
      <c r="Y547" s="126"/>
      <c r="Z547" s="127"/>
      <c r="AA547" s="126"/>
      <c r="AB547" s="126"/>
      <c r="AC547" s="127"/>
      <c r="AD547" s="126"/>
      <c r="AE547" s="126"/>
      <c r="AF547" s="126"/>
      <c r="AG547" s="127"/>
      <c r="AH547" s="126"/>
      <c r="AI547" s="126"/>
      <c r="AJ547" s="127"/>
      <c r="AK547" s="126"/>
      <c r="AL547" s="126"/>
      <c r="AM547" s="127"/>
      <c r="AN547" s="126"/>
      <c r="AO547" s="126"/>
      <c r="AP547" s="127"/>
      <c r="AQ547" s="126"/>
      <c r="AR547" s="126"/>
      <c r="AS547" s="127"/>
      <c r="AT547" s="126"/>
      <c r="AU547" s="126"/>
      <c r="AV547" s="127"/>
      <c r="AW547" s="126"/>
      <c r="AX547" s="126"/>
      <c r="AY547" s="127"/>
      <c r="AZ547" s="126"/>
      <c r="BA547" s="126"/>
      <c r="BB547" s="127"/>
      <c r="BC547" s="126"/>
      <c r="BD547" s="134"/>
      <c r="BE547" s="127"/>
      <c r="BF547" s="126"/>
      <c r="BG547" s="126"/>
      <c r="BH547" s="126"/>
      <c r="BI547" s="126"/>
      <c r="BJ547" s="126"/>
      <c r="BK547" s="126"/>
      <c r="BL547" s="126"/>
      <c r="BM547" s="126"/>
      <c r="BN547" s="126"/>
      <c r="BO547" s="126"/>
      <c r="BP547" s="126"/>
      <c r="BQ547" s="126"/>
      <c r="BR547" s="126"/>
      <c r="BS547" s="126"/>
      <c r="BT547" s="126"/>
      <c r="BU547" s="126"/>
      <c r="BV547" s="126"/>
      <c r="BW547" s="126"/>
      <c r="BX547" s="126"/>
    </row>
    <row r="548">
      <c r="A548" s="126"/>
      <c r="B548" s="126"/>
      <c r="C548" s="127"/>
      <c r="D548" s="126"/>
      <c r="E548" s="126"/>
      <c r="F548" s="127"/>
      <c r="G548" s="126"/>
      <c r="H548" s="127"/>
      <c r="I548" s="126"/>
      <c r="J548" s="126"/>
      <c r="K548" s="127"/>
      <c r="L548" s="126"/>
      <c r="M548" s="126"/>
      <c r="N548" s="127"/>
      <c r="O548" s="126"/>
      <c r="P548" s="126"/>
      <c r="Q548" s="127"/>
      <c r="R548" s="126"/>
      <c r="S548" s="126"/>
      <c r="T548" s="127"/>
      <c r="U548" s="126"/>
      <c r="V548" s="126"/>
      <c r="W548" s="127"/>
      <c r="X548" s="126"/>
      <c r="Y548" s="126"/>
      <c r="Z548" s="127"/>
      <c r="AA548" s="126"/>
      <c r="AB548" s="126"/>
      <c r="AC548" s="127"/>
      <c r="AD548" s="126"/>
      <c r="AE548" s="126"/>
      <c r="AF548" s="126"/>
      <c r="AG548" s="127"/>
      <c r="AH548" s="126"/>
      <c r="AI548" s="126"/>
      <c r="AJ548" s="127"/>
      <c r="AK548" s="126"/>
      <c r="AL548" s="126"/>
      <c r="AM548" s="127"/>
      <c r="AN548" s="126"/>
      <c r="AO548" s="126"/>
      <c r="AP548" s="127"/>
      <c r="AQ548" s="126"/>
      <c r="AR548" s="126"/>
      <c r="AS548" s="127"/>
      <c r="AT548" s="126"/>
      <c r="AU548" s="126"/>
      <c r="AV548" s="127"/>
      <c r="AW548" s="126"/>
      <c r="AX548" s="126"/>
      <c r="AY548" s="127"/>
      <c r="AZ548" s="126"/>
      <c r="BA548" s="126"/>
      <c r="BB548" s="127"/>
      <c r="BC548" s="126"/>
      <c r="BD548" s="134"/>
      <c r="BE548" s="127"/>
      <c r="BF548" s="126"/>
      <c r="BG548" s="126"/>
      <c r="BH548" s="126"/>
      <c r="BI548" s="126"/>
      <c r="BJ548" s="126"/>
      <c r="BK548" s="126"/>
      <c r="BL548" s="126"/>
      <c r="BM548" s="126"/>
      <c r="BN548" s="126"/>
      <c r="BO548" s="126"/>
      <c r="BP548" s="126"/>
      <c r="BQ548" s="126"/>
      <c r="BR548" s="126"/>
      <c r="BS548" s="126"/>
      <c r="BT548" s="126"/>
      <c r="BU548" s="126"/>
      <c r="BV548" s="126"/>
      <c r="BW548" s="126"/>
      <c r="BX548" s="126"/>
    </row>
    <row r="549">
      <c r="A549" s="126"/>
      <c r="B549" s="126"/>
      <c r="C549" s="127"/>
      <c r="D549" s="126"/>
      <c r="E549" s="126"/>
      <c r="F549" s="127"/>
      <c r="G549" s="126"/>
      <c r="H549" s="127"/>
      <c r="I549" s="126"/>
      <c r="J549" s="126"/>
      <c r="K549" s="127"/>
      <c r="L549" s="126"/>
      <c r="M549" s="126"/>
      <c r="N549" s="127"/>
      <c r="O549" s="126"/>
      <c r="P549" s="126"/>
      <c r="Q549" s="127"/>
      <c r="R549" s="126"/>
      <c r="S549" s="126"/>
      <c r="T549" s="127"/>
      <c r="U549" s="126"/>
      <c r="V549" s="126"/>
      <c r="W549" s="127"/>
      <c r="X549" s="126"/>
      <c r="Y549" s="126"/>
      <c r="Z549" s="127"/>
      <c r="AA549" s="126"/>
      <c r="AB549" s="126"/>
      <c r="AC549" s="127"/>
      <c r="AD549" s="126"/>
      <c r="AE549" s="126"/>
      <c r="AF549" s="126"/>
      <c r="AG549" s="127"/>
      <c r="AH549" s="126"/>
      <c r="AI549" s="126"/>
      <c r="AJ549" s="127"/>
      <c r="AK549" s="126"/>
      <c r="AL549" s="126"/>
      <c r="AM549" s="127"/>
      <c r="AN549" s="126"/>
      <c r="AO549" s="126"/>
      <c r="AP549" s="127"/>
      <c r="AQ549" s="126"/>
      <c r="AR549" s="126"/>
      <c r="AS549" s="127"/>
      <c r="AT549" s="126"/>
      <c r="AU549" s="126"/>
      <c r="AV549" s="127"/>
      <c r="AW549" s="126"/>
      <c r="AX549" s="126"/>
      <c r="AY549" s="127"/>
      <c r="AZ549" s="126"/>
      <c r="BA549" s="126"/>
      <c r="BB549" s="127"/>
      <c r="BC549" s="126"/>
      <c r="BD549" s="134"/>
      <c r="BE549" s="127"/>
      <c r="BF549" s="126"/>
      <c r="BG549" s="126"/>
      <c r="BH549" s="126"/>
      <c r="BI549" s="126"/>
      <c r="BJ549" s="126"/>
      <c r="BK549" s="126"/>
      <c r="BL549" s="126"/>
      <c r="BM549" s="126"/>
      <c r="BN549" s="126"/>
      <c r="BO549" s="126"/>
      <c r="BP549" s="126"/>
      <c r="BQ549" s="126"/>
      <c r="BR549" s="126"/>
      <c r="BS549" s="126"/>
      <c r="BT549" s="126"/>
      <c r="BU549" s="126"/>
      <c r="BV549" s="126"/>
      <c r="BW549" s="126"/>
      <c r="BX549" s="126"/>
    </row>
    <row r="550">
      <c r="A550" s="126"/>
      <c r="B550" s="126"/>
      <c r="C550" s="127"/>
      <c r="D550" s="126"/>
      <c r="E550" s="126"/>
      <c r="F550" s="127"/>
      <c r="G550" s="126"/>
      <c r="H550" s="127"/>
      <c r="I550" s="126"/>
      <c r="J550" s="126"/>
      <c r="K550" s="127"/>
      <c r="L550" s="126"/>
      <c r="M550" s="126"/>
      <c r="N550" s="127"/>
      <c r="O550" s="126"/>
      <c r="P550" s="126"/>
      <c r="Q550" s="127"/>
      <c r="R550" s="126"/>
      <c r="S550" s="126"/>
      <c r="T550" s="127"/>
      <c r="U550" s="126"/>
      <c r="V550" s="126"/>
      <c r="W550" s="127"/>
      <c r="X550" s="126"/>
      <c r="Y550" s="126"/>
      <c r="Z550" s="127"/>
      <c r="AA550" s="126"/>
      <c r="AB550" s="126"/>
      <c r="AC550" s="127"/>
      <c r="AD550" s="126"/>
      <c r="AE550" s="126"/>
      <c r="AF550" s="126"/>
      <c r="AG550" s="127"/>
      <c r="AH550" s="126"/>
      <c r="AI550" s="126"/>
      <c r="AJ550" s="127"/>
      <c r="AK550" s="126"/>
      <c r="AL550" s="126"/>
      <c r="AM550" s="127"/>
      <c r="AN550" s="126"/>
      <c r="AO550" s="126"/>
      <c r="AP550" s="127"/>
      <c r="AQ550" s="126"/>
      <c r="AR550" s="126"/>
      <c r="AS550" s="127"/>
      <c r="AT550" s="126"/>
      <c r="AU550" s="126"/>
      <c r="AV550" s="127"/>
      <c r="AW550" s="126"/>
      <c r="AX550" s="126"/>
      <c r="AY550" s="127"/>
      <c r="AZ550" s="126"/>
      <c r="BA550" s="126"/>
      <c r="BB550" s="127"/>
      <c r="BC550" s="126"/>
      <c r="BD550" s="134"/>
      <c r="BE550" s="127"/>
      <c r="BF550" s="126"/>
      <c r="BG550" s="126"/>
      <c r="BH550" s="126"/>
      <c r="BI550" s="126"/>
      <c r="BJ550" s="126"/>
      <c r="BK550" s="126"/>
      <c r="BL550" s="126"/>
      <c r="BM550" s="126"/>
      <c r="BN550" s="126"/>
      <c r="BO550" s="126"/>
      <c r="BP550" s="126"/>
      <c r="BQ550" s="126"/>
      <c r="BR550" s="126"/>
      <c r="BS550" s="126"/>
      <c r="BT550" s="126"/>
      <c r="BU550" s="126"/>
      <c r="BV550" s="126"/>
      <c r="BW550" s="126"/>
      <c r="BX550" s="126"/>
    </row>
    <row r="551">
      <c r="A551" s="126"/>
      <c r="B551" s="126"/>
      <c r="C551" s="127"/>
      <c r="D551" s="126"/>
      <c r="E551" s="126"/>
      <c r="F551" s="127"/>
      <c r="G551" s="126"/>
      <c r="H551" s="127"/>
      <c r="I551" s="126"/>
      <c r="J551" s="126"/>
      <c r="K551" s="127"/>
      <c r="L551" s="126"/>
      <c r="M551" s="126"/>
      <c r="N551" s="127"/>
      <c r="O551" s="126"/>
      <c r="P551" s="126"/>
      <c r="Q551" s="127"/>
      <c r="R551" s="126"/>
      <c r="S551" s="126"/>
      <c r="T551" s="127"/>
      <c r="U551" s="126"/>
      <c r="V551" s="126"/>
      <c r="W551" s="127"/>
      <c r="X551" s="126"/>
      <c r="Y551" s="126"/>
      <c r="Z551" s="127"/>
      <c r="AA551" s="126"/>
      <c r="AB551" s="126"/>
      <c r="AC551" s="127"/>
      <c r="AD551" s="126"/>
      <c r="AE551" s="126"/>
      <c r="AF551" s="126"/>
      <c r="AG551" s="127"/>
      <c r="AH551" s="126"/>
      <c r="AI551" s="126"/>
      <c r="AJ551" s="127"/>
      <c r="AK551" s="126"/>
      <c r="AL551" s="126"/>
      <c r="AM551" s="127"/>
      <c r="AN551" s="126"/>
      <c r="AO551" s="126"/>
      <c r="AP551" s="127"/>
      <c r="AQ551" s="126"/>
      <c r="AR551" s="126"/>
      <c r="AS551" s="127"/>
      <c r="AT551" s="126"/>
      <c r="AU551" s="126"/>
      <c r="AV551" s="127"/>
      <c r="AW551" s="126"/>
      <c r="AX551" s="126"/>
      <c r="AY551" s="127"/>
      <c r="AZ551" s="126"/>
      <c r="BA551" s="126"/>
      <c r="BB551" s="127"/>
      <c r="BC551" s="126"/>
      <c r="BD551" s="134"/>
      <c r="BE551" s="127"/>
      <c r="BF551" s="126"/>
      <c r="BG551" s="126"/>
      <c r="BH551" s="126"/>
      <c r="BI551" s="126"/>
      <c r="BJ551" s="126"/>
      <c r="BK551" s="126"/>
      <c r="BL551" s="126"/>
      <c r="BM551" s="126"/>
      <c r="BN551" s="126"/>
      <c r="BO551" s="126"/>
      <c r="BP551" s="126"/>
      <c r="BQ551" s="126"/>
      <c r="BR551" s="126"/>
      <c r="BS551" s="126"/>
      <c r="BT551" s="126"/>
      <c r="BU551" s="126"/>
      <c r="BV551" s="126"/>
      <c r="BW551" s="126"/>
      <c r="BX551" s="126"/>
    </row>
    <row r="552">
      <c r="A552" s="126"/>
      <c r="B552" s="126"/>
      <c r="C552" s="127"/>
      <c r="D552" s="126"/>
      <c r="E552" s="126"/>
      <c r="F552" s="127"/>
      <c r="G552" s="126"/>
      <c r="H552" s="127"/>
      <c r="I552" s="126"/>
      <c r="J552" s="126"/>
      <c r="K552" s="127"/>
      <c r="L552" s="126"/>
      <c r="M552" s="126"/>
      <c r="N552" s="127"/>
      <c r="O552" s="126"/>
      <c r="P552" s="126"/>
      <c r="Q552" s="127"/>
      <c r="R552" s="126"/>
      <c r="S552" s="126"/>
      <c r="T552" s="127"/>
      <c r="U552" s="126"/>
      <c r="V552" s="126"/>
      <c r="W552" s="127"/>
      <c r="X552" s="126"/>
      <c r="Y552" s="126"/>
      <c r="Z552" s="127"/>
      <c r="AA552" s="126"/>
      <c r="AB552" s="126"/>
      <c r="AC552" s="127"/>
      <c r="AD552" s="126"/>
      <c r="AE552" s="126"/>
      <c r="AF552" s="126"/>
      <c r="AG552" s="127"/>
      <c r="AH552" s="126"/>
      <c r="AI552" s="126"/>
      <c r="AJ552" s="127"/>
      <c r="AK552" s="126"/>
      <c r="AL552" s="126"/>
      <c r="AM552" s="127"/>
      <c r="AN552" s="126"/>
      <c r="AO552" s="126"/>
      <c r="AP552" s="127"/>
      <c r="AQ552" s="126"/>
      <c r="AR552" s="126"/>
      <c r="AS552" s="127"/>
      <c r="AT552" s="126"/>
      <c r="AU552" s="126"/>
      <c r="AV552" s="127"/>
      <c r="AW552" s="126"/>
      <c r="AX552" s="126"/>
      <c r="AY552" s="127"/>
      <c r="AZ552" s="126"/>
      <c r="BA552" s="126"/>
      <c r="BB552" s="127"/>
      <c r="BC552" s="126"/>
      <c r="BD552" s="134"/>
      <c r="BE552" s="127"/>
      <c r="BF552" s="126"/>
      <c r="BG552" s="126"/>
      <c r="BH552" s="126"/>
      <c r="BI552" s="126"/>
      <c r="BJ552" s="126"/>
      <c r="BK552" s="126"/>
      <c r="BL552" s="126"/>
      <c r="BM552" s="126"/>
      <c r="BN552" s="126"/>
      <c r="BO552" s="126"/>
      <c r="BP552" s="126"/>
      <c r="BQ552" s="126"/>
      <c r="BR552" s="126"/>
      <c r="BS552" s="126"/>
      <c r="BT552" s="126"/>
      <c r="BU552" s="126"/>
      <c r="BV552" s="126"/>
      <c r="BW552" s="126"/>
      <c r="BX552" s="126"/>
    </row>
    <row r="553">
      <c r="A553" s="126"/>
      <c r="B553" s="126"/>
      <c r="C553" s="127"/>
      <c r="D553" s="126"/>
      <c r="E553" s="126"/>
      <c r="F553" s="127"/>
      <c r="G553" s="126"/>
      <c r="H553" s="127"/>
      <c r="I553" s="126"/>
      <c r="J553" s="126"/>
      <c r="K553" s="127"/>
      <c r="L553" s="126"/>
      <c r="M553" s="126"/>
      <c r="N553" s="127"/>
      <c r="O553" s="126"/>
      <c r="P553" s="126"/>
      <c r="Q553" s="127"/>
      <c r="R553" s="126"/>
      <c r="S553" s="126"/>
      <c r="T553" s="127"/>
      <c r="U553" s="126"/>
      <c r="V553" s="126"/>
      <c r="W553" s="127"/>
      <c r="X553" s="126"/>
      <c r="Y553" s="126"/>
      <c r="Z553" s="127"/>
      <c r="AA553" s="126"/>
      <c r="AB553" s="126"/>
      <c r="AC553" s="127"/>
      <c r="AD553" s="126"/>
      <c r="AE553" s="126"/>
      <c r="AF553" s="126"/>
      <c r="AG553" s="127"/>
      <c r="AH553" s="126"/>
      <c r="AI553" s="126"/>
      <c r="AJ553" s="127"/>
      <c r="AK553" s="126"/>
      <c r="AL553" s="126"/>
      <c r="AM553" s="127"/>
      <c r="AN553" s="126"/>
      <c r="AO553" s="126"/>
      <c r="AP553" s="127"/>
      <c r="AQ553" s="126"/>
      <c r="AR553" s="126"/>
      <c r="AS553" s="127"/>
      <c r="AT553" s="126"/>
      <c r="AU553" s="126"/>
      <c r="AV553" s="127"/>
      <c r="AW553" s="126"/>
      <c r="AX553" s="126"/>
      <c r="AY553" s="127"/>
      <c r="AZ553" s="126"/>
      <c r="BA553" s="126"/>
      <c r="BB553" s="127"/>
      <c r="BC553" s="126"/>
      <c r="BD553" s="134"/>
      <c r="BE553" s="127"/>
      <c r="BF553" s="126"/>
      <c r="BG553" s="126"/>
      <c r="BH553" s="126"/>
      <c r="BI553" s="126"/>
      <c r="BJ553" s="126"/>
      <c r="BK553" s="126"/>
      <c r="BL553" s="126"/>
      <c r="BM553" s="126"/>
      <c r="BN553" s="126"/>
      <c r="BO553" s="126"/>
      <c r="BP553" s="126"/>
      <c r="BQ553" s="126"/>
      <c r="BR553" s="126"/>
      <c r="BS553" s="126"/>
      <c r="BT553" s="126"/>
      <c r="BU553" s="126"/>
      <c r="BV553" s="126"/>
      <c r="BW553" s="126"/>
      <c r="BX553" s="126"/>
    </row>
    <row r="554">
      <c r="A554" s="126"/>
      <c r="B554" s="126"/>
      <c r="C554" s="127"/>
      <c r="D554" s="126"/>
      <c r="E554" s="126"/>
      <c r="F554" s="127"/>
      <c r="G554" s="126"/>
      <c r="H554" s="127"/>
      <c r="I554" s="126"/>
      <c r="J554" s="126"/>
      <c r="K554" s="127"/>
      <c r="L554" s="126"/>
      <c r="M554" s="126"/>
      <c r="N554" s="127"/>
      <c r="O554" s="126"/>
      <c r="P554" s="126"/>
      <c r="Q554" s="127"/>
      <c r="R554" s="126"/>
      <c r="S554" s="126"/>
      <c r="T554" s="127"/>
      <c r="U554" s="126"/>
      <c r="V554" s="126"/>
      <c r="W554" s="127"/>
      <c r="X554" s="126"/>
      <c r="Y554" s="126"/>
      <c r="Z554" s="127"/>
      <c r="AA554" s="126"/>
      <c r="AB554" s="126"/>
      <c r="AC554" s="127"/>
      <c r="AD554" s="126"/>
      <c r="AE554" s="126"/>
      <c r="AF554" s="126"/>
      <c r="AG554" s="127"/>
      <c r="AH554" s="126"/>
      <c r="AI554" s="126"/>
      <c r="AJ554" s="127"/>
      <c r="AK554" s="126"/>
      <c r="AL554" s="126"/>
      <c r="AM554" s="127"/>
      <c r="AN554" s="126"/>
      <c r="AO554" s="126"/>
      <c r="AP554" s="127"/>
      <c r="AQ554" s="126"/>
      <c r="AR554" s="126"/>
      <c r="AS554" s="127"/>
      <c r="AT554" s="126"/>
      <c r="AU554" s="126"/>
      <c r="AV554" s="127"/>
      <c r="AW554" s="126"/>
      <c r="AX554" s="126"/>
      <c r="AY554" s="127"/>
      <c r="AZ554" s="126"/>
      <c r="BA554" s="126"/>
      <c r="BB554" s="127"/>
      <c r="BC554" s="126"/>
      <c r="BD554" s="134"/>
      <c r="BE554" s="127"/>
      <c r="BF554" s="126"/>
      <c r="BG554" s="126"/>
      <c r="BH554" s="126"/>
      <c r="BI554" s="126"/>
      <c r="BJ554" s="126"/>
      <c r="BK554" s="126"/>
      <c r="BL554" s="126"/>
      <c r="BM554" s="126"/>
      <c r="BN554" s="126"/>
      <c r="BO554" s="126"/>
      <c r="BP554" s="126"/>
      <c r="BQ554" s="126"/>
      <c r="BR554" s="126"/>
      <c r="BS554" s="126"/>
      <c r="BT554" s="126"/>
      <c r="BU554" s="126"/>
      <c r="BV554" s="126"/>
      <c r="BW554" s="126"/>
      <c r="BX554" s="126"/>
    </row>
    <row r="555">
      <c r="A555" s="126"/>
      <c r="B555" s="126"/>
      <c r="C555" s="127"/>
      <c r="D555" s="126"/>
      <c r="E555" s="126"/>
      <c r="F555" s="127"/>
      <c r="G555" s="126"/>
      <c r="H555" s="127"/>
      <c r="I555" s="126"/>
      <c r="J555" s="126"/>
      <c r="K555" s="127"/>
      <c r="L555" s="126"/>
      <c r="M555" s="126"/>
      <c r="N555" s="127"/>
      <c r="O555" s="126"/>
      <c r="P555" s="126"/>
      <c r="Q555" s="127"/>
      <c r="R555" s="126"/>
      <c r="S555" s="126"/>
      <c r="T555" s="127"/>
      <c r="U555" s="126"/>
      <c r="V555" s="126"/>
      <c r="W555" s="127"/>
      <c r="X555" s="126"/>
      <c r="Y555" s="126"/>
      <c r="Z555" s="127"/>
      <c r="AA555" s="126"/>
      <c r="AB555" s="126"/>
      <c r="AC555" s="127"/>
      <c r="AD555" s="126"/>
      <c r="AE555" s="126"/>
      <c r="AF555" s="126"/>
      <c r="AG555" s="127"/>
      <c r="AH555" s="126"/>
      <c r="AI555" s="126"/>
      <c r="AJ555" s="127"/>
      <c r="AK555" s="126"/>
      <c r="AL555" s="126"/>
      <c r="AM555" s="127"/>
      <c r="AN555" s="126"/>
      <c r="AO555" s="126"/>
      <c r="AP555" s="127"/>
      <c r="AQ555" s="126"/>
      <c r="AR555" s="126"/>
      <c r="AS555" s="127"/>
      <c r="AT555" s="126"/>
      <c r="AU555" s="126"/>
      <c r="AV555" s="127"/>
      <c r="AW555" s="126"/>
      <c r="AX555" s="126"/>
      <c r="AY555" s="127"/>
      <c r="AZ555" s="126"/>
      <c r="BA555" s="126"/>
      <c r="BB555" s="127"/>
      <c r="BC555" s="126"/>
      <c r="BD555" s="134"/>
      <c r="BE555" s="127"/>
      <c r="BF555" s="126"/>
      <c r="BG555" s="126"/>
      <c r="BH555" s="126"/>
      <c r="BI555" s="126"/>
      <c r="BJ555" s="126"/>
      <c r="BK555" s="126"/>
      <c r="BL555" s="126"/>
      <c r="BM555" s="126"/>
      <c r="BN555" s="126"/>
      <c r="BO555" s="126"/>
      <c r="BP555" s="126"/>
      <c r="BQ555" s="126"/>
      <c r="BR555" s="126"/>
      <c r="BS555" s="126"/>
      <c r="BT555" s="126"/>
      <c r="BU555" s="126"/>
      <c r="BV555" s="126"/>
      <c r="BW555" s="126"/>
      <c r="BX555" s="126"/>
    </row>
    <row r="556">
      <c r="A556" s="126"/>
      <c r="B556" s="126"/>
      <c r="C556" s="127"/>
      <c r="D556" s="126"/>
      <c r="E556" s="126"/>
      <c r="F556" s="127"/>
      <c r="G556" s="126"/>
      <c r="H556" s="127"/>
      <c r="I556" s="126"/>
      <c r="J556" s="126"/>
      <c r="K556" s="127"/>
      <c r="L556" s="126"/>
      <c r="M556" s="126"/>
      <c r="N556" s="127"/>
      <c r="O556" s="126"/>
      <c r="P556" s="126"/>
      <c r="Q556" s="127"/>
      <c r="R556" s="126"/>
      <c r="S556" s="126"/>
      <c r="T556" s="127"/>
      <c r="U556" s="126"/>
      <c r="V556" s="126"/>
      <c r="W556" s="127"/>
      <c r="X556" s="126"/>
      <c r="Y556" s="126"/>
      <c r="Z556" s="127"/>
      <c r="AA556" s="126"/>
      <c r="AB556" s="126"/>
      <c r="AC556" s="127"/>
      <c r="AD556" s="126"/>
      <c r="AE556" s="126"/>
      <c r="AF556" s="126"/>
      <c r="AG556" s="127"/>
      <c r="AH556" s="126"/>
      <c r="AI556" s="126"/>
      <c r="AJ556" s="127"/>
      <c r="AK556" s="126"/>
      <c r="AL556" s="126"/>
      <c r="AM556" s="127"/>
      <c r="AN556" s="126"/>
      <c r="AO556" s="126"/>
      <c r="AP556" s="127"/>
      <c r="AQ556" s="126"/>
      <c r="AR556" s="126"/>
      <c r="AS556" s="127"/>
      <c r="AT556" s="126"/>
      <c r="AU556" s="126"/>
      <c r="AV556" s="127"/>
      <c r="AW556" s="126"/>
      <c r="AX556" s="126"/>
      <c r="AY556" s="127"/>
      <c r="AZ556" s="126"/>
      <c r="BA556" s="126"/>
      <c r="BB556" s="127"/>
      <c r="BC556" s="126"/>
      <c r="BD556" s="134"/>
      <c r="BE556" s="127"/>
      <c r="BF556" s="126"/>
      <c r="BG556" s="126"/>
      <c r="BH556" s="126"/>
      <c r="BI556" s="126"/>
      <c r="BJ556" s="126"/>
      <c r="BK556" s="126"/>
      <c r="BL556" s="126"/>
      <c r="BM556" s="126"/>
      <c r="BN556" s="126"/>
      <c r="BO556" s="126"/>
      <c r="BP556" s="126"/>
      <c r="BQ556" s="126"/>
      <c r="BR556" s="126"/>
      <c r="BS556" s="126"/>
      <c r="BT556" s="126"/>
      <c r="BU556" s="126"/>
      <c r="BV556" s="126"/>
      <c r="BW556" s="126"/>
      <c r="BX556" s="126"/>
    </row>
    <row r="557">
      <c r="A557" s="126"/>
      <c r="B557" s="126"/>
      <c r="C557" s="127"/>
      <c r="D557" s="126"/>
      <c r="E557" s="126"/>
      <c r="F557" s="127"/>
      <c r="G557" s="126"/>
      <c r="H557" s="127"/>
      <c r="I557" s="126"/>
      <c r="J557" s="126"/>
      <c r="K557" s="127"/>
      <c r="L557" s="126"/>
      <c r="M557" s="126"/>
      <c r="N557" s="127"/>
      <c r="O557" s="126"/>
      <c r="P557" s="126"/>
      <c r="Q557" s="127"/>
      <c r="R557" s="126"/>
      <c r="S557" s="126"/>
      <c r="T557" s="127"/>
      <c r="U557" s="126"/>
      <c r="V557" s="126"/>
      <c r="W557" s="127"/>
      <c r="X557" s="126"/>
      <c r="Y557" s="126"/>
      <c r="Z557" s="127"/>
      <c r="AA557" s="126"/>
      <c r="AB557" s="126"/>
      <c r="AC557" s="127"/>
      <c r="AD557" s="126"/>
      <c r="AE557" s="126"/>
      <c r="AF557" s="126"/>
      <c r="AG557" s="127"/>
      <c r="AH557" s="126"/>
      <c r="AI557" s="126"/>
      <c r="AJ557" s="127"/>
      <c r="AK557" s="126"/>
      <c r="AL557" s="126"/>
      <c r="AM557" s="127"/>
      <c r="AN557" s="126"/>
      <c r="AO557" s="126"/>
      <c r="AP557" s="127"/>
      <c r="AQ557" s="126"/>
      <c r="AR557" s="126"/>
      <c r="AS557" s="127"/>
      <c r="AT557" s="126"/>
      <c r="AU557" s="126"/>
      <c r="AV557" s="127"/>
      <c r="AW557" s="126"/>
      <c r="AX557" s="126"/>
      <c r="AY557" s="127"/>
      <c r="AZ557" s="126"/>
      <c r="BA557" s="126"/>
      <c r="BB557" s="127"/>
      <c r="BC557" s="126"/>
      <c r="BD557" s="134"/>
      <c r="BE557" s="127"/>
      <c r="BF557" s="126"/>
      <c r="BG557" s="126"/>
      <c r="BH557" s="126"/>
      <c r="BI557" s="126"/>
      <c r="BJ557" s="126"/>
      <c r="BK557" s="126"/>
      <c r="BL557" s="126"/>
      <c r="BM557" s="126"/>
      <c r="BN557" s="126"/>
      <c r="BO557" s="126"/>
      <c r="BP557" s="126"/>
      <c r="BQ557" s="126"/>
      <c r="BR557" s="126"/>
      <c r="BS557" s="126"/>
      <c r="BT557" s="126"/>
      <c r="BU557" s="126"/>
      <c r="BV557" s="126"/>
      <c r="BW557" s="126"/>
      <c r="BX557" s="126"/>
    </row>
    <row r="558">
      <c r="A558" s="126"/>
      <c r="B558" s="126"/>
      <c r="C558" s="127"/>
      <c r="D558" s="126"/>
      <c r="E558" s="126"/>
      <c r="F558" s="127"/>
      <c r="G558" s="126"/>
      <c r="H558" s="127"/>
      <c r="I558" s="126"/>
      <c r="J558" s="126"/>
      <c r="K558" s="127"/>
      <c r="L558" s="126"/>
      <c r="M558" s="126"/>
      <c r="N558" s="127"/>
      <c r="O558" s="126"/>
      <c r="P558" s="126"/>
      <c r="Q558" s="127"/>
      <c r="R558" s="126"/>
      <c r="S558" s="126"/>
      <c r="T558" s="127"/>
      <c r="U558" s="126"/>
      <c r="V558" s="126"/>
      <c r="W558" s="127"/>
      <c r="X558" s="126"/>
      <c r="Y558" s="126"/>
      <c r="Z558" s="127"/>
      <c r="AA558" s="126"/>
      <c r="AB558" s="126"/>
      <c r="AC558" s="127"/>
      <c r="AD558" s="126"/>
      <c r="AE558" s="126"/>
      <c r="AF558" s="126"/>
      <c r="AG558" s="127"/>
      <c r="AH558" s="126"/>
      <c r="AI558" s="126"/>
      <c r="AJ558" s="127"/>
      <c r="AK558" s="126"/>
      <c r="AL558" s="126"/>
      <c r="AM558" s="127"/>
      <c r="AN558" s="126"/>
      <c r="AO558" s="126"/>
      <c r="AP558" s="127"/>
      <c r="AQ558" s="126"/>
      <c r="AR558" s="126"/>
      <c r="AS558" s="127"/>
      <c r="AT558" s="126"/>
      <c r="AU558" s="126"/>
      <c r="AV558" s="127"/>
      <c r="AW558" s="126"/>
      <c r="AX558" s="126"/>
      <c r="AY558" s="127"/>
      <c r="AZ558" s="126"/>
      <c r="BA558" s="126"/>
      <c r="BB558" s="127"/>
      <c r="BC558" s="126"/>
      <c r="BD558" s="134"/>
      <c r="BE558" s="127"/>
      <c r="BF558" s="126"/>
      <c r="BG558" s="126"/>
      <c r="BH558" s="126"/>
      <c r="BI558" s="126"/>
      <c r="BJ558" s="126"/>
      <c r="BK558" s="126"/>
      <c r="BL558" s="126"/>
      <c r="BM558" s="126"/>
      <c r="BN558" s="126"/>
      <c r="BO558" s="126"/>
      <c r="BP558" s="126"/>
      <c r="BQ558" s="126"/>
      <c r="BR558" s="126"/>
      <c r="BS558" s="126"/>
      <c r="BT558" s="126"/>
      <c r="BU558" s="126"/>
      <c r="BV558" s="126"/>
      <c r="BW558" s="126"/>
      <c r="BX558" s="126"/>
    </row>
    <row r="559">
      <c r="A559" s="126"/>
      <c r="B559" s="126"/>
      <c r="C559" s="127"/>
      <c r="D559" s="126"/>
      <c r="E559" s="126"/>
      <c r="F559" s="127"/>
      <c r="G559" s="126"/>
      <c r="H559" s="127"/>
      <c r="I559" s="126"/>
      <c r="J559" s="126"/>
      <c r="K559" s="127"/>
      <c r="L559" s="126"/>
      <c r="M559" s="126"/>
      <c r="N559" s="127"/>
      <c r="O559" s="126"/>
      <c r="P559" s="126"/>
      <c r="Q559" s="127"/>
      <c r="R559" s="126"/>
      <c r="S559" s="126"/>
      <c r="T559" s="127"/>
      <c r="U559" s="126"/>
      <c r="V559" s="126"/>
      <c r="W559" s="127"/>
      <c r="X559" s="126"/>
      <c r="Y559" s="126"/>
      <c r="Z559" s="127"/>
      <c r="AA559" s="126"/>
      <c r="AB559" s="126"/>
      <c r="AC559" s="127"/>
      <c r="AD559" s="126"/>
      <c r="AE559" s="126"/>
      <c r="AF559" s="126"/>
      <c r="AG559" s="127"/>
      <c r="AH559" s="126"/>
      <c r="AI559" s="126"/>
      <c r="AJ559" s="127"/>
      <c r="AK559" s="126"/>
      <c r="AL559" s="126"/>
      <c r="AM559" s="127"/>
      <c r="AN559" s="126"/>
      <c r="AO559" s="126"/>
      <c r="AP559" s="127"/>
      <c r="AQ559" s="126"/>
      <c r="AR559" s="126"/>
      <c r="AS559" s="127"/>
      <c r="AT559" s="126"/>
      <c r="AU559" s="126"/>
      <c r="AV559" s="127"/>
      <c r="AW559" s="126"/>
      <c r="AX559" s="126"/>
      <c r="AY559" s="127"/>
      <c r="AZ559" s="126"/>
      <c r="BA559" s="126"/>
      <c r="BB559" s="127"/>
      <c r="BC559" s="126"/>
      <c r="BD559" s="134"/>
      <c r="BE559" s="127"/>
      <c r="BF559" s="126"/>
      <c r="BG559" s="126"/>
      <c r="BH559" s="126"/>
      <c r="BI559" s="126"/>
      <c r="BJ559" s="126"/>
      <c r="BK559" s="126"/>
      <c r="BL559" s="126"/>
      <c r="BM559" s="126"/>
      <c r="BN559" s="126"/>
      <c r="BO559" s="126"/>
      <c r="BP559" s="126"/>
      <c r="BQ559" s="126"/>
      <c r="BR559" s="126"/>
      <c r="BS559" s="126"/>
      <c r="BT559" s="126"/>
      <c r="BU559" s="126"/>
      <c r="BV559" s="126"/>
      <c r="BW559" s="126"/>
      <c r="BX559" s="126"/>
    </row>
    <row r="560">
      <c r="A560" s="126"/>
      <c r="B560" s="126"/>
      <c r="C560" s="127"/>
      <c r="D560" s="126"/>
      <c r="E560" s="126"/>
      <c r="F560" s="127"/>
      <c r="G560" s="126"/>
      <c r="H560" s="127"/>
      <c r="I560" s="126"/>
      <c r="J560" s="126"/>
      <c r="K560" s="127"/>
      <c r="L560" s="126"/>
      <c r="M560" s="126"/>
      <c r="N560" s="127"/>
      <c r="O560" s="126"/>
      <c r="P560" s="126"/>
      <c r="Q560" s="127"/>
      <c r="R560" s="126"/>
      <c r="S560" s="126"/>
      <c r="T560" s="127"/>
      <c r="U560" s="126"/>
      <c r="V560" s="126"/>
      <c r="W560" s="127"/>
      <c r="X560" s="126"/>
      <c r="Y560" s="126"/>
      <c r="Z560" s="127"/>
      <c r="AA560" s="126"/>
      <c r="AB560" s="126"/>
      <c r="AC560" s="127"/>
      <c r="AD560" s="126"/>
      <c r="AE560" s="126"/>
      <c r="AF560" s="126"/>
      <c r="AG560" s="127"/>
      <c r="AH560" s="126"/>
      <c r="AI560" s="126"/>
      <c r="AJ560" s="127"/>
      <c r="AK560" s="126"/>
      <c r="AL560" s="126"/>
      <c r="AM560" s="127"/>
      <c r="AN560" s="126"/>
      <c r="AO560" s="126"/>
      <c r="AP560" s="127"/>
      <c r="AQ560" s="126"/>
      <c r="AR560" s="126"/>
      <c r="AS560" s="127"/>
      <c r="AT560" s="126"/>
      <c r="AU560" s="126"/>
      <c r="AV560" s="127"/>
      <c r="AW560" s="126"/>
      <c r="AX560" s="126"/>
      <c r="AY560" s="127"/>
      <c r="AZ560" s="126"/>
      <c r="BA560" s="126"/>
      <c r="BB560" s="127"/>
      <c r="BC560" s="126"/>
      <c r="BD560" s="134"/>
      <c r="BE560" s="127"/>
      <c r="BF560" s="126"/>
      <c r="BG560" s="126"/>
      <c r="BH560" s="126"/>
      <c r="BI560" s="126"/>
      <c r="BJ560" s="126"/>
      <c r="BK560" s="126"/>
      <c r="BL560" s="126"/>
      <c r="BM560" s="126"/>
      <c r="BN560" s="126"/>
      <c r="BO560" s="126"/>
      <c r="BP560" s="126"/>
      <c r="BQ560" s="126"/>
      <c r="BR560" s="126"/>
      <c r="BS560" s="126"/>
      <c r="BT560" s="126"/>
      <c r="BU560" s="126"/>
      <c r="BV560" s="126"/>
      <c r="BW560" s="126"/>
      <c r="BX560" s="126"/>
    </row>
    <row r="561">
      <c r="A561" s="126"/>
      <c r="B561" s="126"/>
      <c r="C561" s="127"/>
      <c r="D561" s="126"/>
      <c r="E561" s="126"/>
      <c r="F561" s="127"/>
      <c r="G561" s="126"/>
      <c r="H561" s="127"/>
      <c r="I561" s="126"/>
      <c r="J561" s="126"/>
      <c r="K561" s="127"/>
      <c r="L561" s="126"/>
      <c r="M561" s="126"/>
      <c r="N561" s="127"/>
      <c r="O561" s="126"/>
      <c r="P561" s="126"/>
      <c r="Q561" s="127"/>
      <c r="R561" s="126"/>
      <c r="S561" s="126"/>
      <c r="T561" s="127"/>
      <c r="U561" s="126"/>
      <c r="V561" s="126"/>
      <c r="W561" s="127"/>
      <c r="X561" s="126"/>
      <c r="Y561" s="126"/>
      <c r="Z561" s="127"/>
      <c r="AA561" s="126"/>
      <c r="AB561" s="126"/>
      <c r="AC561" s="127"/>
      <c r="AD561" s="126"/>
      <c r="AE561" s="126"/>
      <c r="AF561" s="126"/>
      <c r="AG561" s="127"/>
      <c r="AH561" s="126"/>
      <c r="AI561" s="126"/>
      <c r="AJ561" s="127"/>
      <c r="AK561" s="126"/>
      <c r="AL561" s="126"/>
      <c r="AM561" s="127"/>
      <c r="AN561" s="126"/>
      <c r="AO561" s="126"/>
      <c r="AP561" s="127"/>
      <c r="AQ561" s="126"/>
      <c r="AR561" s="126"/>
      <c r="AS561" s="127"/>
      <c r="AT561" s="126"/>
      <c r="AU561" s="126"/>
      <c r="AV561" s="127"/>
      <c r="AW561" s="126"/>
      <c r="AX561" s="126"/>
      <c r="AY561" s="127"/>
      <c r="AZ561" s="126"/>
      <c r="BA561" s="126"/>
      <c r="BB561" s="127"/>
      <c r="BC561" s="126"/>
      <c r="BD561" s="134"/>
      <c r="BE561" s="127"/>
      <c r="BF561" s="126"/>
      <c r="BG561" s="126"/>
      <c r="BH561" s="126"/>
      <c r="BI561" s="126"/>
      <c r="BJ561" s="126"/>
      <c r="BK561" s="126"/>
      <c r="BL561" s="126"/>
      <c r="BM561" s="126"/>
      <c r="BN561" s="126"/>
      <c r="BO561" s="126"/>
      <c r="BP561" s="126"/>
      <c r="BQ561" s="126"/>
      <c r="BR561" s="126"/>
      <c r="BS561" s="126"/>
      <c r="BT561" s="126"/>
      <c r="BU561" s="126"/>
      <c r="BV561" s="126"/>
      <c r="BW561" s="126"/>
      <c r="BX561" s="126"/>
    </row>
    <row r="562">
      <c r="A562" s="126"/>
      <c r="B562" s="126"/>
      <c r="C562" s="127"/>
      <c r="D562" s="126"/>
      <c r="E562" s="126"/>
      <c r="F562" s="127"/>
      <c r="G562" s="126"/>
      <c r="H562" s="127"/>
      <c r="I562" s="126"/>
      <c r="J562" s="126"/>
      <c r="K562" s="127"/>
      <c r="L562" s="126"/>
      <c r="M562" s="126"/>
      <c r="N562" s="127"/>
      <c r="O562" s="126"/>
      <c r="P562" s="126"/>
      <c r="Q562" s="127"/>
      <c r="R562" s="126"/>
      <c r="S562" s="126"/>
      <c r="T562" s="127"/>
      <c r="U562" s="126"/>
      <c r="V562" s="126"/>
      <c r="W562" s="127"/>
      <c r="X562" s="126"/>
      <c r="Y562" s="126"/>
      <c r="Z562" s="127"/>
      <c r="AA562" s="126"/>
      <c r="AB562" s="126"/>
      <c r="AC562" s="127"/>
      <c r="AD562" s="126"/>
      <c r="AE562" s="126"/>
      <c r="AF562" s="126"/>
      <c r="AG562" s="127"/>
      <c r="AH562" s="126"/>
      <c r="AI562" s="126"/>
      <c r="AJ562" s="127"/>
      <c r="AK562" s="126"/>
      <c r="AL562" s="126"/>
      <c r="AM562" s="127"/>
      <c r="AN562" s="126"/>
      <c r="AO562" s="126"/>
      <c r="AP562" s="127"/>
      <c r="AQ562" s="126"/>
      <c r="AR562" s="126"/>
      <c r="AS562" s="127"/>
      <c r="AT562" s="126"/>
      <c r="AU562" s="126"/>
      <c r="AV562" s="127"/>
      <c r="AW562" s="126"/>
      <c r="AX562" s="126"/>
      <c r="AY562" s="127"/>
      <c r="AZ562" s="126"/>
      <c r="BA562" s="126"/>
      <c r="BB562" s="127"/>
      <c r="BC562" s="126"/>
      <c r="BD562" s="134"/>
      <c r="BE562" s="127"/>
      <c r="BF562" s="126"/>
      <c r="BG562" s="126"/>
      <c r="BH562" s="126"/>
      <c r="BI562" s="126"/>
      <c r="BJ562" s="126"/>
      <c r="BK562" s="126"/>
      <c r="BL562" s="126"/>
      <c r="BM562" s="126"/>
      <c r="BN562" s="126"/>
      <c r="BO562" s="126"/>
      <c r="BP562" s="126"/>
      <c r="BQ562" s="126"/>
      <c r="BR562" s="126"/>
      <c r="BS562" s="126"/>
      <c r="BT562" s="126"/>
      <c r="BU562" s="126"/>
      <c r="BV562" s="126"/>
      <c r="BW562" s="126"/>
      <c r="BX562" s="126"/>
    </row>
    <row r="563">
      <c r="A563" s="126"/>
      <c r="B563" s="126"/>
      <c r="C563" s="127"/>
      <c r="D563" s="126"/>
      <c r="E563" s="126"/>
      <c r="F563" s="127"/>
      <c r="G563" s="126"/>
      <c r="H563" s="127"/>
      <c r="I563" s="126"/>
      <c r="J563" s="126"/>
      <c r="K563" s="127"/>
      <c r="L563" s="126"/>
      <c r="M563" s="126"/>
      <c r="N563" s="127"/>
      <c r="O563" s="126"/>
      <c r="P563" s="126"/>
      <c r="Q563" s="127"/>
      <c r="R563" s="126"/>
      <c r="S563" s="126"/>
      <c r="T563" s="127"/>
      <c r="U563" s="126"/>
      <c r="V563" s="126"/>
      <c r="W563" s="127"/>
      <c r="X563" s="126"/>
      <c r="Y563" s="126"/>
      <c r="Z563" s="127"/>
      <c r="AA563" s="126"/>
      <c r="AB563" s="126"/>
      <c r="AC563" s="127"/>
      <c r="AD563" s="126"/>
      <c r="AE563" s="126"/>
      <c r="AF563" s="126"/>
      <c r="AG563" s="127"/>
      <c r="AH563" s="126"/>
      <c r="AI563" s="126"/>
      <c r="AJ563" s="127"/>
      <c r="AK563" s="126"/>
      <c r="AL563" s="126"/>
      <c r="AM563" s="127"/>
      <c r="AN563" s="126"/>
      <c r="AO563" s="126"/>
      <c r="AP563" s="127"/>
      <c r="AQ563" s="126"/>
      <c r="AR563" s="126"/>
      <c r="AS563" s="127"/>
      <c r="AT563" s="126"/>
      <c r="AU563" s="126"/>
      <c r="AV563" s="127"/>
      <c r="AW563" s="126"/>
      <c r="AX563" s="126"/>
      <c r="AY563" s="127"/>
      <c r="AZ563" s="126"/>
      <c r="BA563" s="126"/>
      <c r="BB563" s="127"/>
      <c r="BC563" s="126"/>
      <c r="BD563" s="134"/>
      <c r="BE563" s="127"/>
      <c r="BF563" s="126"/>
      <c r="BG563" s="126"/>
      <c r="BH563" s="126"/>
      <c r="BI563" s="126"/>
      <c r="BJ563" s="126"/>
      <c r="BK563" s="126"/>
      <c r="BL563" s="126"/>
      <c r="BM563" s="126"/>
      <c r="BN563" s="126"/>
      <c r="BO563" s="126"/>
      <c r="BP563" s="126"/>
      <c r="BQ563" s="126"/>
      <c r="BR563" s="126"/>
      <c r="BS563" s="126"/>
      <c r="BT563" s="126"/>
      <c r="BU563" s="126"/>
      <c r="BV563" s="126"/>
      <c r="BW563" s="126"/>
      <c r="BX563" s="126"/>
    </row>
    <row r="564">
      <c r="A564" s="126"/>
      <c r="B564" s="126"/>
      <c r="C564" s="127"/>
      <c r="D564" s="126"/>
      <c r="E564" s="126"/>
      <c r="F564" s="127"/>
      <c r="G564" s="126"/>
      <c r="H564" s="127"/>
      <c r="I564" s="126"/>
      <c r="J564" s="126"/>
      <c r="K564" s="127"/>
      <c r="L564" s="126"/>
      <c r="M564" s="126"/>
      <c r="N564" s="127"/>
      <c r="O564" s="126"/>
      <c r="P564" s="126"/>
      <c r="Q564" s="127"/>
      <c r="R564" s="126"/>
      <c r="S564" s="126"/>
      <c r="T564" s="127"/>
      <c r="U564" s="126"/>
      <c r="V564" s="126"/>
      <c r="W564" s="127"/>
      <c r="X564" s="126"/>
      <c r="Y564" s="126"/>
      <c r="Z564" s="127"/>
      <c r="AA564" s="126"/>
      <c r="AB564" s="126"/>
      <c r="AC564" s="127"/>
      <c r="AD564" s="126"/>
      <c r="AE564" s="126"/>
      <c r="AF564" s="126"/>
      <c r="AG564" s="127"/>
      <c r="AH564" s="126"/>
      <c r="AI564" s="126"/>
      <c r="AJ564" s="127"/>
      <c r="AK564" s="126"/>
      <c r="AL564" s="126"/>
      <c r="AM564" s="127"/>
      <c r="AN564" s="126"/>
      <c r="AO564" s="126"/>
      <c r="AP564" s="127"/>
      <c r="AQ564" s="126"/>
      <c r="AR564" s="126"/>
      <c r="AS564" s="127"/>
      <c r="AT564" s="126"/>
      <c r="AU564" s="126"/>
      <c r="AV564" s="127"/>
      <c r="AW564" s="126"/>
      <c r="AX564" s="126"/>
      <c r="AY564" s="127"/>
      <c r="AZ564" s="126"/>
      <c r="BA564" s="126"/>
      <c r="BB564" s="127"/>
      <c r="BC564" s="126"/>
      <c r="BD564" s="134"/>
      <c r="BE564" s="127"/>
      <c r="BF564" s="126"/>
      <c r="BG564" s="126"/>
      <c r="BH564" s="126"/>
      <c r="BI564" s="126"/>
      <c r="BJ564" s="126"/>
      <c r="BK564" s="126"/>
      <c r="BL564" s="126"/>
      <c r="BM564" s="126"/>
      <c r="BN564" s="126"/>
      <c r="BO564" s="126"/>
      <c r="BP564" s="126"/>
      <c r="BQ564" s="126"/>
      <c r="BR564" s="126"/>
      <c r="BS564" s="126"/>
      <c r="BT564" s="126"/>
      <c r="BU564" s="126"/>
      <c r="BV564" s="126"/>
      <c r="BW564" s="126"/>
      <c r="BX564" s="126"/>
    </row>
    <row r="565">
      <c r="A565" s="126"/>
      <c r="B565" s="126"/>
      <c r="C565" s="127"/>
      <c r="D565" s="126"/>
      <c r="E565" s="126"/>
      <c r="F565" s="127"/>
      <c r="G565" s="126"/>
      <c r="H565" s="127"/>
      <c r="I565" s="126"/>
      <c r="J565" s="126"/>
      <c r="K565" s="127"/>
      <c r="L565" s="126"/>
      <c r="M565" s="126"/>
      <c r="N565" s="127"/>
      <c r="O565" s="126"/>
      <c r="P565" s="126"/>
      <c r="Q565" s="127"/>
      <c r="R565" s="126"/>
      <c r="S565" s="126"/>
      <c r="T565" s="127"/>
      <c r="U565" s="126"/>
      <c r="V565" s="126"/>
      <c r="W565" s="127"/>
      <c r="X565" s="126"/>
      <c r="Y565" s="126"/>
      <c r="Z565" s="127"/>
      <c r="AA565" s="126"/>
      <c r="AB565" s="126"/>
      <c r="AC565" s="127"/>
      <c r="AD565" s="126"/>
      <c r="AE565" s="126"/>
      <c r="AF565" s="126"/>
      <c r="AG565" s="127"/>
      <c r="AH565" s="126"/>
      <c r="AI565" s="126"/>
      <c r="AJ565" s="127"/>
      <c r="AK565" s="126"/>
      <c r="AL565" s="126"/>
      <c r="AM565" s="127"/>
      <c r="AN565" s="126"/>
      <c r="AO565" s="126"/>
      <c r="AP565" s="127"/>
      <c r="AQ565" s="126"/>
      <c r="AR565" s="126"/>
      <c r="AS565" s="127"/>
      <c r="AT565" s="126"/>
      <c r="AU565" s="126"/>
      <c r="AV565" s="127"/>
      <c r="AW565" s="126"/>
      <c r="AX565" s="126"/>
      <c r="AY565" s="127"/>
      <c r="AZ565" s="126"/>
      <c r="BA565" s="126"/>
      <c r="BB565" s="127"/>
      <c r="BC565" s="126"/>
      <c r="BD565" s="134"/>
      <c r="BE565" s="127"/>
      <c r="BF565" s="126"/>
      <c r="BG565" s="126"/>
      <c r="BH565" s="126"/>
      <c r="BI565" s="126"/>
      <c r="BJ565" s="126"/>
      <c r="BK565" s="126"/>
      <c r="BL565" s="126"/>
      <c r="BM565" s="126"/>
      <c r="BN565" s="126"/>
      <c r="BO565" s="126"/>
      <c r="BP565" s="126"/>
      <c r="BQ565" s="126"/>
      <c r="BR565" s="126"/>
      <c r="BS565" s="126"/>
      <c r="BT565" s="126"/>
      <c r="BU565" s="126"/>
      <c r="BV565" s="126"/>
      <c r="BW565" s="126"/>
      <c r="BX565" s="126"/>
    </row>
    <row r="566">
      <c r="A566" s="126"/>
      <c r="B566" s="126"/>
      <c r="C566" s="127"/>
      <c r="D566" s="126"/>
      <c r="E566" s="126"/>
      <c r="F566" s="127"/>
      <c r="G566" s="126"/>
      <c r="H566" s="127"/>
      <c r="I566" s="126"/>
      <c r="J566" s="126"/>
      <c r="K566" s="127"/>
      <c r="L566" s="126"/>
      <c r="M566" s="126"/>
      <c r="N566" s="127"/>
      <c r="O566" s="126"/>
      <c r="P566" s="126"/>
      <c r="Q566" s="127"/>
      <c r="R566" s="126"/>
      <c r="S566" s="126"/>
      <c r="T566" s="127"/>
      <c r="U566" s="126"/>
      <c r="V566" s="126"/>
      <c r="W566" s="127"/>
      <c r="X566" s="126"/>
      <c r="Y566" s="126"/>
      <c r="Z566" s="127"/>
      <c r="AA566" s="126"/>
      <c r="AB566" s="126"/>
      <c r="AC566" s="127"/>
      <c r="AD566" s="126"/>
      <c r="AE566" s="126"/>
      <c r="AF566" s="126"/>
      <c r="AG566" s="127"/>
      <c r="AH566" s="126"/>
      <c r="AI566" s="126"/>
      <c r="AJ566" s="127"/>
      <c r="AK566" s="126"/>
      <c r="AL566" s="126"/>
      <c r="AM566" s="127"/>
      <c r="AN566" s="126"/>
      <c r="AO566" s="126"/>
      <c r="AP566" s="127"/>
      <c r="AQ566" s="126"/>
      <c r="AR566" s="126"/>
      <c r="AS566" s="127"/>
      <c r="AT566" s="126"/>
      <c r="AU566" s="126"/>
      <c r="AV566" s="127"/>
      <c r="AW566" s="126"/>
      <c r="AX566" s="126"/>
      <c r="AY566" s="127"/>
      <c r="AZ566" s="126"/>
      <c r="BA566" s="126"/>
      <c r="BB566" s="127"/>
      <c r="BC566" s="126"/>
      <c r="BD566" s="134"/>
      <c r="BE566" s="127"/>
      <c r="BF566" s="126"/>
      <c r="BG566" s="126"/>
      <c r="BH566" s="126"/>
      <c r="BI566" s="126"/>
      <c r="BJ566" s="126"/>
      <c r="BK566" s="126"/>
      <c r="BL566" s="126"/>
      <c r="BM566" s="126"/>
      <c r="BN566" s="126"/>
      <c r="BO566" s="126"/>
      <c r="BP566" s="126"/>
      <c r="BQ566" s="126"/>
      <c r="BR566" s="126"/>
      <c r="BS566" s="126"/>
      <c r="BT566" s="126"/>
      <c r="BU566" s="126"/>
      <c r="BV566" s="126"/>
      <c r="BW566" s="126"/>
      <c r="BX566" s="126"/>
    </row>
    <row r="567">
      <c r="A567" s="126"/>
      <c r="B567" s="126"/>
      <c r="C567" s="127"/>
      <c r="D567" s="126"/>
      <c r="E567" s="126"/>
      <c r="F567" s="127"/>
      <c r="G567" s="126"/>
      <c r="H567" s="127"/>
      <c r="I567" s="126"/>
      <c r="J567" s="126"/>
      <c r="K567" s="127"/>
      <c r="L567" s="126"/>
      <c r="M567" s="126"/>
      <c r="N567" s="127"/>
      <c r="O567" s="126"/>
      <c r="P567" s="126"/>
      <c r="Q567" s="127"/>
      <c r="R567" s="126"/>
      <c r="S567" s="126"/>
      <c r="T567" s="127"/>
      <c r="U567" s="126"/>
      <c r="V567" s="126"/>
      <c r="W567" s="127"/>
      <c r="X567" s="126"/>
      <c r="Y567" s="126"/>
      <c r="Z567" s="127"/>
      <c r="AA567" s="126"/>
      <c r="AB567" s="126"/>
      <c r="AC567" s="127"/>
      <c r="AD567" s="126"/>
      <c r="AE567" s="126"/>
      <c r="AF567" s="126"/>
      <c r="AG567" s="127"/>
      <c r="AH567" s="126"/>
      <c r="AI567" s="126"/>
      <c r="AJ567" s="127"/>
      <c r="AK567" s="126"/>
      <c r="AL567" s="126"/>
      <c r="AM567" s="127"/>
      <c r="AN567" s="126"/>
      <c r="AO567" s="126"/>
      <c r="AP567" s="127"/>
      <c r="AQ567" s="126"/>
      <c r="AR567" s="126"/>
      <c r="AS567" s="127"/>
      <c r="AT567" s="126"/>
      <c r="AU567" s="126"/>
      <c r="AV567" s="127"/>
      <c r="AW567" s="126"/>
      <c r="AX567" s="126"/>
      <c r="AY567" s="127"/>
      <c r="AZ567" s="126"/>
      <c r="BA567" s="126"/>
      <c r="BB567" s="127"/>
      <c r="BC567" s="126"/>
      <c r="BD567" s="134"/>
      <c r="BE567" s="127"/>
      <c r="BF567" s="126"/>
      <c r="BG567" s="126"/>
      <c r="BH567" s="126"/>
      <c r="BI567" s="126"/>
      <c r="BJ567" s="126"/>
      <c r="BK567" s="126"/>
      <c r="BL567" s="126"/>
      <c r="BM567" s="126"/>
      <c r="BN567" s="126"/>
      <c r="BO567" s="126"/>
      <c r="BP567" s="126"/>
      <c r="BQ567" s="126"/>
      <c r="BR567" s="126"/>
      <c r="BS567" s="126"/>
      <c r="BT567" s="126"/>
      <c r="BU567" s="126"/>
      <c r="BV567" s="126"/>
      <c r="BW567" s="126"/>
      <c r="BX567" s="126"/>
    </row>
    <row r="568">
      <c r="A568" s="126"/>
      <c r="B568" s="126"/>
      <c r="C568" s="127"/>
      <c r="D568" s="126"/>
      <c r="E568" s="126"/>
      <c r="F568" s="127"/>
      <c r="G568" s="126"/>
      <c r="H568" s="127"/>
      <c r="I568" s="126"/>
      <c r="J568" s="126"/>
      <c r="K568" s="127"/>
      <c r="L568" s="126"/>
      <c r="M568" s="126"/>
      <c r="N568" s="127"/>
      <c r="O568" s="126"/>
      <c r="P568" s="126"/>
      <c r="Q568" s="127"/>
      <c r="R568" s="126"/>
      <c r="S568" s="126"/>
      <c r="T568" s="127"/>
      <c r="U568" s="126"/>
      <c r="V568" s="126"/>
      <c r="W568" s="127"/>
      <c r="X568" s="126"/>
      <c r="Y568" s="126"/>
      <c r="Z568" s="127"/>
      <c r="AA568" s="126"/>
      <c r="AB568" s="126"/>
      <c r="AC568" s="127"/>
      <c r="AD568" s="126"/>
      <c r="AE568" s="126"/>
      <c r="AF568" s="126"/>
      <c r="AG568" s="127"/>
      <c r="AH568" s="126"/>
      <c r="AI568" s="126"/>
      <c r="AJ568" s="127"/>
      <c r="AK568" s="126"/>
      <c r="AL568" s="126"/>
      <c r="AM568" s="127"/>
      <c r="AN568" s="126"/>
      <c r="AO568" s="126"/>
      <c r="AP568" s="127"/>
      <c r="AQ568" s="126"/>
      <c r="AR568" s="126"/>
      <c r="AS568" s="127"/>
      <c r="AT568" s="126"/>
      <c r="AU568" s="126"/>
      <c r="AV568" s="127"/>
      <c r="AW568" s="126"/>
      <c r="AX568" s="126"/>
      <c r="AY568" s="127"/>
      <c r="AZ568" s="126"/>
      <c r="BA568" s="126"/>
      <c r="BB568" s="127"/>
      <c r="BC568" s="126"/>
      <c r="BD568" s="134"/>
      <c r="BE568" s="127"/>
      <c r="BF568" s="126"/>
      <c r="BG568" s="126"/>
      <c r="BH568" s="126"/>
      <c r="BI568" s="126"/>
      <c r="BJ568" s="126"/>
      <c r="BK568" s="126"/>
      <c r="BL568" s="126"/>
      <c r="BM568" s="126"/>
      <c r="BN568" s="126"/>
      <c r="BO568" s="126"/>
      <c r="BP568" s="126"/>
      <c r="BQ568" s="126"/>
      <c r="BR568" s="126"/>
      <c r="BS568" s="126"/>
      <c r="BT568" s="126"/>
      <c r="BU568" s="126"/>
      <c r="BV568" s="126"/>
      <c r="BW568" s="126"/>
      <c r="BX568" s="126"/>
    </row>
    <row r="569">
      <c r="A569" s="126"/>
      <c r="B569" s="126"/>
      <c r="C569" s="127"/>
      <c r="D569" s="126"/>
      <c r="E569" s="126"/>
      <c r="F569" s="127"/>
      <c r="G569" s="126"/>
      <c r="H569" s="127"/>
      <c r="I569" s="126"/>
      <c r="J569" s="126"/>
      <c r="K569" s="127"/>
      <c r="L569" s="126"/>
      <c r="M569" s="126"/>
      <c r="N569" s="127"/>
      <c r="O569" s="126"/>
      <c r="P569" s="126"/>
      <c r="Q569" s="127"/>
      <c r="R569" s="126"/>
      <c r="S569" s="126"/>
      <c r="T569" s="127"/>
      <c r="U569" s="126"/>
      <c r="V569" s="126"/>
      <c r="W569" s="127"/>
      <c r="X569" s="126"/>
      <c r="Y569" s="126"/>
      <c r="Z569" s="127"/>
      <c r="AA569" s="126"/>
      <c r="AB569" s="126"/>
      <c r="AC569" s="127"/>
      <c r="AD569" s="126"/>
      <c r="AE569" s="126"/>
      <c r="AF569" s="126"/>
      <c r="AG569" s="127"/>
      <c r="AH569" s="126"/>
      <c r="AI569" s="126"/>
      <c r="AJ569" s="127"/>
      <c r="AK569" s="126"/>
      <c r="AL569" s="126"/>
      <c r="AM569" s="127"/>
      <c r="AN569" s="126"/>
      <c r="AO569" s="126"/>
      <c r="AP569" s="127"/>
      <c r="AQ569" s="126"/>
      <c r="AR569" s="126"/>
      <c r="AS569" s="127"/>
      <c r="AT569" s="126"/>
      <c r="AU569" s="126"/>
      <c r="AV569" s="127"/>
      <c r="AW569" s="126"/>
      <c r="AX569" s="126"/>
      <c r="AY569" s="127"/>
      <c r="AZ569" s="126"/>
      <c r="BA569" s="126"/>
      <c r="BB569" s="127"/>
      <c r="BC569" s="126"/>
      <c r="BD569" s="134"/>
      <c r="BE569" s="127"/>
      <c r="BF569" s="126"/>
      <c r="BG569" s="126"/>
      <c r="BH569" s="126"/>
      <c r="BI569" s="126"/>
      <c r="BJ569" s="126"/>
      <c r="BK569" s="126"/>
      <c r="BL569" s="126"/>
      <c r="BM569" s="126"/>
      <c r="BN569" s="126"/>
      <c r="BO569" s="126"/>
      <c r="BP569" s="126"/>
      <c r="BQ569" s="126"/>
      <c r="BR569" s="126"/>
      <c r="BS569" s="126"/>
      <c r="BT569" s="126"/>
      <c r="BU569" s="126"/>
      <c r="BV569" s="126"/>
      <c r="BW569" s="126"/>
      <c r="BX569" s="126"/>
    </row>
    <row r="570">
      <c r="A570" s="126"/>
      <c r="B570" s="126"/>
      <c r="C570" s="127"/>
      <c r="D570" s="126"/>
      <c r="E570" s="126"/>
      <c r="F570" s="127"/>
      <c r="G570" s="126"/>
      <c r="H570" s="127"/>
      <c r="I570" s="126"/>
      <c r="J570" s="126"/>
      <c r="K570" s="127"/>
      <c r="L570" s="126"/>
      <c r="M570" s="126"/>
      <c r="N570" s="127"/>
      <c r="O570" s="126"/>
      <c r="P570" s="126"/>
      <c r="Q570" s="127"/>
      <c r="R570" s="126"/>
      <c r="S570" s="126"/>
      <c r="T570" s="127"/>
      <c r="U570" s="126"/>
      <c r="V570" s="126"/>
      <c r="W570" s="127"/>
      <c r="X570" s="126"/>
      <c r="Y570" s="126"/>
      <c r="Z570" s="127"/>
      <c r="AA570" s="126"/>
      <c r="AB570" s="126"/>
      <c r="AC570" s="127"/>
      <c r="AD570" s="126"/>
      <c r="AE570" s="126"/>
      <c r="AF570" s="126"/>
      <c r="AG570" s="127"/>
      <c r="AH570" s="126"/>
      <c r="AI570" s="126"/>
      <c r="AJ570" s="127"/>
      <c r="AK570" s="126"/>
      <c r="AL570" s="126"/>
      <c r="AM570" s="127"/>
      <c r="AN570" s="126"/>
      <c r="AO570" s="126"/>
      <c r="AP570" s="127"/>
      <c r="AQ570" s="126"/>
      <c r="AR570" s="126"/>
      <c r="AS570" s="127"/>
      <c r="AT570" s="126"/>
      <c r="AU570" s="126"/>
      <c r="AV570" s="127"/>
      <c r="AW570" s="126"/>
      <c r="AX570" s="126"/>
      <c r="AY570" s="127"/>
      <c r="AZ570" s="126"/>
      <c r="BA570" s="126"/>
      <c r="BB570" s="127"/>
      <c r="BC570" s="126"/>
      <c r="BD570" s="134"/>
      <c r="BE570" s="127"/>
      <c r="BF570" s="126"/>
      <c r="BG570" s="126"/>
      <c r="BH570" s="126"/>
      <c r="BI570" s="126"/>
      <c r="BJ570" s="126"/>
      <c r="BK570" s="126"/>
      <c r="BL570" s="126"/>
      <c r="BM570" s="126"/>
      <c r="BN570" s="126"/>
      <c r="BO570" s="126"/>
      <c r="BP570" s="126"/>
      <c r="BQ570" s="126"/>
      <c r="BR570" s="126"/>
      <c r="BS570" s="126"/>
      <c r="BT570" s="126"/>
      <c r="BU570" s="126"/>
      <c r="BV570" s="126"/>
      <c r="BW570" s="126"/>
      <c r="BX570" s="126"/>
    </row>
    <row r="571">
      <c r="A571" s="126"/>
      <c r="B571" s="126"/>
      <c r="C571" s="127"/>
      <c r="D571" s="126"/>
      <c r="E571" s="126"/>
      <c r="F571" s="127"/>
      <c r="G571" s="126"/>
      <c r="H571" s="127"/>
      <c r="I571" s="126"/>
      <c r="J571" s="126"/>
      <c r="K571" s="127"/>
      <c r="L571" s="126"/>
      <c r="M571" s="126"/>
      <c r="N571" s="127"/>
      <c r="O571" s="126"/>
      <c r="P571" s="126"/>
      <c r="Q571" s="127"/>
      <c r="R571" s="126"/>
      <c r="S571" s="126"/>
      <c r="T571" s="127"/>
      <c r="U571" s="126"/>
      <c r="V571" s="126"/>
      <c r="W571" s="127"/>
      <c r="X571" s="126"/>
      <c r="Y571" s="126"/>
      <c r="Z571" s="127"/>
      <c r="AA571" s="126"/>
      <c r="AB571" s="126"/>
      <c r="AC571" s="127"/>
      <c r="AD571" s="126"/>
      <c r="AE571" s="126"/>
      <c r="AF571" s="126"/>
      <c r="AG571" s="127"/>
      <c r="AH571" s="126"/>
      <c r="AI571" s="126"/>
      <c r="AJ571" s="127"/>
      <c r="AK571" s="126"/>
      <c r="AL571" s="126"/>
      <c r="AM571" s="127"/>
      <c r="AN571" s="126"/>
      <c r="AO571" s="126"/>
      <c r="AP571" s="127"/>
      <c r="AQ571" s="126"/>
      <c r="AR571" s="126"/>
      <c r="AS571" s="127"/>
      <c r="AT571" s="126"/>
      <c r="AU571" s="126"/>
      <c r="AV571" s="127"/>
      <c r="AW571" s="126"/>
      <c r="AX571" s="126"/>
      <c r="AY571" s="127"/>
      <c r="AZ571" s="126"/>
      <c r="BA571" s="126"/>
      <c r="BB571" s="127"/>
      <c r="BC571" s="126"/>
      <c r="BD571" s="134"/>
      <c r="BE571" s="127"/>
      <c r="BF571" s="126"/>
      <c r="BG571" s="126"/>
      <c r="BH571" s="126"/>
      <c r="BI571" s="126"/>
      <c r="BJ571" s="126"/>
      <c r="BK571" s="126"/>
      <c r="BL571" s="126"/>
      <c r="BM571" s="126"/>
      <c r="BN571" s="126"/>
      <c r="BO571" s="126"/>
      <c r="BP571" s="126"/>
      <c r="BQ571" s="126"/>
      <c r="BR571" s="126"/>
      <c r="BS571" s="126"/>
      <c r="BT571" s="126"/>
      <c r="BU571" s="126"/>
      <c r="BV571" s="126"/>
      <c r="BW571" s="126"/>
      <c r="BX571" s="126"/>
    </row>
    <row r="572">
      <c r="A572" s="126"/>
      <c r="B572" s="126"/>
      <c r="C572" s="127"/>
      <c r="D572" s="126"/>
      <c r="E572" s="126"/>
      <c r="F572" s="127"/>
      <c r="G572" s="126"/>
      <c r="H572" s="127"/>
      <c r="I572" s="126"/>
      <c r="J572" s="126"/>
      <c r="K572" s="127"/>
      <c r="L572" s="126"/>
      <c r="M572" s="126"/>
      <c r="N572" s="127"/>
      <c r="O572" s="126"/>
      <c r="P572" s="126"/>
      <c r="Q572" s="127"/>
      <c r="R572" s="126"/>
      <c r="S572" s="126"/>
      <c r="T572" s="127"/>
      <c r="U572" s="126"/>
      <c r="V572" s="126"/>
      <c r="W572" s="127"/>
      <c r="X572" s="126"/>
      <c r="Y572" s="126"/>
      <c r="Z572" s="127"/>
      <c r="AA572" s="126"/>
      <c r="AB572" s="126"/>
      <c r="AC572" s="127"/>
      <c r="AD572" s="126"/>
      <c r="AE572" s="126"/>
      <c r="AF572" s="126"/>
      <c r="AG572" s="127"/>
      <c r="AH572" s="126"/>
      <c r="AI572" s="126"/>
      <c r="AJ572" s="127"/>
      <c r="AK572" s="126"/>
      <c r="AL572" s="126"/>
      <c r="AM572" s="127"/>
      <c r="AN572" s="126"/>
      <c r="AO572" s="126"/>
      <c r="AP572" s="127"/>
      <c r="AQ572" s="126"/>
      <c r="AR572" s="126"/>
      <c r="AS572" s="127"/>
      <c r="AT572" s="126"/>
      <c r="AU572" s="126"/>
      <c r="AV572" s="127"/>
      <c r="AW572" s="126"/>
      <c r="AX572" s="126"/>
      <c r="AY572" s="127"/>
      <c r="AZ572" s="126"/>
      <c r="BA572" s="126"/>
      <c r="BB572" s="127"/>
      <c r="BC572" s="126"/>
      <c r="BD572" s="134"/>
      <c r="BE572" s="127"/>
      <c r="BF572" s="126"/>
      <c r="BG572" s="126"/>
      <c r="BH572" s="126"/>
      <c r="BI572" s="126"/>
      <c r="BJ572" s="126"/>
      <c r="BK572" s="126"/>
      <c r="BL572" s="126"/>
      <c r="BM572" s="126"/>
      <c r="BN572" s="126"/>
      <c r="BO572" s="126"/>
      <c r="BP572" s="126"/>
      <c r="BQ572" s="126"/>
      <c r="BR572" s="126"/>
      <c r="BS572" s="126"/>
      <c r="BT572" s="126"/>
      <c r="BU572" s="126"/>
      <c r="BV572" s="126"/>
      <c r="BW572" s="126"/>
      <c r="BX572" s="126"/>
    </row>
    <row r="573">
      <c r="A573" s="126"/>
      <c r="B573" s="126"/>
      <c r="C573" s="127"/>
      <c r="D573" s="126"/>
      <c r="E573" s="126"/>
      <c r="F573" s="127"/>
      <c r="G573" s="126"/>
      <c r="H573" s="127"/>
      <c r="I573" s="126"/>
      <c r="J573" s="126"/>
      <c r="K573" s="127"/>
      <c r="L573" s="126"/>
      <c r="M573" s="126"/>
      <c r="N573" s="127"/>
      <c r="O573" s="126"/>
      <c r="P573" s="126"/>
      <c r="Q573" s="127"/>
      <c r="R573" s="126"/>
      <c r="S573" s="126"/>
      <c r="T573" s="127"/>
      <c r="U573" s="126"/>
      <c r="V573" s="126"/>
      <c r="W573" s="127"/>
      <c r="X573" s="126"/>
      <c r="Y573" s="126"/>
      <c r="Z573" s="127"/>
      <c r="AA573" s="126"/>
      <c r="AB573" s="126"/>
      <c r="AC573" s="127"/>
      <c r="AD573" s="126"/>
      <c r="AE573" s="126"/>
      <c r="AF573" s="126"/>
      <c r="AG573" s="127"/>
      <c r="AH573" s="126"/>
      <c r="AI573" s="126"/>
      <c r="AJ573" s="127"/>
      <c r="AK573" s="126"/>
      <c r="AL573" s="126"/>
      <c r="AM573" s="127"/>
      <c r="AN573" s="126"/>
      <c r="AO573" s="126"/>
      <c r="AP573" s="127"/>
      <c r="AQ573" s="126"/>
      <c r="AR573" s="126"/>
      <c r="AS573" s="127"/>
      <c r="AT573" s="126"/>
      <c r="AU573" s="126"/>
      <c r="AV573" s="127"/>
      <c r="AW573" s="126"/>
      <c r="AX573" s="126"/>
      <c r="AY573" s="127"/>
      <c r="AZ573" s="126"/>
      <c r="BA573" s="126"/>
      <c r="BB573" s="127"/>
      <c r="BC573" s="126"/>
      <c r="BD573" s="134"/>
      <c r="BE573" s="127"/>
      <c r="BF573" s="126"/>
      <c r="BG573" s="126"/>
      <c r="BH573" s="126"/>
      <c r="BI573" s="126"/>
      <c r="BJ573" s="126"/>
      <c r="BK573" s="126"/>
      <c r="BL573" s="126"/>
      <c r="BM573" s="126"/>
      <c r="BN573" s="126"/>
      <c r="BO573" s="126"/>
      <c r="BP573" s="126"/>
      <c r="BQ573" s="126"/>
      <c r="BR573" s="126"/>
      <c r="BS573" s="126"/>
      <c r="BT573" s="126"/>
      <c r="BU573" s="126"/>
      <c r="BV573" s="126"/>
      <c r="BW573" s="126"/>
      <c r="BX573" s="126"/>
    </row>
    <row r="574">
      <c r="A574" s="126"/>
      <c r="B574" s="126"/>
      <c r="C574" s="127"/>
      <c r="D574" s="126"/>
      <c r="E574" s="126"/>
      <c r="F574" s="127"/>
      <c r="G574" s="126"/>
      <c r="H574" s="127"/>
      <c r="I574" s="126"/>
      <c r="J574" s="126"/>
      <c r="K574" s="127"/>
      <c r="L574" s="126"/>
      <c r="M574" s="126"/>
      <c r="N574" s="127"/>
      <c r="O574" s="126"/>
      <c r="P574" s="126"/>
      <c r="Q574" s="127"/>
      <c r="R574" s="126"/>
      <c r="S574" s="126"/>
      <c r="T574" s="127"/>
      <c r="U574" s="126"/>
      <c r="V574" s="126"/>
      <c r="W574" s="127"/>
      <c r="X574" s="126"/>
      <c r="Y574" s="126"/>
      <c r="Z574" s="127"/>
      <c r="AA574" s="126"/>
      <c r="AB574" s="126"/>
      <c r="AC574" s="127"/>
      <c r="AD574" s="126"/>
      <c r="AE574" s="126"/>
      <c r="AF574" s="126"/>
      <c r="AG574" s="127"/>
      <c r="AH574" s="126"/>
      <c r="AI574" s="126"/>
      <c r="AJ574" s="127"/>
      <c r="AK574" s="126"/>
      <c r="AL574" s="126"/>
      <c r="AM574" s="127"/>
      <c r="AN574" s="126"/>
      <c r="AO574" s="126"/>
      <c r="AP574" s="127"/>
      <c r="AQ574" s="126"/>
      <c r="AR574" s="126"/>
      <c r="AS574" s="127"/>
      <c r="AT574" s="126"/>
      <c r="AU574" s="126"/>
      <c r="AV574" s="127"/>
      <c r="AW574" s="126"/>
      <c r="AX574" s="126"/>
      <c r="AY574" s="127"/>
      <c r="AZ574" s="126"/>
      <c r="BA574" s="126"/>
      <c r="BB574" s="127"/>
      <c r="BC574" s="126"/>
      <c r="BD574" s="134"/>
      <c r="BE574" s="127"/>
      <c r="BF574" s="126"/>
      <c r="BG574" s="126"/>
      <c r="BH574" s="126"/>
      <c r="BI574" s="126"/>
      <c r="BJ574" s="126"/>
      <c r="BK574" s="126"/>
      <c r="BL574" s="126"/>
      <c r="BM574" s="126"/>
      <c r="BN574" s="126"/>
      <c r="BO574" s="126"/>
      <c r="BP574" s="126"/>
      <c r="BQ574" s="126"/>
      <c r="BR574" s="126"/>
      <c r="BS574" s="126"/>
      <c r="BT574" s="126"/>
      <c r="BU574" s="126"/>
      <c r="BV574" s="126"/>
      <c r="BW574" s="126"/>
      <c r="BX574" s="126"/>
    </row>
    <row r="575">
      <c r="A575" s="126"/>
      <c r="B575" s="126"/>
      <c r="C575" s="127"/>
      <c r="D575" s="126"/>
      <c r="E575" s="126"/>
      <c r="F575" s="127"/>
      <c r="G575" s="126"/>
      <c r="H575" s="127"/>
      <c r="I575" s="126"/>
      <c r="J575" s="126"/>
      <c r="K575" s="127"/>
      <c r="L575" s="126"/>
      <c r="M575" s="126"/>
      <c r="N575" s="127"/>
      <c r="O575" s="126"/>
      <c r="P575" s="126"/>
      <c r="Q575" s="127"/>
      <c r="R575" s="126"/>
      <c r="S575" s="126"/>
      <c r="T575" s="127"/>
      <c r="U575" s="126"/>
      <c r="V575" s="126"/>
      <c r="W575" s="127"/>
      <c r="X575" s="126"/>
      <c r="Y575" s="126"/>
      <c r="Z575" s="127"/>
      <c r="AA575" s="126"/>
      <c r="AB575" s="126"/>
      <c r="AC575" s="127"/>
      <c r="AD575" s="126"/>
      <c r="AE575" s="126"/>
      <c r="AF575" s="126"/>
      <c r="AG575" s="127"/>
      <c r="AH575" s="126"/>
      <c r="AI575" s="126"/>
      <c r="AJ575" s="127"/>
      <c r="AK575" s="126"/>
      <c r="AL575" s="126"/>
      <c r="AM575" s="127"/>
      <c r="AN575" s="126"/>
      <c r="AO575" s="126"/>
      <c r="AP575" s="127"/>
      <c r="AQ575" s="126"/>
      <c r="AR575" s="126"/>
      <c r="AS575" s="127"/>
      <c r="AT575" s="126"/>
      <c r="AU575" s="126"/>
      <c r="AV575" s="127"/>
      <c r="AW575" s="126"/>
      <c r="AX575" s="126"/>
      <c r="AY575" s="127"/>
      <c r="AZ575" s="126"/>
      <c r="BA575" s="126"/>
      <c r="BB575" s="127"/>
      <c r="BC575" s="126"/>
      <c r="BD575" s="134"/>
      <c r="BE575" s="127"/>
      <c r="BF575" s="126"/>
      <c r="BG575" s="126"/>
      <c r="BH575" s="126"/>
      <c r="BI575" s="126"/>
      <c r="BJ575" s="126"/>
      <c r="BK575" s="126"/>
      <c r="BL575" s="126"/>
      <c r="BM575" s="126"/>
      <c r="BN575" s="126"/>
      <c r="BO575" s="126"/>
      <c r="BP575" s="126"/>
      <c r="BQ575" s="126"/>
      <c r="BR575" s="126"/>
      <c r="BS575" s="126"/>
      <c r="BT575" s="126"/>
      <c r="BU575" s="126"/>
      <c r="BV575" s="126"/>
      <c r="BW575" s="126"/>
      <c r="BX575" s="126"/>
    </row>
    <row r="576">
      <c r="A576" s="126"/>
      <c r="B576" s="126"/>
      <c r="C576" s="127"/>
      <c r="D576" s="126"/>
      <c r="E576" s="126"/>
      <c r="F576" s="127"/>
      <c r="G576" s="126"/>
      <c r="H576" s="127"/>
      <c r="I576" s="126"/>
      <c r="J576" s="126"/>
      <c r="K576" s="127"/>
      <c r="L576" s="126"/>
      <c r="M576" s="126"/>
      <c r="N576" s="127"/>
      <c r="O576" s="126"/>
      <c r="P576" s="126"/>
      <c r="Q576" s="127"/>
      <c r="R576" s="126"/>
      <c r="S576" s="126"/>
      <c r="T576" s="127"/>
      <c r="U576" s="126"/>
      <c r="V576" s="126"/>
      <c r="W576" s="127"/>
      <c r="X576" s="126"/>
      <c r="Y576" s="126"/>
      <c r="Z576" s="127"/>
      <c r="AA576" s="126"/>
      <c r="AB576" s="126"/>
      <c r="AC576" s="127"/>
      <c r="AD576" s="126"/>
      <c r="AE576" s="126"/>
      <c r="AF576" s="126"/>
      <c r="AG576" s="127"/>
      <c r="AH576" s="126"/>
      <c r="AI576" s="126"/>
      <c r="AJ576" s="127"/>
      <c r="AK576" s="126"/>
      <c r="AL576" s="126"/>
      <c r="AM576" s="127"/>
      <c r="AN576" s="126"/>
      <c r="AO576" s="126"/>
      <c r="AP576" s="127"/>
      <c r="AQ576" s="126"/>
      <c r="AR576" s="126"/>
      <c r="AS576" s="127"/>
      <c r="AT576" s="126"/>
      <c r="AU576" s="126"/>
      <c r="AV576" s="127"/>
      <c r="AW576" s="126"/>
      <c r="AX576" s="126"/>
      <c r="AY576" s="127"/>
      <c r="AZ576" s="126"/>
      <c r="BA576" s="126"/>
      <c r="BB576" s="127"/>
      <c r="BC576" s="126"/>
      <c r="BD576" s="134"/>
      <c r="BE576" s="127"/>
      <c r="BF576" s="126"/>
      <c r="BG576" s="126"/>
      <c r="BH576" s="126"/>
      <c r="BI576" s="126"/>
      <c r="BJ576" s="126"/>
      <c r="BK576" s="126"/>
      <c r="BL576" s="126"/>
      <c r="BM576" s="126"/>
      <c r="BN576" s="126"/>
      <c r="BO576" s="126"/>
      <c r="BP576" s="126"/>
      <c r="BQ576" s="126"/>
      <c r="BR576" s="126"/>
      <c r="BS576" s="126"/>
      <c r="BT576" s="126"/>
      <c r="BU576" s="126"/>
      <c r="BV576" s="126"/>
      <c r="BW576" s="126"/>
      <c r="BX576" s="126"/>
    </row>
    <row r="577">
      <c r="A577" s="126"/>
      <c r="B577" s="126"/>
      <c r="C577" s="127"/>
      <c r="D577" s="126"/>
      <c r="E577" s="126"/>
      <c r="F577" s="127"/>
      <c r="G577" s="126"/>
      <c r="H577" s="127"/>
      <c r="I577" s="126"/>
      <c r="J577" s="126"/>
      <c r="K577" s="127"/>
      <c r="L577" s="126"/>
      <c r="M577" s="126"/>
      <c r="N577" s="127"/>
      <c r="O577" s="126"/>
      <c r="P577" s="126"/>
      <c r="Q577" s="127"/>
      <c r="R577" s="126"/>
      <c r="S577" s="126"/>
      <c r="T577" s="127"/>
      <c r="U577" s="126"/>
      <c r="V577" s="126"/>
      <c r="W577" s="127"/>
      <c r="X577" s="126"/>
      <c r="Y577" s="126"/>
      <c r="Z577" s="127"/>
      <c r="AA577" s="126"/>
      <c r="AB577" s="126"/>
      <c r="AC577" s="127"/>
      <c r="AD577" s="126"/>
      <c r="AE577" s="126"/>
      <c r="AF577" s="126"/>
      <c r="AG577" s="127"/>
      <c r="AH577" s="126"/>
      <c r="AI577" s="126"/>
      <c r="AJ577" s="127"/>
      <c r="AK577" s="126"/>
      <c r="AL577" s="126"/>
      <c r="AM577" s="127"/>
      <c r="AN577" s="126"/>
      <c r="AO577" s="126"/>
      <c r="AP577" s="127"/>
      <c r="AQ577" s="126"/>
      <c r="AR577" s="126"/>
      <c r="AS577" s="127"/>
      <c r="AT577" s="126"/>
      <c r="AU577" s="126"/>
      <c r="AV577" s="127"/>
      <c r="AW577" s="126"/>
      <c r="AX577" s="126"/>
      <c r="AY577" s="127"/>
      <c r="AZ577" s="126"/>
      <c r="BA577" s="126"/>
      <c r="BB577" s="127"/>
      <c r="BC577" s="126"/>
      <c r="BD577" s="134"/>
      <c r="BE577" s="127"/>
      <c r="BF577" s="126"/>
      <c r="BG577" s="126"/>
      <c r="BH577" s="126"/>
      <c r="BI577" s="126"/>
      <c r="BJ577" s="126"/>
      <c r="BK577" s="126"/>
      <c r="BL577" s="126"/>
      <c r="BM577" s="126"/>
      <c r="BN577" s="126"/>
      <c r="BO577" s="126"/>
      <c r="BP577" s="126"/>
      <c r="BQ577" s="126"/>
      <c r="BR577" s="126"/>
      <c r="BS577" s="126"/>
      <c r="BT577" s="126"/>
      <c r="BU577" s="126"/>
      <c r="BV577" s="126"/>
      <c r="BW577" s="126"/>
      <c r="BX577" s="126"/>
    </row>
    <row r="578">
      <c r="A578" s="126"/>
      <c r="B578" s="126"/>
      <c r="C578" s="127"/>
      <c r="D578" s="126"/>
      <c r="E578" s="126"/>
      <c r="F578" s="127"/>
      <c r="G578" s="126"/>
      <c r="H578" s="127"/>
      <c r="I578" s="126"/>
      <c r="J578" s="126"/>
      <c r="K578" s="127"/>
      <c r="L578" s="126"/>
      <c r="M578" s="126"/>
      <c r="N578" s="127"/>
      <c r="O578" s="126"/>
      <c r="P578" s="126"/>
      <c r="Q578" s="127"/>
      <c r="R578" s="126"/>
      <c r="S578" s="126"/>
      <c r="T578" s="127"/>
      <c r="U578" s="126"/>
      <c r="V578" s="126"/>
      <c r="W578" s="127"/>
      <c r="X578" s="126"/>
      <c r="Y578" s="126"/>
      <c r="Z578" s="127"/>
      <c r="AA578" s="126"/>
      <c r="AB578" s="126"/>
      <c r="AC578" s="127"/>
      <c r="AD578" s="126"/>
      <c r="AE578" s="126"/>
      <c r="AF578" s="126"/>
      <c r="AG578" s="127"/>
      <c r="AH578" s="126"/>
      <c r="AI578" s="126"/>
      <c r="AJ578" s="127"/>
      <c r="AK578" s="126"/>
      <c r="AL578" s="126"/>
      <c r="AM578" s="127"/>
      <c r="AN578" s="126"/>
      <c r="AO578" s="126"/>
      <c r="AP578" s="127"/>
      <c r="AQ578" s="126"/>
      <c r="AR578" s="126"/>
      <c r="AS578" s="127"/>
      <c r="AT578" s="126"/>
      <c r="AU578" s="126"/>
      <c r="AV578" s="127"/>
      <c r="AW578" s="126"/>
      <c r="AX578" s="126"/>
      <c r="AY578" s="127"/>
      <c r="AZ578" s="126"/>
      <c r="BA578" s="126"/>
      <c r="BB578" s="127"/>
      <c r="BC578" s="126"/>
      <c r="BD578" s="134"/>
      <c r="BE578" s="127"/>
      <c r="BF578" s="126"/>
      <c r="BG578" s="126"/>
      <c r="BH578" s="126"/>
      <c r="BI578" s="126"/>
      <c r="BJ578" s="126"/>
      <c r="BK578" s="126"/>
      <c r="BL578" s="126"/>
      <c r="BM578" s="126"/>
      <c r="BN578" s="126"/>
      <c r="BO578" s="126"/>
      <c r="BP578" s="126"/>
      <c r="BQ578" s="126"/>
      <c r="BR578" s="126"/>
      <c r="BS578" s="126"/>
      <c r="BT578" s="126"/>
      <c r="BU578" s="126"/>
      <c r="BV578" s="126"/>
      <c r="BW578" s="126"/>
      <c r="BX578" s="126"/>
    </row>
    <row r="579">
      <c r="A579" s="126"/>
      <c r="B579" s="126"/>
      <c r="C579" s="127"/>
      <c r="D579" s="126"/>
      <c r="E579" s="126"/>
      <c r="F579" s="127"/>
      <c r="G579" s="126"/>
      <c r="H579" s="127"/>
      <c r="I579" s="126"/>
      <c r="J579" s="126"/>
      <c r="K579" s="127"/>
      <c r="L579" s="126"/>
      <c r="M579" s="126"/>
      <c r="N579" s="127"/>
      <c r="O579" s="126"/>
      <c r="P579" s="126"/>
      <c r="Q579" s="127"/>
      <c r="R579" s="126"/>
      <c r="S579" s="126"/>
      <c r="T579" s="127"/>
      <c r="U579" s="126"/>
      <c r="V579" s="126"/>
      <c r="W579" s="127"/>
      <c r="X579" s="126"/>
      <c r="Y579" s="126"/>
      <c r="Z579" s="127"/>
      <c r="AA579" s="126"/>
      <c r="AB579" s="126"/>
      <c r="AC579" s="127"/>
      <c r="AD579" s="126"/>
      <c r="AE579" s="126"/>
      <c r="AF579" s="126"/>
      <c r="AG579" s="127"/>
      <c r="AH579" s="126"/>
      <c r="AI579" s="126"/>
      <c r="AJ579" s="127"/>
      <c r="AK579" s="126"/>
      <c r="AL579" s="126"/>
      <c r="AM579" s="127"/>
      <c r="AN579" s="126"/>
      <c r="AO579" s="126"/>
      <c r="AP579" s="127"/>
      <c r="AQ579" s="126"/>
      <c r="AR579" s="126"/>
      <c r="AS579" s="127"/>
      <c r="AT579" s="126"/>
      <c r="AU579" s="126"/>
      <c r="AV579" s="127"/>
      <c r="AW579" s="126"/>
      <c r="AX579" s="126"/>
      <c r="AY579" s="127"/>
      <c r="AZ579" s="126"/>
      <c r="BA579" s="126"/>
      <c r="BB579" s="127"/>
      <c r="BC579" s="126"/>
      <c r="BD579" s="134"/>
      <c r="BE579" s="127"/>
      <c r="BF579" s="126"/>
      <c r="BG579" s="126"/>
      <c r="BH579" s="126"/>
      <c r="BI579" s="126"/>
      <c r="BJ579" s="126"/>
      <c r="BK579" s="126"/>
      <c r="BL579" s="126"/>
      <c r="BM579" s="126"/>
      <c r="BN579" s="126"/>
      <c r="BO579" s="126"/>
      <c r="BP579" s="126"/>
      <c r="BQ579" s="126"/>
      <c r="BR579" s="126"/>
      <c r="BS579" s="126"/>
      <c r="BT579" s="126"/>
      <c r="BU579" s="126"/>
      <c r="BV579" s="126"/>
      <c r="BW579" s="126"/>
      <c r="BX579" s="126"/>
    </row>
    <row r="580">
      <c r="A580" s="126"/>
      <c r="B580" s="126"/>
      <c r="C580" s="127"/>
      <c r="D580" s="126"/>
      <c r="E580" s="126"/>
      <c r="F580" s="127"/>
      <c r="G580" s="126"/>
      <c r="H580" s="127"/>
      <c r="I580" s="126"/>
      <c r="J580" s="126"/>
      <c r="K580" s="127"/>
      <c r="L580" s="126"/>
      <c r="M580" s="126"/>
      <c r="N580" s="127"/>
      <c r="O580" s="126"/>
      <c r="P580" s="126"/>
      <c r="Q580" s="127"/>
      <c r="R580" s="126"/>
      <c r="S580" s="126"/>
      <c r="T580" s="127"/>
      <c r="U580" s="126"/>
      <c r="V580" s="126"/>
      <c r="W580" s="127"/>
      <c r="X580" s="126"/>
      <c r="Y580" s="126"/>
      <c r="Z580" s="127"/>
      <c r="AA580" s="126"/>
      <c r="AB580" s="126"/>
      <c r="AC580" s="127"/>
      <c r="AD580" s="126"/>
      <c r="AE580" s="126"/>
      <c r="AF580" s="126"/>
      <c r="AG580" s="127"/>
      <c r="AH580" s="126"/>
      <c r="AI580" s="126"/>
      <c r="AJ580" s="127"/>
      <c r="AK580" s="126"/>
      <c r="AL580" s="126"/>
      <c r="AM580" s="127"/>
      <c r="AN580" s="126"/>
      <c r="AO580" s="126"/>
      <c r="AP580" s="127"/>
      <c r="AQ580" s="126"/>
      <c r="AR580" s="126"/>
      <c r="AS580" s="127"/>
      <c r="AT580" s="126"/>
      <c r="AU580" s="126"/>
      <c r="AV580" s="127"/>
      <c r="AW580" s="126"/>
      <c r="AX580" s="126"/>
      <c r="AY580" s="127"/>
      <c r="AZ580" s="126"/>
      <c r="BA580" s="126"/>
      <c r="BB580" s="127"/>
      <c r="BC580" s="126"/>
      <c r="BD580" s="134"/>
      <c r="BE580" s="127"/>
      <c r="BF580" s="126"/>
      <c r="BG580" s="126"/>
      <c r="BH580" s="126"/>
      <c r="BI580" s="126"/>
      <c r="BJ580" s="126"/>
      <c r="BK580" s="126"/>
      <c r="BL580" s="126"/>
      <c r="BM580" s="126"/>
      <c r="BN580" s="126"/>
      <c r="BO580" s="126"/>
      <c r="BP580" s="126"/>
      <c r="BQ580" s="126"/>
      <c r="BR580" s="126"/>
      <c r="BS580" s="126"/>
      <c r="BT580" s="126"/>
      <c r="BU580" s="126"/>
      <c r="BV580" s="126"/>
      <c r="BW580" s="126"/>
      <c r="BX580" s="126"/>
    </row>
    <row r="581">
      <c r="A581" s="126"/>
      <c r="B581" s="126"/>
      <c r="C581" s="127"/>
      <c r="D581" s="126"/>
      <c r="E581" s="126"/>
      <c r="F581" s="127"/>
      <c r="G581" s="126"/>
      <c r="H581" s="127"/>
      <c r="I581" s="126"/>
      <c r="J581" s="126"/>
      <c r="K581" s="127"/>
      <c r="L581" s="126"/>
      <c r="M581" s="126"/>
      <c r="N581" s="127"/>
      <c r="O581" s="126"/>
      <c r="P581" s="126"/>
      <c r="Q581" s="127"/>
      <c r="R581" s="126"/>
      <c r="S581" s="126"/>
      <c r="T581" s="127"/>
      <c r="U581" s="126"/>
      <c r="V581" s="126"/>
      <c r="W581" s="127"/>
      <c r="X581" s="126"/>
      <c r="Y581" s="126"/>
      <c r="Z581" s="127"/>
      <c r="AA581" s="126"/>
      <c r="AB581" s="126"/>
      <c r="AC581" s="127"/>
      <c r="AD581" s="126"/>
      <c r="AE581" s="126"/>
      <c r="AF581" s="126"/>
      <c r="AG581" s="127"/>
      <c r="AH581" s="126"/>
      <c r="AI581" s="126"/>
      <c r="AJ581" s="127"/>
      <c r="AK581" s="126"/>
      <c r="AL581" s="126"/>
      <c r="AM581" s="127"/>
      <c r="AN581" s="126"/>
      <c r="AO581" s="126"/>
      <c r="AP581" s="127"/>
      <c r="AQ581" s="126"/>
      <c r="AR581" s="126"/>
      <c r="AS581" s="127"/>
      <c r="AT581" s="126"/>
      <c r="AU581" s="126"/>
      <c r="AV581" s="127"/>
      <c r="AW581" s="126"/>
      <c r="AX581" s="126"/>
      <c r="AY581" s="127"/>
      <c r="AZ581" s="126"/>
      <c r="BA581" s="126"/>
      <c r="BB581" s="127"/>
      <c r="BC581" s="126"/>
      <c r="BD581" s="134"/>
      <c r="BE581" s="127"/>
      <c r="BF581" s="126"/>
      <c r="BG581" s="126"/>
      <c r="BH581" s="126"/>
      <c r="BI581" s="126"/>
      <c r="BJ581" s="126"/>
      <c r="BK581" s="126"/>
      <c r="BL581" s="126"/>
      <c r="BM581" s="126"/>
      <c r="BN581" s="126"/>
      <c r="BO581" s="126"/>
      <c r="BP581" s="126"/>
      <c r="BQ581" s="126"/>
      <c r="BR581" s="126"/>
      <c r="BS581" s="126"/>
      <c r="BT581" s="126"/>
      <c r="BU581" s="126"/>
      <c r="BV581" s="126"/>
      <c r="BW581" s="126"/>
      <c r="BX581" s="126"/>
    </row>
    <row r="582">
      <c r="A582" s="126"/>
      <c r="B582" s="126"/>
      <c r="C582" s="127"/>
      <c r="D582" s="126"/>
      <c r="E582" s="126"/>
      <c r="F582" s="127"/>
      <c r="G582" s="126"/>
      <c r="H582" s="127"/>
      <c r="I582" s="126"/>
      <c r="J582" s="126"/>
      <c r="K582" s="127"/>
      <c r="L582" s="126"/>
      <c r="M582" s="126"/>
      <c r="N582" s="127"/>
      <c r="O582" s="126"/>
      <c r="P582" s="126"/>
      <c r="Q582" s="127"/>
      <c r="R582" s="126"/>
      <c r="S582" s="126"/>
      <c r="T582" s="127"/>
      <c r="U582" s="126"/>
      <c r="V582" s="126"/>
      <c r="W582" s="127"/>
      <c r="X582" s="126"/>
      <c r="Y582" s="126"/>
      <c r="Z582" s="127"/>
      <c r="AA582" s="126"/>
      <c r="AB582" s="126"/>
      <c r="AC582" s="127"/>
      <c r="AD582" s="126"/>
      <c r="AE582" s="126"/>
      <c r="AF582" s="126"/>
      <c r="AG582" s="127"/>
      <c r="AH582" s="126"/>
      <c r="AI582" s="126"/>
      <c r="AJ582" s="127"/>
      <c r="AK582" s="126"/>
      <c r="AL582" s="126"/>
      <c r="AM582" s="127"/>
      <c r="AN582" s="126"/>
      <c r="AO582" s="126"/>
      <c r="AP582" s="127"/>
      <c r="AQ582" s="126"/>
      <c r="AR582" s="126"/>
      <c r="AS582" s="127"/>
      <c r="AT582" s="126"/>
      <c r="AU582" s="126"/>
      <c r="AV582" s="127"/>
      <c r="AW582" s="126"/>
      <c r="AX582" s="126"/>
      <c r="AY582" s="127"/>
      <c r="AZ582" s="126"/>
      <c r="BA582" s="126"/>
      <c r="BB582" s="127"/>
      <c r="BC582" s="126"/>
      <c r="BD582" s="134"/>
      <c r="BE582" s="127"/>
      <c r="BF582" s="126"/>
      <c r="BG582" s="126"/>
      <c r="BH582" s="126"/>
      <c r="BI582" s="126"/>
      <c r="BJ582" s="126"/>
      <c r="BK582" s="126"/>
      <c r="BL582" s="126"/>
      <c r="BM582" s="126"/>
      <c r="BN582" s="126"/>
      <c r="BO582" s="126"/>
      <c r="BP582" s="126"/>
      <c r="BQ582" s="126"/>
      <c r="BR582" s="126"/>
      <c r="BS582" s="126"/>
      <c r="BT582" s="126"/>
      <c r="BU582" s="126"/>
      <c r="BV582" s="126"/>
      <c r="BW582" s="126"/>
      <c r="BX582" s="126"/>
    </row>
    <row r="583">
      <c r="A583" s="126"/>
      <c r="B583" s="126"/>
      <c r="C583" s="127"/>
      <c r="D583" s="126"/>
      <c r="E583" s="126"/>
      <c r="F583" s="127"/>
      <c r="G583" s="126"/>
      <c r="H583" s="127"/>
      <c r="I583" s="126"/>
      <c r="J583" s="126"/>
      <c r="K583" s="127"/>
      <c r="L583" s="126"/>
      <c r="M583" s="126"/>
      <c r="N583" s="127"/>
      <c r="O583" s="126"/>
      <c r="P583" s="126"/>
      <c r="Q583" s="127"/>
      <c r="R583" s="126"/>
      <c r="S583" s="126"/>
      <c r="T583" s="127"/>
      <c r="U583" s="126"/>
      <c r="V583" s="126"/>
      <c r="W583" s="127"/>
      <c r="X583" s="126"/>
      <c r="Y583" s="126"/>
      <c r="Z583" s="127"/>
      <c r="AA583" s="126"/>
      <c r="AB583" s="126"/>
      <c r="AC583" s="127"/>
      <c r="AD583" s="126"/>
      <c r="AE583" s="126"/>
      <c r="AF583" s="126"/>
      <c r="AG583" s="127"/>
      <c r="AH583" s="126"/>
      <c r="AI583" s="126"/>
      <c r="AJ583" s="127"/>
      <c r="AK583" s="126"/>
      <c r="AL583" s="126"/>
      <c r="AM583" s="127"/>
      <c r="AN583" s="126"/>
      <c r="AO583" s="126"/>
      <c r="AP583" s="127"/>
      <c r="AQ583" s="126"/>
      <c r="AR583" s="126"/>
      <c r="AS583" s="127"/>
      <c r="AT583" s="126"/>
      <c r="AU583" s="126"/>
      <c r="AV583" s="127"/>
      <c r="AW583" s="126"/>
      <c r="AX583" s="126"/>
      <c r="AY583" s="127"/>
      <c r="AZ583" s="126"/>
      <c r="BA583" s="126"/>
      <c r="BB583" s="127"/>
      <c r="BC583" s="126"/>
      <c r="BD583" s="134"/>
      <c r="BE583" s="127"/>
      <c r="BF583" s="126"/>
      <c r="BG583" s="126"/>
      <c r="BH583" s="126"/>
      <c r="BI583" s="126"/>
      <c r="BJ583" s="126"/>
      <c r="BK583" s="126"/>
      <c r="BL583" s="126"/>
      <c r="BM583" s="126"/>
      <c r="BN583" s="126"/>
      <c r="BO583" s="126"/>
      <c r="BP583" s="126"/>
      <c r="BQ583" s="126"/>
      <c r="BR583" s="126"/>
      <c r="BS583" s="126"/>
      <c r="BT583" s="126"/>
      <c r="BU583" s="126"/>
      <c r="BV583" s="126"/>
      <c r="BW583" s="126"/>
      <c r="BX583" s="126"/>
    </row>
    <row r="584">
      <c r="A584" s="126"/>
      <c r="B584" s="126"/>
      <c r="C584" s="127"/>
      <c r="D584" s="126"/>
      <c r="E584" s="126"/>
      <c r="F584" s="127"/>
      <c r="G584" s="126"/>
      <c r="H584" s="127"/>
      <c r="I584" s="126"/>
      <c r="J584" s="126"/>
      <c r="K584" s="127"/>
      <c r="L584" s="126"/>
      <c r="M584" s="126"/>
      <c r="N584" s="127"/>
      <c r="O584" s="126"/>
      <c r="P584" s="126"/>
      <c r="Q584" s="127"/>
      <c r="R584" s="126"/>
      <c r="S584" s="126"/>
      <c r="T584" s="127"/>
      <c r="U584" s="126"/>
      <c r="V584" s="126"/>
      <c r="W584" s="127"/>
      <c r="X584" s="126"/>
      <c r="Y584" s="126"/>
      <c r="Z584" s="127"/>
      <c r="AA584" s="126"/>
      <c r="AB584" s="126"/>
      <c r="AC584" s="127"/>
      <c r="AD584" s="126"/>
      <c r="AE584" s="126"/>
      <c r="AF584" s="126"/>
      <c r="AG584" s="127"/>
      <c r="AH584" s="126"/>
      <c r="AI584" s="126"/>
      <c r="AJ584" s="127"/>
      <c r="AK584" s="126"/>
      <c r="AL584" s="126"/>
      <c r="AM584" s="127"/>
      <c r="AN584" s="126"/>
      <c r="AO584" s="126"/>
      <c r="AP584" s="127"/>
      <c r="AQ584" s="126"/>
      <c r="AR584" s="126"/>
      <c r="AS584" s="127"/>
      <c r="AT584" s="126"/>
      <c r="AU584" s="126"/>
      <c r="AV584" s="127"/>
      <c r="AW584" s="126"/>
      <c r="AX584" s="126"/>
      <c r="AY584" s="127"/>
      <c r="AZ584" s="126"/>
      <c r="BA584" s="126"/>
      <c r="BB584" s="127"/>
      <c r="BC584" s="126"/>
      <c r="BD584" s="134"/>
      <c r="BE584" s="127"/>
      <c r="BF584" s="126"/>
      <c r="BG584" s="126"/>
      <c r="BH584" s="126"/>
      <c r="BI584" s="126"/>
      <c r="BJ584" s="126"/>
      <c r="BK584" s="126"/>
      <c r="BL584" s="126"/>
      <c r="BM584" s="126"/>
      <c r="BN584" s="126"/>
      <c r="BO584" s="126"/>
      <c r="BP584" s="126"/>
      <c r="BQ584" s="126"/>
      <c r="BR584" s="126"/>
      <c r="BS584" s="126"/>
      <c r="BT584" s="126"/>
      <c r="BU584" s="126"/>
      <c r="BV584" s="126"/>
      <c r="BW584" s="126"/>
      <c r="BX584" s="126"/>
    </row>
    <row r="585">
      <c r="A585" s="126"/>
      <c r="B585" s="126"/>
      <c r="C585" s="127"/>
      <c r="D585" s="126"/>
      <c r="E585" s="126"/>
      <c r="F585" s="127"/>
      <c r="G585" s="126"/>
      <c r="H585" s="127"/>
      <c r="I585" s="126"/>
      <c r="J585" s="126"/>
      <c r="K585" s="127"/>
      <c r="L585" s="126"/>
      <c r="M585" s="126"/>
      <c r="N585" s="127"/>
      <c r="O585" s="126"/>
      <c r="P585" s="126"/>
      <c r="Q585" s="127"/>
      <c r="R585" s="126"/>
      <c r="S585" s="126"/>
      <c r="T585" s="127"/>
      <c r="U585" s="126"/>
      <c r="V585" s="126"/>
      <c r="W585" s="127"/>
      <c r="X585" s="126"/>
      <c r="Y585" s="126"/>
      <c r="Z585" s="127"/>
      <c r="AA585" s="126"/>
      <c r="AB585" s="126"/>
      <c r="AC585" s="127"/>
      <c r="AD585" s="126"/>
      <c r="AE585" s="126"/>
      <c r="AF585" s="126"/>
      <c r="AG585" s="127"/>
      <c r="AH585" s="126"/>
      <c r="AI585" s="126"/>
      <c r="AJ585" s="127"/>
      <c r="AK585" s="126"/>
      <c r="AL585" s="126"/>
      <c r="AM585" s="127"/>
      <c r="AN585" s="126"/>
      <c r="AO585" s="126"/>
      <c r="AP585" s="127"/>
      <c r="AQ585" s="126"/>
      <c r="AR585" s="126"/>
      <c r="AS585" s="127"/>
      <c r="AT585" s="126"/>
      <c r="AU585" s="126"/>
      <c r="AV585" s="127"/>
      <c r="AW585" s="126"/>
      <c r="AX585" s="126"/>
      <c r="AY585" s="127"/>
      <c r="AZ585" s="126"/>
      <c r="BA585" s="126"/>
      <c r="BB585" s="127"/>
      <c r="BC585" s="126"/>
      <c r="BD585" s="134"/>
      <c r="BE585" s="127"/>
      <c r="BF585" s="126"/>
      <c r="BG585" s="126"/>
      <c r="BH585" s="126"/>
      <c r="BI585" s="126"/>
      <c r="BJ585" s="126"/>
      <c r="BK585" s="126"/>
      <c r="BL585" s="126"/>
      <c r="BM585" s="126"/>
      <c r="BN585" s="126"/>
      <c r="BO585" s="126"/>
      <c r="BP585" s="126"/>
      <c r="BQ585" s="126"/>
      <c r="BR585" s="126"/>
      <c r="BS585" s="126"/>
      <c r="BT585" s="126"/>
      <c r="BU585" s="126"/>
      <c r="BV585" s="126"/>
      <c r="BW585" s="126"/>
      <c r="BX585" s="126"/>
    </row>
    <row r="586">
      <c r="A586" s="126"/>
      <c r="B586" s="126"/>
      <c r="C586" s="127"/>
      <c r="D586" s="126"/>
      <c r="E586" s="126"/>
      <c r="F586" s="127"/>
      <c r="G586" s="126"/>
      <c r="H586" s="127"/>
      <c r="I586" s="126"/>
      <c r="J586" s="126"/>
      <c r="K586" s="127"/>
      <c r="L586" s="126"/>
      <c r="M586" s="126"/>
      <c r="N586" s="127"/>
      <c r="O586" s="126"/>
      <c r="P586" s="126"/>
      <c r="Q586" s="127"/>
      <c r="R586" s="126"/>
      <c r="S586" s="126"/>
      <c r="T586" s="127"/>
      <c r="U586" s="126"/>
      <c r="V586" s="126"/>
      <c r="W586" s="127"/>
      <c r="X586" s="126"/>
      <c r="Y586" s="126"/>
      <c r="Z586" s="127"/>
      <c r="AA586" s="126"/>
      <c r="AB586" s="126"/>
      <c r="AC586" s="127"/>
      <c r="AD586" s="126"/>
      <c r="AE586" s="126"/>
      <c r="AF586" s="126"/>
      <c r="AG586" s="127"/>
      <c r="AH586" s="126"/>
      <c r="AI586" s="126"/>
      <c r="AJ586" s="127"/>
      <c r="AK586" s="126"/>
      <c r="AL586" s="126"/>
      <c r="AM586" s="127"/>
      <c r="AN586" s="126"/>
      <c r="AO586" s="126"/>
      <c r="AP586" s="127"/>
      <c r="AQ586" s="126"/>
      <c r="AR586" s="126"/>
      <c r="AS586" s="127"/>
      <c r="AT586" s="126"/>
      <c r="AU586" s="126"/>
      <c r="AV586" s="127"/>
      <c r="AW586" s="126"/>
      <c r="AX586" s="126"/>
      <c r="AY586" s="127"/>
      <c r="AZ586" s="126"/>
      <c r="BA586" s="126"/>
      <c r="BB586" s="127"/>
      <c r="BC586" s="126"/>
      <c r="BD586" s="134"/>
      <c r="BE586" s="127"/>
      <c r="BF586" s="126"/>
      <c r="BG586" s="126"/>
      <c r="BH586" s="126"/>
      <c r="BI586" s="126"/>
      <c r="BJ586" s="126"/>
      <c r="BK586" s="126"/>
      <c r="BL586" s="126"/>
      <c r="BM586" s="126"/>
      <c r="BN586" s="126"/>
      <c r="BO586" s="126"/>
      <c r="BP586" s="126"/>
      <c r="BQ586" s="126"/>
      <c r="BR586" s="126"/>
      <c r="BS586" s="126"/>
      <c r="BT586" s="126"/>
      <c r="BU586" s="126"/>
      <c r="BV586" s="126"/>
      <c r="BW586" s="126"/>
      <c r="BX586" s="126"/>
    </row>
    <row r="587">
      <c r="A587" s="126"/>
      <c r="B587" s="126"/>
      <c r="C587" s="127"/>
      <c r="D587" s="126"/>
      <c r="E587" s="126"/>
      <c r="F587" s="127"/>
      <c r="G587" s="126"/>
      <c r="H587" s="127"/>
      <c r="I587" s="126"/>
      <c r="J587" s="126"/>
      <c r="K587" s="127"/>
      <c r="L587" s="126"/>
      <c r="M587" s="126"/>
      <c r="N587" s="127"/>
      <c r="O587" s="126"/>
      <c r="P587" s="126"/>
      <c r="Q587" s="127"/>
      <c r="R587" s="126"/>
      <c r="S587" s="126"/>
      <c r="T587" s="127"/>
      <c r="U587" s="126"/>
      <c r="V587" s="126"/>
      <c r="W587" s="127"/>
      <c r="X587" s="126"/>
      <c r="Y587" s="126"/>
      <c r="Z587" s="127"/>
      <c r="AA587" s="126"/>
      <c r="AB587" s="126"/>
      <c r="AC587" s="127"/>
      <c r="AD587" s="126"/>
      <c r="AE587" s="126"/>
      <c r="AF587" s="126"/>
      <c r="AG587" s="127"/>
      <c r="AH587" s="126"/>
      <c r="AI587" s="126"/>
      <c r="AJ587" s="127"/>
      <c r="AK587" s="126"/>
      <c r="AL587" s="126"/>
      <c r="AM587" s="127"/>
      <c r="AN587" s="126"/>
      <c r="AO587" s="126"/>
      <c r="AP587" s="127"/>
      <c r="AQ587" s="126"/>
      <c r="AR587" s="126"/>
      <c r="AS587" s="127"/>
      <c r="AT587" s="126"/>
      <c r="AU587" s="126"/>
      <c r="AV587" s="127"/>
      <c r="AW587" s="126"/>
      <c r="AX587" s="126"/>
      <c r="AY587" s="127"/>
      <c r="AZ587" s="126"/>
      <c r="BA587" s="126"/>
      <c r="BB587" s="127"/>
      <c r="BC587" s="126"/>
      <c r="BD587" s="134"/>
      <c r="BE587" s="127"/>
      <c r="BF587" s="126"/>
      <c r="BG587" s="126"/>
      <c r="BH587" s="126"/>
      <c r="BI587" s="126"/>
      <c r="BJ587" s="126"/>
      <c r="BK587" s="126"/>
      <c r="BL587" s="126"/>
      <c r="BM587" s="126"/>
      <c r="BN587" s="126"/>
      <c r="BO587" s="126"/>
      <c r="BP587" s="126"/>
      <c r="BQ587" s="126"/>
      <c r="BR587" s="126"/>
      <c r="BS587" s="126"/>
      <c r="BT587" s="126"/>
      <c r="BU587" s="126"/>
      <c r="BV587" s="126"/>
      <c r="BW587" s="126"/>
      <c r="BX587" s="126"/>
    </row>
    <row r="588">
      <c r="A588" s="126"/>
      <c r="B588" s="126"/>
      <c r="C588" s="127"/>
      <c r="D588" s="126"/>
      <c r="E588" s="126"/>
      <c r="F588" s="127"/>
      <c r="G588" s="126"/>
      <c r="H588" s="127"/>
      <c r="I588" s="126"/>
      <c r="J588" s="126"/>
      <c r="K588" s="127"/>
      <c r="L588" s="126"/>
      <c r="M588" s="126"/>
      <c r="N588" s="127"/>
      <c r="O588" s="126"/>
      <c r="P588" s="126"/>
      <c r="Q588" s="127"/>
      <c r="R588" s="126"/>
      <c r="S588" s="126"/>
      <c r="T588" s="127"/>
      <c r="U588" s="126"/>
      <c r="V588" s="126"/>
      <c r="W588" s="127"/>
      <c r="X588" s="126"/>
      <c r="Y588" s="126"/>
      <c r="Z588" s="127"/>
      <c r="AA588" s="126"/>
      <c r="AB588" s="126"/>
      <c r="AC588" s="127"/>
      <c r="AD588" s="126"/>
      <c r="AE588" s="126"/>
      <c r="AF588" s="126"/>
      <c r="AG588" s="127"/>
      <c r="AH588" s="126"/>
      <c r="AI588" s="126"/>
      <c r="AJ588" s="127"/>
      <c r="AK588" s="126"/>
      <c r="AL588" s="126"/>
      <c r="AM588" s="127"/>
      <c r="AN588" s="126"/>
      <c r="AO588" s="126"/>
      <c r="AP588" s="127"/>
      <c r="AQ588" s="126"/>
      <c r="AR588" s="126"/>
      <c r="AS588" s="127"/>
      <c r="AT588" s="126"/>
      <c r="AU588" s="126"/>
      <c r="AV588" s="127"/>
      <c r="AW588" s="126"/>
      <c r="AX588" s="126"/>
      <c r="AY588" s="127"/>
      <c r="AZ588" s="126"/>
      <c r="BA588" s="126"/>
      <c r="BB588" s="127"/>
      <c r="BC588" s="126"/>
      <c r="BD588" s="134"/>
      <c r="BE588" s="127"/>
      <c r="BF588" s="126"/>
      <c r="BG588" s="126"/>
      <c r="BH588" s="126"/>
      <c r="BI588" s="126"/>
      <c r="BJ588" s="126"/>
      <c r="BK588" s="126"/>
      <c r="BL588" s="126"/>
      <c r="BM588" s="126"/>
      <c r="BN588" s="126"/>
      <c r="BO588" s="126"/>
      <c r="BP588" s="126"/>
      <c r="BQ588" s="126"/>
      <c r="BR588" s="126"/>
      <c r="BS588" s="126"/>
      <c r="BT588" s="126"/>
      <c r="BU588" s="126"/>
      <c r="BV588" s="126"/>
      <c r="BW588" s="126"/>
      <c r="BX588" s="126"/>
    </row>
    <row r="589">
      <c r="A589" s="126"/>
      <c r="B589" s="126"/>
      <c r="C589" s="127"/>
      <c r="D589" s="126"/>
      <c r="E589" s="126"/>
      <c r="F589" s="127"/>
      <c r="G589" s="126"/>
      <c r="H589" s="127"/>
      <c r="I589" s="126"/>
      <c r="J589" s="126"/>
      <c r="K589" s="127"/>
      <c r="L589" s="126"/>
      <c r="M589" s="126"/>
      <c r="N589" s="127"/>
      <c r="O589" s="126"/>
      <c r="P589" s="126"/>
      <c r="Q589" s="127"/>
      <c r="R589" s="126"/>
      <c r="S589" s="126"/>
      <c r="T589" s="127"/>
      <c r="U589" s="126"/>
      <c r="V589" s="126"/>
      <c r="W589" s="127"/>
      <c r="X589" s="126"/>
      <c r="Y589" s="126"/>
      <c r="Z589" s="127"/>
      <c r="AA589" s="126"/>
      <c r="AB589" s="126"/>
      <c r="AC589" s="127"/>
      <c r="AD589" s="126"/>
      <c r="AE589" s="126"/>
      <c r="AF589" s="126"/>
      <c r="AG589" s="127"/>
      <c r="AH589" s="126"/>
      <c r="AI589" s="126"/>
      <c r="AJ589" s="127"/>
      <c r="AK589" s="126"/>
      <c r="AL589" s="126"/>
      <c r="AM589" s="127"/>
      <c r="AN589" s="126"/>
      <c r="AO589" s="126"/>
      <c r="AP589" s="127"/>
      <c r="AQ589" s="126"/>
      <c r="AR589" s="126"/>
      <c r="AS589" s="127"/>
      <c r="AT589" s="126"/>
      <c r="AU589" s="126"/>
      <c r="AV589" s="127"/>
      <c r="AW589" s="126"/>
      <c r="AX589" s="126"/>
      <c r="AY589" s="127"/>
      <c r="AZ589" s="126"/>
      <c r="BA589" s="126"/>
      <c r="BB589" s="127"/>
      <c r="BC589" s="126"/>
      <c r="BD589" s="134"/>
      <c r="BE589" s="127"/>
      <c r="BF589" s="126"/>
      <c r="BG589" s="126"/>
      <c r="BH589" s="126"/>
      <c r="BI589" s="126"/>
      <c r="BJ589" s="126"/>
      <c r="BK589" s="126"/>
      <c r="BL589" s="126"/>
      <c r="BM589" s="126"/>
      <c r="BN589" s="126"/>
      <c r="BO589" s="126"/>
      <c r="BP589" s="126"/>
      <c r="BQ589" s="126"/>
      <c r="BR589" s="126"/>
      <c r="BS589" s="126"/>
      <c r="BT589" s="126"/>
      <c r="BU589" s="126"/>
      <c r="BV589" s="126"/>
      <c r="BW589" s="126"/>
      <c r="BX589" s="126"/>
    </row>
    <row r="590">
      <c r="A590" s="126"/>
      <c r="B590" s="126"/>
      <c r="C590" s="127"/>
      <c r="D590" s="126"/>
      <c r="E590" s="126"/>
      <c r="F590" s="127"/>
      <c r="G590" s="126"/>
      <c r="H590" s="127"/>
      <c r="I590" s="126"/>
      <c r="J590" s="126"/>
      <c r="K590" s="127"/>
      <c r="L590" s="126"/>
      <c r="M590" s="126"/>
      <c r="N590" s="127"/>
      <c r="O590" s="126"/>
      <c r="P590" s="126"/>
      <c r="Q590" s="127"/>
      <c r="R590" s="126"/>
      <c r="S590" s="126"/>
      <c r="T590" s="127"/>
      <c r="U590" s="126"/>
      <c r="V590" s="126"/>
      <c r="W590" s="127"/>
      <c r="X590" s="126"/>
      <c r="Y590" s="126"/>
      <c r="Z590" s="127"/>
      <c r="AA590" s="126"/>
      <c r="AB590" s="126"/>
      <c r="AC590" s="127"/>
      <c r="AD590" s="126"/>
      <c r="AE590" s="126"/>
      <c r="AF590" s="126"/>
      <c r="AG590" s="127"/>
      <c r="AH590" s="126"/>
      <c r="AI590" s="126"/>
      <c r="AJ590" s="127"/>
      <c r="AK590" s="126"/>
      <c r="AL590" s="126"/>
      <c r="AM590" s="127"/>
      <c r="AN590" s="126"/>
      <c r="AO590" s="126"/>
      <c r="AP590" s="127"/>
      <c r="AQ590" s="126"/>
      <c r="AR590" s="126"/>
      <c r="AS590" s="127"/>
      <c r="AT590" s="126"/>
      <c r="AU590" s="126"/>
      <c r="AV590" s="127"/>
      <c r="AW590" s="126"/>
      <c r="AX590" s="126"/>
      <c r="AY590" s="127"/>
      <c r="AZ590" s="126"/>
      <c r="BA590" s="126"/>
      <c r="BB590" s="127"/>
      <c r="BC590" s="126"/>
      <c r="BD590" s="134"/>
      <c r="BE590" s="127"/>
      <c r="BF590" s="126"/>
      <c r="BG590" s="126"/>
      <c r="BH590" s="126"/>
      <c r="BI590" s="126"/>
      <c r="BJ590" s="126"/>
      <c r="BK590" s="126"/>
      <c r="BL590" s="126"/>
      <c r="BM590" s="126"/>
      <c r="BN590" s="126"/>
      <c r="BO590" s="126"/>
      <c r="BP590" s="126"/>
      <c r="BQ590" s="126"/>
      <c r="BR590" s="126"/>
      <c r="BS590" s="126"/>
      <c r="BT590" s="126"/>
      <c r="BU590" s="126"/>
      <c r="BV590" s="126"/>
      <c r="BW590" s="126"/>
      <c r="BX590" s="126"/>
    </row>
    <row r="591">
      <c r="A591" s="126"/>
      <c r="B591" s="126"/>
      <c r="C591" s="127"/>
      <c r="D591" s="126"/>
      <c r="E591" s="126"/>
      <c r="F591" s="127"/>
      <c r="G591" s="126"/>
      <c r="H591" s="127"/>
      <c r="I591" s="126"/>
      <c r="J591" s="126"/>
      <c r="K591" s="127"/>
      <c r="L591" s="126"/>
      <c r="M591" s="126"/>
      <c r="N591" s="127"/>
      <c r="O591" s="126"/>
      <c r="P591" s="126"/>
      <c r="Q591" s="127"/>
      <c r="R591" s="126"/>
      <c r="S591" s="126"/>
      <c r="T591" s="127"/>
      <c r="U591" s="126"/>
      <c r="V591" s="126"/>
      <c r="W591" s="127"/>
      <c r="X591" s="126"/>
      <c r="Y591" s="126"/>
      <c r="Z591" s="127"/>
      <c r="AA591" s="126"/>
      <c r="AB591" s="126"/>
      <c r="AC591" s="127"/>
      <c r="AD591" s="126"/>
      <c r="AE591" s="126"/>
      <c r="AF591" s="126"/>
      <c r="AG591" s="127"/>
      <c r="AH591" s="126"/>
      <c r="AI591" s="126"/>
      <c r="AJ591" s="127"/>
      <c r="AK591" s="126"/>
      <c r="AL591" s="126"/>
      <c r="AM591" s="127"/>
      <c r="AN591" s="126"/>
      <c r="AO591" s="126"/>
      <c r="AP591" s="127"/>
      <c r="AQ591" s="126"/>
      <c r="AR591" s="126"/>
      <c r="AS591" s="127"/>
      <c r="AT591" s="126"/>
      <c r="AU591" s="126"/>
      <c r="AV591" s="127"/>
      <c r="AW591" s="126"/>
      <c r="AX591" s="126"/>
      <c r="AY591" s="127"/>
      <c r="AZ591" s="126"/>
      <c r="BA591" s="126"/>
      <c r="BB591" s="127"/>
      <c r="BC591" s="126"/>
      <c r="BD591" s="134"/>
      <c r="BE591" s="127"/>
      <c r="BF591" s="126"/>
      <c r="BG591" s="126"/>
      <c r="BH591" s="126"/>
      <c r="BI591" s="126"/>
      <c r="BJ591" s="126"/>
      <c r="BK591" s="126"/>
      <c r="BL591" s="126"/>
      <c r="BM591" s="126"/>
      <c r="BN591" s="126"/>
      <c r="BO591" s="126"/>
      <c r="BP591" s="126"/>
      <c r="BQ591" s="126"/>
      <c r="BR591" s="126"/>
      <c r="BS591" s="126"/>
      <c r="BT591" s="126"/>
      <c r="BU591" s="126"/>
      <c r="BV591" s="126"/>
      <c r="BW591" s="126"/>
      <c r="BX591" s="126"/>
    </row>
    <row r="592">
      <c r="A592" s="126"/>
      <c r="B592" s="126"/>
      <c r="C592" s="127"/>
      <c r="D592" s="126"/>
      <c r="E592" s="126"/>
      <c r="F592" s="127"/>
      <c r="G592" s="126"/>
      <c r="H592" s="127"/>
      <c r="I592" s="126"/>
      <c r="J592" s="126"/>
      <c r="K592" s="127"/>
      <c r="L592" s="126"/>
      <c r="M592" s="126"/>
      <c r="N592" s="127"/>
      <c r="O592" s="126"/>
      <c r="P592" s="126"/>
      <c r="Q592" s="127"/>
      <c r="R592" s="126"/>
      <c r="S592" s="126"/>
      <c r="T592" s="127"/>
      <c r="U592" s="126"/>
      <c r="V592" s="126"/>
      <c r="W592" s="127"/>
      <c r="X592" s="126"/>
      <c r="Y592" s="126"/>
      <c r="Z592" s="127"/>
      <c r="AA592" s="126"/>
      <c r="AB592" s="126"/>
      <c r="AC592" s="127"/>
      <c r="AD592" s="126"/>
      <c r="AE592" s="126"/>
      <c r="AF592" s="126"/>
      <c r="AG592" s="127"/>
      <c r="AH592" s="126"/>
      <c r="AI592" s="126"/>
      <c r="AJ592" s="127"/>
      <c r="AK592" s="126"/>
      <c r="AL592" s="126"/>
      <c r="AM592" s="127"/>
      <c r="AN592" s="126"/>
      <c r="AO592" s="126"/>
      <c r="AP592" s="127"/>
      <c r="AQ592" s="126"/>
      <c r="AR592" s="126"/>
      <c r="AS592" s="127"/>
      <c r="AT592" s="126"/>
      <c r="AU592" s="126"/>
      <c r="AV592" s="127"/>
      <c r="AW592" s="126"/>
      <c r="AX592" s="126"/>
      <c r="AY592" s="127"/>
      <c r="AZ592" s="126"/>
      <c r="BA592" s="126"/>
      <c r="BB592" s="127"/>
      <c r="BC592" s="126"/>
      <c r="BD592" s="134"/>
      <c r="BE592" s="127"/>
      <c r="BF592" s="126"/>
      <c r="BG592" s="126"/>
      <c r="BH592" s="126"/>
      <c r="BI592" s="126"/>
      <c r="BJ592" s="126"/>
      <c r="BK592" s="126"/>
      <c r="BL592" s="126"/>
      <c r="BM592" s="126"/>
      <c r="BN592" s="126"/>
      <c r="BO592" s="126"/>
      <c r="BP592" s="126"/>
      <c r="BQ592" s="126"/>
      <c r="BR592" s="126"/>
      <c r="BS592" s="126"/>
      <c r="BT592" s="126"/>
      <c r="BU592" s="126"/>
      <c r="BV592" s="126"/>
      <c r="BW592" s="126"/>
      <c r="BX592" s="126"/>
    </row>
    <row r="593">
      <c r="A593" s="126"/>
      <c r="B593" s="126"/>
      <c r="C593" s="127"/>
      <c r="D593" s="126"/>
      <c r="E593" s="126"/>
      <c r="F593" s="127"/>
      <c r="G593" s="126"/>
      <c r="H593" s="127"/>
      <c r="I593" s="126"/>
      <c r="J593" s="126"/>
      <c r="K593" s="127"/>
      <c r="L593" s="126"/>
      <c r="M593" s="126"/>
      <c r="N593" s="127"/>
      <c r="O593" s="126"/>
      <c r="P593" s="126"/>
      <c r="Q593" s="127"/>
      <c r="R593" s="126"/>
      <c r="S593" s="126"/>
      <c r="T593" s="127"/>
      <c r="U593" s="126"/>
      <c r="V593" s="126"/>
      <c r="W593" s="127"/>
      <c r="X593" s="126"/>
      <c r="Y593" s="126"/>
      <c r="Z593" s="127"/>
      <c r="AA593" s="126"/>
      <c r="AB593" s="126"/>
      <c r="AC593" s="127"/>
      <c r="AD593" s="126"/>
      <c r="AE593" s="126"/>
      <c r="AF593" s="126"/>
      <c r="AG593" s="127"/>
      <c r="AH593" s="126"/>
      <c r="AI593" s="126"/>
      <c r="AJ593" s="127"/>
      <c r="AK593" s="126"/>
      <c r="AL593" s="126"/>
      <c r="AM593" s="127"/>
      <c r="AN593" s="126"/>
      <c r="AO593" s="126"/>
      <c r="AP593" s="127"/>
      <c r="AQ593" s="126"/>
      <c r="AR593" s="126"/>
      <c r="AS593" s="127"/>
      <c r="AT593" s="126"/>
      <c r="AU593" s="126"/>
      <c r="AV593" s="127"/>
      <c r="AW593" s="126"/>
      <c r="AX593" s="126"/>
      <c r="AY593" s="127"/>
      <c r="AZ593" s="126"/>
      <c r="BA593" s="126"/>
      <c r="BB593" s="127"/>
      <c r="BC593" s="126"/>
      <c r="BD593" s="134"/>
      <c r="BE593" s="127"/>
      <c r="BF593" s="126"/>
      <c r="BG593" s="126"/>
      <c r="BH593" s="126"/>
      <c r="BI593" s="126"/>
      <c r="BJ593" s="126"/>
      <c r="BK593" s="126"/>
      <c r="BL593" s="126"/>
      <c r="BM593" s="126"/>
      <c r="BN593" s="126"/>
      <c r="BO593" s="126"/>
      <c r="BP593" s="126"/>
      <c r="BQ593" s="126"/>
      <c r="BR593" s="126"/>
      <c r="BS593" s="126"/>
      <c r="BT593" s="126"/>
      <c r="BU593" s="126"/>
      <c r="BV593" s="126"/>
      <c r="BW593" s="126"/>
      <c r="BX593" s="126"/>
    </row>
    <row r="594">
      <c r="A594" s="126"/>
      <c r="B594" s="126"/>
      <c r="C594" s="127"/>
      <c r="D594" s="126"/>
      <c r="E594" s="126"/>
      <c r="F594" s="127"/>
      <c r="G594" s="126"/>
      <c r="H594" s="127"/>
      <c r="I594" s="126"/>
      <c r="J594" s="126"/>
      <c r="K594" s="127"/>
      <c r="L594" s="126"/>
      <c r="M594" s="126"/>
      <c r="N594" s="127"/>
      <c r="O594" s="126"/>
      <c r="P594" s="126"/>
      <c r="Q594" s="127"/>
      <c r="R594" s="126"/>
      <c r="S594" s="126"/>
      <c r="T594" s="127"/>
      <c r="U594" s="126"/>
      <c r="V594" s="126"/>
      <c r="W594" s="127"/>
      <c r="X594" s="126"/>
      <c r="Y594" s="126"/>
      <c r="Z594" s="127"/>
      <c r="AA594" s="126"/>
      <c r="AB594" s="126"/>
      <c r="AC594" s="127"/>
      <c r="AD594" s="126"/>
      <c r="AE594" s="126"/>
      <c r="AF594" s="126"/>
      <c r="AG594" s="127"/>
      <c r="AH594" s="126"/>
      <c r="AI594" s="126"/>
      <c r="AJ594" s="127"/>
      <c r="AK594" s="126"/>
      <c r="AL594" s="126"/>
      <c r="AM594" s="127"/>
      <c r="AN594" s="126"/>
      <c r="AO594" s="126"/>
      <c r="AP594" s="127"/>
      <c r="AQ594" s="126"/>
      <c r="AR594" s="126"/>
      <c r="AS594" s="127"/>
      <c r="AT594" s="126"/>
      <c r="AU594" s="126"/>
      <c r="AV594" s="127"/>
      <c r="AW594" s="126"/>
      <c r="AX594" s="126"/>
      <c r="AY594" s="127"/>
      <c r="AZ594" s="126"/>
      <c r="BA594" s="126"/>
      <c r="BB594" s="127"/>
      <c r="BC594" s="126"/>
      <c r="BD594" s="134"/>
      <c r="BE594" s="127"/>
      <c r="BF594" s="126"/>
      <c r="BG594" s="126"/>
      <c r="BH594" s="126"/>
      <c r="BI594" s="126"/>
      <c r="BJ594" s="126"/>
      <c r="BK594" s="126"/>
      <c r="BL594" s="126"/>
      <c r="BM594" s="126"/>
      <c r="BN594" s="126"/>
      <c r="BO594" s="126"/>
      <c r="BP594" s="126"/>
      <c r="BQ594" s="126"/>
      <c r="BR594" s="126"/>
      <c r="BS594" s="126"/>
      <c r="BT594" s="126"/>
      <c r="BU594" s="126"/>
      <c r="BV594" s="126"/>
      <c r="BW594" s="126"/>
      <c r="BX594" s="126"/>
    </row>
    <row r="595">
      <c r="A595" s="126"/>
      <c r="B595" s="126"/>
      <c r="C595" s="127"/>
      <c r="D595" s="126"/>
      <c r="E595" s="126"/>
      <c r="F595" s="127"/>
      <c r="G595" s="126"/>
      <c r="H595" s="127"/>
      <c r="I595" s="126"/>
      <c r="J595" s="126"/>
      <c r="K595" s="127"/>
      <c r="L595" s="126"/>
      <c r="M595" s="126"/>
      <c r="N595" s="127"/>
      <c r="O595" s="126"/>
      <c r="P595" s="126"/>
      <c r="Q595" s="127"/>
      <c r="R595" s="126"/>
      <c r="S595" s="126"/>
      <c r="T595" s="127"/>
      <c r="U595" s="126"/>
      <c r="V595" s="126"/>
      <c r="W595" s="127"/>
      <c r="X595" s="126"/>
      <c r="Y595" s="126"/>
      <c r="Z595" s="127"/>
      <c r="AA595" s="126"/>
      <c r="AB595" s="126"/>
      <c r="AC595" s="127"/>
      <c r="AD595" s="126"/>
      <c r="AE595" s="126"/>
      <c r="AF595" s="126"/>
      <c r="AG595" s="127"/>
      <c r="AH595" s="126"/>
      <c r="AI595" s="126"/>
      <c r="AJ595" s="127"/>
      <c r="AK595" s="126"/>
      <c r="AL595" s="126"/>
      <c r="AM595" s="127"/>
      <c r="AN595" s="126"/>
      <c r="AO595" s="126"/>
      <c r="AP595" s="127"/>
      <c r="AQ595" s="126"/>
      <c r="AR595" s="126"/>
      <c r="AS595" s="127"/>
      <c r="AT595" s="126"/>
      <c r="AU595" s="126"/>
      <c r="AV595" s="127"/>
      <c r="AW595" s="126"/>
      <c r="AX595" s="126"/>
      <c r="AY595" s="127"/>
      <c r="AZ595" s="126"/>
      <c r="BA595" s="126"/>
      <c r="BB595" s="127"/>
      <c r="BC595" s="126"/>
      <c r="BD595" s="134"/>
      <c r="BE595" s="127"/>
      <c r="BF595" s="126"/>
      <c r="BG595" s="126"/>
      <c r="BH595" s="126"/>
      <c r="BI595" s="126"/>
      <c r="BJ595" s="126"/>
      <c r="BK595" s="126"/>
      <c r="BL595" s="126"/>
      <c r="BM595" s="126"/>
      <c r="BN595" s="126"/>
      <c r="BO595" s="126"/>
      <c r="BP595" s="126"/>
      <c r="BQ595" s="126"/>
      <c r="BR595" s="126"/>
      <c r="BS595" s="126"/>
      <c r="BT595" s="126"/>
      <c r="BU595" s="126"/>
      <c r="BV595" s="126"/>
      <c r="BW595" s="126"/>
      <c r="BX595" s="126"/>
    </row>
    <row r="596">
      <c r="A596" s="126"/>
      <c r="B596" s="126"/>
      <c r="C596" s="127"/>
      <c r="D596" s="126"/>
      <c r="E596" s="126"/>
      <c r="F596" s="127"/>
      <c r="G596" s="126"/>
      <c r="H596" s="127"/>
      <c r="I596" s="126"/>
      <c r="J596" s="126"/>
      <c r="K596" s="127"/>
      <c r="L596" s="126"/>
      <c r="M596" s="126"/>
      <c r="N596" s="127"/>
      <c r="O596" s="126"/>
      <c r="P596" s="126"/>
      <c r="Q596" s="127"/>
      <c r="R596" s="126"/>
      <c r="S596" s="126"/>
      <c r="T596" s="127"/>
      <c r="U596" s="126"/>
      <c r="V596" s="126"/>
      <c r="W596" s="127"/>
      <c r="X596" s="126"/>
      <c r="Y596" s="126"/>
      <c r="Z596" s="127"/>
      <c r="AA596" s="126"/>
      <c r="AB596" s="126"/>
      <c r="AC596" s="127"/>
      <c r="AD596" s="126"/>
      <c r="AE596" s="126"/>
      <c r="AF596" s="126"/>
      <c r="AG596" s="127"/>
      <c r="AH596" s="126"/>
      <c r="AI596" s="126"/>
      <c r="AJ596" s="127"/>
      <c r="AK596" s="126"/>
      <c r="AL596" s="126"/>
      <c r="AM596" s="127"/>
      <c r="AN596" s="126"/>
      <c r="AO596" s="126"/>
      <c r="AP596" s="127"/>
      <c r="AQ596" s="126"/>
      <c r="AR596" s="126"/>
      <c r="AS596" s="127"/>
      <c r="AT596" s="126"/>
      <c r="AU596" s="126"/>
      <c r="AV596" s="127"/>
      <c r="AW596" s="126"/>
      <c r="AX596" s="126"/>
      <c r="AY596" s="127"/>
      <c r="AZ596" s="126"/>
      <c r="BA596" s="126"/>
      <c r="BB596" s="127"/>
      <c r="BC596" s="126"/>
      <c r="BD596" s="134"/>
      <c r="BE596" s="127"/>
      <c r="BF596" s="126"/>
      <c r="BG596" s="126"/>
      <c r="BH596" s="126"/>
      <c r="BI596" s="126"/>
      <c r="BJ596" s="126"/>
      <c r="BK596" s="126"/>
      <c r="BL596" s="126"/>
      <c r="BM596" s="126"/>
      <c r="BN596" s="126"/>
      <c r="BO596" s="126"/>
      <c r="BP596" s="126"/>
      <c r="BQ596" s="126"/>
      <c r="BR596" s="126"/>
      <c r="BS596" s="126"/>
      <c r="BT596" s="126"/>
      <c r="BU596" s="126"/>
      <c r="BV596" s="126"/>
      <c r="BW596" s="126"/>
      <c r="BX596" s="126"/>
    </row>
    <row r="597">
      <c r="A597" s="126"/>
      <c r="B597" s="126"/>
      <c r="C597" s="127"/>
      <c r="D597" s="126"/>
      <c r="E597" s="126"/>
      <c r="F597" s="127"/>
      <c r="G597" s="126"/>
      <c r="H597" s="127"/>
      <c r="I597" s="126"/>
      <c r="J597" s="126"/>
      <c r="K597" s="127"/>
      <c r="L597" s="126"/>
      <c r="M597" s="126"/>
      <c r="N597" s="127"/>
      <c r="O597" s="126"/>
      <c r="P597" s="126"/>
      <c r="Q597" s="127"/>
      <c r="R597" s="126"/>
      <c r="S597" s="126"/>
      <c r="T597" s="127"/>
      <c r="U597" s="126"/>
      <c r="V597" s="126"/>
      <c r="W597" s="127"/>
      <c r="X597" s="126"/>
      <c r="Y597" s="126"/>
      <c r="Z597" s="127"/>
      <c r="AA597" s="126"/>
      <c r="AB597" s="126"/>
      <c r="AC597" s="127"/>
      <c r="AD597" s="126"/>
      <c r="AE597" s="126"/>
      <c r="AF597" s="126"/>
      <c r="AG597" s="127"/>
      <c r="AH597" s="126"/>
      <c r="AI597" s="126"/>
      <c r="AJ597" s="127"/>
      <c r="AK597" s="126"/>
      <c r="AL597" s="126"/>
      <c r="AM597" s="127"/>
      <c r="AN597" s="126"/>
      <c r="AO597" s="126"/>
      <c r="AP597" s="127"/>
      <c r="AQ597" s="126"/>
      <c r="AR597" s="126"/>
      <c r="AS597" s="127"/>
      <c r="AT597" s="126"/>
      <c r="AU597" s="126"/>
      <c r="AV597" s="127"/>
      <c r="AW597" s="126"/>
      <c r="AX597" s="126"/>
      <c r="AY597" s="127"/>
      <c r="AZ597" s="126"/>
      <c r="BA597" s="126"/>
      <c r="BB597" s="127"/>
      <c r="BC597" s="126"/>
      <c r="BD597" s="134"/>
      <c r="BE597" s="127"/>
      <c r="BF597" s="126"/>
      <c r="BG597" s="126"/>
      <c r="BH597" s="126"/>
      <c r="BI597" s="126"/>
      <c r="BJ597" s="126"/>
      <c r="BK597" s="126"/>
      <c r="BL597" s="126"/>
      <c r="BM597" s="126"/>
      <c r="BN597" s="126"/>
      <c r="BO597" s="126"/>
      <c r="BP597" s="126"/>
      <c r="BQ597" s="126"/>
      <c r="BR597" s="126"/>
      <c r="BS597" s="126"/>
      <c r="BT597" s="126"/>
      <c r="BU597" s="126"/>
      <c r="BV597" s="126"/>
      <c r="BW597" s="126"/>
      <c r="BX597" s="126"/>
    </row>
    <row r="598">
      <c r="A598" s="126"/>
      <c r="B598" s="126"/>
      <c r="C598" s="127"/>
      <c r="D598" s="126"/>
      <c r="E598" s="126"/>
      <c r="F598" s="127"/>
      <c r="G598" s="126"/>
      <c r="H598" s="127"/>
      <c r="I598" s="126"/>
      <c r="J598" s="126"/>
      <c r="K598" s="127"/>
      <c r="L598" s="126"/>
      <c r="M598" s="126"/>
      <c r="N598" s="127"/>
      <c r="O598" s="126"/>
      <c r="P598" s="126"/>
      <c r="Q598" s="127"/>
      <c r="R598" s="126"/>
      <c r="S598" s="126"/>
      <c r="T598" s="127"/>
      <c r="U598" s="126"/>
      <c r="V598" s="126"/>
      <c r="W598" s="127"/>
      <c r="X598" s="126"/>
      <c r="Y598" s="126"/>
      <c r="Z598" s="127"/>
      <c r="AA598" s="126"/>
      <c r="AB598" s="126"/>
      <c r="AC598" s="127"/>
      <c r="AD598" s="126"/>
      <c r="AE598" s="126"/>
      <c r="AF598" s="126"/>
      <c r="AG598" s="127"/>
      <c r="AH598" s="126"/>
      <c r="AI598" s="126"/>
      <c r="AJ598" s="127"/>
      <c r="AK598" s="126"/>
      <c r="AL598" s="126"/>
      <c r="AM598" s="127"/>
      <c r="AN598" s="126"/>
      <c r="AO598" s="126"/>
      <c r="AP598" s="127"/>
      <c r="AQ598" s="126"/>
      <c r="AR598" s="126"/>
      <c r="AS598" s="127"/>
      <c r="AT598" s="126"/>
      <c r="AU598" s="126"/>
      <c r="AV598" s="127"/>
      <c r="AW598" s="126"/>
      <c r="AX598" s="126"/>
      <c r="AY598" s="127"/>
      <c r="AZ598" s="126"/>
      <c r="BA598" s="126"/>
      <c r="BB598" s="127"/>
      <c r="BC598" s="126"/>
      <c r="BD598" s="134"/>
      <c r="BE598" s="127"/>
      <c r="BF598" s="126"/>
      <c r="BG598" s="126"/>
      <c r="BH598" s="126"/>
      <c r="BI598" s="126"/>
      <c r="BJ598" s="126"/>
      <c r="BK598" s="126"/>
      <c r="BL598" s="126"/>
      <c r="BM598" s="126"/>
      <c r="BN598" s="126"/>
      <c r="BO598" s="126"/>
      <c r="BP598" s="126"/>
      <c r="BQ598" s="126"/>
      <c r="BR598" s="126"/>
      <c r="BS598" s="126"/>
      <c r="BT598" s="126"/>
      <c r="BU598" s="126"/>
      <c r="BV598" s="126"/>
      <c r="BW598" s="126"/>
      <c r="BX598" s="126"/>
    </row>
    <row r="599">
      <c r="A599" s="126"/>
      <c r="B599" s="126"/>
      <c r="C599" s="127"/>
      <c r="D599" s="126"/>
      <c r="E599" s="126"/>
      <c r="F599" s="127"/>
      <c r="G599" s="126"/>
      <c r="H599" s="127"/>
      <c r="I599" s="126"/>
      <c r="J599" s="126"/>
      <c r="K599" s="127"/>
      <c r="L599" s="126"/>
      <c r="M599" s="126"/>
      <c r="N599" s="127"/>
      <c r="O599" s="126"/>
      <c r="P599" s="126"/>
      <c r="Q599" s="127"/>
      <c r="R599" s="126"/>
      <c r="S599" s="126"/>
      <c r="T599" s="127"/>
      <c r="U599" s="126"/>
      <c r="V599" s="126"/>
      <c r="W599" s="127"/>
      <c r="X599" s="126"/>
      <c r="Y599" s="126"/>
      <c r="Z599" s="127"/>
      <c r="AA599" s="126"/>
      <c r="AB599" s="126"/>
      <c r="AC599" s="127"/>
      <c r="AD599" s="126"/>
      <c r="AE599" s="126"/>
      <c r="AF599" s="126"/>
      <c r="AG599" s="127"/>
      <c r="AH599" s="126"/>
      <c r="AI599" s="126"/>
      <c r="AJ599" s="127"/>
      <c r="AK599" s="126"/>
      <c r="AL599" s="126"/>
      <c r="AM599" s="127"/>
      <c r="AN599" s="126"/>
      <c r="AO599" s="126"/>
      <c r="AP599" s="127"/>
      <c r="AQ599" s="126"/>
      <c r="AR599" s="126"/>
      <c r="AS599" s="127"/>
      <c r="AT599" s="126"/>
      <c r="AU599" s="126"/>
      <c r="AV599" s="127"/>
      <c r="AW599" s="126"/>
      <c r="AX599" s="126"/>
      <c r="AY599" s="127"/>
      <c r="AZ599" s="126"/>
      <c r="BA599" s="126"/>
      <c r="BB599" s="127"/>
      <c r="BC599" s="126"/>
      <c r="BD599" s="134"/>
      <c r="BE599" s="127"/>
      <c r="BF599" s="126"/>
      <c r="BG599" s="126"/>
      <c r="BH599" s="126"/>
      <c r="BI599" s="126"/>
      <c r="BJ599" s="126"/>
      <c r="BK599" s="126"/>
      <c r="BL599" s="126"/>
      <c r="BM599" s="126"/>
      <c r="BN599" s="126"/>
      <c r="BO599" s="126"/>
      <c r="BP599" s="126"/>
      <c r="BQ599" s="126"/>
      <c r="BR599" s="126"/>
      <c r="BS599" s="126"/>
      <c r="BT599" s="126"/>
      <c r="BU599" s="126"/>
      <c r="BV599" s="126"/>
      <c r="BW599" s="126"/>
      <c r="BX599" s="126"/>
    </row>
    <row r="600">
      <c r="A600" s="126"/>
      <c r="B600" s="126"/>
      <c r="C600" s="127"/>
      <c r="D600" s="126"/>
      <c r="E600" s="126"/>
      <c r="F600" s="127"/>
      <c r="G600" s="126"/>
      <c r="H600" s="127"/>
      <c r="I600" s="126"/>
      <c r="J600" s="126"/>
      <c r="K600" s="127"/>
      <c r="L600" s="126"/>
      <c r="M600" s="126"/>
      <c r="N600" s="127"/>
      <c r="O600" s="126"/>
      <c r="P600" s="126"/>
      <c r="Q600" s="127"/>
      <c r="R600" s="126"/>
      <c r="S600" s="126"/>
      <c r="T600" s="127"/>
      <c r="U600" s="126"/>
      <c r="V600" s="126"/>
      <c r="W600" s="127"/>
      <c r="X600" s="126"/>
      <c r="Y600" s="126"/>
      <c r="Z600" s="127"/>
      <c r="AA600" s="126"/>
      <c r="AB600" s="126"/>
      <c r="AC600" s="127"/>
      <c r="AD600" s="126"/>
      <c r="AE600" s="126"/>
      <c r="AF600" s="126"/>
      <c r="AG600" s="127"/>
      <c r="AH600" s="126"/>
      <c r="AI600" s="126"/>
      <c r="AJ600" s="127"/>
      <c r="AK600" s="126"/>
      <c r="AL600" s="126"/>
      <c r="AM600" s="127"/>
      <c r="AN600" s="126"/>
      <c r="AO600" s="126"/>
      <c r="AP600" s="127"/>
      <c r="AQ600" s="126"/>
      <c r="AR600" s="126"/>
      <c r="AS600" s="127"/>
      <c r="AT600" s="126"/>
      <c r="AU600" s="126"/>
      <c r="AV600" s="127"/>
      <c r="AW600" s="126"/>
      <c r="AX600" s="126"/>
      <c r="AY600" s="127"/>
      <c r="AZ600" s="126"/>
      <c r="BA600" s="126"/>
      <c r="BB600" s="127"/>
      <c r="BC600" s="126"/>
      <c r="BD600" s="134"/>
      <c r="BE600" s="127"/>
      <c r="BF600" s="126"/>
      <c r="BG600" s="126"/>
      <c r="BH600" s="126"/>
      <c r="BI600" s="126"/>
      <c r="BJ600" s="126"/>
      <c r="BK600" s="126"/>
      <c r="BL600" s="126"/>
      <c r="BM600" s="126"/>
      <c r="BN600" s="126"/>
      <c r="BO600" s="126"/>
      <c r="BP600" s="126"/>
      <c r="BQ600" s="126"/>
      <c r="BR600" s="126"/>
      <c r="BS600" s="126"/>
      <c r="BT600" s="126"/>
      <c r="BU600" s="126"/>
      <c r="BV600" s="126"/>
      <c r="BW600" s="126"/>
      <c r="BX600" s="126"/>
    </row>
    <row r="601">
      <c r="A601" s="126"/>
      <c r="B601" s="126"/>
      <c r="C601" s="127"/>
      <c r="D601" s="126"/>
      <c r="E601" s="126"/>
      <c r="F601" s="127"/>
      <c r="G601" s="126"/>
      <c r="H601" s="127"/>
      <c r="I601" s="126"/>
      <c r="J601" s="126"/>
      <c r="K601" s="127"/>
      <c r="L601" s="126"/>
      <c r="M601" s="126"/>
      <c r="N601" s="127"/>
      <c r="O601" s="126"/>
      <c r="P601" s="126"/>
      <c r="Q601" s="127"/>
      <c r="R601" s="126"/>
      <c r="S601" s="126"/>
      <c r="T601" s="127"/>
      <c r="U601" s="126"/>
      <c r="V601" s="126"/>
      <c r="W601" s="127"/>
      <c r="X601" s="126"/>
      <c r="Y601" s="126"/>
      <c r="Z601" s="127"/>
      <c r="AA601" s="126"/>
      <c r="AB601" s="126"/>
      <c r="AC601" s="127"/>
      <c r="AD601" s="126"/>
      <c r="AE601" s="126"/>
      <c r="AF601" s="126"/>
      <c r="AG601" s="127"/>
      <c r="AH601" s="126"/>
      <c r="AI601" s="126"/>
      <c r="AJ601" s="127"/>
      <c r="AK601" s="126"/>
      <c r="AL601" s="126"/>
      <c r="AM601" s="127"/>
      <c r="AN601" s="126"/>
      <c r="AO601" s="126"/>
      <c r="AP601" s="127"/>
      <c r="AQ601" s="126"/>
      <c r="AR601" s="126"/>
      <c r="AS601" s="127"/>
      <c r="AT601" s="126"/>
      <c r="AU601" s="126"/>
      <c r="AV601" s="127"/>
      <c r="AW601" s="126"/>
      <c r="AX601" s="126"/>
      <c r="AY601" s="127"/>
      <c r="AZ601" s="126"/>
      <c r="BA601" s="126"/>
      <c r="BB601" s="127"/>
      <c r="BC601" s="126"/>
      <c r="BD601" s="134"/>
      <c r="BE601" s="127"/>
      <c r="BF601" s="126"/>
      <c r="BG601" s="126"/>
      <c r="BH601" s="126"/>
      <c r="BI601" s="126"/>
      <c r="BJ601" s="126"/>
      <c r="BK601" s="126"/>
      <c r="BL601" s="126"/>
      <c r="BM601" s="126"/>
      <c r="BN601" s="126"/>
      <c r="BO601" s="126"/>
      <c r="BP601" s="126"/>
      <c r="BQ601" s="126"/>
      <c r="BR601" s="126"/>
      <c r="BS601" s="126"/>
      <c r="BT601" s="126"/>
      <c r="BU601" s="126"/>
      <c r="BV601" s="126"/>
      <c r="BW601" s="126"/>
      <c r="BX601" s="126"/>
    </row>
    <row r="602">
      <c r="A602" s="126"/>
      <c r="B602" s="126"/>
      <c r="C602" s="127"/>
      <c r="D602" s="126"/>
      <c r="E602" s="126"/>
      <c r="F602" s="127"/>
      <c r="G602" s="126"/>
      <c r="H602" s="127"/>
      <c r="I602" s="126"/>
      <c r="J602" s="126"/>
      <c r="K602" s="127"/>
      <c r="L602" s="126"/>
      <c r="M602" s="126"/>
      <c r="N602" s="127"/>
      <c r="O602" s="126"/>
      <c r="P602" s="126"/>
      <c r="Q602" s="127"/>
      <c r="R602" s="126"/>
      <c r="S602" s="126"/>
      <c r="T602" s="127"/>
      <c r="U602" s="126"/>
      <c r="V602" s="126"/>
      <c r="W602" s="127"/>
      <c r="X602" s="126"/>
      <c r="Y602" s="126"/>
      <c r="Z602" s="127"/>
      <c r="AA602" s="126"/>
      <c r="AB602" s="126"/>
      <c r="AC602" s="127"/>
      <c r="AD602" s="126"/>
      <c r="AE602" s="126"/>
      <c r="AF602" s="126"/>
      <c r="AG602" s="127"/>
      <c r="AH602" s="126"/>
      <c r="AI602" s="126"/>
      <c r="AJ602" s="127"/>
      <c r="AK602" s="126"/>
      <c r="AL602" s="126"/>
      <c r="AM602" s="127"/>
      <c r="AN602" s="126"/>
      <c r="AO602" s="126"/>
      <c r="AP602" s="127"/>
      <c r="AQ602" s="126"/>
      <c r="AR602" s="126"/>
      <c r="AS602" s="127"/>
      <c r="AT602" s="126"/>
      <c r="AU602" s="126"/>
      <c r="AV602" s="127"/>
      <c r="AW602" s="126"/>
      <c r="AX602" s="126"/>
      <c r="AY602" s="127"/>
      <c r="AZ602" s="126"/>
      <c r="BA602" s="126"/>
      <c r="BB602" s="127"/>
      <c r="BC602" s="126"/>
      <c r="BD602" s="134"/>
      <c r="BE602" s="127"/>
      <c r="BF602" s="126"/>
      <c r="BG602" s="126"/>
      <c r="BH602" s="126"/>
      <c r="BI602" s="126"/>
      <c r="BJ602" s="126"/>
      <c r="BK602" s="126"/>
      <c r="BL602" s="126"/>
      <c r="BM602" s="126"/>
      <c r="BN602" s="126"/>
      <c r="BO602" s="126"/>
      <c r="BP602" s="126"/>
      <c r="BQ602" s="126"/>
      <c r="BR602" s="126"/>
      <c r="BS602" s="126"/>
      <c r="BT602" s="126"/>
      <c r="BU602" s="126"/>
      <c r="BV602" s="126"/>
      <c r="BW602" s="126"/>
      <c r="BX602" s="126"/>
    </row>
    <row r="603">
      <c r="A603" s="126"/>
      <c r="B603" s="126"/>
      <c r="C603" s="127"/>
      <c r="D603" s="126"/>
      <c r="E603" s="126"/>
      <c r="F603" s="127"/>
      <c r="G603" s="126"/>
      <c r="H603" s="127"/>
      <c r="I603" s="126"/>
      <c r="J603" s="126"/>
      <c r="K603" s="127"/>
      <c r="L603" s="126"/>
      <c r="M603" s="126"/>
      <c r="N603" s="127"/>
      <c r="O603" s="126"/>
      <c r="P603" s="126"/>
      <c r="Q603" s="127"/>
      <c r="R603" s="126"/>
      <c r="S603" s="126"/>
      <c r="T603" s="127"/>
      <c r="U603" s="126"/>
      <c r="V603" s="126"/>
      <c r="W603" s="127"/>
      <c r="X603" s="126"/>
      <c r="Y603" s="126"/>
      <c r="Z603" s="127"/>
      <c r="AA603" s="126"/>
      <c r="AB603" s="126"/>
      <c r="AC603" s="127"/>
      <c r="AD603" s="126"/>
      <c r="AE603" s="126"/>
      <c r="AF603" s="126"/>
      <c r="AG603" s="127"/>
      <c r="AH603" s="126"/>
      <c r="AI603" s="126"/>
      <c r="AJ603" s="127"/>
      <c r="AK603" s="126"/>
      <c r="AL603" s="126"/>
      <c r="AM603" s="127"/>
      <c r="AN603" s="126"/>
      <c r="AO603" s="126"/>
      <c r="AP603" s="127"/>
      <c r="AQ603" s="126"/>
      <c r="AR603" s="126"/>
      <c r="AS603" s="127"/>
      <c r="AT603" s="126"/>
      <c r="AU603" s="126"/>
      <c r="AV603" s="127"/>
      <c r="AW603" s="126"/>
      <c r="AX603" s="126"/>
      <c r="AY603" s="127"/>
      <c r="AZ603" s="126"/>
      <c r="BA603" s="126"/>
      <c r="BB603" s="127"/>
      <c r="BC603" s="126"/>
      <c r="BD603" s="134"/>
      <c r="BE603" s="127"/>
      <c r="BF603" s="126"/>
      <c r="BG603" s="126"/>
      <c r="BH603" s="126"/>
      <c r="BI603" s="126"/>
      <c r="BJ603" s="126"/>
      <c r="BK603" s="126"/>
      <c r="BL603" s="126"/>
      <c r="BM603" s="126"/>
      <c r="BN603" s="126"/>
      <c r="BO603" s="126"/>
      <c r="BP603" s="126"/>
      <c r="BQ603" s="126"/>
      <c r="BR603" s="126"/>
      <c r="BS603" s="126"/>
      <c r="BT603" s="126"/>
      <c r="BU603" s="126"/>
      <c r="BV603" s="126"/>
      <c r="BW603" s="126"/>
      <c r="BX603" s="126"/>
    </row>
    <row r="604">
      <c r="A604" s="126"/>
      <c r="B604" s="126"/>
      <c r="C604" s="127"/>
      <c r="D604" s="126"/>
      <c r="E604" s="126"/>
      <c r="F604" s="127"/>
      <c r="G604" s="126"/>
      <c r="H604" s="127"/>
      <c r="I604" s="126"/>
      <c r="J604" s="126"/>
      <c r="K604" s="127"/>
      <c r="L604" s="126"/>
      <c r="M604" s="126"/>
      <c r="N604" s="127"/>
      <c r="O604" s="126"/>
      <c r="P604" s="126"/>
      <c r="Q604" s="127"/>
      <c r="R604" s="126"/>
      <c r="S604" s="126"/>
      <c r="T604" s="127"/>
      <c r="U604" s="126"/>
      <c r="V604" s="126"/>
      <c r="W604" s="127"/>
      <c r="X604" s="126"/>
      <c r="Y604" s="126"/>
      <c r="Z604" s="127"/>
      <c r="AA604" s="126"/>
      <c r="AB604" s="126"/>
      <c r="AC604" s="127"/>
      <c r="AD604" s="126"/>
      <c r="AE604" s="126"/>
      <c r="AF604" s="126"/>
      <c r="AG604" s="127"/>
      <c r="AH604" s="126"/>
      <c r="AI604" s="126"/>
      <c r="AJ604" s="127"/>
      <c r="AK604" s="126"/>
      <c r="AL604" s="126"/>
      <c r="AM604" s="127"/>
      <c r="AN604" s="126"/>
      <c r="AO604" s="126"/>
      <c r="AP604" s="127"/>
      <c r="AQ604" s="126"/>
      <c r="AR604" s="126"/>
      <c r="AS604" s="127"/>
      <c r="AT604" s="126"/>
      <c r="AU604" s="126"/>
      <c r="AV604" s="127"/>
      <c r="AW604" s="126"/>
      <c r="AX604" s="126"/>
      <c r="AY604" s="127"/>
      <c r="AZ604" s="126"/>
      <c r="BA604" s="126"/>
      <c r="BB604" s="127"/>
      <c r="BC604" s="126"/>
      <c r="BD604" s="134"/>
      <c r="BE604" s="127"/>
      <c r="BF604" s="126"/>
      <c r="BG604" s="126"/>
      <c r="BH604" s="126"/>
      <c r="BI604" s="126"/>
      <c r="BJ604" s="126"/>
      <c r="BK604" s="126"/>
      <c r="BL604" s="126"/>
      <c r="BM604" s="126"/>
      <c r="BN604" s="126"/>
      <c r="BO604" s="126"/>
      <c r="BP604" s="126"/>
      <c r="BQ604" s="126"/>
      <c r="BR604" s="126"/>
      <c r="BS604" s="126"/>
      <c r="BT604" s="126"/>
      <c r="BU604" s="126"/>
      <c r="BV604" s="126"/>
      <c r="BW604" s="126"/>
      <c r="BX604" s="126"/>
    </row>
    <row r="605">
      <c r="A605" s="126"/>
      <c r="B605" s="126"/>
      <c r="C605" s="127"/>
      <c r="D605" s="126"/>
      <c r="E605" s="126"/>
      <c r="F605" s="127"/>
      <c r="G605" s="126"/>
      <c r="H605" s="127"/>
      <c r="I605" s="126"/>
      <c r="J605" s="126"/>
      <c r="K605" s="127"/>
      <c r="L605" s="126"/>
      <c r="M605" s="126"/>
      <c r="N605" s="127"/>
      <c r="O605" s="126"/>
      <c r="P605" s="126"/>
      <c r="Q605" s="127"/>
      <c r="R605" s="126"/>
      <c r="S605" s="126"/>
      <c r="T605" s="127"/>
      <c r="U605" s="126"/>
      <c r="V605" s="126"/>
      <c r="W605" s="127"/>
      <c r="X605" s="126"/>
      <c r="Y605" s="126"/>
      <c r="Z605" s="127"/>
      <c r="AA605" s="126"/>
      <c r="AB605" s="126"/>
      <c r="AC605" s="127"/>
      <c r="AD605" s="126"/>
      <c r="AE605" s="126"/>
      <c r="AF605" s="126"/>
      <c r="AG605" s="127"/>
      <c r="AH605" s="126"/>
      <c r="AI605" s="126"/>
      <c r="AJ605" s="127"/>
      <c r="AK605" s="126"/>
      <c r="AL605" s="126"/>
      <c r="AM605" s="127"/>
      <c r="AN605" s="126"/>
      <c r="AO605" s="126"/>
      <c r="AP605" s="127"/>
      <c r="AQ605" s="126"/>
      <c r="AR605" s="126"/>
      <c r="AS605" s="127"/>
      <c r="AT605" s="126"/>
      <c r="AU605" s="126"/>
      <c r="AV605" s="127"/>
      <c r="AW605" s="126"/>
      <c r="AX605" s="126"/>
      <c r="AY605" s="127"/>
      <c r="AZ605" s="126"/>
      <c r="BA605" s="126"/>
      <c r="BB605" s="127"/>
      <c r="BC605" s="126"/>
      <c r="BD605" s="134"/>
      <c r="BE605" s="127"/>
      <c r="BF605" s="126"/>
      <c r="BG605" s="126"/>
      <c r="BH605" s="126"/>
      <c r="BI605" s="126"/>
      <c r="BJ605" s="126"/>
      <c r="BK605" s="126"/>
      <c r="BL605" s="126"/>
      <c r="BM605" s="126"/>
      <c r="BN605" s="126"/>
      <c r="BO605" s="126"/>
      <c r="BP605" s="126"/>
      <c r="BQ605" s="126"/>
      <c r="BR605" s="126"/>
      <c r="BS605" s="126"/>
      <c r="BT605" s="126"/>
      <c r="BU605" s="126"/>
      <c r="BV605" s="126"/>
      <c r="BW605" s="126"/>
      <c r="BX605" s="126"/>
    </row>
    <row r="606">
      <c r="A606" s="126"/>
      <c r="B606" s="126"/>
      <c r="C606" s="127"/>
      <c r="D606" s="126"/>
      <c r="E606" s="126"/>
      <c r="F606" s="127"/>
      <c r="G606" s="126"/>
      <c r="H606" s="127"/>
      <c r="I606" s="126"/>
      <c r="J606" s="126"/>
      <c r="K606" s="127"/>
      <c r="L606" s="126"/>
      <c r="M606" s="126"/>
      <c r="N606" s="127"/>
      <c r="O606" s="126"/>
      <c r="P606" s="126"/>
      <c r="Q606" s="127"/>
      <c r="R606" s="126"/>
      <c r="S606" s="126"/>
      <c r="T606" s="127"/>
      <c r="U606" s="126"/>
      <c r="V606" s="126"/>
      <c r="W606" s="127"/>
      <c r="X606" s="126"/>
      <c r="Y606" s="126"/>
      <c r="Z606" s="127"/>
      <c r="AA606" s="126"/>
      <c r="AB606" s="126"/>
      <c r="AC606" s="127"/>
      <c r="AD606" s="126"/>
      <c r="AE606" s="126"/>
      <c r="AF606" s="126"/>
      <c r="AG606" s="127"/>
      <c r="AH606" s="126"/>
      <c r="AI606" s="126"/>
      <c r="AJ606" s="127"/>
      <c r="AK606" s="126"/>
      <c r="AL606" s="126"/>
      <c r="AM606" s="127"/>
      <c r="AN606" s="126"/>
      <c r="AO606" s="126"/>
      <c r="AP606" s="127"/>
      <c r="AQ606" s="126"/>
      <c r="AR606" s="126"/>
      <c r="AS606" s="127"/>
      <c r="AT606" s="126"/>
      <c r="AU606" s="126"/>
      <c r="AV606" s="127"/>
      <c r="AW606" s="126"/>
      <c r="AX606" s="126"/>
      <c r="AY606" s="127"/>
      <c r="AZ606" s="126"/>
      <c r="BA606" s="126"/>
      <c r="BB606" s="127"/>
      <c r="BC606" s="126"/>
      <c r="BD606" s="134"/>
      <c r="BE606" s="127"/>
      <c r="BF606" s="126"/>
      <c r="BG606" s="126"/>
      <c r="BH606" s="126"/>
      <c r="BI606" s="126"/>
      <c r="BJ606" s="126"/>
      <c r="BK606" s="126"/>
      <c r="BL606" s="126"/>
      <c r="BM606" s="126"/>
      <c r="BN606" s="126"/>
      <c r="BO606" s="126"/>
      <c r="BP606" s="126"/>
      <c r="BQ606" s="126"/>
      <c r="BR606" s="126"/>
      <c r="BS606" s="126"/>
      <c r="BT606" s="126"/>
      <c r="BU606" s="126"/>
      <c r="BV606" s="126"/>
      <c r="BW606" s="126"/>
      <c r="BX606" s="126"/>
    </row>
    <row r="607">
      <c r="A607" s="126"/>
      <c r="B607" s="126"/>
      <c r="C607" s="127"/>
      <c r="D607" s="126"/>
      <c r="E607" s="126"/>
      <c r="F607" s="127"/>
      <c r="G607" s="126"/>
      <c r="H607" s="127"/>
      <c r="I607" s="126"/>
      <c r="J607" s="126"/>
      <c r="K607" s="127"/>
      <c r="L607" s="126"/>
      <c r="M607" s="126"/>
      <c r="N607" s="127"/>
      <c r="O607" s="126"/>
      <c r="P607" s="126"/>
      <c r="Q607" s="127"/>
      <c r="R607" s="126"/>
      <c r="S607" s="126"/>
      <c r="T607" s="127"/>
      <c r="U607" s="126"/>
      <c r="V607" s="126"/>
      <c r="W607" s="127"/>
      <c r="X607" s="126"/>
      <c r="Y607" s="126"/>
      <c r="Z607" s="127"/>
      <c r="AA607" s="126"/>
      <c r="AB607" s="126"/>
      <c r="AC607" s="127"/>
      <c r="AD607" s="126"/>
      <c r="AE607" s="126"/>
      <c r="AF607" s="126"/>
      <c r="AG607" s="127"/>
      <c r="AH607" s="126"/>
      <c r="AI607" s="126"/>
      <c r="AJ607" s="127"/>
      <c r="AK607" s="126"/>
      <c r="AL607" s="126"/>
      <c r="AM607" s="127"/>
      <c r="AN607" s="126"/>
      <c r="AO607" s="126"/>
      <c r="AP607" s="127"/>
      <c r="AQ607" s="126"/>
      <c r="AR607" s="126"/>
      <c r="AS607" s="127"/>
      <c r="AT607" s="126"/>
      <c r="AU607" s="126"/>
      <c r="AV607" s="127"/>
      <c r="AW607" s="126"/>
      <c r="AX607" s="126"/>
      <c r="AY607" s="127"/>
      <c r="AZ607" s="126"/>
      <c r="BA607" s="126"/>
      <c r="BB607" s="127"/>
      <c r="BC607" s="126"/>
      <c r="BD607" s="134"/>
      <c r="BE607" s="127"/>
      <c r="BF607" s="126"/>
      <c r="BG607" s="126"/>
      <c r="BH607" s="126"/>
      <c r="BI607" s="126"/>
      <c r="BJ607" s="126"/>
      <c r="BK607" s="126"/>
      <c r="BL607" s="126"/>
      <c r="BM607" s="126"/>
      <c r="BN607" s="126"/>
      <c r="BO607" s="126"/>
      <c r="BP607" s="126"/>
      <c r="BQ607" s="126"/>
      <c r="BR607" s="126"/>
      <c r="BS607" s="126"/>
      <c r="BT607" s="126"/>
      <c r="BU607" s="126"/>
      <c r="BV607" s="126"/>
      <c r="BW607" s="126"/>
      <c r="BX607" s="126"/>
    </row>
    <row r="608">
      <c r="A608" s="126"/>
      <c r="B608" s="126"/>
      <c r="C608" s="127"/>
      <c r="D608" s="126"/>
      <c r="E608" s="126"/>
      <c r="F608" s="127"/>
      <c r="G608" s="126"/>
      <c r="H608" s="127"/>
      <c r="I608" s="126"/>
      <c r="J608" s="126"/>
      <c r="K608" s="127"/>
      <c r="L608" s="126"/>
      <c r="M608" s="126"/>
      <c r="N608" s="127"/>
      <c r="O608" s="126"/>
      <c r="P608" s="126"/>
      <c r="Q608" s="127"/>
      <c r="R608" s="126"/>
      <c r="S608" s="126"/>
      <c r="T608" s="127"/>
      <c r="U608" s="126"/>
      <c r="V608" s="126"/>
      <c r="W608" s="127"/>
      <c r="X608" s="126"/>
      <c r="Y608" s="126"/>
      <c r="Z608" s="127"/>
      <c r="AA608" s="126"/>
      <c r="AB608" s="126"/>
      <c r="AC608" s="127"/>
      <c r="AD608" s="126"/>
      <c r="AE608" s="126"/>
      <c r="AF608" s="126"/>
      <c r="AG608" s="127"/>
      <c r="AH608" s="126"/>
      <c r="AI608" s="126"/>
      <c r="AJ608" s="127"/>
      <c r="AK608" s="126"/>
      <c r="AL608" s="126"/>
      <c r="AM608" s="127"/>
      <c r="AN608" s="126"/>
      <c r="AO608" s="126"/>
      <c r="AP608" s="127"/>
      <c r="AQ608" s="126"/>
      <c r="AR608" s="126"/>
      <c r="AS608" s="127"/>
      <c r="AT608" s="126"/>
      <c r="AU608" s="126"/>
      <c r="AV608" s="127"/>
      <c r="AW608" s="126"/>
      <c r="AX608" s="126"/>
      <c r="AY608" s="127"/>
      <c r="AZ608" s="126"/>
      <c r="BA608" s="126"/>
      <c r="BB608" s="127"/>
      <c r="BC608" s="126"/>
      <c r="BD608" s="134"/>
      <c r="BE608" s="127"/>
      <c r="BF608" s="126"/>
      <c r="BG608" s="126"/>
      <c r="BH608" s="126"/>
      <c r="BI608" s="126"/>
      <c r="BJ608" s="126"/>
      <c r="BK608" s="126"/>
      <c r="BL608" s="126"/>
      <c r="BM608" s="126"/>
      <c r="BN608" s="126"/>
      <c r="BO608" s="126"/>
      <c r="BP608" s="126"/>
      <c r="BQ608" s="126"/>
      <c r="BR608" s="126"/>
      <c r="BS608" s="126"/>
      <c r="BT608" s="126"/>
      <c r="BU608" s="126"/>
      <c r="BV608" s="126"/>
      <c r="BW608" s="126"/>
      <c r="BX608" s="126"/>
    </row>
    <row r="609">
      <c r="A609" s="126"/>
      <c r="B609" s="126"/>
      <c r="C609" s="127"/>
      <c r="D609" s="126"/>
      <c r="E609" s="126"/>
      <c r="F609" s="127"/>
      <c r="G609" s="126"/>
      <c r="H609" s="127"/>
      <c r="I609" s="126"/>
      <c r="J609" s="126"/>
      <c r="K609" s="127"/>
      <c r="L609" s="126"/>
      <c r="M609" s="126"/>
      <c r="N609" s="127"/>
      <c r="O609" s="126"/>
      <c r="P609" s="126"/>
      <c r="Q609" s="127"/>
      <c r="R609" s="126"/>
      <c r="S609" s="126"/>
      <c r="T609" s="127"/>
      <c r="U609" s="126"/>
      <c r="V609" s="126"/>
      <c r="W609" s="127"/>
      <c r="X609" s="126"/>
      <c r="Y609" s="126"/>
      <c r="Z609" s="127"/>
      <c r="AA609" s="126"/>
      <c r="AB609" s="126"/>
      <c r="AC609" s="127"/>
      <c r="AD609" s="126"/>
      <c r="AE609" s="126"/>
      <c r="AF609" s="126"/>
      <c r="AG609" s="127"/>
      <c r="AH609" s="126"/>
      <c r="AI609" s="126"/>
      <c r="AJ609" s="127"/>
      <c r="AK609" s="126"/>
      <c r="AL609" s="126"/>
      <c r="AM609" s="127"/>
      <c r="AN609" s="126"/>
      <c r="AO609" s="126"/>
      <c r="AP609" s="127"/>
      <c r="AQ609" s="126"/>
      <c r="AR609" s="126"/>
      <c r="AS609" s="127"/>
      <c r="AT609" s="126"/>
      <c r="AU609" s="126"/>
      <c r="AV609" s="127"/>
      <c r="AW609" s="126"/>
      <c r="AX609" s="126"/>
      <c r="AY609" s="127"/>
      <c r="AZ609" s="126"/>
      <c r="BA609" s="126"/>
      <c r="BB609" s="127"/>
      <c r="BC609" s="126"/>
      <c r="BD609" s="134"/>
      <c r="BE609" s="127"/>
      <c r="BF609" s="126"/>
      <c r="BG609" s="126"/>
      <c r="BH609" s="126"/>
      <c r="BI609" s="126"/>
      <c r="BJ609" s="126"/>
      <c r="BK609" s="126"/>
      <c r="BL609" s="126"/>
      <c r="BM609" s="126"/>
      <c r="BN609" s="126"/>
      <c r="BO609" s="126"/>
      <c r="BP609" s="126"/>
      <c r="BQ609" s="126"/>
      <c r="BR609" s="126"/>
      <c r="BS609" s="126"/>
      <c r="BT609" s="126"/>
      <c r="BU609" s="126"/>
      <c r="BV609" s="126"/>
      <c r="BW609" s="126"/>
      <c r="BX609" s="126"/>
    </row>
    <row r="610">
      <c r="A610" s="126"/>
      <c r="B610" s="126"/>
      <c r="C610" s="127"/>
      <c r="D610" s="126"/>
      <c r="E610" s="126"/>
      <c r="F610" s="127"/>
      <c r="G610" s="126"/>
      <c r="H610" s="127"/>
      <c r="I610" s="126"/>
      <c r="J610" s="126"/>
      <c r="K610" s="127"/>
      <c r="L610" s="126"/>
      <c r="M610" s="126"/>
      <c r="N610" s="127"/>
      <c r="O610" s="126"/>
      <c r="P610" s="126"/>
      <c r="Q610" s="127"/>
      <c r="R610" s="126"/>
      <c r="S610" s="126"/>
      <c r="T610" s="127"/>
      <c r="U610" s="126"/>
      <c r="V610" s="126"/>
      <c r="W610" s="127"/>
      <c r="X610" s="126"/>
      <c r="Y610" s="126"/>
      <c r="Z610" s="127"/>
      <c r="AA610" s="126"/>
      <c r="AB610" s="126"/>
      <c r="AC610" s="127"/>
      <c r="AD610" s="126"/>
      <c r="AE610" s="126"/>
      <c r="AF610" s="126"/>
      <c r="AG610" s="127"/>
      <c r="AH610" s="126"/>
      <c r="AI610" s="126"/>
      <c r="AJ610" s="127"/>
      <c r="AK610" s="126"/>
      <c r="AL610" s="126"/>
      <c r="AM610" s="127"/>
      <c r="AN610" s="126"/>
      <c r="AO610" s="126"/>
      <c r="AP610" s="127"/>
      <c r="AQ610" s="126"/>
      <c r="AR610" s="126"/>
      <c r="AS610" s="127"/>
      <c r="AT610" s="126"/>
      <c r="AU610" s="126"/>
      <c r="AV610" s="127"/>
      <c r="AW610" s="126"/>
      <c r="AX610" s="126"/>
      <c r="AY610" s="127"/>
      <c r="AZ610" s="126"/>
      <c r="BA610" s="126"/>
      <c r="BB610" s="127"/>
      <c r="BC610" s="126"/>
      <c r="BD610" s="134"/>
      <c r="BE610" s="127"/>
      <c r="BF610" s="126"/>
      <c r="BG610" s="126"/>
      <c r="BH610" s="126"/>
      <c r="BI610" s="126"/>
      <c r="BJ610" s="126"/>
      <c r="BK610" s="126"/>
      <c r="BL610" s="126"/>
      <c r="BM610" s="126"/>
      <c r="BN610" s="126"/>
      <c r="BO610" s="126"/>
      <c r="BP610" s="126"/>
      <c r="BQ610" s="126"/>
      <c r="BR610" s="126"/>
      <c r="BS610" s="126"/>
      <c r="BT610" s="126"/>
      <c r="BU610" s="126"/>
      <c r="BV610" s="126"/>
      <c r="BW610" s="126"/>
      <c r="BX610" s="126"/>
    </row>
    <row r="611">
      <c r="A611" s="126"/>
      <c r="B611" s="126"/>
      <c r="C611" s="127"/>
      <c r="D611" s="126"/>
      <c r="E611" s="126"/>
      <c r="F611" s="127"/>
      <c r="G611" s="126"/>
      <c r="H611" s="127"/>
      <c r="I611" s="126"/>
      <c r="J611" s="126"/>
      <c r="K611" s="127"/>
      <c r="L611" s="126"/>
      <c r="M611" s="126"/>
      <c r="N611" s="127"/>
      <c r="O611" s="126"/>
      <c r="P611" s="126"/>
      <c r="Q611" s="127"/>
      <c r="R611" s="126"/>
      <c r="S611" s="126"/>
      <c r="T611" s="127"/>
      <c r="U611" s="126"/>
      <c r="V611" s="126"/>
      <c r="W611" s="127"/>
      <c r="X611" s="126"/>
      <c r="Y611" s="126"/>
      <c r="Z611" s="127"/>
      <c r="AA611" s="126"/>
      <c r="AB611" s="126"/>
      <c r="AC611" s="127"/>
      <c r="AD611" s="126"/>
      <c r="AE611" s="126"/>
      <c r="AF611" s="126"/>
      <c r="AG611" s="127"/>
      <c r="AH611" s="126"/>
      <c r="AI611" s="126"/>
      <c r="AJ611" s="127"/>
      <c r="AK611" s="126"/>
      <c r="AL611" s="126"/>
      <c r="AM611" s="127"/>
      <c r="AN611" s="126"/>
      <c r="AO611" s="126"/>
      <c r="AP611" s="127"/>
      <c r="AQ611" s="126"/>
      <c r="AR611" s="126"/>
      <c r="AS611" s="127"/>
      <c r="AT611" s="126"/>
      <c r="AU611" s="126"/>
      <c r="AV611" s="127"/>
      <c r="AW611" s="126"/>
      <c r="AX611" s="126"/>
      <c r="AY611" s="127"/>
      <c r="AZ611" s="126"/>
      <c r="BA611" s="126"/>
      <c r="BB611" s="127"/>
      <c r="BC611" s="126"/>
      <c r="BD611" s="134"/>
      <c r="BE611" s="127"/>
      <c r="BF611" s="126"/>
      <c r="BG611" s="126"/>
      <c r="BH611" s="126"/>
      <c r="BI611" s="126"/>
      <c r="BJ611" s="126"/>
      <c r="BK611" s="126"/>
      <c r="BL611" s="126"/>
      <c r="BM611" s="126"/>
      <c r="BN611" s="126"/>
      <c r="BO611" s="126"/>
      <c r="BP611" s="126"/>
      <c r="BQ611" s="126"/>
      <c r="BR611" s="126"/>
      <c r="BS611" s="126"/>
      <c r="BT611" s="126"/>
      <c r="BU611" s="126"/>
      <c r="BV611" s="126"/>
      <c r="BW611" s="126"/>
      <c r="BX611" s="126"/>
    </row>
    <row r="612">
      <c r="A612" s="126"/>
      <c r="B612" s="126"/>
      <c r="C612" s="127"/>
      <c r="D612" s="126"/>
      <c r="E612" s="126"/>
      <c r="F612" s="127"/>
      <c r="G612" s="126"/>
      <c r="H612" s="127"/>
      <c r="I612" s="126"/>
      <c r="J612" s="126"/>
      <c r="K612" s="127"/>
      <c r="L612" s="126"/>
      <c r="M612" s="126"/>
      <c r="N612" s="127"/>
      <c r="O612" s="126"/>
      <c r="P612" s="126"/>
      <c r="Q612" s="127"/>
      <c r="R612" s="126"/>
      <c r="S612" s="126"/>
      <c r="T612" s="127"/>
      <c r="U612" s="126"/>
      <c r="V612" s="126"/>
      <c r="W612" s="127"/>
      <c r="X612" s="126"/>
      <c r="Y612" s="126"/>
      <c r="Z612" s="127"/>
      <c r="AA612" s="126"/>
      <c r="AB612" s="126"/>
      <c r="AC612" s="127"/>
      <c r="AD612" s="126"/>
      <c r="AE612" s="126"/>
      <c r="AF612" s="126"/>
      <c r="AG612" s="127"/>
      <c r="AH612" s="126"/>
      <c r="AI612" s="126"/>
      <c r="AJ612" s="127"/>
      <c r="AK612" s="126"/>
      <c r="AL612" s="126"/>
      <c r="AM612" s="127"/>
      <c r="AN612" s="126"/>
      <c r="AO612" s="126"/>
      <c r="AP612" s="127"/>
      <c r="AQ612" s="126"/>
      <c r="AR612" s="126"/>
      <c r="AS612" s="127"/>
      <c r="AT612" s="126"/>
      <c r="AU612" s="126"/>
      <c r="AV612" s="127"/>
      <c r="AW612" s="126"/>
      <c r="AX612" s="126"/>
      <c r="AY612" s="127"/>
      <c r="AZ612" s="126"/>
      <c r="BA612" s="126"/>
      <c r="BB612" s="127"/>
      <c r="BC612" s="126"/>
      <c r="BD612" s="134"/>
      <c r="BE612" s="127"/>
      <c r="BF612" s="126"/>
      <c r="BG612" s="126"/>
      <c r="BH612" s="126"/>
      <c r="BI612" s="126"/>
      <c r="BJ612" s="126"/>
      <c r="BK612" s="126"/>
      <c r="BL612" s="126"/>
      <c r="BM612" s="126"/>
      <c r="BN612" s="126"/>
      <c r="BO612" s="126"/>
      <c r="BP612" s="126"/>
      <c r="BQ612" s="126"/>
      <c r="BR612" s="126"/>
      <c r="BS612" s="126"/>
      <c r="BT612" s="126"/>
      <c r="BU612" s="126"/>
      <c r="BV612" s="126"/>
      <c r="BW612" s="126"/>
      <c r="BX612" s="126"/>
    </row>
    <row r="613">
      <c r="A613" s="126"/>
      <c r="B613" s="126"/>
      <c r="C613" s="127"/>
      <c r="D613" s="126"/>
      <c r="E613" s="126"/>
      <c r="F613" s="127"/>
      <c r="G613" s="126"/>
      <c r="H613" s="127"/>
      <c r="I613" s="126"/>
      <c r="J613" s="126"/>
      <c r="K613" s="127"/>
      <c r="L613" s="126"/>
      <c r="M613" s="126"/>
      <c r="N613" s="127"/>
      <c r="O613" s="126"/>
      <c r="P613" s="126"/>
      <c r="Q613" s="127"/>
      <c r="R613" s="126"/>
      <c r="S613" s="126"/>
      <c r="T613" s="127"/>
      <c r="U613" s="126"/>
      <c r="V613" s="126"/>
      <c r="W613" s="127"/>
      <c r="X613" s="126"/>
      <c r="Y613" s="126"/>
      <c r="Z613" s="127"/>
      <c r="AA613" s="126"/>
      <c r="AB613" s="126"/>
      <c r="AC613" s="127"/>
      <c r="AD613" s="126"/>
      <c r="AE613" s="126"/>
      <c r="AF613" s="126"/>
      <c r="AG613" s="127"/>
      <c r="AH613" s="126"/>
      <c r="AI613" s="126"/>
      <c r="AJ613" s="127"/>
      <c r="AK613" s="126"/>
      <c r="AL613" s="126"/>
      <c r="AM613" s="127"/>
      <c r="AN613" s="126"/>
      <c r="AO613" s="126"/>
      <c r="AP613" s="127"/>
      <c r="AQ613" s="126"/>
      <c r="AR613" s="126"/>
      <c r="AS613" s="127"/>
      <c r="AT613" s="126"/>
      <c r="AU613" s="126"/>
      <c r="AV613" s="127"/>
      <c r="AW613" s="126"/>
      <c r="AX613" s="126"/>
      <c r="AY613" s="127"/>
      <c r="AZ613" s="126"/>
      <c r="BA613" s="126"/>
      <c r="BB613" s="127"/>
      <c r="BC613" s="126"/>
      <c r="BD613" s="134"/>
      <c r="BE613" s="127"/>
      <c r="BF613" s="126"/>
      <c r="BG613" s="126"/>
      <c r="BH613" s="126"/>
      <c r="BI613" s="126"/>
      <c r="BJ613" s="126"/>
      <c r="BK613" s="126"/>
      <c r="BL613" s="126"/>
      <c r="BM613" s="126"/>
      <c r="BN613" s="126"/>
      <c r="BO613" s="126"/>
      <c r="BP613" s="126"/>
      <c r="BQ613" s="126"/>
      <c r="BR613" s="126"/>
      <c r="BS613" s="126"/>
      <c r="BT613" s="126"/>
      <c r="BU613" s="126"/>
      <c r="BV613" s="126"/>
      <c r="BW613" s="126"/>
      <c r="BX613" s="126"/>
    </row>
    <row r="614">
      <c r="A614" s="126"/>
      <c r="B614" s="126"/>
      <c r="C614" s="127"/>
      <c r="D614" s="126"/>
      <c r="E614" s="126"/>
      <c r="F614" s="127"/>
      <c r="G614" s="126"/>
      <c r="H614" s="127"/>
      <c r="I614" s="126"/>
      <c r="J614" s="126"/>
      <c r="K614" s="127"/>
      <c r="L614" s="126"/>
      <c r="M614" s="126"/>
      <c r="N614" s="127"/>
      <c r="O614" s="126"/>
      <c r="P614" s="126"/>
      <c r="Q614" s="127"/>
      <c r="R614" s="126"/>
      <c r="S614" s="126"/>
      <c r="T614" s="127"/>
      <c r="U614" s="126"/>
      <c r="V614" s="126"/>
      <c r="W614" s="127"/>
      <c r="X614" s="126"/>
      <c r="Y614" s="126"/>
      <c r="Z614" s="127"/>
      <c r="AA614" s="126"/>
      <c r="AB614" s="126"/>
      <c r="AC614" s="127"/>
      <c r="AD614" s="126"/>
      <c r="AE614" s="126"/>
      <c r="AF614" s="126"/>
      <c r="AG614" s="127"/>
      <c r="AH614" s="126"/>
      <c r="AI614" s="126"/>
      <c r="AJ614" s="127"/>
      <c r="AK614" s="126"/>
      <c r="AL614" s="126"/>
      <c r="AM614" s="127"/>
      <c r="AN614" s="126"/>
      <c r="AO614" s="126"/>
      <c r="AP614" s="127"/>
      <c r="AQ614" s="126"/>
      <c r="AR614" s="126"/>
      <c r="AS614" s="127"/>
      <c r="AT614" s="126"/>
      <c r="AU614" s="126"/>
      <c r="AV614" s="127"/>
      <c r="AW614" s="126"/>
      <c r="AX614" s="126"/>
      <c r="AY614" s="127"/>
      <c r="AZ614" s="126"/>
      <c r="BA614" s="126"/>
      <c r="BB614" s="127"/>
      <c r="BC614" s="126"/>
      <c r="BD614" s="134"/>
      <c r="BE614" s="127"/>
      <c r="BF614" s="126"/>
      <c r="BG614" s="126"/>
      <c r="BH614" s="126"/>
      <c r="BI614" s="126"/>
      <c r="BJ614" s="126"/>
      <c r="BK614" s="126"/>
      <c r="BL614" s="126"/>
      <c r="BM614" s="126"/>
      <c r="BN614" s="126"/>
      <c r="BO614" s="126"/>
      <c r="BP614" s="126"/>
      <c r="BQ614" s="126"/>
      <c r="BR614" s="126"/>
      <c r="BS614" s="126"/>
      <c r="BT614" s="126"/>
      <c r="BU614" s="126"/>
      <c r="BV614" s="126"/>
      <c r="BW614" s="126"/>
      <c r="BX614" s="126"/>
    </row>
    <row r="615">
      <c r="A615" s="126"/>
      <c r="B615" s="126"/>
      <c r="C615" s="127"/>
      <c r="D615" s="126"/>
      <c r="E615" s="126"/>
      <c r="F615" s="127"/>
      <c r="G615" s="126"/>
      <c r="H615" s="127"/>
      <c r="I615" s="126"/>
      <c r="J615" s="126"/>
      <c r="K615" s="127"/>
      <c r="L615" s="126"/>
      <c r="M615" s="126"/>
      <c r="N615" s="127"/>
      <c r="O615" s="126"/>
      <c r="P615" s="126"/>
      <c r="Q615" s="127"/>
      <c r="R615" s="126"/>
      <c r="S615" s="126"/>
      <c r="T615" s="127"/>
      <c r="U615" s="126"/>
      <c r="V615" s="126"/>
      <c r="W615" s="127"/>
      <c r="X615" s="126"/>
      <c r="Y615" s="126"/>
      <c r="Z615" s="127"/>
      <c r="AA615" s="126"/>
      <c r="AB615" s="126"/>
      <c r="AC615" s="127"/>
      <c r="AD615" s="126"/>
      <c r="AE615" s="126"/>
      <c r="AF615" s="126"/>
      <c r="AG615" s="127"/>
      <c r="AH615" s="126"/>
      <c r="AI615" s="126"/>
      <c r="AJ615" s="127"/>
      <c r="AK615" s="126"/>
      <c r="AL615" s="126"/>
      <c r="AM615" s="127"/>
      <c r="AN615" s="126"/>
      <c r="AO615" s="126"/>
      <c r="AP615" s="127"/>
      <c r="AQ615" s="126"/>
      <c r="AR615" s="126"/>
      <c r="AS615" s="127"/>
      <c r="AT615" s="126"/>
      <c r="AU615" s="126"/>
      <c r="AV615" s="127"/>
      <c r="AW615" s="126"/>
      <c r="AX615" s="126"/>
      <c r="AY615" s="127"/>
      <c r="AZ615" s="126"/>
      <c r="BA615" s="126"/>
      <c r="BB615" s="127"/>
      <c r="BC615" s="126"/>
      <c r="BD615" s="134"/>
      <c r="BE615" s="127"/>
      <c r="BF615" s="126"/>
      <c r="BG615" s="126"/>
      <c r="BH615" s="126"/>
      <c r="BI615" s="126"/>
      <c r="BJ615" s="126"/>
      <c r="BK615" s="126"/>
      <c r="BL615" s="126"/>
      <c r="BM615" s="126"/>
      <c r="BN615" s="126"/>
      <c r="BO615" s="126"/>
      <c r="BP615" s="126"/>
      <c r="BQ615" s="126"/>
      <c r="BR615" s="126"/>
      <c r="BS615" s="126"/>
      <c r="BT615" s="126"/>
      <c r="BU615" s="126"/>
      <c r="BV615" s="126"/>
      <c r="BW615" s="126"/>
      <c r="BX615" s="126"/>
    </row>
    <row r="616">
      <c r="A616" s="126"/>
      <c r="B616" s="126"/>
      <c r="C616" s="127"/>
      <c r="D616" s="126"/>
      <c r="E616" s="126"/>
      <c r="F616" s="127"/>
      <c r="G616" s="126"/>
      <c r="H616" s="127"/>
      <c r="I616" s="126"/>
      <c r="J616" s="126"/>
      <c r="K616" s="127"/>
      <c r="L616" s="126"/>
      <c r="M616" s="126"/>
      <c r="N616" s="127"/>
      <c r="O616" s="126"/>
      <c r="P616" s="126"/>
      <c r="Q616" s="127"/>
      <c r="R616" s="126"/>
      <c r="S616" s="126"/>
      <c r="T616" s="127"/>
      <c r="U616" s="126"/>
      <c r="V616" s="126"/>
      <c r="W616" s="127"/>
      <c r="X616" s="126"/>
      <c r="Y616" s="126"/>
      <c r="Z616" s="127"/>
      <c r="AA616" s="126"/>
      <c r="AB616" s="126"/>
      <c r="AC616" s="127"/>
      <c r="AD616" s="126"/>
      <c r="AE616" s="126"/>
      <c r="AF616" s="126"/>
      <c r="AG616" s="127"/>
      <c r="AH616" s="126"/>
      <c r="AI616" s="126"/>
      <c r="AJ616" s="127"/>
      <c r="AK616" s="126"/>
      <c r="AL616" s="126"/>
      <c r="AM616" s="127"/>
      <c r="AN616" s="126"/>
      <c r="AO616" s="126"/>
      <c r="AP616" s="127"/>
      <c r="AQ616" s="126"/>
      <c r="AR616" s="126"/>
      <c r="AS616" s="127"/>
      <c r="AT616" s="126"/>
      <c r="AU616" s="126"/>
      <c r="AV616" s="127"/>
      <c r="AW616" s="126"/>
      <c r="AX616" s="126"/>
      <c r="AY616" s="127"/>
      <c r="AZ616" s="126"/>
      <c r="BA616" s="126"/>
      <c r="BB616" s="127"/>
      <c r="BC616" s="126"/>
      <c r="BD616" s="134"/>
      <c r="BE616" s="127"/>
      <c r="BF616" s="126"/>
      <c r="BG616" s="126"/>
      <c r="BH616" s="126"/>
      <c r="BI616" s="126"/>
      <c r="BJ616" s="126"/>
      <c r="BK616" s="126"/>
      <c r="BL616" s="126"/>
      <c r="BM616" s="126"/>
      <c r="BN616" s="126"/>
      <c r="BO616" s="126"/>
      <c r="BP616" s="126"/>
      <c r="BQ616" s="126"/>
      <c r="BR616" s="126"/>
      <c r="BS616" s="126"/>
      <c r="BT616" s="126"/>
      <c r="BU616" s="126"/>
      <c r="BV616" s="126"/>
      <c r="BW616" s="126"/>
      <c r="BX616" s="126"/>
    </row>
    <row r="617">
      <c r="A617" s="126"/>
      <c r="B617" s="126"/>
      <c r="C617" s="127"/>
      <c r="D617" s="126"/>
      <c r="E617" s="126"/>
      <c r="F617" s="127"/>
      <c r="G617" s="126"/>
      <c r="H617" s="127"/>
      <c r="I617" s="126"/>
      <c r="J617" s="126"/>
      <c r="K617" s="127"/>
      <c r="L617" s="126"/>
      <c r="M617" s="126"/>
      <c r="N617" s="127"/>
      <c r="O617" s="126"/>
      <c r="P617" s="126"/>
      <c r="Q617" s="127"/>
      <c r="R617" s="126"/>
      <c r="S617" s="126"/>
      <c r="T617" s="127"/>
      <c r="U617" s="126"/>
      <c r="V617" s="126"/>
      <c r="W617" s="127"/>
      <c r="X617" s="126"/>
      <c r="Y617" s="126"/>
      <c r="Z617" s="127"/>
      <c r="AA617" s="126"/>
      <c r="AB617" s="126"/>
      <c r="AC617" s="127"/>
      <c r="AD617" s="126"/>
      <c r="AE617" s="126"/>
      <c r="AF617" s="126"/>
      <c r="AG617" s="127"/>
      <c r="AH617" s="126"/>
      <c r="AI617" s="126"/>
      <c r="AJ617" s="127"/>
      <c r="AK617" s="126"/>
      <c r="AL617" s="126"/>
      <c r="AM617" s="127"/>
      <c r="AN617" s="126"/>
      <c r="AO617" s="126"/>
      <c r="AP617" s="127"/>
      <c r="AQ617" s="126"/>
      <c r="AR617" s="126"/>
      <c r="AS617" s="127"/>
      <c r="AT617" s="126"/>
      <c r="AU617" s="126"/>
      <c r="AV617" s="127"/>
      <c r="AW617" s="126"/>
      <c r="AX617" s="126"/>
      <c r="AY617" s="127"/>
      <c r="AZ617" s="126"/>
      <c r="BA617" s="126"/>
      <c r="BB617" s="127"/>
      <c r="BC617" s="126"/>
      <c r="BD617" s="134"/>
      <c r="BE617" s="127"/>
      <c r="BF617" s="126"/>
      <c r="BG617" s="126"/>
      <c r="BH617" s="126"/>
      <c r="BI617" s="126"/>
      <c r="BJ617" s="126"/>
      <c r="BK617" s="126"/>
      <c r="BL617" s="126"/>
      <c r="BM617" s="126"/>
      <c r="BN617" s="126"/>
      <c r="BO617" s="126"/>
      <c r="BP617" s="126"/>
      <c r="BQ617" s="126"/>
      <c r="BR617" s="126"/>
      <c r="BS617" s="126"/>
      <c r="BT617" s="126"/>
      <c r="BU617" s="126"/>
      <c r="BV617" s="126"/>
      <c r="BW617" s="126"/>
      <c r="BX617" s="126"/>
    </row>
    <row r="618">
      <c r="A618" s="126"/>
      <c r="B618" s="126"/>
      <c r="C618" s="127"/>
      <c r="D618" s="126"/>
      <c r="E618" s="126"/>
      <c r="F618" s="127"/>
      <c r="G618" s="126"/>
      <c r="H618" s="127"/>
      <c r="I618" s="126"/>
      <c r="J618" s="126"/>
      <c r="K618" s="127"/>
      <c r="L618" s="126"/>
      <c r="M618" s="126"/>
      <c r="N618" s="127"/>
      <c r="O618" s="126"/>
      <c r="P618" s="126"/>
      <c r="Q618" s="127"/>
      <c r="R618" s="126"/>
      <c r="S618" s="126"/>
      <c r="T618" s="127"/>
      <c r="U618" s="126"/>
      <c r="V618" s="126"/>
      <c r="W618" s="127"/>
      <c r="X618" s="126"/>
      <c r="Y618" s="126"/>
      <c r="Z618" s="127"/>
      <c r="AA618" s="126"/>
      <c r="AB618" s="126"/>
      <c r="AC618" s="127"/>
      <c r="AD618" s="126"/>
      <c r="AE618" s="126"/>
      <c r="AF618" s="126"/>
      <c r="AG618" s="127"/>
      <c r="AH618" s="126"/>
      <c r="AI618" s="126"/>
      <c r="AJ618" s="127"/>
      <c r="AK618" s="126"/>
      <c r="AL618" s="126"/>
      <c r="AM618" s="127"/>
      <c r="AN618" s="126"/>
      <c r="AO618" s="126"/>
      <c r="AP618" s="127"/>
      <c r="AQ618" s="126"/>
      <c r="AR618" s="126"/>
      <c r="AS618" s="127"/>
      <c r="AT618" s="126"/>
      <c r="AU618" s="126"/>
      <c r="AV618" s="127"/>
      <c r="AW618" s="126"/>
      <c r="AX618" s="126"/>
      <c r="AY618" s="127"/>
      <c r="AZ618" s="126"/>
      <c r="BA618" s="126"/>
      <c r="BB618" s="127"/>
      <c r="BC618" s="126"/>
      <c r="BD618" s="134"/>
      <c r="BE618" s="127"/>
      <c r="BF618" s="126"/>
      <c r="BG618" s="126"/>
      <c r="BH618" s="126"/>
      <c r="BI618" s="126"/>
      <c r="BJ618" s="126"/>
      <c r="BK618" s="126"/>
      <c r="BL618" s="126"/>
      <c r="BM618" s="126"/>
      <c r="BN618" s="126"/>
      <c r="BO618" s="126"/>
      <c r="BP618" s="126"/>
      <c r="BQ618" s="126"/>
      <c r="BR618" s="126"/>
      <c r="BS618" s="126"/>
      <c r="BT618" s="126"/>
      <c r="BU618" s="126"/>
      <c r="BV618" s="126"/>
      <c r="BW618" s="126"/>
      <c r="BX618" s="126"/>
    </row>
    <row r="619">
      <c r="A619" s="126"/>
      <c r="B619" s="126"/>
      <c r="C619" s="127"/>
      <c r="D619" s="126"/>
      <c r="E619" s="126"/>
      <c r="F619" s="127"/>
      <c r="G619" s="126"/>
      <c r="H619" s="127"/>
      <c r="I619" s="126"/>
      <c r="J619" s="126"/>
      <c r="K619" s="127"/>
      <c r="L619" s="126"/>
      <c r="M619" s="126"/>
      <c r="N619" s="127"/>
      <c r="O619" s="126"/>
      <c r="P619" s="126"/>
      <c r="Q619" s="127"/>
      <c r="R619" s="126"/>
      <c r="S619" s="126"/>
      <c r="T619" s="127"/>
      <c r="U619" s="126"/>
      <c r="V619" s="126"/>
      <c r="W619" s="127"/>
      <c r="X619" s="126"/>
      <c r="Y619" s="126"/>
      <c r="Z619" s="127"/>
      <c r="AA619" s="126"/>
      <c r="AB619" s="126"/>
      <c r="AC619" s="127"/>
      <c r="AD619" s="126"/>
      <c r="AE619" s="126"/>
      <c r="AF619" s="126"/>
      <c r="AG619" s="127"/>
      <c r="AH619" s="126"/>
      <c r="AI619" s="126"/>
      <c r="AJ619" s="127"/>
      <c r="AK619" s="126"/>
      <c r="AL619" s="126"/>
      <c r="AM619" s="127"/>
      <c r="AN619" s="126"/>
      <c r="AO619" s="126"/>
      <c r="AP619" s="127"/>
      <c r="AQ619" s="126"/>
      <c r="AR619" s="126"/>
      <c r="AS619" s="127"/>
      <c r="AT619" s="126"/>
      <c r="AU619" s="126"/>
      <c r="AV619" s="127"/>
      <c r="AW619" s="126"/>
      <c r="AX619" s="126"/>
      <c r="AY619" s="127"/>
      <c r="AZ619" s="126"/>
      <c r="BA619" s="126"/>
      <c r="BB619" s="127"/>
      <c r="BC619" s="126"/>
      <c r="BD619" s="134"/>
      <c r="BE619" s="127"/>
      <c r="BF619" s="126"/>
      <c r="BG619" s="126"/>
      <c r="BH619" s="126"/>
      <c r="BI619" s="126"/>
      <c r="BJ619" s="126"/>
      <c r="BK619" s="126"/>
      <c r="BL619" s="126"/>
      <c r="BM619" s="126"/>
      <c r="BN619" s="126"/>
      <c r="BO619" s="126"/>
      <c r="BP619" s="126"/>
      <c r="BQ619" s="126"/>
      <c r="BR619" s="126"/>
      <c r="BS619" s="126"/>
      <c r="BT619" s="126"/>
      <c r="BU619" s="126"/>
      <c r="BV619" s="126"/>
      <c r="BW619" s="126"/>
      <c r="BX619" s="126"/>
    </row>
    <row r="620">
      <c r="A620" s="126"/>
      <c r="B620" s="126"/>
      <c r="C620" s="127"/>
      <c r="D620" s="126"/>
      <c r="E620" s="126"/>
      <c r="F620" s="127"/>
      <c r="G620" s="126"/>
      <c r="H620" s="127"/>
      <c r="I620" s="126"/>
      <c r="J620" s="126"/>
      <c r="K620" s="127"/>
      <c r="L620" s="126"/>
      <c r="M620" s="126"/>
      <c r="N620" s="127"/>
      <c r="O620" s="126"/>
      <c r="P620" s="126"/>
      <c r="Q620" s="127"/>
      <c r="R620" s="126"/>
      <c r="S620" s="126"/>
      <c r="T620" s="127"/>
      <c r="U620" s="126"/>
      <c r="V620" s="126"/>
      <c r="W620" s="127"/>
      <c r="X620" s="126"/>
      <c r="Y620" s="126"/>
      <c r="Z620" s="127"/>
      <c r="AA620" s="126"/>
      <c r="AB620" s="126"/>
      <c r="AC620" s="127"/>
      <c r="AD620" s="126"/>
      <c r="AE620" s="126"/>
      <c r="AF620" s="126"/>
      <c r="AG620" s="127"/>
      <c r="AH620" s="126"/>
      <c r="AI620" s="126"/>
      <c r="AJ620" s="127"/>
      <c r="AK620" s="126"/>
      <c r="AL620" s="126"/>
      <c r="AM620" s="127"/>
      <c r="AN620" s="126"/>
      <c r="AO620" s="126"/>
      <c r="AP620" s="127"/>
      <c r="AQ620" s="126"/>
      <c r="AR620" s="126"/>
      <c r="AS620" s="127"/>
      <c r="AT620" s="126"/>
      <c r="AU620" s="126"/>
      <c r="AV620" s="127"/>
      <c r="AW620" s="126"/>
      <c r="AX620" s="126"/>
      <c r="AY620" s="127"/>
      <c r="AZ620" s="126"/>
      <c r="BA620" s="126"/>
      <c r="BB620" s="127"/>
      <c r="BC620" s="126"/>
      <c r="BD620" s="134"/>
      <c r="BE620" s="127"/>
      <c r="BF620" s="126"/>
      <c r="BG620" s="126"/>
      <c r="BH620" s="126"/>
      <c r="BI620" s="126"/>
      <c r="BJ620" s="126"/>
      <c r="BK620" s="126"/>
      <c r="BL620" s="126"/>
      <c r="BM620" s="126"/>
      <c r="BN620" s="126"/>
      <c r="BO620" s="126"/>
      <c r="BP620" s="126"/>
      <c r="BQ620" s="126"/>
      <c r="BR620" s="126"/>
      <c r="BS620" s="126"/>
      <c r="BT620" s="126"/>
      <c r="BU620" s="126"/>
      <c r="BV620" s="126"/>
      <c r="BW620" s="126"/>
      <c r="BX620" s="126"/>
    </row>
    <row r="621">
      <c r="A621" s="126"/>
      <c r="B621" s="126"/>
      <c r="C621" s="127"/>
      <c r="D621" s="126"/>
      <c r="E621" s="126"/>
      <c r="F621" s="127"/>
      <c r="G621" s="126"/>
      <c r="H621" s="127"/>
      <c r="I621" s="126"/>
      <c r="J621" s="126"/>
      <c r="K621" s="127"/>
      <c r="L621" s="126"/>
      <c r="M621" s="126"/>
      <c r="N621" s="127"/>
      <c r="O621" s="126"/>
      <c r="P621" s="126"/>
      <c r="Q621" s="127"/>
      <c r="R621" s="126"/>
      <c r="S621" s="126"/>
      <c r="T621" s="127"/>
      <c r="U621" s="126"/>
      <c r="V621" s="126"/>
      <c r="W621" s="127"/>
      <c r="X621" s="126"/>
      <c r="Y621" s="126"/>
      <c r="Z621" s="127"/>
      <c r="AA621" s="126"/>
      <c r="AB621" s="126"/>
      <c r="AC621" s="127"/>
      <c r="AD621" s="126"/>
      <c r="AE621" s="126"/>
      <c r="AF621" s="126"/>
      <c r="AG621" s="127"/>
      <c r="AH621" s="126"/>
      <c r="AI621" s="126"/>
      <c r="AJ621" s="127"/>
      <c r="AK621" s="126"/>
      <c r="AL621" s="126"/>
      <c r="AM621" s="127"/>
      <c r="AN621" s="126"/>
      <c r="AO621" s="126"/>
      <c r="AP621" s="127"/>
      <c r="AQ621" s="126"/>
      <c r="AR621" s="126"/>
      <c r="AS621" s="127"/>
      <c r="AT621" s="126"/>
      <c r="AU621" s="126"/>
      <c r="AV621" s="127"/>
      <c r="AW621" s="126"/>
      <c r="AX621" s="126"/>
      <c r="AY621" s="127"/>
      <c r="AZ621" s="126"/>
      <c r="BA621" s="126"/>
      <c r="BB621" s="127"/>
      <c r="BC621" s="126"/>
      <c r="BD621" s="134"/>
      <c r="BE621" s="127"/>
      <c r="BF621" s="126"/>
      <c r="BG621" s="126"/>
      <c r="BH621" s="126"/>
      <c r="BI621" s="126"/>
      <c r="BJ621" s="126"/>
      <c r="BK621" s="126"/>
      <c r="BL621" s="126"/>
      <c r="BM621" s="126"/>
      <c r="BN621" s="126"/>
      <c r="BO621" s="126"/>
      <c r="BP621" s="126"/>
      <c r="BQ621" s="126"/>
      <c r="BR621" s="126"/>
      <c r="BS621" s="126"/>
      <c r="BT621" s="126"/>
      <c r="BU621" s="126"/>
      <c r="BV621" s="126"/>
      <c r="BW621" s="126"/>
      <c r="BX621" s="126"/>
    </row>
    <row r="622">
      <c r="A622" s="126"/>
      <c r="B622" s="126"/>
      <c r="C622" s="127"/>
      <c r="D622" s="126"/>
      <c r="E622" s="126"/>
      <c r="F622" s="127"/>
      <c r="G622" s="126"/>
      <c r="H622" s="127"/>
      <c r="I622" s="126"/>
      <c r="J622" s="126"/>
      <c r="K622" s="127"/>
      <c r="L622" s="126"/>
      <c r="M622" s="126"/>
      <c r="N622" s="127"/>
      <c r="O622" s="126"/>
      <c r="P622" s="126"/>
      <c r="Q622" s="127"/>
      <c r="R622" s="126"/>
      <c r="S622" s="126"/>
      <c r="T622" s="127"/>
      <c r="U622" s="126"/>
      <c r="V622" s="126"/>
      <c r="W622" s="127"/>
      <c r="X622" s="126"/>
      <c r="Y622" s="126"/>
      <c r="Z622" s="127"/>
      <c r="AA622" s="126"/>
      <c r="AB622" s="126"/>
      <c r="AC622" s="127"/>
      <c r="AD622" s="126"/>
      <c r="AE622" s="126"/>
      <c r="AF622" s="126"/>
      <c r="AG622" s="127"/>
      <c r="AH622" s="126"/>
      <c r="AI622" s="126"/>
      <c r="AJ622" s="127"/>
      <c r="AK622" s="126"/>
      <c r="AL622" s="126"/>
      <c r="AM622" s="127"/>
      <c r="AN622" s="126"/>
      <c r="AO622" s="126"/>
      <c r="AP622" s="127"/>
      <c r="AQ622" s="126"/>
      <c r="AR622" s="126"/>
      <c r="AS622" s="127"/>
      <c r="AT622" s="126"/>
      <c r="AU622" s="126"/>
      <c r="AV622" s="127"/>
      <c r="AW622" s="126"/>
      <c r="AX622" s="126"/>
      <c r="AY622" s="127"/>
      <c r="AZ622" s="126"/>
      <c r="BA622" s="126"/>
      <c r="BB622" s="127"/>
      <c r="BC622" s="126"/>
      <c r="BD622" s="134"/>
      <c r="BE622" s="127"/>
      <c r="BF622" s="126"/>
      <c r="BG622" s="126"/>
      <c r="BH622" s="126"/>
      <c r="BI622" s="126"/>
      <c r="BJ622" s="126"/>
      <c r="BK622" s="126"/>
      <c r="BL622" s="126"/>
      <c r="BM622" s="126"/>
      <c r="BN622" s="126"/>
      <c r="BO622" s="126"/>
      <c r="BP622" s="126"/>
      <c r="BQ622" s="126"/>
      <c r="BR622" s="126"/>
      <c r="BS622" s="126"/>
      <c r="BT622" s="126"/>
      <c r="BU622" s="126"/>
      <c r="BV622" s="126"/>
      <c r="BW622" s="126"/>
      <c r="BX622" s="126"/>
    </row>
    <row r="623">
      <c r="A623" s="126"/>
      <c r="B623" s="126"/>
      <c r="C623" s="127"/>
      <c r="D623" s="126"/>
      <c r="E623" s="126"/>
      <c r="F623" s="127"/>
      <c r="G623" s="126"/>
      <c r="H623" s="127"/>
      <c r="I623" s="126"/>
      <c r="J623" s="126"/>
      <c r="K623" s="127"/>
      <c r="L623" s="126"/>
      <c r="M623" s="126"/>
      <c r="N623" s="127"/>
      <c r="O623" s="126"/>
      <c r="P623" s="126"/>
      <c r="Q623" s="127"/>
      <c r="R623" s="126"/>
      <c r="S623" s="126"/>
      <c r="T623" s="127"/>
      <c r="U623" s="126"/>
      <c r="V623" s="126"/>
      <c r="W623" s="127"/>
      <c r="X623" s="126"/>
      <c r="Y623" s="126"/>
      <c r="Z623" s="127"/>
      <c r="AA623" s="126"/>
      <c r="AB623" s="126"/>
      <c r="AC623" s="127"/>
      <c r="AD623" s="126"/>
      <c r="AE623" s="126"/>
      <c r="AF623" s="126"/>
      <c r="AG623" s="127"/>
      <c r="AH623" s="126"/>
      <c r="AI623" s="126"/>
      <c r="AJ623" s="127"/>
      <c r="AK623" s="126"/>
      <c r="AL623" s="126"/>
      <c r="AM623" s="127"/>
      <c r="AN623" s="126"/>
      <c r="AO623" s="126"/>
      <c r="AP623" s="127"/>
      <c r="AQ623" s="126"/>
      <c r="AR623" s="126"/>
      <c r="AS623" s="127"/>
      <c r="AT623" s="126"/>
      <c r="AU623" s="126"/>
      <c r="AV623" s="127"/>
      <c r="AW623" s="126"/>
      <c r="AX623" s="126"/>
      <c r="AY623" s="127"/>
      <c r="AZ623" s="126"/>
      <c r="BA623" s="126"/>
      <c r="BB623" s="127"/>
      <c r="BC623" s="126"/>
      <c r="BD623" s="134"/>
      <c r="BE623" s="127"/>
      <c r="BF623" s="126"/>
      <c r="BG623" s="126"/>
      <c r="BH623" s="126"/>
      <c r="BI623" s="126"/>
      <c r="BJ623" s="126"/>
      <c r="BK623" s="126"/>
      <c r="BL623" s="126"/>
      <c r="BM623" s="126"/>
      <c r="BN623" s="126"/>
      <c r="BO623" s="126"/>
      <c r="BP623" s="126"/>
      <c r="BQ623" s="126"/>
      <c r="BR623" s="126"/>
      <c r="BS623" s="126"/>
      <c r="BT623" s="126"/>
      <c r="BU623" s="126"/>
      <c r="BV623" s="126"/>
      <c r="BW623" s="126"/>
      <c r="BX623" s="126"/>
    </row>
    <row r="624">
      <c r="A624" s="126"/>
      <c r="B624" s="126"/>
      <c r="C624" s="127"/>
      <c r="D624" s="126"/>
      <c r="E624" s="126"/>
      <c r="F624" s="127"/>
      <c r="G624" s="126"/>
      <c r="H624" s="127"/>
      <c r="I624" s="126"/>
      <c r="J624" s="126"/>
      <c r="K624" s="127"/>
      <c r="L624" s="126"/>
      <c r="M624" s="126"/>
      <c r="N624" s="127"/>
      <c r="O624" s="126"/>
      <c r="P624" s="126"/>
      <c r="Q624" s="127"/>
      <c r="R624" s="126"/>
      <c r="S624" s="126"/>
      <c r="T624" s="127"/>
      <c r="U624" s="126"/>
      <c r="V624" s="126"/>
      <c r="W624" s="127"/>
      <c r="X624" s="126"/>
      <c r="Y624" s="126"/>
      <c r="Z624" s="127"/>
      <c r="AA624" s="126"/>
      <c r="AB624" s="126"/>
      <c r="AC624" s="127"/>
      <c r="AD624" s="126"/>
      <c r="AE624" s="126"/>
      <c r="AF624" s="126"/>
      <c r="AG624" s="127"/>
      <c r="AH624" s="126"/>
      <c r="AI624" s="126"/>
      <c r="AJ624" s="127"/>
      <c r="AK624" s="126"/>
      <c r="AL624" s="126"/>
      <c r="AM624" s="127"/>
      <c r="AN624" s="126"/>
      <c r="AO624" s="126"/>
      <c r="AP624" s="127"/>
      <c r="AQ624" s="126"/>
      <c r="AR624" s="126"/>
      <c r="AS624" s="127"/>
      <c r="AT624" s="126"/>
      <c r="AU624" s="126"/>
      <c r="AV624" s="127"/>
      <c r="AW624" s="126"/>
      <c r="AX624" s="126"/>
      <c r="AY624" s="127"/>
      <c r="AZ624" s="126"/>
      <c r="BA624" s="126"/>
      <c r="BB624" s="127"/>
      <c r="BC624" s="126"/>
      <c r="BD624" s="134"/>
      <c r="BE624" s="127"/>
      <c r="BF624" s="126"/>
      <c r="BG624" s="126"/>
      <c r="BH624" s="126"/>
      <c r="BI624" s="126"/>
      <c r="BJ624" s="126"/>
      <c r="BK624" s="126"/>
      <c r="BL624" s="126"/>
      <c r="BM624" s="126"/>
      <c r="BN624" s="126"/>
      <c r="BO624" s="126"/>
      <c r="BP624" s="126"/>
      <c r="BQ624" s="126"/>
      <c r="BR624" s="126"/>
      <c r="BS624" s="126"/>
      <c r="BT624" s="126"/>
      <c r="BU624" s="126"/>
      <c r="BV624" s="126"/>
      <c r="BW624" s="126"/>
      <c r="BX624" s="126"/>
    </row>
    <row r="625">
      <c r="A625" s="126"/>
      <c r="B625" s="126"/>
      <c r="C625" s="127"/>
      <c r="D625" s="126"/>
      <c r="E625" s="126"/>
      <c r="F625" s="127"/>
      <c r="G625" s="126"/>
      <c r="H625" s="127"/>
      <c r="I625" s="126"/>
      <c r="J625" s="126"/>
      <c r="K625" s="127"/>
      <c r="L625" s="126"/>
      <c r="M625" s="126"/>
      <c r="N625" s="127"/>
      <c r="O625" s="126"/>
      <c r="P625" s="126"/>
      <c r="Q625" s="127"/>
      <c r="R625" s="126"/>
      <c r="S625" s="126"/>
      <c r="T625" s="127"/>
      <c r="U625" s="126"/>
      <c r="V625" s="126"/>
      <c r="W625" s="127"/>
      <c r="X625" s="126"/>
      <c r="Y625" s="126"/>
      <c r="Z625" s="127"/>
      <c r="AA625" s="126"/>
      <c r="AB625" s="126"/>
      <c r="AC625" s="127"/>
      <c r="AD625" s="126"/>
      <c r="AE625" s="126"/>
      <c r="AF625" s="126"/>
      <c r="AG625" s="127"/>
      <c r="AH625" s="126"/>
      <c r="AI625" s="126"/>
      <c r="AJ625" s="127"/>
      <c r="AK625" s="126"/>
      <c r="AL625" s="126"/>
      <c r="AM625" s="127"/>
      <c r="AN625" s="126"/>
      <c r="AO625" s="126"/>
      <c r="AP625" s="127"/>
      <c r="AQ625" s="126"/>
      <c r="AR625" s="126"/>
      <c r="AS625" s="127"/>
      <c r="AT625" s="126"/>
      <c r="AU625" s="126"/>
      <c r="AV625" s="127"/>
      <c r="AW625" s="126"/>
      <c r="AX625" s="126"/>
      <c r="AY625" s="127"/>
      <c r="AZ625" s="126"/>
      <c r="BA625" s="126"/>
      <c r="BB625" s="127"/>
      <c r="BC625" s="126"/>
      <c r="BD625" s="134"/>
      <c r="BE625" s="127"/>
      <c r="BF625" s="126"/>
      <c r="BG625" s="126"/>
      <c r="BH625" s="126"/>
      <c r="BI625" s="126"/>
      <c r="BJ625" s="126"/>
      <c r="BK625" s="126"/>
      <c r="BL625" s="126"/>
      <c r="BM625" s="126"/>
      <c r="BN625" s="126"/>
      <c r="BO625" s="126"/>
      <c r="BP625" s="126"/>
      <c r="BQ625" s="126"/>
      <c r="BR625" s="126"/>
      <c r="BS625" s="126"/>
      <c r="BT625" s="126"/>
      <c r="BU625" s="126"/>
      <c r="BV625" s="126"/>
      <c r="BW625" s="126"/>
      <c r="BX625" s="126"/>
    </row>
    <row r="626">
      <c r="A626" s="126"/>
      <c r="B626" s="126"/>
      <c r="C626" s="127"/>
      <c r="D626" s="126"/>
      <c r="E626" s="126"/>
      <c r="F626" s="127"/>
      <c r="G626" s="126"/>
      <c r="H626" s="127"/>
      <c r="I626" s="126"/>
      <c r="J626" s="126"/>
      <c r="K626" s="127"/>
      <c r="L626" s="126"/>
      <c r="M626" s="126"/>
      <c r="N626" s="127"/>
      <c r="O626" s="126"/>
      <c r="P626" s="126"/>
      <c r="Q626" s="127"/>
      <c r="R626" s="126"/>
      <c r="S626" s="126"/>
      <c r="T626" s="127"/>
      <c r="U626" s="126"/>
      <c r="V626" s="126"/>
      <c r="W626" s="127"/>
      <c r="X626" s="126"/>
      <c r="Y626" s="126"/>
      <c r="Z626" s="127"/>
      <c r="AA626" s="126"/>
      <c r="AB626" s="126"/>
      <c r="AC626" s="127"/>
      <c r="AD626" s="126"/>
      <c r="AE626" s="126"/>
      <c r="AF626" s="126"/>
      <c r="AG626" s="127"/>
      <c r="AH626" s="126"/>
      <c r="AI626" s="126"/>
      <c r="AJ626" s="127"/>
      <c r="AK626" s="126"/>
      <c r="AL626" s="126"/>
      <c r="AM626" s="127"/>
      <c r="AN626" s="126"/>
      <c r="AO626" s="126"/>
      <c r="AP626" s="127"/>
      <c r="AQ626" s="126"/>
      <c r="AR626" s="126"/>
      <c r="AS626" s="127"/>
      <c r="AT626" s="126"/>
      <c r="AU626" s="126"/>
      <c r="AV626" s="127"/>
      <c r="AW626" s="126"/>
      <c r="AX626" s="126"/>
      <c r="AY626" s="127"/>
      <c r="AZ626" s="126"/>
      <c r="BA626" s="126"/>
      <c r="BB626" s="127"/>
      <c r="BC626" s="126"/>
      <c r="BD626" s="134"/>
      <c r="BE626" s="127"/>
      <c r="BF626" s="126"/>
      <c r="BG626" s="126"/>
      <c r="BH626" s="126"/>
      <c r="BI626" s="126"/>
      <c r="BJ626" s="126"/>
      <c r="BK626" s="126"/>
      <c r="BL626" s="126"/>
      <c r="BM626" s="126"/>
      <c r="BN626" s="126"/>
      <c r="BO626" s="126"/>
      <c r="BP626" s="126"/>
      <c r="BQ626" s="126"/>
      <c r="BR626" s="126"/>
      <c r="BS626" s="126"/>
      <c r="BT626" s="126"/>
      <c r="BU626" s="126"/>
      <c r="BV626" s="126"/>
      <c r="BW626" s="126"/>
      <c r="BX626" s="126"/>
    </row>
    <row r="627">
      <c r="A627" s="126"/>
      <c r="B627" s="126"/>
      <c r="C627" s="127"/>
      <c r="D627" s="126"/>
      <c r="E627" s="126"/>
      <c r="F627" s="127"/>
      <c r="G627" s="126"/>
      <c r="H627" s="127"/>
      <c r="I627" s="126"/>
      <c r="J627" s="126"/>
      <c r="K627" s="127"/>
      <c r="L627" s="126"/>
      <c r="M627" s="126"/>
      <c r="N627" s="127"/>
      <c r="O627" s="126"/>
      <c r="P627" s="126"/>
      <c r="Q627" s="127"/>
      <c r="R627" s="126"/>
      <c r="S627" s="126"/>
      <c r="T627" s="127"/>
      <c r="U627" s="126"/>
      <c r="V627" s="126"/>
      <c r="W627" s="127"/>
      <c r="X627" s="126"/>
      <c r="Y627" s="126"/>
      <c r="Z627" s="127"/>
      <c r="AA627" s="126"/>
      <c r="AB627" s="126"/>
      <c r="AC627" s="127"/>
      <c r="AD627" s="126"/>
      <c r="AE627" s="126"/>
      <c r="AF627" s="126"/>
      <c r="AG627" s="127"/>
      <c r="AH627" s="126"/>
      <c r="AI627" s="126"/>
      <c r="AJ627" s="127"/>
      <c r="AK627" s="126"/>
      <c r="AL627" s="126"/>
      <c r="AM627" s="127"/>
      <c r="AN627" s="126"/>
      <c r="AO627" s="126"/>
      <c r="AP627" s="127"/>
      <c r="AQ627" s="126"/>
      <c r="AR627" s="126"/>
      <c r="AS627" s="127"/>
      <c r="AT627" s="126"/>
      <c r="AU627" s="126"/>
      <c r="AV627" s="127"/>
      <c r="AW627" s="126"/>
      <c r="AX627" s="126"/>
      <c r="AY627" s="127"/>
      <c r="AZ627" s="126"/>
      <c r="BA627" s="126"/>
      <c r="BB627" s="127"/>
      <c r="BC627" s="126"/>
      <c r="BD627" s="134"/>
      <c r="BE627" s="127"/>
      <c r="BF627" s="126"/>
      <c r="BG627" s="126"/>
      <c r="BH627" s="126"/>
      <c r="BI627" s="126"/>
      <c r="BJ627" s="126"/>
      <c r="BK627" s="126"/>
      <c r="BL627" s="126"/>
      <c r="BM627" s="126"/>
      <c r="BN627" s="126"/>
      <c r="BO627" s="126"/>
      <c r="BP627" s="126"/>
      <c r="BQ627" s="126"/>
      <c r="BR627" s="126"/>
      <c r="BS627" s="126"/>
      <c r="BT627" s="126"/>
      <c r="BU627" s="126"/>
      <c r="BV627" s="126"/>
      <c r="BW627" s="126"/>
      <c r="BX627" s="126"/>
    </row>
    <row r="628">
      <c r="A628" s="126"/>
      <c r="B628" s="126"/>
      <c r="C628" s="127"/>
      <c r="D628" s="126"/>
      <c r="E628" s="126"/>
      <c r="F628" s="127"/>
      <c r="G628" s="126"/>
      <c r="H628" s="127"/>
      <c r="I628" s="126"/>
      <c r="J628" s="126"/>
      <c r="K628" s="127"/>
      <c r="L628" s="126"/>
      <c r="M628" s="126"/>
      <c r="N628" s="127"/>
      <c r="O628" s="126"/>
      <c r="P628" s="126"/>
      <c r="Q628" s="127"/>
      <c r="R628" s="126"/>
      <c r="S628" s="126"/>
      <c r="T628" s="127"/>
      <c r="U628" s="126"/>
      <c r="V628" s="126"/>
      <c r="W628" s="127"/>
      <c r="X628" s="126"/>
      <c r="Y628" s="126"/>
      <c r="Z628" s="127"/>
      <c r="AA628" s="126"/>
      <c r="AB628" s="126"/>
      <c r="AC628" s="127"/>
      <c r="AD628" s="126"/>
      <c r="AE628" s="126"/>
      <c r="AF628" s="126"/>
      <c r="AG628" s="127"/>
      <c r="AH628" s="126"/>
      <c r="AI628" s="126"/>
      <c r="AJ628" s="127"/>
      <c r="AK628" s="126"/>
      <c r="AL628" s="126"/>
      <c r="AM628" s="127"/>
      <c r="AN628" s="126"/>
      <c r="AO628" s="126"/>
      <c r="AP628" s="127"/>
      <c r="AQ628" s="126"/>
      <c r="AR628" s="126"/>
      <c r="AS628" s="127"/>
      <c r="AT628" s="126"/>
      <c r="AU628" s="126"/>
      <c r="AV628" s="127"/>
      <c r="AW628" s="126"/>
      <c r="AX628" s="126"/>
      <c r="AY628" s="127"/>
      <c r="AZ628" s="126"/>
      <c r="BA628" s="126"/>
      <c r="BB628" s="127"/>
      <c r="BC628" s="126"/>
      <c r="BD628" s="134"/>
      <c r="BE628" s="127"/>
      <c r="BF628" s="126"/>
      <c r="BG628" s="126"/>
      <c r="BH628" s="126"/>
      <c r="BI628" s="126"/>
      <c r="BJ628" s="126"/>
      <c r="BK628" s="126"/>
      <c r="BL628" s="126"/>
      <c r="BM628" s="126"/>
      <c r="BN628" s="126"/>
      <c r="BO628" s="126"/>
      <c r="BP628" s="126"/>
      <c r="BQ628" s="126"/>
      <c r="BR628" s="126"/>
      <c r="BS628" s="126"/>
      <c r="BT628" s="126"/>
      <c r="BU628" s="126"/>
      <c r="BV628" s="126"/>
      <c r="BW628" s="126"/>
      <c r="BX628" s="126"/>
    </row>
    <row r="629">
      <c r="A629" s="126"/>
      <c r="B629" s="126"/>
      <c r="C629" s="127"/>
      <c r="D629" s="126"/>
      <c r="E629" s="126"/>
      <c r="F629" s="127"/>
      <c r="G629" s="126"/>
      <c r="H629" s="127"/>
      <c r="I629" s="126"/>
      <c r="J629" s="126"/>
      <c r="K629" s="127"/>
      <c r="L629" s="126"/>
      <c r="M629" s="126"/>
      <c r="N629" s="127"/>
      <c r="O629" s="126"/>
      <c r="P629" s="126"/>
      <c r="Q629" s="127"/>
      <c r="R629" s="126"/>
      <c r="S629" s="126"/>
      <c r="T629" s="127"/>
      <c r="U629" s="126"/>
      <c r="V629" s="126"/>
      <c r="W629" s="127"/>
      <c r="X629" s="126"/>
      <c r="Y629" s="126"/>
      <c r="Z629" s="127"/>
      <c r="AA629" s="126"/>
      <c r="AB629" s="126"/>
      <c r="AC629" s="127"/>
      <c r="AD629" s="126"/>
      <c r="AE629" s="126"/>
      <c r="AF629" s="126"/>
      <c r="AG629" s="127"/>
      <c r="AH629" s="126"/>
      <c r="AI629" s="126"/>
      <c r="AJ629" s="127"/>
      <c r="AK629" s="126"/>
      <c r="AL629" s="126"/>
      <c r="AM629" s="127"/>
      <c r="AN629" s="126"/>
      <c r="AO629" s="126"/>
      <c r="AP629" s="127"/>
      <c r="AQ629" s="126"/>
      <c r="AR629" s="126"/>
      <c r="AS629" s="127"/>
      <c r="AT629" s="126"/>
      <c r="AU629" s="126"/>
      <c r="AV629" s="127"/>
      <c r="AW629" s="126"/>
      <c r="AX629" s="126"/>
      <c r="AY629" s="127"/>
      <c r="AZ629" s="126"/>
      <c r="BA629" s="126"/>
      <c r="BB629" s="127"/>
      <c r="BC629" s="126"/>
      <c r="BD629" s="134"/>
      <c r="BE629" s="127"/>
      <c r="BF629" s="126"/>
      <c r="BG629" s="126"/>
      <c r="BH629" s="126"/>
      <c r="BI629" s="126"/>
      <c r="BJ629" s="126"/>
      <c r="BK629" s="126"/>
      <c r="BL629" s="126"/>
      <c r="BM629" s="126"/>
      <c r="BN629" s="126"/>
      <c r="BO629" s="126"/>
      <c r="BP629" s="126"/>
      <c r="BQ629" s="126"/>
      <c r="BR629" s="126"/>
      <c r="BS629" s="126"/>
      <c r="BT629" s="126"/>
      <c r="BU629" s="126"/>
      <c r="BV629" s="126"/>
      <c r="BW629" s="126"/>
      <c r="BX629" s="126"/>
    </row>
    <row r="630">
      <c r="A630" s="126"/>
      <c r="B630" s="126"/>
      <c r="C630" s="127"/>
      <c r="D630" s="126"/>
      <c r="E630" s="126"/>
      <c r="F630" s="127"/>
      <c r="G630" s="126"/>
      <c r="H630" s="127"/>
      <c r="I630" s="126"/>
      <c r="J630" s="126"/>
      <c r="K630" s="127"/>
      <c r="L630" s="126"/>
      <c r="M630" s="126"/>
      <c r="N630" s="127"/>
      <c r="O630" s="126"/>
      <c r="P630" s="126"/>
      <c r="Q630" s="127"/>
      <c r="R630" s="126"/>
      <c r="S630" s="126"/>
      <c r="T630" s="127"/>
      <c r="U630" s="126"/>
      <c r="V630" s="126"/>
      <c r="W630" s="127"/>
      <c r="X630" s="126"/>
      <c r="Y630" s="126"/>
      <c r="Z630" s="127"/>
      <c r="AA630" s="126"/>
      <c r="AB630" s="126"/>
      <c r="AC630" s="127"/>
      <c r="AD630" s="126"/>
      <c r="AE630" s="126"/>
      <c r="AF630" s="126"/>
      <c r="AG630" s="127"/>
      <c r="AH630" s="126"/>
      <c r="AI630" s="126"/>
      <c r="AJ630" s="127"/>
      <c r="AK630" s="126"/>
      <c r="AL630" s="126"/>
      <c r="AM630" s="127"/>
      <c r="AN630" s="126"/>
      <c r="AO630" s="126"/>
      <c r="AP630" s="127"/>
      <c r="AQ630" s="126"/>
      <c r="AR630" s="126"/>
      <c r="AS630" s="127"/>
      <c r="AT630" s="126"/>
      <c r="AU630" s="126"/>
      <c r="AV630" s="127"/>
      <c r="AW630" s="126"/>
      <c r="AX630" s="126"/>
      <c r="AY630" s="127"/>
      <c r="AZ630" s="126"/>
      <c r="BA630" s="126"/>
      <c r="BB630" s="127"/>
      <c r="BC630" s="126"/>
      <c r="BD630" s="134"/>
      <c r="BE630" s="127"/>
      <c r="BF630" s="126"/>
      <c r="BG630" s="126"/>
      <c r="BH630" s="126"/>
      <c r="BI630" s="126"/>
      <c r="BJ630" s="126"/>
      <c r="BK630" s="126"/>
      <c r="BL630" s="126"/>
      <c r="BM630" s="126"/>
      <c r="BN630" s="126"/>
      <c r="BO630" s="126"/>
      <c r="BP630" s="126"/>
      <c r="BQ630" s="126"/>
      <c r="BR630" s="126"/>
      <c r="BS630" s="126"/>
      <c r="BT630" s="126"/>
      <c r="BU630" s="126"/>
      <c r="BV630" s="126"/>
      <c r="BW630" s="126"/>
      <c r="BX630" s="126"/>
    </row>
    <row r="631">
      <c r="A631" s="126"/>
      <c r="B631" s="126"/>
      <c r="C631" s="127"/>
      <c r="D631" s="126"/>
      <c r="E631" s="126"/>
      <c r="F631" s="127"/>
      <c r="G631" s="126"/>
      <c r="H631" s="127"/>
      <c r="I631" s="126"/>
      <c r="J631" s="126"/>
      <c r="K631" s="127"/>
      <c r="L631" s="126"/>
      <c r="M631" s="126"/>
      <c r="N631" s="127"/>
      <c r="O631" s="126"/>
      <c r="P631" s="126"/>
      <c r="Q631" s="127"/>
      <c r="R631" s="126"/>
      <c r="S631" s="126"/>
      <c r="T631" s="127"/>
      <c r="U631" s="126"/>
      <c r="V631" s="126"/>
      <c r="W631" s="127"/>
      <c r="X631" s="126"/>
      <c r="Y631" s="126"/>
      <c r="Z631" s="127"/>
      <c r="AA631" s="126"/>
      <c r="AB631" s="126"/>
      <c r="AC631" s="127"/>
      <c r="AD631" s="126"/>
      <c r="AE631" s="126"/>
      <c r="AF631" s="126"/>
      <c r="AG631" s="127"/>
      <c r="AH631" s="126"/>
      <c r="AI631" s="126"/>
      <c r="AJ631" s="127"/>
      <c r="AK631" s="126"/>
      <c r="AL631" s="126"/>
      <c r="AM631" s="127"/>
      <c r="AN631" s="126"/>
      <c r="AO631" s="126"/>
      <c r="AP631" s="127"/>
      <c r="AQ631" s="126"/>
      <c r="AR631" s="126"/>
      <c r="AS631" s="127"/>
      <c r="AT631" s="126"/>
      <c r="AU631" s="126"/>
      <c r="AV631" s="127"/>
      <c r="AW631" s="126"/>
      <c r="AX631" s="126"/>
      <c r="AY631" s="127"/>
      <c r="AZ631" s="126"/>
      <c r="BA631" s="126"/>
      <c r="BB631" s="127"/>
      <c r="BC631" s="126"/>
      <c r="BD631" s="134"/>
      <c r="BE631" s="127"/>
      <c r="BF631" s="126"/>
      <c r="BG631" s="126"/>
      <c r="BH631" s="126"/>
      <c r="BI631" s="126"/>
      <c r="BJ631" s="126"/>
      <c r="BK631" s="126"/>
      <c r="BL631" s="126"/>
      <c r="BM631" s="126"/>
      <c r="BN631" s="126"/>
      <c r="BO631" s="126"/>
      <c r="BP631" s="126"/>
      <c r="BQ631" s="126"/>
      <c r="BR631" s="126"/>
      <c r="BS631" s="126"/>
      <c r="BT631" s="126"/>
      <c r="BU631" s="126"/>
      <c r="BV631" s="126"/>
      <c r="BW631" s="126"/>
      <c r="BX631" s="126"/>
    </row>
    <row r="632">
      <c r="A632" s="126"/>
      <c r="B632" s="126"/>
      <c r="C632" s="127"/>
      <c r="D632" s="126"/>
      <c r="E632" s="126"/>
      <c r="F632" s="127"/>
      <c r="G632" s="126"/>
      <c r="H632" s="127"/>
      <c r="I632" s="126"/>
      <c r="J632" s="126"/>
      <c r="K632" s="127"/>
      <c r="L632" s="126"/>
      <c r="M632" s="126"/>
      <c r="N632" s="127"/>
      <c r="O632" s="126"/>
      <c r="P632" s="126"/>
      <c r="Q632" s="127"/>
      <c r="R632" s="126"/>
      <c r="S632" s="126"/>
      <c r="T632" s="127"/>
      <c r="U632" s="126"/>
      <c r="V632" s="126"/>
      <c r="W632" s="127"/>
      <c r="X632" s="126"/>
      <c r="Y632" s="126"/>
      <c r="Z632" s="127"/>
      <c r="AA632" s="126"/>
      <c r="AB632" s="126"/>
      <c r="AC632" s="127"/>
      <c r="AD632" s="126"/>
      <c r="AE632" s="126"/>
      <c r="AF632" s="126"/>
      <c r="AG632" s="127"/>
      <c r="AH632" s="126"/>
      <c r="AI632" s="126"/>
      <c r="AJ632" s="127"/>
      <c r="AK632" s="126"/>
      <c r="AL632" s="126"/>
      <c r="AM632" s="127"/>
      <c r="AN632" s="126"/>
      <c r="AO632" s="126"/>
      <c r="AP632" s="127"/>
      <c r="AQ632" s="126"/>
      <c r="AR632" s="126"/>
      <c r="AS632" s="127"/>
      <c r="AT632" s="126"/>
      <c r="AU632" s="126"/>
      <c r="AV632" s="127"/>
      <c r="AW632" s="126"/>
      <c r="AX632" s="126"/>
      <c r="AY632" s="127"/>
      <c r="AZ632" s="126"/>
      <c r="BA632" s="126"/>
      <c r="BB632" s="127"/>
      <c r="BC632" s="126"/>
      <c r="BD632" s="134"/>
      <c r="BE632" s="127"/>
      <c r="BF632" s="126"/>
      <c r="BG632" s="126"/>
      <c r="BH632" s="126"/>
      <c r="BI632" s="126"/>
      <c r="BJ632" s="126"/>
      <c r="BK632" s="126"/>
      <c r="BL632" s="126"/>
      <c r="BM632" s="126"/>
      <c r="BN632" s="126"/>
      <c r="BO632" s="126"/>
      <c r="BP632" s="126"/>
      <c r="BQ632" s="126"/>
      <c r="BR632" s="126"/>
      <c r="BS632" s="126"/>
      <c r="BT632" s="126"/>
      <c r="BU632" s="126"/>
      <c r="BV632" s="126"/>
      <c r="BW632" s="126"/>
      <c r="BX632" s="126"/>
    </row>
    <row r="633">
      <c r="A633" s="126"/>
      <c r="B633" s="126"/>
      <c r="C633" s="127"/>
      <c r="D633" s="126"/>
      <c r="E633" s="126"/>
      <c r="F633" s="127"/>
      <c r="G633" s="126"/>
      <c r="H633" s="127"/>
      <c r="I633" s="126"/>
      <c r="J633" s="126"/>
      <c r="K633" s="127"/>
      <c r="L633" s="126"/>
      <c r="M633" s="126"/>
      <c r="N633" s="127"/>
      <c r="O633" s="126"/>
      <c r="P633" s="126"/>
      <c r="Q633" s="127"/>
      <c r="R633" s="126"/>
      <c r="S633" s="126"/>
      <c r="T633" s="127"/>
      <c r="U633" s="126"/>
      <c r="V633" s="126"/>
      <c r="W633" s="127"/>
      <c r="X633" s="126"/>
      <c r="Y633" s="126"/>
      <c r="Z633" s="127"/>
      <c r="AA633" s="126"/>
      <c r="AB633" s="126"/>
      <c r="AC633" s="127"/>
      <c r="AD633" s="126"/>
      <c r="AE633" s="126"/>
      <c r="AF633" s="126"/>
      <c r="AG633" s="127"/>
      <c r="AH633" s="126"/>
      <c r="AI633" s="126"/>
      <c r="AJ633" s="127"/>
      <c r="AK633" s="126"/>
      <c r="AL633" s="126"/>
      <c r="AM633" s="127"/>
      <c r="AN633" s="126"/>
      <c r="AO633" s="126"/>
      <c r="AP633" s="127"/>
      <c r="AQ633" s="126"/>
      <c r="AR633" s="126"/>
      <c r="AS633" s="127"/>
      <c r="AT633" s="126"/>
      <c r="AU633" s="126"/>
      <c r="AV633" s="127"/>
      <c r="AW633" s="126"/>
      <c r="AX633" s="126"/>
      <c r="AY633" s="127"/>
      <c r="AZ633" s="126"/>
      <c r="BA633" s="126"/>
      <c r="BB633" s="127"/>
      <c r="BC633" s="126"/>
      <c r="BD633" s="134"/>
      <c r="BE633" s="127"/>
      <c r="BF633" s="126"/>
      <c r="BG633" s="126"/>
      <c r="BH633" s="126"/>
      <c r="BI633" s="126"/>
      <c r="BJ633" s="126"/>
      <c r="BK633" s="126"/>
      <c r="BL633" s="126"/>
      <c r="BM633" s="126"/>
      <c r="BN633" s="126"/>
      <c r="BO633" s="126"/>
      <c r="BP633" s="126"/>
      <c r="BQ633" s="126"/>
      <c r="BR633" s="126"/>
      <c r="BS633" s="126"/>
      <c r="BT633" s="126"/>
      <c r="BU633" s="126"/>
      <c r="BV633" s="126"/>
      <c r="BW633" s="126"/>
      <c r="BX633" s="126"/>
    </row>
    <row r="634">
      <c r="A634" s="126"/>
      <c r="B634" s="126"/>
      <c r="C634" s="127"/>
      <c r="D634" s="126"/>
      <c r="E634" s="126"/>
      <c r="F634" s="127"/>
      <c r="G634" s="126"/>
      <c r="H634" s="127"/>
      <c r="I634" s="126"/>
      <c r="J634" s="126"/>
      <c r="K634" s="127"/>
      <c r="L634" s="126"/>
      <c r="M634" s="126"/>
      <c r="N634" s="127"/>
      <c r="O634" s="126"/>
      <c r="P634" s="126"/>
      <c r="Q634" s="127"/>
      <c r="R634" s="126"/>
      <c r="S634" s="126"/>
      <c r="T634" s="127"/>
      <c r="U634" s="126"/>
      <c r="V634" s="126"/>
      <c r="W634" s="127"/>
      <c r="X634" s="126"/>
      <c r="Y634" s="126"/>
      <c r="Z634" s="127"/>
      <c r="AA634" s="126"/>
      <c r="AB634" s="126"/>
      <c r="AC634" s="127"/>
      <c r="AD634" s="126"/>
      <c r="AE634" s="126"/>
      <c r="AF634" s="126"/>
      <c r="AG634" s="127"/>
      <c r="AH634" s="126"/>
      <c r="AI634" s="126"/>
      <c r="AJ634" s="127"/>
      <c r="AK634" s="126"/>
      <c r="AL634" s="126"/>
      <c r="AM634" s="127"/>
      <c r="AN634" s="126"/>
      <c r="AO634" s="126"/>
      <c r="AP634" s="127"/>
      <c r="AQ634" s="126"/>
      <c r="AR634" s="126"/>
      <c r="AS634" s="127"/>
      <c r="AT634" s="126"/>
      <c r="AU634" s="126"/>
      <c r="AV634" s="127"/>
      <c r="AW634" s="126"/>
      <c r="AX634" s="126"/>
      <c r="AY634" s="127"/>
      <c r="AZ634" s="126"/>
      <c r="BA634" s="126"/>
      <c r="BB634" s="127"/>
      <c r="BC634" s="126"/>
      <c r="BD634" s="134"/>
      <c r="BE634" s="127"/>
      <c r="BF634" s="126"/>
      <c r="BG634" s="126"/>
      <c r="BH634" s="126"/>
      <c r="BI634" s="126"/>
      <c r="BJ634" s="126"/>
      <c r="BK634" s="126"/>
      <c r="BL634" s="126"/>
      <c r="BM634" s="126"/>
      <c r="BN634" s="126"/>
      <c r="BO634" s="126"/>
      <c r="BP634" s="126"/>
      <c r="BQ634" s="126"/>
      <c r="BR634" s="126"/>
      <c r="BS634" s="126"/>
      <c r="BT634" s="126"/>
      <c r="BU634" s="126"/>
      <c r="BV634" s="126"/>
      <c r="BW634" s="126"/>
      <c r="BX634" s="126"/>
    </row>
    <row r="635">
      <c r="A635" s="126"/>
      <c r="B635" s="126"/>
      <c r="C635" s="127"/>
      <c r="D635" s="126"/>
      <c r="E635" s="126"/>
      <c r="F635" s="127"/>
      <c r="G635" s="126"/>
      <c r="H635" s="127"/>
      <c r="I635" s="126"/>
      <c r="J635" s="126"/>
      <c r="K635" s="127"/>
      <c r="L635" s="126"/>
      <c r="M635" s="126"/>
      <c r="N635" s="127"/>
      <c r="O635" s="126"/>
      <c r="P635" s="126"/>
      <c r="Q635" s="127"/>
      <c r="R635" s="126"/>
      <c r="S635" s="126"/>
      <c r="T635" s="127"/>
      <c r="U635" s="126"/>
      <c r="V635" s="126"/>
      <c r="W635" s="127"/>
      <c r="X635" s="126"/>
      <c r="Y635" s="126"/>
      <c r="Z635" s="127"/>
      <c r="AA635" s="126"/>
      <c r="AB635" s="126"/>
      <c r="AC635" s="127"/>
      <c r="AD635" s="126"/>
      <c r="AE635" s="126"/>
      <c r="AF635" s="126"/>
      <c r="AG635" s="127"/>
      <c r="AH635" s="126"/>
      <c r="AI635" s="126"/>
      <c r="AJ635" s="127"/>
      <c r="AK635" s="126"/>
      <c r="AL635" s="126"/>
      <c r="AM635" s="127"/>
      <c r="AN635" s="126"/>
      <c r="AO635" s="126"/>
      <c r="AP635" s="127"/>
      <c r="AQ635" s="126"/>
      <c r="AR635" s="126"/>
      <c r="AS635" s="127"/>
      <c r="AT635" s="126"/>
      <c r="AU635" s="126"/>
      <c r="AV635" s="127"/>
      <c r="AW635" s="126"/>
      <c r="AX635" s="126"/>
      <c r="AY635" s="127"/>
      <c r="AZ635" s="126"/>
      <c r="BA635" s="126"/>
      <c r="BB635" s="127"/>
      <c r="BC635" s="126"/>
      <c r="BD635" s="134"/>
      <c r="BE635" s="127"/>
      <c r="BF635" s="126"/>
      <c r="BG635" s="126"/>
      <c r="BH635" s="126"/>
      <c r="BI635" s="126"/>
      <c r="BJ635" s="126"/>
      <c r="BK635" s="126"/>
      <c r="BL635" s="126"/>
      <c r="BM635" s="126"/>
      <c r="BN635" s="126"/>
      <c r="BO635" s="126"/>
      <c r="BP635" s="126"/>
      <c r="BQ635" s="126"/>
      <c r="BR635" s="126"/>
      <c r="BS635" s="126"/>
      <c r="BT635" s="126"/>
      <c r="BU635" s="126"/>
      <c r="BV635" s="126"/>
      <c r="BW635" s="126"/>
      <c r="BX635" s="126"/>
    </row>
    <row r="636">
      <c r="A636" s="126"/>
      <c r="B636" s="126"/>
      <c r="C636" s="127"/>
      <c r="D636" s="126"/>
      <c r="E636" s="126"/>
      <c r="F636" s="127"/>
      <c r="G636" s="126"/>
      <c r="H636" s="127"/>
      <c r="I636" s="126"/>
      <c r="J636" s="126"/>
      <c r="K636" s="127"/>
      <c r="L636" s="126"/>
      <c r="M636" s="126"/>
      <c r="N636" s="127"/>
      <c r="O636" s="126"/>
      <c r="P636" s="126"/>
      <c r="Q636" s="127"/>
      <c r="R636" s="126"/>
      <c r="S636" s="126"/>
      <c r="T636" s="127"/>
      <c r="U636" s="126"/>
      <c r="V636" s="126"/>
      <c r="W636" s="127"/>
      <c r="X636" s="126"/>
      <c r="Y636" s="126"/>
      <c r="Z636" s="127"/>
      <c r="AA636" s="126"/>
      <c r="AB636" s="126"/>
      <c r="AC636" s="127"/>
      <c r="AD636" s="126"/>
      <c r="AE636" s="126"/>
      <c r="AF636" s="126"/>
      <c r="AG636" s="127"/>
      <c r="AH636" s="126"/>
      <c r="AI636" s="126"/>
      <c r="AJ636" s="127"/>
      <c r="AK636" s="126"/>
      <c r="AL636" s="126"/>
      <c r="AM636" s="127"/>
      <c r="AN636" s="126"/>
      <c r="AO636" s="126"/>
      <c r="AP636" s="127"/>
      <c r="AQ636" s="126"/>
      <c r="AR636" s="126"/>
      <c r="AS636" s="127"/>
      <c r="AT636" s="126"/>
      <c r="AU636" s="126"/>
      <c r="AV636" s="127"/>
      <c r="AW636" s="126"/>
      <c r="AX636" s="126"/>
      <c r="AY636" s="127"/>
      <c r="AZ636" s="126"/>
      <c r="BA636" s="126"/>
      <c r="BB636" s="127"/>
      <c r="BC636" s="126"/>
      <c r="BD636" s="134"/>
      <c r="BE636" s="127"/>
      <c r="BF636" s="126"/>
      <c r="BG636" s="126"/>
      <c r="BH636" s="126"/>
      <c r="BI636" s="126"/>
      <c r="BJ636" s="126"/>
      <c r="BK636" s="126"/>
      <c r="BL636" s="126"/>
      <c r="BM636" s="126"/>
      <c r="BN636" s="126"/>
      <c r="BO636" s="126"/>
      <c r="BP636" s="126"/>
      <c r="BQ636" s="126"/>
      <c r="BR636" s="126"/>
      <c r="BS636" s="126"/>
      <c r="BT636" s="126"/>
      <c r="BU636" s="126"/>
      <c r="BV636" s="126"/>
      <c r="BW636" s="126"/>
      <c r="BX636" s="126"/>
    </row>
    <row r="637">
      <c r="A637" s="126"/>
      <c r="B637" s="126"/>
      <c r="C637" s="127"/>
      <c r="D637" s="126"/>
      <c r="E637" s="126"/>
      <c r="F637" s="127"/>
      <c r="G637" s="126"/>
      <c r="H637" s="127"/>
      <c r="I637" s="126"/>
      <c r="J637" s="126"/>
      <c r="K637" s="127"/>
      <c r="L637" s="126"/>
      <c r="M637" s="126"/>
      <c r="N637" s="127"/>
      <c r="O637" s="126"/>
      <c r="P637" s="126"/>
      <c r="Q637" s="127"/>
      <c r="R637" s="126"/>
      <c r="S637" s="126"/>
      <c r="T637" s="127"/>
      <c r="U637" s="126"/>
      <c r="V637" s="126"/>
      <c r="W637" s="127"/>
      <c r="X637" s="126"/>
      <c r="Y637" s="126"/>
      <c r="Z637" s="127"/>
      <c r="AA637" s="126"/>
      <c r="AB637" s="126"/>
      <c r="AC637" s="127"/>
      <c r="AD637" s="126"/>
      <c r="AE637" s="126"/>
      <c r="AF637" s="126"/>
      <c r="AG637" s="127"/>
      <c r="AH637" s="126"/>
      <c r="AI637" s="126"/>
      <c r="AJ637" s="127"/>
      <c r="AK637" s="126"/>
      <c r="AL637" s="126"/>
      <c r="AM637" s="127"/>
      <c r="AN637" s="126"/>
      <c r="AO637" s="126"/>
      <c r="AP637" s="127"/>
      <c r="AQ637" s="126"/>
      <c r="AR637" s="126"/>
      <c r="AS637" s="127"/>
      <c r="AT637" s="126"/>
      <c r="AU637" s="126"/>
      <c r="AV637" s="127"/>
      <c r="AW637" s="126"/>
      <c r="AX637" s="126"/>
      <c r="AY637" s="127"/>
      <c r="AZ637" s="126"/>
      <c r="BA637" s="126"/>
      <c r="BB637" s="127"/>
      <c r="BC637" s="126"/>
      <c r="BD637" s="134"/>
      <c r="BE637" s="127"/>
      <c r="BF637" s="126"/>
      <c r="BG637" s="126"/>
      <c r="BH637" s="126"/>
      <c r="BI637" s="126"/>
      <c r="BJ637" s="126"/>
      <c r="BK637" s="126"/>
      <c r="BL637" s="126"/>
      <c r="BM637" s="126"/>
      <c r="BN637" s="126"/>
      <c r="BO637" s="126"/>
      <c r="BP637" s="126"/>
      <c r="BQ637" s="126"/>
      <c r="BR637" s="126"/>
      <c r="BS637" s="126"/>
      <c r="BT637" s="126"/>
      <c r="BU637" s="126"/>
      <c r="BV637" s="126"/>
      <c r="BW637" s="126"/>
      <c r="BX637" s="126"/>
    </row>
    <row r="638">
      <c r="A638" s="126"/>
      <c r="B638" s="126"/>
      <c r="C638" s="127"/>
      <c r="D638" s="126"/>
      <c r="E638" s="126"/>
      <c r="F638" s="127"/>
      <c r="G638" s="126"/>
      <c r="H638" s="127"/>
      <c r="I638" s="126"/>
      <c r="J638" s="126"/>
      <c r="K638" s="127"/>
      <c r="L638" s="126"/>
      <c r="M638" s="126"/>
      <c r="N638" s="127"/>
      <c r="O638" s="126"/>
      <c r="P638" s="126"/>
      <c r="Q638" s="127"/>
      <c r="R638" s="126"/>
      <c r="S638" s="126"/>
      <c r="T638" s="127"/>
      <c r="U638" s="126"/>
      <c r="V638" s="126"/>
      <c r="W638" s="127"/>
      <c r="X638" s="126"/>
      <c r="Y638" s="126"/>
      <c r="Z638" s="127"/>
      <c r="AA638" s="126"/>
      <c r="AB638" s="126"/>
      <c r="AC638" s="127"/>
      <c r="AD638" s="126"/>
      <c r="AE638" s="126"/>
      <c r="AF638" s="126"/>
      <c r="AG638" s="127"/>
      <c r="AH638" s="126"/>
      <c r="AI638" s="126"/>
      <c r="AJ638" s="127"/>
      <c r="AK638" s="126"/>
      <c r="AL638" s="126"/>
      <c r="AM638" s="127"/>
      <c r="AN638" s="126"/>
      <c r="AO638" s="126"/>
      <c r="AP638" s="127"/>
      <c r="AQ638" s="126"/>
      <c r="AR638" s="126"/>
      <c r="AS638" s="127"/>
      <c r="AT638" s="126"/>
      <c r="AU638" s="126"/>
      <c r="AV638" s="127"/>
      <c r="AW638" s="126"/>
      <c r="AX638" s="126"/>
      <c r="AY638" s="127"/>
      <c r="AZ638" s="126"/>
      <c r="BA638" s="126"/>
      <c r="BB638" s="127"/>
      <c r="BC638" s="126"/>
      <c r="BD638" s="134"/>
      <c r="BE638" s="127"/>
      <c r="BF638" s="126"/>
      <c r="BG638" s="126"/>
      <c r="BH638" s="126"/>
      <c r="BI638" s="126"/>
      <c r="BJ638" s="126"/>
      <c r="BK638" s="126"/>
      <c r="BL638" s="126"/>
      <c r="BM638" s="126"/>
      <c r="BN638" s="126"/>
      <c r="BO638" s="126"/>
      <c r="BP638" s="126"/>
      <c r="BQ638" s="126"/>
      <c r="BR638" s="126"/>
      <c r="BS638" s="126"/>
      <c r="BT638" s="126"/>
      <c r="BU638" s="126"/>
      <c r="BV638" s="126"/>
      <c r="BW638" s="126"/>
      <c r="BX638" s="126"/>
    </row>
    <row r="639">
      <c r="A639" s="126"/>
      <c r="B639" s="126"/>
      <c r="C639" s="127"/>
      <c r="D639" s="126"/>
      <c r="E639" s="126"/>
      <c r="F639" s="127"/>
      <c r="G639" s="126"/>
      <c r="H639" s="127"/>
      <c r="I639" s="126"/>
      <c r="J639" s="126"/>
      <c r="K639" s="127"/>
      <c r="L639" s="126"/>
      <c r="M639" s="126"/>
      <c r="N639" s="127"/>
      <c r="O639" s="126"/>
      <c r="P639" s="126"/>
      <c r="Q639" s="127"/>
      <c r="R639" s="126"/>
      <c r="S639" s="126"/>
      <c r="T639" s="127"/>
      <c r="U639" s="126"/>
      <c r="V639" s="126"/>
      <c r="W639" s="127"/>
      <c r="X639" s="126"/>
      <c r="Y639" s="126"/>
      <c r="Z639" s="127"/>
      <c r="AA639" s="126"/>
      <c r="AB639" s="126"/>
      <c r="AC639" s="127"/>
      <c r="AD639" s="126"/>
      <c r="AE639" s="126"/>
      <c r="AF639" s="126"/>
      <c r="AG639" s="127"/>
      <c r="AH639" s="126"/>
      <c r="AI639" s="126"/>
      <c r="AJ639" s="127"/>
      <c r="AK639" s="126"/>
      <c r="AL639" s="126"/>
      <c r="AM639" s="127"/>
      <c r="AN639" s="126"/>
      <c r="AO639" s="126"/>
      <c r="AP639" s="127"/>
      <c r="AQ639" s="126"/>
      <c r="AR639" s="126"/>
      <c r="AS639" s="127"/>
      <c r="AT639" s="126"/>
      <c r="AU639" s="126"/>
      <c r="AV639" s="127"/>
      <c r="AW639" s="126"/>
      <c r="AX639" s="126"/>
      <c r="AY639" s="127"/>
      <c r="AZ639" s="126"/>
      <c r="BA639" s="126"/>
      <c r="BB639" s="127"/>
      <c r="BC639" s="126"/>
      <c r="BD639" s="134"/>
      <c r="BE639" s="127"/>
      <c r="BF639" s="126"/>
      <c r="BG639" s="126"/>
      <c r="BH639" s="126"/>
      <c r="BI639" s="126"/>
      <c r="BJ639" s="126"/>
      <c r="BK639" s="126"/>
      <c r="BL639" s="126"/>
      <c r="BM639" s="126"/>
      <c r="BN639" s="126"/>
      <c r="BO639" s="126"/>
      <c r="BP639" s="126"/>
      <c r="BQ639" s="126"/>
      <c r="BR639" s="126"/>
      <c r="BS639" s="126"/>
      <c r="BT639" s="126"/>
      <c r="BU639" s="126"/>
      <c r="BV639" s="126"/>
      <c r="BW639" s="126"/>
      <c r="BX639" s="126"/>
    </row>
    <row r="640">
      <c r="A640" s="126"/>
      <c r="B640" s="126"/>
      <c r="C640" s="127"/>
      <c r="D640" s="126"/>
      <c r="E640" s="126"/>
      <c r="F640" s="127"/>
      <c r="G640" s="126"/>
      <c r="H640" s="127"/>
      <c r="I640" s="126"/>
      <c r="J640" s="126"/>
      <c r="K640" s="127"/>
      <c r="L640" s="126"/>
      <c r="M640" s="126"/>
      <c r="N640" s="127"/>
      <c r="O640" s="126"/>
      <c r="P640" s="126"/>
      <c r="Q640" s="127"/>
      <c r="R640" s="126"/>
      <c r="S640" s="126"/>
      <c r="T640" s="127"/>
      <c r="U640" s="126"/>
      <c r="V640" s="126"/>
      <c r="W640" s="127"/>
      <c r="X640" s="126"/>
      <c r="Y640" s="126"/>
      <c r="Z640" s="127"/>
      <c r="AA640" s="126"/>
      <c r="AB640" s="126"/>
      <c r="AC640" s="127"/>
      <c r="AD640" s="126"/>
      <c r="AE640" s="126"/>
      <c r="AF640" s="126"/>
      <c r="AG640" s="127"/>
      <c r="AH640" s="126"/>
      <c r="AI640" s="126"/>
      <c r="AJ640" s="127"/>
      <c r="AK640" s="126"/>
      <c r="AL640" s="126"/>
      <c r="AM640" s="127"/>
      <c r="AN640" s="126"/>
      <c r="AO640" s="126"/>
      <c r="AP640" s="127"/>
      <c r="AQ640" s="126"/>
      <c r="AR640" s="126"/>
      <c r="AS640" s="127"/>
      <c r="AT640" s="126"/>
      <c r="AU640" s="126"/>
      <c r="AV640" s="127"/>
      <c r="AW640" s="126"/>
      <c r="AX640" s="126"/>
      <c r="AY640" s="127"/>
      <c r="AZ640" s="126"/>
      <c r="BA640" s="126"/>
      <c r="BB640" s="127"/>
      <c r="BC640" s="126"/>
      <c r="BD640" s="134"/>
      <c r="BE640" s="127"/>
      <c r="BF640" s="126"/>
      <c r="BG640" s="126"/>
      <c r="BH640" s="126"/>
      <c r="BI640" s="126"/>
      <c r="BJ640" s="126"/>
      <c r="BK640" s="126"/>
      <c r="BL640" s="126"/>
      <c r="BM640" s="126"/>
      <c r="BN640" s="126"/>
      <c r="BO640" s="126"/>
      <c r="BP640" s="126"/>
      <c r="BQ640" s="126"/>
      <c r="BR640" s="126"/>
      <c r="BS640" s="126"/>
      <c r="BT640" s="126"/>
      <c r="BU640" s="126"/>
      <c r="BV640" s="126"/>
      <c r="BW640" s="126"/>
      <c r="BX640" s="126"/>
    </row>
    <row r="641">
      <c r="A641" s="126"/>
      <c r="B641" s="126"/>
      <c r="C641" s="127"/>
      <c r="D641" s="126"/>
      <c r="E641" s="126"/>
      <c r="F641" s="127"/>
      <c r="G641" s="126"/>
      <c r="H641" s="127"/>
      <c r="I641" s="126"/>
      <c r="J641" s="126"/>
      <c r="K641" s="127"/>
      <c r="L641" s="126"/>
      <c r="M641" s="126"/>
      <c r="N641" s="127"/>
      <c r="O641" s="126"/>
      <c r="P641" s="126"/>
      <c r="Q641" s="127"/>
      <c r="R641" s="126"/>
      <c r="S641" s="126"/>
      <c r="T641" s="127"/>
      <c r="U641" s="126"/>
      <c r="V641" s="126"/>
      <c r="W641" s="127"/>
      <c r="X641" s="126"/>
      <c r="Y641" s="126"/>
      <c r="Z641" s="127"/>
      <c r="AA641" s="126"/>
      <c r="AB641" s="126"/>
      <c r="AC641" s="127"/>
      <c r="AD641" s="126"/>
      <c r="AE641" s="126"/>
      <c r="AF641" s="126"/>
      <c r="AG641" s="127"/>
      <c r="AH641" s="126"/>
      <c r="AI641" s="126"/>
      <c r="AJ641" s="127"/>
      <c r="AK641" s="126"/>
      <c r="AL641" s="126"/>
      <c r="AM641" s="127"/>
      <c r="AN641" s="126"/>
      <c r="AO641" s="126"/>
      <c r="AP641" s="127"/>
      <c r="AQ641" s="126"/>
      <c r="AR641" s="126"/>
      <c r="AS641" s="127"/>
      <c r="AT641" s="126"/>
      <c r="AU641" s="126"/>
      <c r="AV641" s="127"/>
      <c r="AW641" s="126"/>
      <c r="AX641" s="126"/>
      <c r="AY641" s="127"/>
      <c r="AZ641" s="126"/>
      <c r="BA641" s="126"/>
      <c r="BB641" s="127"/>
      <c r="BC641" s="126"/>
      <c r="BD641" s="134"/>
      <c r="BE641" s="127"/>
      <c r="BF641" s="126"/>
      <c r="BG641" s="126"/>
      <c r="BH641" s="126"/>
      <c r="BI641" s="126"/>
      <c r="BJ641" s="126"/>
      <c r="BK641" s="126"/>
      <c r="BL641" s="126"/>
      <c r="BM641" s="126"/>
      <c r="BN641" s="126"/>
      <c r="BO641" s="126"/>
      <c r="BP641" s="126"/>
      <c r="BQ641" s="126"/>
      <c r="BR641" s="126"/>
      <c r="BS641" s="126"/>
      <c r="BT641" s="126"/>
      <c r="BU641" s="126"/>
      <c r="BV641" s="126"/>
      <c r="BW641" s="126"/>
      <c r="BX641" s="126"/>
    </row>
    <row r="642">
      <c r="A642" s="126"/>
      <c r="B642" s="126"/>
      <c r="C642" s="127"/>
      <c r="D642" s="126"/>
      <c r="E642" s="126"/>
      <c r="F642" s="127"/>
      <c r="G642" s="126"/>
      <c r="H642" s="127"/>
      <c r="I642" s="126"/>
      <c r="J642" s="126"/>
      <c r="K642" s="127"/>
      <c r="L642" s="126"/>
      <c r="M642" s="126"/>
      <c r="N642" s="127"/>
      <c r="O642" s="126"/>
      <c r="P642" s="126"/>
      <c r="Q642" s="127"/>
      <c r="R642" s="126"/>
      <c r="S642" s="126"/>
      <c r="T642" s="127"/>
      <c r="U642" s="126"/>
      <c r="V642" s="126"/>
      <c r="W642" s="127"/>
      <c r="X642" s="126"/>
      <c r="Y642" s="126"/>
      <c r="Z642" s="127"/>
      <c r="AA642" s="126"/>
      <c r="AB642" s="126"/>
      <c r="AC642" s="127"/>
      <c r="AD642" s="126"/>
      <c r="AE642" s="126"/>
      <c r="AF642" s="126"/>
      <c r="AG642" s="127"/>
      <c r="AH642" s="126"/>
      <c r="AI642" s="126"/>
      <c r="AJ642" s="127"/>
      <c r="AK642" s="126"/>
      <c r="AL642" s="126"/>
      <c r="AM642" s="127"/>
      <c r="AN642" s="126"/>
      <c r="AO642" s="126"/>
      <c r="AP642" s="127"/>
      <c r="AQ642" s="126"/>
      <c r="AR642" s="126"/>
      <c r="AS642" s="127"/>
      <c r="AT642" s="126"/>
      <c r="AU642" s="126"/>
      <c r="AV642" s="127"/>
      <c r="AW642" s="126"/>
      <c r="AX642" s="126"/>
      <c r="AY642" s="127"/>
      <c r="AZ642" s="126"/>
      <c r="BA642" s="126"/>
      <c r="BB642" s="127"/>
      <c r="BC642" s="126"/>
      <c r="BD642" s="134"/>
      <c r="BE642" s="127"/>
      <c r="BF642" s="126"/>
      <c r="BG642" s="126"/>
      <c r="BH642" s="126"/>
      <c r="BI642" s="126"/>
      <c r="BJ642" s="126"/>
      <c r="BK642" s="126"/>
      <c r="BL642" s="126"/>
      <c r="BM642" s="126"/>
      <c r="BN642" s="126"/>
      <c r="BO642" s="126"/>
      <c r="BP642" s="126"/>
      <c r="BQ642" s="126"/>
      <c r="BR642" s="126"/>
      <c r="BS642" s="126"/>
      <c r="BT642" s="126"/>
      <c r="BU642" s="126"/>
      <c r="BV642" s="126"/>
      <c r="BW642" s="126"/>
      <c r="BX642" s="126"/>
    </row>
    <row r="643">
      <c r="A643" s="126"/>
      <c r="B643" s="126"/>
      <c r="C643" s="127"/>
      <c r="D643" s="126"/>
      <c r="E643" s="126"/>
      <c r="F643" s="127"/>
      <c r="G643" s="126"/>
      <c r="H643" s="127"/>
      <c r="I643" s="126"/>
      <c r="J643" s="126"/>
      <c r="K643" s="127"/>
      <c r="L643" s="126"/>
      <c r="M643" s="126"/>
      <c r="N643" s="127"/>
      <c r="O643" s="126"/>
      <c r="P643" s="126"/>
      <c r="Q643" s="127"/>
      <c r="R643" s="126"/>
      <c r="S643" s="126"/>
      <c r="T643" s="127"/>
      <c r="U643" s="126"/>
      <c r="V643" s="126"/>
      <c r="W643" s="127"/>
      <c r="X643" s="126"/>
      <c r="Y643" s="126"/>
      <c r="Z643" s="127"/>
      <c r="AA643" s="126"/>
      <c r="AB643" s="126"/>
      <c r="AC643" s="127"/>
      <c r="AD643" s="126"/>
      <c r="AE643" s="126"/>
      <c r="AF643" s="126"/>
      <c r="AG643" s="127"/>
      <c r="AH643" s="126"/>
      <c r="AI643" s="126"/>
      <c r="AJ643" s="127"/>
      <c r="AK643" s="126"/>
      <c r="AL643" s="126"/>
      <c r="AM643" s="127"/>
      <c r="AN643" s="126"/>
      <c r="AO643" s="126"/>
      <c r="AP643" s="127"/>
      <c r="AQ643" s="126"/>
      <c r="AR643" s="126"/>
      <c r="AS643" s="127"/>
      <c r="AT643" s="126"/>
      <c r="AU643" s="126"/>
      <c r="AV643" s="127"/>
      <c r="AW643" s="126"/>
      <c r="AX643" s="126"/>
      <c r="AY643" s="127"/>
      <c r="AZ643" s="126"/>
      <c r="BA643" s="126"/>
      <c r="BB643" s="127"/>
      <c r="BC643" s="126"/>
      <c r="BD643" s="134"/>
      <c r="BE643" s="127"/>
      <c r="BF643" s="126"/>
      <c r="BG643" s="126"/>
      <c r="BH643" s="126"/>
      <c r="BI643" s="126"/>
      <c r="BJ643" s="126"/>
      <c r="BK643" s="126"/>
      <c r="BL643" s="126"/>
      <c r="BM643" s="126"/>
      <c r="BN643" s="126"/>
      <c r="BO643" s="126"/>
      <c r="BP643" s="126"/>
      <c r="BQ643" s="126"/>
      <c r="BR643" s="126"/>
      <c r="BS643" s="126"/>
      <c r="BT643" s="126"/>
      <c r="BU643" s="126"/>
      <c r="BV643" s="126"/>
      <c r="BW643" s="126"/>
      <c r="BX643" s="126"/>
    </row>
    <row r="644">
      <c r="A644" s="126"/>
      <c r="B644" s="126"/>
      <c r="C644" s="127"/>
      <c r="D644" s="126"/>
      <c r="E644" s="126"/>
      <c r="F644" s="127"/>
      <c r="G644" s="126"/>
      <c r="H644" s="127"/>
      <c r="I644" s="126"/>
      <c r="J644" s="126"/>
      <c r="K644" s="127"/>
      <c r="L644" s="126"/>
      <c r="M644" s="126"/>
      <c r="N644" s="127"/>
      <c r="O644" s="126"/>
      <c r="P644" s="126"/>
      <c r="Q644" s="127"/>
      <c r="R644" s="126"/>
      <c r="S644" s="126"/>
      <c r="T644" s="127"/>
      <c r="U644" s="126"/>
      <c r="V644" s="126"/>
      <c r="W644" s="127"/>
      <c r="X644" s="126"/>
      <c r="Y644" s="126"/>
      <c r="Z644" s="127"/>
      <c r="AA644" s="126"/>
      <c r="AB644" s="126"/>
      <c r="AC644" s="127"/>
      <c r="AD644" s="126"/>
      <c r="AE644" s="126"/>
      <c r="AF644" s="126"/>
      <c r="AG644" s="127"/>
      <c r="AH644" s="126"/>
      <c r="AI644" s="126"/>
      <c r="AJ644" s="127"/>
      <c r="AK644" s="126"/>
      <c r="AL644" s="126"/>
      <c r="AM644" s="127"/>
      <c r="AN644" s="126"/>
      <c r="AO644" s="126"/>
      <c r="AP644" s="127"/>
      <c r="AQ644" s="126"/>
      <c r="AR644" s="126"/>
      <c r="AS644" s="127"/>
      <c r="AT644" s="126"/>
      <c r="AU644" s="126"/>
      <c r="AV644" s="127"/>
      <c r="AW644" s="126"/>
      <c r="AX644" s="126"/>
      <c r="AY644" s="127"/>
      <c r="AZ644" s="126"/>
      <c r="BA644" s="126"/>
      <c r="BB644" s="127"/>
      <c r="BC644" s="126"/>
      <c r="BD644" s="134"/>
      <c r="BE644" s="127"/>
      <c r="BF644" s="126"/>
      <c r="BG644" s="126"/>
      <c r="BH644" s="126"/>
      <c r="BI644" s="126"/>
      <c r="BJ644" s="126"/>
      <c r="BK644" s="126"/>
      <c r="BL644" s="126"/>
      <c r="BM644" s="126"/>
      <c r="BN644" s="126"/>
      <c r="BO644" s="126"/>
      <c r="BP644" s="126"/>
      <c r="BQ644" s="126"/>
      <c r="BR644" s="126"/>
      <c r="BS644" s="126"/>
      <c r="BT644" s="126"/>
      <c r="BU644" s="126"/>
      <c r="BV644" s="126"/>
      <c r="BW644" s="126"/>
      <c r="BX644" s="126"/>
    </row>
    <row r="645">
      <c r="A645" s="126"/>
      <c r="B645" s="126"/>
      <c r="C645" s="127"/>
      <c r="D645" s="126"/>
      <c r="E645" s="126"/>
      <c r="F645" s="127"/>
      <c r="G645" s="126"/>
      <c r="H645" s="127"/>
      <c r="I645" s="126"/>
      <c r="J645" s="126"/>
      <c r="K645" s="127"/>
      <c r="L645" s="126"/>
      <c r="M645" s="126"/>
      <c r="N645" s="127"/>
      <c r="O645" s="126"/>
      <c r="P645" s="126"/>
      <c r="Q645" s="127"/>
      <c r="R645" s="126"/>
      <c r="S645" s="126"/>
      <c r="T645" s="127"/>
      <c r="U645" s="126"/>
      <c r="V645" s="126"/>
      <c r="W645" s="127"/>
      <c r="X645" s="126"/>
      <c r="Y645" s="126"/>
      <c r="Z645" s="127"/>
      <c r="AA645" s="126"/>
      <c r="AB645" s="126"/>
      <c r="AC645" s="127"/>
      <c r="AD645" s="126"/>
      <c r="AE645" s="126"/>
      <c r="AF645" s="126"/>
      <c r="AG645" s="127"/>
      <c r="AH645" s="126"/>
      <c r="AI645" s="126"/>
      <c r="AJ645" s="127"/>
      <c r="AK645" s="126"/>
      <c r="AL645" s="126"/>
      <c r="AM645" s="127"/>
      <c r="AN645" s="126"/>
      <c r="AO645" s="126"/>
      <c r="AP645" s="127"/>
      <c r="AQ645" s="126"/>
      <c r="AR645" s="126"/>
      <c r="AS645" s="127"/>
      <c r="AT645" s="126"/>
      <c r="AU645" s="126"/>
      <c r="AV645" s="127"/>
      <c r="AW645" s="126"/>
      <c r="AX645" s="126"/>
      <c r="AY645" s="127"/>
      <c r="AZ645" s="126"/>
      <c r="BA645" s="126"/>
      <c r="BB645" s="127"/>
      <c r="BC645" s="126"/>
      <c r="BD645" s="134"/>
      <c r="BE645" s="127"/>
      <c r="BF645" s="126"/>
      <c r="BG645" s="126"/>
      <c r="BH645" s="126"/>
      <c r="BI645" s="126"/>
      <c r="BJ645" s="126"/>
      <c r="BK645" s="126"/>
      <c r="BL645" s="126"/>
      <c r="BM645" s="126"/>
      <c r="BN645" s="126"/>
      <c r="BO645" s="126"/>
      <c r="BP645" s="126"/>
      <c r="BQ645" s="126"/>
      <c r="BR645" s="126"/>
      <c r="BS645" s="126"/>
      <c r="BT645" s="126"/>
      <c r="BU645" s="126"/>
      <c r="BV645" s="126"/>
      <c r="BW645" s="126"/>
      <c r="BX645" s="126"/>
    </row>
    <row r="646">
      <c r="A646" s="126"/>
      <c r="B646" s="126"/>
      <c r="C646" s="127"/>
      <c r="D646" s="126"/>
      <c r="E646" s="126"/>
      <c r="F646" s="127"/>
      <c r="G646" s="126"/>
      <c r="H646" s="127"/>
      <c r="I646" s="126"/>
      <c r="J646" s="126"/>
      <c r="K646" s="127"/>
      <c r="L646" s="126"/>
      <c r="M646" s="126"/>
      <c r="N646" s="127"/>
      <c r="O646" s="126"/>
      <c r="P646" s="126"/>
      <c r="Q646" s="127"/>
      <c r="R646" s="126"/>
      <c r="S646" s="126"/>
      <c r="T646" s="127"/>
      <c r="U646" s="126"/>
      <c r="V646" s="126"/>
      <c r="W646" s="127"/>
      <c r="X646" s="126"/>
      <c r="Y646" s="126"/>
      <c r="Z646" s="127"/>
      <c r="AA646" s="126"/>
      <c r="AB646" s="126"/>
      <c r="AC646" s="127"/>
      <c r="AD646" s="126"/>
      <c r="AE646" s="126"/>
      <c r="AF646" s="126"/>
      <c r="AG646" s="127"/>
      <c r="AH646" s="126"/>
      <c r="AI646" s="126"/>
      <c r="AJ646" s="127"/>
      <c r="AK646" s="126"/>
      <c r="AL646" s="126"/>
      <c r="AM646" s="127"/>
      <c r="AN646" s="126"/>
      <c r="AO646" s="126"/>
      <c r="AP646" s="127"/>
      <c r="AQ646" s="126"/>
      <c r="AR646" s="126"/>
      <c r="AS646" s="127"/>
      <c r="AT646" s="126"/>
      <c r="AU646" s="126"/>
      <c r="AV646" s="127"/>
      <c r="AW646" s="126"/>
      <c r="AX646" s="126"/>
      <c r="AY646" s="127"/>
      <c r="AZ646" s="126"/>
      <c r="BA646" s="126"/>
      <c r="BB646" s="127"/>
      <c r="BC646" s="126"/>
      <c r="BD646" s="134"/>
      <c r="BE646" s="127"/>
      <c r="BF646" s="126"/>
      <c r="BG646" s="126"/>
      <c r="BH646" s="126"/>
      <c r="BI646" s="126"/>
      <c r="BJ646" s="126"/>
      <c r="BK646" s="126"/>
      <c r="BL646" s="126"/>
      <c r="BM646" s="126"/>
      <c r="BN646" s="126"/>
      <c r="BO646" s="126"/>
      <c r="BP646" s="126"/>
      <c r="BQ646" s="126"/>
      <c r="BR646" s="126"/>
      <c r="BS646" s="126"/>
      <c r="BT646" s="126"/>
      <c r="BU646" s="126"/>
      <c r="BV646" s="126"/>
      <c r="BW646" s="126"/>
      <c r="BX646" s="126"/>
    </row>
    <row r="647">
      <c r="A647" s="126"/>
      <c r="B647" s="126"/>
      <c r="C647" s="127"/>
      <c r="D647" s="126"/>
      <c r="E647" s="126"/>
      <c r="F647" s="127"/>
      <c r="G647" s="126"/>
      <c r="H647" s="127"/>
      <c r="I647" s="126"/>
      <c r="J647" s="126"/>
      <c r="K647" s="127"/>
      <c r="L647" s="126"/>
      <c r="M647" s="126"/>
      <c r="N647" s="127"/>
      <c r="O647" s="126"/>
      <c r="P647" s="126"/>
      <c r="Q647" s="127"/>
      <c r="R647" s="126"/>
      <c r="S647" s="126"/>
      <c r="T647" s="127"/>
      <c r="U647" s="126"/>
      <c r="V647" s="126"/>
      <c r="W647" s="127"/>
      <c r="X647" s="126"/>
      <c r="Y647" s="126"/>
      <c r="Z647" s="127"/>
      <c r="AA647" s="126"/>
      <c r="AB647" s="126"/>
      <c r="AC647" s="127"/>
      <c r="AD647" s="126"/>
      <c r="AE647" s="126"/>
      <c r="AF647" s="126"/>
      <c r="AG647" s="127"/>
      <c r="AH647" s="126"/>
      <c r="AI647" s="126"/>
      <c r="AJ647" s="127"/>
      <c r="AK647" s="126"/>
      <c r="AL647" s="126"/>
      <c r="AM647" s="127"/>
      <c r="AN647" s="126"/>
      <c r="AO647" s="126"/>
      <c r="AP647" s="127"/>
      <c r="AQ647" s="126"/>
      <c r="AR647" s="126"/>
      <c r="AS647" s="127"/>
      <c r="AT647" s="126"/>
      <c r="AU647" s="126"/>
      <c r="AV647" s="127"/>
      <c r="AW647" s="126"/>
      <c r="AX647" s="126"/>
      <c r="AY647" s="127"/>
      <c r="AZ647" s="126"/>
      <c r="BA647" s="126"/>
      <c r="BB647" s="127"/>
      <c r="BC647" s="126"/>
      <c r="BD647" s="134"/>
      <c r="BE647" s="127"/>
      <c r="BF647" s="126"/>
      <c r="BG647" s="126"/>
      <c r="BH647" s="126"/>
      <c r="BI647" s="126"/>
      <c r="BJ647" s="126"/>
      <c r="BK647" s="126"/>
      <c r="BL647" s="126"/>
      <c r="BM647" s="126"/>
      <c r="BN647" s="126"/>
      <c r="BO647" s="126"/>
      <c r="BP647" s="126"/>
      <c r="BQ647" s="126"/>
      <c r="BR647" s="126"/>
      <c r="BS647" s="126"/>
      <c r="BT647" s="126"/>
      <c r="BU647" s="126"/>
      <c r="BV647" s="126"/>
      <c r="BW647" s="126"/>
      <c r="BX647" s="126"/>
    </row>
    <row r="648">
      <c r="A648" s="126"/>
      <c r="B648" s="126"/>
      <c r="C648" s="127"/>
      <c r="D648" s="126"/>
      <c r="E648" s="126"/>
      <c r="F648" s="127"/>
      <c r="G648" s="126"/>
      <c r="H648" s="127"/>
      <c r="I648" s="126"/>
      <c r="J648" s="126"/>
      <c r="K648" s="127"/>
      <c r="L648" s="126"/>
      <c r="M648" s="126"/>
      <c r="N648" s="127"/>
      <c r="O648" s="126"/>
      <c r="P648" s="126"/>
      <c r="Q648" s="127"/>
      <c r="R648" s="126"/>
      <c r="S648" s="126"/>
      <c r="T648" s="127"/>
      <c r="U648" s="126"/>
      <c r="V648" s="126"/>
      <c r="W648" s="127"/>
      <c r="X648" s="126"/>
      <c r="Y648" s="126"/>
      <c r="Z648" s="127"/>
      <c r="AA648" s="126"/>
      <c r="AB648" s="126"/>
      <c r="AC648" s="127"/>
      <c r="AD648" s="126"/>
      <c r="AE648" s="126"/>
      <c r="AF648" s="126"/>
      <c r="AG648" s="127"/>
      <c r="AH648" s="126"/>
      <c r="AI648" s="126"/>
      <c r="AJ648" s="127"/>
      <c r="AK648" s="126"/>
      <c r="AL648" s="126"/>
      <c r="AM648" s="127"/>
      <c r="AN648" s="126"/>
      <c r="AO648" s="126"/>
      <c r="AP648" s="127"/>
      <c r="AQ648" s="126"/>
      <c r="AR648" s="126"/>
      <c r="AS648" s="127"/>
      <c r="AT648" s="126"/>
      <c r="AU648" s="126"/>
      <c r="AV648" s="127"/>
      <c r="AW648" s="126"/>
      <c r="AX648" s="126"/>
      <c r="AY648" s="127"/>
      <c r="AZ648" s="126"/>
      <c r="BA648" s="126"/>
      <c r="BB648" s="127"/>
      <c r="BC648" s="126"/>
      <c r="BD648" s="134"/>
      <c r="BE648" s="127"/>
      <c r="BF648" s="126"/>
      <c r="BG648" s="126"/>
      <c r="BH648" s="126"/>
      <c r="BI648" s="126"/>
      <c r="BJ648" s="126"/>
      <c r="BK648" s="126"/>
      <c r="BL648" s="126"/>
      <c r="BM648" s="126"/>
      <c r="BN648" s="126"/>
      <c r="BO648" s="126"/>
      <c r="BP648" s="126"/>
      <c r="BQ648" s="126"/>
      <c r="BR648" s="126"/>
      <c r="BS648" s="126"/>
      <c r="BT648" s="126"/>
      <c r="BU648" s="126"/>
      <c r="BV648" s="126"/>
      <c r="BW648" s="126"/>
      <c r="BX648" s="126"/>
    </row>
    <row r="649">
      <c r="A649" s="126"/>
      <c r="B649" s="126"/>
      <c r="C649" s="127"/>
      <c r="D649" s="126"/>
      <c r="E649" s="126"/>
      <c r="F649" s="127"/>
      <c r="G649" s="126"/>
      <c r="H649" s="127"/>
      <c r="I649" s="126"/>
      <c r="J649" s="126"/>
      <c r="K649" s="127"/>
      <c r="L649" s="126"/>
      <c r="M649" s="126"/>
      <c r="N649" s="127"/>
      <c r="O649" s="126"/>
      <c r="P649" s="126"/>
      <c r="Q649" s="127"/>
      <c r="R649" s="126"/>
      <c r="S649" s="126"/>
      <c r="T649" s="127"/>
      <c r="U649" s="126"/>
      <c r="V649" s="126"/>
      <c r="W649" s="127"/>
      <c r="X649" s="126"/>
      <c r="Y649" s="126"/>
      <c r="Z649" s="127"/>
      <c r="AA649" s="126"/>
      <c r="AB649" s="126"/>
      <c r="AC649" s="127"/>
      <c r="AD649" s="126"/>
      <c r="AE649" s="126"/>
      <c r="AF649" s="126"/>
      <c r="AG649" s="127"/>
      <c r="AH649" s="126"/>
      <c r="AI649" s="126"/>
      <c r="AJ649" s="127"/>
      <c r="AK649" s="126"/>
      <c r="AL649" s="126"/>
      <c r="AM649" s="127"/>
      <c r="AN649" s="126"/>
      <c r="AO649" s="126"/>
      <c r="AP649" s="127"/>
      <c r="AQ649" s="126"/>
      <c r="AR649" s="126"/>
      <c r="AS649" s="127"/>
      <c r="AT649" s="126"/>
      <c r="AU649" s="126"/>
      <c r="AV649" s="127"/>
      <c r="AW649" s="126"/>
      <c r="AX649" s="126"/>
      <c r="AY649" s="127"/>
      <c r="AZ649" s="126"/>
      <c r="BA649" s="126"/>
      <c r="BB649" s="127"/>
      <c r="BC649" s="126"/>
      <c r="BD649" s="134"/>
      <c r="BE649" s="127"/>
      <c r="BF649" s="126"/>
      <c r="BG649" s="126"/>
      <c r="BH649" s="126"/>
      <c r="BI649" s="126"/>
      <c r="BJ649" s="126"/>
      <c r="BK649" s="126"/>
      <c r="BL649" s="126"/>
      <c r="BM649" s="126"/>
      <c r="BN649" s="126"/>
      <c r="BO649" s="126"/>
      <c r="BP649" s="126"/>
      <c r="BQ649" s="126"/>
      <c r="BR649" s="126"/>
      <c r="BS649" s="126"/>
      <c r="BT649" s="126"/>
      <c r="BU649" s="126"/>
      <c r="BV649" s="126"/>
      <c r="BW649" s="126"/>
      <c r="BX649" s="126"/>
    </row>
    <row r="650">
      <c r="A650" s="126"/>
      <c r="B650" s="126"/>
      <c r="C650" s="127"/>
      <c r="D650" s="126"/>
      <c r="E650" s="126"/>
      <c r="F650" s="127"/>
      <c r="G650" s="126"/>
      <c r="H650" s="127"/>
      <c r="I650" s="126"/>
      <c r="J650" s="126"/>
      <c r="K650" s="127"/>
      <c r="L650" s="126"/>
      <c r="M650" s="126"/>
      <c r="N650" s="127"/>
      <c r="O650" s="126"/>
      <c r="P650" s="126"/>
      <c r="Q650" s="127"/>
      <c r="R650" s="126"/>
      <c r="S650" s="126"/>
      <c r="T650" s="127"/>
      <c r="U650" s="126"/>
      <c r="V650" s="126"/>
      <c r="W650" s="127"/>
      <c r="X650" s="126"/>
      <c r="Y650" s="126"/>
      <c r="Z650" s="127"/>
      <c r="AA650" s="126"/>
      <c r="AB650" s="126"/>
      <c r="AC650" s="127"/>
      <c r="AD650" s="126"/>
      <c r="AE650" s="126"/>
      <c r="AF650" s="126"/>
      <c r="AG650" s="127"/>
      <c r="AH650" s="126"/>
      <c r="AI650" s="126"/>
      <c r="AJ650" s="127"/>
      <c r="AK650" s="126"/>
      <c r="AL650" s="126"/>
      <c r="AM650" s="127"/>
      <c r="AN650" s="126"/>
      <c r="AO650" s="126"/>
      <c r="AP650" s="127"/>
      <c r="AQ650" s="126"/>
      <c r="AR650" s="126"/>
      <c r="AS650" s="127"/>
      <c r="AT650" s="126"/>
      <c r="AU650" s="126"/>
      <c r="AV650" s="127"/>
      <c r="AW650" s="126"/>
      <c r="AX650" s="126"/>
      <c r="AY650" s="127"/>
      <c r="AZ650" s="126"/>
      <c r="BA650" s="126"/>
      <c r="BB650" s="127"/>
      <c r="BC650" s="126"/>
      <c r="BD650" s="134"/>
      <c r="BE650" s="127"/>
      <c r="BF650" s="126"/>
      <c r="BG650" s="126"/>
      <c r="BH650" s="126"/>
      <c r="BI650" s="126"/>
      <c r="BJ650" s="126"/>
      <c r="BK650" s="126"/>
      <c r="BL650" s="126"/>
      <c r="BM650" s="126"/>
      <c r="BN650" s="126"/>
      <c r="BO650" s="126"/>
      <c r="BP650" s="126"/>
      <c r="BQ650" s="126"/>
      <c r="BR650" s="126"/>
      <c r="BS650" s="126"/>
      <c r="BT650" s="126"/>
      <c r="BU650" s="126"/>
      <c r="BV650" s="126"/>
      <c r="BW650" s="126"/>
      <c r="BX650" s="126"/>
    </row>
    <row r="651">
      <c r="A651" s="126"/>
      <c r="B651" s="126"/>
      <c r="C651" s="127"/>
      <c r="D651" s="126"/>
      <c r="E651" s="126"/>
      <c r="F651" s="127"/>
      <c r="G651" s="126"/>
      <c r="H651" s="127"/>
      <c r="I651" s="126"/>
      <c r="J651" s="126"/>
      <c r="K651" s="127"/>
      <c r="L651" s="126"/>
      <c r="M651" s="126"/>
      <c r="N651" s="127"/>
      <c r="O651" s="126"/>
      <c r="P651" s="126"/>
      <c r="Q651" s="127"/>
      <c r="R651" s="126"/>
      <c r="S651" s="126"/>
      <c r="T651" s="127"/>
      <c r="U651" s="126"/>
      <c r="V651" s="126"/>
      <c r="W651" s="127"/>
      <c r="X651" s="126"/>
      <c r="Y651" s="126"/>
      <c r="Z651" s="127"/>
      <c r="AA651" s="126"/>
      <c r="AB651" s="126"/>
      <c r="AC651" s="127"/>
      <c r="AD651" s="126"/>
      <c r="AE651" s="126"/>
      <c r="AF651" s="126"/>
      <c r="AG651" s="127"/>
      <c r="AH651" s="126"/>
      <c r="AI651" s="126"/>
      <c r="AJ651" s="127"/>
      <c r="AK651" s="126"/>
      <c r="AL651" s="126"/>
      <c r="AM651" s="127"/>
      <c r="AN651" s="126"/>
      <c r="AO651" s="126"/>
      <c r="AP651" s="127"/>
      <c r="AQ651" s="126"/>
      <c r="AR651" s="126"/>
      <c r="AS651" s="127"/>
      <c r="AT651" s="126"/>
      <c r="AU651" s="126"/>
      <c r="AV651" s="127"/>
      <c r="AW651" s="126"/>
      <c r="AX651" s="126"/>
      <c r="AY651" s="127"/>
      <c r="AZ651" s="126"/>
      <c r="BA651" s="126"/>
      <c r="BB651" s="127"/>
      <c r="BC651" s="126"/>
      <c r="BD651" s="134"/>
      <c r="BE651" s="127"/>
      <c r="BF651" s="126"/>
      <c r="BG651" s="126"/>
      <c r="BH651" s="126"/>
      <c r="BI651" s="126"/>
      <c r="BJ651" s="126"/>
      <c r="BK651" s="126"/>
      <c r="BL651" s="126"/>
      <c r="BM651" s="126"/>
      <c r="BN651" s="126"/>
      <c r="BO651" s="126"/>
      <c r="BP651" s="126"/>
      <c r="BQ651" s="126"/>
      <c r="BR651" s="126"/>
      <c r="BS651" s="126"/>
      <c r="BT651" s="126"/>
      <c r="BU651" s="126"/>
      <c r="BV651" s="126"/>
      <c r="BW651" s="126"/>
      <c r="BX651" s="126"/>
    </row>
    <row r="652">
      <c r="A652" s="126"/>
      <c r="B652" s="126"/>
      <c r="C652" s="127"/>
      <c r="D652" s="126"/>
      <c r="E652" s="126"/>
      <c r="F652" s="127"/>
      <c r="G652" s="126"/>
      <c r="H652" s="127"/>
      <c r="I652" s="126"/>
      <c r="J652" s="126"/>
      <c r="K652" s="127"/>
      <c r="L652" s="126"/>
      <c r="M652" s="126"/>
      <c r="N652" s="127"/>
      <c r="O652" s="126"/>
      <c r="P652" s="126"/>
      <c r="Q652" s="127"/>
      <c r="R652" s="126"/>
      <c r="S652" s="126"/>
      <c r="T652" s="127"/>
      <c r="U652" s="126"/>
      <c r="V652" s="126"/>
      <c r="W652" s="127"/>
      <c r="X652" s="126"/>
      <c r="Y652" s="126"/>
      <c r="Z652" s="127"/>
      <c r="AA652" s="126"/>
      <c r="AB652" s="126"/>
      <c r="AC652" s="127"/>
      <c r="AD652" s="126"/>
      <c r="AE652" s="126"/>
      <c r="AF652" s="126"/>
      <c r="AG652" s="127"/>
      <c r="AH652" s="126"/>
      <c r="AI652" s="126"/>
      <c r="AJ652" s="127"/>
      <c r="AK652" s="126"/>
      <c r="AL652" s="126"/>
      <c r="AM652" s="127"/>
      <c r="AN652" s="126"/>
      <c r="AO652" s="126"/>
      <c r="AP652" s="127"/>
      <c r="AQ652" s="126"/>
      <c r="AR652" s="126"/>
      <c r="AS652" s="127"/>
      <c r="AT652" s="126"/>
      <c r="AU652" s="126"/>
      <c r="AV652" s="127"/>
      <c r="AW652" s="126"/>
      <c r="AX652" s="126"/>
      <c r="AY652" s="127"/>
      <c r="AZ652" s="126"/>
      <c r="BA652" s="126"/>
      <c r="BB652" s="127"/>
      <c r="BC652" s="126"/>
      <c r="BD652" s="134"/>
      <c r="BE652" s="127"/>
      <c r="BF652" s="126"/>
      <c r="BG652" s="126"/>
      <c r="BH652" s="126"/>
      <c r="BI652" s="126"/>
      <c r="BJ652" s="126"/>
      <c r="BK652" s="126"/>
      <c r="BL652" s="126"/>
      <c r="BM652" s="126"/>
      <c r="BN652" s="126"/>
      <c r="BO652" s="126"/>
      <c r="BP652" s="126"/>
      <c r="BQ652" s="126"/>
      <c r="BR652" s="126"/>
      <c r="BS652" s="126"/>
      <c r="BT652" s="126"/>
      <c r="BU652" s="126"/>
      <c r="BV652" s="126"/>
      <c r="BW652" s="126"/>
      <c r="BX652" s="126"/>
    </row>
    <row r="653">
      <c r="A653" s="126"/>
      <c r="B653" s="126"/>
      <c r="C653" s="127"/>
      <c r="D653" s="126"/>
      <c r="E653" s="126"/>
      <c r="F653" s="127"/>
      <c r="G653" s="126"/>
      <c r="H653" s="127"/>
      <c r="I653" s="126"/>
      <c r="J653" s="126"/>
      <c r="K653" s="127"/>
      <c r="L653" s="126"/>
      <c r="M653" s="126"/>
      <c r="N653" s="127"/>
      <c r="O653" s="126"/>
      <c r="P653" s="126"/>
      <c r="Q653" s="127"/>
      <c r="R653" s="126"/>
      <c r="S653" s="126"/>
      <c r="T653" s="127"/>
      <c r="U653" s="126"/>
      <c r="V653" s="126"/>
      <c r="W653" s="127"/>
      <c r="X653" s="126"/>
      <c r="Y653" s="126"/>
      <c r="Z653" s="127"/>
      <c r="AA653" s="126"/>
      <c r="AB653" s="126"/>
      <c r="AC653" s="127"/>
      <c r="AD653" s="126"/>
      <c r="AE653" s="126"/>
      <c r="AF653" s="126"/>
      <c r="AG653" s="127"/>
      <c r="AH653" s="126"/>
      <c r="AI653" s="126"/>
      <c r="AJ653" s="127"/>
      <c r="AK653" s="126"/>
      <c r="AL653" s="126"/>
      <c r="AM653" s="127"/>
      <c r="AN653" s="126"/>
      <c r="AO653" s="126"/>
      <c r="AP653" s="127"/>
      <c r="AQ653" s="126"/>
      <c r="AR653" s="126"/>
      <c r="AS653" s="127"/>
      <c r="AT653" s="126"/>
      <c r="AU653" s="126"/>
      <c r="AV653" s="127"/>
      <c r="AW653" s="126"/>
      <c r="AX653" s="126"/>
      <c r="AY653" s="127"/>
      <c r="AZ653" s="126"/>
      <c r="BA653" s="126"/>
      <c r="BB653" s="127"/>
      <c r="BC653" s="126"/>
      <c r="BD653" s="134"/>
      <c r="BE653" s="127"/>
      <c r="BF653" s="126"/>
      <c r="BG653" s="126"/>
      <c r="BH653" s="126"/>
      <c r="BI653" s="126"/>
      <c r="BJ653" s="126"/>
      <c r="BK653" s="126"/>
      <c r="BL653" s="126"/>
      <c r="BM653" s="126"/>
      <c r="BN653" s="126"/>
      <c r="BO653" s="126"/>
      <c r="BP653" s="126"/>
      <c r="BQ653" s="126"/>
      <c r="BR653" s="126"/>
      <c r="BS653" s="126"/>
      <c r="BT653" s="126"/>
      <c r="BU653" s="126"/>
      <c r="BV653" s="126"/>
      <c r="BW653" s="126"/>
      <c r="BX653" s="126"/>
    </row>
    <row r="654">
      <c r="A654" s="126"/>
      <c r="B654" s="126"/>
      <c r="C654" s="127"/>
      <c r="D654" s="126"/>
      <c r="E654" s="126"/>
      <c r="F654" s="127"/>
      <c r="G654" s="126"/>
      <c r="H654" s="127"/>
      <c r="I654" s="126"/>
      <c r="J654" s="126"/>
      <c r="K654" s="127"/>
      <c r="L654" s="126"/>
      <c r="M654" s="126"/>
      <c r="N654" s="127"/>
      <c r="O654" s="126"/>
      <c r="P654" s="126"/>
      <c r="Q654" s="127"/>
      <c r="R654" s="126"/>
      <c r="S654" s="126"/>
      <c r="T654" s="127"/>
      <c r="U654" s="126"/>
      <c r="V654" s="126"/>
      <c r="W654" s="127"/>
      <c r="X654" s="126"/>
      <c r="Y654" s="126"/>
      <c r="Z654" s="127"/>
      <c r="AA654" s="126"/>
      <c r="AB654" s="126"/>
      <c r="AC654" s="127"/>
      <c r="AD654" s="126"/>
      <c r="AE654" s="126"/>
      <c r="AF654" s="126"/>
      <c r="AG654" s="127"/>
      <c r="AH654" s="126"/>
      <c r="AI654" s="126"/>
      <c r="AJ654" s="127"/>
      <c r="AK654" s="126"/>
      <c r="AL654" s="126"/>
      <c r="AM654" s="127"/>
      <c r="AN654" s="126"/>
      <c r="AO654" s="126"/>
      <c r="AP654" s="127"/>
      <c r="AQ654" s="126"/>
      <c r="AR654" s="126"/>
      <c r="AS654" s="127"/>
      <c r="AT654" s="126"/>
      <c r="AU654" s="126"/>
      <c r="AV654" s="127"/>
      <c r="AW654" s="126"/>
      <c r="AX654" s="126"/>
      <c r="AY654" s="127"/>
      <c r="AZ654" s="126"/>
      <c r="BA654" s="126"/>
      <c r="BB654" s="127"/>
      <c r="BC654" s="126"/>
      <c r="BD654" s="134"/>
      <c r="BE654" s="127"/>
      <c r="BF654" s="126"/>
      <c r="BG654" s="126"/>
      <c r="BH654" s="126"/>
      <c r="BI654" s="126"/>
      <c r="BJ654" s="126"/>
      <c r="BK654" s="126"/>
      <c r="BL654" s="126"/>
      <c r="BM654" s="126"/>
      <c r="BN654" s="126"/>
      <c r="BO654" s="126"/>
      <c r="BP654" s="126"/>
      <c r="BQ654" s="126"/>
      <c r="BR654" s="126"/>
      <c r="BS654" s="126"/>
      <c r="BT654" s="126"/>
      <c r="BU654" s="126"/>
      <c r="BV654" s="126"/>
      <c r="BW654" s="126"/>
      <c r="BX654" s="126"/>
    </row>
    <row r="655">
      <c r="A655" s="126"/>
      <c r="B655" s="126"/>
      <c r="C655" s="127"/>
      <c r="D655" s="126"/>
      <c r="E655" s="126"/>
      <c r="F655" s="127"/>
      <c r="G655" s="126"/>
      <c r="H655" s="127"/>
      <c r="I655" s="126"/>
      <c r="J655" s="126"/>
      <c r="K655" s="127"/>
      <c r="L655" s="126"/>
      <c r="M655" s="126"/>
      <c r="N655" s="127"/>
      <c r="O655" s="126"/>
      <c r="P655" s="126"/>
      <c r="Q655" s="127"/>
      <c r="R655" s="126"/>
      <c r="S655" s="126"/>
      <c r="T655" s="127"/>
      <c r="U655" s="126"/>
      <c r="V655" s="126"/>
      <c r="W655" s="127"/>
      <c r="X655" s="126"/>
      <c r="Y655" s="126"/>
      <c r="Z655" s="127"/>
      <c r="AA655" s="126"/>
      <c r="AB655" s="126"/>
      <c r="AC655" s="127"/>
      <c r="AD655" s="126"/>
      <c r="AE655" s="126"/>
      <c r="AF655" s="126"/>
      <c r="AG655" s="127"/>
      <c r="AH655" s="126"/>
      <c r="AI655" s="126"/>
      <c r="AJ655" s="127"/>
      <c r="AK655" s="126"/>
      <c r="AL655" s="126"/>
      <c r="AM655" s="127"/>
      <c r="AN655" s="126"/>
      <c r="AO655" s="126"/>
      <c r="AP655" s="127"/>
      <c r="AQ655" s="126"/>
      <c r="AR655" s="126"/>
      <c r="AS655" s="127"/>
      <c r="AT655" s="126"/>
      <c r="AU655" s="126"/>
      <c r="AV655" s="127"/>
      <c r="AW655" s="126"/>
      <c r="AX655" s="126"/>
      <c r="AY655" s="127"/>
      <c r="AZ655" s="126"/>
      <c r="BA655" s="126"/>
      <c r="BB655" s="127"/>
      <c r="BC655" s="126"/>
      <c r="BD655" s="134"/>
      <c r="BE655" s="127"/>
      <c r="BF655" s="126"/>
      <c r="BG655" s="126"/>
      <c r="BH655" s="126"/>
      <c r="BI655" s="126"/>
      <c r="BJ655" s="126"/>
      <c r="BK655" s="126"/>
      <c r="BL655" s="126"/>
      <c r="BM655" s="126"/>
      <c r="BN655" s="126"/>
      <c r="BO655" s="126"/>
      <c r="BP655" s="126"/>
      <c r="BQ655" s="126"/>
      <c r="BR655" s="126"/>
      <c r="BS655" s="126"/>
      <c r="BT655" s="126"/>
      <c r="BU655" s="126"/>
      <c r="BV655" s="126"/>
      <c r="BW655" s="126"/>
      <c r="BX655" s="126"/>
    </row>
    <row r="656">
      <c r="A656" s="126"/>
      <c r="B656" s="126"/>
      <c r="C656" s="127"/>
      <c r="D656" s="126"/>
      <c r="E656" s="126"/>
      <c r="F656" s="127"/>
      <c r="G656" s="126"/>
      <c r="H656" s="127"/>
      <c r="I656" s="126"/>
      <c r="J656" s="126"/>
      <c r="K656" s="127"/>
      <c r="L656" s="126"/>
      <c r="M656" s="126"/>
      <c r="N656" s="127"/>
      <c r="O656" s="126"/>
      <c r="P656" s="126"/>
      <c r="Q656" s="127"/>
      <c r="R656" s="126"/>
      <c r="S656" s="126"/>
      <c r="T656" s="127"/>
      <c r="U656" s="126"/>
      <c r="V656" s="126"/>
      <c r="W656" s="127"/>
      <c r="X656" s="126"/>
      <c r="Y656" s="126"/>
      <c r="Z656" s="127"/>
      <c r="AA656" s="126"/>
      <c r="AB656" s="126"/>
      <c r="AC656" s="127"/>
      <c r="AD656" s="126"/>
      <c r="AE656" s="126"/>
      <c r="AF656" s="126"/>
      <c r="AG656" s="127"/>
      <c r="AH656" s="126"/>
      <c r="AI656" s="126"/>
      <c r="AJ656" s="127"/>
      <c r="AK656" s="126"/>
      <c r="AL656" s="126"/>
      <c r="AM656" s="127"/>
      <c r="AN656" s="126"/>
      <c r="AO656" s="126"/>
      <c r="AP656" s="127"/>
      <c r="AQ656" s="126"/>
      <c r="AR656" s="126"/>
      <c r="AS656" s="127"/>
      <c r="AT656" s="126"/>
      <c r="AU656" s="126"/>
      <c r="AV656" s="127"/>
      <c r="AW656" s="126"/>
      <c r="AX656" s="126"/>
      <c r="AY656" s="127"/>
      <c r="AZ656" s="126"/>
      <c r="BA656" s="126"/>
      <c r="BB656" s="127"/>
      <c r="BC656" s="126"/>
      <c r="BD656" s="134"/>
      <c r="BE656" s="127"/>
      <c r="BF656" s="126"/>
      <c r="BG656" s="126"/>
      <c r="BH656" s="126"/>
      <c r="BI656" s="126"/>
      <c r="BJ656" s="126"/>
      <c r="BK656" s="126"/>
      <c r="BL656" s="126"/>
      <c r="BM656" s="126"/>
      <c r="BN656" s="126"/>
      <c r="BO656" s="126"/>
      <c r="BP656" s="126"/>
      <c r="BQ656" s="126"/>
      <c r="BR656" s="126"/>
      <c r="BS656" s="126"/>
      <c r="BT656" s="126"/>
      <c r="BU656" s="126"/>
      <c r="BV656" s="126"/>
      <c r="BW656" s="126"/>
      <c r="BX656" s="126"/>
    </row>
    <row r="657">
      <c r="A657" s="126"/>
      <c r="B657" s="126"/>
      <c r="C657" s="127"/>
      <c r="D657" s="126"/>
      <c r="E657" s="126"/>
      <c r="F657" s="127"/>
      <c r="G657" s="126"/>
      <c r="H657" s="127"/>
      <c r="I657" s="126"/>
      <c r="J657" s="126"/>
      <c r="K657" s="127"/>
      <c r="L657" s="126"/>
      <c r="M657" s="126"/>
      <c r="N657" s="127"/>
      <c r="O657" s="126"/>
      <c r="P657" s="126"/>
      <c r="Q657" s="127"/>
      <c r="R657" s="126"/>
      <c r="S657" s="126"/>
      <c r="T657" s="127"/>
      <c r="U657" s="126"/>
      <c r="V657" s="126"/>
      <c r="W657" s="127"/>
      <c r="X657" s="126"/>
      <c r="Y657" s="126"/>
      <c r="Z657" s="127"/>
      <c r="AA657" s="126"/>
      <c r="AB657" s="126"/>
      <c r="AC657" s="127"/>
      <c r="AD657" s="126"/>
      <c r="AE657" s="126"/>
      <c r="AF657" s="126"/>
      <c r="AG657" s="127"/>
      <c r="AH657" s="126"/>
      <c r="AI657" s="126"/>
      <c r="AJ657" s="127"/>
      <c r="AK657" s="126"/>
      <c r="AL657" s="126"/>
      <c r="AM657" s="127"/>
      <c r="AN657" s="126"/>
      <c r="AO657" s="126"/>
      <c r="AP657" s="127"/>
      <c r="AQ657" s="126"/>
      <c r="AR657" s="126"/>
      <c r="AS657" s="127"/>
      <c r="AT657" s="126"/>
      <c r="AU657" s="126"/>
      <c r="AV657" s="127"/>
      <c r="AW657" s="126"/>
      <c r="AX657" s="126"/>
      <c r="AY657" s="127"/>
      <c r="AZ657" s="126"/>
      <c r="BA657" s="126"/>
      <c r="BB657" s="127"/>
      <c r="BC657" s="126"/>
      <c r="BD657" s="134"/>
      <c r="BE657" s="127"/>
      <c r="BF657" s="126"/>
      <c r="BG657" s="126"/>
      <c r="BH657" s="126"/>
      <c r="BI657" s="126"/>
      <c r="BJ657" s="126"/>
      <c r="BK657" s="126"/>
      <c r="BL657" s="126"/>
      <c r="BM657" s="126"/>
      <c r="BN657" s="126"/>
      <c r="BO657" s="126"/>
      <c r="BP657" s="126"/>
      <c r="BQ657" s="126"/>
      <c r="BR657" s="126"/>
      <c r="BS657" s="126"/>
      <c r="BT657" s="126"/>
      <c r="BU657" s="126"/>
      <c r="BV657" s="126"/>
      <c r="BW657" s="126"/>
      <c r="BX657" s="126"/>
    </row>
    <row r="658">
      <c r="A658" s="126"/>
      <c r="B658" s="126"/>
      <c r="C658" s="127"/>
      <c r="D658" s="126"/>
      <c r="E658" s="126"/>
      <c r="F658" s="127"/>
      <c r="G658" s="126"/>
      <c r="H658" s="127"/>
      <c r="I658" s="126"/>
      <c r="J658" s="126"/>
      <c r="K658" s="127"/>
      <c r="L658" s="126"/>
      <c r="M658" s="126"/>
      <c r="N658" s="127"/>
      <c r="O658" s="126"/>
      <c r="P658" s="126"/>
      <c r="Q658" s="127"/>
      <c r="R658" s="126"/>
      <c r="S658" s="126"/>
      <c r="T658" s="127"/>
      <c r="U658" s="126"/>
      <c r="V658" s="126"/>
      <c r="W658" s="127"/>
      <c r="X658" s="126"/>
      <c r="Y658" s="126"/>
      <c r="Z658" s="127"/>
      <c r="AA658" s="126"/>
      <c r="AB658" s="126"/>
      <c r="AC658" s="127"/>
      <c r="AD658" s="126"/>
      <c r="AE658" s="126"/>
      <c r="AF658" s="126"/>
      <c r="AG658" s="127"/>
      <c r="AH658" s="126"/>
      <c r="AI658" s="126"/>
      <c r="AJ658" s="127"/>
      <c r="AK658" s="126"/>
      <c r="AL658" s="126"/>
      <c r="AM658" s="127"/>
      <c r="AN658" s="126"/>
      <c r="AO658" s="126"/>
      <c r="AP658" s="127"/>
      <c r="AQ658" s="126"/>
      <c r="AR658" s="126"/>
      <c r="AS658" s="127"/>
      <c r="AT658" s="126"/>
      <c r="AU658" s="126"/>
      <c r="AV658" s="127"/>
      <c r="AW658" s="126"/>
      <c r="AX658" s="126"/>
      <c r="AY658" s="127"/>
      <c r="AZ658" s="126"/>
      <c r="BA658" s="126"/>
      <c r="BB658" s="127"/>
      <c r="BC658" s="126"/>
      <c r="BD658" s="134"/>
      <c r="BE658" s="127"/>
      <c r="BF658" s="126"/>
      <c r="BG658" s="126"/>
      <c r="BH658" s="126"/>
      <c r="BI658" s="126"/>
      <c r="BJ658" s="126"/>
      <c r="BK658" s="126"/>
      <c r="BL658" s="126"/>
      <c r="BM658" s="126"/>
      <c r="BN658" s="126"/>
      <c r="BO658" s="126"/>
      <c r="BP658" s="126"/>
      <c r="BQ658" s="126"/>
      <c r="BR658" s="126"/>
      <c r="BS658" s="126"/>
      <c r="BT658" s="126"/>
      <c r="BU658" s="126"/>
      <c r="BV658" s="126"/>
      <c r="BW658" s="126"/>
      <c r="BX658" s="126"/>
    </row>
    <row r="659">
      <c r="A659" s="126"/>
      <c r="B659" s="126"/>
      <c r="C659" s="127"/>
      <c r="D659" s="126"/>
      <c r="E659" s="126"/>
      <c r="F659" s="127"/>
      <c r="G659" s="126"/>
      <c r="H659" s="127"/>
      <c r="I659" s="126"/>
      <c r="J659" s="126"/>
      <c r="K659" s="127"/>
      <c r="L659" s="126"/>
      <c r="M659" s="126"/>
      <c r="N659" s="127"/>
      <c r="O659" s="126"/>
      <c r="P659" s="126"/>
      <c r="Q659" s="127"/>
      <c r="R659" s="126"/>
      <c r="S659" s="126"/>
      <c r="T659" s="127"/>
      <c r="U659" s="126"/>
      <c r="V659" s="126"/>
      <c r="W659" s="127"/>
      <c r="X659" s="126"/>
      <c r="Y659" s="126"/>
      <c r="Z659" s="127"/>
      <c r="AA659" s="126"/>
      <c r="AB659" s="126"/>
      <c r="AC659" s="127"/>
      <c r="AD659" s="126"/>
      <c r="AE659" s="126"/>
      <c r="AF659" s="126"/>
      <c r="AG659" s="127"/>
      <c r="AH659" s="126"/>
      <c r="AI659" s="126"/>
      <c r="AJ659" s="127"/>
      <c r="AK659" s="126"/>
      <c r="AL659" s="126"/>
      <c r="AM659" s="127"/>
      <c r="AN659" s="126"/>
      <c r="AO659" s="126"/>
      <c r="AP659" s="127"/>
      <c r="AQ659" s="126"/>
      <c r="AR659" s="126"/>
      <c r="AS659" s="127"/>
      <c r="AT659" s="126"/>
      <c r="AU659" s="126"/>
      <c r="AV659" s="127"/>
      <c r="AW659" s="126"/>
      <c r="AX659" s="126"/>
      <c r="AY659" s="127"/>
      <c r="AZ659" s="126"/>
      <c r="BA659" s="126"/>
      <c r="BB659" s="127"/>
      <c r="BC659" s="126"/>
      <c r="BD659" s="134"/>
      <c r="BE659" s="127"/>
      <c r="BF659" s="126"/>
      <c r="BG659" s="126"/>
      <c r="BH659" s="126"/>
      <c r="BI659" s="126"/>
      <c r="BJ659" s="126"/>
      <c r="BK659" s="126"/>
      <c r="BL659" s="126"/>
      <c r="BM659" s="126"/>
      <c r="BN659" s="126"/>
      <c r="BO659" s="126"/>
      <c r="BP659" s="126"/>
      <c r="BQ659" s="126"/>
      <c r="BR659" s="126"/>
      <c r="BS659" s="126"/>
      <c r="BT659" s="126"/>
      <c r="BU659" s="126"/>
      <c r="BV659" s="126"/>
      <c r="BW659" s="126"/>
      <c r="BX659" s="126"/>
    </row>
    <row r="660">
      <c r="A660" s="126"/>
      <c r="B660" s="126"/>
      <c r="C660" s="127"/>
      <c r="D660" s="126"/>
      <c r="E660" s="126"/>
      <c r="F660" s="127"/>
      <c r="G660" s="126"/>
      <c r="H660" s="127"/>
      <c r="I660" s="126"/>
      <c r="J660" s="126"/>
      <c r="K660" s="127"/>
      <c r="L660" s="126"/>
      <c r="M660" s="126"/>
      <c r="N660" s="127"/>
      <c r="O660" s="126"/>
      <c r="P660" s="126"/>
      <c r="Q660" s="127"/>
      <c r="R660" s="126"/>
      <c r="S660" s="126"/>
      <c r="T660" s="127"/>
      <c r="U660" s="126"/>
      <c r="V660" s="126"/>
      <c r="W660" s="127"/>
      <c r="X660" s="126"/>
      <c r="Y660" s="126"/>
      <c r="Z660" s="127"/>
      <c r="AA660" s="126"/>
      <c r="AB660" s="126"/>
      <c r="AC660" s="127"/>
      <c r="AD660" s="126"/>
      <c r="AE660" s="126"/>
      <c r="AF660" s="126"/>
      <c r="AG660" s="127"/>
      <c r="AH660" s="126"/>
      <c r="AI660" s="126"/>
      <c r="AJ660" s="127"/>
      <c r="AK660" s="126"/>
      <c r="AL660" s="126"/>
      <c r="AM660" s="127"/>
      <c r="AN660" s="126"/>
      <c r="AO660" s="126"/>
      <c r="AP660" s="127"/>
      <c r="AQ660" s="126"/>
      <c r="AR660" s="126"/>
      <c r="AS660" s="127"/>
      <c r="AT660" s="126"/>
      <c r="AU660" s="126"/>
      <c r="AV660" s="127"/>
      <c r="AW660" s="126"/>
      <c r="AX660" s="126"/>
      <c r="AY660" s="127"/>
      <c r="AZ660" s="126"/>
      <c r="BA660" s="126"/>
      <c r="BB660" s="127"/>
      <c r="BC660" s="126"/>
      <c r="BD660" s="134"/>
      <c r="BE660" s="127"/>
      <c r="BF660" s="126"/>
      <c r="BG660" s="126"/>
      <c r="BH660" s="126"/>
      <c r="BI660" s="126"/>
      <c r="BJ660" s="126"/>
      <c r="BK660" s="126"/>
      <c r="BL660" s="126"/>
      <c r="BM660" s="126"/>
      <c r="BN660" s="126"/>
      <c r="BO660" s="126"/>
      <c r="BP660" s="126"/>
      <c r="BQ660" s="126"/>
      <c r="BR660" s="126"/>
      <c r="BS660" s="126"/>
      <c r="BT660" s="126"/>
      <c r="BU660" s="126"/>
      <c r="BV660" s="126"/>
      <c r="BW660" s="126"/>
      <c r="BX660" s="126"/>
    </row>
    <row r="661">
      <c r="A661" s="126"/>
      <c r="B661" s="126"/>
      <c r="C661" s="127"/>
      <c r="D661" s="126"/>
      <c r="E661" s="126"/>
      <c r="F661" s="127"/>
      <c r="G661" s="126"/>
      <c r="H661" s="127"/>
      <c r="I661" s="126"/>
      <c r="J661" s="126"/>
      <c r="K661" s="127"/>
      <c r="L661" s="126"/>
      <c r="M661" s="126"/>
      <c r="N661" s="127"/>
      <c r="O661" s="126"/>
      <c r="P661" s="126"/>
      <c r="Q661" s="127"/>
      <c r="R661" s="126"/>
      <c r="S661" s="126"/>
      <c r="T661" s="127"/>
      <c r="U661" s="126"/>
      <c r="V661" s="126"/>
      <c r="W661" s="127"/>
      <c r="X661" s="126"/>
      <c r="Y661" s="126"/>
      <c r="Z661" s="127"/>
      <c r="AA661" s="126"/>
      <c r="AB661" s="126"/>
      <c r="AC661" s="127"/>
      <c r="AD661" s="126"/>
      <c r="AE661" s="126"/>
      <c r="AF661" s="126"/>
      <c r="AG661" s="127"/>
      <c r="AH661" s="126"/>
      <c r="AI661" s="126"/>
      <c r="AJ661" s="127"/>
      <c r="AK661" s="126"/>
      <c r="AL661" s="126"/>
      <c r="AM661" s="127"/>
      <c r="AN661" s="126"/>
      <c r="AO661" s="126"/>
      <c r="AP661" s="127"/>
      <c r="AQ661" s="126"/>
      <c r="AR661" s="126"/>
      <c r="AS661" s="127"/>
      <c r="AT661" s="126"/>
      <c r="AU661" s="126"/>
      <c r="AV661" s="127"/>
      <c r="AW661" s="126"/>
      <c r="AX661" s="126"/>
      <c r="AY661" s="127"/>
      <c r="AZ661" s="126"/>
      <c r="BA661" s="126"/>
      <c r="BB661" s="127"/>
      <c r="BC661" s="126"/>
      <c r="BD661" s="134"/>
      <c r="BE661" s="127"/>
      <c r="BF661" s="126"/>
      <c r="BG661" s="126"/>
      <c r="BH661" s="126"/>
      <c r="BI661" s="126"/>
      <c r="BJ661" s="126"/>
      <c r="BK661" s="126"/>
      <c r="BL661" s="126"/>
      <c r="BM661" s="126"/>
      <c r="BN661" s="126"/>
      <c r="BO661" s="126"/>
      <c r="BP661" s="126"/>
      <c r="BQ661" s="126"/>
      <c r="BR661" s="126"/>
      <c r="BS661" s="126"/>
      <c r="BT661" s="126"/>
      <c r="BU661" s="126"/>
      <c r="BV661" s="126"/>
      <c r="BW661" s="126"/>
      <c r="BX661" s="126"/>
    </row>
    <row r="662">
      <c r="A662" s="126"/>
      <c r="B662" s="126"/>
      <c r="C662" s="127"/>
      <c r="D662" s="126"/>
      <c r="E662" s="126"/>
      <c r="F662" s="127"/>
      <c r="G662" s="126"/>
      <c r="H662" s="127"/>
      <c r="I662" s="126"/>
      <c r="J662" s="126"/>
      <c r="K662" s="127"/>
      <c r="L662" s="126"/>
      <c r="M662" s="126"/>
      <c r="N662" s="127"/>
      <c r="O662" s="126"/>
      <c r="P662" s="126"/>
      <c r="Q662" s="127"/>
      <c r="R662" s="126"/>
      <c r="S662" s="126"/>
      <c r="T662" s="127"/>
      <c r="U662" s="126"/>
      <c r="V662" s="126"/>
      <c r="W662" s="127"/>
      <c r="X662" s="126"/>
      <c r="Y662" s="126"/>
      <c r="Z662" s="127"/>
      <c r="AA662" s="126"/>
      <c r="AB662" s="126"/>
      <c r="AC662" s="127"/>
      <c r="AD662" s="126"/>
      <c r="AE662" s="126"/>
      <c r="AF662" s="126"/>
      <c r="AG662" s="127"/>
      <c r="AH662" s="126"/>
      <c r="AI662" s="126"/>
      <c r="AJ662" s="127"/>
      <c r="AK662" s="126"/>
      <c r="AL662" s="126"/>
      <c r="AM662" s="127"/>
      <c r="AN662" s="126"/>
      <c r="AO662" s="126"/>
      <c r="AP662" s="127"/>
      <c r="AQ662" s="126"/>
      <c r="AR662" s="126"/>
      <c r="AS662" s="127"/>
      <c r="AT662" s="126"/>
      <c r="AU662" s="126"/>
      <c r="AV662" s="127"/>
      <c r="AW662" s="126"/>
      <c r="AX662" s="126"/>
      <c r="AY662" s="127"/>
      <c r="AZ662" s="126"/>
      <c r="BA662" s="126"/>
      <c r="BB662" s="127"/>
      <c r="BC662" s="126"/>
      <c r="BD662" s="134"/>
      <c r="BE662" s="127"/>
      <c r="BF662" s="126"/>
      <c r="BG662" s="126"/>
      <c r="BH662" s="126"/>
      <c r="BI662" s="126"/>
      <c r="BJ662" s="126"/>
      <c r="BK662" s="126"/>
      <c r="BL662" s="126"/>
      <c r="BM662" s="126"/>
      <c r="BN662" s="126"/>
      <c r="BO662" s="126"/>
      <c r="BP662" s="126"/>
      <c r="BQ662" s="126"/>
      <c r="BR662" s="126"/>
      <c r="BS662" s="126"/>
      <c r="BT662" s="126"/>
      <c r="BU662" s="126"/>
      <c r="BV662" s="126"/>
      <c r="BW662" s="126"/>
      <c r="BX662" s="126"/>
    </row>
    <row r="663">
      <c r="A663" s="126"/>
      <c r="B663" s="126"/>
      <c r="C663" s="127"/>
      <c r="D663" s="126"/>
      <c r="E663" s="126"/>
      <c r="F663" s="127"/>
      <c r="G663" s="126"/>
      <c r="H663" s="127"/>
      <c r="I663" s="126"/>
      <c r="J663" s="126"/>
      <c r="K663" s="127"/>
      <c r="L663" s="126"/>
      <c r="M663" s="126"/>
      <c r="N663" s="127"/>
      <c r="O663" s="126"/>
      <c r="P663" s="126"/>
      <c r="Q663" s="127"/>
      <c r="R663" s="126"/>
      <c r="S663" s="126"/>
      <c r="T663" s="127"/>
      <c r="U663" s="126"/>
      <c r="V663" s="126"/>
      <c r="W663" s="127"/>
      <c r="X663" s="126"/>
      <c r="Y663" s="126"/>
      <c r="Z663" s="127"/>
      <c r="AA663" s="126"/>
      <c r="AB663" s="126"/>
      <c r="AC663" s="127"/>
      <c r="AD663" s="126"/>
      <c r="AE663" s="126"/>
      <c r="AF663" s="126"/>
      <c r="AG663" s="127"/>
      <c r="AH663" s="126"/>
      <c r="AI663" s="126"/>
      <c r="AJ663" s="127"/>
      <c r="AK663" s="126"/>
      <c r="AL663" s="126"/>
      <c r="AM663" s="127"/>
      <c r="AN663" s="126"/>
      <c r="AO663" s="126"/>
      <c r="AP663" s="127"/>
      <c r="AQ663" s="126"/>
      <c r="AR663" s="126"/>
      <c r="AS663" s="127"/>
      <c r="AT663" s="126"/>
      <c r="AU663" s="126"/>
      <c r="AV663" s="127"/>
      <c r="AW663" s="126"/>
      <c r="AX663" s="126"/>
      <c r="AY663" s="127"/>
      <c r="AZ663" s="126"/>
      <c r="BA663" s="126"/>
      <c r="BB663" s="127"/>
      <c r="BC663" s="126"/>
      <c r="BD663" s="134"/>
      <c r="BE663" s="127"/>
      <c r="BF663" s="126"/>
      <c r="BG663" s="126"/>
      <c r="BH663" s="126"/>
      <c r="BI663" s="126"/>
      <c r="BJ663" s="126"/>
      <c r="BK663" s="126"/>
      <c r="BL663" s="126"/>
      <c r="BM663" s="126"/>
      <c r="BN663" s="126"/>
      <c r="BO663" s="126"/>
      <c r="BP663" s="126"/>
      <c r="BQ663" s="126"/>
      <c r="BR663" s="126"/>
      <c r="BS663" s="126"/>
      <c r="BT663" s="126"/>
      <c r="BU663" s="126"/>
      <c r="BV663" s="126"/>
      <c r="BW663" s="126"/>
      <c r="BX663" s="126"/>
    </row>
    <row r="664">
      <c r="A664" s="126"/>
      <c r="B664" s="126"/>
      <c r="C664" s="127"/>
      <c r="D664" s="126"/>
      <c r="E664" s="126"/>
      <c r="F664" s="127"/>
      <c r="G664" s="126"/>
      <c r="H664" s="127"/>
      <c r="I664" s="126"/>
      <c r="J664" s="126"/>
      <c r="K664" s="127"/>
      <c r="L664" s="126"/>
      <c r="M664" s="126"/>
      <c r="N664" s="127"/>
      <c r="O664" s="126"/>
      <c r="P664" s="126"/>
      <c r="Q664" s="127"/>
      <c r="R664" s="126"/>
      <c r="S664" s="126"/>
      <c r="T664" s="127"/>
      <c r="U664" s="126"/>
      <c r="V664" s="126"/>
      <c r="W664" s="127"/>
      <c r="X664" s="126"/>
      <c r="Y664" s="126"/>
      <c r="Z664" s="127"/>
      <c r="AA664" s="126"/>
      <c r="AB664" s="126"/>
      <c r="AC664" s="127"/>
      <c r="AD664" s="126"/>
      <c r="AE664" s="126"/>
      <c r="AF664" s="126"/>
      <c r="AG664" s="127"/>
      <c r="AH664" s="126"/>
      <c r="AI664" s="126"/>
      <c r="AJ664" s="127"/>
      <c r="AK664" s="126"/>
      <c r="AL664" s="126"/>
      <c r="AM664" s="127"/>
      <c r="AN664" s="126"/>
      <c r="AO664" s="126"/>
      <c r="AP664" s="127"/>
      <c r="AQ664" s="126"/>
      <c r="AR664" s="126"/>
      <c r="AS664" s="127"/>
      <c r="AT664" s="126"/>
      <c r="AU664" s="126"/>
      <c r="AV664" s="127"/>
      <c r="AW664" s="126"/>
      <c r="AX664" s="126"/>
      <c r="AY664" s="127"/>
      <c r="AZ664" s="126"/>
      <c r="BA664" s="126"/>
      <c r="BB664" s="127"/>
      <c r="BC664" s="126"/>
      <c r="BD664" s="134"/>
      <c r="BE664" s="127"/>
      <c r="BF664" s="126"/>
      <c r="BG664" s="126"/>
      <c r="BH664" s="126"/>
      <c r="BI664" s="126"/>
      <c r="BJ664" s="126"/>
      <c r="BK664" s="126"/>
      <c r="BL664" s="126"/>
      <c r="BM664" s="126"/>
      <c r="BN664" s="126"/>
      <c r="BO664" s="126"/>
      <c r="BP664" s="126"/>
      <c r="BQ664" s="126"/>
      <c r="BR664" s="126"/>
      <c r="BS664" s="126"/>
      <c r="BT664" s="126"/>
      <c r="BU664" s="126"/>
      <c r="BV664" s="126"/>
      <c r="BW664" s="126"/>
      <c r="BX664" s="126"/>
    </row>
    <row r="665">
      <c r="A665" s="126"/>
      <c r="B665" s="126"/>
      <c r="C665" s="127"/>
      <c r="D665" s="126"/>
      <c r="E665" s="126"/>
      <c r="F665" s="127"/>
      <c r="G665" s="126"/>
      <c r="H665" s="127"/>
      <c r="I665" s="126"/>
      <c r="J665" s="126"/>
      <c r="K665" s="127"/>
      <c r="L665" s="126"/>
      <c r="M665" s="126"/>
      <c r="N665" s="127"/>
      <c r="O665" s="126"/>
      <c r="P665" s="126"/>
      <c r="Q665" s="127"/>
      <c r="R665" s="126"/>
      <c r="S665" s="126"/>
      <c r="T665" s="127"/>
      <c r="U665" s="126"/>
      <c r="V665" s="126"/>
      <c r="W665" s="127"/>
      <c r="X665" s="126"/>
      <c r="Y665" s="126"/>
      <c r="Z665" s="127"/>
      <c r="AA665" s="126"/>
      <c r="AB665" s="126"/>
      <c r="AC665" s="127"/>
      <c r="AD665" s="126"/>
      <c r="AE665" s="126"/>
      <c r="AF665" s="126"/>
      <c r="AG665" s="127"/>
      <c r="AH665" s="126"/>
      <c r="AI665" s="126"/>
      <c r="AJ665" s="127"/>
      <c r="AK665" s="126"/>
      <c r="AL665" s="126"/>
      <c r="AM665" s="127"/>
      <c r="AN665" s="126"/>
      <c r="AO665" s="126"/>
      <c r="AP665" s="127"/>
      <c r="AQ665" s="126"/>
      <c r="AR665" s="126"/>
      <c r="AS665" s="127"/>
      <c r="AT665" s="126"/>
      <c r="AU665" s="126"/>
      <c r="AV665" s="127"/>
      <c r="AW665" s="126"/>
      <c r="AX665" s="126"/>
      <c r="AY665" s="127"/>
      <c r="AZ665" s="126"/>
      <c r="BA665" s="126"/>
      <c r="BB665" s="127"/>
      <c r="BC665" s="126"/>
      <c r="BD665" s="134"/>
      <c r="BE665" s="127"/>
      <c r="BF665" s="126"/>
      <c r="BG665" s="126"/>
      <c r="BH665" s="126"/>
      <c r="BI665" s="126"/>
      <c r="BJ665" s="126"/>
      <c r="BK665" s="126"/>
      <c r="BL665" s="126"/>
      <c r="BM665" s="126"/>
      <c r="BN665" s="126"/>
      <c r="BO665" s="126"/>
      <c r="BP665" s="126"/>
      <c r="BQ665" s="126"/>
      <c r="BR665" s="126"/>
      <c r="BS665" s="126"/>
      <c r="BT665" s="126"/>
      <c r="BU665" s="126"/>
      <c r="BV665" s="126"/>
      <c r="BW665" s="126"/>
      <c r="BX665" s="126"/>
    </row>
    <row r="666">
      <c r="A666" s="126"/>
      <c r="B666" s="126"/>
      <c r="C666" s="127"/>
      <c r="D666" s="126"/>
      <c r="E666" s="126"/>
      <c r="F666" s="127"/>
      <c r="G666" s="126"/>
      <c r="H666" s="127"/>
      <c r="I666" s="126"/>
      <c r="J666" s="126"/>
      <c r="K666" s="127"/>
      <c r="L666" s="126"/>
      <c r="M666" s="126"/>
      <c r="N666" s="127"/>
      <c r="O666" s="126"/>
      <c r="P666" s="126"/>
      <c r="Q666" s="127"/>
      <c r="R666" s="126"/>
      <c r="S666" s="126"/>
      <c r="T666" s="127"/>
      <c r="U666" s="126"/>
      <c r="V666" s="126"/>
      <c r="W666" s="127"/>
      <c r="X666" s="126"/>
      <c r="Y666" s="126"/>
      <c r="Z666" s="127"/>
      <c r="AA666" s="126"/>
      <c r="AB666" s="126"/>
      <c r="AC666" s="127"/>
      <c r="AD666" s="126"/>
      <c r="AE666" s="126"/>
      <c r="AF666" s="126"/>
      <c r="AG666" s="127"/>
      <c r="AH666" s="126"/>
      <c r="AI666" s="126"/>
      <c r="AJ666" s="127"/>
      <c r="AK666" s="126"/>
      <c r="AL666" s="126"/>
      <c r="AM666" s="127"/>
      <c r="AN666" s="126"/>
      <c r="AO666" s="126"/>
      <c r="AP666" s="127"/>
      <c r="AQ666" s="126"/>
      <c r="AR666" s="126"/>
      <c r="AS666" s="127"/>
      <c r="AT666" s="126"/>
      <c r="AU666" s="126"/>
      <c r="AV666" s="127"/>
      <c r="AW666" s="126"/>
      <c r="AX666" s="126"/>
      <c r="AY666" s="127"/>
      <c r="AZ666" s="126"/>
      <c r="BA666" s="126"/>
      <c r="BB666" s="127"/>
      <c r="BC666" s="126"/>
      <c r="BD666" s="134"/>
      <c r="BE666" s="127"/>
      <c r="BF666" s="126"/>
      <c r="BG666" s="126"/>
      <c r="BH666" s="126"/>
      <c r="BI666" s="126"/>
      <c r="BJ666" s="126"/>
      <c r="BK666" s="126"/>
      <c r="BL666" s="126"/>
      <c r="BM666" s="126"/>
      <c r="BN666" s="126"/>
      <c r="BO666" s="126"/>
      <c r="BP666" s="126"/>
      <c r="BQ666" s="126"/>
      <c r="BR666" s="126"/>
      <c r="BS666" s="126"/>
      <c r="BT666" s="126"/>
      <c r="BU666" s="126"/>
      <c r="BV666" s="126"/>
      <c r="BW666" s="126"/>
      <c r="BX666" s="126"/>
    </row>
    <row r="667">
      <c r="A667" s="126"/>
      <c r="B667" s="126"/>
      <c r="C667" s="127"/>
      <c r="D667" s="126"/>
      <c r="E667" s="126"/>
      <c r="F667" s="127"/>
      <c r="G667" s="126"/>
      <c r="H667" s="127"/>
      <c r="I667" s="126"/>
      <c r="J667" s="126"/>
      <c r="K667" s="127"/>
      <c r="L667" s="126"/>
      <c r="M667" s="126"/>
      <c r="N667" s="127"/>
      <c r="O667" s="126"/>
      <c r="P667" s="126"/>
      <c r="Q667" s="127"/>
      <c r="R667" s="126"/>
      <c r="S667" s="126"/>
      <c r="T667" s="127"/>
      <c r="U667" s="126"/>
      <c r="V667" s="126"/>
      <c r="W667" s="127"/>
      <c r="X667" s="126"/>
      <c r="Y667" s="126"/>
      <c r="Z667" s="127"/>
      <c r="AA667" s="126"/>
      <c r="AB667" s="126"/>
      <c r="AC667" s="127"/>
      <c r="AD667" s="126"/>
      <c r="AE667" s="126"/>
      <c r="AF667" s="126"/>
      <c r="AG667" s="127"/>
      <c r="AH667" s="126"/>
      <c r="AI667" s="126"/>
      <c r="AJ667" s="127"/>
      <c r="AK667" s="126"/>
      <c r="AL667" s="126"/>
      <c r="AM667" s="127"/>
      <c r="AN667" s="126"/>
      <c r="AO667" s="126"/>
      <c r="AP667" s="127"/>
      <c r="AQ667" s="126"/>
      <c r="AR667" s="126"/>
      <c r="AS667" s="127"/>
      <c r="AT667" s="126"/>
      <c r="AU667" s="126"/>
      <c r="AV667" s="127"/>
      <c r="AW667" s="126"/>
      <c r="AX667" s="126"/>
      <c r="AY667" s="127"/>
      <c r="AZ667" s="126"/>
      <c r="BA667" s="126"/>
      <c r="BB667" s="127"/>
      <c r="BC667" s="126"/>
      <c r="BD667" s="134"/>
      <c r="BE667" s="127"/>
      <c r="BF667" s="126"/>
      <c r="BG667" s="126"/>
      <c r="BH667" s="126"/>
      <c r="BI667" s="126"/>
      <c r="BJ667" s="126"/>
      <c r="BK667" s="126"/>
      <c r="BL667" s="126"/>
      <c r="BM667" s="126"/>
      <c r="BN667" s="126"/>
      <c r="BO667" s="126"/>
      <c r="BP667" s="126"/>
      <c r="BQ667" s="126"/>
      <c r="BR667" s="126"/>
      <c r="BS667" s="126"/>
      <c r="BT667" s="126"/>
      <c r="BU667" s="126"/>
      <c r="BV667" s="126"/>
      <c r="BW667" s="126"/>
      <c r="BX667" s="126"/>
    </row>
    <row r="668">
      <c r="A668" s="126"/>
      <c r="B668" s="126"/>
      <c r="C668" s="127"/>
      <c r="D668" s="126"/>
      <c r="E668" s="126"/>
      <c r="F668" s="127"/>
      <c r="G668" s="126"/>
      <c r="H668" s="127"/>
      <c r="I668" s="126"/>
      <c r="J668" s="126"/>
      <c r="K668" s="127"/>
      <c r="L668" s="126"/>
      <c r="M668" s="126"/>
      <c r="N668" s="127"/>
      <c r="O668" s="126"/>
      <c r="P668" s="126"/>
      <c r="Q668" s="127"/>
      <c r="R668" s="126"/>
      <c r="S668" s="126"/>
      <c r="T668" s="127"/>
      <c r="U668" s="126"/>
      <c r="V668" s="126"/>
      <c r="W668" s="127"/>
      <c r="X668" s="126"/>
      <c r="Y668" s="126"/>
      <c r="Z668" s="127"/>
      <c r="AA668" s="126"/>
      <c r="AB668" s="126"/>
      <c r="AC668" s="127"/>
      <c r="AD668" s="126"/>
      <c r="AE668" s="126"/>
      <c r="AF668" s="126"/>
      <c r="AG668" s="127"/>
      <c r="AH668" s="126"/>
      <c r="AI668" s="126"/>
      <c r="AJ668" s="127"/>
      <c r="AK668" s="126"/>
      <c r="AL668" s="126"/>
      <c r="AM668" s="127"/>
      <c r="AN668" s="126"/>
      <c r="AO668" s="126"/>
      <c r="AP668" s="127"/>
      <c r="AQ668" s="126"/>
      <c r="AR668" s="126"/>
      <c r="AS668" s="127"/>
      <c r="AT668" s="126"/>
      <c r="AU668" s="126"/>
      <c r="AV668" s="127"/>
      <c r="AW668" s="126"/>
      <c r="AX668" s="126"/>
      <c r="AY668" s="127"/>
      <c r="AZ668" s="126"/>
      <c r="BA668" s="126"/>
      <c r="BB668" s="127"/>
      <c r="BC668" s="126"/>
      <c r="BD668" s="134"/>
      <c r="BE668" s="127"/>
      <c r="BF668" s="126"/>
      <c r="BG668" s="126"/>
      <c r="BH668" s="126"/>
      <c r="BI668" s="126"/>
      <c r="BJ668" s="126"/>
      <c r="BK668" s="126"/>
      <c r="BL668" s="126"/>
      <c r="BM668" s="126"/>
      <c r="BN668" s="126"/>
      <c r="BO668" s="126"/>
      <c r="BP668" s="126"/>
      <c r="BQ668" s="126"/>
      <c r="BR668" s="126"/>
      <c r="BS668" s="126"/>
      <c r="BT668" s="126"/>
      <c r="BU668" s="126"/>
      <c r="BV668" s="126"/>
      <c r="BW668" s="126"/>
      <c r="BX668" s="126"/>
    </row>
    <row r="669">
      <c r="A669" s="126"/>
      <c r="B669" s="126"/>
      <c r="C669" s="127"/>
      <c r="D669" s="126"/>
      <c r="E669" s="126"/>
      <c r="F669" s="127"/>
      <c r="G669" s="126"/>
      <c r="H669" s="127"/>
      <c r="I669" s="126"/>
      <c r="J669" s="126"/>
      <c r="K669" s="127"/>
      <c r="L669" s="126"/>
      <c r="M669" s="126"/>
      <c r="N669" s="127"/>
      <c r="O669" s="126"/>
      <c r="P669" s="126"/>
      <c r="Q669" s="127"/>
      <c r="R669" s="126"/>
      <c r="S669" s="126"/>
      <c r="T669" s="127"/>
      <c r="U669" s="126"/>
      <c r="V669" s="126"/>
      <c r="W669" s="127"/>
      <c r="X669" s="126"/>
      <c r="Y669" s="126"/>
      <c r="Z669" s="127"/>
      <c r="AA669" s="126"/>
      <c r="AB669" s="126"/>
      <c r="AC669" s="127"/>
      <c r="AD669" s="126"/>
      <c r="AE669" s="126"/>
      <c r="AF669" s="126"/>
      <c r="AG669" s="127"/>
      <c r="AH669" s="126"/>
      <c r="AI669" s="126"/>
      <c r="AJ669" s="127"/>
      <c r="AK669" s="126"/>
      <c r="AL669" s="126"/>
      <c r="AM669" s="127"/>
      <c r="AN669" s="126"/>
      <c r="AO669" s="126"/>
      <c r="AP669" s="127"/>
      <c r="AQ669" s="126"/>
      <c r="AR669" s="126"/>
      <c r="AS669" s="127"/>
      <c r="AT669" s="126"/>
      <c r="AU669" s="126"/>
      <c r="AV669" s="127"/>
      <c r="AW669" s="126"/>
      <c r="AX669" s="126"/>
      <c r="AY669" s="127"/>
      <c r="AZ669" s="126"/>
      <c r="BA669" s="126"/>
      <c r="BB669" s="127"/>
      <c r="BC669" s="126"/>
      <c r="BD669" s="134"/>
      <c r="BE669" s="127"/>
      <c r="BF669" s="126"/>
      <c r="BG669" s="126"/>
      <c r="BH669" s="126"/>
      <c r="BI669" s="126"/>
      <c r="BJ669" s="126"/>
      <c r="BK669" s="126"/>
      <c r="BL669" s="126"/>
      <c r="BM669" s="126"/>
      <c r="BN669" s="126"/>
      <c r="BO669" s="126"/>
      <c r="BP669" s="126"/>
      <c r="BQ669" s="126"/>
      <c r="BR669" s="126"/>
      <c r="BS669" s="126"/>
      <c r="BT669" s="126"/>
      <c r="BU669" s="126"/>
      <c r="BV669" s="126"/>
      <c r="BW669" s="126"/>
      <c r="BX669" s="126"/>
    </row>
    <row r="670">
      <c r="A670" s="126"/>
      <c r="B670" s="126"/>
      <c r="C670" s="127"/>
      <c r="D670" s="126"/>
      <c r="E670" s="126"/>
      <c r="F670" s="127"/>
      <c r="G670" s="126"/>
      <c r="H670" s="127"/>
      <c r="I670" s="126"/>
      <c r="J670" s="126"/>
      <c r="K670" s="127"/>
      <c r="L670" s="126"/>
      <c r="M670" s="126"/>
      <c r="N670" s="127"/>
      <c r="O670" s="126"/>
      <c r="P670" s="126"/>
      <c r="Q670" s="127"/>
      <c r="R670" s="126"/>
      <c r="S670" s="126"/>
      <c r="T670" s="127"/>
      <c r="U670" s="126"/>
      <c r="V670" s="126"/>
      <c r="W670" s="127"/>
      <c r="X670" s="126"/>
      <c r="Y670" s="126"/>
      <c r="Z670" s="127"/>
      <c r="AA670" s="126"/>
      <c r="AB670" s="126"/>
      <c r="AC670" s="127"/>
      <c r="AD670" s="126"/>
      <c r="AE670" s="126"/>
      <c r="AF670" s="126"/>
      <c r="AG670" s="127"/>
      <c r="AH670" s="126"/>
      <c r="AI670" s="126"/>
      <c r="AJ670" s="127"/>
      <c r="AK670" s="126"/>
      <c r="AL670" s="126"/>
      <c r="AM670" s="127"/>
      <c r="AN670" s="126"/>
      <c r="AO670" s="126"/>
      <c r="AP670" s="127"/>
      <c r="AQ670" s="126"/>
      <c r="AR670" s="126"/>
      <c r="AS670" s="127"/>
      <c r="AT670" s="126"/>
      <c r="AU670" s="126"/>
      <c r="AV670" s="127"/>
      <c r="AW670" s="126"/>
      <c r="AX670" s="126"/>
      <c r="AY670" s="127"/>
      <c r="AZ670" s="126"/>
      <c r="BA670" s="126"/>
      <c r="BB670" s="127"/>
      <c r="BC670" s="126"/>
      <c r="BD670" s="134"/>
      <c r="BE670" s="127"/>
      <c r="BF670" s="126"/>
      <c r="BG670" s="126"/>
      <c r="BH670" s="126"/>
      <c r="BI670" s="126"/>
      <c r="BJ670" s="126"/>
      <c r="BK670" s="126"/>
      <c r="BL670" s="126"/>
      <c r="BM670" s="126"/>
      <c r="BN670" s="126"/>
      <c r="BO670" s="126"/>
      <c r="BP670" s="126"/>
      <c r="BQ670" s="126"/>
      <c r="BR670" s="126"/>
      <c r="BS670" s="126"/>
      <c r="BT670" s="126"/>
      <c r="BU670" s="126"/>
      <c r="BV670" s="126"/>
      <c r="BW670" s="126"/>
      <c r="BX670" s="126"/>
    </row>
    <row r="671">
      <c r="A671" s="126"/>
      <c r="B671" s="126"/>
      <c r="C671" s="127"/>
      <c r="D671" s="126"/>
      <c r="E671" s="126"/>
      <c r="F671" s="127"/>
      <c r="G671" s="126"/>
      <c r="H671" s="127"/>
      <c r="I671" s="126"/>
      <c r="J671" s="126"/>
      <c r="K671" s="127"/>
      <c r="L671" s="126"/>
      <c r="M671" s="126"/>
      <c r="N671" s="127"/>
      <c r="O671" s="126"/>
      <c r="P671" s="126"/>
      <c r="Q671" s="127"/>
      <c r="R671" s="126"/>
      <c r="S671" s="126"/>
      <c r="T671" s="127"/>
      <c r="U671" s="126"/>
      <c r="V671" s="126"/>
      <c r="W671" s="127"/>
      <c r="X671" s="126"/>
      <c r="Y671" s="126"/>
      <c r="Z671" s="127"/>
      <c r="AA671" s="126"/>
      <c r="AB671" s="126"/>
      <c r="AC671" s="127"/>
      <c r="AD671" s="126"/>
      <c r="AE671" s="126"/>
      <c r="AF671" s="126"/>
      <c r="AG671" s="127"/>
      <c r="AH671" s="126"/>
      <c r="AI671" s="126"/>
      <c r="AJ671" s="127"/>
      <c r="AK671" s="126"/>
      <c r="AL671" s="126"/>
      <c r="AM671" s="127"/>
      <c r="AN671" s="126"/>
      <c r="AO671" s="126"/>
      <c r="AP671" s="127"/>
      <c r="AQ671" s="126"/>
      <c r="AR671" s="126"/>
      <c r="AS671" s="127"/>
      <c r="AT671" s="126"/>
      <c r="AU671" s="126"/>
      <c r="AV671" s="127"/>
      <c r="AW671" s="126"/>
      <c r="AX671" s="126"/>
      <c r="AY671" s="127"/>
      <c r="AZ671" s="126"/>
      <c r="BA671" s="126"/>
      <c r="BB671" s="127"/>
      <c r="BC671" s="126"/>
      <c r="BD671" s="134"/>
      <c r="BE671" s="127"/>
      <c r="BF671" s="126"/>
      <c r="BG671" s="126"/>
      <c r="BH671" s="126"/>
      <c r="BI671" s="126"/>
      <c r="BJ671" s="126"/>
      <c r="BK671" s="126"/>
      <c r="BL671" s="126"/>
      <c r="BM671" s="126"/>
      <c r="BN671" s="126"/>
      <c r="BO671" s="126"/>
      <c r="BP671" s="126"/>
      <c r="BQ671" s="126"/>
      <c r="BR671" s="126"/>
      <c r="BS671" s="126"/>
      <c r="BT671" s="126"/>
      <c r="BU671" s="126"/>
      <c r="BV671" s="126"/>
      <c r="BW671" s="126"/>
      <c r="BX671" s="126"/>
    </row>
    <row r="672">
      <c r="A672" s="126"/>
      <c r="B672" s="126"/>
      <c r="C672" s="127"/>
      <c r="D672" s="126"/>
      <c r="E672" s="126"/>
      <c r="F672" s="127"/>
      <c r="G672" s="126"/>
      <c r="H672" s="127"/>
      <c r="I672" s="126"/>
      <c r="J672" s="126"/>
      <c r="K672" s="127"/>
      <c r="L672" s="126"/>
      <c r="M672" s="126"/>
      <c r="N672" s="127"/>
      <c r="O672" s="126"/>
      <c r="P672" s="126"/>
      <c r="Q672" s="127"/>
      <c r="R672" s="126"/>
      <c r="S672" s="126"/>
      <c r="T672" s="127"/>
      <c r="U672" s="126"/>
      <c r="V672" s="126"/>
      <c r="W672" s="127"/>
      <c r="X672" s="126"/>
      <c r="Y672" s="126"/>
      <c r="Z672" s="127"/>
      <c r="AA672" s="126"/>
      <c r="AB672" s="126"/>
      <c r="AC672" s="127"/>
      <c r="AD672" s="126"/>
      <c r="AE672" s="126"/>
      <c r="AF672" s="126"/>
      <c r="AG672" s="127"/>
      <c r="AH672" s="126"/>
      <c r="AI672" s="126"/>
      <c r="AJ672" s="127"/>
      <c r="AK672" s="126"/>
      <c r="AL672" s="126"/>
      <c r="AM672" s="127"/>
      <c r="AN672" s="126"/>
      <c r="AO672" s="126"/>
      <c r="AP672" s="127"/>
      <c r="AQ672" s="126"/>
      <c r="AR672" s="126"/>
      <c r="AS672" s="127"/>
      <c r="AT672" s="126"/>
      <c r="AU672" s="126"/>
      <c r="AV672" s="127"/>
      <c r="AW672" s="126"/>
      <c r="AX672" s="126"/>
      <c r="AY672" s="127"/>
      <c r="AZ672" s="126"/>
      <c r="BA672" s="126"/>
      <c r="BB672" s="127"/>
      <c r="BC672" s="126"/>
      <c r="BD672" s="134"/>
      <c r="BE672" s="127"/>
      <c r="BF672" s="126"/>
      <c r="BG672" s="126"/>
      <c r="BH672" s="126"/>
      <c r="BI672" s="126"/>
      <c r="BJ672" s="126"/>
      <c r="BK672" s="126"/>
      <c r="BL672" s="126"/>
      <c r="BM672" s="126"/>
      <c r="BN672" s="126"/>
      <c r="BO672" s="126"/>
      <c r="BP672" s="126"/>
      <c r="BQ672" s="126"/>
      <c r="BR672" s="126"/>
      <c r="BS672" s="126"/>
      <c r="BT672" s="126"/>
      <c r="BU672" s="126"/>
      <c r="BV672" s="126"/>
      <c r="BW672" s="126"/>
      <c r="BX672" s="126"/>
    </row>
    <row r="673">
      <c r="A673" s="126"/>
      <c r="B673" s="126"/>
      <c r="C673" s="127"/>
      <c r="D673" s="126"/>
      <c r="E673" s="126"/>
      <c r="F673" s="127"/>
      <c r="G673" s="126"/>
      <c r="H673" s="127"/>
      <c r="I673" s="126"/>
      <c r="J673" s="126"/>
      <c r="K673" s="127"/>
      <c r="L673" s="126"/>
      <c r="M673" s="126"/>
      <c r="N673" s="127"/>
      <c r="O673" s="126"/>
      <c r="P673" s="126"/>
      <c r="Q673" s="127"/>
      <c r="R673" s="126"/>
      <c r="S673" s="126"/>
      <c r="T673" s="127"/>
      <c r="U673" s="126"/>
      <c r="V673" s="126"/>
      <c r="W673" s="127"/>
      <c r="X673" s="126"/>
      <c r="Y673" s="126"/>
      <c r="Z673" s="127"/>
      <c r="AA673" s="126"/>
      <c r="AB673" s="126"/>
      <c r="AC673" s="127"/>
      <c r="AD673" s="126"/>
      <c r="AE673" s="126"/>
      <c r="AF673" s="126"/>
      <c r="AG673" s="127"/>
      <c r="AH673" s="126"/>
      <c r="AI673" s="126"/>
      <c r="AJ673" s="127"/>
      <c r="AK673" s="126"/>
      <c r="AL673" s="126"/>
      <c r="AM673" s="127"/>
      <c r="AN673" s="126"/>
      <c r="AO673" s="126"/>
      <c r="AP673" s="127"/>
      <c r="AQ673" s="126"/>
      <c r="AR673" s="126"/>
      <c r="AS673" s="127"/>
      <c r="AT673" s="126"/>
      <c r="AU673" s="126"/>
      <c r="AV673" s="127"/>
      <c r="AW673" s="126"/>
      <c r="AX673" s="126"/>
      <c r="AY673" s="127"/>
      <c r="AZ673" s="126"/>
      <c r="BA673" s="126"/>
      <c r="BB673" s="127"/>
      <c r="BC673" s="126"/>
      <c r="BD673" s="134"/>
      <c r="BE673" s="127"/>
      <c r="BF673" s="126"/>
      <c r="BG673" s="126"/>
      <c r="BH673" s="126"/>
      <c r="BI673" s="126"/>
      <c r="BJ673" s="126"/>
      <c r="BK673" s="126"/>
      <c r="BL673" s="126"/>
      <c r="BM673" s="126"/>
      <c r="BN673" s="126"/>
      <c r="BO673" s="126"/>
      <c r="BP673" s="126"/>
      <c r="BQ673" s="126"/>
      <c r="BR673" s="126"/>
      <c r="BS673" s="126"/>
      <c r="BT673" s="126"/>
      <c r="BU673" s="126"/>
      <c r="BV673" s="126"/>
      <c r="BW673" s="126"/>
      <c r="BX673" s="126"/>
    </row>
    <row r="674">
      <c r="A674" s="126"/>
      <c r="B674" s="126"/>
      <c r="C674" s="127"/>
      <c r="D674" s="126"/>
      <c r="E674" s="126"/>
      <c r="F674" s="127"/>
      <c r="G674" s="126"/>
      <c r="H674" s="127"/>
      <c r="I674" s="126"/>
      <c r="J674" s="126"/>
      <c r="K674" s="127"/>
      <c r="L674" s="126"/>
      <c r="M674" s="126"/>
      <c r="N674" s="127"/>
      <c r="O674" s="126"/>
      <c r="P674" s="126"/>
      <c r="Q674" s="127"/>
      <c r="R674" s="126"/>
      <c r="S674" s="126"/>
      <c r="T674" s="127"/>
      <c r="U674" s="126"/>
      <c r="V674" s="126"/>
      <c r="W674" s="127"/>
      <c r="X674" s="126"/>
      <c r="Y674" s="126"/>
      <c r="Z674" s="127"/>
      <c r="AA674" s="126"/>
      <c r="AB674" s="126"/>
      <c r="AC674" s="127"/>
      <c r="AD674" s="126"/>
      <c r="AE674" s="126"/>
      <c r="AF674" s="126"/>
      <c r="AG674" s="127"/>
      <c r="AH674" s="126"/>
      <c r="AI674" s="126"/>
      <c r="AJ674" s="127"/>
      <c r="AK674" s="126"/>
      <c r="AL674" s="126"/>
      <c r="AM674" s="127"/>
      <c r="AN674" s="126"/>
      <c r="AO674" s="126"/>
      <c r="AP674" s="127"/>
      <c r="AQ674" s="126"/>
      <c r="AR674" s="126"/>
      <c r="AS674" s="127"/>
      <c r="AT674" s="126"/>
      <c r="AU674" s="126"/>
      <c r="AV674" s="127"/>
      <c r="AW674" s="126"/>
      <c r="AX674" s="126"/>
      <c r="AY674" s="127"/>
      <c r="AZ674" s="126"/>
      <c r="BA674" s="126"/>
      <c r="BB674" s="127"/>
      <c r="BC674" s="126"/>
      <c r="BD674" s="134"/>
      <c r="BE674" s="127"/>
      <c r="BF674" s="126"/>
      <c r="BG674" s="126"/>
      <c r="BH674" s="126"/>
      <c r="BI674" s="126"/>
      <c r="BJ674" s="126"/>
      <c r="BK674" s="126"/>
      <c r="BL674" s="126"/>
      <c r="BM674" s="126"/>
      <c r="BN674" s="126"/>
      <c r="BO674" s="126"/>
      <c r="BP674" s="126"/>
      <c r="BQ674" s="126"/>
      <c r="BR674" s="126"/>
      <c r="BS674" s="126"/>
      <c r="BT674" s="126"/>
      <c r="BU674" s="126"/>
      <c r="BV674" s="126"/>
      <c r="BW674" s="126"/>
      <c r="BX674" s="126"/>
    </row>
    <row r="675">
      <c r="A675" s="126"/>
      <c r="B675" s="126"/>
      <c r="C675" s="127"/>
      <c r="D675" s="126"/>
      <c r="E675" s="126"/>
      <c r="F675" s="127"/>
      <c r="G675" s="126"/>
      <c r="H675" s="127"/>
      <c r="I675" s="126"/>
      <c r="J675" s="126"/>
      <c r="K675" s="127"/>
      <c r="L675" s="126"/>
      <c r="M675" s="126"/>
      <c r="N675" s="127"/>
      <c r="O675" s="126"/>
      <c r="P675" s="126"/>
      <c r="Q675" s="127"/>
      <c r="R675" s="126"/>
      <c r="S675" s="126"/>
      <c r="T675" s="127"/>
      <c r="U675" s="126"/>
      <c r="V675" s="126"/>
      <c r="W675" s="127"/>
      <c r="X675" s="126"/>
      <c r="Y675" s="126"/>
      <c r="Z675" s="127"/>
      <c r="AA675" s="126"/>
      <c r="AB675" s="126"/>
      <c r="AC675" s="127"/>
      <c r="AD675" s="126"/>
      <c r="AE675" s="126"/>
      <c r="AF675" s="126"/>
      <c r="AG675" s="127"/>
      <c r="AH675" s="126"/>
      <c r="AI675" s="126"/>
      <c r="AJ675" s="127"/>
      <c r="AK675" s="126"/>
      <c r="AL675" s="126"/>
      <c r="AM675" s="127"/>
      <c r="AN675" s="126"/>
      <c r="AO675" s="126"/>
      <c r="AP675" s="127"/>
      <c r="AQ675" s="126"/>
      <c r="AR675" s="126"/>
      <c r="AS675" s="127"/>
      <c r="AT675" s="126"/>
      <c r="AU675" s="126"/>
      <c r="AV675" s="127"/>
      <c r="AW675" s="126"/>
      <c r="AX675" s="126"/>
      <c r="AY675" s="127"/>
      <c r="AZ675" s="126"/>
      <c r="BA675" s="126"/>
      <c r="BB675" s="127"/>
      <c r="BC675" s="126"/>
      <c r="BD675" s="134"/>
      <c r="BE675" s="127"/>
      <c r="BF675" s="126"/>
      <c r="BG675" s="126"/>
      <c r="BH675" s="126"/>
      <c r="BI675" s="126"/>
      <c r="BJ675" s="126"/>
      <c r="BK675" s="126"/>
      <c r="BL675" s="126"/>
      <c r="BM675" s="126"/>
      <c r="BN675" s="126"/>
      <c r="BO675" s="126"/>
      <c r="BP675" s="126"/>
      <c r="BQ675" s="126"/>
      <c r="BR675" s="126"/>
      <c r="BS675" s="126"/>
      <c r="BT675" s="126"/>
      <c r="BU675" s="126"/>
      <c r="BV675" s="126"/>
      <c r="BW675" s="126"/>
      <c r="BX675" s="126"/>
    </row>
    <row r="676">
      <c r="A676" s="126"/>
      <c r="B676" s="126"/>
      <c r="C676" s="127"/>
      <c r="D676" s="126"/>
      <c r="E676" s="126"/>
      <c r="F676" s="127"/>
      <c r="G676" s="126"/>
      <c r="H676" s="127"/>
      <c r="I676" s="126"/>
      <c r="J676" s="126"/>
      <c r="K676" s="127"/>
      <c r="L676" s="126"/>
      <c r="M676" s="126"/>
      <c r="N676" s="127"/>
      <c r="O676" s="126"/>
      <c r="P676" s="126"/>
      <c r="Q676" s="127"/>
      <c r="R676" s="126"/>
      <c r="S676" s="126"/>
      <c r="T676" s="127"/>
      <c r="U676" s="126"/>
      <c r="V676" s="126"/>
      <c r="W676" s="127"/>
      <c r="X676" s="126"/>
      <c r="Y676" s="126"/>
      <c r="Z676" s="127"/>
      <c r="AA676" s="126"/>
      <c r="AB676" s="126"/>
      <c r="AC676" s="127"/>
      <c r="AD676" s="126"/>
      <c r="AE676" s="126"/>
      <c r="AF676" s="126"/>
      <c r="AG676" s="127"/>
      <c r="AH676" s="126"/>
      <c r="AI676" s="126"/>
      <c r="AJ676" s="127"/>
      <c r="AK676" s="126"/>
      <c r="AL676" s="126"/>
      <c r="AM676" s="127"/>
      <c r="AN676" s="126"/>
      <c r="AO676" s="126"/>
      <c r="AP676" s="127"/>
      <c r="AQ676" s="126"/>
      <c r="AR676" s="126"/>
      <c r="AS676" s="127"/>
      <c r="AT676" s="126"/>
      <c r="AU676" s="126"/>
      <c r="AV676" s="127"/>
      <c r="AW676" s="126"/>
      <c r="AX676" s="126"/>
      <c r="AY676" s="127"/>
      <c r="AZ676" s="126"/>
      <c r="BA676" s="126"/>
      <c r="BB676" s="127"/>
      <c r="BC676" s="126"/>
      <c r="BD676" s="134"/>
      <c r="BE676" s="127"/>
      <c r="BF676" s="126"/>
      <c r="BG676" s="126"/>
      <c r="BH676" s="126"/>
      <c r="BI676" s="126"/>
      <c r="BJ676" s="126"/>
      <c r="BK676" s="126"/>
      <c r="BL676" s="126"/>
      <c r="BM676" s="126"/>
      <c r="BN676" s="126"/>
      <c r="BO676" s="126"/>
      <c r="BP676" s="126"/>
      <c r="BQ676" s="126"/>
      <c r="BR676" s="126"/>
      <c r="BS676" s="126"/>
      <c r="BT676" s="126"/>
      <c r="BU676" s="126"/>
      <c r="BV676" s="126"/>
      <c r="BW676" s="126"/>
      <c r="BX676" s="126"/>
    </row>
    <row r="677">
      <c r="A677" s="126"/>
      <c r="B677" s="126"/>
      <c r="C677" s="127"/>
      <c r="D677" s="126"/>
      <c r="E677" s="126"/>
      <c r="F677" s="127"/>
      <c r="G677" s="126"/>
      <c r="H677" s="127"/>
      <c r="I677" s="126"/>
      <c r="J677" s="126"/>
      <c r="K677" s="127"/>
      <c r="L677" s="126"/>
      <c r="M677" s="126"/>
      <c r="N677" s="127"/>
      <c r="O677" s="126"/>
      <c r="P677" s="126"/>
      <c r="Q677" s="127"/>
      <c r="R677" s="126"/>
      <c r="S677" s="126"/>
      <c r="T677" s="127"/>
      <c r="U677" s="126"/>
      <c r="V677" s="126"/>
      <c r="W677" s="127"/>
      <c r="X677" s="126"/>
      <c r="Y677" s="126"/>
      <c r="Z677" s="127"/>
      <c r="AA677" s="126"/>
      <c r="AB677" s="126"/>
      <c r="AC677" s="127"/>
      <c r="AD677" s="126"/>
      <c r="AE677" s="126"/>
      <c r="AF677" s="126"/>
      <c r="AG677" s="127"/>
      <c r="AH677" s="126"/>
      <c r="AI677" s="126"/>
      <c r="AJ677" s="127"/>
      <c r="AK677" s="126"/>
      <c r="AL677" s="126"/>
      <c r="AM677" s="127"/>
      <c r="AN677" s="126"/>
      <c r="AO677" s="126"/>
      <c r="AP677" s="127"/>
      <c r="AQ677" s="126"/>
      <c r="AR677" s="126"/>
      <c r="AS677" s="127"/>
      <c r="AT677" s="126"/>
      <c r="AU677" s="126"/>
      <c r="AV677" s="127"/>
      <c r="AW677" s="126"/>
      <c r="AX677" s="126"/>
      <c r="AY677" s="127"/>
      <c r="AZ677" s="126"/>
      <c r="BA677" s="126"/>
      <c r="BB677" s="127"/>
      <c r="BC677" s="126"/>
      <c r="BD677" s="134"/>
      <c r="BE677" s="127"/>
      <c r="BF677" s="126"/>
      <c r="BG677" s="126"/>
      <c r="BH677" s="126"/>
      <c r="BI677" s="126"/>
      <c r="BJ677" s="126"/>
      <c r="BK677" s="126"/>
      <c r="BL677" s="126"/>
      <c r="BM677" s="126"/>
      <c r="BN677" s="126"/>
      <c r="BO677" s="126"/>
      <c r="BP677" s="126"/>
      <c r="BQ677" s="126"/>
      <c r="BR677" s="126"/>
      <c r="BS677" s="126"/>
      <c r="BT677" s="126"/>
      <c r="BU677" s="126"/>
      <c r="BV677" s="126"/>
      <c r="BW677" s="126"/>
      <c r="BX677" s="126"/>
    </row>
    <row r="678">
      <c r="A678" s="126"/>
      <c r="B678" s="126"/>
      <c r="C678" s="127"/>
      <c r="D678" s="126"/>
      <c r="E678" s="126"/>
      <c r="F678" s="127"/>
      <c r="G678" s="126"/>
      <c r="H678" s="127"/>
      <c r="I678" s="126"/>
      <c r="J678" s="126"/>
      <c r="K678" s="127"/>
      <c r="L678" s="126"/>
      <c r="M678" s="126"/>
      <c r="N678" s="127"/>
      <c r="O678" s="126"/>
      <c r="P678" s="126"/>
      <c r="Q678" s="127"/>
      <c r="R678" s="126"/>
      <c r="S678" s="126"/>
      <c r="T678" s="127"/>
      <c r="U678" s="126"/>
      <c r="V678" s="126"/>
      <c r="W678" s="127"/>
      <c r="X678" s="126"/>
      <c r="Y678" s="126"/>
      <c r="Z678" s="127"/>
      <c r="AA678" s="126"/>
      <c r="AB678" s="126"/>
      <c r="AC678" s="127"/>
      <c r="AD678" s="126"/>
      <c r="AE678" s="126"/>
      <c r="AF678" s="126"/>
      <c r="AG678" s="127"/>
      <c r="AH678" s="126"/>
      <c r="AI678" s="126"/>
      <c r="AJ678" s="127"/>
      <c r="AK678" s="126"/>
      <c r="AL678" s="126"/>
      <c r="AM678" s="127"/>
      <c r="AN678" s="126"/>
      <c r="AO678" s="126"/>
      <c r="AP678" s="127"/>
      <c r="AQ678" s="126"/>
      <c r="AR678" s="126"/>
      <c r="AS678" s="127"/>
      <c r="AT678" s="126"/>
      <c r="AU678" s="126"/>
      <c r="AV678" s="127"/>
      <c r="AW678" s="126"/>
      <c r="AX678" s="126"/>
      <c r="AY678" s="127"/>
      <c r="AZ678" s="126"/>
      <c r="BA678" s="126"/>
      <c r="BB678" s="127"/>
      <c r="BC678" s="126"/>
      <c r="BD678" s="134"/>
      <c r="BE678" s="127"/>
      <c r="BF678" s="126"/>
      <c r="BG678" s="126"/>
      <c r="BH678" s="126"/>
      <c r="BI678" s="126"/>
      <c r="BJ678" s="126"/>
      <c r="BK678" s="126"/>
      <c r="BL678" s="126"/>
      <c r="BM678" s="126"/>
      <c r="BN678" s="126"/>
      <c r="BO678" s="126"/>
      <c r="BP678" s="126"/>
      <c r="BQ678" s="126"/>
      <c r="BR678" s="126"/>
      <c r="BS678" s="126"/>
      <c r="BT678" s="126"/>
      <c r="BU678" s="126"/>
      <c r="BV678" s="126"/>
      <c r="BW678" s="126"/>
      <c r="BX678" s="126"/>
    </row>
    <row r="679">
      <c r="A679" s="126"/>
      <c r="B679" s="126"/>
      <c r="C679" s="127"/>
      <c r="D679" s="126"/>
      <c r="E679" s="126"/>
      <c r="F679" s="127"/>
      <c r="G679" s="126"/>
      <c r="H679" s="127"/>
      <c r="I679" s="126"/>
      <c r="J679" s="126"/>
      <c r="K679" s="127"/>
      <c r="L679" s="126"/>
      <c r="M679" s="126"/>
      <c r="N679" s="127"/>
      <c r="O679" s="126"/>
      <c r="P679" s="126"/>
      <c r="Q679" s="127"/>
      <c r="R679" s="126"/>
      <c r="S679" s="126"/>
      <c r="T679" s="127"/>
      <c r="U679" s="126"/>
      <c r="V679" s="126"/>
      <c r="W679" s="127"/>
      <c r="X679" s="126"/>
      <c r="Y679" s="126"/>
      <c r="Z679" s="127"/>
      <c r="AA679" s="126"/>
      <c r="AB679" s="126"/>
      <c r="AC679" s="127"/>
      <c r="AD679" s="126"/>
      <c r="AE679" s="126"/>
      <c r="AF679" s="126"/>
      <c r="AG679" s="127"/>
      <c r="AH679" s="126"/>
      <c r="AI679" s="126"/>
      <c r="AJ679" s="127"/>
      <c r="AK679" s="126"/>
      <c r="AL679" s="126"/>
      <c r="AM679" s="127"/>
      <c r="AN679" s="126"/>
      <c r="AO679" s="126"/>
      <c r="AP679" s="127"/>
      <c r="AQ679" s="126"/>
      <c r="AR679" s="126"/>
      <c r="AS679" s="127"/>
      <c r="AT679" s="126"/>
      <c r="AU679" s="126"/>
      <c r="AV679" s="127"/>
      <c r="AW679" s="126"/>
      <c r="AX679" s="126"/>
      <c r="AY679" s="127"/>
      <c r="AZ679" s="126"/>
      <c r="BA679" s="126"/>
      <c r="BB679" s="127"/>
      <c r="BC679" s="126"/>
      <c r="BD679" s="134"/>
      <c r="BE679" s="127"/>
      <c r="BF679" s="126"/>
      <c r="BG679" s="126"/>
      <c r="BH679" s="126"/>
      <c r="BI679" s="126"/>
      <c r="BJ679" s="126"/>
      <c r="BK679" s="126"/>
      <c r="BL679" s="126"/>
      <c r="BM679" s="126"/>
      <c r="BN679" s="126"/>
      <c r="BO679" s="126"/>
      <c r="BP679" s="126"/>
      <c r="BQ679" s="126"/>
      <c r="BR679" s="126"/>
      <c r="BS679" s="126"/>
      <c r="BT679" s="126"/>
      <c r="BU679" s="126"/>
      <c r="BV679" s="126"/>
      <c r="BW679" s="126"/>
      <c r="BX679" s="126"/>
    </row>
    <row r="680">
      <c r="A680" s="126"/>
      <c r="B680" s="126"/>
      <c r="C680" s="127"/>
      <c r="D680" s="126"/>
      <c r="E680" s="126"/>
      <c r="F680" s="127"/>
      <c r="G680" s="126"/>
      <c r="H680" s="127"/>
      <c r="I680" s="126"/>
      <c r="J680" s="126"/>
      <c r="K680" s="127"/>
      <c r="L680" s="126"/>
      <c r="M680" s="126"/>
      <c r="N680" s="127"/>
      <c r="O680" s="126"/>
      <c r="P680" s="126"/>
      <c r="Q680" s="127"/>
      <c r="R680" s="126"/>
      <c r="S680" s="126"/>
      <c r="T680" s="127"/>
      <c r="U680" s="126"/>
      <c r="V680" s="126"/>
      <c r="W680" s="127"/>
      <c r="X680" s="126"/>
      <c r="Y680" s="126"/>
      <c r="Z680" s="127"/>
      <c r="AA680" s="126"/>
      <c r="AB680" s="126"/>
      <c r="AC680" s="127"/>
      <c r="AD680" s="126"/>
      <c r="AE680" s="126"/>
      <c r="AF680" s="126"/>
      <c r="AG680" s="127"/>
      <c r="AH680" s="126"/>
      <c r="AI680" s="126"/>
      <c r="AJ680" s="127"/>
      <c r="AK680" s="126"/>
      <c r="AL680" s="126"/>
      <c r="AM680" s="127"/>
      <c r="AN680" s="126"/>
      <c r="AO680" s="126"/>
      <c r="AP680" s="127"/>
      <c r="AQ680" s="126"/>
      <c r="AR680" s="126"/>
      <c r="AS680" s="127"/>
      <c r="AT680" s="126"/>
      <c r="AU680" s="126"/>
      <c r="AV680" s="127"/>
      <c r="AW680" s="126"/>
      <c r="AX680" s="126"/>
      <c r="AY680" s="127"/>
      <c r="AZ680" s="126"/>
      <c r="BA680" s="126"/>
      <c r="BB680" s="127"/>
      <c r="BC680" s="126"/>
      <c r="BD680" s="134"/>
      <c r="BE680" s="127"/>
      <c r="BF680" s="126"/>
      <c r="BG680" s="126"/>
      <c r="BH680" s="126"/>
      <c r="BI680" s="126"/>
      <c r="BJ680" s="126"/>
      <c r="BK680" s="126"/>
      <c r="BL680" s="126"/>
      <c r="BM680" s="126"/>
      <c r="BN680" s="126"/>
      <c r="BO680" s="126"/>
      <c r="BP680" s="126"/>
      <c r="BQ680" s="126"/>
      <c r="BR680" s="126"/>
      <c r="BS680" s="126"/>
      <c r="BT680" s="126"/>
      <c r="BU680" s="126"/>
      <c r="BV680" s="126"/>
      <c r="BW680" s="126"/>
      <c r="BX680" s="126"/>
    </row>
    <row r="681">
      <c r="A681" s="126"/>
      <c r="B681" s="126"/>
      <c r="C681" s="127"/>
      <c r="D681" s="126"/>
      <c r="E681" s="126"/>
      <c r="F681" s="127"/>
      <c r="G681" s="126"/>
      <c r="H681" s="127"/>
      <c r="I681" s="126"/>
      <c r="J681" s="126"/>
      <c r="K681" s="127"/>
      <c r="L681" s="126"/>
      <c r="M681" s="126"/>
      <c r="N681" s="127"/>
      <c r="O681" s="126"/>
      <c r="P681" s="126"/>
      <c r="Q681" s="127"/>
      <c r="R681" s="126"/>
      <c r="S681" s="126"/>
      <c r="T681" s="127"/>
      <c r="U681" s="126"/>
      <c r="V681" s="126"/>
      <c r="W681" s="127"/>
      <c r="X681" s="126"/>
      <c r="Y681" s="126"/>
      <c r="Z681" s="127"/>
      <c r="AA681" s="126"/>
      <c r="AB681" s="126"/>
      <c r="AC681" s="127"/>
      <c r="AD681" s="126"/>
      <c r="AE681" s="126"/>
      <c r="AF681" s="126"/>
      <c r="AG681" s="127"/>
      <c r="AH681" s="126"/>
      <c r="AI681" s="126"/>
      <c r="AJ681" s="127"/>
      <c r="AK681" s="126"/>
      <c r="AL681" s="126"/>
      <c r="AM681" s="127"/>
      <c r="AN681" s="126"/>
      <c r="AO681" s="126"/>
      <c r="AP681" s="127"/>
      <c r="AQ681" s="126"/>
      <c r="AR681" s="126"/>
      <c r="AS681" s="127"/>
      <c r="AT681" s="126"/>
      <c r="AU681" s="126"/>
      <c r="AV681" s="127"/>
      <c r="AW681" s="126"/>
      <c r="AX681" s="126"/>
      <c r="AY681" s="127"/>
      <c r="AZ681" s="126"/>
      <c r="BA681" s="126"/>
      <c r="BB681" s="127"/>
      <c r="BC681" s="126"/>
      <c r="BD681" s="134"/>
      <c r="BE681" s="127"/>
      <c r="BF681" s="126"/>
      <c r="BG681" s="126"/>
      <c r="BH681" s="126"/>
      <c r="BI681" s="126"/>
      <c r="BJ681" s="126"/>
      <c r="BK681" s="126"/>
      <c r="BL681" s="126"/>
      <c r="BM681" s="126"/>
      <c r="BN681" s="126"/>
      <c r="BO681" s="126"/>
      <c r="BP681" s="126"/>
      <c r="BQ681" s="126"/>
      <c r="BR681" s="126"/>
      <c r="BS681" s="126"/>
      <c r="BT681" s="126"/>
      <c r="BU681" s="126"/>
      <c r="BV681" s="126"/>
      <c r="BW681" s="126"/>
      <c r="BX681" s="126"/>
    </row>
    <row r="682">
      <c r="A682" s="126"/>
      <c r="B682" s="126"/>
      <c r="C682" s="127"/>
      <c r="D682" s="126"/>
      <c r="E682" s="126"/>
      <c r="F682" s="127"/>
      <c r="G682" s="126"/>
      <c r="H682" s="127"/>
      <c r="I682" s="126"/>
      <c r="J682" s="126"/>
      <c r="K682" s="127"/>
      <c r="L682" s="126"/>
      <c r="M682" s="126"/>
      <c r="N682" s="127"/>
      <c r="O682" s="126"/>
      <c r="P682" s="126"/>
      <c r="Q682" s="127"/>
      <c r="R682" s="126"/>
      <c r="S682" s="126"/>
      <c r="T682" s="127"/>
      <c r="U682" s="126"/>
      <c r="V682" s="126"/>
      <c r="W682" s="127"/>
      <c r="X682" s="126"/>
      <c r="Y682" s="126"/>
      <c r="Z682" s="127"/>
      <c r="AA682" s="126"/>
      <c r="AB682" s="126"/>
      <c r="AC682" s="127"/>
      <c r="AD682" s="126"/>
      <c r="AE682" s="126"/>
      <c r="AF682" s="126"/>
      <c r="AG682" s="127"/>
      <c r="AH682" s="126"/>
      <c r="AI682" s="126"/>
      <c r="AJ682" s="127"/>
      <c r="AK682" s="126"/>
      <c r="AL682" s="126"/>
      <c r="AM682" s="127"/>
      <c r="AN682" s="126"/>
      <c r="AO682" s="126"/>
      <c r="AP682" s="127"/>
      <c r="AQ682" s="126"/>
      <c r="AR682" s="126"/>
      <c r="AS682" s="127"/>
      <c r="AT682" s="126"/>
      <c r="AU682" s="126"/>
      <c r="AV682" s="127"/>
      <c r="AW682" s="126"/>
      <c r="AX682" s="126"/>
      <c r="AY682" s="127"/>
      <c r="AZ682" s="126"/>
      <c r="BA682" s="126"/>
      <c r="BB682" s="127"/>
      <c r="BC682" s="126"/>
      <c r="BD682" s="134"/>
      <c r="BE682" s="127"/>
      <c r="BF682" s="126"/>
      <c r="BG682" s="126"/>
      <c r="BH682" s="126"/>
      <c r="BI682" s="126"/>
      <c r="BJ682" s="126"/>
      <c r="BK682" s="126"/>
      <c r="BL682" s="126"/>
      <c r="BM682" s="126"/>
      <c r="BN682" s="126"/>
      <c r="BO682" s="126"/>
      <c r="BP682" s="126"/>
      <c r="BQ682" s="126"/>
      <c r="BR682" s="126"/>
      <c r="BS682" s="126"/>
      <c r="BT682" s="126"/>
      <c r="BU682" s="126"/>
      <c r="BV682" s="126"/>
      <c r="BW682" s="126"/>
      <c r="BX682" s="126"/>
    </row>
    <row r="683">
      <c r="A683" s="126"/>
      <c r="B683" s="126"/>
      <c r="C683" s="127"/>
      <c r="D683" s="126"/>
      <c r="E683" s="126"/>
      <c r="F683" s="127"/>
      <c r="G683" s="126"/>
      <c r="H683" s="127"/>
      <c r="I683" s="126"/>
      <c r="J683" s="126"/>
      <c r="K683" s="127"/>
      <c r="L683" s="126"/>
      <c r="M683" s="126"/>
      <c r="N683" s="127"/>
      <c r="O683" s="126"/>
      <c r="P683" s="126"/>
      <c r="Q683" s="127"/>
      <c r="R683" s="126"/>
      <c r="S683" s="126"/>
      <c r="T683" s="127"/>
      <c r="U683" s="126"/>
      <c r="V683" s="126"/>
      <c r="W683" s="127"/>
      <c r="X683" s="126"/>
      <c r="Y683" s="126"/>
      <c r="Z683" s="127"/>
      <c r="AA683" s="126"/>
      <c r="AB683" s="126"/>
      <c r="AC683" s="127"/>
      <c r="AD683" s="126"/>
      <c r="AE683" s="126"/>
      <c r="AF683" s="126"/>
      <c r="AG683" s="127"/>
      <c r="AH683" s="126"/>
      <c r="AI683" s="126"/>
      <c r="AJ683" s="127"/>
      <c r="AK683" s="126"/>
      <c r="AL683" s="126"/>
      <c r="AM683" s="127"/>
      <c r="AN683" s="126"/>
      <c r="AO683" s="126"/>
      <c r="AP683" s="127"/>
      <c r="AQ683" s="126"/>
      <c r="AR683" s="126"/>
      <c r="AS683" s="127"/>
      <c r="AT683" s="126"/>
      <c r="AU683" s="126"/>
      <c r="AV683" s="127"/>
      <c r="AW683" s="126"/>
      <c r="AX683" s="126"/>
      <c r="AY683" s="127"/>
      <c r="AZ683" s="126"/>
      <c r="BA683" s="126"/>
      <c r="BB683" s="127"/>
      <c r="BC683" s="126"/>
      <c r="BD683" s="134"/>
      <c r="BE683" s="127"/>
      <c r="BF683" s="126"/>
      <c r="BG683" s="126"/>
      <c r="BH683" s="126"/>
      <c r="BI683" s="126"/>
      <c r="BJ683" s="126"/>
      <c r="BK683" s="126"/>
      <c r="BL683" s="126"/>
      <c r="BM683" s="126"/>
      <c r="BN683" s="126"/>
      <c r="BO683" s="126"/>
      <c r="BP683" s="126"/>
      <c r="BQ683" s="126"/>
      <c r="BR683" s="126"/>
      <c r="BS683" s="126"/>
      <c r="BT683" s="126"/>
      <c r="BU683" s="126"/>
      <c r="BV683" s="126"/>
      <c r="BW683" s="126"/>
      <c r="BX683" s="126"/>
    </row>
    <row r="684">
      <c r="A684" s="126"/>
      <c r="B684" s="126"/>
      <c r="C684" s="127"/>
      <c r="D684" s="126"/>
      <c r="E684" s="126"/>
      <c r="F684" s="127"/>
      <c r="G684" s="126"/>
      <c r="H684" s="127"/>
      <c r="I684" s="126"/>
      <c r="J684" s="126"/>
      <c r="K684" s="127"/>
      <c r="L684" s="126"/>
      <c r="M684" s="126"/>
      <c r="N684" s="127"/>
      <c r="O684" s="126"/>
      <c r="P684" s="126"/>
      <c r="Q684" s="127"/>
      <c r="R684" s="126"/>
      <c r="S684" s="126"/>
      <c r="T684" s="127"/>
      <c r="U684" s="126"/>
      <c r="V684" s="126"/>
      <c r="W684" s="127"/>
      <c r="X684" s="126"/>
      <c r="Y684" s="126"/>
      <c r="Z684" s="127"/>
      <c r="AA684" s="126"/>
      <c r="AB684" s="126"/>
      <c r="AC684" s="127"/>
      <c r="AD684" s="126"/>
      <c r="AE684" s="126"/>
      <c r="AF684" s="126"/>
      <c r="AG684" s="127"/>
      <c r="AH684" s="126"/>
      <c r="AI684" s="126"/>
      <c r="AJ684" s="127"/>
      <c r="AK684" s="126"/>
      <c r="AL684" s="126"/>
      <c r="AM684" s="127"/>
      <c r="AN684" s="126"/>
      <c r="AO684" s="126"/>
      <c r="AP684" s="127"/>
      <c r="AQ684" s="126"/>
      <c r="AR684" s="126"/>
      <c r="AS684" s="127"/>
      <c r="AT684" s="126"/>
      <c r="AU684" s="126"/>
      <c r="AV684" s="127"/>
      <c r="AW684" s="126"/>
      <c r="AX684" s="126"/>
      <c r="AY684" s="127"/>
      <c r="AZ684" s="126"/>
      <c r="BA684" s="126"/>
      <c r="BB684" s="127"/>
      <c r="BC684" s="126"/>
      <c r="BD684" s="134"/>
      <c r="BE684" s="127"/>
      <c r="BF684" s="126"/>
      <c r="BG684" s="126"/>
      <c r="BH684" s="126"/>
      <c r="BI684" s="126"/>
      <c r="BJ684" s="126"/>
      <c r="BK684" s="126"/>
      <c r="BL684" s="126"/>
      <c r="BM684" s="126"/>
      <c r="BN684" s="126"/>
      <c r="BO684" s="126"/>
      <c r="BP684" s="126"/>
      <c r="BQ684" s="126"/>
      <c r="BR684" s="126"/>
      <c r="BS684" s="126"/>
      <c r="BT684" s="126"/>
      <c r="BU684" s="126"/>
      <c r="BV684" s="126"/>
      <c r="BW684" s="126"/>
      <c r="BX684" s="126"/>
    </row>
    <row r="685">
      <c r="A685" s="126"/>
      <c r="B685" s="126"/>
      <c r="C685" s="127"/>
      <c r="D685" s="126"/>
      <c r="E685" s="126"/>
      <c r="F685" s="127"/>
      <c r="G685" s="126"/>
      <c r="H685" s="127"/>
      <c r="I685" s="126"/>
      <c r="J685" s="126"/>
      <c r="K685" s="127"/>
      <c r="L685" s="126"/>
      <c r="M685" s="126"/>
      <c r="N685" s="127"/>
      <c r="O685" s="126"/>
      <c r="P685" s="126"/>
      <c r="Q685" s="127"/>
      <c r="R685" s="126"/>
      <c r="S685" s="126"/>
      <c r="T685" s="127"/>
      <c r="U685" s="126"/>
      <c r="V685" s="126"/>
      <c r="W685" s="127"/>
      <c r="X685" s="126"/>
      <c r="Y685" s="126"/>
      <c r="Z685" s="127"/>
      <c r="AA685" s="126"/>
      <c r="AB685" s="126"/>
      <c r="AC685" s="127"/>
      <c r="AD685" s="126"/>
      <c r="AE685" s="126"/>
      <c r="AF685" s="126"/>
      <c r="AG685" s="127"/>
      <c r="AH685" s="126"/>
      <c r="AI685" s="126"/>
      <c r="AJ685" s="127"/>
      <c r="AK685" s="126"/>
      <c r="AL685" s="126"/>
      <c r="AM685" s="127"/>
      <c r="AN685" s="126"/>
      <c r="AO685" s="126"/>
      <c r="AP685" s="127"/>
      <c r="AQ685" s="126"/>
      <c r="AR685" s="126"/>
      <c r="AS685" s="127"/>
      <c r="AT685" s="126"/>
      <c r="AU685" s="126"/>
      <c r="AV685" s="127"/>
      <c r="AW685" s="126"/>
      <c r="AX685" s="126"/>
      <c r="AY685" s="127"/>
      <c r="AZ685" s="126"/>
      <c r="BA685" s="126"/>
      <c r="BB685" s="127"/>
      <c r="BC685" s="126"/>
      <c r="BD685" s="134"/>
      <c r="BE685" s="127"/>
      <c r="BF685" s="126"/>
      <c r="BG685" s="126"/>
      <c r="BH685" s="126"/>
      <c r="BI685" s="126"/>
      <c r="BJ685" s="126"/>
      <c r="BK685" s="126"/>
      <c r="BL685" s="126"/>
      <c r="BM685" s="126"/>
      <c r="BN685" s="126"/>
      <c r="BO685" s="126"/>
      <c r="BP685" s="126"/>
      <c r="BQ685" s="126"/>
      <c r="BR685" s="126"/>
      <c r="BS685" s="126"/>
      <c r="BT685" s="126"/>
      <c r="BU685" s="126"/>
      <c r="BV685" s="126"/>
      <c r="BW685" s="126"/>
      <c r="BX685" s="126"/>
    </row>
    <row r="686">
      <c r="A686" s="126"/>
      <c r="B686" s="126"/>
      <c r="C686" s="127"/>
      <c r="D686" s="126"/>
      <c r="E686" s="126"/>
      <c r="F686" s="127"/>
      <c r="G686" s="126"/>
      <c r="H686" s="127"/>
      <c r="I686" s="126"/>
      <c r="J686" s="126"/>
      <c r="K686" s="127"/>
      <c r="L686" s="126"/>
      <c r="M686" s="126"/>
      <c r="N686" s="127"/>
      <c r="O686" s="126"/>
      <c r="P686" s="126"/>
      <c r="Q686" s="127"/>
      <c r="R686" s="126"/>
      <c r="S686" s="126"/>
      <c r="T686" s="127"/>
      <c r="U686" s="126"/>
      <c r="V686" s="126"/>
      <c r="W686" s="127"/>
      <c r="X686" s="126"/>
      <c r="Y686" s="126"/>
      <c r="Z686" s="127"/>
      <c r="AA686" s="126"/>
      <c r="AB686" s="126"/>
      <c r="AC686" s="127"/>
      <c r="AD686" s="126"/>
      <c r="AE686" s="126"/>
      <c r="AF686" s="126"/>
      <c r="AG686" s="127"/>
      <c r="AH686" s="126"/>
      <c r="AI686" s="126"/>
      <c r="AJ686" s="127"/>
      <c r="AK686" s="126"/>
      <c r="AL686" s="126"/>
      <c r="AM686" s="127"/>
      <c r="AN686" s="126"/>
      <c r="AO686" s="126"/>
      <c r="AP686" s="127"/>
      <c r="AQ686" s="126"/>
      <c r="AR686" s="126"/>
      <c r="AS686" s="127"/>
      <c r="AT686" s="126"/>
      <c r="AU686" s="126"/>
      <c r="AV686" s="127"/>
      <c r="AW686" s="126"/>
      <c r="AX686" s="126"/>
      <c r="AY686" s="127"/>
      <c r="AZ686" s="126"/>
      <c r="BA686" s="126"/>
      <c r="BB686" s="127"/>
      <c r="BC686" s="126"/>
      <c r="BD686" s="134"/>
      <c r="BE686" s="127"/>
      <c r="BF686" s="126"/>
      <c r="BG686" s="126"/>
      <c r="BH686" s="126"/>
      <c r="BI686" s="126"/>
      <c r="BJ686" s="126"/>
      <c r="BK686" s="126"/>
      <c r="BL686" s="126"/>
      <c r="BM686" s="126"/>
      <c r="BN686" s="126"/>
      <c r="BO686" s="126"/>
      <c r="BP686" s="126"/>
      <c r="BQ686" s="126"/>
      <c r="BR686" s="126"/>
      <c r="BS686" s="126"/>
      <c r="BT686" s="126"/>
      <c r="BU686" s="126"/>
      <c r="BV686" s="126"/>
      <c r="BW686" s="126"/>
      <c r="BX686" s="126"/>
    </row>
    <row r="687">
      <c r="A687" s="126"/>
      <c r="B687" s="126"/>
      <c r="C687" s="127"/>
      <c r="D687" s="126"/>
      <c r="E687" s="126"/>
      <c r="F687" s="127"/>
      <c r="G687" s="126"/>
      <c r="H687" s="127"/>
      <c r="I687" s="126"/>
      <c r="J687" s="126"/>
      <c r="K687" s="127"/>
      <c r="L687" s="126"/>
      <c r="M687" s="126"/>
      <c r="N687" s="127"/>
      <c r="O687" s="126"/>
      <c r="P687" s="126"/>
      <c r="Q687" s="127"/>
      <c r="R687" s="126"/>
      <c r="S687" s="126"/>
      <c r="T687" s="127"/>
      <c r="U687" s="126"/>
      <c r="V687" s="126"/>
      <c r="W687" s="127"/>
      <c r="X687" s="126"/>
      <c r="Y687" s="126"/>
      <c r="Z687" s="127"/>
      <c r="AA687" s="126"/>
      <c r="AB687" s="126"/>
      <c r="AC687" s="127"/>
      <c r="AD687" s="126"/>
      <c r="AE687" s="126"/>
      <c r="AF687" s="126"/>
      <c r="AG687" s="127"/>
      <c r="AH687" s="126"/>
      <c r="AI687" s="126"/>
      <c r="AJ687" s="127"/>
      <c r="AK687" s="126"/>
      <c r="AL687" s="126"/>
      <c r="AM687" s="127"/>
      <c r="AN687" s="126"/>
      <c r="AO687" s="126"/>
      <c r="AP687" s="127"/>
      <c r="AQ687" s="126"/>
      <c r="AR687" s="126"/>
      <c r="AS687" s="127"/>
      <c r="AT687" s="126"/>
      <c r="AU687" s="126"/>
      <c r="AV687" s="127"/>
      <c r="AW687" s="126"/>
      <c r="AX687" s="126"/>
      <c r="AY687" s="127"/>
      <c r="AZ687" s="126"/>
      <c r="BA687" s="126"/>
      <c r="BB687" s="127"/>
      <c r="BC687" s="126"/>
      <c r="BD687" s="134"/>
      <c r="BE687" s="127"/>
      <c r="BF687" s="126"/>
      <c r="BG687" s="126"/>
      <c r="BH687" s="126"/>
      <c r="BI687" s="126"/>
      <c r="BJ687" s="126"/>
      <c r="BK687" s="126"/>
      <c r="BL687" s="126"/>
      <c r="BM687" s="126"/>
      <c r="BN687" s="126"/>
      <c r="BO687" s="126"/>
      <c r="BP687" s="126"/>
      <c r="BQ687" s="126"/>
      <c r="BR687" s="126"/>
      <c r="BS687" s="126"/>
      <c r="BT687" s="126"/>
      <c r="BU687" s="126"/>
      <c r="BV687" s="126"/>
      <c r="BW687" s="126"/>
      <c r="BX687" s="126"/>
    </row>
    <row r="688">
      <c r="A688" s="126"/>
      <c r="B688" s="126"/>
      <c r="C688" s="127"/>
      <c r="D688" s="126"/>
      <c r="E688" s="126"/>
      <c r="F688" s="127"/>
      <c r="G688" s="126"/>
      <c r="H688" s="127"/>
      <c r="I688" s="126"/>
      <c r="J688" s="126"/>
      <c r="K688" s="127"/>
      <c r="L688" s="126"/>
      <c r="M688" s="126"/>
      <c r="N688" s="127"/>
      <c r="O688" s="126"/>
      <c r="P688" s="126"/>
      <c r="Q688" s="127"/>
      <c r="R688" s="126"/>
      <c r="S688" s="126"/>
      <c r="T688" s="127"/>
      <c r="U688" s="126"/>
      <c r="V688" s="126"/>
      <c r="W688" s="127"/>
      <c r="X688" s="126"/>
      <c r="Y688" s="126"/>
      <c r="Z688" s="127"/>
      <c r="AA688" s="126"/>
      <c r="AB688" s="126"/>
      <c r="AC688" s="127"/>
      <c r="AD688" s="126"/>
      <c r="AE688" s="126"/>
      <c r="AF688" s="126"/>
      <c r="AG688" s="127"/>
      <c r="AH688" s="126"/>
      <c r="AI688" s="126"/>
      <c r="AJ688" s="127"/>
      <c r="AK688" s="126"/>
      <c r="AL688" s="126"/>
      <c r="AM688" s="127"/>
      <c r="AN688" s="126"/>
      <c r="AO688" s="126"/>
      <c r="AP688" s="127"/>
      <c r="AQ688" s="126"/>
      <c r="AR688" s="126"/>
      <c r="AS688" s="127"/>
      <c r="AT688" s="126"/>
      <c r="AU688" s="126"/>
      <c r="AV688" s="127"/>
      <c r="AW688" s="126"/>
      <c r="AX688" s="126"/>
      <c r="AY688" s="127"/>
      <c r="AZ688" s="126"/>
      <c r="BA688" s="126"/>
      <c r="BB688" s="127"/>
      <c r="BC688" s="126"/>
      <c r="BD688" s="134"/>
      <c r="BE688" s="127"/>
      <c r="BF688" s="126"/>
      <c r="BG688" s="126"/>
      <c r="BH688" s="126"/>
      <c r="BI688" s="126"/>
      <c r="BJ688" s="126"/>
      <c r="BK688" s="126"/>
      <c r="BL688" s="126"/>
      <c r="BM688" s="126"/>
      <c r="BN688" s="126"/>
      <c r="BO688" s="126"/>
      <c r="BP688" s="126"/>
      <c r="BQ688" s="126"/>
      <c r="BR688" s="126"/>
      <c r="BS688" s="126"/>
      <c r="BT688" s="126"/>
      <c r="BU688" s="126"/>
      <c r="BV688" s="126"/>
      <c r="BW688" s="126"/>
      <c r="BX688" s="126"/>
    </row>
    <row r="689">
      <c r="A689" s="126"/>
      <c r="B689" s="126"/>
      <c r="C689" s="127"/>
      <c r="D689" s="126"/>
      <c r="E689" s="126"/>
      <c r="F689" s="127"/>
      <c r="G689" s="126"/>
      <c r="H689" s="127"/>
      <c r="I689" s="126"/>
      <c r="J689" s="126"/>
      <c r="K689" s="127"/>
      <c r="L689" s="126"/>
      <c r="M689" s="126"/>
      <c r="N689" s="127"/>
      <c r="O689" s="126"/>
      <c r="P689" s="126"/>
      <c r="Q689" s="127"/>
      <c r="R689" s="126"/>
      <c r="S689" s="126"/>
      <c r="T689" s="127"/>
      <c r="U689" s="126"/>
      <c r="V689" s="126"/>
      <c r="W689" s="127"/>
      <c r="X689" s="126"/>
      <c r="Y689" s="126"/>
      <c r="Z689" s="127"/>
      <c r="AA689" s="126"/>
      <c r="AB689" s="126"/>
      <c r="AC689" s="127"/>
      <c r="AD689" s="126"/>
      <c r="AE689" s="126"/>
      <c r="AF689" s="126"/>
      <c r="AG689" s="127"/>
      <c r="AH689" s="126"/>
      <c r="AI689" s="126"/>
      <c r="AJ689" s="127"/>
      <c r="AK689" s="126"/>
      <c r="AL689" s="126"/>
      <c r="AM689" s="127"/>
      <c r="AN689" s="126"/>
      <c r="AO689" s="126"/>
      <c r="AP689" s="127"/>
      <c r="AQ689" s="126"/>
      <c r="AR689" s="126"/>
      <c r="AS689" s="127"/>
      <c r="AT689" s="126"/>
      <c r="AU689" s="126"/>
      <c r="AV689" s="127"/>
      <c r="AW689" s="126"/>
      <c r="AX689" s="126"/>
      <c r="AY689" s="127"/>
      <c r="AZ689" s="126"/>
      <c r="BA689" s="126"/>
      <c r="BB689" s="127"/>
      <c r="BC689" s="126"/>
      <c r="BD689" s="134"/>
      <c r="BE689" s="127"/>
      <c r="BF689" s="126"/>
      <c r="BG689" s="126"/>
      <c r="BH689" s="126"/>
      <c r="BI689" s="126"/>
      <c r="BJ689" s="126"/>
      <c r="BK689" s="126"/>
      <c r="BL689" s="126"/>
      <c r="BM689" s="126"/>
      <c r="BN689" s="126"/>
      <c r="BO689" s="126"/>
      <c r="BP689" s="126"/>
      <c r="BQ689" s="126"/>
      <c r="BR689" s="126"/>
      <c r="BS689" s="126"/>
      <c r="BT689" s="126"/>
      <c r="BU689" s="126"/>
      <c r="BV689" s="126"/>
      <c r="BW689" s="126"/>
      <c r="BX689" s="126"/>
    </row>
    <row r="690">
      <c r="A690" s="126"/>
      <c r="B690" s="126"/>
      <c r="C690" s="127"/>
      <c r="D690" s="126"/>
      <c r="E690" s="126"/>
      <c r="F690" s="127"/>
      <c r="G690" s="126"/>
      <c r="H690" s="127"/>
      <c r="I690" s="126"/>
      <c r="J690" s="126"/>
      <c r="K690" s="127"/>
      <c r="L690" s="126"/>
      <c r="M690" s="126"/>
      <c r="N690" s="127"/>
      <c r="O690" s="126"/>
      <c r="P690" s="126"/>
      <c r="Q690" s="127"/>
      <c r="R690" s="126"/>
      <c r="S690" s="126"/>
      <c r="T690" s="127"/>
      <c r="U690" s="126"/>
      <c r="V690" s="126"/>
      <c r="W690" s="127"/>
      <c r="X690" s="126"/>
      <c r="Y690" s="126"/>
      <c r="Z690" s="127"/>
      <c r="AA690" s="126"/>
      <c r="AB690" s="126"/>
      <c r="AC690" s="127"/>
      <c r="AD690" s="126"/>
      <c r="AE690" s="126"/>
      <c r="AF690" s="126"/>
      <c r="AG690" s="127"/>
      <c r="AH690" s="126"/>
      <c r="AI690" s="126"/>
      <c r="AJ690" s="127"/>
      <c r="AK690" s="126"/>
      <c r="AL690" s="126"/>
      <c r="AM690" s="127"/>
      <c r="AN690" s="126"/>
      <c r="AO690" s="126"/>
      <c r="AP690" s="127"/>
      <c r="AQ690" s="126"/>
      <c r="AR690" s="126"/>
      <c r="AS690" s="127"/>
      <c r="AT690" s="126"/>
      <c r="AU690" s="126"/>
      <c r="AV690" s="127"/>
      <c r="AW690" s="126"/>
      <c r="AX690" s="126"/>
      <c r="AY690" s="127"/>
      <c r="AZ690" s="126"/>
      <c r="BA690" s="126"/>
      <c r="BB690" s="127"/>
      <c r="BC690" s="126"/>
      <c r="BD690" s="134"/>
      <c r="BE690" s="127"/>
      <c r="BF690" s="126"/>
      <c r="BG690" s="126"/>
      <c r="BH690" s="126"/>
      <c r="BI690" s="126"/>
      <c r="BJ690" s="126"/>
      <c r="BK690" s="126"/>
      <c r="BL690" s="126"/>
      <c r="BM690" s="126"/>
      <c r="BN690" s="126"/>
      <c r="BO690" s="126"/>
      <c r="BP690" s="126"/>
      <c r="BQ690" s="126"/>
      <c r="BR690" s="126"/>
      <c r="BS690" s="126"/>
      <c r="BT690" s="126"/>
      <c r="BU690" s="126"/>
      <c r="BV690" s="126"/>
      <c r="BW690" s="126"/>
      <c r="BX690" s="126"/>
    </row>
    <row r="691">
      <c r="A691" s="126"/>
      <c r="B691" s="126"/>
      <c r="C691" s="127"/>
      <c r="D691" s="126"/>
      <c r="E691" s="126"/>
      <c r="F691" s="127"/>
      <c r="G691" s="126"/>
      <c r="H691" s="127"/>
      <c r="I691" s="126"/>
      <c r="J691" s="126"/>
      <c r="K691" s="127"/>
      <c r="L691" s="126"/>
      <c r="M691" s="126"/>
      <c r="N691" s="127"/>
      <c r="O691" s="126"/>
      <c r="P691" s="126"/>
      <c r="Q691" s="127"/>
      <c r="R691" s="126"/>
      <c r="S691" s="126"/>
      <c r="T691" s="127"/>
      <c r="U691" s="126"/>
      <c r="V691" s="126"/>
      <c r="W691" s="127"/>
      <c r="X691" s="126"/>
      <c r="Y691" s="126"/>
      <c r="Z691" s="127"/>
      <c r="AA691" s="126"/>
      <c r="AB691" s="126"/>
      <c r="AC691" s="127"/>
      <c r="AD691" s="126"/>
      <c r="AE691" s="126"/>
      <c r="AF691" s="126"/>
      <c r="AG691" s="127"/>
      <c r="AH691" s="126"/>
      <c r="AI691" s="126"/>
      <c r="AJ691" s="127"/>
      <c r="AK691" s="126"/>
      <c r="AL691" s="126"/>
      <c r="AM691" s="127"/>
      <c r="AN691" s="126"/>
      <c r="AO691" s="126"/>
      <c r="AP691" s="127"/>
      <c r="AQ691" s="126"/>
      <c r="AR691" s="126"/>
      <c r="AS691" s="127"/>
      <c r="AT691" s="126"/>
      <c r="AU691" s="126"/>
      <c r="AV691" s="127"/>
      <c r="AW691" s="126"/>
      <c r="AX691" s="126"/>
      <c r="AY691" s="127"/>
      <c r="AZ691" s="126"/>
      <c r="BA691" s="126"/>
      <c r="BB691" s="127"/>
      <c r="BC691" s="126"/>
      <c r="BD691" s="134"/>
      <c r="BE691" s="127"/>
      <c r="BF691" s="126"/>
      <c r="BG691" s="126"/>
      <c r="BH691" s="126"/>
      <c r="BI691" s="126"/>
      <c r="BJ691" s="126"/>
      <c r="BK691" s="126"/>
      <c r="BL691" s="126"/>
      <c r="BM691" s="126"/>
      <c r="BN691" s="126"/>
      <c r="BO691" s="126"/>
      <c r="BP691" s="126"/>
      <c r="BQ691" s="126"/>
      <c r="BR691" s="126"/>
      <c r="BS691" s="126"/>
      <c r="BT691" s="126"/>
      <c r="BU691" s="126"/>
      <c r="BV691" s="126"/>
      <c r="BW691" s="126"/>
      <c r="BX691" s="126"/>
    </row>
    <row r="692">
      <c r="A692" s="126"/>
      <c r="B692" s="126"/>
      <c r="C692" s="127"/>
      <c r="D692" s="126"/>
      <c r="E692" s="126"/>
      <c r="F692" s="127"/>
      <c r="G692" s="126"/>
      <c r="H692" s="127"/>
      <c r="I692" s="126"/>
      <c r="J692" s="126"/>
      <c r="K692" s="127"/>
      <c r="L692" s="126"/>
      <c r="M692" s="126"/>
      <c r="N692" s="127"/>
      <c r="O692" s="126"/>
      <c r="P692" s="126"/>
      <c r="Q692" s="127"/>
      <c r="R692" s="126"/>
      <c r="S692" s="126"/>
      <c r="T692" s="127"/>
      <c r="U692" s="126"/>
      <c r="V692" s="126"/>
      <c r="W692" s="127"/>
      <c r="X692" s="126"/>
      <c r="Y692" s="126"/>
      <c r="Z692" s="127"/>
      <c r="AA692" s="126"/>
      <c r="AB692" s="126"/>
      <c r="AC692" s="127"/>
      <c r="AD692" s="126"/>
      <c r="AE692" s="126"/>
      <c r="AF692" s="126"/>
      <c r="AG692" s="127"/>
      <c r="AH692" s="126"/>
      <c r="AI692" s="126"/>
      <c r="AJ692" s="127"/>
      <c r="AK692" s="126"/>
      <c r="AL692" s="126"/>
      <c r="AM692" s="127"/>
      <c r="AN692" s="126"/>
      <c r="AO692" s="126"/>
      <c r="AP692" s="127"/>
      <c r="AQ692" s="126"/>
      <c r="AR692" s="126"/>
      <c r="AS692" s="127"/>
      <c r="AT692" s="126"/>
      <c r="AU692" s="126"/>
      <c r="AV692" s="127"/>
      <c r="AW692" s="126"/>
      <c r="AX692" s="126"/>
      <c r="AY692" s="127"/>
      <c r="AZ692" s="126"/>
      <c r="BA692" s="126"/>
      <c r="BB692" s="127"/>
      <c r="BC692" s="126"/>
      <c r="BD692" s="134"/>
      <c r="BE692" s="127"/>
      <c r="BF692" s="126"/>
      <c r="BG692" s="126"/>
      <c r="BH692" s="126"/>
      <c r="BI692" s="126"/>
      <c r="BJ692" s="126"/>
      <c r="BK692" s="126"/>
      <c r="BL692" s="126"/>
      <c r="BM692" s="126"/>
      <c r="BN692" s="126"/>
      <c r="BO692" s="126"/>
      <c r="BP692" s="126"/>
      <c r="BQ692" s="126"/>
      <c r="BR692" s="126"/>
      <c r="BS692" s="126"/>
      <c r="BT692" s="126"/>
      <c r="BU692" s="126"/>
      <c r="BV692" s="126"/>
      <c r="BW692" s="126"/>
      <c r="BX692" s="126"/>
    </row>
    <row r="693">
      <c r="A693" s="126"/>
      <c r="B693" s="126"/>
      <c r="C693" s="127"/>
      <c r="D693" s="126"/>
      <c r="E693" s="126"/>
      <c r="F693" s="127"/>
      <c r="G693" s="126"/>
      <c r="H693" s="127"/>
      <c r="I693" s="126"/>
      <c r="J693" s="126"/>
      <c r="K693" s="127"/>
      <c r="L693" s="126"/>
      <c r="M693" s="126"/>
      <c r="N693" s="127"/>
      <c r="O693" s="126"/>
      <c r="P693" s="126"/>
      <c r="Q693" s="127"/>
      <c r="R693" s="126"/>
      <c r="S693" s="126"/>
      <c r="T693" s="127"/>
      <c r="U693" s="126"/>
      <c r="V693" s="126"/>
      <c r="W693" s="127"/>
      <c r="X693" s="126"/>
      <c r="Y693" s="126"/>
      <c r="Z693" s="127"/>
      <c r="AA693" s="126"/>
      <c r="AB693" s="126"/>
      <c r="AC693" s="127"/>
      <c r="AD693" s="126"/>
      <c r="AE693" s="126"/>
      <c r="AF693" s="126"/>
      <c r="AG693" s="127"/>
      <c r="AH693" s="126"/>
      <c r="AI693" s="126"/>
      <c r="AJ693" s="127"/>
      <c r="AK693" s="126"/>
      <c r="AL693" s="126"/>
      <c r="AM693" s="127"/>
      <c r="AN693" s="126"/>
      <c r="AO693" s="126"/>
      <c r="AP693" s="127"/>
      <c r="AQ693" s="126"/>
      <c r="AR693" s="126"/>
      <c r="AS693" s="127"/>
      <c r="AT693" s="126"/>
      <c r="AU693" s="126"/>
      <c r="AV693" s="127"/>
      <c r="AW693" s="126"/>
      <c r="AX693" s="126"/>
      <c r="AY693" s="127"/>
      <c r="AZ693" s="126"/>
      <c r="BA693" s="126"/>
      <c r="BB693" s="127"/>
      <c r="BC693" s="126"/>
      <c r="BD693" s="134"/>
      <c r="BE693" s="127"/>
      <c r="BF693" s="126"/>
      <c r="BG693" s="126"/>
      <c r="BH693" s="126"/>
      <c r="BI693" s="126"/>
      <c r="BJ693" s="126"/>
      <c r="BK693" s="126"/>
      <c r="BL693" s="126"/>
      <c r="BM693" s="126"/>
      <c r="BN693" s="126"/>
      <c r="BO693" s="126"/>
      <c r="BP693" s="126"/>
      <c r="BQ693" s="126"/>
      <c r="BR693" s="126"/>
      <c r="BS693" s="126"/>
      <c r="BT693" s="126"/>
      <c r="BU693" s="126"/>
      <c r="BV693" s="126"/>
      <c r="BW693" s="126"/>
      <c r="BX693" s="126"/>
    </row>
    <row r="694">
      <c r="A694" s="126"/>
      <c r="B694" s="126"/>
      <c r="C694" s="127"/>
      <c r="D694" s="126"/>
      <c r="E694" s="126"/>
      <c r="F694" s="127"/>
      <c r="G694" s="126"/>
      <c r="H694" s="127"/>
      <c r="I694" s="126"/>
      <c r="J694" s="126"/>
      <c r="K694" s="127"/>
      <c r="L694" s="126"/>
      <c r="M694" s="126"/>
      <c r="N694" s="127"/>
      <c r="O694" s="126"/>
      <c r="P694" s="126"/>
      <c r="Q694" s="127"/>
      <c r="R694" s="126"/>
      <c r="S694" s="126"/>
      <c r="T694" s="127"/>
      <c r="U694" s="126"/>
      <c r="V694" s="126"/>
      <c r="W694" s="127"/>
      <c r="X694" s="126"/>
      <c r="Y694" s="126"/>
      <c r="Z694" s="127"/>
      <c r="AA694" s="126"/>
      <c r="AB694" s="126"/>
      <c r="AC694" s="127"/>
      <c r="AD694" s="126"/>
      <c r="AE694" s="126"/>
      <c r="AF694" s="126"/>
      <c r="AG694" s="127"/>
      <c r="AH694" s="126"/>
      <c r="AI694" s="126"/>
      <c r="AJ694" s="127"/>
      <c r="AK694" s="126"/>
      <c r="AL694" s="126"/>
      <c r="AM694" s="127"/>
      <c r="AN694" s="126"/>
      <c r="AO694" s="126"/>
      <c r="AP694" s="127"/>
      <c r="AQ694" s="126"/>
      <c r="AR694" s="126"/>
      <c r="AS694" s="127"/>
      <c r="AT694" s="126"/>
      <c r="AU694" s="126"/>
      <c r="AV694" s="127"/>
      <c r="AW694" s="126"/>
      <c r="AX694" s="126"/>
      <c r="AY694" s="127"/>
      <c r="AZ694" s="126"/>
      <c r="BA694" s="126"/>
      <c r="BB694" s="127"/>
      <c r="BC694" s="126"/>
      <c r="BD694" s="134"/>
      <c r="BE694" s="127"/>
      <c r="BF694" s="126"/>
      <c r="BG694" s="126"/>
      <c r="BH694" s="126"/>
      <c r="BI694" s="126"/>
      <c r="BJ694" s="126"/>
      <c r="BK694" s="126"/>
      <c r="BL694" s="126"/>
      <c r="BM694" s="126"/>
      <c r="BN694" s="126"/>
      <c r="BO694" s="126"/>
      <c r="BP694" s="126"/>
      <c r="BQ694" s="126"/>
      <c r="BR694" s="126"/>
      <c r="BS694" s="126"/>
      <c r="BT694" s="126"/>
      <c r="BU694" s="126"/>
      <c r="BV694" s="126"/>
      <c r="BW694" s="126"/>
      <c r="BX694" s="126"/>
    </row>
    <row r="695">
      <c r="A695" s="126"/>
      <c r="B695" s="126"/>
      <c r="C695" s="127"/>
      <c r="D695" s="126"/>
      <c r="E695" s="126"/>
      <c r="F695" s="127"/>
      <c r="G695" s="126"/>
      <c r="H695" s="127"/>
      <c r="I695" s="126"/>
      <c r="J695" s="126"/>
      <c r="K695" s="127"/>
      <c r="L695" s="126"/>
      <c r="M695" s="126"/>
      <c r="N695" s="127"/>
      <c r="O695" s="126"/>
      <c r="P695" s="126"/>
      <c r="Q695" s="127"/>
      <c r="R695" s="126"/>
      <c r="S695" s="126"/>
      <c r="T695" s="127"/>
      <c r="U695" s="126"/>
      <c r="V695" s="126"/>
      <c r="W695" s="127"/>
      <c r="X695" s="126"/>
      <c r="Y695" s="126"/>
      <c r="Z695" s="127"/>
      <c r="AA695" s="126"/>
      <c r="AB695" s="126"/>
      <c r="AC695" s="127"/>
      <c r="AD695" s="126"/>
      <c r="AE695" s="126"/>
      <c r="AF695" s="126"/>
      <c r="AG695" s="127"/>
      <c r="AH695" s="126"/>
      <c r="AI695" s="126"/>
      <c r="AJ695" s="127"/>
      <c r="AK695" s="126"/>
      <c r="AL695" s="126"/>
      <c r="AM695" s="127"/>
      <c r="AN695" s="126"/>
      <c r="AO695" s="126"/>
      <c r="AP695" s="127"/>
      <c r="AQ695" s="126"/>
      <c r="AR695" s="126"/>
      <c r="AS695" s="127"/>
      <c r="AT695" s="126"/>
      <c r="AU695" s="126"/>
      <c r="AV695" s="127"/>
      <c r="AW695" s="126"/>
      <c r="AX695" s="126"/>
      <c r="AY695" s="127"/>
      <c r="AZ695" s="126"/>
      <c r="BA695" s="126"/>
      <c r="BB695" s="127"/>
      <c r="BC695" s="126"/>
      <c r="BD695" s="134"/>
      <c r="BE695" s="127"/>
      <c r="BF695" s="126"/>
      <c r="BG695" s="126"/>
      <c r="BH695" s="126"/>
      <c r="BI695" s="126"/>
      <c r="BJ695" s="126"/>
      <c r="BK695" s="126"/>
      <c r="BL695" s="126"/>
      <c r="BM695" s="126"/>
      <c r="BN695" s="126"/>
      <c r="BO695" s="126"/>
      <c r="BP695" s="126"/>
      <c r="BQ695" s="126"/>
      <c r="BR695" s="126"/>
      <c r="BS695" s="126"/>
      <c r="BT695" s="126"/>
      <c r="BU695" s="126"/>
      <c r="BV695" s="126"/>
      <c r="BW695" s="126"/>
      <c r="BX695" s="126"/>
    </row>
    <row r="696">
      <c r="A696" s="126"/>
      <c r="B696" s="126"/>
      <c r="C696" s="127"/>
      <c r="D696" s="126"/>
      <c r="E696" s="126"/>
      <c r="F696" s="127"/>
      <c r="G696" s="126"/>
      <c r="H696" s="127"/>
      <c r="I696" s="126"/>
      <c r="J696" s="126"/>
      <c r="K696" s="127"/>
      <c r="L696" s="126"/>
      <c r="M696" s="126"/>
      <c r="N696" s="127"/>
      <c r="O696" s="126"/>
      <c r="P696" s="126"/>
      <c r="Q696" s="127"/>
      <c r="R696" s="126"/>
      <c r="S696" s="126"/>
      <c r="T696" s="127"/>
      <c r="U696" s="126"/>
      <c r="V696" s="126"/>
      <c r="W696" s="127"/>
      <c r="X696" s="126"/>
      <c r="Y696" s="126"/>
      <c r="Z696" s="127"/>
      <c r="AA696" s="126"/>
      <c r="AB696" s="126"/>
      <c r="AC696" s="127"/>
      <c r="AD696" s="126"/>
      <c r="AE696" s="126"/>
      <c r="AF696" s="126"/>
      <c r="AG696" s="127"/>
      <c r="AH696" s="126"/>
      <c r="AI696" s="126"/>
      <c r="AJ696" s="127"/>
      <c r="AK696" s="126"/>
      <c r="AL696" s="126"/>
      <c r="AM696" s="127"/>
      <c r="AN696" s="126"/>
      <c r="AO696" s="126"/>
      <c r="AP696" s="127"/>
      <c r="AQ696" s="126"/>
      <c r="AR696" s="126"/>
      <c r="AS696" s="127"/>
      <c r="AT696" s="126"/>
      <c r="AU696" s="126"/>
      <c r="AV696" s="127"/>
      <c r="AW696" s="126"/>
      <c r="AX696" s="126"/>
      <c r="AY696" s="127"/>
      <c r="AZ696" s="126"/>
      <c r="BA696" s="126"/>
      <c r="BB696" s="127"/>
      <c r="BC696" s="126"/>
      <c r="BD696" s="134"/>
      <c r="BE696" s="127"/>
      <c r="BF696" s="126"/>
      <c r="BG696" s="126"/>
      <c r="BH696" s="126"/>
      <c r="BI696" s="126"/>
      <c r="BJ696" s="126"/>
      <c r="BK696" s="126"/>
      <c r="BL696" s="126"/>
      <c r="BM696" s="126"/>
      <c r="BN696" s="126"/>
      <c r="BO696" s="126"/>
      <c r="BP696" s="126"/>
      <c r="BQ696" s="126"/>
      <c r="BR696" s="126"/>
      <c r="BS696" s="126"/>
      <c r="BT696" s="126"/>
      <c r="BU696" s="126"/>
      <c r="BV696" s="126"/>
      <c r="BW696" s="126"/>
      <c r="BX696" s="126"/>
    </row>
    <row r="697">
      <c r="A697" s="126"/>
      <c r="B697" s="126"/>
      <c r="C697" s="127"/>
      <c r="D697" s="126"/>
      <c r="E697" s="126"/>
      <c r="F697" s="127"/>
      <c r="G697" s="126"/>
      <c r="H697" s="127"/>
      <c r="I697" s="126"/>
      <c r="J697" s="126"/>
      <c r="K697" s="127"/>
      <c r="L697" s="126"/>
      <c r="M697" s="126"/>
      <c r="N697" s="127"/>
      <c r="O697" s="126"/>
      <c r="P697" s="126"/>
      <c r="Q697" s="127"/>
      <c r="R697" s="126"/>
      <c r="S697" s="126"/>
      <c r="T697" s="127"/>
      <c r="U697" s="126"/>
      <c r="V697" s="126"/>
      <c r="W697" s="127"/>
      <c r="X697" s="126"/>
      <c r="Y697" s="126"/>
      <c r="Z697" s="127"/>
      <c r="AA697" s="126"/>
      <c r="AB697" s="126"/>
      <c r="AC697" s="127"/>
      <c r="AD697" s="126"/>
      <c r="AE697" s="126"/>
      <c r="AF697" s="126"/>
      <c r="AG697" s="127"/>
      <c r="AH697" s="126"/>
      <c r="AI697" s="126"/>
      <c r="AJ697" s="127"/>
      <c r="AK697" s="126"/>
      <c r="AL697" s="126"/>
      <c r="AM697" s="127"/>
      <c r="AN697" s="126"/>
      <c r="AO697" s="126"/>
      <c r="AP697" s="127"/>
      <c r="AQ697" s="126"/>
      <c r="AR697" s="126"/>
      <c r="AS697" s="127"/>
      <c r="AT697" s="126"/>
      <c r="AU697" s="126"/>
      <c r="AV697" s="127"/>
      <c r="AW697" s="126"/>
      <c r="AX697" s="126"/>
      <c r="AY697" s="127"/>
      <c r="AZ697" s="126"/>
      <c r="BA697" s="126"/>
      <c r="BB697" s="127"/>
      <c r="BC697" s="126"/>
      <c r="BD697" s="134"/>
      <c r="BE697" s="127"/>
      <c r="BF697" s="126"/>
      <c r="BG697" s="126"/>
      <c r="BH697" s="126"/>
      <c r="BI697" s="126"/>
      <c r="BJ697" s="126"/>
      <c r="BK697" s="126"/>
      <c r="BL697" s="126"/>
      <c r="BM697" s="126"/>
      <c r="BN697" s="126"/>
      <c r="BO697" s="126"/>
      <c r="BP697" s="126"/>
      <c r="BQ697" s="126"/>
      <c r="BR697" s="126"/>
      <c r="BS697" s="126"/>
      <c r="BT697" s="126"/>
      <c r="BU697" s="126"/>
      <c r="BV697" s="126"/>
      <c r="BW697" s="126"/>
      <c r="BX697" s="126"/>
    </row>
    <row r="698">
      <c r="A698" s="126"/>
      <c r="B698" s="126"/>
      <c r="C698" s="127"/>
      <c r="D698" s="126"/>
      <c r="E698" s="126"/>
      <c r="F698" s="127"/>
      <c r="G698" s="126"/>
      <c r="H698" s="127"/>
      <c r="I698" s="126"/>
      <c r="J698" s="126"/>
      <c r="K698" s="127"/>
      <c r="L698" s="126"/>
      <c r="M698" s="126"/>
      <c r="N698" s="127"/>
      <c r="O698" s="126"/>
      <c r="P698" s="126"/>
      <c r="Q698" s="127"/>
      <c r="R698" s="126"/>
      <c r="S698" s="126"/>
      <c r="T698" s="127"/>
      <c r="U698" s="126"/>
      <c r="V698" s="126"/>
      <c r="W698" s="127"/>
      <c r="X698" s="126"/>
      <c r="Y698" s="126"/>
      <c r="Z698" s="127"/>
      <c r="AA698" s="126"/>
      <c r="AB698" s="126"/>
      <c r="AC698" s="127"/>
      <c r="AD698" s="126"/>
      <c r="AE698" s="126"/>
      <c r="AF698" s="126"/>
      <c r="AG698" s="127"/>
      <c r="AH698" s="126"/>
      <c r="AI698" s="126"/>
      <c r="AJ698" s="127"/>
      <c r="AK698" s="126"/>
      <c r="AL698" s="126"/>
      <c r="AM698" s="127"/>
      <c r="AN698" s="126"/>
      <c r="AO698" s="126"/>
      <c r="AP698" s="127"/>
      <c r="AQ698" s="126"/>
      <c r="AR698" s="126"/>
      <c r="AS698" s="127"/>
      <c r="AT698" s="126"/>
      <c r="AU698" s="126"/>
      <c r="AV698" s="127"/>
      <c r="AW698" s="126"/>
      <c r="AX698" s="126"/>
      <c r="AY698" s="127"/>
      <c r="AZ698" s="126"/>
      <c r="BA698" s="126"/>
      <c r="BB698" s="127"/>
      <c r="BC698" s="126"/>
      <c r="BD698" s="134"/>
      <c r="BE698" s="127"/>
      <c r="BF698" s="126"/>
      <c r="BG698" s="126"/>
      <c r="BH698" s="126"/>
      <c r="BI698" s="126"/>
      <c r="BJ698" s="126"/>
      <c r="BK698" s="126"/>
      <c r="BL698" s="126"/>
      <c r="BM698" s="126"/>
      <c r="BN698" s="126"/>
      <c r="BO698" s="126"/>
      <c r="BP698" s="126"/>
      <c r="BQ698" s="126"/>
      <c r="BR698" s="126"/>
      <c r="BS698" s="126"/>
      <c r="BT698" s="126"/>
      <c r="BU698" s="126"/>
      <c r="BV698" s="126"/>
      <c r="BW698" s="126"/>
      <c r="BX698" s="126"/>
    </row>
    <row r="699">
      <c r="A699" s="126"/>
      <c r="B699" s="126"/>
      <c r="C699" s="127"/>
      <c r="D699" s="126"/>
      <c r="E699" s="126"/>
      <c r="F699" s="127"/>
      <c r="G699" s="126"/>
      <c r="H699" s="127"/>
      <c r="I699" s="126"/>
      <c r="J699" s="126"/>
      <c r="K699" s="127"/>
      <c r="L699" s="126"/>
      <c r="M699" s="126"/>
      <c r="N699" s="127"/>
      <c r="O699" s="126"/>
      <c r="P699" s="126"/>
      <c r="Q699" s="127"/>
      <c r="R699" s="126"/>
      <c r="S699" s="126"/>
      <c r="T699" s="127"/>
      <c r="U699" s="126"/>
      <c r="V699" s="126"/>
      <c r="W699" s="127"/>
      <c r="X699" s="126"/>
      <c r="Y699" s="126"/>
      <c r="Z699" s="127"/>
      <c r="AA699" s="126"/>
      <c r="AB699" s="126"/>
      <c r="AC699" s="127"/>
      <c r="AD699" s="126"/>
      <c r="AE699" s="126"/>
      <c r="AF699" s="126"/>
      <c r="AG699" s="127"/>
      <c r="AH699" s="126"/>
      <c r="AI699" s="126"/>
      <c r="AJ699" s="127"/>
      <c r="AK699" s="126"/>
      <c r="AL699" s="126"/>
      <c r="AM699" s="127"/>
      <c r="AN699" s="126"/>
      <c r="AO699" s="126"/>
      <c r="AP699" s="127"/>
      <c r="AQ699" s="126"/>
      <c r="AR699" s="126"/>
      <c r="AS699" s="127"/>
      <c r="AT699" s="126"/>
      <c r="AU699" s="126"/>
      <c r="AV699" s="127"/>
      <c r="AW699" s="126"/>
      <c r="AX699" s="126"/>
      <c r="AY699" s="127"/>
      <c r="AZ699" s="126"/>
      <c r="BA699" s="126"/>
      <c r="BB699" s="127"/>
      <c r="BC699" s="126"/>
      <c r="BD699" s="134"/>
      <c r="BE699" s="127"/>
      <c r="BF699" s="126"/>
      <c r="BG699" s="126"/>
      <c r="BH699" s="126"/>
      <c r="BI699" s="126"/>
      <c r="BJ699" s="126"/>
      <c r="BK699" s="126"/>
      <c r="BL699" s="126"/>
      <c r="BM699" s="126"/>
      <c r="BN699" s="126"/>
      <c r="BO699" s="126"/>
      <c r="BP699" s="126"/>
      <c r="BQ699" s="126"/>
      <c r="BR699" s="126"/>
      <c r="BS699" s="126"/>
      <c r="BT699" s="126"/>
      <c r="BU699" s="126"/>
      <c r="BV699" s="126"/>
      <c r="BW699" s="126"/>
      <c r="BX699" s="126"/>
    </row>
    <row r="700">
      <c r="A700" s="126"/>
      <c r="B700" s="126"/>
      <c r="C700" s="127"/>
      <c r="D700" s="126"/>
      <c r="E700" s="126"/>
      <c r="F700" s="127"/>
      <c r="G700" s="126"/>
      <c r="H700" s="127"/>
      <c r="I700" s="126"/>
      <c r="J700" s="126"/>
      <c r="K700" s="127"/>
      <c r="L700" s="126"/>
      <c r="M700" s="126"/>
      <c r="N700" s="127"/>
      <c r="O700" s="126"/>
      <c r="P700" s="126"/>
      <c r="Q700" s="127"/>
      <c r="R700" s="126"/>
      <c r="S700" s="126"/>
      <c r="T700" s="127"/>
      <c r="U700" s="126"/>
      <c r="V700" s="126"/>
      <c r="W700" s="127"/>
      <c r="X700" s="126"/>
      <c r="Y700" s="126"/>
      <c r="Z700" s="127"/>
      <c r="AA700" s="126"/>
      <c r="AB700" s="126"/>
      <c r="AC700" s="127"/>
      <c r="AD700" s="126"/>
      <c r="AE700" s="126"/>
      <c r="AF700" s="126"/>
      <c r="AG700" s="127"/>
      <c r="AH700" s="126"/>
      <c r="AI700" s="126"/>
      <c r="AJ700" s="127"/>
      <c r="AK700" s="126"/>
      <c r="AL700" s="126"/>
      <c r="AM700" s="127"/>
      <c r="AN700" s="126"/>
      <c r="AO700" s="126"/>
      <c r="AP700" s="127"/>
      <c r="AQ700" s="126"/>
      <c r="AR700" s="126"/>
      <c r="AS700" s="127"/>
      <c r="AT700" s="126"/>
      <c r="AU700" s="126"/>
      <c r="AV700" s="127"/>
      <c r="AW700" s="126"/>
      <c r="AX700" s="126"/>
      <c r="AY700" s="127"/>
      <c r="AZ700" s="126"/>
      <c r="BA700" s="126"/>
      <c r="BB700" s="127"/>
      <c r="BC700" s="126"/>
      <c r="BD700" s="134"/>
      <c r="BE700" s="127"/>
      <c r="BF700" s="126"/>
      <c r="BG700" s="126"/>
      <c r="BH700" s="126"/>
      <c r="BI700" s="126"/>
      <c r="BJ700" s="126"/>
      <c r="BK700" s="126"/>
      <c r="BL700" s="126"/>
      <c r="BM700" s="126"/>
      <c r="BN700" s="126"/>
      <c r="BO700" s="126"/>
      <c r="BP700" s="126"/>
      <c r="BQ700" s="126"/>
      <c r="BR700" s="126"/>
      <c r="BS700" s="126"/>
      <c r="BT700" s="126"/>
      <c r="BU700" s="126"/>
      <c r="BV700" s="126"/>
      <c r="BW700" s="126"/>
      <c r="BX700" s="126"/>
    </row>
    <row r="701">
      <c r="A701" s="126"/>
      <c r="B701" s="126"/>
      <c r="C701" s="127"/>
      <c r="D701" s="126"/>
      <c r="E701" s="126"/>
      <c r="F701" s="127"/>
      <c r="G701" s="126"/>
      <c r="H701" s="127"/>
      <c r="I701" s="126"/>
      <c r="J701" s="126"/>
      <c r="K701" s="127"/>
      <c r="L701" s="126"/>
      <c r="M701" s="126"/>
      <c r="N701" s="127"/>
      <c r="O701" s="126"/>
      <c r="P701" s="126"/>
      <c r="Q701" s="127"/>
      <c r="R701" s="126"/>
      <c r="S701" s="126"/>
      <c r="T701" s="127"/>
      <c r="U701" s="126"/>
      <c r="V701" s="126"/>
      <c r="W701" s="127"/>
      <c r="X701" s="126"/>
      <c r="Y701" s="126"/>
      <c r="Z701" s="127"/>
      <c r="AA701" s="126"/>
      <c r="AB701" s="126"/>
      <c r="AC701" s="127"/>
      <c r="AD701" s="126"/>
      <c r="AE701" s="126"/>
      <c r="AF701" s="126"/>
      <c r="AG701" s="127"/>
      <c r="AH701" s="126"/>
      <c r="AI701" s="126"/>
      <c r="AJ701" s="127"/>
      <c r="AK701" s="126"/>
      <c r="AL701" s="126"/>
      <c r="AM701" s="127"/>
      <c r="AN701" s="126"/>
      <c r="AO701" s="126"/>
      <c r="AP701" s="127"/>
      <c r="AQ701" s="126"/>
      <c r="AR701" s="126"/>
      <c r="AS701" s="127"/>
      <c r="AT701" s="126"/>
      <c r="AU701" s="126"/>
      <c r="AV701" s="127"/>
      <c r="AW701" s="126"/>
      <c r="AX701" s="126"/>
      <c r="AY701" s="127"/>
      <c r="AZ701" s="126"/>
      <c r="BA701" s="126"/>
      <c r="BB701" s="127"/>
      <c r="BC701" s="126"/>
      <c r="BD701" s="134"/>
      <c r="BE701" s="127"/>
      <c r="BF701" s="126"/>
      <c r="BG701" s="126"/>
      <c r="BH701" s="126"/>
      <c r="BI701" s="126"/>
      <c r="BJ701" s="126"/>
      <c r="BK701" s="126"/>
      <c r="BL701" s="126"/>
      <c r="BM701" s="126"/>
      <c r="BN701" s="126"/>
      <c r="BO701" s="126"/>
      <c r="BP701" s="126"/>
      <c r="BQ701" s="126"/>
      <c r="BR701" s="126"/>
      <c r="BS701" s="126"/>
      <c r="BT701" s="126"/>
      <c r="BU701" s="126"/>
      <c r="BV701" s="126"/>
      <c r="BW701" s="126"/>
      <c r="BX701" s="126"/>
    </row>
    <row r="702">
      <c r="A702" s="126"/>
      <c r="B702" s="126"/>
      <c r="C702" s="127"/>
      <c r="D702" s="126"/>
      <c r="E702" s="126"/>
      <c r="F702" s="127"/>
      <c r="G702" s="126"/>
      <c r="H702" s="127"/>
      <c r="I702" s="126"/>
      <c r="J702" s="126"/>
      <c r="K702" s="127"/>
      <c r="L702" s="126"/>
      <c r="M702" s="126"/>
      <c r="N702" s="127"/>
      <c r="O702" s="126"/>
      <c r="P702" s="126"/>
      <c r="Q702" s="127"/>
      <c r="R702" s="126"/>
      <c r="S702" s="126"/>
      <c r="T702" s="127"/>
      <c r="U702" s="126"/>
      <c r="V702" s="126"/>
      <c r="W702" s="127"/>
      <c r="X702" s="126"/>
      <c r="Y702" s="126"/>
      <c r="Z702" s="127"/>
      <c r="AA702" s="126"/>
      <c r="AB702" s="126"/>
      <c r="AC702" s="127"/>
      <c r="AD702" s="126"/>
      <c r="AE702" s="126"/>
      <c r="AF702" s="126"/>
      <c r="AG702" s="127"/>
      <c r="AH702" s="126"/>
      <c r="AI702" s="126"/>
      <c r="AJ702" s="127"/>
      <c r="AK702" s="126"/>
      <c r="AL702" s="126"/>
      <c r="AM702" s="127"/>
      <c r="AN702" s="126"/>
      <c r="AO702" s="126"/>
      <c r="AP702" s="127"/>
      <c r="AQ702" s="126"/>
      <c r="AR702" s="126"/>
      <c r="AS702" s="127"/>
      <c r="AT702" s="126"/>
      <c r="AU702" s="126"/>
      <c r="AV702" s="127"/>
      <c r="AW702" s="126"/>
      <c r="AX702" s="126"/>
      <c r="AY702" s="127"/>
      <c r="AZ702" s="126"/>
      <c r="BA702" s="126"/>
      <c r="BB702" s="127"/>
      <c r="BC702" s="126"/>
      <c r="BD702" s="134"/>
      <c r="BE702" s="127"/>
      <c r="BF702" s="126"/>
      <c r="BG702" s="126"/>
      <c r="BH702" s="126"/>
      <c r="BI702" s="126"/>
      <c r="BJ702" s="126"/>
      <c r="BK702" s="126"/>
      <c r="BL702" s="126"/>
      <c r="BM702" s="126"/>
      <c r="BN702" s="126"/>
      <c r="BO702" s="126"/>
      <c r="BP702" s="126"/>
      <c r="BQ702" s="126"/>
      <c r="BR702" s="126"/>
      <c r="BS702" s="126"/>
      <c r="BT702" s="126"/>
      <c r="BU702" s="126"/>
      <c r="BV702" s="126"/>
      <c r="BW702" s="126"/>
      <c r="BX702" s="126"/>
    </row>
    <row r="703">
      <c r="A703" s="126"/>
      <c r="B703" s="126"/>
      <c r="C703" s="127"/>
      <c r="D703" s="126"/>
      <c r="E703" s="126"/>
      <c r="F703" s="127"/>
      <c r="G703" s="126"/>
      <c r="H703" s="127"/>
      <c r="I703" s="126"/>
      <c r="J703" s="126"/>
      <c r="K703" s="127"/>
      <c r="L703" s="126"/>
      <c r="M703" s="126"/>
      <c r="N703" s="127"/>
      <c r="O703" s="126"/>
      <c r="P703" s="126"/>
      <c r="Q703" s="127"/>
      <c r="R703" s="126"/>
      <c r="S703" s="126"/>
      <c r="T703" s="127"/>
      <c r="U703" s="126"/>
      <c r="V703" s="126"/>
      <c r="W703" s="127"/>
      <c r="X703" s="126"/>
      <c r="Y703" s="126"/>
      <c r="Z703" s="127"/>
      <c r="AA703" s="126"/>
      <c r="AB703" s="126"/>
      <c r="AC703" s="127"/>
      <c r="AD703" s="126"/>
      <c r="AE703" s="126"/>
      <c r="AF703" s="126"/>
      <c r="AG703" s="127"/>
      <c r="AH703" s="126"/>
      <c r="AI703" s="126"/>
      <c r="AJ703" s="127"/>
      <c r="AK703" s="126"/>
      <c r="AL703" s="126"/>
      <c r="AM703" s="127"/>
      <c r="AN703" s="126"/>
      <c r="AO703" s="126"/>
      <c r="AP703" s="127"/>
      <c r="AQ703" s="126"/>
      <c r="AR703" s="126"/>
      <c r="AS703" s="127"/>
      <c r="AT703" s="126"/>
      <c r="AU703" s="126"/>
      <c r="AV703" s="127"/>
      <c r="AW703" s="126"/>
      <c r="AX703" s="126"/>
      <c r="AY703" s="127"/>
      <c r="AZ703" s="126"/>
      <c r="BA703" s="126"/>
      <c r="BB703" s="127"/>
      <c r="BC703" s="126"/>
      <c r="BD703" s="134"/>
      <c r="BE703" s="127"/>
      <c r="BF703" s="126"/>
      <c r="BG703" s="126"/>
      <c r="BH703" s="126"/>
      <c r="BI703" s="126"/>
      <c r="BJ703" s="126"/>
      <c r="BK703" s="126"/>
      <c r="BL703" s="126"/>
      <c r="BM703" s="126"/>
      <c r="BN703" s="126"/>
      <c r="BO703" s="126"/>
      <c r="BP703" s="126"/>
      <c r="BQ703" s="126"/>
      <c r="BR703" s="126"/>
      <c r="BS703" s="126"/>
      <c r="BT703" s="126"/>
      <c r="BU703" s="126"/>
      <c r="BV703" s="126"/>
      <c r="BW703" s="126"/>
      <c r="BX703" s="126"/>
    </row>
    <row r="704">
      <c r="A704" s="126"/>
      <c r="B704" s="126"/>
      <c r="C704" s="127"/>
      <c r="D704" s="126"/>
      <c r="E704" s="126"/>
      <c r="F704" s="127"/>
      <c r="G704" s="126"/>
      <c r="H704" s="127"/>
      <c r="I704" s="126"/>
      <c r="J704" s="126"/>
      <c r="K704" s="127"/>
      <c r="L704" s="126"/>
      <c r="M704" s="126"/>
      <c r="N704" s="127"/>
      <c r="O704" s="126"/>
      <c r="P704" s="126"/>
      <c r="Q704" s="127"/>
      <c r="R704" s="126"/>
      <c r="S704" s="126"/>
      <c r="T704" s="127"/>
      <c r="U704" s="126"/>
      <c r="V704" s="126"/>
      <c r="W704" s="127"/>
      <c r="X704" s="126"/>
      <c r="Y704" s="126"/>
      <c r="Z704" s="127"/>
      <c r="AA704" s="126"/>
      <c r="AB704" s="126"/>
      <c r="AC704" s="127"/>
      <c r="AD704" s="126"/>
      <c r="AE704" s="126"/>
      <c r="AF704" s="126"/>
      <c r="AG704" s="127"/>
      <c r="AH704" s="126"/>
      <c r="AI704" s="126"/>
      <c r="AJ704" s="127"/>
      <c r="AK704" s="126"/>
      <c r="AL704" s="126"/>
      <c r="AM704" s="127"/>
      <c r="AN704" s="126"/>
      <c r="AO704" s="126"/>
      <c r="AP704" s="127"/>
      <c r="AQ704" s="126"/>
      <c r="AR704" s="126"/>
      <c r="AS704" s="127"/>
      <c r="AT704" s="126"/>
      <c r="AU704" s="126"/>
      <c r="AV704" s="127"/>
      <c r="AW704" s="126"/>
      <c r="AX704" s="126"/>
      <c r="AY704" s="127"/>
      <c r="AZ704" s="126"/>
      <c r="BA704" s="126"/>
      <c r="BB704" s="127"/>
      <c r="BC704" s="126"/>
      <c r="BD704" s="134"/>
      <c r="BE704" s="127"/>
      <c r="BF704" s="126"/>
      <c r="BG704" s="126"/>
      <c r="BH704" s="126"/>
      <c r="BI704" s="126"/>
      <c r="BJ704" s="126"/>
      <c r="BK704" s="126"/>
      <c r="BL704" s="126"/>
      <c r="BM704" s="126"/>
      <c r="BN704" s="126"/>
      <c r="BO704" s="126"/>
      <c r="BP704" s="126"/>
      <c r="BQ704" s="126"/>
      <c r="BR704" s="126"/>
      <c r="BS704" s="126"/>
      <c r="BT704" s="126"/>
      <c r="BU704" s="126"/>
      <c r="BV704" s="126"/>
      <c r="BW704" s="126"/>
      <c r="BX704" s="126"/>
    </row>
    <row r="705">
      <c r="A705" s="126"/>
      <c r="B705" s="126"/>
      <c r="C705" s="127"/>
      <c r="D705" s="126"/>
      <c r="E705" s="126"/>
      <c r="F705" s="127"/>
      <c r="G705" s="126"/>
      <c r="H705" s="127"/>
      <c r="I705" s="126"/>
      <c r="J705" s="126"/>
      <c r="K705" s="127"/>
      <c r="L705" s="126"/>
      <c r="M705" s="126"/>
      <c r="N705" s="127"/>
      <c r="O705" s="126"/>
      <c r="P705" s="126"/>
      <c r="Q705" s="127"/>
      <c r="R705" s="126"/>
      <c r="S705" s="126"/>
      <c r="T705" s="127"/>
      <c r="U705" s="126"/>
      <c r="V705" s="126"/>
      <c r="W705" s="127"/>
      <c r="X705" s="126"/>
      <c r="Y705" s="126"/>
      <c r="Z705" s="127"/>
      <c r="AA705" s="126"/>
      <c r="AB705" s="126"/>
      <c r="AC705" s="127"/>
      <c r="AD705" s="126"/>
      <c r="AE705" s="126"/>
      <c r="AF705" s="126"/>
      <c r="AG705" s="127"/>
      <c r="AH705" s="126"/>
      <c r="AI705" s="126"/>
      <c r="AJ705" s="127"/>
      <c r="AK705" s="126"/>
      <c r="AL705" s="126"/>
      <c r="AM705" s="127"/>
      <c r="AN705" s="126"/>
      <c r="AO705" s="126"/>
      <c r="AP705" s="127"/>
      <c r="AQ705" s="126"/>
      <c r="AR705" s="126"/>
      <c r="AS705" s="127"/>
      <c r="AT705" s="126"/>
      <c r="AU705" s="126"/>
      <c r="AV705" s="127"/>
      <c r="AW705" s="126"/>
      <c r="AX705" s="126"/>
      <c r="AY705" s="127"/>
      <c r="AZ705" s="126"/>
      <c r="BA705" s="126"/>
      <c r="BB705" s="127"/>
      <c r="BC705" s="126"/>
      <c r="BD705" s="134"/>
      <c r="BE705" s="127"/>
      <c r="BF705" s="126"/>
      <c r="BG705" s="126"/>
      <c r="BH705" s="126"/>
      <c r="BI705" s="126"/>
      <c r="BJ705" s="126"/>
      <c r="BK705" s="126"/>
      <c r="BL705" s="126"/>
      <c r="BM705" s="126"/>
      <c r="BN705" s="126"/>
      <c r="BO705" s="126"/>
      <c r="BP705" s="126"/>
      <c r="BQ705" s="126"/>
      <c r="BR705" s="126"/>
      <c r="BS705" s="126"/>
      <c r="BT705" s="126"/>
      <c r="BU705" s="126"/>
      <c r="BV705" s="126"/>
      <c r="BW705" s="126"/>
      <c r="BX705" s="126"/>
    </row>
    <row r="706">
      <c r="A706" s="126"/>
      <c r="B706" s="126"/>
      <c r="C706" s="127"/>
      <c r="D706" s="126"/>
      <c r="E706" s="126"/>
      <c r="F706" s="127"/>
      <c r="G706" s="126"/>
      <c r="H706" s="127"/>
      <c r="I706" s="126"/>
      <c r="J706" s="126"/>
      <c r="K706" s="127"/>
      <c r="L706" s="126"/>
      <c r="M706" s="126"/>
      <c r="N706" s="127"/>
      <c r="O706" s="126"/>
      <c r="P706" s="126"/>
      <c r="Q706" s="127"/>
      <c r="R706" s="126"/>
      <c r="S706" s="126"/>
      <c r="T706" s="127"/>
      <c r="U706" s="126"/>
      <c r="V706" s="126"/>
      <c r="W706" s="127"/>
      <c r="X706" s="126"/>
      <c r="Y706" s="126"/>
      <c r="Z706" s="127"/>
      <c r="AA706" s="126"/>
      <c r="AB706" s="126"/>
      <c r="AC706" s="127"/>
      <c r="AD706" s="126"/>
      <c r="AE706" s="126"/>
      <c r="AF706" s="126"/>
      <c r="AG706" s="127"/>
      <c r="AH706" s="126"/>
      <c r="AI706" s="126"/>
      <c r="AJ706" s="127"/>
      <c r="AK706" s="126"/>
      <c r="AL706" s="126"/>
      <c r="AM706" s="127"/>
      <c r="AN706" s="126"/>
      <c r="AO706" s="126"/>
      <c r="AP706" s="127"/>
      <c r="AQ706" s="126"/>
      <c r="AR706" s="126"/>
      <c r="AS706" s="127"/>
      <c r="AT706" s="126"/>
      <c r="AU706" s="126"/>
      <c r="AV706" s="127"/>
      <c r="AW706" s="126"/>
      <c r="AX706" s="126"/>
      <c r="AY706" s="127"/>
      <c r="AZ706" s="126"/>
      <c r="BA706" s="126"/>
      <c r="BB706" s="127"/>
      <c r="BC706" s="126"/>
      <c r="BD706" s="134"/>
      <c r="BE706" s="127"/>
      <c r="BF706" s="126"/>
      <c r="BG706" s="126"/>
      <c r="BH706" s="126"/>
      <c r="BI706" s="126"/>
      <c r="BJ706" s="126"/>
      <c r="BK706" s="126"/>
      <c r="BL706" s="126"/>
      <c r="BM706" s="126"/>
      <c r="BN706" s="126"/>
      <c r="BO706" s="126"/>
      <c r="BP706" s="126"/>
      <c r="BQ706" s="126"/>
      <c r="BR706" s="126"/>
      <c r="BS706" s="126"/>
      <c r="BT706" s="126"/>
      <c r="BU706" s="126"/>
      <c r="BV706" s="126"/>
      <c r="BW706" s="126"/>
      <c r="BX706" s="126"/>
    </row>
    <row r="707">
      <c r="A707" s="126"/>
      <c r="B707" s="126"/>
      <c r="C707" s="127"/>
      <c r="D707" s="126"/>
      <c r="E707" s="126"/>
      <c r="F707" s="127"/>
      <c r="G707" s="126"/>
      <c r="H707" s="127"/>
      <c r="I707" s="126"/>
      <c r="J707" s="126"/>
      <c r="K707" s="127"/>
      <c r="L707" s="126"/>
      <c r="M707" s="126"/>
      <c r="N707" s="127"/>
      <c r="O707" s="126"/>
      <c r="P707" s="126"/>
      <c r="Q707" s="127"/>
      <c r="R707" s="126"/>
      <c r="S707" s="126"/>
      <c r="T707" s="127"/>
      <c r="U707" s="126"/>
      <c r="V707" s="126"/>
      <c r="W707" s="127"/>
      <c r="X707" s="126"/>
      <c r="Y707" s="126"/>
      <c r="Z707" s="127"/>
      <c r="AA707" s="126"/>
      <c r="AB707" s="126"/>
      <c r="AC707" s="127"/>
      <c r="AD707" s="126"/>
      <c r="AE707" s="126"/>
      <c r="AF707" s="126"/>
      <c r="AG707" s="127"/>
      <c r="AH707" s="126"/>
      <c r="AI707" s="126"/>
      <c r="AJ707" s="127"/>
      <c r="AK707" s="126"/>
      <c r="AL707" s="126"/>
      <c r="AM707" s="127"/>
      <c r="AN707" s="126"/>
      <c r="AO707" s="126"/>
      <c r="AP707" s="127"/>
      <c r="AQ707" s="126"/>
      <c r="AR707" s="126"/>
      <c r="AS707" s="127"/>
      <c r="AT707" s="126"/>
      <c r="AU707" s="126"/>
      <c r="AV707" s="127"/>
      <c r="AW707" s="126"/>
      <c r="AX707" s="126"/>
      <c r="AY707" s="127"/>
      <c r="AZ707" s="126"/>
      <c r="BA707" s="126"/>
      <c r="BB707" s="127"/>
      <c r="BC707" s="126"/>
      <c r="BD707" s="134"/>
      <c r="BE707" s="127"/>
      <c r="BF707" s="126"/>
      <c r="BG707" s="126"/>
      <c r="BH707" s="126"/>
      <c r="BI707" s="126"/>
      <c r="BJ707" s="126"/>
      <c r="BK707" s="126"/>
      <c r="BL707" s="126"/>
      <c r="BM707" s="126"/>
      <c r="BN707" s="126"/>
      <c r="BO707" s="126"/>
      <c r="BP707" s="126"/>
      <c r="BQ707" s="126"/>
      <c r="BR707" s="126"/>
      <c r="BS707" s="126"/>
      <c r="BT707" s="126"/>
      <c r="BU707" s="126"/>
      <c r="BV707" s="126"/>
      <c r="BW707" s="126"/>
      <c r="BX707" s="126"/>
    </row>
    <row r="708">
      <c r="A708" s="126"/>
      <c r="B708" s="126"/>
      <c r="C708" s="127"/>
      <c r="D708" s="126"/>
      <c r="E708" s="126"/>
      <c r="F708" s="127"/>
      <c r="G708" s="126"/>
      <c r="H708" s="127"/>
      <c r="I708" s="126"/>
      <c r="J708" s="126"/>
      <c r="K708" s="127"/>
      <c r="L708" s="126"/>
      <c r="M708" s="126"/>
      <c r="N708" s="127"/>
      <c r="O708" s="126"/>
      <c r="P708" s="126"/>
      <c r="Q708" s="127"/>
      <c r="R708" s="126"/>
      <c r="S708" s="126"/>
      <c r="T708" s="127"/>
      <c r="U708" s="126"/>
      <c r="V708" s="126"/>
      <c r="W708" s="127"/>
      <c r="X708" s="126"/>
      <c r="Y708" s="126"/>
      <c r="Z708" s="127"/>
      <c r="AA708" s="126"/>
      <c r="AB708" s="126"/>
      <c r="AC708" s="127"/>
      <c r="AD708" s="126"/>
      <c r="AE708" s="126"/>
      <c r="AF708" s="126"/>
      <c r="AG708" s="127"/>
      <c r="AH708" s="126"/>
      <c r="AI708" s="126"/>
      <c r="AJ708" s="127"/>
      <c r="AK708" s="126"/>
      <c r="AL708" s="126"/>
      <c r="AM708" s="127"/>
      <c r="AN708" s="126"/>
      <c r="AO708" s="126"/>
      <c r="AP708" s="127"/>
      <c r="AQ708" s="126"/>
      <c r="AR708" s="126"/>
      <c r="AS708" s="127"/>
      <c r="AT708" s="126"/>
      <c r="AU708" s="126"/>
      <c r="AV708" s="127"/>
      <c r="AW708" s="126"/>
      <c r="AX708" s="126"/>
      <c r="AY708" s="127"/>
      <c r="AZ708" s="126"/>
      <c r="BA708" s="126"/>
      <c r="BB708" s="127"/>
      <c r="BC708" s="126"/>
      <c r="BD708" s="134"/>
      <c r="BE708" s="127"/>
      <c r="BF708" s="126"/>
      <c r="BG708" s="126"/>
      <c r="BH708" s="126"/>
      <c r="BI708" s="126"/>
      <c r="BJ708" s="126"/>
      <c r="BK708" s="126"/>
      <c r="BL708" s="126"/>
      <c r="BM708" s="126"/>
      <c r="BN708" s="126"/>
      <c r="BO708" s="126"/>
      <c r="BP708" s="126"/>
      <c r="BQ708" s="126"/>
      <c r="BR708" s="126"/>
      <c r="BS708" s="126"/>
      <c r="BT708" s="126"/>
      <c r="BU708" s="126"/>
      <c r="BV708" s="126"/>
      <c r="BW708" s="126"/>
      <c r="BX708" s="126"/>
    </row>
    <row r="709">
      <c r="A709" s="126"/>
      <c r="B709" s="126"/>
      <c r="C709" s="127"/>
      <c r="D709" s="126"/>
      <c r="E709" s="126"/>
      <c r="F709" s="127"/>
      <c r="G709" s="126"/>
      <c r="H709" s="127"/>
      <c r="I709" s="126"/>
      <c r="J709" s="126"/>
      <c r="K709" s="127"/>
      <c r="L709" s="126"/>
      <c r="M709" s="126"/>
      <c r="N709" s="127"/>
      <c r="O709" s="126"/>
      <c r="P709" s="126"/>
      <c r="Q709" s="127"/>
      <c r="R709" s="126"/>
      <c r="S709" s="126"/>
      <c r="T709" s="127"/>
      <c r="U709" s="126"/>
      <c r="V709" s="126"/>
      <c r="W709" s="127"/>
      <c r="X709" s="126"/>
      <c r="Y709" s="126"/>
      <c r="Z709" s="127"/>
      <c r="AA709" s="126"/>
      <c r="AB709" s="126"/>
      <c r="AC709" s="127"/>
      <c r="AD709" s="126"/>
      <c r="AE709" s="126"/>
      <c r="AF709" s="126"/>
      <c r="AG709" s="127"/>
      <c r="AH709" s="126"/>
      <c r="AI709" s="126"/>
      <c r="AJ709" s="127"/>
      <c r="AK709" s="126"/>
      <c r="AL709" s="126"/>
      <c r="AM709" s="127"/>
      <c r="AN709" s="126"/>
      <c r="AO709" s="126"/>
      <c r="AP709" s="127"/>
      <c r="AQ709" s="126"/>
      <c r="AR709" s="126"/>
      <c r="AS709" s="127"/>
      <c r="AT709" s="126"/>
      <c r="AU709" s="126"/>
      <c r="AV709" s="127"/>
      <c r="AW709" s="126"/>
      <c r="AX709" s="126"/>
      <c r="AY709" s="127"/>
      <c r="AZ709" s="126"/>
      <c r="BA709" s="126"/>
      <c r="BB709" s="127"/>
      <c r="BC709" s="126"/>
      <c r="BD709" s="134"/>
      <c r="BE709" s="127"/>
      <c r="BF709" s="126"/>
      <c r="BG709" s="126"/>
      <c r="BH709" s="126"/>
      <c r="BI709" s="126"/>
      <c r="BJ709" s="126"/>
      <c r="BK709" s="126"/>
      <c r="BL709" s="126"/>
      <c r="BM709" s="126"/>
      <c r="BN709" s="126"/>
      <c r="BO709" s="126"/>
      <c r="BP709" s="126"/>
      <c r="BQ709" s="126"/>
      <c r="BR709" s="126"/>
      <c r="BS709" s="126"/>
      <c r="BT709" s="126"/>
      <c r="BU709" s="126"/>
      <c r="BV709" s="126"/>
      <c r="BW709" s="126"/>
      <c r="BX709" s="126"/>
    </row>
    <row r="710">
      <c r="A710" s="126"/>
      <c r="B710" s="126"/>
      <c r="C710" s="127"/>
      <c r="D710" s="126"/>
      <c r="E710" s="126"/>
      <c r="F710" s="127"/>
      <c r="G710" s="126"/>
      <c r="H710" s="127"/>
      <c r="I710" s="126"/>
      <c r="J710" s="126"/>
      <c r="K710" s="127"/>
      <c r="L710" s="126"/>
      <c r="M710" s="126"/>
      <c r="N710" s="127"/>
      <c r="O710" s="126"/>
      <c r="P710" s="126"/>
      <c r="Q710" s="127"/>
      <c r="R710" s="126"/>
      <c r="S710" s="126"/>
      <c r="T710" s="127"/>
      <c r="U710" s="126"/>
      <c r="V710" s="126"/>
      <c r="W710" s="127"/>
      <c r="X710" s="126"/>
      <c r="Y710" s="126"/>
      <c r="Z710" s="127"/>
      <c r="AA710" s="126"/>
      <c r="AB710" s="126"/>
      <c r="AC710" s="127"/>
      <c r="AD710" s="126"/>
      <c r="AE710" s="126"/>
      <c r="AF710" s="126"/>
      <c r="AG710" s="127"/>
      <c r="AH710" s="126"/>
      <c r="AI710" s="126"/>
      <c r="AJ710" s="127"/>
      <c r="AK710" s="126"/>
      <c r="AL710" s="126"/>
      <c r="AM710" s="127"/>
      <c r="AN710" s="126"/>
      <c r="AO710" s="126"/>
      <c r="AP710" s="127"/>
      <c r="AQ710" s="126"/>
      <c r="AR710" s="126"/>
      <c r="AS710" s="127"/>
      <c r="AT710" s="126"/>
      <c r="AU710" s="126"/>
      <c r="AV710" s="127"/>
      <c r="AW710" s="126"/>
      <c r="AX710" s="126"/>
      <c r="AY710" s="127"/>
      <c r="AZ710" s="126"/>
      <c r="BA710" s="126"/>
      <c r="BB710" s="127"/>
      <c r="BC710" s="126"/>
      <c r="BD710" s="134"/>
      <c r="BE710" s="127"/>
      <c r="BF710" s="126"/>
      <c r="BG710" s="126"/>
      <c r="BH710" s="126"/>
      <c r="BI710" s="126"/>
      <c r="BJ710" s="126"/>
      <c r="BK710" s="126"/>
      <c r="BL710" s="126"/>
      <c r="BM710" s="126"/>
      <c r="BN710" s="126"/>
      <c r="BO710" s="126"/>
      <c r="BP710" s="126"/>
      <c r="BQ710" s="126"/>
      <c r="BR710" s="126"/>
      <c r="BS710" s="126"/>
      <c r="BT710" s="126"/>
      <c r="BU710" s="126"/>
      <c r="BV710" s="126"/>
      <c r="BW710" s="126"/>
      <c r="BX710" s="126"/>
    </row>
    <row r="711">
      <c r="A711" s="126"/>
      <c r="B711" s="126"/>
      <c r="C711" s="127"/>
      <c r="D711" s="126"/>
      <c r="E711" s="126"/>
      <c r="F711" s="127"/>
      <c r="G711" s="126"/>
      <c r="H711" s="127"/>
      <c r="I711" s="126"/>
      <c r="J711" s="126"/>
      <c r="K711" s="127"/>
      <c r="L711" s="126"/>
      <c r="M711" s="126"/>
      <c r="N711" s="127"/>
      <c r="O711" s="126"/>
      <c r="P711" s="126"/>
      <c r="Q711" s="127"/>
      <c r="R711" s="126"/>
      <c r="S711" s="126"/>
      <c r="T711" s="127"/>
      <c r="U711" s="126"/>
      <c r="V711" s="126"/>
      <c r="W711" s="127"/>
      <c r="X711" s="126"/>
      <c r="Y711" s="126"/>
      <c r="Z711" s="127"/>
      <c r="AA711" s="126"/>
      <c r="AB711" s="126"/>
      <c r="AC711" s="127"/>
      <c r="AD711" s="126"/>
      <c r="AE711" s="126"/>
      <c r="AF711" s="126"/>
      <c r="AG711" s="127"/>
      <c r="AH711" s="126"/>
      <c r="AI711" s="126"/>
      <c r="AJ711" s="127"/>
      <c r="AK711" s="126"/>
      <c r="AL711" s="126"/>
      <c r="AM711" s="127"/>
      <c r="AN711" s="126"/>
      <c r="AO711" s="126"/>
      <c r="AP711" s="127"/>
      <c r="AQ711" s="126"/>
      <c r="AR711" s="126"/>
      <c r="AS711" s="127"/>
      <c r="AT711" s="126"/>
      <c r="AU711" s="126"/>
      <c r="AV711" s="127"/>
      <c r="AW711" s="126"/>
      <c r="AX711" s="126"/>
      <c r="AY711" s="127"/>
      <c r="AZ711" s="126"/>
      <c r="BA711" s="126"/>
      <c r="BB711" s="127"/>
      <c r="BC711" s="126"/>
      <c r="BD711" s="134"/>
      <c r="BE711" s="127"/>
      <c r="BF711" s="126"/>
      <c r="BG711" s="126"/>
      <c r="BH711" s="126"/>
      <c r="BI711" s="126"/>
      <c r="BJ711" s="126"/>
      <c r="BK711" s="126"/>
      <c r="BL711" s="126"/>
      <c r="BM711" s="126"/>
      <c r="BN711" s="126"/>
      <c r="BO711" s="126"/>
      <c r="BP711" s="126"/>
      <c r="BQ711" s="126"/>
      <c r="BR711" s="126"/>
      <c r="BS711" s="126"/>
      <c r="BT711" s="126"/>
      <c r="BU711" s="126"/>
      <c r="BV711" s="126"/>
      <c r="BW711" s="126"/>
      <c r="BX711" s="126"/>
    </row>
    <row r="712">
      <c r="A712" s="126"/>
      <c r="B712" s="126"/>
      <c r="C712" s="127"/>
      <c r="D712" s="126"/>
      <c r="E712" s="126"/>
      <c r="F712" s="127"/>
      <c r="G712" s="126"/>
      <c r="H712" s="127"/>
      <c r="I712" s="126"/>
      <c r="J712" s="126"/>
      <c r="K712" s="127"/>
      <c r="L712" s="126"/>
      <c r="M712" s="126"/>
      <c r="N712" s="127"/>
      <c r="O712" s="126"/>
      <c r="P712" s="126"/>
      <c r="Q712" s="127"/>
      <c r="R712" s="126"/>
      <c r="S712" s="126"/>
      <c r="T712" s="127"/>
      <c r="U712" s="126"/>
      <c r="V712" s="126"/>
      <c r="W712" s="127"/>
      <c r="X712" s="126"/>
      <c r="Y712" s="126"/>
      <c r="Z712" s="127"/>
      <c r="AA712" s="126"/>
      <c r="AB712" s="126"/>
      <c r="AC712" s="127"/>
      <c r="AD712" s="126"/>
      <c r="AE712" s="126"/>
      <c r="AF712" s="126"/>
      <c r="AG712" s="127"/>
      <c r="AH712" s="126"/>
      <c r="AI712" s="126"/>
      <c r="AJ712" s="127"/>
      <c r="AK712" s="126"/>
      <c r="AL712" s="126"/>
      <c r="AM712" s="127"/>
      <c r="AN712" s="126"/>
      <c r="AO712" s="126"/>
      <c r="AP712" s="127"/>
      <c r="AQ712" s="126"/>
      <c r="AR712" s="126"/>
      <c r="AS712" s="127"/>
      <c r="AT712" s="126"/>
      <c r="AU712" s="126"/>
      <c r="AV712" s="127"/>
      <c r="AW712" s="126"/>
      <c r="AX712" s="126"/>
      <c r="AY712" s="127"/>
      <c r="AZ712" s="126"/>
      <c r="BA712" s="126"/>
      <c r="BB712" s="127"/>
      <c r="BC712" s="126"/>
      <c r="BD712" s="134"/>
      <c r="BE712" s="127"/>
      <c r="BF712" s="126"/>
      <c r="BG712" s="126"/>
      <c r="BH712" s="126"/>
      <c r="BI712" s="126"/>
      <c r="BJ712" s="126"/>
      <c r="BK712" s="126"/>
      <c r="BL712" s="126"/>
      <c r="BM712" s="126"/>
      <c r="BN712" s="126"/>
      <c r="BO712" s="126"/>
      <c r="BP712" s="126"/>
      <c r="BQ712" s="126"/>
      <c r="BR712" s="126"/>
      <c r="BS712" s="126"/>
      <c r="BT712" s="126"/>
      <c r="BU712" s="126"/>
      <c r="BV712" s="126"/>
      <c r="BW712" s="126"/>
      <c r="BX712" s="126"/>
    </row>
    <row r="713">
      <c r="A713" s="126"/>
      <c r="B713" s="126"/>
      <c r="C713" s="127"/>
      <c r="D713" s="126"/>
      <c r="E713" s="126"/>
      <c r="F713" s="127"/>
      <c r="G713" s="126"/>
      <c r="H713" s="127"/>
      <c r="I713" s="126"/>
      <c r="J713" s="126"/>
      <c r="K713" s="127"/>
      <c r="L713" s="126"/>
      <c r="M713" s="126"/>
      <c r="N713" s="127"/>
      <c r="O713" s="126"/>
      <c r="P713" s="126"/>
      <c r="Q713" s="127"/>
      <c r="R713" s="126"/>
      <c r="S713" s="126"/>
      <c r="T713" s="127"/>
      <c r="U713" s="126"/>
      <c r="V713" s="126"/>
      <c r="W713" s="127"/>
      <c r="X713" s="126"/>
      <c r="Y713" s="126"/>
      <c r="Z713" s="127"/>
      <c r="AA713" s="126"/>
      <c r="AB713" s="126"/>
      <c r="AC713" s="127"/>
      <c r="AD713" s="126"/>
      <c r="AE713" s="126"/>
      <c r="AF713" s="126"/>
      <c r="AG713" s="127"/>
      <c r="AH713" s="126"/>
      <c r="AI713" s="126"/>
      <c r="AJ713" s="127"/>
      <c r="AK713" s="126"/>
      <c r="AL713" s="126"/>
      <c r="AM713" s="127"/>
      <c r="AN713" s="126"/>
      <c r="AO713" s="126"/>
      <c r="AP713" s="127"/>
      <c r="AQ713" s="126"/>
      <c r="AR713" s="126"/>
      <c r="AS713" s="127"/>
      <c r="AT713" s="126"/>
      <c r="AU713" s="126"/>
      <c r="AV713" s="127"/>
      <c r="AW713" s="126"/>
      <c r="AX713" s="126"/>
      <c r="AY713" s="127"/>
      <c r="AZ713" s="126"/>
      <c r="BA713" s="126"/>
      <c r="BB713" s="127"/>
      <c r="BC713" s="126"/>
      <c r="BD713" s="134"/>
      <c r="BE713" s="127"/>
      <c r="BF713" s="126"/>
      <c r="BG713" s="126"/>
      <c r="BH713" s="126"/>
      <c r="BI713" s="126"/>
      <c r="BJ713" s="126"/>
      <c r="BK713" s="126"/>
      <c r="BL713" s="126"/>
      <c r="BM713" s="126"/>
      <c r="BN713" s="126"/>
      <c r="BO713" s="126"/>
      <c r="BP713" s="126"/>
      <c r="BQ713" s="126"/>
      <c r="BR713" s="126"/>
      <c r="BS713" s="126"/>
      <c r="BT713" s="126"/>
      <c r="BU713" s="126"/>
      <c r="BV713" s="126"/>
      <c r="BW713" s="126"/>
      <c r="BX713" s="126"/>
    </row>
    <row r="714">
      <c r="A714" s="126"/>
      <c r="B714" s="126"/>
      <c r="C714" s="127"/>
      <c r="D714" s="126"/>
      <c r="E714" s="126"/>
      <c r="F714" s="127"/>
      <c r="G714" s="126"/>
      <c r="H714" s="127"/>
      <c r="I714" s="126"/>
      <c r="J714" s="126"/>
      <c r="K714" s="127"/>
      <c r="L714" s="126"/>
      <c r="M714" s="126"/>
      <c r="N714" s="127"/>
      <c r="O714" s="126"/>
      <c r="P714" s="126"/>
      <c r="Q714" s="127"/>
      <c r="R714" s="126"/>
      <c r="S714" s="126"/>
      <c r="T714" s="127"/>
      <c r="U714" s="126"/>
      <c r="V714" s="126"/>
      <c r="W714" s="127"/>
      <c r="X714" s="126"/>
      <c r="Y714" s="126"/>
      <c r="Z714" s="127"/>
      <c r="AA714" s="126"/>
      <c r="AB714" s="126"/>
      <c r="AC714" s="127"/>
      <c r="AD714" s="126"/>
      <c r="AE714" s="126"/>
      <c r="AF714" s="126"/>
      <c r="AG714" s="127"/>
      <c r="AH714" s="126"/>
      <c r="AI714" s="126"/>
      <c r="AJ714" s="127"/>
      <c r="AK714" s="126"/>
      <c r="AL714" s="126"/>
      <c r="AM714" s="127"/>
      <c r="AN714" s="126"/>
      <c r="AO714" s="126"/>
      <c r="AP714" s="127"/>
      <c r="AQ714" s="126"/>
      <c r="AR714" s="126"/>
      <c r="AS714" s="127"/>
      <c r="AT714" s="126"/>
      <c r="AU714" s="126"/>
      <c r="AV714" s="127"/>
      <c r="AW714" s="126"/>
      <c r="AX714" s="126"/>
      <c r="AY714" s="127"/>
      <c r="AZ714" s="126"/>
      <c r="BA714" s="126"/>
      <c r="BB714" s="127"/>
      <c r="BC714" s="126"/>
      <c r="BD714" s="134"/>
      <c r="BE714" s="127"/>
      <c r="BF714" s="126"/>
      <c r="BG714" s="126"/>
      <c r="BH714" s="126"/>
      <c r="BI714" s="126"/>
      <c r="BJ714" s="126"/>
      <c r="BK714" s="126"/>
      <c r="BL714" s="126"/>
      <c r="BM714" s="126"/>
      <c r="BN714" s="126"/>
      <c r="BO714" s="126"/>
      <c r="BP714" s="126"/>
      <c r="BQ714" s="126"/>
      <c r="BR714" s="126"/>
      <c r="BS714" s="126"/>
      <c r="BT714" s="126"/>
      <c r="BU714" s="126"/>
      <c r="BV714" s="126"/>
      <c r="BW714" s="126"/>
      <c r="BX714" s="126"/>
    </row>
    <row r="715">
      <c r="A715" s="126"/>
      <c r="B715" s="126"/>
      <c r="C715" s="127"/>
      <c r="D715" s="126"/>
      <c r="E715" s="126"/>
      <c r="F715" s="127"/>
      <c r="G715" s="126"/>
      <c r="H715" s="127"/>
      <c r="I715" s="126"/>
      <c r="J715" s="126"/>
      <c r="K715" s="127"/>
      <c r="L715" s="126"/>
      <c r="M715" s="126"/>
      <c r="N715" s="127"/>
      <c r="O715" s="126"/>
      <c r="P715" s="126"/>
      <c r="Q715" s="127"/>
      <c r="R715" s="126"/>
      <c r="S715" s="126"/>
      <c r="T715" s="127"/>
      <c r="U715" s="126"/>
      <c r="V715" s="126"/>
      <c r="W715" s="127"/>
      <c r="X715" s="126"/>
      <c r="Y715" s="126"/>
      <c r="Z715" s="127"/>
      <c r="AA715" s="126"/>
      <c r="AB715" s="126"/>
      <c r="AC715" s="127"/>
      <c r="AD715" s="126"/>
      <c r="AE715" s="126"/>
      <c r="AF715" s="126"/>
      <c r="AG715" s="127"/>
      <c r="AH715" s="126"/>
      <c r="AI715" s="126"/>
      <c r="AJ715" s="127"/>
      <c r="AK715" s="126"/>
      <c r="AL715" s="126"/>
      <c r="AM715" s="127"/>
      <c r="AN715" s="126"/>
      <c r="AO715" s="126"/>
      <c r="AP715" s="127"/>
      <c r="AQ715" s="126"/>
      <c r="AR715" s="126"/>
      <c r="AS715" s="127"/>
      <c r="AT715" s="126"/>
      <c r="AU715" s="126"/>
      <c r="AV715" s="127"/>
      <c r="AW715" s="126"/>
      <c r="AX715" s="126"/>
      <c r="AY715" s="127"/>
      <c r="AZ715" s="126"/>
      <c r="BA715" s="126"/>
      <c r="BB715" s="127"/>
      <c r="BC715" s="126"/>
      <c r="BD715" s="134"/>
      <c r="BE715" s="127"/>
      <c r="BF715" s="126"/>
      <c r="BG715" s="126"/>
      <c r="BH715" s="126"/>
      <c r="BI715" s="126"/>
      <c r="BJ715" s="126"/>
      <c r="BK715" s="126"/>
      <c r="BL715" s="126"/>
      <c r="BM715" s="126"/>
      <c r="BN715" s="126"/>
      <c r="BO715" s="126"/>
      <c r="BP715" s="126"/>
      <c r="BQ715" s="126"/>
      <c r="BR715" s="126"/>
      <c r="BS715" s="126"/>
      <c r="BT715" s="126"/>
      <c r="BU715" s="126"/>
      <c r="BV715" s="126"/>
      <c r="BW715" s="126"/>
      <c r="BX715" s="126"/>
    </row>
    <row r="716">
      <c r="A716" s="126"/>
      <c r="B716" s="126"/>
      <c r="C716" s="127"/>
      <c r="D716" s="126"/>
      <c r="E716" s="126"/>
      <c r="F716" s="127"/>
      <c r="G716" s="126"/>
      <c r="H716" s="127"/>
      <c r="I716" s="126"/>
      <c r="J716" s="126"/>
      <c r="K716" s="127"/>
      <c r="L716" s="126"/>
      <c r="M716" s="126"/>
      <c r="N716" s="127"/>
      <c r="O716" s="126"/>
      <c r="P716" s="126"/>
      <c r="Q716" s="127"/>
      <c r="R716" s="126"/>
      <c r="S716" s="126"/>
      <c r="T716" s="127"/>
      <c r="U716" s="126"/>
      <c r="V716" s="126"/>
      <c r="W716" s="127"/>
      <c r="X716" s="126"/>
      <c r="Y716" s="126"/>
      <c r="Z716" s="127"/>
      <c r="AA716" s="126"/>
      <c r="AB716" s="126"/>
      <c r="AC716" s="127"/>
      <c r="AD716" s="126"/>
      <c r="AE716" s="126"/>
      <c r="AF716" s="126"/>
      <c r="AG716" s="127"/>
      <c r="AH716" s="126"/>
      <c r="AI716" s="126"/>
      <c r="AJ716" s="127"/>
      <c r="AK716" s="126"/>
      <c r="AL716" s="126"/>
      <c r="AM716" s="127"/>
      <c r="AN716" s="126"/>
      <c r="AO716" s="126"/>
      <c r="AP716" s="127"/>
      <c r="AQ716" s="126"/>
      <c r="AR716" s="126"/>
      <c r="AS716" s="127"/>
      <c r="AT716" s="126"/>
      <c r="AU716" s="126"/>
      <c r="AV716" s="127"/>
      <c r="AW716" s="126"/>
      <c r="AX716" s="126"/>
      <c r="AY716" s="127"/>
      <c r="AZ716" s="126"/>
      <c r="BA716" s="126"/>
      <c r="BB716" s="127"/>
      <c r="BC716" s="126"/>
      <c r="BD716" s="134"/>
      <c r="BE716" s="127"/>
      <c r="BF716" s="126"/>
      <c r="BG716" s="126"/>
      <c r="BH716" s="126"/>
      <c r="BI716" s="126"/>
      <c r="BJ716" s="126"/>
      <c r="BK716" s="126"/>
      <c r="BL716" s="126"/>
      <c r="BM716" s="126"/>
      <c r="BN716" s="126"/>
      <c r="BO716" s="126"/>
      <c r="BP716" s="126"/>
      <c r="BQ716" s="126"/>
      <c r="BR716" s="126"/>
      <c r="BS716" s="126"/>
      <c r="BT716" s="126"/>
      <c r="BU716" s="126"/>
      <c r="BV716" s="126"/>
      <c r="BW716" s="126"/>
      <c r="BX716" s="126"/>
    </row>
    <row r="717">
      <c r="A717" s="126"/>
      <c r="B717" s="126"/>
      <c r="C717" s="127"/>
      <c r="D717" s="126"/>
      <c r="E717" s="126"/>
      <c r="F717" s="127"/>
      <c r="G717" s="126"/>
      <c r="H717" s="127"/>
      <c r="I717" s="126"/>
      <c r="J717" s="126"/>
      <c r="K717" s="127"/>
      <c r="L717" s="126"/>
      <c r="M717" s="126"/>
      <c r="N717" s="127"/>
      <c r="O717" s="126"/>
      <c r="P717" s="126"/>
      <c r="Q717" s="127"/>
      <c r="R717" s="126"/>
      <c r="S717" s="126"/>
      <c r="T717" s="127"/>
      <c r="U717" s="126"/>
      <c r="V717" s="126"/>
      <c r="W717" s="127"/>
      <c r="X717" s="126"/>
      <c r="Y717" s="126"/>
      <c r="Z717" s="127"/>
      <c r="AA717" s="126"/>
      <c r="AB717" s="126"/>
      <c r="AC717" s="127"/>
      <c r="AD717" s="126"/>
      <c r="AE717" s="126"/>
      <c r="AF717" s="126"/>
      <c r="AG717" s="127"/>
      <c r="AH717" s="126"/>
      <c r="AI717" s="126"/>
      <c r="AJ717" s="127"/>
      <c r="AK717" s="126"/>
      <c r="AL717" s="126"/>
      <c r="AM717" s="127"/>
      <c r="AN717" s="126"/>
      <c r="AO717" s="126"/>
      <c r="AP717" s="127"/>
      <c r="AQ717" s="126"/>
      <c r="AR717" s="126"/>
      <c r="AS717" s="127"/>
      <c r="AT717" s="126"/>
      <c r="AU717" s="126"/>
      <c r="AV717" s="127"/>
      <c r="AW717" s="126"/>
      <c r="AX717" s="126"/>
      <c r="AY717" s="127"/>
      <c r="AZ717" s="126"/>
      <c r="BA717" s="126"/>
      <c r="BB717" s="127"/>
      <c r="BC717" s="126"/>
      <c r="BD717" s="134"/>
      <c r="BE717" s="127"/>
      <c r="BF717" s="126"/>
      <c r="BG717" s="126"/>
      <c r="BH717" s="126"/>
      <c r="BI717" s="126"/>
      <c r="BJ717" s="126"/>
      <c r="BK717" s="126"/>
      <c r="BL717" s="126"/>
      <c r="BM717" s="126"/>
      <c r="BN717" s="126"/>
      <c r="BO717" s="126"/>
      <c r="BP717" s="126"/>
      <c r="BQ717" s="126"/>
      <c r="BR717" s="126"/>
      <c r="BS717" s="126"/>
      <c r="BT717" s="126"/>
      <c r="BU717" s="126"/>
      <c r="BV717" s="126"/>
      <c r="BW717" s="126"/>
      <c r="BX717" s="126"/>
    </row>
    <row r="718">
      <c r="A718" s="126"/>
      <c r="B718" s="126"/>
      <c r="C718" s="127"/>
      <c r="D718" s="126"/>
      <c r="E718" s="126"/>
      <c r="F718" s="127"/>
      <c r="G718" s="126"/>
      <c r="H718" s="127"/>
      <c r="I718" s="126"/>
      <c r="J718" s="126"/>
      <c r="K718" s="127"/>
      <c r="L718" s="126"/>
      <c r="M718" s="126"/>
      <c r="N718" s="127"/>
      <c r="O718" s="126"/>
      <c r="P718" s="126"/>
      <c r="Q718" s="127"/>
      <c r="R718" s="126"/>
      <c r="S718" s="126"/>
      <c r="T718" s="127"/>
      <c r="U718" s="126"/>
      <c r="V718" s="126"/>
      <c r="W718" s="127"/>
      <c r="X718" s="126"/>
      <c r="Y718" s="126"/>
      <c r="Z718" s="127"/>
      <c r="AA718" s="126"/>
      <c r="AB718" s="126"/>
      <c r="AC718" s="127"/>
      <c r="AD718" s="126"/>
      <c r="AE718" s="126"/>
      <c r="AF718" s="126"/>
      <c r="AG718" s="127"/>
      <c r="AH718" s="126"/>
      <c r="AI718" s="126"/>
      <c r="AJ718" s="127"/>
      <c r="AK718" s="126"/>
      <c r="AL718" s="126"/>
      <c r="AM718" s="127"/>
      <c r="AN718" s="126"/>
      <c r="AO718" s="126"/>
      <c r="AP718" s="127"/>
      <c r="AQ718" s="126"/>
      <c r="AR718" s="126"/>
      <c r="AS718" s="127"/>
      <c r="AT718" s="126"/>
      <c r="AU718" s="126"/>
      <c r="AV718" s="127"/>
      <c r="AW718" s="126"/>
      <c r="AX718" s="126"/>
      <c r="AY718" s="127"/>
      <c r="AZ718" s="126"/>
      <c r="BA718" s="126"/>
      <c r="BB718" s="127"/>
      <c r="BC718" s="126"/>
      <c r="BD718" s="134"/>
      <c r="BE718" s="127"/>
      <c r="BF718" s="126"/>
      <c r="BG718" s="126"/>
      <c r="BH718" s="126"/>
      <c r="BI718" s="126"/>
      <c r="BJ718" s="126"/>
      <c r="BK718" s="126"/>
      <c r="BL718" s="126"/>
      <c r="BM718" s="126"/>
      <c r="BN718" s="126"/>
      <c r="BO718" s="126"/>
      <c r="BP718" s="126"/>
      <c r="BQ718" s="126"/>
      <c r="BR718" s="126"/>
      <c r="BS718" s="126"/>
      <c r="BT718" s="126"/>
      <c r="BU718" s="126"/>
      <c r="BV718" s="126"/>
      <c r="BW718" s="126"/>
      <c r="BX718" s="126"/>
    </row>
    <row r="719">
      <c r="A719" s="126"/>
      <c r="B719" s="126"/>
      <c r="C719" s="127"/>
      <c r="D719" s="126"/>
      <c r="E719" s="126"/>
      <c r="F719" s="127"/>
      <c r="G719" s="126"/>
      <c r="H719" s="127"/>
      <c r="I719" s="126"/>
      <c r="J719" s="126"/>
      <c r="K719" s="127"/>
      <c r="L719" s="126"/>
      <c r="M719" s="126"/>
      <c r="N719" s="127"/>
      <c r="O719" s="126"/>
      <c r="P719" s="126"/>
      <c r="Q719" s="127"/>
      <c r="R719" s="126"/>
      <c r="S719" s="126"/>
      <c r="T719" s="127"/>
      <c r="U719" s="126"/>
      <c r="V719" s="126"/>
      <c r="W719" s="127"/>
      <c r="X719" s="126"/>
      <c r="Y719" s="126"/>
      <c r="Z719" s="127"/>
      <c r="AA719" s="126"/>
      <c r="AB719" s="126"/>
      <c r="AC719" s="127"/>
      <c r="AD719" s="126"/>
      <c r="AE719" s="126"/>
      <c r="AF719" s="126"/>
      <c r="AG719" s="127"/>
      <c r="AH719" s="126"/>
      <c r="AI719" s="126"/>
      <c r="AJ719" s="127"/>
      <c r="AK719" s="126"/>
      <c r="AL719" s="126"/>
      <c r="AM719" s="127"/>
      <c r="AN719" s="126"/>
      <c r="AO719" s="126"/>
      <c r="AP719" s="127"/>
      <c r="AQ719" s="126"/>
      <c r="AR719" s="126"/>
      <c r="AS719" s="127"/>
      <c r="AT719" s="126"/>
      <c r="AU719" s="126"/>
      <c r="AV719" s="127"/>
      <c r="AW719" s="126"/>
      <c r="AX719" s="126"/>
      <c r="AY719" s="127"/>
      <c r="AZ719" s="126"/>
      <c r="BA719" s="126"/>
      <c r="BB719" s="127"/>
      <c r="BC719" s="126"/>
      <c r="BD719" s="134"/>
      <c r="BE719" s="127"/>
      <c r="BF719" s="126"/>
      <c r="BG719" s="126"/>
      <c r="BH719" s="126"/>
      <c r="BI719" s="126"/>
      <c r="BJ719" s="126"/>
      <c r="BK719" s="126"/>
      <c r="BL719" s="126"/>
      <c r="BM719" s="126"/>
      <c r="BN719" s="126"/>
      <c r="BO719" s="126"/>
      <c r="BP719" s="126"/>
      <c r="BQ719" s="126"/>
      <c r="BR719" s="126"/>
      <c r="BS719" s="126"/>
      <c r="BT719" s="126"/>
      <c r="BU719" s="126"/>
      <c r="BV719" s="126"/>
      <c r="BW719" s="126"/>
      <c r="BX719" s="126"/>
    </row>
    <row r="720">
      <c r="A720" s="126"/>
      <c r="B720" s="126"/>
      <c r="C720" s="127"/>
      <c r="D720" s="126"/>
      <c r="E720" s="126"/>
      <c r="F720" s="127"/>
      <c r="G720" s="126"/>
      <c r="H720" s="127"/>
      <c r="I720" s="126"/>
      <c r="J720" s="126"/>
      <c r="K720" s="127"/>
      <c r="L720" s="126"/>
      <c r="M720" s="126"/>
      <c r="N720" s="127"/>
      <c r="O720" s="126"/>
      <c r="P720" s="126"/>
      <c r="Q720" s="127"/>
      <c r="R720" s="126"/>
      <c r="S720" s="126"/>
      <c r="T720" s="127"/>
      <c r="U720" s="126"/>
      <c r="V720" s="126"/>
      <c r="W720" s="127"/>
      <c r="X720" s="126"/>
      <c r="Y720" s="126"/>
      <c r="Z720" s="127"/>
      <c r="AA720" s="126"/>
      <c r="AB720" s="126"/>
      <c r="AC720" s="127"/>
      <c r="AD720" s="126"/>
      <c r="AE720" s="126"/>
      <c r="AF720" s="126"/>
      <c r="AG720" s="127"/>
      <c r="AH720" s="126"/>
      <c r="AI720" s="126"/>
      <c r="AJ720" s="127"/>
      <c r="AK720" s="126"/>
      <c r="AL720" s="126"/>
      <c r="AM720" s="127"/>
      <c r="AN720" s="126"/>
      <c r="AO720" s="126"/>
      <c r="AP720" s="127"/>
      <c r="AQ720" s="126"/>
      <c r="AR720" s="126"/>
      <c r="AS720" s="127"/>
      <c r="AT720" s="126"/>
      <c r="AU720" s="126"/>
      <c r="AV720" s="127"/>
      <c r="AW720" s="126"/>
      <c r="AX720" s="126"/>
      <c r="AY720" s="127"/>
      <c r="AZ720" s="126"/>
      <c r="BA720" s="126"/>
      <c r="BB720" s="127"/>
      <c r="BC720" s="126"/>
      <c r="BD720" s="134"/>
      <c r="BE720" s="127"/>
      <c r="BF720" s="126"/>
      <c r="BG720" s="126"/>
      <c r="BH720" s="126"/>
      <c r="BI720" s="126"/>
      <c r="BJ720" s="126"/>
      <c r="BK720" s="126"/>
      <c r="BL720" s="126"/>
      <c r="BM720" s="126"/>
      <c r="BN720" s="126"/>
      <c r="BO720" s="126"/>
      <c r="BP720" s="126"/>
      <c r="BQ720" s="126"/>
      <c r="BR720" s="126"/>
      <c r="BS720" s="126"/>
      <c r="BT720" s="126"/>
      <c r="BU720" s="126"/>
      <c r="BV720" s="126"/>
      <c r="BW720" s="126"/>
      <c r="BX720" s="126"/>
    </row>
    <row r="721">
      <c r="A721" s="126"/>
      <c r="B721" s="126"/>
      <c r="C721" s="127"/>
      <c r="D721" s="126"/>
      <c r="E721" s="126"/>
      <c r="F721" s="127"/>
      <c r="G721" s="126"/>
      <c r="H721" s="127"/>
      <c r="I721" s="126"/>
      <c r="J721" s="126"/>
      <c r="K721" s="127"/>
      <c r="L721" s="126"/>
      <c r="M721" s="126"/>
      <c r="N721" s="127"/>
      <c r="O721" s="126"/>
      <c r="P721" s="126"/>
      <c r="Q721" s="127"/>
      <c r="R721" s="126"/>
      <c r="S721" s="126"/>
      <c r="T721" s="127"/>
      <c r="U721" s="126"/>
      <c r="V721" s="126"/>
      <c r="W721" s="127"/>
      <c r="X721" s="126"/>
      <c r="Y721" s="126"/>
      <c r="Z721" s="127"/>
      <c r="AA721" s="126"/>
      <c r="AB721" s="126"/>
      <c r="AC721" s="127"/>
      <c r="AD721" s="126"/>
      <c r="AE721" s="126"/>
      <c r="AF721" s="126"/>
      <c r="AG721" s="127"/>
      <c r="AH721" s="126"/>
      <c r="AI721" s="126"/>
      <c r="AJ721" s="127"/>
      <c r="AK721" s="126"/>
      <c r="AL721" s="126"/>
      <c r="AM721" s="127"/>
      <c r="AN721" s="126"/>
      <c r="AO721" s="126"/>
      <c r="AP721" s="127"/>
      <c r="AQ721" s="126"/>
      <c r="AR721" s="126"/>
      <c r="AS721" s="127"/>
      <c r="AT721" s="126"/>
      <c r="AU721" s="126"/>
      <c r="AV721" s="127"/>
      <c r="AW721" s="126"/>
      <c r="AX721" s="126"/>
      <c r="AY721" s="127"/>
      <c r="AZ721" s="126"/>
      <c r="BA721" s="126"/>
      <c r="BB721" s="127"/>
      <c r="BC721" s="126"/>
      <c r="BD721" s="134"/>
      <c r="BE721" s="127"/>
      <c r="BF721" s="126"/>
      <c r="BG721" s="126"/>
      <c r="BH721" s="126"/>
      <c r="BI721" s="126"/>
      <c r="BJ721" s="126"/>
      <c r="BK721" s="126"/>
      <c r="BL721" s="126"/>
      <c r="BM721" s="126"/>
      <c r="BN721" s="126"/>
      <c r="BO721" s="126"/>
      <c r="BP721" s="126"/>
      <c r="BQ721" s="126"/>
      <c r="BR721" s="126"/>
      <c r="BS721" s="126"/>
      <c r="BT721" s="126"/>
      <c r="BU721" s="126"/>
      <c r="BV721" s="126"/>
      <c r="BW721" s="126"/>
      <c r="BX721" s="126"/>
    </row>
    <row r="722">
      <c r="A722" s="126"/>
      <c r="B722" s="126"/>
      <c r="C722" s="127"/>
      <c r="D722" s="126"/>
      <c r="E722" s="126"/>
      <c r="F722" s="127"/>
      <c r="G722" s="126"/>
      <c r="H722" s="127"/>
      <c r="I722" s="126"/>
      <c r="J722" s="126"/>
      <c r="K722" s="127"/>
      <c r="L722" s="126"/>
      <c r="M722" s="126"/>
      <c r="N722" s="127"/>
      <c r="O722" s="126"/>
      <c r="P722" s="126"/>
      <c r="Q722" s="127"/>
      <c r="R722" s="126"/>
      <c r="S722" s="126"/>
      <c r="T722" s="127"/>
      <c r="U722" s="126"/>
      <c r="V722" s="126"/>
      <c r="W722" s="127"/>
      <c r="X722" s="126"/>
      <c r="Y722" s="126"/>
      <c r="Z722" s="127"/>
      <c r="AA722" s="126"/>
      <c r="AB722" s="126"/>
      <c r="AC722" s="127"/>
      <c r="AD722" s="126"/>
      <c r="AE722" s="126"/>
      <c r="AF722" s="126"/>
      <c r="AG722" s="127"/>
      <c r="AH722" s="126"/>
      <c r="AI722" s="126"/>
      <c r="AJ722" s="127"/>
      <c r="AK722" s="126"/>
      <c r="AL722" s="126"/>
      <c r="AM722" s="127"/>
      <c r="AN722" s="126"/>
      <c r="AO722" s="126"/>
      <c r="AP722" s="127"/>
      <c r="AQ722" s="126"/>
      <c r="AR722" s="126"/>
      <c r="AS722" s="127"/>
      <c r="AT722" s="126"/>
      <c r="AU722" s="126"/>
      <c r="AV722" s="127"/>
      <c r="AW722" s="126"/>
      <c r="AX722" s="126"/>
      <c r="AY722" s="127"/>
      <c r="AZ722" s="126"/>
      <c r="BA722" s="126"/>
      <c r="BB722" s="127"/>
      <c r="BC722" s="126"/>
      <c r="BD722" s="134"/>
      <c r="BE722" s="127"/>
      <c r="BF722" s="126"/>
      <c r="BG722" s="126"/>
      <c r="BH722" s="126"/>
      <c r="BI722" s="126"/>
      <c r="BJ722" s="126"/>
      <c r="BK722" s="126"/>
      <c r="BL722" s="126"/>
      <c r="BM722" s="126"/>
      <c r="BN722" s="126"/>
      <c r="BO722" s="126"/>
      <c r="BP722" s="126"/>
      <c r="BQ722" s="126"/>
      <c r="BR722" s="126"/>
      <c r="BS722" s="126"/>
      <c r="BT722" s="126"/>
      <c r="BU722" s="126"/>
      <c r="BV722" s="126"/>
      <c r="BW722" s="126"/>
      <c r="BX722" s="126"/>
    </row>
    <row r="723">
      <c r="A723" s="126"/>
      <c r="B723" s="126"/>
      <c r="C723" s="127"/>
      <c r="D723" s="126"/>
      <c r="E723" s="126"/>
      <c r="F723" s="127"/>
      <c r="G723" s="126"/>
      <c r="H723" s="127"/>
      <c r="I723" s="126"/>
      <c r="J723" s="126"/>
      <c r="K723" s="127"/>
      <c r="L723" s="126"/>
      <c r="M723" s="126"/>
      <c r="N723" s="127"/>
      <c r="O723" s="126"/>
      <c r="P723" s="126"/>
      <c r="Q723" s="127"/>
      <c r="R723" s="126"/>
      <c r="S723" s="126"/>
      <c r="T723" s="127"/>
      <c r="U723" s="126"/>
      <c r="V723" s="126"/>
      <c r="W723" s="127"/>
      <c r="X723" s="126"/>
      <c r="Y723" s="126"/>
      <c r="Z723" s="127"/>
      <c r="AA723" s="126"/>
      <c r="AB723" s="126"/>
      <c r="AC723" s="127"/>
      <c r="AD723" s="126"/>
      <c r="AE723" s="126"/>
      <c r="AF723" s="126"/>
      <c r="AG723" s="127"/>
      <c r="AH723" s="126"/>
      <c r="AI723" s="126"/>
      <c r="AJ723" s="127"/>
      <c r="AK723" s="126"/>
      <c r="AL723" s="126"/>
      <c r="AM723" s="127"/>
      <c r="AN723" s="126"/>
      <c r="AO723" s="126"/>
      <c r="AP723" s="127"/>
      <c r="AQ723" s="126"/>
      <c r="AR723" s="126"/>
      <c r="AS723" s="127"/>
      <c r="AT723" s="126"/>
      <c r="AU723" s="126"/>
      <c r="AV723" s="127"/>
      <c r="AW723" s="126"/>
      <c r="AX723" s="126"/>
      <c r="AY723" s="127"/>
      <c r="AZ723" s="126"/>
      <c r="BA723" s="126"/>
      <c r="BB723" s="127"/>
      <c r="BC723" s="126"/>
      <c r="BD723" s="134"/>
      <c r="BE723" s="127"/>
      <c r="BF723" s="126"/>
      <c r="BG723" s="126"/>
      <c r="BH723" s="126"/>
      <c r="BI723" s="126"/>
      <c r="BJ723" s="126"/>
      <c r="BK723" s="126"/>
      <c r="BL723" s="126"/>
      <c r="BM723" s="126"/>
      <c r="BN723" s="126"/>
      <c r="BO723" s="126"/>
      <c r="BP723" s="126"/>
      <c r="BQ723" s="126"/>
      <c r="BR723" s="126"/>
      <c r="BS723" s="126"/>
      <c r="BT723" s="126"/>
      <c r="BU723" s="126"/>
      <c r="BV723" s="126"/>
      <c r="BW723" s="126"/>
      <c r="BX723" s="126"/>
    </row>
    <row r="724">
      <c r="A724" s="126"/>
      <c r="B724" s="126"/>
      <c r="C724" s="127"/>
      <c r="D724" s="126"/>
      <c r="E724" s="126"/>
      <c r="F724" s="127"/>
      <c r="G724" s="126"/>
      <c r="H724" s="127"/>
      <c r="I724" s="126"/>
      <c r="J724" s="126"/>
      <c r="K724" s="127"/>
      <c r="L724" s="126"/>
      <c r="M724" s="126"/>
      <c r="N724" s="127"/>
      <c r="O724" s="126"/>
      <c r="P724" s="126"/>
      <c r="Q724" s="127"/>
      <c r="R724" s="126"/>
      <c r="S724" s="126"/>
      <c r="T724" s="127"/>
      <c r="U724" s="126"/>
      <c r="V724" s="126"/>
      <c r="W724" s="127"/>
      <c r="X724" s="126"/>
      <c r="Y724" s="126"/>
      <c r="Z724" s="127"/>
      <c r="AA724" s="126"/>
      <c r="AB724" s="126"/>
      <c r="AC724" s="127"/>
      <c r="AD724" s="126"/>
      <c r="AE724" s="126"/>
      <c r="AF724" s="126"/>
      <c r="AG724" s="127"/>
      <c r="AH724" s="126"/>
      <c r="AI724" s="126"/>
      <c r="AJ724" s="127"/>
      <c r="AK724" s="126"/>
      <c r="AL724" s="126"/>
      <c r="AM724" s="127"/>
      <c r="AN724" s="126"/>
      <c r="AO724" s="126"/>
      <c r="AP724" s="127"/>
      <c r="AQ724" s="126"/>
      <c r="AR724" s="126"/>
      <c r="AS724" s="127"/>
      <c r="AT724" s="126"/>
      <c r="AU724" s="126"/>
      <c r="AV724" s="127"/>
      <c r="AW724" s="126"/>
      <c r="AX724" s="126"/>
      <c r="AY724" s="127"/>
      <c r="AZ724" s="126"/>
      <c r="BA724" s="126"/>
      <c r="BB724" s="127"/>
      <c r="BC724" s="126"/>
      <c r="BD724" s="134"/>
      <c r="BE724" s="127"/>
      <c r="BF724" s="126"/>
      <c r="BG724" s="126"/>
      <c r="BH724" s="126"/>
      <c r="BI724" s="126"/>
      <c r="BJ724" s="126"/>
      <c r="BK724" s="126"/>
      <c r="BL724" s="126"/>
      <c r="BM724" s="126"/>
      <c r="BN724" s="126"/>
      <c r="BO724" s="126"/>
      <c r="BP724" s="126"/>
      <c r="BQ724" s="126"/>
      <c r="BR724" s="126"/>
      <c r="BS724" s="126"/>
      <c r="BT724" s="126"/>
      <c r="BU724" s="126"/>
      <c r="BV724" s="126"/>
      <c r="BW724" s="126"/>
      <c r="BX724" s="126"/>
    </row>
    <row r="725">
      <c r="A725" s="126"/>
      <c r="B725" s="126"/>
      <c r="C725" s="127"/>
      <c r="D725" s="126"/>
      <c r="E725" s="126"/>
      <c r="F725" s="127"/>
      <c r="G725" s="126"/>
      <c r="H725" s="127"/>
      <c r="I725" s="126"/>
      <c r="J725" s="126"/>
      <c r="K725" s="127"/>
      <c r="L725" s="126"/>
      <c r="M725" s="126"/>
      <c r="N725" s="127"/>
      <c r="O725" s="126"/>
      <c r="P725" s="126"/>
      <c r="Q725" s="127"/>
      <c r="R725" s="126"/>
      <c r="S725" s="126"/>
      <c r="T725" s="127"/>
      <c r="U725" s="126"/>
      <c r="V725" s="126"/>
      <c r="W725" s="127"/>
      <c r="X725" s="126"/>
      <c r="Y725" s="126"/>
      <c r="Z725" s="127"/>
      <c r="AA725" s="126"/>
      <c r="AB725" s="126"/>
      <c r="AC725" s="127"/>
      <c r="AD725" s="126"/>
      <c r="AE725" s="126"/>
      <c r="AF725" s="126"/>
      <c r="AG725" s="127"/>
      <c r="AH725" s="126"/>
      <c r="AI725" s="126"/>
      <c r="AJ725" s="127"/>
      <c r="AK725" s="126"/>
      <c r="AL725" s="126"/>
      <c r="AM725" s="127"/>
      <c r="AN725" s="126"/>
      <c r="AO725" s="126"/>
      <c r="AP725" s="127"/>
      <c r="AQ725" s="126"/>
      <c r="AR725" s="126"/>
      <c r="AS725" s="127"/>
      <c r="AT725" s="126"/>
      <c r="AU725" s="126"/>
      <c r="AV725" s="127"/>
      <c r="AW725" s="126"/>
      <c r="AX725" s="126"/>
      <c r="AY725" s="127"/>
      <c r="AZ725" s="126"/>
      <c r="BA725" s="126"/>
      <c r="BB725" s="127"/>
      <c r="BC725" s="126"/>
      <c r="BD725" s="134"/>
      <c r="BE725" s="127"/>
      <c r="BF725" s="126"/>
      <c r="BG725" s="126"/>
      <c r="BH725" s="126"/>
      <c r="BI725" s="126"/>
      <c r="BJ725" s="126"/>
      <c r="BK725" s="126"/>
      <c r="BL725" s="126"/>
      <c r="BM725" s="126"/>
      <c r="BN725" s="126"/>
      <c r="BO725" s="126"/>
      <c r="BP725" s="126"/>
      <c r="BQ725" s="126"/>
      <c r="BR725" s="126"/>
      <c r="BS725" s="126"/>
      <c r="BT725" s="126"/>
      <c r="BU725" s="126"/>
      <c r="BV725" s="126"/>
      <c r="BW725" s="126"/>
      <c r="BX725" s="126"/>
    </row>
    <row r="726">
      <c r="A726" s="126"/>
      <c r="B726" s="126"/>
      <c r="C726" s="127"/>
      <c r="D726" s="126"/>
      <c r="E726" s="126"/>
      <c r="F726" s="127"/>
      <c r="G726" s="126"/>
      <c r="H726" s="127"/>
      <c r="I726" s="126"/>
      <c r="J726" s="126"/>
      <c r="K726" s="127"/>
      <c r="L726" s="126"/>
      <c r="M726" s="126"/>
      <c r="N726" s="127"/>
      <c r="O726" s="126"/>
      <c r="P726" s="126"/>
      <c r="Q726" s="127"/>
      <c r="R726" s="126"/>
      <c r="S726" s="126"/>
      <c r="T726" s="127"/>
      <c r="U726" s="126"/>
      <c r="V726" s="126"/>
      <c r="W726" s="127"/>
      <c r="X726" s="126"/>
      <c r="Y726" s="126"/>
      <c r="Z726" s="127"/>
      <c r="AA726" s="126"/>
      <c r="AB726" s="126"/>
      <c r="AC726" s="127"/>
      <c r="AD726" s="126"/>
      <c r="AE726" s="126"/>
      <c r="AF726" s="126"/>
      <c r="AG726" s="127"/>
      <c r="AH726" s="126"/>
      <c r="AI726" s="126"/>
      <c r="AJ726" s="127"/>
      <c r="AK726" s="126"/>
      <c r="AL726" s="126"/>
      <c r="AM726" s="127"/>
      <c r="AN726" s="126"/>
      <c r="AO726" s="126"/>
      <c r="AP726" s="127"/>
      <c r="AQ726" s="126"/>
      <c r="AR726" s="126"/>
      <c r="AS726" s="127"/>
      <c r="AT726" s="126"/>
      <c r="AU726" s="126"/>
      <c r="AV726" s="127"/>
      <c r="AW726" s="126"/>
      <c r="AX726" s="126"/>
      <c r="AY726" s="127"/>
      <c r="AZ726" s="126"/>
      <c r="BA726" s="126"/>
      <c r="BB726" s="127"/>
      <c r="BC726" s="126"/>
      <c r="BD726" s="134"/>
      <c r="BE726" s="127"/>
      <c r="BF726" s="126"/>
      <c r="BG726" s="126"/>
      <c r="BH726" s="126"/>
      <c r="BI726" s="126"/>
      <c r="BJ726" s="126"/>
      <c r="BK726" s="126"/>
      <c r="BL726" s="126"/>
      <c r="BM726" s="126"/>
      <c r="BN726" s="126"/>
      <c r="BO726" s="126"/>
      <c r="BP726" s="126"/>
      <c r="BQ726" s="126"/>
      <c r="BR726" s="126"/>
      <c r="BS726" s="126"/>
      <c r="BT726" s="126"/>
      <c r="BU726" s="126"/>
      <c r="BV726" s="126"/>
      <c r="BW726" s="126"/>
      <c r="BX726" s="126"/>
    </row>
    <row r="727">
      <c r="A727" s="126"/>
      <c r="B727" s="126"/>
      <c r="C727" s="127"/>
      <c r="D727" s="126"/>
      <c r="E727" s="126"/>
      <c r="F727" s="127"/>
      <c r="G727" s="126"/>
      <c r="H727" s="127"/>
      <c r="I727" s="126"/>
      <c r="J727" s="126"/>
      <c r="K727" s="127"/>
      <c r="L727" s="126"/>
      <c r="M727" s="126"/>
      <c r="N727" s="127"/>
      <c r="O727" s="126"/>
      <c r="P727" s="126"/>
      <c r="Q727" s="127"/>
      <c r="R727" s="126"/>
      <c r="S727" s="126"/>
      <c r="T727" s="127"/>
      <c r="U727" s="126"/>
      <c r="V727" s="126"/>
      <c r="W727" s="127"/>
      <c r="X727" s="126"/>
      <c r="Y727" s="126"/>
      <c r="Z727" s="127"/>
      <c r="AA727" s="126"/>
      <c r="AB727" s="126"/>
      <c r="AC727" s="127"/>
      <c r="AD727" s="126"/>
      <c r="AE727" s="126"/>
      <c r="AF727" s="126"/>
      <c r="AG727" s="127"/>
      <c r="AH727" s="126"/>
      <c r="AI727" s="126"/>
      <c r="AJ727" s="127"/>
      <c r="AK727" s="126"/>
      <c r="AL727" s="126"/>
      <c r="AM727" s="127"/>
      <c r="AN727" s="126"/>
      <c r="AO727" s="126"/>
      <c r="AP727" s="127"/>
      <c r="AQ727" s="126"/>
      <c r="AR727" s="126"/>
      <c r="AS727" s="127"/>
      <c r="AT727" s="126"/>
      <c r="AU727" s="126"/>
      <c r="AV727" s="127"/>
      <c r="AW727" s="126"/>
      <c r="AX727" s="126"/>
      <c r="AY727" s="127"/>
      <c r="AZ727" s="126"/>
      <c r="BA727" s="126"/>
      <c r="BB727" s="127"/>
      <c r="BC727" s="126"/>
      <c r="BD727" s="134"/>
      <c r="BE727" s="127"/>
      <c r="BF727" s="126"/>
      <c r="BG727" s="126"/>
      <c r="BH727" s="126"/>
      <c r="BI727" s="126"/>
      <c r="BJ727" s="126"/>
      <c r="BK727" s="126"/>
      <c r="BL727" s="126"/>
      <c r="BM727" s="126"/>
      <c r="BN727" s="126"/>
      <c r="BO727" s="126"/>
      <c r="BP727" s="126"/>
      <c r="BQ727" s="126"/>
      <c r="BR727" s="126"/>
      <c r="BS727" s="126"/>
      <c r="BT727" s="126"/>
      <c r="BU727" s="126"/>
      <c r="BV727" s="126"/>
      <c r="BW727" s="126"/>
      <c r="BX727" s="126"/>
    </row>
    <row r="728">
      <c r="A728" s="126"/>
      <c r="B728" s="126"/>
      <c r="C728" s="127"/>
      <c r="D728" s="126"/>
      <c r="E728" s="126"/>
      <c r="F728" s="127"/>
      <c r="G728" s="126"/>
      <c r="H728" s="127"/>
      <c r="I728" s="126"/>
      <c r="J728" s="126"/>
      <c r="K728" s="127"/>
      <c r="L728" s="126"/>
      <c r="M728" s="126"/>
      <c r="N728" s="127"/>
      <c r="O728" s="126"/>
      <c r="P728" s="126"/>
      <c r="Q728" s="127"/>
      <c r="R728" s="126"/>
      <c r="S728" s="126"/>
      <c r="T728" s="127"/>
      <c r="U728" s="126"/>
      <c r="V728" s="126"/>
      <c r="W728" s="127"/>
      <c r="X728" s="126"/>
      <c r="Y728" s="126"/>
      <c r="Z728" s="127"/>
      <c r="AA728" s="126"/>
      <c r="AB728" s="126"/>
      <c r="AC728" s="127"/>
      <c r="AD728" s="126"/>
      <c r="AE728" s="126"/>
      <c r="AF728" s="126"/>
      <c r="AG728" s="127"/>
      <c r="AH728" s="126"/>
      <c r="AI728" s="126"/>
      <c r="AJ728" s="127"/>
      <c r="AK728" s="126"/>
      <c r="AL728" s="126"/>
      <c r="AM728" s="127"/>
      <c r="AN728" s="126"/>
      <c r="AO728" s="126"/>
      <c r="AP728" s="127"/>
      <c r="AQ728" s="126"/>
      <c r="AR728" s="126"/>
      <c r="AS728" s="127"/>
      <c r="AT728" s="126"/>
      <c r="AU728" s="126"/>
      <c r="AV728" s="127"/>
      <c r="AW728" s="126"/>
      <c r="AX728" s="126"/>
      <c r="AY728" s="127"/>
      <c r="AZ728" s="126"/>
      <c r="BA728" s="126"/>
      <c r="BB728" s="127"/>
      <c r="BC728" s="126"/>
      <c r="BD728" s="134"/>
      <c r="BE728" s="127"/>
      <c r="BF728" s="126"/>
      <c r="BG728" s="126"/>
      <c r="BH728" s="126"/>
      <c r="BI728" s="126"/>
      <c r="BJ728" s="126"/>
      <c r="BK728" s="126"/>
      <c r="BL728" s="126"/>
      <c r="BM728" s="126"/>
      <c r="BN728" s="126"/>
      <c r="BO728" s="126"/>
      <c r="BP728" s="126"/>
      <c r="BQ728" s="126"/>
      <c r="BR728" s="126"/>
      <c r="BS728" s="126"/>
      <c r="BT728" s="126"/>
      <c r="BU728" s="126"/>
      <c r="BV728" s="126"/>
      <c r="BW728" s="126"/>
      <c r="BX728" s="126"/>
    </row>
    <row r="729">
      <c r="A729" s="126"/>
      <c r="B729" s="126"/>
      <c r="C729" s="127"/>
      <c r="D729" s="126"/>
      <c r="E729" s="126"/>
      <c r="F729" s="127"/>
      <c r="G729" s="126"/>
      <c r="H729" s="127"/>
      <c r="I729" s="126"/>
      <c r="J729" s="126"/>
      <c r="K729" s="127"/>
      <c r="L729" s="126"/>
      <c r="M729" s="126"/>
      <c r="N729" s="127"/>
      <c r="O729" s="126"/>
      <c r="P729" s="126"/>
      <c r="Q729" s="127"/>
      <c r="R729" s="126"/>
      <c r="S729" s="126"/>
      <c r="T729" s="127"/>
      <c r="U729" s="126"/>
      <c r="V729" s="126"/>
      <c r="W729" s="127"/>
      <c r="X729" s="126"/>
      <c r="Y729" s="126"/>
      <c r="Z729" s="127"/>
      <c r="AA729" s="126"/>
      <c r="AB729" s="126"/>
      <c r="AC729" s="127"/>
      <c r="AD729" s="126"/>
      <c r="AE729" s="126"/>
      <c r="AF729" s="126"/>
      <c r="AG729" s="127"/>
      <c r="AH729" s="126"/>
      <c r="AI729" s="126"/>
      <c r="AJ729" s="127"/>
      <c r="AK729" s="126"/>
      <c r="AL729" s="126"/>
      <c r="AM729" s="127"/>
      <c r="AN729" s="126"/>
      <c r="AO729" s="126"/>
      <c r="AP729" s="127"/>
      <c r="AQ729" s="126"/>
      <c r="AR729" s="126"/>
      <c r="AS729" s="127"/>
      <c r="AT729" s="126"/>
      <c r="AU729" s="126"/>
      <c r="AV729" s="127"/>
      <c r="AW729" s="126"/>
      <c r="AX729" s="126"/>
      <c r="AY729" s="127"/>
      <c r="AZ729" s="126"/>
      <c r="BA729" s="126"/>
      <c r="BB729" s="127"/>
      <c r="BC729" s="126"/>
      <c r="BD729" s="134"/>
      <c r="BE729" s="127"/>
      <c r="BF729" s="126"/>
      <c r="BG729" s="126"/>
      <c r="BH729" s="126"/>
      <c r="BI729" s="126"/>
      <c r="BJ729" s="126"/>
      <c r="BK729" s="126"/>
      <c r="BL729" s="126"/>
      <c r="BM729" s="126"/>
      <c r="BN729" s="126"/>
      <c r="BO729" s="126"/>
      <c r="BP729" s="126"/>
      <c r="BQ729" s="126"/>
      <c r="BR729" s="126"/>
      <c r="BS729" s="126"/>
      <c r="BT729" s="126"/>
      <c r="BU729" s="126"/>
      <c r="BV729" s="126"/>
      <c r="BW729" s="126"/>
      <c r="BX729" s="126"/>
    </row>
    <row r="730">
      <c r="A730" s="126"/>
      <c r="B730" s="126"/>
      <c r="C730" s="127"/>
      <c r="D730" s="126"/>
      <c r="E730" s="126"/>
      <c r="F730" s="127"/>
      <c r="G730" s="126"/>
      <c r="H730" s="127"/>
      <c r="I730" s="126"/>
      <c r="J730" s="126"/>
      <c r="K730" s="127"/>
      <c r="L730" s="126"/>
      <c r="M730" s="126"/>
      <c r="N730" s="127"/>
      <c r="O730" s="126"/>
      <c r="P730" s="126"/>
      <c r="Q730" s="127"/>
      <c r="R730" s="126"/>
      <c r="S730" s="126"/>
      <c r="T730" s="127"/>
      <c r="U730" s="126"/>
      <c r="V730" s="126"/>
      <c r="W730" s="127"/>
      <c r="X730" s="126"/>
      <c r="Y730" s="126"/>
      <c r="Z730" s="127"/>
      <c r="AA730" s="126"/>
      <c r="AB730" s="126"/>
      <c r="AC730" s="127"/>
      <c r="AD730" s="126"/>
      <c r="AE730" s="126"/>
      <c r="AF730" s="126"/>
      <c r="AG730" s="127"/>
      <c r="AH730" s="126"/>
      <c r="AI730" s="126"/>
      <c r="AJ730" s="127"/>
      <c r="AK730" s="126"/>
      <c r="AL730" s="126"/>
      <c r="AM730" s="127"/>
      <c r="AN730" s="126"/>
      <c r="AO730" s="126"/>
      <c r="AP730" s="127"/>
      <c r="AQ730" s="126"/>
      <c r="AR730" s="126"/>
      <c r="AS730" s="127"/>
      <c r="AT730" s="126"/>
      <c r="AU730" s="126"/>
      <c r="AV730" s="127"/>
      <c r="AW730" s="126"/>
      <c r="AX730" s="126"/>
      <c r="AY730" s="127"/>
      <c r="AZ730" s="126"/>
      <c r="BA730" s="126"/>
      <c r="BB730" s="127"/>
      <c r="BC730" s="126"/>
      <c r="BD730" s="134"/>
      <c r="BE730" s="127"/>
      <c r="BF730" s="126"/>
      <c r="BG730" s="126"/>
      <c r="BH730" s="126"/>
      <c r="BI730" s="126"/>
      <c r="BJ730" s="126"/>
      <c r="BK730" s="126"/>
      <c r="BL730" s="126"/>
      <c r="BM730" s="126"/>
      <c r="BN730" s="126"/>
      <c r="BO730" s="126"/>
      <c r="BP730" s="126"/>
      <c r="BQ730" s="126"/>
      <c r="BR730" s="126"/>
      <c r="BS730" s="126"/>
      <c r="BT730" s="126"/>
      <c r="BU730" s="126"/>
      <c r="BV730" s="126"/>
      <c r="BW730" s="126"/>
      <c r="BX730" s="126"/>
    </row>
    <row r="731">
      <c r="A731" s="126"/>
      <c r="B731" s="126"/>
      <c r="C731" s="127"/>
      <c r="D731" s="126"/>
      <c r="E731" s="126"/>
      <c r="F731" s="127"/>
      <c r="G731" s="126"/>
      <c r="H731" s="127"/>
      <c r="I731" s="126"/>
      <c r="J731" s="126"/>
      <c r="K731" s="127"/>
      <c r="L731" s="126"/>
      <c r="M731" s="126"/>
      <c r="N731" s="127"/>
      <c r="O731" s="126"/>
      <c r="P731" s="126"/>
      <c r="Q731" s="127"/>
      <c r="R731" s="126"/>
      <c r="S731" s="126"/>
      <c r="T731" s="127"/>
      <c r="U731" s="126"/>
      <c r="V731" s="126"/>
      <c r="W731" s="127"/>
      <c r="X731" s="126"/>
      <c r="Y731" s="126"/>
      <c r="Z731" s="127"/>
      <c r="AA731" s="126"/>
      <c r="AB731" s="126"/>
      <c r="AC731" s="127"/>
      <c r="AD731" s="126"/>
      <c r="AE731" s="126"/>
      <c r="AF731" s="126"/>
      <c r="AG731" s="127"/>
      <c r="AH731" s="126"/>
      <c r="AI731" s="126"/>
      <c r="AJ731" s="127"/>
      <c r="AK731" s="126"/>
      <c r="AL731" s="126"/>
      <c r="AM731" s="127"/>
      <c r="AN731" s="126"/>
      <c r="AO731" s="126"/>
      <c r="AP731" s="127"/>
      <c r="AQ731" s="126"/>
      <c r="AR731" s="126"/>
      <c r="AS731" s="127"/>
      <c r="AT731" s="126"/>
      <c r="AU731" s="126"/>
      <c r="AV731" s="127"/>
      <c r="AW731" s="126"/>
      <c r="AX731" s="126"/>
      <c r="AY731" s="127"/>
      <c r="AZ731" s="126"/>
      <c r="BA731" s="126"/>
      <c r="BB731" s="127"/>
      <c r="BC731" s="126"/>
      <c r="BD731" s="134"/>
      <c r="BE731" s="127"/>
      <c r="BF731" s="126"/>
      <c r="BG731" s="126"/>
      <c r="BH731" s="126"/>
      <c r="BI731" s="126"/>
      <c r="BJ731" s="126"/>
      <c r="BK731" s="126"/>
      <c r="BL731" s="126"/>
      <c r="BM731" s="126"/>
      <c r="BN731" s="126"/>
      <c r="BO731" s="126"/>
      <c r="BP731" s="126"/>
      <c r="BQ731" s="126"/>
      <c r="BR731" s="126"/>
      <c r="BS731" s="126"/>
      <c r="BT731" s="126"/>
      <c r="BU731" s="126"/>
      <c r="BV731" s="126"/>
      <c r="BW731" s="126"/>
      <c r="BX731" s="126"/>
    </row>
    <row r="732">
      <c r="A732" s="126"/>
      <c r="B732" s="126"/>
      <c r="C732" s="127"/>
      <c r="D732" s="126"/>
      <c r="E732" s="126"/>
      <c r="F732" s="127"/>
      <c r="G732" s="126"/>
      <c r="H732" s="127"/>
      <c r="I732" s="126"/>
      <c r="J732" s="126"/>
      <c r="K732" s="127"/>
      <c r="L732" s="126"/>
      <c r="M732" s="126"/>
      <c r="N732" s="127"/>
      <c r="O732" s="126"/>
      <c r="P732" s="126"/>
      <c r="Q732" s="127"/>
      <c r="R732" s="126"/>
      <c r="S732" s="126"/>
      <c r="T732" s="127"/>
      <c r="U732" s="126"/>
      <c r="V732" s="126"/>
      <c r="W732" s="127"/>
      <c r="X732" s="126"/>
      <c r="Y732" s="126"/>
      <c r="Z732" s="127"/>
      <c r="AA732" s="126"/>
      <c r="AB732" s="126"/>
      <c r="AC732" s="127"/>
      <c r="AD732" s="126"/>
      <c r="AE732" s="126"/>
      <c r="AF732" s="126"/>
      <c r="AG732" s="127"/>
      <c r="AH732" s="126"/>
      <c r="AI732" s="126"/>
      <c r="AJ732" s="127"/>
      <c r="AK732" s="126"/>
      <c r="AL732" s="126"/>
      <c r="AM732" s="127"/>
      <c r="AN732" s="126"/>
      <c r="AO732" s="126"/>
      <c r="AP732" s="127"/>
      <c r="AQ732" s="126"/>
      <c r="AR732" s="126"/>
      <c r="AS732" s="127"/>
      <c r="AT732" s="126"/>
      <c r="AU732" s="126"/>
      <c r="AV732" s="127"/>
      <c r="AW732" s="126"/>
      <c r="AX732" s="126"/>
      <c r="AY732" s="127"/>
      <c r="AZ732" s="126"/>
      <c r="BA732" s="126"/>
      <c r="BB732" s="127"/>
      <c r="BC732" s="126"/>
      <c r="BD732" s="134"/>
      <c r="BE732" s="127"/>
      <c r="BF732" s="126"/>
      <c r="BG732" s="126"/>
      <c r="BH732" s="126"/>
      <c r="BI732" s="126"/>
      <c r="BJ732" s="126"/>
      <c r="BK732" s="126"/>
      <c r="BL732" s="126"/>
      <c r="BM732" s="126"/>
      <c r="BN732" s="126"/>
      <c r="BO732" s="126"/>
      <c r="BP732" s="126"/>
      <c r="BQ732" s="126"/>
      <c r="BR732" s="126"/>
      <c r="BS732" s="126"/>
      <c r="BT732" s="126"/>
      <c r="BU732" s="126"/>
      <c r="BV732" s="126"/>
      <c r="BW732" s="126"/>
      <c r="BX732" s="126"/>
    </row>
    <row r="733">
      <c r="A733" s="126"/>
      <c r="B733" s="126"/>
      <c r="C733" s="127"/>
      <c r="D733" s="126"/>
      <c r="E733" s="126"/>
      <c r="F733" s="127"/>
      <c r="G733" s="126"/>
      <c r="H733" s="127"/>
      <c r="I733" s="126"/>
      <c r="J733" s="126"/>
      <c r="K733" s="127"/>
      <c r="L733" s="126"/>
      <c r="M733" s="126"/>
      <c r="N733" s="127"/>
      <c r="O733" s="126"/>
      <c r="P733" s="126"/>
      <c r="Q733" s="127"/>
      <c r="R733" s="126"/>
      <c r="S733" s="126"/>
      <c r="T733" s="127"/>
      <c r="U733" s="126"/>
      <c r="V733" s="126"/>
      <c r="W733" s="127"/>
      <c r="X733" s="126"/>
      <c r="Y733" s="126"/>
      <c r="Z733" s="127"/>
      <c r="AA733" s="126"/>
      <c r="AB733" s="126"/>
      <c r="AC733" s="127"/>
      <c r="AD733" s="126"/>
      <c r="AE733" s="126"/>
      <c r="AF733" s="126"/>
      <c r="AG733" s="127"/>
      <c r="AH733" s="126"/>
      <c r="AI733" s="126"/>
      <c r="AJ733" s="127"/>
      <c r="AK733" s="126"/>
      <c r="AL733" s="126"/>
      <c r="AM733" s="127"/>
      <c r="AN733" s="126"/>
      <c r="AO733" s="126"/>
      <c r="AP733" s="127"/>
      <c r="AQ733" s="126"/>
      <c r="AR733" s="126"/>
      <c r="AS733" s="127"/>
      <c r="AT733" s="126"/>
      <c r="AU733" s="126"/>
      <c r="AV733" s="127"/>
      <c r="AW733" s="126"/>
      <c r="AX733" s="126"/>
      <c r="AY733" s="127"/>
      <c r="AZ733" s="126"/>
      <c r="BA733" s="126"/>
      <c r="BB733" s="127"/>
      <c r="BC733" s="126"/>
      <c r="BD733" s="134"/>
      <c r="BE733" s="127"/>
      <c r="BF733" s="126"/>
      <c r="BG733" s="126"/>
      <c r="BH733" s="126"/>
      <c r="BI733" s="126"/>
      <c r="BJ733" s="126"/>
      <c r="BK733" s="126"/>
      <c r="BL733" s="126"/>
      <c r="BM733" s="126"/>
      <c r="BN733" s="126"/>
      <c r="BO733" s="126"/>
      <c r="BP733" s="126"/>
      <c r="BQ733" s="126"/>
      <c r="BR733" s="126"/>
      <c r="BS733" s="126"/>
      <c r="BT733" s="126"/>
      <c r="BU733" s="126"/>
      <c r="BV733" s="126"/>
      <c r="BW733" s="126"/>
      <c r="BX733" s="126"/>
    </row>
    <row r="734">
      <c r="A734" s="126"/>
      <c r="B734" s="126"/>
      <c r="C734" s="127"/>
      <c r="D734" s="126"/>
      <c r="E734" s="126"/>
      <c r="F734" s="127"/>
      <c r="G734" s="126"/>
      <c r="H734" s="127"/>
      <c r="I734" s="126"/>
      <c r="J734" s="126"/>
      <c r="K734" s="127"/>
      <c r="L734" s="126"/>
      <c r="M734" s="126"/>
      <c r="N734" s="127"/>
      <c r="O734" s="126"/>
      <c r="P734" s="126"/>
      <c r="Q734" s="127"/>
      <c r="R734" s="126"/>
      <c r="S734" s="126"/>
      <c r="T734" s="127"/>
      <c r="U734" s="126"/>
      <c r="V734" s="126"/>
      <c r="W734" s="127"/>
      <c r="X734" s="126"/>
      <c r="Y734" s="126"/>
      <c r="Z734" s="127"/>
      <c r="AA734" s="126"/>
      <c r="AB734" s="126"/>
      <c r="AC734" s="127"/>
      <c r="AD734" s="126"/>
      <c r="AE734" s="126"/>
      <c r="AF734" s="126"/>
      <c r="AG734" s="127"/>
      <c r="AH734" s="126"/>
      <c r="AI734" s="126"/>
      <c r="AJ734" s="127"/>
      <c r="AK734" s="126"/>
      <c r="AL734" s="126"/>
      <c r="AM734" s="127"/>
      <c r="AN734" s="126"/>
      <c r="AO734" s="126"/>
      <c r="AP734" s="127"/>
      <c r="AQ734" s="126"/>
      <c r="AR734" s="126"/>
      <c r="AS734" s="127"/>
      <c r="AT734" s="126"/>
      <c r="AU734" s="126"/>
      <c r="AV734" s="127"/>
      <c r="AW734" s="126"/>
      <c r="AX734" s="126"/>
      <c r="AY734" s="127"/>
      <c r="AZ734" s="126"/>
      <c r="BA734" s="126"/>
      <c r="BB734" s="127"/>
      <c r="BC734" s="126"/>
      <c r="BD734" s="134"/>
      <c r="BE734" s="127"/>
      <c r="BF734" s="126"/>
      <c r="BG734" s="126"/>
      <c r="BH734" s="126"/>
      <c r="BI734" s="126"/>
      <c r="BJ734" s="126"/>
      <c r="BK734" s="126"/>
      <c r="BL734" s="126"/>
      <c r="BM734" s="126"/>
      <c r="BN734" s="126"/>
      <c r="BO734" s="126"/>
      <c r="BP734" s="126"/>
      <c r="BQ734" s="126"/>
      <c r="BR734" s="126"/>
      <c r="BS734" s="126"/>
      <c r="BT734" s="126"/>
      <c r="BU734" s="126"/>
      <c r="BV734" s="126"/>
      <c r="BW734" s="126"/>
      <c r="BX734" s="126"/>
    </row>
    <row r="735">
      <c r="A735" s="126"/>
      <c r="B735" s="126"/>
      <c r="C735" s="127"/>
      <c r="D735" s="126"/>
      <c r="E735" s="126"/>
      <c r="F735" s="127"/>
      <c r="G735" s="126"/>
      <c r="H735" s="127"/>
      <c r="I735" s="126"/>
      <c r="J735" s="126"/>
      <c r="K735" s="127"/>
      <c r="L735" s="126"/>
      <c r="M735" s="126"/>
      <c r="N735" s="127"/>
      <c r="O735" s="126"/>
      <c r="P735" s="126"/>
      <c r="Q735" s="127"/>
      <c r="R735" s="126"/>
      <c r="S735" s="126"/>
      <c r="T735" s="127"/>
      <c r="U735" s="126"/>
      <c r="V735" s="126"/>
      <c r="W735" s="127"/>
      <c r="X735" s="126"/>
      <c r="Y735" s="126"/>
      <c r="Z735" s="127"/>
      <c r="AA735" s="126"/>
      <c r="AB735" s="126"/>
      <c r="AC735" s="127"/>
      <c r="AD735" s="126"/>
      <c r="AE735" s="126"/>
      <c r="AF735" s="126"/>
      <c r="AG735" s="127"/>
      <c r="AH735" s="126"/>
      <c r="AI735" s="126"/>
      <c r="AJ735" s="127"/>
      <c r="AK735" s="126"/>
      <c r="AL735" s="126"/>
      <c r="AM735" s="127"/>
      <c r="AN735" s="126"/>
      <c r="AO735" s="126"/>
      <c r="AP735" s="127"/>
      <c r="AQ735" s="126"/>
      <c r="AR735" s="126"/>
      <c r="AS735" s="127"/>
      <c r="AT735" s="126"/>
      <c r="AU735" s="126"/>
      <c r="AV735" s="127"/>
      <c r="AW735" s="126"/>
      <c r="AX735" s="126"/>
      <c r="AY735" s="127"/>
      <c r="AZ735" s="126"/>
      <c r="BA735" s="126"/>
      <c r="BB735" s="127"/>
      <c r="BC735" s="126"/>
      <c r="BD735" s="134"/>
      <c r="BE735" s="127"/>
      <c r="BF735" s="126"/>
      <c r="BG735" s="126"/>
      <c r="BH735" s="126"/>
      <c r="BI735" s="126"/>
      <c r="BJ735" s="126"/>
      <c r="BK735" s="126"/>
      <c r="BL735" s="126"/>
      <c r="BM735" s="126"/>
      <c r="BN735" s="126"/>
      <c r="BO735" s="126"/>
      <c r="BP735" s="126"/>
      <c r="BQ735" s="126"/>
      <c r="BR735" s="126"/>
      <c r="BS735" s="126"/>
      <c r="BT735" s="126"/>
      <c r="BU735" s="126"/>
      <c r="BV735" s="126"/>
      <c r="BW735" s="126"/>
      <c r="BX735" s="126"/>
    </row>
    <row r="736">
      <c r="A736" s="126"/>
      <c r="B736" s="126"/>
      <c r="C736" s="127"/>
      <c r="D736" s="126"/>
      <c r="E736" s="126"/>
      <c r="F736" s="127"/>
      <c r="G736" s="126"/>
      <c r="H736" s="127"/>
      <c r="I736" s="126"/>
      <c r="J736" s="126"/>
      <c r="K736" s="127"/>
      <c r="L736" s="126"/>
      <c r="M736" s="126"/>
      <c r="N736" s="127"/>
      <c r="O736" s="126"/>
      <c r="P736" s="126"/>
      <c r="Q736" s="127"/>
      <c r="R736" s="126"/>
      <c r="S736" s="126"/>
      <c r="T736" s="127"/>
      <c r="U736" s="126"/>
      <c r="V736" s="126"/>
      <c r="W736" s="127"/>
      <c r="X736" s="126"/>
      <c r="Y736" s="126"/>
      <c r="Z736" s="127"/>
      <c r="AA736" s="126"/>
      <c r="AB736" s="126"/>
      <c r="AC736" s="127"/>
      <c r="AD736" s="126"/>
      <c r="AE736" s="126"/>
      <c r="AF736" s="126"/>
      <c r="AG736" s="127"/>
      <c r="AH736" s="126"/>
      <c r="AI736" s="126"/>
      <c r="AJ736" s="127"/>
      <c r="AK736" s="126"/>
      <c r="AL736" s="126"/>
      <c r="AM736" s="127"/>
      <c r="AN736" s="126"/>
      <c r="AO736" s="126"/>
      <c r="AP736" s="127"/>
      <c r="AQ736" s="126"/>
      <c r="AR736" s="126"/>
      <c r="AS736" s="127"/>
      <c r="AT736" s="126"/>
      <c r="AU736" s="126"/>
      <c r="AV736" s="127"/>
      <c r="AW736" s="126"/>
      <c r="AX736" s="126"/>
      <c r="AY736" s="127"/>
      <c r="AZ736" s="126"/>
      <c r="BA736" s="126"/>
      <c r="BB736" s="127"/>
      <c r="BC736" s="126"/>
      <c r="BD736" s="134"/>
      <c r="BE736" s="127"/>
      <c r="BF736" s="126"/>
      <c r="BG736" s="126"/>
      <c r="BH736" s="126"/>
      <c r="BI736" s="126"/>
      <c r="BJ736" s="126"/>
      <c r="BK736" s="126"/>
      <c r="BL736" s="126"/>
      <c r="BM736" s="126"/>
      <c r="BN736" s="126"/>
      <c r="BO736" s="126"/>
      <c r="BP736" s="126"/>
      <c r="BQ736" s="126"/>
      <c r="BR736" s="126"/>
      <c r="BS736" s="126"/>
      <c r="BT736" s="126"/>
      <c r="BU736" s="126"/>
      <c r="BV736" s="126"/>
      <c r="BW736" s="126"/>
      <c r="BX736" s="126"/>
    </row>
    <row r="737">
      <c r="A737" s="126"/>
      <c r="B737" s="126"/>
      <c r="C737" s="127"/>
      <c r="D737" s="126"/>
      <c r="E737" s="126"/>
      <c r="F737" s="127"/>
      <c r="G737" s="126"/>
      <c r="H737" s="127"/>
      <c r="I737" s="126"/>
      <c r="J737" s="126"/>
      <c r="K737" s="127"/>
      <c r="L737" s="126"/>
      <c r="M737" s="126"/>
      <c r="N737" s="127"/>
      <c r="O737" s="126"/>
      <c r="P737" s="126"/>
      <c r="Q737" s="127"/>
      <c r="R737" s="126"/>
      <c r="S737" s="126"/>
      <c r="T737" s="127"/>
      <c r="U737" s="126"/>
      <c r="V737" s="126"/>
      <c r="W737" s="127"/>
      <c r="X737" s="126"/>
      <c r="Y737" s="126"/>
      <c r="Z737" s="127"/>
      <c r="AA737" s="126"/>
      <c r="AB737" s="126"/>
      <c r="AC737" s="127"/>
      <c r="AD737" s="126"/>
      <c r="AE737" s="126"/>
      <c r="AF737" s="126"/>
      <c r="AG737" s="127"/>
      <c r="AH737" s="126"/>
      <c r="AI737" s="126"/>
      <c r="AJ737" s="127"/>
      <c r="AK737" s="126"/>
      <c r="AL737" s="126"/>
      <c r="AM737" s="127"/>
      <c r="AN737" s="126"/>
      <c r="AO737" s="126"/>
      <c r="AP737" s="127"/>
      <c r="AQ737" s="126"/>
      <c r="AR737" s="126"/>
      <c r="AS737" s="127"/>
      <c r="AT737" s="126"/>
      <c r="AU737" s="126"/>
      <c r="AV737" s="127"/>
      <c r="AW737" s="126"/>
      <c r="AX737" s="126"/>
      <c r="AY737" s="127"/>
      <c r="AZ737" s="126"/>
      <c r="BA737" s="126"/>
      <c r="BB737" s="127"/>
      <c r="BC737" s="126"/>
      <c r="BD737" s="134"/>
      <c r="BE737" s="127"/>
      <c r="BF737" s="126"/>
      <c r="BG737" s="126"/>
      <c r="BH737" s="126"/>
      <c r="BI737" s="126"/>
      <c r="BJ737" s="126"/>
      <c r="BK737" s="126"/>
      <c r="BL737" s="126"/>
      <c r="BM737" s="126"/>
      <c r="BN737" s="126"/>
      <c r="BO737" s="126"/>
      <c r="BP737" s="126"/>
      <c r="BQ737" s="126"/>
      <c r="BR737" s="126"/>
      <c r="BS737" s="126"/>
      <c r="BT737" s="126"/>
      <c r="BU737" s="126"/>
      <c r="BV737" s="126"/>
      <c r="BW737" s="126"/>
      <c r="BX737" s="126"/>
    </row>
    <row r="738">
      <c r="A738" s="126"/>
      <c r="B738" s="126"/>
      <c r="C738" s="127"/>
      <c r="D738" s="126"/>
      <c r="E738" s="126"/>
      <c r="F738" s="127"/>
      <c r="G738" s="126"/>
      <c r="H738" s="127"/>
      <c r="I738" s="126"/>
      <c r="J738" s="126"/>
      <c r="K738" s="127"/>
      <c r="L738" s="126"/>
      <c r="M738" s="126"/>
      <c r="N738" s="127"/>
      <c r="O738" s="126"/>
      <c r="P738" s="126"/>
      <c r="Q738" s="127"/>
      <c r="R738" s="126"/>
      <c r="S738" s="126"/>
      <c r="T738" s="127"/>
      <c r="U738" s="126"/>
      <c r="V738" s="126"/>
      <c r="W738" s="127"/>
      <c r="X738" s="126"/>
      <c r="Y738" s="126"/>
      <c r="Z738" s="127"/>
      <c r="AA738" s="126"/>
      <c r="AB738" s="126"/>
      <c r="AC738" s="127"/>
      <c r="AD738" s="126"/>
      <c r="AE738" s="126"/>
      <c r="AF738" s="126"/>
      <c r="AG738" s="127"/>
      <c r="AH738" s="126"/>
      <c r="AI738" s="126"/>
      <c r="AJ738" s="127"/>
      <c r="AK738" s="126"/>
      <c r="AL738" s="126"/>
      <c r="AM738" s="127"/>
      <c r="AN738" s="126"/>
      <c r="AO738" s="126"/>
      <c r="AP738" s="127"/>
      <c r="AQ738" s="126"/>
      <c r="AR738" s="126"/>
      <c r="AS738" s="127"/>
      <c r="AT738" s="126"/>
      <c r="AU738" s="126"/>
      <c r="AV738" s="127"/>
      <c r="AW738" s="126"/>
      <c r="AX738" s="126"/>
      <c r="AY738" s="127"/>
      <c r="AZ738" s="126"/>
      <c r="BA738" s="126"/>
      <c r="BB738" s="127"/>
      <c r="BC738" s="126"/>
      <c r="BD738" s="134"/>
      <c r="BE738" s="127"/>
      <c r="BF738" s="126"/>
      <c r="BG738" s="126"/>
      <c r="BH738" s="126"/>
      <c r="BI738" s="126"/>
      <c r="BJ738" s="126"/>
      <c r="BK738" s="126"/>
      <c r="BL738" s="126"/>
      <c r="BM738" s="126"/>
      <c r="BN738" s="126"/>
      <c r="BO738" s="126"/>
      <c r="BP738" s="126"/>
      <c r="BQ738" s="126"/>
      <c r="BR738" s="126"/>
      <c r="BS738" s="126"/>
      <c r="BT738" s="126"/>
      <c r="BU738" s="126"/>
      <c r="BV738" s="126"/>
      <c r="BW738" s="126"/>
      <c r="BX738" s="126"/>
    </row>
    <row r="739">
      <c r="A739" s="126"/>
      <c r="B739" s="126"/>
      <c r="C739" s="127"/>
      <c r="D739" s="126"/>
      <c r="E739" s="126"/>
      <c r="F739" s="127"/>
      <c r="G739" s="126"/>
      <c r="H739" s="127"/>
      <c r="I739" s="126"/>
      <c r="J739" s="126"/>
      <c r="K739" s="127"/>
      <c r="L739" s="126"/>
      <c r="M739" s="126"/>
      <c r="N739" s="127"/>
      <c r="O739" s="126"/>
      <c r="P739" s="126"/>
      <c r="Q739" s="127"/>
      <c r="R739" s="126"/>
      <c r="S739" s="126"/>
      <c r="T739" s="127"/>
      <c r="U739" s="126"/>
      <c r="V739" s="126"/>
      <c r="W739" s="127"/>
      <c r="X739" s="126"/>
      <c r="Y739" s="126"/>
      <c r="Z739" s="127"/>
      <c r="AA739" s="126"/>
      <c r="AB739" s="126"/>
      <c r="AC739" s="127"/>
      <c r="AD739" s="126"/>
      <c r="AE739" s="126"/>
      <c r="AF739" s="126"/>
      <c r="AG739" s="127"/>
      <c r="AH739" s="126"/>
      <c r="AI739" s="126"/>
      <c r="AJ739" s="127"/>
      <c r="AK739" s="126"/>
      <c r="AL739" s="126"/>
      <c r="AM739" s="127"/>
      <c r="AN739" s="126"/>
      <c r="AO739" s="126"/>
      <c r="AP739" s="127"/>
      <c r="AQ739" s="126"/>
      <c r="AR739" s="126"/>
      <c r="AS739" s="127"/>
      <c r="AT739" s="126"/>
      <c r="AU739" s="126"/>
      <c r="AV739" s="127"/>
      <c r="AW739" s="126"/>
      <c r="AX739" s="126"/>
      <c r="AY739" s="127"/>
      <c r="AZ739" s="126"/>
      <c r="BA739" s="126"/>
      <c r="BB739" s="127"/>
      <c r="BC739" s="126"/>
      <c r="BD739" s="134"/>
      <c r="BE739" s="127"/>
      <c r="BF739" s="126"/>
      <c r="BG739" s="126"/>
      <c r="BH739" s="126"/>
      <c r="BI739" s="126"/>
      <c r="BJ739" s="126"/>
      <c r="BK739" s="126"/>
      <c r="BL739" s="126"/>
      <c r="BM739" s="126"/>
      <c r="BN739" s="126"/>
      <c r="BO739" s="126"/>
      <c r="BP739" s="126"/>
      <c r="BQ739" s="126"/>
      <c r="BR739" s="126"/>
      <c r="BS739" s="126"/>
      <c r="BT739" s="126"/>
      <c r="BU739" s="126"/>
      <c r="BV739" s="126"/>
      <c r="BW739" s="126"/>
      <c r="BX739" s="126"/>
    </row>
    <row r="740">
      <c r="A740" s="126"/>
      <c r="B740" s="126"/>
      <c r="C740" s="127"/>
      <c r="D740" s="126"/>
      <c r="E740" s="126"/>
      <c r="F740" s="127"/>
      <c r="G740" s="126"/>
      <c r="H740" s="127"/>
      <c r="I740" s="126"/>
      <c r="J740" s="126"/>
      <c r="K740" s="127"/>
      <c r="L740" s="126"/>
      <c r="M740" s="126"/>
      <c r="N740" s="127"/>
      <c r="O740" s="126"/>
      <c r="P740" s="126"/>
      <c r="Q740" s="127"/>
      <c r="R740" s="126"/>
      <c r="S740" s="126"/>
      <c r="T740" s="127"/>
      <c r="U740" s="126"/>
      <c r="V740" s="126"/>
      <c r="W740" s="127"/>
      <c r="X740" s="126"/>
      <c r="Y740" s="126"/>
      <c r="Z740" s="127"/>
      <c r="AA740" s="126"/>
      <c r="AB740" s="126"/>
      <c r="AC740" s="127"/>
      <c r="AD740" s="126"/>
      <c r="AE740" s="126"/>
      <c r="AF740" s="126"/>
      <c r="AG740" s="127"/>
      <c r="AH740" s="126"/>
      <c r="AI740" s="126"/>
      <c r="AJ740" s="127"/>
      <c r="AK740" s="126"/>
      <c r="AL740" s="126"/>
      <c r="AM740" s="127"/>
      <c r="AN740" s="126"/>
      <c r="AO740" s="126"/>
      <c r="AP740" s="127"/>
      <c r="AQ740" s="126"/>
      <c r="AR740" s="126"/>
      <c r="AS740" s="127"/>
      <c r="AT740" s="126"/>
      <c r="AU740" s="126"/>
      <c r="AV740" s="127"/>
      <c r="AW740" s="126"/>
      <c r="AX740" s="126"/>
      <c r="AY740" s="127"/>
      <c r="AZ740" s="126"/>
      <c r="BA740" s="126"/>
      <c r="BB740" s="127"/>
      <c r="BC740" s="126"/>
      <c r="BD740" s="134"/>
      <c r="BE740" s="127"/>
      <c r="BF740" s="126"/>
      <c r="BG740" s="126"/>
      <c r="BH740" s="126"/>
      <c r="BI740" s="126"/>
      <c r="BJ740" s="126"/>
      <c r="BK740" s="126"/>
      <c r="BL740" s="126"/>
      <c r="BM740" s="126"/>
      <c r="BN740" s="126"/>
      <c r="BO740" s="126"/>
      <c r="BP740" s="126"/>
      <c r="BQ740" s="126"/>
      <c r="BR740" s="126"/>
      <c r="BS740" s="126"/>
      <c r="BT740" s="126"/>
      <c r="BU740" s="126"/>
      <c r="BV740" s="126"/>
      <c r="BW740" s="126"/>
      <c r="BX740" s="126"/>
    </row>
    <row r="741">
      <c r="A741" s="126"/>
      <c r="B741" s="126"/>
      <c r="C741" s="127"/>
      <c r="D741" s="126"/>
      <c r="E741" s="126"/>
      <c r="F741" s="127"/>
      <c r="G741" s="126"/>
      <c r="H741" s="127"/>
      <c r="I741" s="126"/>
      <c r="J741" s="126"/>
      <c r="K741" s="127"/>
      <c r="L741" s="126"/>
      <c r="M741" s="126"/>
      <c r="N741" s="127"/>
      <c r="O741" s="126"/>
      <c r="P741" s="126"/>
      <c r="Q741" s="127"/>
      <c r="R741" s="126"/>
      <c r="S741" s="126"/>
      <c r="T741" s="127"/>
      <c r="U741" s="126"/>
      <c r="V741" s="126"/>
      <c r="W741" s="127"/>
      <c r="X741" s="126"/>
      <c r="Y741" s="126"/>
      <c r="Z741" s="127"/>
      <c r="AA741" s="126"/>
      <c r="AB741" s="126"/>
      <c r="AC741" s="127"/>
      <c r="AD741" s="126"/>
      <c r="AE741" s="126"/>
      <c r="AF741" s="126"/>
      <c r="AG741" s="127"/>
      <c r="AH741" s="126"/>
      <c r="AI741" s="126"/>
      <c r="AJ741" s="127"/>
      <c r="AK741" s="126"/>
      <c r="AL741" s="126"/>
      <c r="AM741" s="127"/>
      <c r="AN741" s="126"/>
      <c r="AO741" s="126"/>
      <c r="AP741" s="127"/>
      <c r="AQ741" s="126"/>
      <c r="AR741" s="126"/>
      <c r="AS741" s="127"/>
      <c r="AT741" s="126"/>
      <c r="AU741" s="126"/>
      <c r="AV741" s="127"/>
      <c r="AW741" s="126"/>
      <c r="AX741" s="126"/>
      <c r="AY741" s="127"/>
      <c r="AZ741" s="126"/>
      <c r="BA741" s="126"/>
      <c r="BB741" s="127"/>
      <c r="BC741" s="126"/>
      <c r="BD741" s="134"/>
      <c r="BE741" s="127"/>
      <c r="BF741" s="126"/>
      <c r="BG741" s="126"/>
      <c r="BH741" s="126"/>
      <c r="BI741" s="126"/>
      <c r="BJ741" s="126"/>
      <c r="BK741" s="126"/>
      <c r="BL741" s="126"/>
      <c r="BM741" s="126"/>
      <c r="BN741" s="126"/>
      <c r="BO741" s="126"/>
      <c r="BP741" s="126"/>
      <c r="BQ741" s="126"/>
      <c r="BR741" s="126"/>
      <c r="BS741" s="126"/>
      <c r="BT741" s="126"/>
      <c r="BU741" s="126"/>
      <c r="BV741" s="126"/>
      <c r="BW741" s="126"/>
      <c r="BX741" s="126"/>
    </row>
    <row r="742">
      <c r="A742" s="126"/>
      <c r="B742" s="126"/>
      <c r="C742" s="127"/>
      <c r="D742" s="126"/>
      <c r="E742" s="126"/>
      <c r="F742" s="127"/>
      <c r="G742" s="126"/>
      <c r="H742" s="127"/>
      <c r="I742" s="126"/>
      <c r="J742" s="126"/>
      <c r="K742" s="127"/>
      <c r="L742" s="126"/>
      <c r="M742" s="126"/>
      <c r="N742" s="127"/>
      <c r="O742" s="126"/>
      <c r="P742" s="126"/>
      <c r="Q742" s="127"/>
      <c r="R742" s="126"/>
      <c r="S742" s="126"/>
      <c r="T742" s="127"/>
      <c r="U742" s="126"/>
      <c r="V742" s="126"/>
      <c r="W742" s="127"/>
      <c r="X742" s="126"/>
      <c r="Y742" s="126"/>
      <c r="Z742" s="127"/>
      <c r="AA742" s="126"/>
      <c r="AB742" s="126"/>
      <c r="AC742" s="127"/>
      <c r="AD742" s="126"/>
      <c r="AE742" s="126"/>
      <c r="AF742" s="126"/>
      <c r="AG742" s="127"/>
      <c r="AH742" s="126"/>
      <c r="AI742" s="126"/>
      <c r="AJ742" s="127"/>
      <c r="AK742" s="126"/>
      <c r="AL742" s="126"/>
      <c r="AM742" s="127"/>
      <c r="AN742" s="126"/>
      <c r="AO742" s="126"/>
      <c r="AP742" s="127"/>
      <c r="AQ742" s="126"/>
      <c r="AR742" s="126"/>
      <c r="AS742" s="127"/>
      <c r="AT742" s="126"/>
      <c r="AU742" s="126"/>
      <c r="AV742" s="127"/>
      <c r="AW742" s="126"/>
      <c r="AX742" s="126"/>
      <c r="AY742" s="127"/>
      <c r="AZ742" s="126"/>
      <c r="BA742" s="126"/>
      <c r="BB742" s="127"/>
      <c r="BC742" s="126"/>
      <c r="BD742" s="134"/>
      <c r="BE742" s="127"/>
      <c r="BF742" s="126"/>
      <c r="BG742" s="126"/>
      <c r="BH742" s="126"/>
      <c r="BI742" s="126"/>
      <c r="BJ742" s="126"/>
      <c r="BK742" s="126"/>
      <c r="BL742" s="126"/>
      <c r="BM742" s="126"/>
      <c r="BN742" s="126"/>
      <c r="BO742" s="126"/>
      <c r="BP742" s="126"/>
      <c r="BQ742" s="126"/>
      <c r="BR742" s="126"/>
      <c r="BS742" s="126"/>
      <c r="BT742" s="126"/>
      <c r="BU742" s="126"/>
      <c r="BV742" s="126"/>
      <c r="BW742" s="126"/>
      <c r="BX742" s="126"/>
    </row>
    <row r="743">
      <c r="A743" s="126"/>
      <c r="B743" s="126"/>
      <c r="C743" s="127"/>
      <c r="D743" s="126"/>
      <c r="E743" s="126"/>
      <c r="F743" s="127"/>
      <c r="G743" s="126"/>
      <c r="H743" s="127"/>
      <c r="I743" s="126"/>
      <c r="J743" s="126"/>
      <c r="K743" s="127"/>
      <c r="L743" s="126"/>
      <c r="M743" s="126"/>
      <c r="N743" s="127"/>
      <c r="O743" s="126"/>
      <c r="P743" s="126"/>
      <c r="Q743" s="127"/>
      <c r="R743" s="126"/>
      <c r="S743" s="126"/>
      <c r="T743" s="127"/>
      <c r="U743" s="126"/>
      <c r="V743" s="126"/>
      <c r="W743" s="127"/>
      <c r="X743" s="126"/>
      <c r="Y743" s="126"/>
      <c r="Z743" s="127"/>
      <c r="AA743" s="126"/>
      <c r="AB743" s="126"/>
      <c r="AC743" s="127"/>
      <c r="AD743" s="126"/>
      <c r="AE743" s="126"/>
      <c r="AF743" s="126"/>
      <c r="AG743" s="127"/>
      <c r="AH743" s="126"/>
      <c r="AI743" s="126"/>
      <c r="AJ743" s="127"/>
      <c r="AK743" s="126"/>
      <c r="AL743" s="126"/>
      <c r="AM743" s="127"/>
      <c r="AN743" s="126"/>
      <c r="AO743" s="126"/>
      <c r="AP743" s="127"/>
      <c r="AQ743" s="126"/>
      <c r="AR743" s="126"/>
      <c r="AS743" s="127"/>
      <c r="AT743" s="126"/>
      <c r="AU743" s="126"/>
      <c r="AV743" s="127"/>
      <c r="AW743" s="126"/>
      <c r="AX743" s="126"/>
      <c r="AY743" s="127"/>
      <c r="AZ743" s="126"/>
      <c r="BA743" s="126"/>
      <c r="BB743" s="127"/>
      <c r="BC743" s="126"/>
      <c r="BD743" s="134"/>
      <c r="BE743" s="127"/>
      <c r="BF743" s="126"/>
      <c r="BG743" s="126"/>
      <c r="BH743" s="126"/>
      <c r="BI743" s="126"/>
      <c r="BJ743" s="126"/>
      <c r="BK743" s="126"/>
      <c r="BL743" s="126"/>
      <c r="BM743" s="126"/>
      <c r="BN743" s="126"/>
      <c r="BO743" s="126"/>
      <c r="BP743" s="126"/>
      <c r="BQ743" s="126"/>
      <c r="BR743" s="126"/>
      <c r="BS743" s="126"/>
      <c r="BT743" s="126"/>
      <c r="BU743" s="126"/>
      <c r="BV743" s="126"/>
      <c r="BW743" s="126"/>
      <c r="BX743" s="126"/>
    </row>
    <row r="744">
      <c r="A744" s="126"/>
      <c r="B744" s="126"/>
      <c r="C744" s="127"/>
      <c r="D744" s="126"/>
      <c r="E744" s="126"/>
      <c r="F744" s="127"/>
      <c r="G744" s="126"/>
      <c r="H744" s="127"/>
      <c r="I744" s="126"/>
      <c r="J744" s="126"/>
      <c r="K744" s="127"/>
      <c r="L744" s="126"/>
      <c r="M744" s="126"/>
      <c r="N744" s="127"/>
      <c r="O744" s="126"/>
      <c r="P744" s="126"/>
      <c r="Q744" s="127"/>
      <c r="R744" s="126"/>
      <c r="S744" s="126"/>
      <c r="T744" s="127"/>
      <c r="U744" s="126"/>
      <c r="V744" s="126"/>
      <c r="W744" s="127"/>
      <c r="X744" s="126"/>
      <c r="Y744" s="126"/>
      <c r="Z744" s="127"/>
      <c r="AA744" s="126"/>
      <c r="AB744" s="126"/>
      <c r="AC744" s="127"/>
      <c r="AD744" s="126"/>
      <c r="AE744" s="126"/>
      <c r="AF744" s="126"/>
      <c r="AG744" s="127"/>
      <c r="AH744" s="126"/>
      <c r="AI744" s="126"/>
      <c r="AJ744" s="127"/>
      <c r="AK744" s="126"/>
      <c r="AL744" s="126"/>
      <c r="AM744" s="127"/>
      <c r="AN744" s="126"/>
      <c r="AO744" s="126"/>
      <c r="AP744" s="127"/>
      <c r="AQ744" s="126"/>
      <c r="AR744" s="126"/>
      <c r="AS744" s="127"/>
      <c r="AT744" s="126"/>
      <c r="AU744" s="126"/>
      <c r="AV744" s="127"/>
      <c r="AW744" s="126"/>
      <c r="AX744" s="126"/>
      <c r="AY744" s="127"/>
      <c r="AZ744" s="126"/>
      <c r="BA744" s="126"/>
      <c r="BB744" s="127"/>
      <c r="BC744" s="126"/>
      <c r="BD744" s="134"/>
      <c r="BE744" s="127"/>
      <c r="BF744" s="126"/>
      <c r="BG744" s="126"/>
      <c r="BH744" s="126"/>
      <c r="BI744" s="126"/>
      <c r="BJ744" s="126"/>
      <c r="BK744" s="126"/>
      <c r="BL744" s="126"/>
      <c r="BM744" s="126"/>
      <c r="BN744" s="126"/>
      <c r="BO744" s="126"/>
      <c r="BP744" s="126"/>
      <c r="BQ744" s="126"/>
      <c r="BR744" s="126"/>
      <c r="BS744" s="126"/>
      <c r="BT744" s="126"/>
      <c r="BU744" s="126"/>
      <c r="BV744" s="126"/>
      <c r="BW744" s="126"/>
      <c r="BX744" s="126"/>
    </row>
    <row r="745">
      <c r="A745" s="126"/>
      <c r="B745" s="126"/>
      <c r="C745" s="127"/>
      <c r="D745" s="126"/>
      <c r="E745" s="126"/>
      <c r="F745" s="127"/>
      <c r="G745" s="126"/>
      <c r="H745" s="127"/>
      <c r="I745" s="126"/>
      <c r="J745" s="126"/>
      <c r="K745" s="127"/>
      <c r="L745" s="126"/>
      <c r="M745" s="126"/>
      <c r="N745" s="127"/>
      <c r="O745" s="126"/>
      <c r="P745" s="126"/>
      <c r="Q745" s="127"/>
      <c r="R745" s="126"/>
      <c r="S745" s="126"/>
      <c r="T745" s="127"/>
      <c r="U745" s="126"/>
      <c r="V745" s="126"/>
      <c r="W745" s="127"/>
      <c r="X745" s="126"/>
      <c r="Y745" s="126"/>
      <c r="Z745" s="127"/>
      <c r="AA745" s="126"/>
      <c r="AB745" s="126"/>
      <c r="AC745" s="127"/>
      <c r="AD745" s="126"/>
      <c r="AE745" s="126"/>
      <c r="AF745" s="126"/>
      <c r="AG745" s="127"/>
      <c r="AH745" s="126"/>
      <c r="AI745" s="126"/>
      <c r="AJ745" s="127"/>
      <c r="AK745" s="126"/>
      <c r="AL745" s="126"/>
      <c r="AM745" s="127"/>
      <c r="AN745" s="126"/>
      <c r="AO745" s="126"/>
      <c r="AP745" s="127"/>
      <c r="AQ745" s="126"/>
      <c r="AR745" s="126"/>
      <c r="AS745" s="127"/>
      <c r="AT745" s="126"/>
      <c r="AU745" s="126"/>
      <c r="AV745" s="127"/>
      <c r="AW745" s="126"/>
      <c r="AX745" s="126"/>
      <c r="AY745" s="127"/>
      <c r="AZ745" s="126"/>
      <c r="BA745" s="126"/>
      <c r="BB745" s="127"/>
      <c r="BC745" s="126"/>
      <c r="BD745" s="134"/>
      <c r="BE745" s="127"/>
      <c r="BF745" s="126"/>
      <c r="BG745" s="126"/>
      <c r="BH745" s="126"/>
      <c r="BI745" s="126"/>
      <c r="BJ745" s="126"/>
      <c r="BK745" s="126"/>
      <c r="BL745" s="126"/>
      <c r="BM745" s="126"/>
      <c r="BN745" s="126"/>
      <c r="BO745" s="126"/>
      <c r="BP745" s="126"/>
      <c r="BQ745" s="126"/>
      <c r="BR745" s="126"/>
      <c r="BS745" s="126"/>
      <c r="BT745" s="126"/>
      <c r="BU745" s="126"/>
      <c r="BV745" s="126"/>
      <c r="BW745" s="126"/>
      <c r="BX745" s="126"/>
    </row>
    <row r="746">
      <c r="A746" s="126"/>
      <c r="B746" s="126"/>
      <c r="C746" s="127"/>
      <c r="D746" s="126"/>
      <c r="E746" s="126"/>
      <c r="F746" s="127"/>
      <c r="G746" s="126"/>
      <c r="H746" s="127"/>
      <c r="I746" s="126"/>
      <c r="J746" s="126"/>
      <c r="K746" s="127"/>
      <c r="L746" s="126"/>
      <c r="M746" s="126"/>
      <c r="N746" s="127"/>
      <c r="O746" s="126"/>
      <c r="P746" s="126"/>
      <c r="Q746" s="127"/>
      <c r="R746" s="126"/>
      <c r="S746" s="126"/>
      <c r="T746" s="127"/>
      <c r="U746" s="126"/>
      <c r="V746" s="126"/>
      <c r="W746" s="127"/>
      <c r="X746" s="126"/>
      <c r="Y746" s="126"/>
      <c r="Z746" s="127"/>
      <c r="AA746" s="126"/>
      <c r="AB746" s="126"/>
      <c r="AC746" s="127"/>
      <c r="AD746" s="126"/>
      <c r="AE746" s="126"/>
      <c r="AF746" s="126"/>
      <c r="AG746" s="127"/>
      <c r="AH746" s="126"/>
      <c r="AI746" s="126"/>
      <c r="AJ746" s="127"/>
      <c r="AK746" s="126"/>
      <c r="AL746" s="126"/>
      <c r="AM746" s="127"/>
      <c r="AN746" s="126"/>
      <c r="AO746" s="126"/>
      <c r="AP746" s="127"/>
      <c r="AQ746" s="126"/>
      <c r="AR746" s="126"/>
      <c r="AS746" s="127"/>
      <c r="AT746" s="126"/>
      <c r="AU746" s="126"/>
      <c r="AV746" s="127"/>
      <c r="AW746" s="126"/>
      <c r="AX746" s="126"/>
      <c r="AY746" s="127"/>
      <c r="AZ746" s="126"/>
      <c r="BA746" s="126"/>
      <c r="BB746" s="127"/>
      <c r="BC746" s="126"/>
      <c r="BD746" s="134"/>
      <c r="BE746" s="127"/>
      <c r="BF746" s="126"/>
      <c r="BG746" s="126"/>
      <c r="BH746" s="126"/>
      <c r="BI746" s="126"/>
      <c r="BJ746" s="126"/>
      <c r="BK746" s="126"/>
      <c r="BL746" s="126"/>
      <c r="BM746" s="126"/>
      <c r="BN746" s="126"/>
      <c r="BO746" s="126"/>
      <c r="BP746" s="126"/>
      <c r="BQ746" s="126"/>
      <c r="BR746" s="126"/>
      <c r="BS746" s="126"/>
      <c r="BT746" s="126"/>
      <c r="BU746" s="126"/>
      <c r="BV746" s="126"/>
      <c r="BW746" s="126"/>
      <c r="BX746" s="126"/>
    </row>
    <row r="747">
      <c r="A747" s="126"/>
      <c r="B747" s="126"/>
      <c r="C747" s="127"/>
      <c r="D747" s="126"/>
      <c r="E747" s="126"/>
      <c r="F747" s="127"/>
      <c r="G747" s="126"/>
      <c r="H747" s="127"/>
      <c r="I747" s="126"/>
      <c r="J747" s="126"/>
      <c r="K747" s="127"/>
      <c r="L747" s="126"/>
      <c r="M747" s="126"/>
      <c r="N747" s="127"/>
      <c r="O747" s="126"/>
      <c r="P747" s="126"/>
      <c r="Q747" s="127"/>
      <c r="R747" s="126"/>
      <c r="S747" s="126"/>
      <c r="T747" s="127"/>
      <c r="U747" s="126"/>
      <c r="V747" s="126"/>
      <c r="W747" s="127"/>
      <c r="X747" s="126"/>
      <c r="Y747" s="126"/>
      <c r="Z747" s="127"/>
      <c r="AA747" s="126"/>
      <c r="AB747" s="126"/>
      <c r="AC747" s="127"/>
      <c r="AD747" s="126"/>
      <c r="AE747" s="126"/>
      <c r="AF747" s="126"/>
      <c r="AG747" s="127"/>
      <c r="AH747" s="126"/>
      <c r="AI747" s="126"/>
      <c r="AJ747" s="127"/>
      <c r="AK747" s="126"/>
      <c r="AL747" s="126"/>
      <c r="AM747" s="127"/>
      <c r="AN747" s="126"/>
      <c r="AO747" s="126"/>
      <c r="AP747" s="127"/>
      <c r="AQ747" s="126"/>
      <c r="AR747" s="126"/>
      <c r="AS747" s="127"/>
      <c r="AT747" s="126"/>
      <c r="AU747" s="126"/>
      <c r="AV747" s="127"/>
      <c r="AW747" s="126"/>
      <c r="AX747" s="126"/>
      <c r="AY747" s="127"/>
      <c r="AZ747" s="126"/>
      <c r="BA747" s="126"/>
      <c r="BB747" s="127"/>
      <c r="BC747" s="126"/>
      <c r="BD747" s="134"/>
      <c r="BE747" s="127"/>
      <c r="BF747" s="126"/>
      <c r="BG747" s="126"/>
      <c r="BH747" s="126"/>
      <c r="BI747" s="126"/>
      <c r="BJ747" s="126"/>
      <c r="BK747" s="126"/>
      <c r="BL747" s="126"/>
      <c r="BM747" s="126"/>
      <c r="BN747" s="126"/>
      <c r="BO747" s="126"/>
      <c r="BP747" s="126"/>
      <c r="BQ747" s="126"/>
      <c r="BR747" s="126"/>
      <c r="BS747" s="126"/>
      <c r="BT747" s="126"/>
      <c r="BU747" s="126"/>
      <c r="BV747" s="126"/>
      <c r="BW747" s="126"/>
      <c r="BX747" s="126"/>
    </row>
    <row r="748">
      <c r="A748" s="126"/>
      <c r="B748" s="126"/>
      <c r="C748" s="127"/>
      <c r="D748" s="126"/>
      <c r="E748" s="126"/>
      <c r="F748" s="127"/>
      <c r="G748" s="126"/>
      <c r="H748" s="127"/>
      <c r="I748" s="126"/>
      <c r="J748" s="126"/>
      <c r="K748" s="127"/>
      <c r="L748" s="126"/>
      <c r="M748" s="126"/>
      <c r="N748" s="127"/>
      <c r="O748" s="126"/>
      <c r="P748" s="126"/>
      <c r="Q748" s="127"/>
      <c r="R748" s="126"/>
      <c r="S748" s="126"/>
      <c r="T748" s="127"/>
      <c r="U748" s="126"/>
      <c r="V748" s="126"/>
      <c r="W748" s="127"/>
      <c r="X748" s="126"/>
      <c r="Y748" s="126"/>
      <c r="Z748" s="127"/>
      <c r="AA748" s="126"/>
      <c r="AB748" s="126"/>
      <c r="AC748" s="127"/>
      <c r="AD748" s="126"/>
      <c r="AE748" s="126"/>
      <c r="AF748" s="126"/>
      <c r="AG748" s="127"/>
      <c r="AH748" s="126"/>
      <c r="AI748" s="126"/>
      <c r="AJ748" s="127"/>
      <c r="AK748" s="126"/>
      <c r="AL748" s="126"/>
      <c r="AM748" s="127"/>
      <c r="AN748" s="126"/>
      <c r="AO748" s="126"/>
      <c r="AP748" s="127"/>
      <c r="AQ748" s="126"/>
      <c r="AR748" s="126"/>
      <c r="AS748" s="127"/>
      <c r="AT748" s="126"/>
      <c r="AU748" s="126"/>
      <c r="AV748" s="127"/>
      <c r="AW748" s="126"/>
      <c r="AX748" s="126"/>
      <c r="AY748" s="127"/>
      <c r="AZ748" s="126"/>
      <c r="BA748" s="126"/>
      <c r="BB748" s="127"/>
      <c r="BC748" s="126"/>
      <c r="BD748" s="134"/>
      <c r="BE748" s="127"/>
      <c r="BF748" s="126"/>
      <c r="BG748" s="126"/>
      <c r="BH748" s="126"/>
      <c r="BI748" s="126"/>
      <c r="BJ748" s="126"/>
      <c r="BK748" s="126"/>
      <c r="BL748" s="126"/>
      <c r="BM748" s="126"/>
      <c r="BN748" s="126"/>
      <c r="BO748" s="126"/>
      <c r="BP748" s="126"/>
      <c r="BQ748" s="126"/>
      <c r="BR748" s="126"/>
      <c r="BS748" s="126"/>
      <c r="BT748" s="126"/>
      <c r="BU748" s="126"/>
      <c r="BV748" s="126"/>
      <c r="BW748" s="126"/>
      <c r="BX748" s="126"/>
    </row>
    <row r="749">
      <c r="A749" s="126"/>
      <c r="B749" s="126"/>
      <c r="C749" s="127"/>
      <c r="D749" s="126"/>
      <c r="E749" s="126"/>
      <c r="F749" s="127"/>
      <c r="G749" s="126"/>
      <c r="H749" s="127"/>
      <c r="I749" s="126"/>
      <c r="J749" s="126"/>
      <c r="K749" s="127"/>
      <c r="L749" s="126"/>
      <c r="M749" s="126"/>
      <c r="N749" s="127"/>
      <c r="O749" s="126"/>
      <c r="P749" s="126"/>
      <c r="Q749" s="127"/>
      <c r="R749" s="126"/>
      <c r="S749" s="126"/>
      <c r="T749" s="127"/>
      <c r="U749" s="126"/>
      <c r="V749" s="126"/>
      <c r="W749" s="127"/>
      <c r="X749" s="126"/>
      <c r="Y749" s="126"/>
      <c r="Z749" s="127"/>
      <c r="AA749" s="126"/>
      <c r="AB749" s="126"/>
      <c r="AC749" s="127"/>
      <c r="AD749" s="126"/>
      <c r="AE749" s="126"/>
      <c r="AF749" s="126"/>
      <c r="AG749" s="127"/>
      <c r="AH749" s="126"/>
      <c r="AI749" s="126"/>
      <c r="AJ749" s="127"/>
      <c r="AK749" s="126"/>
      <c r="AL749" s="126"/>
      <c r="AM749" s="127"/>
      <c r="AN749" s="126"/>
      <c r="AO749" s="126"/>
      <c r="AP749" s="127"/>
      <c r="AQ749" s="126"/>
      <c r="AR749" s="126"/>
      <c r="AS749" s="127"/>
      <c r="AT749" s="126"/>
      <c r="AU749" s="126"/>
      <c r="AV749" s="127"/>
      <c r="AW749" s="126"/>
      <c r="AX749" s="126"/>
      <c r="AY749" s="127"/>
      <c r="AZ749" s="126"/>
      <c r="BA749" s="126"/>
      <c r="BB749" s="127"/>
      <c r="BC749" s="126"/>
      <c r="BD749" s="134"/>
      <c r="BE749" s="127"/>
      <c r="BF749" s="126"/>
      <c r="BG749" s="126"/>
      <c r="BH749" s="126"/>
      <c r="BI749" s="126"/>
      <c r="BJ749" s="126"/>
      <c r="BK749" s="126"/>
      <c r="BL749" s="126"/>
      <c r="BM749" s="126"/>
      <c r="BN749" s="126"/>
      <c r="BO749" s="126"/>
      <c r="BP749" s="126"/>
      <c r="BQ749" s="126"/>
      <c r="BR749" s="126"/>
      <c r="BS749" s="126"/>
      <c r="BT749" s="126"/>
      <c r="BU749" s="126"/>
      <c r="BV749" s="126"/>
      <c r="BW749" s="126"/>
      <c r="BX749" s="126"/>
    </row>
    <row r="750">
      <c r="A750" s="126"/>
      <c r="B750" s="126"/>
      <c r="C750" s="127"/>
      <c r="D750" s="126"/>
      <c r="E750" s="126"/>
      <c r="F750" s="127"/>
      <c r="G750" s="126"/>
      <c r="H750" s="127"/>
      <c r="I750" s="126"/>
      <c r="J750" s="126"/>
      <c r="K750" s="127"/>
      <c r="L750" s="126"/>
      <c r="M750" s="126"/>
      <c r="N750" s="127"/>
      <c r="O750" s="126"/>
      <c r="P750" s="126"/>
      <c r="Q750" s="127"/>
      <c r="R750" s="126"/>
      <c r="S750" s="126"/>
      <c r="T750" s="127"/>
      <c r="U750" s="126"/>
      <c r="V750" s="126"/>
      <c r="W750" s="127"/>
      <c r="X750" s="126"/>
      <c r="Y750" s="126"/>
      <c r="Z750" s="127"/>
      <c r="AA750" s="126"/>
      <c r="AB750" s="126"/>
      <c r="AC750" s="127"/>
      <c r="AD750" s="126"/>
      <c r="AE750" s="126"/>
      <c r="AF750" s="126"/>
      <c r="AG750" s="127"/>
      <c r="AH750" s="126"/>
      <c r="AI750" s="126"/>
      <c r="AJ750" s="127"/>
      <c r="AK750" s="126"/>
      <c r="AL750" s="126"/>
      <c r="AM750" s="127"/>
      <c r="AN750" s="126"/>
      <c r="AO750" s="126"/>
      <c r="AP750" s="127"/>
      <c r="AQ750" s="126"/>
      <c r="AR750" s="126"/>
      <c r="AS750" s="127"/>
      <c r="AT750" s="126"/>
      <c r="AU750" s="126"/>
      <c r="AV750" s="127"/>
      <c r="AW750" s="126"/>
      <c r="AX750" s="126"/>
      <c r="AY750" s="127"/>
      <c r="AZ750" s="126"/>
      <c r="BA750" s="126"/>
      <c r="BB750" s="127"/>
      <c r="BC750" s="126"/>
      <c r="BD750" s="134"/>
      <c r="BE750" s="127"/>
      <c r="BF750" s="126"/>
      <c r="BG750" s="126"/>
      <c r="BH750" s="126"/>
      <c r="BI750" s="126"/>
      <c r="BJ750" s="126"/>
      <c r="BK750" s="126"/>
      <c r="BL750" s="126"/>
      <c r="BM750" s="126"/>
      <c r="BN750" s="126"/>
      <c r="BO750" s="126"/>
      <c r="BP750" s="126"/>
      <c r="BQ750" s="126"/>
      <c r="BR750" s="126"/>
      <c r="BS750" s="126"/>
      <c r="BT750" s="126"/>
      <c r="BU750" s="126"/>
      <c r="BV750" s="126"/>
      <c r="BW750" s="126"/>
      <c r="BX750" s="126"/>
    </row>
    <row r="751">
      <c r="A751" s="126"/>
      <c r="B751" s="126"/>
      <c r="C751" s="127"/>
      <c r="D751" s="126"/>
      <c r="E751" s="126"/>
      <c r="F751" s="127"/>
      <c r="G751" s="126"/>
      <c r="H751" s="127"/>
      <c r="I751" s="126"/>
      <c r="J751" s="126"/>
      <c r="K751" s="127"/>
      <c r="L751" s="126"/>
      <c r="M751" s="126"/>
      <c r="N751" s="127"/>
      <c r="O751" s="126"/>
      <c r="P751" s="126"/>
      <c r="Q751" s="127"/>
      <c r="R751" s="126"/>
      <c r="S751" s="126"/>
      <c r="T751" s="127"/>
      <c r="U751" s="126"/>
      <c r="V751" s="126"/>
      <c r="W751" s="127"/>
      <c r="X751" s="126"/>
      <c r="Y751" s="126"/>
      <c r="Z751" s="127"/>
      <c r="AA751" s="126"/>
      <c r="AB751" s="126"/>
      <c r="AC751" s="127"/>
      <c r="AD751" s="126"/>
      <c r="AE751" s="126"/>
      <c r="AF751" s="126"/>
      <c r="AG751" s="127"/>
      <c r="AH751" s="126"/>
      <c r="AI751" s="126"/>
      <c r="AJ751" s="127"/>
      <c r="AK751" s="126"/>
      <c r="AL751" s="126"/>
      <c r="AM751" s="127"/>
      <c r="AN751" s="126"/>
      <c r="AO751" s="126"/>
      <c r="AP751" s="127"/>
      <c r="AQ751" s="126"/>
      <c r="AR751" s="126"/>
      <c r="AS751" s="127"/>
      <c r="AT751" s="126"/>
      <c r="AU751" s="126"/>
      <c r="AV751" s="127"/>
      <c r="AW751" s="126"/>
      <c r="AX751" s="126"/>
      <c r="AY751" s="127"/>
      <c r="AZ751" s="126"/>
      <c r="BA751" s="126"/>
      <c r="BB751" s="127"/>
      <c r="BC751" s="126"/>
      <c r="BD751" s="134"/>
      <c r="BE751" s="127"/>
      <c r="BF751" s="126"/>
      <c r="BG751" s="126"/>
      <c r="BH751" s="126"/>
      <c r="BI751" s="126"/>
      <c r="BJ751" s="126"/>
      <c r="BK751" s="126"/>
      <c r="BL751" s="126"/>
      <c r="BM751" s="126"/>
      <c r="BN751" s="126"/>
      <c r="BO751" s="126"/>
      <c r="BP751" s="126"/>
      <c r="BQ751" s="126"/>
      <c r="BR751" s="126"/>
      <c r="BS751" s="126"/>
      <c r="BT751" s="126"/>
      <c r="BU751" s="126"/>
      <c r="BV751" s="126"/>
      <c r="BW751" s="126"/>
      <c r="BX751" s="126"/>
    </row>
    <row r="752">
      <c r="A752" s="126"/>
      <c r="B752" s="126"/>
      <c r="C752" s="127"/>
      <c r="D752" s="126"/>
      <c r="E752" s="126"/>
      <c r="F752" s="127"/>
      <c r="G752" s="126"/>
      <c r="H752" s="127"/>
      <c r="I752" s="126"/>
      <c r="J752" s="126"/>
      <c r="K752" s="127"/>
      <c r="L752" s="126"/>
      <c r="M752" s="126"/>
      <c r="N752" s="127"/>
      <c r="O752" s="126"/>
      <c r="P752" s="126"/>
      <c r="Q752" s="127"/>
      <c r="R752" s="126"/>
      <c r="S752" s="126"/>
      <c r="T752" s="127"/>
      <c r="U752" s="126"/>
      <c r="V752" s="126"/>
      <c r="W752" s="127"/>
      <c r="X752" s="126"/>
      <c r="Y752" s="126"/>
      <c r="Z752" s="127"/>
      <c r="AA752" s="126"/>
      <c r="AB752" s="126"/>
      <c r="AC752" s="127"/>
      <c r="AD752" s="126"/>
      <c r="AE752" s="126"/>
      <c r="AF752" s="126"/>
      <c r="AG752" s="127"/>
      <c r="AH752" s="126"/>
      <c r="AI752" s="126"/>
      <c r="AJ752" s="127"/>
      <c r="AK752" s="126"/>
      <c r="AL752" s="126"/>
      <c r="AM752" s="127"/>
      <c r="AN752" s="126"/>
      <c r="AO752" s="126"/>
      <c r="AP752" s="127"/>
      <c r="AQ752" s="126"/>
      <c r="AR752" s="126"/>
      <c r="AS752" s="127"/>
      <c r="AT752" s="126"/>
      <c r="AU752" s="126"/>
      <c r="AV752" s="127"/>
      <c r="AW752" s="126"/>
      <c r="AX752" s="126"/>
      <c r="AY752" s="127"/>
      <c r="AZ752" s="126"/>
      <c r="BA752" s="126"/>
      <c r="BB752" s="127"/>
      <c r="BC752" s="126"/>
      <c r="BD752" s="134"/>
      <c r="BE752" s="127"/>
      <c r="BF752" s="126"/>
      <c r="BG752" s="126"/>
      <c r="BH752" s="126"/>
      <c r="BI752" s="126"/>
      <c r="BJ752" s="126"/>
      <c r="BK752" s="126"/>
      <c r="BL752" s="126"/>
      <c r="BM752" s="126"/>
      <c r="BN752" s="126"/>
      <c r="BO752" s="126"/>
      <c r="BP752" s="126"/>
      <c r="BQ752" s="126"/>
      <c r="BR752" s="126"/>
      <c r="BS752" s="126"/>
      <c r="BT752" s="126"/>
      <c r="BU752" s="126"/>
      <c r="BV752" s="126"/>
      <c r="BW752" s="126"/>
      <c r="BX752" s="126"/>
    </row>
    <row r="753">
      <c r="A753" s="126"/>
      <c r="B753" s="126"/>
      <c r="C753" s="127"/>
      <c r="D753" s="126"/>
      <c r="E753" s="126"/>
      <c r="F753" s="127"/>
      <c r="G753" s="126"/>
      <c r="H753" s="127"/>
      <c r="I753" s="126"/>
      <c r="J753" s="126"/>
      <c r="K753" s="127"/>
      <c r="L753" s="126"/>
      <c r="M753" s="126"/>
      <c r="N753" s="127"/>
      <c r="O753" s="126"/>
      <c r="P753" s="126"/>
      <c r="Q753" s="127"/>
      <c r="R753" s="126"/>
      <c r="S753" s="126"/>
      <c r="T753" s="127"/>
      <c r="U753" s="126"/>
      <c r="V753" s="126"/>
      <c r="W753" s="127"/>
      <c r="X753" s="126"/>
      <c r="Y753" s="126"/>
      <c r="Z753" s="127"/>
      <c r="AA753" s="126"/>
      <c r="AB753" s="126"/>
      <c r="AC753" s="127"/>
      <c r="AD753" s="126"/>
      <c r="AE753" s="126"/>
      <c r="AF753" s="126"/>
      <c r="AG753" s="127"/>
      <c r="AH753" s="126"/>
      <c r="AI753" s="126"/>
      <c r="AJ753" s="127"/>
      <c r="AK753" s="126"/>
      <c r="AL753" s="126"/>
      <c r="AM753" s="127"/>
      <c r="AN753" s="126"/>
      <c r="AO753" s="126"/>
      <c r="AP753" s="127"/>
      <c r="AQ753" s="126"/>
      <c r="AR753" s="126"/>
      <c r="AS753" s="127"/>
      <c r="AT753" s="126"/>
      <c r="AU753" s="126"/>
      <c r="AV753" s="127"/>
      <c r="AW753" s="126"/>
      <c r="AX753" s="126"/>
      <c r="AY753" s="127"/>
      <c r="AZ753" s="126"/>
      <c r="BA753" s="126"/>
      <c r="BB753" s="127"/>
      <c r="BC753" s="126"/>
      <c r="BD753" s="134"/>
      <c r="BE753" s="127"/>
      <c r="BF753" s="126"/>
      <c r="BG753" s="126"/>
      <c r="BH753" s="126"/>
      <c r="BI753" s="126"/>
      <c r="BJ753" s="126"/>
      <c r="BK753" s="126"/>
      <c r="BL753" s="126"/>
      <c r="BM753" s="126"/>
      <c r="BN753" s="126"/>
      <c r="BO753" s="126"/>
      <c r="BP753" s="126"/>
      <c r="BQ753" s="126"/>
      <c r="BR753" s="126"/>
      <c r="BS753" s="126"/>
      <c r="BT753" s="126"/>
      <c r="BU753" s="126"/>
      <c r="BV753" s="126"/>
      <c r="BW753" s="126"/>
      <c r="BX753" s="126"/>
    </row>
    <row r="754">
      <c r="A754" s="126"/>
      <c r="B754" s="126"/>
      <c r="C754" s="127"/>
      <c r="D754" s="126"/>
      <c r="E754" s="126"/>
      <c r="F754" s="127"/>
      <c r="G754" s="126"/>
      <c r="H754" s="127"/>
      <c r="I754" s="126"/>
      <c r="J754" s="126"/>
      <c r="K754" s="127"/>
      <c r="L754" s="126"/>
      <c r="M754" s="126"/>
      <c r="N754" s="127"/>
      <c r="O754" s="126"/>
      <c r="P754" s="126"/>
      <c r="Q754" s="127"/>
      <c r="R754" s="126"/>
      <c r="S754" s="126"/>
      <c r="T754" s="127"/>
      <c r="U754" s="126"/>
      <c r="V754" s="126"/>
      <c r="W754" s="127"/>
      <c r="X754" s="126"/>
      <c r="Y754" s="126"/>
      <c r="Z754" s="127"/>
      <c r="AA754" s="126"/>
      <c r="AB754" s="126"/>
      <c r="AC754" s="127"/>
      <c r="AD754" s="126"/>
      <c r="AE754" s="126"/>
      <c r="AF754" s="126"/>
      <c r="AG754" s="127"/>
      <c r="AH754" s="126"/>
      <c r="AI754" s="126"/>
      <c r="AJ754" s="127"/>
      <c r="AK754" s="126"/>
      <c r="AL754" s="126"/>
      <c r="AM754" s="127"/>
      <c r="AN754" s="126"/>
      <c r="AO754" s="126"/>
      <c r="AP754" s="127"/>
      <c r="AQ754" s="126"/>
      <c r="AR754" s="126"/>
      <c r="AS754" s="127"/>
      <c r="AT754" s="126"/>
      <c r="AU754" s="126"/>
      <c r="AV754" s="127"/>
      <c r="AW754" s="126"/>
      <c r="AX754" s="126"/>
      <c r="AY754" s="127"/>
      <c r="AZ754" s="126"/>
      <c r="BA754" s="126"/>
      <c r="BB754" s="127"/>
      <c r="BC754" s="126"/>
      <c r="BD754" s="134"/>
      <c r="BE754" s="127"/>
      <c r="BF754" s="126"/>
      <c r="BG754" s="126"/>
      <c r="BH754" s="126"/>
      <c r="BI754" s="126"/>
      <c r="BJ754" s="126"/>
      <c r="BK754" s="126"/>
      <c r="BL754" s="126"/>
      <c r="BM754" s="126"/>
      <c r="BN754" s="126"/>
      <c r="BO754" s="126"/>
      <c r="BP754" s="126"/>
      <c r="BQ754" s="126"/>
      <c r="BR754" s="126"/>
      <c r="BS754" s="126"/>
      <c r="BT754" s="126"/>
      <c r="BU754" s="126"/>
      <c r="BV754" s="126"/>
      <c r="BW754" s="126"/>
      <c r="BX754" s="126"/>
    </row>
    <row r="755">
      <c r="A755" s="126"/>
      <c r="B755" s="126"/>
      <c r="C755" s="127"/>
      <c r="D755" s="126"/>
      <c r="E755" s="126"/>
      <c r="F755" s="127"/>
      <c r="G755" s="126"/>
      <c r="H755" s="127"/>
      <c r="I755" s="126"/>
      <c r="J755" s="126"/>
      <c r="K755" s="127"/>
      <c r="L755" s="126"/>
      <c r="M755" s="126"/>
      <c r="N755" s="127"/>
      <c r="O755" s="126"/>
      <c r="P755" s="126"/>
      <c r="Q755" s="127"/>
      <c r="R755" s="126"/>
      <c r="S755" s="126"/>
      <c r="T755" s="127"/>
      <c r="U755" s="126"/>
      <c r="V755" s="126"/>
      <c r="W755" s="127"/>
      <c r="X755" s="126"/>
      <c r="Y755" s="126"/>
      <c r="Z755" s="127"/>
      <c r="AA755" s="126"/>
      <c r="AB755" s="126"/>
      <c r="AC755" s="127"/>
      <c r="AD755" s="126"/>
      <c r="AE755" s="126"/>
      <c r="AF755" s="126"/>
      <c r="AG755" s="127"/>
      <c r="AH755" s="126"/>
      <c r="AI755" s="126"/>
      <c r="AJ755" s="127"/>
      <c r="AK755" s="126"/>
      <c r="AL755" s="126"/>
      <c r="AM755" s="127"/>
      <c r="AN755" s="126"/>
      <c r="AO755" s="126"/>
      <c r="AP755" s="127"/>
      <c r="AQ755" s="126"/>
      <c r="AR755" s="126"/>
      <c r="AS755" s="127"/>
      <c r="AT755" s="126"/>
      <c r="AU755" s="126"/>
      <c r="AV755" s="127"/>
      <c r="AW755" s="126"/>
      <c r="AX755" s="126"/>
      <c r="AY755" s="127"/>
      <c r="AZ755" s="126"/>
      <c r="BA755" s="126"/>
      <c r="BB755" s="127"/>
      <c r="BC755" s="126"/>
      <c r="BD755" s="134"/>
      <c r="BE755" s="127"/>
      <c r="BF755" s="126"/>
      <c r="BG755" s="126"/>
      <c r="BH755" s="126"/>
      <c r="BI755" s="126"/>
      <c r="BJ755" s="126"/>
      <c r="BK755" s="126"/>
      <c r="BL755" s="126"/>
      <c r="BM755" s="126"/>
      <c r="BN755" s="126"/>
      <c r="BO755" s="126"/>
      <c r="BP755" s="126"/>
      <c r="BQ755" s="126"/>
      <c r="BR755" s="126"/>
      <c r="BS755" s="126"/>
      <c r="BT755" s="126"/>
      <c r="BU755" s="126"/>
      <c r="BV755" s="126"/>
      <c r="BW755" s="126"/>
      <c r="BX755" s="126"/>
    </row>
    <row r="756">
      <c r="A756" s="126"/>
      <c r="B756" s="126"/>
      <c r="C756" s="127"/>
      <c r="D756" s="126"/>
      <c r="E756" s="126"/>
      <c r="F756" s="127"/>
      <c r="G756" s="126"/>
      <c r="H756" s="127"/>
      <c r="I756" s="126"/>
      <c r="J756" s="126"/>
      <c r="K756" s="127"/>
      <c r="L756" s="126"/>
      <c r="M756" s="126"/>
      <c r="N756" s="127"/>
      <c r="O756" s="126"/>
      <c r="P756" s="126"/>
      <c r="Q756" s="127"/>
      <c r="R756" s="126"/>
      <c r="S756" s="126"/>
      <c r="T756" s="127"/>
      <c r="U756" s="126"/>
      <c r="V756" s="126"/>
      <c r="W756" s="127"/>
      <c r="X756" s="126"/>
      <c r="Y756" s="126"/>
      <c r="Z756" s="127"/>
      <c r="AA756" s="126"/>
      <c r="AB756" s="126"/>
      <c r="AC756" s="127"/>
      <c r="AD756" s="126"/>
      <c r="AE756" s="126"/>
      <c r="AF756" s="126"/>
      <c r="AG756" s="127"/>
      <c r="AH756" s="126"/>
      <c r="AI756" s="126"/>
      <c r="AJ756" s="127"/>
      <c r="AK756" s="126"/>
      <c r="AL756" s="126"/>
      <c r="AM756" s="127"/>
      <c r="AN756" s="126"/>
      <c r="AO756" s="126"/>
      <c r="AP756" s="127"/>
      <c r="AQ756" s="126"/>
      <c r="AR756" s="126"/>
      <c r="AS756" s="127"/>
      <c r="AT756" s="126"/>
      <c r="AU756" s="126"/>
      <c r="AV756" s="127"/>
      <c r="AW756" s="126"/>
      <c r="AX756" s="126"/>
      <c r="AY756" s="127"/>
      <c r="AZ756" s="126"/>
      <c r="BA756" s="126"/>
      <c r="BB756" s="127"/>
      <c r="BC756" s="126"/>
      <c r="BD756" s="134"/>
      <c r="BE756" s="127"/>
      <c r="BF756" s="126"/>
      <c r="BG756" s="126"/>
      <c r="BH756" s="126"/>
      <c r="BI756" s="126"/>
      <c r="BJ756" s="126"/>
      <c r="BK756" s="126"/>
      <c r="BL756" s="126"/>
      <c r="BM756" s="126"/>
      <c r="BN756" s="126"/>
      <c r="BO756" s="126"/>
      <c r="BP756" s="126"/>
      <c r="BQ756" s="126"/>
      <c r="BR756" s="126"/>
      <c r="BS756" s="126"/>
      <c r="BT756" s="126"/>
      <c r="BU756" s="126"/>
      <c r="BV756" s="126"/>
      <c r="BW756" s="126"/>
      <c r="BX756" s="126"/>
    </row>
    <row r="757">
      <c r="A757" s="126"/>
      <c r="B757" s="126"/>
      <c r="C757" s="127"/>
      <c r="D757" s="126"/>
      <c r="E757" s="126"/>
      <c r="F757" s="127"/>
      <c r="G757" s="126"/>
      <c r="H757" s="127"/>
      <c r="I757" s="126"/>
      <c r="J757" s="126"/>
      <c r="K757" s="127"/>
      <c r="L757" s="126"/>
      <c r="M757" s="126"/>
      <c r="N757" s="127"/>
      <c r="O757" s="126"/>
      <c r="P757" s="126"/>
      <c r="Q757" s="127"/>
      <c r="R757" s="126"/>
      <c r="S757" s="126"/>
      <c r="T757" s="127"/>
      <c r="U757" s="126"/>
      <c r="V757" s="126"/>
      <c r="W757" s="127"/>
      <c r="X757" s="126"/>
      <c r="Y757" s="126"/>
      <c r="Z757" s="127"/>
      <c r="AA757" s="126"/>
      <c r="AB757" s="126"/>
      <c r="AC757" s="127"/>
      <c r="AD757" s="126"/>
      <c r="AE757" s="126"/>
      <c r="AF757" s="126"/>
      <c r="AG757" s="127"/>
      <c r="AH757" s="126"/>
      <c r="AI757" s="126"/>
      <c r="AJ757" s="127"/>
      <c r="AK757" s="126"/>
      <c r="AL757" s="126"/>
      <c r="AM757" s="127"/>
      <c r="AN757" s="126"/>
      <c r="AO757" s="126"/>
      <c r="AP757" s="127"/>
      <c r="AQ757" s="126"/>
      <c r="AR757" s="126"/>
      <c r="AS757" s="127"/>
      <c r="AT757" s="126"/>
      <c r="AU757" s="126"/>
      <c r="AV757" s="127"/>
      <c r="AW757" s="126"/>
      <c r="AX757" s="126"/>
      <c r="AY757" s="127"/>
      <c r="AZ757" s="126"/>
      <c r="BA757" s="126"/>
      <c r="BB757" s="127"/>
      <c r="BC757" s="126"/>
      <c r="BD757" s="134"/>
      <c r="BE757" s="127"/>
      <c r="BF757" s="126"/>
      <c r="BG757" s="126"/>
      <c r="BH757" s="126"/>
      <c r="BI757" s="126"/>
      <c r="BJ757" s="126"/>
      <c r="BK757" s="126"/>
      <c r="BL757" s="126"/>
      <c r="BM757" s="126"/>
      <c r="BN757" s="126"/>
      <c r="BO757" s="126"/>
      <c r="BP757" s="126"/>
      <c r="BQ757" s="126"/>
      <c r="BR757" s="126"/>
      <c r="BS757" s="126"/>
      <c r="BT757" s="126"/>
      <c r="BU757" s="126"/>
      <c r="BV757" s="126"/>
      <c r="BW757" s="126"/>
      <c r="BX757" s="126"/>
    </row>
    <row r="758">
      <c r="A758" s="126"/>
      <c r="B758" s="126"/>
      <c r="C758" s="127"/>
      <c r="D758" s="126"/>
      <c r="E758" s="126"/>
      <c r="F758" s="127"/>
      <c r="G758" s="126"/>
      <c r="H758" s="127"/>
      <c r="I758" s="126"/>
      <c r="J758" s="126"/>
      <c r="K758" s="127"/>
      <c r="L758" s="126"/>
      <c r="M758" s="126"/>
      <c r="N758" s="127"/>
      <c r="O758" s="126"/>
      <c r="P758" s="126"/>
      <c r="Q758" s="127"/>
      <c r="R758" s="126"/>
      <c r="S758" s="126"/>
      <c r="T758" s="127"/>
      <c r="U758" s="126"/>
      <c r="V758" s="126"/>
      <c r="W758" s="127"/>
      <c r="X758" s="126"/>
      <c r="Y758" s="126"/>
      <c r="Z758" s="127"/>
      <c r="AA758" s="126"/>
      <c r="AB758" s="126"/>
      <c r="AC758" s="127"/>
      <c r="AD758" s="126"/>
      <c r="AE758" s="126"/>
      <c r="AF758" s="126"/>
      <c r="AG758" s="127"/>
      <c r="AH758" s="126"/>
      <c r="AI758" s="126"/>
      <c r="AJ758" s="127"/>
      <c r="AK758" s="126"/>
      <c r="AL758" s="126"/>
      <c r="AM758" s="127"/>
      <c r="AN758" s="126"/>
      <c r="AO758" s="126"/>
      <c r="AP758" s="127"/>
      <c r="AQ758" s="126"/>
      <c r="AR758" s="126"/>
      <c r="AS758" s="127"/>
      <c r="AT758" s="126"/>
      <c r="AU758" s="126"/>
      <c r="AV758" s="127"/>
      <c r="AW758" s="126"/>
      <c r="AX758" s="126"/>
      <c r="AY758" s="127"/>
      <c r="AZ758" s="126"/>
      <c r="BA758" s="126"/>
      <c r="BB758" s="127"/>
      <c r="BC758" s="126"/>
      <c r="BD758" s="134"/>
      <c r="BE758" s="127"/>
      <c r="BF758" s="126"/>
      <c r="BG758" s="126"/>
      <c r="BH758" s="126"/>
      <c r="BI758" s="126"/>
      <c r="BJ758" s="126"/>
      <c r="BK758" s="126"/>
      <c r="BL758" s="126"/>
      <c r="BM758" s="126"/>
      <c r="BN758" s="126"/>
      <c r="BO758" s="126"/>
      <c r="BP758" s="126"/>
      <c r="BQ758" s="126"/>
      <c r="BR758" s="126"/>
      <c r="BS758" s="126"/>
      <c r="BT758" s="126"/>
      <c r="BU758" s="126"/>
      <c r="BV758" s="126"/>
      <c r="BW758" s="126"/>
      <c r="BX758" s="126"/>
    </row>
    <row r="759">
      <c r="A759" s="126"/>
      <c r="B759" s="126"/>
      <c r="C759" s="127"/>
      <c r="D759" s="126"/>
      <c r="E759" s="126"/>
      <c r="F759" s="127"/>
      <c r="G759" s="126"/>
      <c r="H759" s="127"/>
      <c r="I759" s="126"/>
      <c r="J759" s="126"/>
      <c r="K759" s="127"/>
      <c r="L759" s="126"/>
      <c r="M759" s="126"/>
      <c r="N759" s="127"/>
      <c r="O759" s="126"/>
      <c r="P759" s="126"/>
      <c r="Q759" s="127"/>
      <c r="R759" s="126"/>
      <c r="S759" s="126"/>
      <c r="T759" s="127"/>
      <c r="U759" s="126"/>
      <c r="V759" s="126"/>
      <c r="W759" s="127"/>
      <c r="X759" s="126"/>
      <c r="Y759" s="126"/>
      <c r="Z759" s="127"/>
      <c r="AA759" s="126"/>
      <c r="AB759" s="126"/>
      <c r="AC759" s="127"/>
      <c r="AD759" s="126"/>
      <c r="AE759" s="126"/>
      <c r="AF759" s="126"/>
      <c r="AG759" s="127"/>
      <c r="AH759" s="126"/>
      <c r="AI759" s="126"/>
      <c r="AJ759" s="127"/>
      <c r="AK759" s="126"/>
      <c r="AL759" s="126"/>
      <c r="AM759" s="127"/>
      <c r="AN759" s="126"/>
      <c r="AO759" s="126"/>
      <c r="AP759" s="127"/>
      <c r="AQ759" s="126"/>
      <c r="AR759" s="126"/>
      <c r="AS759" s="127"/>
      <c r="AT759" s="126"/>
      <c r="AU759" s="126"/>
      <c r="AV759" s="127"/>
      <c r="AW759" s="126"/>
      <c r="AX759" s="126"/>
      <c r="AY759" s="127"/>
      <c r="AZ759" s="126"/>
      <c r="BA759" s="126"/>
      <c r="BB759" s="127"/>
      <c r="BC759" s="126"/>
      <c r="BD759" s="134"/>
      <c r="BE759" s="127"/>
      <c r="BF759" s="126"/>
      <c r="BG759" s="126"/>
      <c r="BH759" s="126"/>
      <c r="BI759" s="126"/>
      <c r="BJ759" s="126"/>
      <c r="BK759" s="126"/>
      <c r="BL759" s="126"/>
      <c r="BM759" s="126"/>
      <c r="BN759" s="126"/>
      <c r="BO759" s="126"/>
      <c r="BP759" s="126"/>
      <c r="BQ759" s="126"/>
      <c r="BR759" s="126"/>
      <c r="BS759" s="126"/>
      <c r="BT759" s="126"/>
      <c r="BU759" s="126"/>
      <c r="BV759" s="126"/>
      <c r="BW759" s="126"/>
      <c r="BX759" s="126"/>
    </row>
    <row r="760">
      <c r="A760" s="126"/>
      <c r="B760" s="126"/>
      <c r="C760" s="127"/>
      <c r="D760" s="126"/>
      <c r="E760" s="126"/>
      <c r="F760" s="127"/>
      <c r="G760" s="126"/>
      <c r="H760" s="127"/>
      <c r="I760" s="126"/>
      <c r="J760" s="126"/>
      <c r="K760" s="127"/>
      <c r="L760" s="126"/>
      <c r="M760" s="126"/>
      <c r="N760" s="127"/>
      <c r="O760" s="126"/>
      <c r="P760" s="126"/>
      <c r="Q760" s="127"/>
      <c r="R760" s="126"/>
      <c r="S760" s="126"/>
      <c r="T760" s="127"/>
      <c r="U760" s="126"/>
      <c r="V760" s="126"/>
      <c r="W760" s="127"/>
      <c r="X760" s="126"/>
      <c r="Y760" s="126"/>
      <c r="Z760" s="127"/>
      <c r="AA760" s="126"/>
      <c r="AB760" s="126"/>
      <c r="AC760" s="127"/>
      <c r="AD760" s="126"/>
      <c r="AE760" s="126"/>
      <c r="AF760" s="126"/>
      <c r="AG760" s="127"/>
      <c r="AH760" s="126"/>
      <c r="AI760" s="126"/>
      <c r="AJ760" s="127"/>
      <c r="AK760" s="126"/>
      <c r="AL760" s="126"/>
      <c r="AM760" s="127"/>
      <c r="AN760" s="126"/>
      <c r="AO760" s="126"/>
      <c r="AP760" s="127"/>
      <c r="AQ760" s="126"/>
      <c r="AR760" s="126"/>
      <c r="AS760" s="127"/>
      <c r="AT760" s="126"/>
      <c r="AU760" s="126"/>
      <c r="AV760" s="127"/>
      <c r="AW760" s="126"/>
      <c r="AX760" s="126"/>
      <c r="AY760" s="127"/>
      <c r="AZ760" s="126"/>
      <c r="BA760" s="126"/>
      <c r="BB760" s="127"/>
      <c r="BC760" s="126"/>
      <c r="BD760" s="134"/>
      <c r="BE760" s="127"/>
      <c r="BF760" s="126"/>
      <c r="BG760" s="126"/>
      <c r="BH760" s="126"/>
      <c r="BI760" s="126"/>
      <c r="BJ760" s="126"/>
      <c r="BK760" s="126"/>
      <c r="BL760" s="126"/>
      <c r="BM760" s="126"/>
      <c r="BN760" s="126"/>
      <c r="BO760" s="126"/>
      <c r="BP760" s="126"/>
      <c r="BQ760" s="126"/>
      <c r="BR760" s="126"/>
      <c r="BS760" s="126"/>
      <c r="BT760" s="126"/>
      <c r="BU760" s="126"/>
      <c r="BV760" s="126"/>
      <c r="BW760" s="126"/>
      <c r="BX760" s="126"/>
    </row>
    <row r="761">
      <c r="A761" s="126"/>
      <c r="B761" s="126"/>
      <c r="C761" s="127"/>
      <c r="D761" s="126"/>
      <c r="E761" s="126"/>
      <c r="F761" s="127"/>
      <c r="G761" s="126"/>
      <c r="H761" s="127"/>
      <c r="I761" s="126"/>
      <c r="J761" s="126"/>
      <c r="K761" s="127"/>
      <c r="L761" s="126"/>
      <c r="M761" s="126"/>
      <c r="N761" s="127"/>
      <c r="O761" s="126"/>
      <c r="P761" s="126"/>
      <c r="Q761" s="127"/>
      <c r="R761" s="126"/>
      <c r="S761" s="126"/>
      <c r="T761" s="127"/>
      <c r="U761" s="126"/>
      <c r="V761" s="126"/>
      <c r="W761" s="127"/>
      <c r="X761" s="126"/>
      <c r="Y761" s="126"/>
      <c r="Z761" s="127"/>
      <c r="AA761" s="126"/>
      <c r="AB761" s="126"/>
      <c r="AC761" s="127"/>
      <c r="AD761" s="126"/>
      <c r="AE761" s="126"/>
      <c r="AF761" s="126"/>
      <c r="AG761" s="127"/>
      <c r="AH761" s="126"/>
      <c r="AI761" s="126"/>
      <c r="AJ761" s="127"/>
      <c r="AK761" s="126"/>
      <c r="AL761" s="126"/>
      <c r="AM761" s="127"/>
      <c r="AN761" s="126"/>
      <c r="AO761" s="126"/>
      <c r="AP761" s="127"/>
      <c r="AQ761" s="126"/>
      <c r="AR761" s="126"/>
      <c r="AS761" s="127"/>
      <c r="AT761" s="126"/>
      <c r="AU761" s="126"/>
      <c r="AV761" s="127"/>
      <c r="AW761" s="126"/>
      <c r="AX761" s="126"/>
      <c r="AY761" s="127"/>
      <c r="AZ761" s="126"/>
      <c r="BA761" s="126"/>
      <c r="BB761" s="127"/>
      <c r="BC761" s="126"/>
      <c r="BD761" s="134"/>
      <c r="BE761" s="127"/>
      <c r="BF761" s="126"/>
      <c r="BG761" s="126"/>
      <c r="BH761" s="126"/>
      <c r="BI761" s="126"/>
      <c r="BJ761" s="126"/>
      <c r="BK761" s="126"/>
      <c r="BL761" s="126"/>
      <c r="BM761" s="126"/>
      <c r="BN761" s="126"/>
      <c r="BO761" s="126"/>
      <c r="BP761" s="126"/>
      <c r="BQ761" s="126"/>
      <c r="BR761" s="126"/>
      <c r="BS761" s="126"/>
      <c r="BT761" s="126"/>
      <c r="BU761" s="126"/>
      <c r="BV761" s="126"/>
      <c r="BW761" s="126"/>
      <c r="BX761" s="126"/>
    </row>
    <row r="762">
      <c r="A762" s="126"/>
      <c r="B762" s="126"/>
      <c r="C762" s="127"/>
      <c r="D762" s="126"/>
      <c r="E762" s="126"/>
      <c r="F762" s="127"/>
      <c r="G762" s="126"/>
      <c r="H762" s="127"/>
      <c r="I762" s="126"/>
      <c r="J762" s="126"/>
      <c r="K762" s="127"/>
      <c r="L762" s="126"/>
      <c r="M762" s="126"/>
      <c r="N762" s="127"/>
      <c r="O762" s="126"/>
      <c r="P762" s="126"/>
      <c r="Q762" s="127"/>
      <c r="R762" s="126"/>
      <c r="S762" s="126"/>
      <c r="T762" s="127"/>
      <c r="U762" s="126"/>
      <c r="V762" s="126"/>
      <c r="W762" s="127"/>
      <c r="X762" s="126"/>
      <c r="Y762" s="126"/>
      <c r="Z762" s="127"/>
      <c r="AA762" s="126"/>
      <c r="AB762" s="126"/>
      <c r="AC762" s="127"/>
      <c r="AD762" s="126"/>
      <c r="AE762" s="126"/>
      <c r="AF762" s="126"/>
      <c r="AG762" s="127"/>
      <c r="AH762" s="126"/>
      <c r="AI762" s="126"/>
      <c r="AJ762" s="127"/>
      <c r="AK762" s="126"/>
      <c r="AL762" s="126"/>
      <c r="AM762" s="127"/>
      <c r="AN762" s="126"/>
      <c r="AO762" s="126"/>
      <c r="AP762" s="127"/>
      <c r="AQ762" s="126"/>
      <c r="AR762" s="126"/>
      <c r="AS762" s="127"/>
      <c r="AT762" s="126"/>
      <c r="AU762" s="126"/>
      <c r="AV762" s="127"/>
      <c r="AW762" s="126"/>
      <c r="AX762" s="126"/>
      <c r="AY762" s="127"/>
      <c r="AZ762" s="126"/>
      <c r="BA762" s="126"/>
      <c r="BB762" s="127"/>
      <c r="BC762" s="126"/>
      <c r="BD762" s="134"/>
      <c r="BE762" s="127"/>
      <c r="BF762" s="126"/>
      <c r="BG762" s="126"/>
      <c r="BH762" s="126"/>
      <c r="BI762" s="126"/>
      <c r="BJ762" s="126"/>
      <c r="BK762" s="126"/>
      <c r="BL762" s="126"/>
      <c r="BM762" s="126"/>
      <c r="BN762" s="126"/>
      <c r="BO762" s="126"/>
      <c r="BP762" s="126"/>
      <c r="BQ762" s="126"/>
      <c r="BR762" s="126"/>
      <c r="BS762" s="126"/>
      <c r="BT762" s="126"/>
      <c r="BU762" s="126"/>
      <c r="BV762" s="126"/>
      <c r="BW762" s="126"/>
      <c r="BX762" s="126"/>
    </row>
    <row r="763">
      <c r="A763" s="126"/>
      <c r="B763" s="126"/>
      <c r="C763" s="127"/>
      <c r="D763" s="126"/>
      <c r="E763" s="126"/>
      <c r="F763" s="127"/>
      <c r="G763" s="126"/>
      <c r="H763" s="127"/>
      <c r="I763" s="126"/>
      <c r="J763" s="126"/>
      <c r="K763" s="127"/>
      <c r="L763" s="126"/>
      <c r="M763" s="126"/>
      <c r="N763" s="127"/>
      <c r="O763" s="126"/>
      <c r="P763" s="126"/>
      <c r="Q763" s="127"/>
      <c r="R763" s="126"/>
      <c r="S763" s="126"/>
      <c r="T763" s="127"/>
      <c r="U763" s="126"/>
      <c r="V763" s="126"/>
      <c r="W763" s="127"/>
      <c r="X763" s="126"/>
      <c r="Y763" s="126"/>
      <c r="Z763" s="127"/>
      <c r="AA763" s="126"/>
      <c r="AB763" s="126"/>
      <c r="AC763" s="127"/>
      <c r="AD763" s="126"/>
      <c r="AE763" s="126"/>
      <c r="AF763" s="126"/>
      <c r="AG763" s="127"/>
      <c r="AH763" s="126"/>
      <c r="AI763" s="126"/>
      <c r="AJ763" s="127"/>
      <c r="AK763" s="126"/>
      <c r="AL763" s="126"/>
      <c r="AM763" s="127"/>
      <c r="AN763" s="126"/>
      <c r="AO763" s="126"/>
      <c r="AP763" s="127"/>
      <c r="AQ763" s="126"/>
      <c r="AR763" s="126"/>
      <c r="AS763" s="127"/>
      <c r="AT763" s="126"/>
      <c r="AU763" s="126"/>
      <c r="AV763" s="127"/>
      <c r="AW763" s="126"/>
      <c r="AX763" s="126"/>
      <c r="AY763" s="127"/>
      <c r="AZ763" s="126"/>
      <c r="BA763" s="126"/>
      <c r="BB763" s="127"/>
      <c r="BC763" s="126"/>
      <c r="BD763" s="134"/>
      <c r="BE763" s="127"/>
      <c r="BF763" s="126"/>
      <c r="BG763" s="126"/>
      <c r="BH763" s="126"/>
      <c r="BI763" s="126"/>
      <c r="BJ763" s="126"/>
      <c r="BK763" s="126"/>
      <c r="BL763" s="126"/>
      <c r="BM763" s="126"/>
      <c r="BN763" s="126"/>
      <c r="BO763" s="126"/>
      <c r="BP763" s="126"/>
      <c r="BQ763" s="126"/>
      <c r="BR763" s="126"/>
      <c r="BS763" s="126"/>
      <c r="BT763" s="126"/>
      <c r="BU763" s="126"/>
      <c r="BV763" s="126"/>
      <c r="BW763" s="126"/>
      <c r="BX763" s="126"/>
    </row>
    <row r="764">
      <c r="A764" s="126"/>
      <c r="B764" s="126"/>
      <c r="C764" s="127"/>
      <c r="D764" s="126"/>
      <c r="E764" s="126"/>
      <c r="F764" s="127"/>
      <c r="G764" s="126"/>
      <c r="H764" s="127"/>
      <c r="I764" s="126"/>
      <c r="J764" s="126"/>
      <c r="K764" s="127"/>
      <c r="L764" s="126"/>
      <c r="M764" s="126"/>
      <c r="N764" s="127"/>
      <c r="O764" s="126"/>
      <c r="P764" s="126"/>
      <c r="Q764" s="127"/>
      <c r="R764" s="126"/>
      <c r="S764" s="126"/>
      <c r="T764" s="127"/>
      <c r="U764" s="126"/>
      <c r="V764" s="126"/>
      <c r="W764" s="127"/>
      <c r="X764" s="126"/>
      <c r="Y764" s="126"/>
      <c r="Z764" s="127"/>
      <c r="AA764" s="126"/>
      <c r="AB764" s="126"/>
      <c r="AC764" s="127"/>
      <c r="AD764" s="126"/>
      <c r="AE764" s="126"/>
      <c r="AF764" s="126"/>
      <c r="AG764" s="127"/>
      <c r="AH764" s="126"/>
      <c r="AI764" s="126"/>
      <c r="AJ764" s="127"/>
      <c r="AK764" s="126"/>
      <c r="AL764" s="126"/>
      <c r="AM764" s="127"/>
      <c r="AN764" s="126"/>
      <c r="AO764" s="126"/>
      <c r="AP764" s="127"/>
      <c r="AQ764" s="126"/>
      <c r="AR764" s="126"/>
      <c r="AS764" s="127"/>
      <c r="AT764" s="126"/>
      <c r="AU764" s="126"/>
      <c r="AV764" s="127"/>
      <c r="AW764" s="126"/>
      <c r="AX764" s="126"/>
      <c r="AY764" s="127"/>
      <c r="AZ764" s="126"/>
      <c r="BA764" s="126"/>
      <c r="BB764" s="127"/>
      <c r="BC764" s="126"/>
      <c r="BD764" s="134"/>
      <c r="BE764" s="127"/>
      <c r="BF764" s="126"/>
      <c r="BG764" s="126"/>
      <c r="BH764" s="126"/>
      <c r="BI764" s="126"/>
      <c r="BJ764" s="126"/>
      <c r="BK764" s="126"/>
      <c r="BL764" s="126"/>
      <c r="BM764" s="126"/>
      <c r="BN764" s="126"/>
      <c r="BO764" s="126"/>
      <c r="BP764" s="126"/>
      <c r="BQ764" s="126"/>
      <c r="BR764" s="126"/>
      <c r="BS764" s="126"/>
      <c r="BT764" s="126"/>
      <c r="BU764" s="126"/>
      <c r="BV764" s="126"/>
      <c r="BW764" s="126"/>
      <c r="BX764" s="126"/>
    </row>
    <row r="765">
      <c r="A765" s="126"/>
      <c r="B765" s="126"/>
      <c r="C765" s="127"/>
      <c r="D765" s="126"/>
      <c r="E765" s="126"/>
      <c r="F765" s="127"/>
      <c r="G765" s="126"/>
      <c r="H765" s="127"/>
      <c r="I765" s="126"/>
      <c r="J765" s="126"/>
      <c r="K765" s="127"/>
      <c r="L765" s="126"/>
      <c r="M765" s="126"/>
      <c r="N765" s="127"/>
      <c r="O765" s="126"/>
      <c r="P765" s="126"/>
      <c r="Q765" s="127"/>
      <c r="R765" s="126"/>
      <c r="S765" s="126"/>
      <c r="T765" s="127"/>
      <c r="U765" s="126"/>
      <c r="V765" s="126"/>
      <c r="W765" s="127"/>
      <c r="X765" s="126"/>
      <c r="Y765" s="126"/>
      <c r="Z765" s="127"/>
      <c r="AA765" s="126"/>
      <c r="AB765" s="126"/>
      <c r="AC765" s="127"/>
      <c r="AD765" s="126"/>
      <c r="AE765" s="126"/>
      <c r="AF765" s="126"/>
      <c r="AG765" s="127"/>
      <c r="AH765" s="126"/>
      <c r="AI765" s="126"/>
      <c r="AJ765" s="127"/>
      <c r="AK765" s="126"/>
      <c r="AL765" s="126"/>
      <c r="AM765" s="127"/>
      <c r="AN765" s="126"/>
      <c r="AO765" s="126"/>
      <c r="AP765" s="127"/>
      <c r="AQ765" s="126"/>
      <c r="AR765" s="126"/>
      <c r="AS765" s="127"/>
      <c r="AT765" s="126"/>
      <c r="AU765" s="126"/>
      <c r="AV765" s="127"/>
      <c r="AW765" s="126"/>
      <c r="AX765" s="126"/>
      <c r="AY765" s="127"/>
      <c r="AZ765" s="126"/>
      <c r="BA765" s="126"/>
      <c r="BB765" s="127"/>
      <c r="BC765" s="126"/>
      <c r="BD765" s="134"/>
      <c r="BE765" s="127"/>
      <c r="BF765" s="126"/>
      <c r="BG765" s="126"/>
      <c r="BH765" s="126"/>
      <c r="BI765" s="126"/>
      <c r="BJ765" s="126"/>
      <c r="BK765" s="126"/>
      <c r="BL765" s="126"/>
      <c r="BM765" s="126"/>
      <c r="BN765" s="126"/>
      <c r="BO765" s="126"/>
      <c r="BP765" s="126"/>
      <c r="BQ765" s="126"/>
      <c r="BR765" s="126"/>
      <c r="BS765" s="126"/>
      <c r="BT765" s="126"/>
      <c r="BU765" s="126"/>
      <c r="BV765" s="126"/>
      <c r="BW765" s="126"/>
      <c r="BX765" s="126"/>
    </row>
    <row r="766">
      <c r="A766" s="126"/>
      <c r="B766" s="126"/>
      <c r="C766" s="127"/>
      <c r="D766" s="126"/>
      <c r="E766" s="126"/>
      <c r="F766" s="127"/>
      <c r="G766" s="126"/>
      <c r="H766" s="127"/>
      <c r="I766" s="126"/>
      <c r="J766" s="126"/>
      <c r="K766" s="127"/>
      <c r="L766" s="126"/>
      <c r="M766" s="126"/>
      <c r="N766" s="127"/>
      <c r="O766" s="126"/>
      <c r="P766" s="126"/>
      <c r="Q766" s="127"/>
      <c r="R766" s="126"/>
      <c r="S766" s="126"/>
      <c r="T766" s="127"/>
      <c r="U766" s="126"/>
      <c r="V766" s="126"/>
      <c r="W766" s="127"/>
      <c r="X766" s="126"/>
      <c r="Y766" s="126"/>
      <c r="Z766" s="127"/>
      <c r="AA766" s="126"/>
      <c r="AB766" s="126"/>
      <c r="AC766" s="127"/>
      <c r="AD766" s="126"/>
      <c r="AE766" s="126"/>
      <c r="AF766" s="126"/>
      <c r="AG766" s="127"/>
      <c r="AH766" s="126"/>
      <c r="AI766" s="126"/>
      <c r="AJ766" s="127"/>
      <c r="AK766" s="126"/>
      <c r="AL766" s="126"/>
      <c r="AM766" s="127"/>
      <c r="AN766" s="126"/>
      <c r="AO766" s="126"/>
      <c r="AP766" s="127"/>
      <c r="AQ766" s="126"/>
      <c r="AR766" s="126"/>
      <c r="AS766" s="127"/>
      <c r="AT766" s="126"/>
      <c r="AU766" s="126"/>
      <c r="AV766" s="127"/>
      <c r="AW766" s="126"/>
      <c r="AX766" s="126"/>
      <c r="AY766" s="127"/>
      <c r="AZ766" s="126"/>
      <c r="BA766" s="126"/>
      <c r="BB766" s="127"/>
      <c r="BC766" s="126"/>
      <c r="BD766" s="134"/>
      <c r="BE766" s="127"/>
      <c r="BF766" s="126"/>
      <c r="BG766" s="126"/>
      <c r="BH766" s="126"/>
      <c r="BI766" s="126"/>
      <c r="BJ766" s="126"/>
      <c r="BK766" s="126"/>
      <c r="BL766" s="126"/>
      <c r="BM766" s="126"/>
      <c r="BN766" s="126"/>
      <c r="BO766" s="126"/>
      <c r="BP766" s="126"/>
      <c r="BQ766" s="126"/>
      <c r="BR766" s="126"/>
      <c r="BS766" s="126"/>
      <c r="BT766" s="126"/>
      <c r="BU766" s="126"/>
      <c r="BV766" s="126"/>
      <c r="BW766" s="126"/>
      <c r="BX766" s="126"/>
    </row>
    <row r="767">
      <c r="A767" s="126"/>
      <c r="B767" s="126"/>
      <c r="C767" s="127"/>
      <c r="D767" s="126"/>
      <c r="E767" s="126"/>
      <c r="F767" s="127"/>
      <c r="G767" s="126"/>
      <c r="H767" s="127"/>
      <c r="I767" s="126"/>
      <c r="J767" s="126"/>
      <c r="K767" s="127"/>
      <c r="L767" s="126"/>
      <c r="M767" s="126"/>
      <c r="N767" s="127"/>
      <c r="O767" s="126"/>
      <c r="P767" s="126"/>
      <c r="Q767" s="127"/>
      <c r="R767" s="126"/>
      <c r="S767" s="126"/>
      <c r="T767" s="127"/>
      <c r="U767" s="126"/>
      <c r="V767" s="126"/>
      <c r="W767" s="127"/>
      <c r="X767" s="126"/>
      <c r="Y767" s="126"/>
      <c r="Z767" s="127"/>
      <c r="AA767" s="126"/>
      <c r="AB767" s="126"/>
      <c r="AC767" s="127"/>
      <c r="AD767" s="126"/>
      <c r="AE767" s="126"/>
      <c r="AF767" s="126"/>
      <c r="AG767" s="127"/>
      <c r="AH767" s="126"/>
      <c r="AI767" s="126"/>
      <c r="AJ767" s="127"/>
      <c r="AK767" s="126"/>
      <c r="AL767" s="126"/>
      <c r="AM767" s="127"/>
      <c r="AN767" s="126"/>
      <c r="AO767" s="126"/>
      <c r="AP767" s="127"/>
      <c r="AQ767" s="126"/>
      <c r="AR767" s="126"/>
      <c r="AS767" s="127"/>
      <c r="AT767" s="126"/>
      <c r="AU767" s="126"/>
      <c r="AV767" s="127"/>
      <c r="AW767" s="126"/>
      <c r="AX767" s="126"/>
      <c r="AY767" s="127"/>
      <c r="AZ767" s="126"/>
      <c r="BA767" s="126"/>
      <c r="BB767" s="127"/>
      <c r="BC767" s="126"/>
      <c r="BD767" s="134"/>
      <c r="BE767" s="127"/>
      <c r="BF767" s="126"/>
      <c r="BG767" s="126"/>
      <c r="BH767" s="126"/>
      <c r="BI767" s="126"/>
      <c r="BJ767" s="126"/>
      <c r="BK767" s="126"/>
      <c r="BL767" s="126"/>
      <c r="BM767" s="126"/>
      <c r="BN767" s="126"/>
      <c r="BO767" s="126"/>
      <c r="BP767" s="126"/>
      <c r="BQ767" s="126"/>
      <c r="BR767" s="126"/>
      <c r="BS767" s="126"/>
      <c r="BT767" s="126"/>
      <c r="BU767" s="126"/>
      <c r="BV767" s="126"/>
      <c r="BW767" s="126"/>
      <c r="BX767" s="126"/>
    </row>
    <row r="768">
      <c r="A768" s="126"/>
      <c r="B768" s="126"/>
      <c r="C768" s="127"/>
      <c r="D768" s="126"/>
      <c r="E768" s="126"/>
      <c r="F768" s="127"/>
      <c r="G768" s="126"/>
      <c r="H768" s="127"/>
      <c r="I768" s="126"/>
      <c r="J768" s="126"/>
      <c r="K768" s="127"/>
      <c r="L768" s="126"/>
      <c r="M768" s="126"/>
      <c r="N768" s="127"/>
      <c r="O768" s="126"/>
      <c r="P768" s="126"/>
      <c r="Q768" s="127"/>
      <c r="R768" s="126"/>
      <c r="S768" s="126"/>
      <c r="T768" s="127"/>
      <c r="U768" s="126"/>
      <c r="V768" s="126"/>
      <c r="W768" s="127"/>
      <c r="X768" s="126"/>
      <c r="Y768" s="126"/>
      <c r="Z768" s="127"/>
      <c r="AA768" s="126"/>
      <c r="AB768" s="126"/>
      <c r="AC768" s="127"/>
      <c r="AD768" s="126"/>
      <c r="AE768" s="126"/>
      <c r="AF768" s="126"/>
      <c r="AG768" s="127"/>
      <c r="AH768" s="126"/>
      <c r="AI768" s="126"/>
      <c r="AJ768" s="127"/>
      <c r="AK768" s="126"/>
      <c r="AL768" s="126"/>
      <c r="AM768" s="127"/>
      <c r="AN768" s="126"/>
      <c r="AO768" s="126"/>
      <c r="AP768" s="127"/>
      <c r="AQ768" s="126"/>
      <c r="AR768" s="126"/>
      <c r="AS768" s="127"/>
      <c r="AT768" s="126"/>
      <c r="AU768" s="126"/>
      <c r="AV768" s="127"/>
      <c r="AW768" s="126"/>
      <c r="AX768" s="126"/>
      <c r="AY768" s="127"/>
      <c r="AZ768" s="126"/>
      <c r="BA768" s="126"/>
      <c r="BB768" s="127"/>
      <c r="BC768" s="126"/>
      <c r="BD768" s="134"/>
      <c r="BE768" s="127"/>
      <c r="BF768" s="126"/>
      <c r="BG768" s="126"/>
      <c r="BH768" s="126"/>
      <c r="BI768" s="126"/>
      <c r="BJ768" s="126"/>
      <c r="BK768" s="126"/>
      <c r="BL768" s="126"/>
      <c r="BM768" s="126"/>
      <c r="BN768" s="126"/>
      <c r="BO768" s="126"/>
      <c r="BP768" s="126"/>
      <c r="BQ768" s="126"/>
      <c r="BR768" s="126"/>
      <c r="BS768" s="126"/>
      <c r="BT768" s="126"/>
      <c r="BU768" s="126"/>
      <c r="BV768" s="126"/>
      <c r="BW768" s="126"/>
      <c r="BX768" s="126"/>
    </row>
    <row r="769">
      <c r="A769" s="126"/>
      <c r="B769" s="126"/>
      <c r="C769" s="127"/>
      <c r="D769" s="126"/>
      <c r="E769" s="126"/>
      <c r="F769" s="127"/>
      <c r="G769" s="126"/>
      <c r="H769" s="127"/>
      <c r="I769" s="126"/>
      <c r="J769" s="126"/>
      <c r="K769" s="127"/>
      <c r="L769" s="126"/>
      <c r="M769" s="126"/>
      <c r="N769" s="127"/>
      <c r="O769" s="126"/>
      <c r="P769" s="126"/>
      <c r="Q769" s="127"/>
      <c r="R769" s="126"/>
      <c r="S769" s="126"/>
      <c r="T769" s="127"/>
      <c r="U769" s="126"/>
      <c r="V769" s="126"/>
      <c r="W769" s="127"/>
      <c r="X769" s="126"/>
      <c r="Y769" s="126"/>
      <c r="Z769" s="127"/>
      <c r="AA769" s="126"/>
      <c r="AB769" s="126"/>
      <c r="AC769" s="127"/>
      <c r="AD769" s="126"/>
      <c r="AE769" s="126"/>
      <c r="AF769" s="126"/>
      <c r="AG769" s="127"/>
      <c r="AH769" s="126"/>
      <c r="AI769" s="126"/>
      <c r="AJ769" s="127"/>
      <c r="AK769" s="126"/>
      <c r="AL769" s="126"/>
      <c r="AM769" s="127"/>
      <c r="AN769" s="126"/>
      <c r="AO769" s="126"/>
      <c r="AP769" s="127"/>
      <c r="AQ769" s="126"/>
      <c r="AR769" s="126"/>
      <c r="AS769" s="127"/>
      <c r="AT769" s="126"/>
      <c r="AU769" s="126"/>
      <c r="AV769" s="127"/>
      <c r="AW769" s="126"/>
      <c r="AX769" s="126"/>
      <c r="AY769" s="127"/>
      <c r="AZ769" s="126"/>
      <c r="BA769" s="126"/>
      <c r="BB769" s="127"/>
      <c r="BC769" s="126"/>
      <c r="BD769" s="134"/>
      <c r="BE769" s="127"/>
      <c r="BF769" s="126"/>
      <c r="BG769" s="126"/>
      <c r="BH769" s="126"/>
      <c r="BI769" s="126"/>
      <c r="BJ769" s="126"/>
      <c r="BK769" s="126"/>
      <c r="BL769" s="126"/>
      <c r="BM769" s="126"/>
      <c r="BN769" s="126"/>
      <c r="BO769" s="126"/>
      <c r="BP769" s="126"/>
      <c r="BQ769" s="126"/>
      <c r="BR769" s="126"/>
      <c r="BS769" s="126"/>
      <c r="BT769" s="126"/>
      <c r="BU769" s="126"/>
      <c r="BV769" s="126"/>
      <c r="BW769" s="126"/>
      <c r="BX769" s="126"/>
    </row>
    <row r="770">
      <c r="A770" s="126"/>
      <c r="B770" s="126"/>
      <c r="C770" s="127"/>
      <c r="D770" s="126"/>
      <c r="E770" s="126"/>
      <c r="F770" s="127"/>
      <c r="G770" s="126"/>
      <c r="H770" s="127"/>
      <c r="I770" s="126"/>
      <c r="J770" s="126"/>
      <c r="K770" s="127"/>
      <c r="L770" s="126"/>
      <c r="M770" s="126"/>
      <c r="N770" s="127"/>
      <c r="O770" s="126"/>
      <c r="P770" s="126"/>
      <c r="Q770" s="127"/>
      <c r="R770" s="126"/>
      <c r="S770" s="126"/>
      <c r="T770" s="127"/>
      <c r="U770" s="126"/>
      <c r="V770" s="126"/>
      <c r="W770" s="127"/>
      <c r="X770" s="126"/>
      <c r="Y770" s="126"/>
      <c r="Z770" s="127"/>
      <c r="AA770" s="126"/>
      <c r="AB770" s="126"/>
      <c r="AC770" s="127"/>
      <c r="AD770" s="126"/>
      <c r="AE770" s="126"/>
      <c r="AF770" s="126"/>
      <c r="AG770" s="127"/>
      <c r="AH770" s="126"/>
      <c r="AI770" s="126"/>
      <c r="AJ770" s="127"/>
      <c r="AK770" s="126"/>
      <c r="AL770" s="126"/>
      <c r="AM770" s="127"/>
      <c r="AN770" s="126"/>
      <c r="AO770" s="126"/>
      <c r="AP770" s="127"/>
      <c r="AQ770" s="126"/>
      <c r="AR770" s="126"/>
      <c r="AS770" s="127"/>
      <c r="AT770" s="126"/>
      <c r="AU770" s="126"/>
      <c r="AV770" s="127"/>
      <c r="AW770" s="126"/>
      <c r="AX770" s="126"/>
      <c r="AY770" s="127"/>
      <c r="AZ770" s="126"/>
      <c r="BA770" s="126"/>
      <c r="BB770" s="127"/>
      <c r="BC770" s="126"/>
      <c r="BD770" s="134"/>
      <c r="BE770" s="127"/>
      <c r="BF770" s="126"/>
      <c r="BG770" s="126"/>
      <c r="BH770" s="126"/>
      <c r="BI770" s="126"/>
      <c r="BJ770" s="126"/>
      <c r="BK770" s="126"/>
      <c r="BL770" s="126"/>
      <c r="BM770" s="126"/>
      <c r="BN770" s="126"/>
      <c r="BO770" s="126"/>
      <c r="BP770" s="126"/>
      <c r="BQ770" s="126"/>
      <c r="BR770" s="126"/>
      <c r="BS770" s="126"/>
      <c r="BT770" s="126"/>
      <c r="BU770" s="126"/>
      <c r="BV770" s="126"/>
      <c r="BW770" s="126"/>
      <c r="BX770" s="126"/>
    </row>
    <row r="771">
      <c r="A771" s="126"/>
      <c r="B771" s="126"/>
      <c r="C771" s="127"/>
      <c r="D771" s="126"/>
      <c r="E771" s="126"/>
      <c r="F771" s="127"/>
      <c r="G771" s="126"/>
      <c r="H771" s="127"/>
      <c r="I771" s="126"/>
      <c r="J771" s="126"/>
      <c r="K771" s="127"/>
      <c r="L771" s="126"/>
      <c r="M771" s="126"/>
      <c r="N771" s="127"/>
      <c r="O771" s="126"/>
      <c r="P771" s="126"/>
      <c r="Q771" s="127"/>
      <c r="R771" s="126"/>
      <c r="S771" s="126"/>
      <c r="T771" s="127"/>
      <c r="U771" s="126"/>
      <c r="V771" s="126"/>
      <c r="W771" s="127"/>
      <c r="X771" s="126"/>
      <c r="Y771" s="126"/>
      <c r="Z771" s="127"/>
      <c r="AA771" s="126"/>
      <c r="AB771" s="126"/>
      <c r="AC771" s="127"/>
      <c r="AD771" s="126"/>
      <c r="AE771" s="126"/>
      <c r="AF771" s="126"/>
      <c r="AG771" s="127"/>
      <c r="AH771" s="126"/>
      <c r="AI771" s="126"/>
      <c r="AJ771" s="127"/>
      <c r="AK771" s="126"/>
      <c r="AL771" s="126"/>
      <c r="AM771" s="127"/>
      <c r="AN771" s="126"/>
      <c r="AO771" s="126"/>
      <c r="AP771" s="127"/>
      <c r="AQ771" s="126"/>
      <c r="AR771" s="126"/>
      <c r="AS771" s="127"/>
      <c r="AT771" s="126"/>
      <c r="AU771" s="126"/>
      <c r="AV771" s="127"/>
      <c r="AW771" s="126"/>
      <c r="AX771" s="126"/>
      <c r="AY771" s="127"/>
      <c r="AZ771" s="126"/>
      <c r="BA771" s="126"/>
      <c r="BB771" s="127"/>
      <c r="BC771" s="126"/>
      <c r="BD771" s="134"/>
      <c r="BE771" s="127"/>
      <c r="BF771" s="126"/>
      <c r="BG771" s="126"/>
      <c r="BH771" s="126"/>
      <c r="BI771" s="126"/>
      <c r="BJ771" s="126"/>
      <c r="BK771" s="126"/>
      <c r="BL771" s="126"/>
      <c r="BM771" s="126"/>
      <c r="BN771" s="126"/>
      <c r="BO771" s="126"/>
      <c r="BP771" s="126"/>
      <c r="BQ771" s="126"/>
      <c r="BR771" s="126"/>
      <c r="BS771" s="126"/>
      <c r="BT771" s="126"/>
      <c r="BU771" s="126"/>
      <c r="BV771" s="126"/>
      <c r="BW771" s="126"/>
      <c r="BX771" s="126"/>
    </row>
    <row r="772">
      <c r="A772" s="126"/>
      <c r="B772" s="126"/>
      <c r="C772" s="127"/>
      <c r="D772" s="126"/>
      <c r="E772" s="126"/>
      <c r="F772" s="127"/>
      <c r="G772" s="126"/>
      <c r="H772" s="127"/>
      <c r="I772" s="126"/>
      <c r="J772" s="126"/>
      <c r="K772" s="127"/>
      <c r="L772" s="126"/>
      <c r="M772" s="126"/>
      <c r="N772" s="127"/>
      <c r="O772" s="126"/>
      <c r="P772" s="126"/>
      <c r="Q772" s="127"/>
      <c r="R772" s="126"/>
      <c r="S772" s="126"/>
      <c r="T772" s="127"/>
      <c r="U772" s="126"/>
      <c r="V772" s="126"/>
      <c r="W772" s="127"/>
      <c r="X772" s="126"/>
      <c r="Y772" s="126"/>
      <c r="Z772" s="127"/>
      <c r="AA772" s="126"/>
      <c r="AB772" s="126"/>
      <c r="AC772" s="127"/>
      <c r="AD772" s="126"/>
      <c r="AE772" s="126"/>
      <c r="AF772" s="126"/>
      <c r="AG772" s="127"/>
      <c r="AH772" s="126"/>
      <c r="AI772" s="126"/>
      <c r="AJ772" s="127"/>
      <c r="AK772" s="126"/>
      <c r="AL772" s="126"/>
      <c r="AM772" s="127"/>
      <c r="AN772" s="126"/>
      <c r="AO772" s="126"/>
      <c r="AP772" s="127"/>
      <c r="AQ772" s="126"/>
      <c r="AR772" s="126"/>
      <c r="AS772" s="127"/>
      <c r="AT772" s="126"/>
      <c r="AU772" s="126"/>
      <c r="AV772" s="127"/>
      <c r="AW772" s="126"/>
      <c r="AX772" s="126"/>
      <c r="AY772" s="127"/>
      <c r="AZ772" s="126"/>
      <c r="BA772" s="126"/>
      <c r="BB772" s="127"/>
      <c r="BC772" s="126"/>
      <c r="BD772" s="134"/>
      <c r="BE772" s="127"/>
      <c r="BF772" s="126"/>
      <c r="BG772" s="126"/>
      <c r="BH772" s="126"/>
      <c r="BI772" s="126"/>
      <c r="BJ772" s="126"/>
      <c r="BK772" s="126"/>
      <c r="BL772" s="126"/>
      <c r="BM772" s="126"/>
      <c r="BN772" s="126"/>
      <c r="BO772" s="126"/>
      <c r="BP772" s="126"/>
      <c r="BQ772" s="126"/>
      <c r="BR772" s="126"/>
      <c r="BS772" s="126"/>
      <c r="BT772" s="126"/>
      <c r="BU772" s="126"/>
      <c r="BV772" s="126"/>
      <c r="BW772" s="126"/>
      <c r="BX772" s="126"/>
    </row>
    <row r="773">
      <c r="A773" s="126"/>
      <c r="B773" s="126"/>
      <c r="C773" s="127"/>
      <c r="D773" s="126"/>
      <c r="E773" s="126"/>
      <c r="F773" s="127"/>
      <c r="G773" s="126"/>
      <c r="H773" s="127"/>
      <c r="I773" s="126"/>
      <c r="J773" s="126"/>
      <c r="K773" s="127"/>
      <c r="L773" s="126"/>
      <c r="M773" s="126"/>
      <c r="N773" s="127"/>
      <c r="O773" s="126"/>
      <c r="P773" s="126"/>
      <c r="Q773" s="127"/>
      <c r="R773" s="126"/>
      <c r="S773" s="126"/>
      <c r="T773" s="127"/>
      <c r="U773" s="126"/>
      <c r="V773" s="126"/>
      <c r="W773" s="127"/>
      <c r="X773" s="126"/>
      <c r="Y773" s="126"/>
      <c r="Z773" s="127"/>
      <c r="AA773" s="126"/>
      <c r="AB773" s="126"/>
      <c r="AC773" s="127"/>
      <c r="AD773" s="126"/>
      <c r="AE773" s="126"/>
      <c r="AF773" s="126"/>
      <c r="AG773" s="127"/>
      <c r="AH773" s="126"/>
      <c r="AI773" s="126"/>
      <c r="AJ773" s="127"/>
      <c r="AK773" s="126"/>
      <c r="AL773" s="126"/>
      <c r="AM773" s="127"/>
      <c r="AN773" s="126"/>
      <c r="AO773" s="126"/>
      <c r="AP773" s="127"/>
      <c r="AQ773" s="126"/>
      <c r="AR773" s="126"/>
      <c r="AS773" s="127"/>
      <c r="AT773" s="126"/>
      <c r="AU773" s="126"/>
      <c r="AV773" s="127"/>
      <c r="AW773" s="126"/>
      <c r="AX773" s="126"/>
      <c r="AY773" s="127"/>
      <c r="AZ773" s="126"/>
      <c r="BA773" s="126"/>
      <c r="BB773" s="127"/>
      <c r="BC773" s="126"/>
      <c r="BD773" s="134"/>
      <c r="BE773" s="127"/>
      <c r="BF773" s="126"/>
      <c r="BG773" s="126"/>
      <c r="BH773" s="126"/>
      <c r="BI773" s="126"/>
      <c r="BJ773" s="126"/>
      <c r="BK773" s="126"/>
      <c r="BL773" s="126"/>
      <c r="BM773" s="126"/>
      <c r="BN773" s="126"/>
      <c r="BO773" s="126"/>
      <c r="BP773" s="126"/>
      <c r="BQ773" s="126"/>
      <c r="BR773" s="126"/>
      <c r="BS773" s="126"/>
      <c r="BT773" s="126"/>
      <c r="BU773" s="126"/>
      <c r="BV773" s="126"/>
      <c r="BW773" s="126"/>
      <c r="BX773" s="126"/>
    </row>
    <row r="774">
      <c r="A774" s="126"/>
      <c r="B774" s="126"/>
      <c r="C774" s="127"/>
      <c r="D774" s="126"/>
      <c r="E774" s="126"/>
      <c r="F774" s="127"/>
      <c r="G774" s="126"/>
      <c r="H774" s="127"/>
      <c r="I774" s="126"/>
      <c r="J774" s="126"/>
      <c r="K774" s="127"/>
      <c r="L774" s="126"/>
      <c r="M774" s="126"/>
      <c r="N774" s="127"/>
      <c r="O774" s="126"/>
      <c r="P774" s="126"/>
      <c r="Q774" s="127"/>
      <c r="R774" s="126"/>
      <c r="S774" s="126"/>
      <c r="T774" s="127"/>
      <c r="U774" s="126"/>
      <c r="V774" s="126"/>
      <c r="W774" s="127"/>
      <c r="X774" s="126"/>
      <c r="Y774" s="126"/>
      <c r="Z774" s="127"/>
      <c r="AA774" s="126"/>
      <c r="AB774" s="126"/>
      <c r="AC774" s="127"/>
      <c r="AD774" s="126"/>
      <c r="AE774" s="126"/>
      <c r="AF774" s="126"/>
      <c r="AG774" s="127"/>
      <c r="AH774" s="126"/>
      <c r="AI774" s="126"/>
      <c r="AJ774" s="127"/>
      <c r="AK774" s="126"/>
      <c r="AL774" s="126"/>
      <c r="AM774" s="127"/>
      <c r="AN774" s="126"/>
      <c r="AO774" s="126"/>
      <c r="AP774" s="127"/>
      <c r="AQ774" s="126"/>
      <c r="AR774" s="126"/>
      <c r="AS774" s="127"/>
      <c r="AT774" s="126"/>
      <c r="AU774" s="126"/>
      <c r="AV774" s="127"/>
      <c r="AW774" s="126"/>
      <c r="AX774" s="126"/>
      <c r="AY774" s="127"/>
      <c r="AZ774" s="126"/>
      <c r="BA774" s="126"/>
      <c r="BB774" s="127"/>
      <c r="BC774" s="126"/>
      <c r="BD774" s="134"/>
      <c r="BE774" s="127"/>
      <c r="BF774" s="126"/>
      <c r="BG774" s="126"/>
      <c r="BH774" s="126"/>
      <c r="BI774" s="126"/>
      <c r="BJ774" s="126"/>
      <c r="BK774" s="126"/>
      <c r="BL774" s="126"/>
      <c r="BM774" s="126"/>
      <c r="BN774" s="126"/>
      <c r="BO774" s="126"/>
      <c r="BP774" s="126"/>
      <c r="BQ774" s="126"/>
      <c r="BR774" s="126"/>
      <c r="BS774" s="126"/>
      <c r="BT774" s="126"/>
      <c r="BU774" s="126"/>
      <c r="BV774" s="126"/>
      <c r="BW774" s="126"/>
      <c r="BX774" s="126"/>
    </row>
    <row r="775">
      <c r="A775" s="126"/>
      <c r="B775" s="126"/>
      <c r="C775" s="127"/>
      <c r="D775" s="126"/>
      <c r="E775" s="126"/>
      <c r="F775" s="127"/>
      <c r="G775" s="126"/>
      <c r="H775" s="127"/>
      <c r="I775" s="126"/>
      <c r="J775" s="126"/>
      <c r="K775" s="127"/>
      <c r="L775" s="126"/>
      <c r="M775" s="126"/>
      <c r="N775" s="127"/>
      <c r="O775" s="126"/>
      <c r="P775" s="126"/>
      <c r="Q775" s="127"/>
      <c r="R775" s="126"/>
      <c r="S775" s="126"/>
      <c r="T775" s="127"/>
      <c r="U775" s="126"/>
      <c r="V775" s="126"/>
      <c r="W775" s="127"/>
      <c r="X775" s="126"/>
      <c r="Y775" s="126"/>
      <c r="Z775" s="127"/>
      <c r="AA775" s="126"/>
      <c r="AB775" s="126"/>
      <c r="AC775" s="127"/>
      <c r="AD775" s="126"/>
      <c r="AE775" s="126"/>
      <c r="AF775" s="126"/>
      <c r="AG775" s="127"/>
      <c r="AH775" s="126"/>
      <c r="AI775" s="126"/>
      <c r="AJ775" s="127"/>
      <c r="AK775" s="126"/>
      <c r="AL775" s="126"/>
      <c r="AM775" s="127"/>
      <c r="AN775" s="126"/>
      <c r="AO775" s="126"/>
      <c r="AP775" s="127"/>
      <c r="AQ775" s="126"/>
      <c r="AR775" s="126"/>
      <c r="AS775" s="127"/>
      <c r="AT775" s="126"/>
      <c r="AU775" s="126"/>
      <c r="AV775" s="127"/>
      <c r="AW775" s="126"/>
      <c r="AX775" s="126"/>
      <c r="AY775" s="127"/>
      <c r="AZ775" s="126"/>
      <c r="BA775" s="126"/>
      <c r="BB775" s="127"/>
      <c r="BC775" s="126"/>
      <c r="BD775" s="134"/>
      <c r="BE775" s="127"/>
      <c r="BF775" s="126"/>
      <c r="BG775" s="126"/>
      <c r="BH775" s="126"/>
      <c r="BI775" s="126"/>
      <c r="BJ775" s="126"/>
      <c r="BK775" s="126"/>
      <c r="BL775" s="126"/>
      <c r="BM775" s="126"/>
      <c r="BN775" s="126"/>
      <c r="BO775" s="126"/>
      <c r="BP775" s="126"/>
      <c r="BQ775" s="126"/>
      <c r="BR775" s="126"/>
      <c r="BS775" s="126"/>
      <c r="BT775" s="126"/>
      <c r="BU775" s="126"/>
      <c r="BV775" s="126"/>
      <c r="BW775" s="126"/>
      <c r="BX775" s="126"/>
    </row>
    <row r="776">
      <c r="A776" s="126"/>
      <c r="B776" s="126"/>
      <c r="C776" s="127"/>
      <c r="D776" s="126"/>
      <c r="E776" s="126"/>
      <c r="F776" s="127"/>
      <c r="G776" s="126"/>
      <c r="H776" s="127"/>
      <c r="I776" s="126"/>
      <c r="J776" s="126"/>
      <c r="K776" s="127"/>
      <c r="L776" s="126"/>
      <c r="M776" s="126"/>
      <c r="N776" s="127"/>
      <c r="O776" s="126"/>
      <c r="P776" s="126"/>
      <c r="Q776" s="127"/>
      <c r="R776" s="126"/>
      <c r="S776" s="126"/>
      <c r="T776" s="127"/>
      <c r="U776" s="126"/>
      <c r="V776" s="126"/>
      <c r="W776" s="127"/>
      <c r="X776" s="126"/>
      <c r="Y776" s="126"/>
      <c r="Z776" s="127"/>
      <c r="AA776" s="126"/>
      <c r="AB776" s="126"/>
      <c r="AC776" s="127"/>
      <c r="AD776" s="126"/>
      <c r="AE776" s="126"/>
      <c r="AF776" s="126"/>
      <c r="AG776" s="127"/>
      <c r="AH776" s="126"/>
      <c r="AI776" s="126"/>
      <c r="AJ776" s="127"/>
      <c r="AK776" s="126"/>
      <c r="AL776" s="126"/>
      <c r="AM776" s="127"/>
      <c r="AN776" s="126"/>
      <c r="AO776" s="126"/>
      <c r="AP776" s="127"/>
      <c r="AQ776" s="126"/>
      <c r="AR776" s="126"/>
      <c r="AS776" s="127"/>
      <c r="AT776" s="126"/>
      <c r="AU776" s="126"/>
      <c r="AV776" s="127"/>
      <c r="AW776" s="126"/>
      <c r="AX776" s="126"/>
      <c r="AY776" s="127"/>
      <c r="AZ776" s="126"/>
      <c r="BA776" s="126"/>
      <c r="BB776" s="127"/>
      <c r="BC776" s="126"/>
      <c r="BD776" s="134"/>
      <c r="BE776" s="127"/>
      <c r="BF776" s="126"/>
      <c r="BG776" s="126"/>
      <c r="BH776" s="126"/>
      <c r="BI776" s="126"/>
      <c r="BJ776" s="126"/>
      <c r="BK776" s="126"/>
      <c r="BL776" s="126"/>
      <c r="BM776" s="126"/>
      <c r="BN776" s="126"/>
      <c r="BO776" s="126"/>
      <c r="BP776" s="126"/>
      <c r="BQ776" s="126"/>
      <c r="BR776" s="126"/>
      <c r="BS776" s="126"/>
      <c r="BT776" s="126"/>
      <c r="BU776" s="126"/>
      <c r="BV776" s="126"/>
      <c r="BW776" s="126"/>
      <c r="BX776" s="126"/>
    </row>
    <row r="777">
      <c r="A777" s="126"/>
      <c r="B777" s="126"/>
      <c r="C777" s="127"/>
      <c r="D777" s="126"/>
      <c r="E777" s="126"/>
      <c r="F777" s="127"/>
      <c r="G777" s="126"/>
      <c r="H777" s="127"/>
      <c r="I777" s="126"/>
      <c r="J777" s="126"/>
      <c r="K777" s="127"/>
      <c r="L777" s="126"/>
      <c r="M777" s="126"/>
      <c r="N777" s="127"/>
      <c r="O777" s="126"/>
      <c r="P777" s="126"/>
      <c r="Q777" s="127"/>
      <c r="R777" s="126"/>
      <c r="S777" s="126"/>
      <c r="T777" s="127"/>
      <c r="U777" s="126"/>
      <c r="V777" s="126"/>
      <c r="W777" s="127"/>
      <c r="X777" s="126"/>
      <c r="Y777" s="126"/>
      <c r="Z777" s="127"/>
      <c r="AA777" s="126"/>
      <c r="AB777" s="126"/>
      <c r="AC777" s="127"/>
      <c r="AD777" s="126"/>
      <c r="AE777" s="126"/>
      <c r="AF777" s="126"/>
      <c r="AG777" s="127"/>
      <c r="AH777" s="126"/>
      <c r="AI777" s="126"/>
      <c r="AJ777" s="127"/>
      <c r="AK777" s="126"/>
      <c r="AL777" s="126"/>
      <c r="AM777" s="127"/>
      <c r="AN777" s="126"/>
      <c r="AO777" s="126"/>
      <c r="AP777" s="127"/>
      <c r="AQ777" s="126"/>
      <c r="AR777" s="126"/>
      <c r="AS777" s="127"/>
      <c r="AT777" s="126"/>
      <c r="AU777" s="126"/>
      <c r="AV777" s="127"/>
      <c r="AW777" s="126"/>
      <c r="AX777" s="126"/>
      <c r="AY777" s="127"/>
      <c r="AZ777" s="126"/>
      <c r="BA777" s="126"/>
      <c r="BB777" s="127"/>
      <c r="BC777" s="126"/>
      <c r="BD777" s="134"/>
      <c r="BE777" s="127"/>
      <c r="BF777" s="126"/>
      <c r="BG777" s="126"/>
      <c r="BH777" s="126"/>
      <c r="BI777" s="126"/>
      <c r="BJ777" s="126"/>
      <c r="BK777" s="126"/>
      <c r="BL777" s="126"/>
      <c r="BM777" s="126"/>
      <c r="BN777" s="126"/>
      <c r="BO777" s="126"/>
      <c r="BP777" s="126"/>
      <c r="BQ777" s="126"/>
      <c r="BR777" s="126"/>
      <c r="BS777" s="126"/>
      <c r="BT777" s="126"/>
      <c r="BU777" s="126"/>
      <c r="BV777" s="126"/>
      <c r="BW777" s="126"/>
      <c r="BX777" s="126"/>
    </row>
    <row r="778">
      <c r="A778" s="126"/>
      <c r="B778" s="126"/>
      <c r="C778" s="127"/>
      <c r="D778" s="126"/>
      <c r="E778" s="126"/>
      <c r="F778" s="127"/>
      <c r="G778" s="126"/>
      <c r="H778" s="127"/>
      <c r="I778" s="126"/>
      <c r="J778" s="126"/>
      <c r="K778" s="127"/>
      <c r="L778" s="126"/>
      <c r="M778" s="126"/>
      <c r="N778" s="127"/>
      <c r="O778" s="126"/>
      <c r="P778" s="126"/>
      <c r="Q778" s="127"/>
      <c r="R778" s="126"/>
      <c r="S778" s="126"/>
      <c r="T778" s="127"/>
      <c r="U778" s="126"/>
      <c r="V778" s="126"/>
      <c r="W778" s="127"/>
      <c r="X778" s="126"/>
      <c r="Y778" s="126"/>
      <c r="Z778" s="127"/>
      <c r="AA778" s="126"/>
      <c r="AB778" s="126"/>
      <c r="AC778" s="127"/>
      <c r="AD778" s="126"/>
      <c r="AE778" s="126"/>
      <c r="AF778" s="126"/>
      <c r="AG778" s="127"/>
      <c r="AH778" s="126"/>
      <c r="AI778" s="126"/>
      <c r="AJ778" s="127"/>
      <c r="AK778" s="126"/>
      <c r="AL778" s="126"/>
      <c r="AM778" s="127"/>
      <c r="AN778" s="126"/>
      <c r="AO778" s="126"/>
      <c r="AP778" s="127"/>
      <c r="AQ778" s="126"/>
      <c r="AR778" s="126"/>
      <c r="AS778" s="127"/>
      <c r="AT778" s="126"/>
      <c r="AU778" s="126"/>
      <c r="AV778" s="127"/>
      <c r="AW778" s="126"/>
      <c r="AX778" s="126"/>
      <c r="AY778" s="127"/>
      <c r="AZ778" s="126"/>
      <c r="BA778" s="126"/>
      <c r="BB778" s="127"/>
      <c r="BC778" s="126"/>
      <c r="BD778" s="134"/>
      <c r="BE778" s="127"/>
      <c r="BF778" s="126"/>
      <c r="BG778" s="126"/>
      <c r="BH778" s="126"/>
      <c r="BI778" s="126"/>
      <c r="BJ778" s="126"/>
      <c r="BK778" s="126"/>
      <c r="BL778" s="126"/>
      <c r="BM778" s="126"/>
      <c r="BN778" s="126"/>
      <c r="BO778" s="126"/>
      <c r="BP778" s="126"/>
      <c r="BQ778" s="126"/>
      <c r="BR778" s="126"/>
      <c r="BS778" s="126"/>
      <c r="BT778" s="126"/>
      <c r="BU778" s="126"/>
      <c r="BV778" s="126"/>
      <c r="BW778" s="126"/>
      <c r="BX778" s="126"/>
    </row>
    <row r="779">
      <c r="A779" s="126"/>
      <c r="B779" s="126"/>
      <c r="C779" s="127"/>
      <c r="D779" s="126"/>
      <c r="E779" s="126"/>
      <c r="F779" s="127"/>
      <c r="G779" s="126"/>
      <c r="H779" s="127"/>
      <c r="I779" s="126"/>
      <c r="J779" s="126"/>
      <c r="K779" s="127"/>
      <c r="L779" s="126"/>
      <c r="M779" s="126"/>
      <c r="N779" s="127"/>
      <c r="O779" s="126"/>
      <c r="P779" s="126"/>
      <c r="Q779" s="127"/>
      <c r="R779" s="126"/>
      <c r="S779" s="126"/>
      <c r="T779" s="127"/>
      <c r="U779" s="126"/>
      <c r="V779" s="126"/>
      <c r="W779" s="127"/>
      <c r="X779" s="126"/>
      <c r="Y779" s="126"/>
      <c r="Z779" s="127"/>
      <c r="AA779" s="126"/>
      <c r="AB779" s="126"/>
      <c r="AC779" s="127"/>
      <c r="AD779" s="126"/>
      <c r="AE779" s="126"/>
      <c r="AF779" s="126"/>
      <c r="AG779" s="127"/>
      <c r="AH779" s="126"/>
      <c r="AI779" s="126"/>
      <c r="AJ779" s="127"/>
      <c r="AK779" s="126"/>
      <c r="AL779" s="126"/>
      <c r="AM779" s="127"/>
      <c r="AN779" s="126"/>
      <c r="AO779" s="126"/>
      <c r="AP779" s="127"/>
      <c r="AQ779" s="126"/>
      <c r="AR779" s="126"/>
      <c r="AS779" s="127"/>
      <c r="AT779" s="126"/>
      <c r="AU779" s="126"/>
      <c r="AV779" s="127"/>
      <c r="AW779" s="126"/>
      <c r="AX779" s="126"/>
      <c r="AY779" s="127"/>
      <c r="AZ779" s="126"/>
      <c r="BA779" s="126"/>
      <c r="BB779" s="127"/>
      <c r="BC779" s="126"/>
      <c r="BD779" s="134"/>
      <c r="BE779" s="127"/>
      <c r="BF779" s="126"/>
      <c r="BG779" s="126"/>
      <c r="BH779" s="126"/>
      <c r="BI779" s="126"/>
      <c r="BJ779" s="126"/>
      <c r="BK779" s="126"/>
      <c r="BL779" s="126"/>
      <c r="BM779" s="126"/>
      <c r="BN779" s="126"/>
      <c r="BO779" s="126"/>
      <c r="BP779" s="126"/>
      <c r="BQ779" s="126"/>
      <c r="BR779" s="126"/>
      <c r="BS779" s="126"/>
      <c r="BT779" s="126"/>
      <c r="BU779" s="126"/>
      <c r="BV779" s="126"/>
      <c r="BW779" s="126"/>
      <c r="BX779" s="126"/>
    </row>
    <row r="780">
      <c r="A780" s="126"/>
      <c r="B780" s="126"/>
      <c r="C780" s="127"/>
      <c r="D780" s="126"/>
      <c r="E780" s="126"/>
      <c r="F780" s="127"/>
      <c r="G780" s="126"/>
      <c r="H780" s="127"/>
      <c r="I780" s="126"/>
      <c r="J780" s="126"/>
      <c r="K780" s="127"/>
      <c r="L780" s="126"/>
      <c r="M780" s="126"/>
      <c r="N780" s="127"/>
      <c r="O780" s="126"/>
      <c r="P780" s="126"/>
      <c r="Q780" s="127"/>
      <c r="R780" s="126"/>
      <c r="S780" s="126"/>
      <c r="T780" s="127"/>
      <c r="U780" s="126"/>
      <c r="V780" s="126"/>
      <c r="W780" s="127"/>
      <c r="X780" s="126"/>
      <c r="Y780" s="126"/>
      <c r="Z780" s="127"/>
      <c r="AA780" s="126"/>
      <c r="AB780" s="126"/>
      <c r="AC780" s="127"/>
      <c r="AD780" s="126"/>
      <c r="AE780" s="126"/>
      <c r="AF780" s="126"/>
      <c r="AG780" s="127"/>
      <c r="AH780" s="126"/>
      <c r="AI780" s="126"/>
      <c r="AJ780" s="127"/>
      <c r="AK780" s="126"/>
      <c r="AL780" s="126"/>
      <c r="AM780" s="127"/>
      <c r="AN780" s="126"/>
      <c r="AO780" s="126"/>
      <c r="AP780" s="127"/>
      <c r="AQ780" s="126"/>
      <c r="AR780" s="126"/>
      <c r="AS780" s="127"/>
      <c r="AT780" s="126"/>
      <c r="AU780" s="126"/>
      <c r="AV780" s="127"/>
      <c r="AW780" s="126"/>
      <c r="AX780" s="126"/>
      <c r="AY780" s="127"/>
      <c r="AZ780" s="126"/>
      <c r="BA780" s="126"/>
      <c r="BB780" s="127"/>
      <c r="BC780" s="126"/>
      <c r="BD780" s="134"/>
      <c r="BE780" s="127"/>
      <c r="BF780" s="126"/>
      <c r="BG780" s="126"/>
      <c r="BH780" s="126"/>
      <c r="BI780" s="126"/>
      <c r="BJ780" s="126"/>
      <c r="BK780" s="126"/>
      <c r="BL780" s="126"/>
      <c r="BM780" s="126"/>
      <c r="BN780" s="126"/>
      <c r="BO780" s="126"/>
      <c r="BP780" s="126"/>
      <c r="BQ780" s="126"/>
      <c r="BR780" s="126"/>
      <c r="BS780" s="126"/>
      <c r="BT780" s="126"/>
      <c r="BU780" s="126"/>
      <c r="BV780" s="126"/>
      <c r="BW780" s="126"/>
      <c r="BX780" s="126"/>
    </row>
    <row r="781">
      <c r="A781" s="126"/>
      <c r="B781" s="126"/>
      <c r="C781" s="127"/>
      <c r="D781" s="126"/>
      <c r="E781" s="126"/>
      <c r="F781" s="127"/>
      <c r="G781" s="126"/>
      <c r="H781" s="127"/>
      <c r="I781" s="126"/>
      <c r="J781" s="126"/>
      <c r="K781" s="127"/>
      <c r="L781" s="126"/>
      <c r="M781" s="126"/>
      <c r="N781" s="127"/>
      <c r="O781" s="126"/>
      <c r="P781" s="126"/>
      <c r="Q781" s="127"/>
      <c r="R781" s="126"/>
      <c r="S781" s="126"/>
      <c r="T781" s="127"/>
      <c r="U781" s="126"/>
      <c r="V781" s="126"/>
      <c r="W781" s="127"/>
      <c r="X781" s="126"/>
      <c r="Y781" s="126"/>
      <c r="Z781" s="127"/>
      <c r="AA781" s="126"/>
      <c r="AB781" s="126"/>
      <c r="AC781" s="127"/>
      <c r="AD781" s="126"/>
      <c r="AE781" s="126"/>
      <c r="AF781" s="126"/>
      <c r="AG781" s="127"/>
      <c r="AH781" s="126"/>
      <c r="AI781" s="126"/>
      <c r="AJ781" s="127"/>
      <c r="AK781" s="126"/>
      <c r="AL781" s="126"/>
      <c r="AM781" s="127"/>
      <c r="AN781" s="126"/>
      <c r="AO781" s="126"/>
      <c r="AP781" s="127"/>
      <c r="AQ781" s="126"/>
      <c r="AR781" s="126"/>
      <c r="AS781" s="127"/>
      <c r="AT781" s="126"/>
      <c r="AU781" s="126"/>
      <c r="AV781" s="127"/>
      <c r="AW781" s="126"/>
      <c r="AX781" s="126"/>
      <c r="AY781" s="127"/>
      <c r="AZ781" s="126"/>
      <c r="BA781" s="126"/>
      <c r="BB781" s="127"/>
      <c r="BC781" s="126"/>
      <c r="BD781" s="134"/>
      <c r="BE781" s="127"/>
      <c r="BF781" s="126"/>
      <c r="BG781" s="126"/>
      <c r="BH781" s="126"/>
      <c r="BI781" s="126"/>
      <c r="BJ781" s="126"/>
      <c r="BK781" s="126"/>
      <c r="BL781" s="126"/>
      <c r="BM781" s="126"/>
      <c r="BN781" s="126"/>
      <c r="BO781" s="126"/>
      <c r="BP781" s="126"/>
      <c r="BQ781" s="126"/>
      <c r="BR781" s="126"/>
      <c r="BS781" s="126"/>
      <c r="BT781" s="126"/>
      <c r="BU781" s="126"/>
      <c r="BV781" s="126"/>
      <c r="BW781" s="126"/>
      <c r="BX781" s="126"/>
    </row>
    <row r="782">
      <c r="A782" s="126"/>
      <c r="B782" s="126"/>
      <c r="C782" s="127"/>
      <c r="D782" s="126"/>
      <c r="E782" s="126"/>
      <c r="F782" s="127"/>
      <c r="G782" s="126"/>
      <c r="H782" s="127"/>
      <c r="I782" s="126"/>
      <c r="J782" s="126"/>
      <c r="K782" s="127"/>
      <c r="L782" s="126"/>
      <c r="M782" s="126"/>
      <c r="N782" s="127"/>
      <c r="O782" s="126"/>
      <c r="P782" s="126"/>
      <c r="Q782" s="127"/>
      <c r="R782" s="126"/>
      <c r="S782" s="126"/>
      <c r="T782" s="127"/>
      <c r="U782" s="126"/>
      <c r="V782" s="126"/>
      <c r="W782" s="127"/>
      <c r="X782" s="126"/>
      <c r="Y782" s="126"/>
      <c r="Z782" s="127"/>
      <c r="AA782" s="126"/>
      <c r="AB782" s="126"/>
      <c r="AC782" s="127"/>
      <c r="AD782" s="126"/>
      <c r="AE782" s="126"/>
      <c r="AF782" s="126"/>
      <c r="AG782" s="127"/>
      <c r="AH782" s="126"/>
      <c r="AI782" s="126"/>
      <c r="AJ782" s="127"/>
      <c r="AK782" s="126"/>
      <c r="AL782" s="126"/>
      <c r="AM782" s="127"/>
      <c r="AN782" s="126"/>
      <c r="AO782" s="126"/>
      <c r="AP782" s="127"/>
      <c r="AQ782" s="126"/>
      <c r="AR782" s="126"/>
      <c r="AS782" s="127"/>
      <c r="AT782" s="126"/>
      <c r="AU782" s="126"/>
      <c r="AV782" s="127"/>
      <c r="AW782" s="126"/>
      <c r="AX782" s="126"/>
      <c r="AY782" s="127"/>
      <c r="AZ782" s="126"/>
      <c r="BA782" s="126"/>
      <c r="BB782" s="127"/>
      <c r="BC782" s="126"/>
      <c r="BD782" s="134"/>
      <c r="BE782" s="127"/>
      <c r="BF782" s="126"/>
      <c r="BG782" s="126"/>
      <c r="BH782" s="126"/>
      <c r="BI782" s="126"/>
      <c r="BJ782" s="126"/>
      <c r="BK782" s="126"/>
      <c r="BL782" s="126"/>
      <c r="BM782" s="126"/>
      <c r="BN782" s="126"/>
      <c r="BO782" s="126"/>
      <c r="BP782" s="126"/>
      <c r="BQ782" s="126"/>
      <c r="BR782" s="126"/>
      <c r="BS782" s="126"/>
      <c r="BT782" s="126"/>
      <c r="BU782" s="126"/>
      <c r="BV782" s="126"/>
      <c r="BW782" s="126"/>
      <c r="BX782" s="126"/>
    </row>
    <row r="783">
      <c r="A783" s="126"/>
      <c r="B783" s="126"/>
      <c r="C783" s="127"/>
      <c r="D783" s="126"/>
      <c r="E783" s="126"/>
      <c r="F783" s="127"/>
      <c r="G783" s="126"/>
      <c r="H783" s="127"/>
      <c r="I783" s="126"/>
      <c r="J783" s="126"/>
      <c r="K783" s="127"/>
      <c r="L783" s="126"/>
      <c r="M783" s="126"/>
      <c r="N783" s="127"/>
      <c r="O783" s="126"/>
      <c r="P783" s="126"/>
      <c r="Q783" s="127"/>
      <c r="R783" s="126"/>
      <c r="S783" s="126"/>
      <c r="T783" s="127"/>
      <c r="U783" s="126"/>
      <c r="V783" s="126"/>
      <c r="W783" s="127"/>
      <c r="X783" s="126"/>
      <c r="Y783" s="126"/>
      <c r="Z783" s="127"/>
      <c r="AA783" s="126"/>
      <c r="AB783" s="126"/>
      <c r="AC783" s="127"/>
      <c r="AD783" s="126"/>
      <c r="AE783" s="126"/>
      <c r="AF783" s="126"/>
      <c r="AG783" s="127"/>
      <c r="AH783" s="126"/>
      <c r="AI783" s="126"/>
      <c r="AJ783" s="127"/>
      <c r="AK783" s="126"/>
      <c r="AL783" s="126"/>
      <c r="AM783" s="127"/>
      <c r="AN783" s="126"/>
      <c r="AO783" s="126"/>
      <c r="AP783" s="127"/>
      <c r="AQ783" s="126"/>
      <c r="AR783" s="126"/>
      <c r="AS783" s="127"/>
      <c r="AT783" s="126"/>
      <c r="AU783" s="126"/>
      <c r="AV783" s="127"/>
      <c r="AW783" s="126"/>
      <c r="AX783" s="126"/>
      <c r="AY783" s="127"/>
      <c r="AZ783" s="126"/>
      <c r="BA783" s="126"/>
      <c r="BB783" s="127"/>
      <c r="BC783" s="126"/>
      <c r="BD783" s="134"/>
      <c r="BE783" s="127"/>
      <c r="BF783" s="126"/>
      <c r="BG783" s="126"/>
      <c r="BH783" s="126"/>
      <c r="BI783" s="126"/>
      <c r="BJ783" s="126"/>
      <c r="BK783" s="126"/>
      <c r="BL783" s="126"/>
      <c r="BM783" s="126"/>
      <c r="BN783" s="126"/>
      <c r="BO783" s="126"/>
      <c r="BP783" s="126"/>
      <c r="BQ783" s="126"/>
      <c r="BR783" s="126"/>
      <c r="BS783" s="126"/>
      <c r="BT783" s="126"/>
      <c r="BU783" s="126"/>
      <c r="BV783" s="126"/>
      <c r="BW783" s="126"/>
      <c r="BX783" s="126"/>
    </row>
    <row r="784">
      <c r="A784" s="126"/>
      <c r="B784" s="126"/>
      <c r="C784" s="127"/>
      <c r="D784" s="126"/>
      <c r="E784" s="126"/>
      <c r="F784" s="127"/>
      <c r="G784" s="126"/>
      <c r="H784" s="127"/>
      <c r="I784" s="126"/>
      <c r="J784" s="126"/>
      <c r="K784" s="127"/>
      <c r="L784" s="126"/>
      <c r="M784" s="126"/>
      <c r="N784" s="127"/>
      <c r="O784" s="126"/>
      <c r="P784" s="126"/>
      <c r="Q784" s="127"/>
      <c r="R784" s="126"/>
      <c r="S784" s="126"/>
      <c r="T784" s="127"/>
      <c r="U784" s="126"/>
      <c r="V784" s="126"/>
      <c r="W784" s="127"/>
      <c r="X784" s="126"/>
      <c r="Y784" s="126"/>
      <c r="Z784" s="127"/>
      <c r="AA784" s="126"/>
      <c r="AB784" s="126"/>
      <c r="AC784" s="127"/>
      <c r="AD784" s="126"/>
      <c r="AE784" s="126"/>
      <c r="AF784" s="126"/>
      <c r="AG784" s="127"/>
      <c r="AH784" s="126"/>
      <c r="AI784" s="126"/>
      <c r="AJ784" s="127"/>
      <c r="AK784" s="126"/>
      <c r="AL784" s="126"/>
      <c r="AM784" s="127"/>
      <c r="AN784" s="126"/>
      <c r="AO784" s="126"/>
      <c r="AP784" s="127"/>
      <c r="AQ784" s="126"/>
      <c r="AR784" s="126"/>
      <c r="AS784" s="127"/>
      <c r="AT784" s="126"/>
      <c r="AU784" s="126"/>
      <c r="AV784" s="127"/>
      <c r="AW784" s="126"/>
      <c r="AX784" s="126"/>
      <c r="AY784" s="127"/>
      <c r="AZ784" s="126"/>
      <c r="BA784" s="126"/>
      <c r="BB784" s="127"/>
      <c r="BC784" s="126"/>
      <c r="BD784" s="134"/>
      <c r="BE784" s="127"/>
      <c r="BF784" s="126"/>
      <c r="BG784" s="126"/>
      <c r="BH784" s="126"/>
      <c r="BI784" s="126"/>
      <c r="BJ784" s="126"/>
      <c r="BK784" s="126"/>
      <c r="BL784" s="126"/>
      <c r="BM784" s="126"/>
      <c r="BN784" s="126"/>
      <c r="BO784" s="126"/>
      <c r="BP784" s="126"/>
      <c r="BQ784" s="126"/>
      <c r="BR784" s="126"/>
      <c r="BS784" s="126"/>
      <c r="BT784" s="126"/>
      <c r="BU784" s="126"/>
      <c r="BV784" s="126"/>
      <c r="BW784" s="126"/>
      <c r="BX784" s="126"/>
    </row>
    <row r="785">
      <c r="A785" s="126"/>
      <c r="B785" s="126"/>
      <c r="C785" s="127"/>
      <c r="D785" s="126"/>
      <c r="E785" s="126"/>
      <c r="F785" s="127"/>
      <c r="G785" s="126"/>
      <c r="H785" s="127"/>
      <c r="I785" s="126"/>
      <c r="J785" s="126"/>
      <c r="K785" s="127"/>
      <c r="L785" s="126"/>
      <c r="M785" s="126"/>
      <c r="N785" s="127"/>
      <c r="O785" s="126"/>
      <c r="P785" s="126"/>
      <c r="Q785" s="127"/>
      <c r="R785" s="126"/>
      <c r="S785" s="126"/>
      <c r="T785" s="127"/>
      <c r="U785" s="126"/>
      <c r="V785" s="126"/>
      <c r="W785" s="127"/>
      <c r="X785" s="126"/>
      <c r="Y785" s="126"/>
      <c r="Z785" s="127"/>
      <c r="AA785" s="126"/>
      <c r="AB785" s="126"/>
      <c r="AC785" s="127"/>
      <c r="AD785" s="126"/>
      <c r="AE785" s="126"/>
      <c r="AF785" s="126"/>
      <c r="AG785" s="127"/>
      <c r="AH785" s="126"/>
      <c r="AI785" s="126"/>
      <c r="AJ785" s="127"/>
      <c r="AK785" s="126"/>
      <c r="AL785" s="126"/>
      <c r="AM785" s="127"/>
      <c r="AN785" s="126"/>
      <c r="AO785" s="126"/>
      <c r="AP785" s="127"/>
      <c r="AQ785" s="126"/>
      <c r="AR785" s="126"/>
      <c r="AS785" s="127"/>
      <c r="AT785" s="126"/>
      <c r="AU785" s="126"/>
      <c r="AV785" s="127"/>
      <c r="AW785" s="126"/>
      <c r="AX785" s="126"/>
      <c r="AY785" s="127"/>
      <c r="AZ785" s="126"/>
      <c r="BA785" s="126"/>
      <c r="BB785" s="127"/>
      <c r="BC785" s="126"/>
      <c r="BD785" s="134"/>
      <c r="BE785" s="127"/>
      <c r="BF785" s="126"/>
      <c r="BG785" s="126"/>
      <c r="BH785" s="126"/>
      <c r="BI785" s="126"/>
      <c r="BJ785" s="126"/>
      <c r="BK785" s="126"/>
      <c r="BL785" s="126"/>
      <c r="BM785" s="126"/>
      <c r="BN785" s="126"/>
      <c r="BO785" s="126"/>
      <c r="BP785" s="126"/>
      <c r="BQ785" s="126"/>
      <c r="BR785" s="126"/>
      <c r="BS785" s="126"/>
      <c r="BT785" s="126"/>
      <c r="BU785" s="126"/>
      <c r="BV785" s="126"/>
      <c r="BW785" s="126"/>
      <c r="BX785" s="126"/>
    </row>
    <row r="786">
      <c r="A786" s="126"/>
      <c r="B786" s="126"/>
      <c r="C786" s="127"/>
      <c r="D786" s="126"/>
      <c r="E786" s="126"/>
      <c r="F786" s="127"/>
      <c r="G786" s="126"/>
      <c r="H786" s="127"/>
      <c r="I786" s="126"/>
      <c r="J786" s="126"/>
      <c r="K786" s="127"/>
      <c r="L786" s="126"/>
      <c r="M786" s="126"/>
      <c r="N786" s="127"/>
      <c r="O786" s="126"/>
      <c r="P786" s="126"/>
      <c r="Q786" s="127"/>
      <c r="R786" s="126"/>
      <c r="S786" s="126"/>
      <c r="T786" s="127"/>
      <c r="U786" s="126"/>
      <c r="V786" s="126"/>
      <c r="W786" s="127"/>
      <c r="X786" s="126"/>
      <c r="Y786" s="126"/>
      <c r="Z786" s="127"/>
      <c r="AA786" s="126"/>
      <c r="AB786" s="126"/>
      <c r="AC786" s="127"/>
      <c r="AD786" s="126"/>
      <c r="AE786" s="126"/>
      <c r="AF786" s="126"/>
      <c r="AG786" s="127"/>
      <c r="AH786" s="126"/>
      <c r="AI786" s="126"/>
      <c r="AJ786" s="127"/>
      <c r="AK786" s="126"/>
      <c r="AL786" s="126"/>
      <c r="AM786" s="127"/>
      <c r="AN786" s="126"/>
      <c r="AO786" s="126"/>
      <c r="AP786" s="127"/>
      <c r="AQ786" s="126"/>
      <c r="AR786" s="126"/>
      <c r="AS786" s="127"/>
      <c r="AT786" s="126"/>
      <c r="AU786" s="126"/>
      <c r="AV786" s="127"/>
      <c r="AW786" s="126"/>
      <c r="AX786" s="126"/>
      <c r="AY786" s="127"/>
      <c r="AZ786" s="126"/>
      <c r="BA786" s="126"/>
      <c r="BB786" s="127"/>
      <c r="BC786" s="126"/>
      <c r="BD786" s="134"/>
      <c r="BE786" s="127"/>
      <c r="BF786" s="126"/>
      <c r="BG786" s="126"/>
      <c r="BH786" s="126"/>
      <c r="BI786" s="126"/>
      <c r="BJ786" s="126"/>
      <c r="BK786" s="126"/>
      <c r="BL786" s="126"/>
      <c r="BM786" s="126"/>
      <c r="BN786" s="126"/>
      <c r="BO786" s="126"/>
      <c r="BP786" s="126"/>
      <c r="BQ786" s="126"/>
      <c r="BR786" s="126"/>
      <c r="BS786" s="126"/>
      <c r="BT786" s="126"/>
      <c r="BU786" s="126"/>
      <c r="BV786" s="126"/>
      <c r="BW786" s="126"/>
      <c r="BX786" s="126"/>
    </row>
    <row r="787">
      <c r="A787" s="126"/>
      <c r="B787" s="126"/>
      <c r="C787" s="127"/>
      <c r="D787" s="126"/>
      <c r="E787" s="126"/>
      <c r="F787" s="127"/>
      <c r="G787" s="126"/>
      <c r="H787" s="127"/>
      <c r="I787" s="126"/>
      <c r="J787" s="126"/>
      <c r="K787" s="127"/>
      <c r="L787" s="126"/>
      <c r="M787" s="126"/>
      <c r="N787" s="127"/>
      <c r="O787" s="126"/>
      <c r="P787" s="126"/>
      <c r="Q787" s="127"/>
      <c r="R787" s="126"/>
      <c r="S787" s="126"/>
      <c r="T787" s="127"/>
      <c r="U787" s="126"/>
      <c r="V787" s="126"/>
      <c r="W787" s="127"/>
      <c r="X787" s="126"/>
      <c r="Y787" s="126"/>
      <c r="Z787" s="127"/>
      <c r="AA787" s="126"/>
      <c r="AB787" s="126"/>
      <c r="AC787" s="127"/>
      <c r="AD787" s="126"/>
      <c r="AE787" s="126"/>
      <c r="AF787" s="126"/>
      <c r="AG787" s="127"/>
      <c r="AH787" s="126"/>
      <c r="AI787" s="126"/>
      <c r="AJ787" s="127"/>
      <c r="AK787" s="126"/>
      <c r="AL787" s="126"/>
      <c r="AM787" s="127"/>
      <c r="AN787" s="126"/>
      <c r="AO787" s="126"/>
      <c r="AP787" s="127"/>
      <c r="AQ787" s="126"/>
      <c r="AR787" s="126"/>
      <c r="AS787" s="127"/>
      <c r="AT787" s="126"/>
      <c r="AU787" s="126"/>
      <c r="AV787" s="127"/>
      <c r="AW787" s="126"/>
      <c r="AX787" s="126"/>
      <c r="AY787" s="127"/>
      <c r="AZ787" s="126"/>
      <c r="BA787" s="126"/>
      <c r="BB787" s="127"/>
      <c r="BC787" s="126"/>
      <c r="BD787" s="134"/>
      <c r="BE787" s="127"/>
      <c r="BF787" s="126"/>
      <c r="BG787" s="126"/>
      <c r="BH787" s="126"/>
      <c r="BI787" s="126"/>
      <c r="BJ787" s="126"/>
      <c r="BK787" s="126"/>
      <c r="BL787" s="126"/>
      <c r="BM787" s="126"/>
      <c r="BN787" s="126"/>
      <c r="BO787" s="126"/>
      <c r="BP787" s="126"/>
      <c r="BQ787" s="126"/>
      <c r="BR787" s="126"/>
      <c r="BS787" s="126"/>
      <c r="BT787" s="126"/>
      <c r="BU787" s="126"/>
      <c r="BV787" s="126"/>
      <c r="BW787" s="126"/>
      <c r="BX787" s="126"/>
    </row>
    <row r="788">
      <c r="A788" s="126"/>
      <c r="B788" s="126"/>
      <c r="C788" s="127"/>
      <c r="D788" s="126"/>
      <c r="E788" s="126"/>
      <c r="F788" s="127"/>
      <c r="G788" s="126"/>
      <c r="H788" s="127"/>
      <c r="I788" s="126"/>
      <c r="J788" s="126"/>
      <c r="K788" s="127"/>
      <c r="L788" s="126"/>
      <c r="M788" s="126"/>
      <c r="N788" s="127"/>
      <c r="O788" s="126"/>
      <c r="P788" s="126"/>
      <c r="Q788" s="127"/>
      <c r="R788" s="126"/>
      <c r="S788" s="126"/>
      <c r="T788" s="127"/>
      <c r="U788" s="126"/>
      <c r="V788" s="126"/>
      <c r="W788" s="127"/>
      <c r="X788" s="126"/>
      <c r="Y788" s="126"/>
      <c r="Z788" s="127"/>
      <c r="AA788" s="126"/>
      <c r="AB788" s="126"/>
      <c r="AC788" s="127"/>
      <c r="AD788" s="126"/>
      <c r="AE788" s="126"/>
      <c r="AF788" s="126"/>
      <c r="AG788" s="127"/>
      <c r="AH788" s="126"/>
      <c r="AI788" s="126"/>
      <c r="AJ788" s="127"/>
      <c r="AK788" s="126"/>
      <c r="AL788" s="126"/>
      <c r="AM788" s="127"/>
      <c r="AN788" s="126"/>
      <c r="AO788" s="126"/>
      <c r="AP788" s="127"/>
      <c r="AQ788" s="126"/>
      <c r="AR788" s="126"/>
      <c r="AS788" s="127"/>
      <c r="AT788" s="126"/>
      <c r="AU788" s="126"/>
      <c r="AV788" s="127"/>
      <c r="AW788" s="126"/>
      <c r="AX788" s="126"/>
      <c r="AY788" s="127"/>
      <c r="AZ788" s="126"/>
      <c r="BA788" s="126"/>
      <c r="BB788" s="127"/>
      <c r="BC788" s="126"/>
      <c r="BD788" s="134"/>
      <c r="BE788" s="127"/>
      <c r="BF788" s="126"/>
      <c r="BG788" s="126"/>
      <c r="BH788" s="126"/>
      <c r="BI788" s="126"/>
      <c r="BJ788" s="126"/>
      <c r="BK788" s="126"/>
      <c r="BL788" s="126"/>
      <c r="BM788" s="126"/>
      <c r="BN788" s="126"/>
      <c r="BO788" s="126"/>
      <c r="BP788" s="126"/>
      <c r="BQ788" s="126"/>
      <c r="BR788" s="126"/>
      <c r="BS788" s="126"/>
      <c r="BT788" s="126"/>
      <c r="BU788" s="126"/>
      <c r="BV788" s="126"/>
      <c r="BW788" s="126"/>
      <c r="BX788" s="126"/>
    </row>
    <row r="789">
      <c r="A789" s="126"/>
      <c r="B789" s="126"/>
      <c r="C789" s="127"/>
      <c r="D789" s="126"/>
      <c r="E789" s="126"/>
      <c r="F789" s="127"/>
      <c r="G789" s="126"/>
      <c r="H789" s="127"/>
      <c r="I789" s="126"/>
      <c r="J789" s="126"/>
      <c r="K789" s="127"/>
      <c r="L789" s="126"/>
      <c r="M789" s="126"/>
      <c r="N789" s="127"/>
      <c r="O789" s="126"/>
      <c r="P789" s="126"/>
      <c r="Q789" s="127"/>
      <c r="R789" s="126"/>
      <c r="S789" s="126"/>
      <c r="T789" s="127"/>
      <c r="U789" s="126"/>
      <c r="V789" s="126"/>
      <c r="W789" s="127"/>
      <c r="X789" s="126"/>
      <c r="Y789" s="126"/>
      <c r="Z789" s="127"/>
      <c r="AA789" s="126"/>
      <c r="AB789" s="126"/>
      <c r="AC789" s="127"/>
      <c r="AD789" s="126"/>
      <c r="AE789" s="126"/>
      <c r="AF789" s="126"/>
      <c r="AG789" s="127"/>
      <c r="AH789" s="126"/>
      <c r="AI789" s="126"/>
      <c r="AJ789" s="127"/>
      <c r="AK789" s="126"/>
      <c r="AL789" s="126"/>
      <c r="AM789" s="127"/>
      <c r="AN789" s="126"/>
      <c r="AO789" s="126"/>
      <c r="AP789" s="127"/>
      <c r="AQ789" s="126"/>
      <c r="AR789" s="126"/>
      <c r="AS789" s="127"/>
      <c r="AT789" s="126"/>
      <c r="AU789" s="126"/>
      <c r="AV789" s="127"/>
      <c r="AW789" s="126"/>
      <c r="AX789" s="126"/>
      <c r="AY789" s="127"/>
      <c r="AZ789" s="126"/>
      <c r="BA789" s="126"/>
      <c r="BB789" s="127"/>
      <c r="BC789" s="126"/>
      <c r="BD789" s="134"/>
      <c r="BE789" s="127"/>
      <c r="BF789" s="126"/>
      <c r="BG789" s="126"/>
      <c r="BH789" s="126"/>
      <c r="BI789" s="126"/>
      <c r="BJ789" s="126"/>
      <c r="BK789" s="126"/>
      <c r="BL789" s="126"/>
      <c r="BM789" s="126"/>
      <c r="BN789" s="126"/>
      <c r="BO789" s="126"/>
      <c r="BP789" s="126"/>
      <c r="BQ789" s="126"/>
      <c r="BR789" s="126"/>
      <c r="BS789" s="126"/>
      <c r="BT789" s="126"/>
      <c r="BU789" s="126"/>
      <c r="BV789" s="126"/>
      <c r="BW789" s="126"/>
      <c r="BX789" s="126"/>
    </row>
    <row r="790">
      <c r="A790" s="126"/>
      <c r="B790" s="126"/>
      <c r="C790" s="127"/>
      <c r="D790" s="126"/>
      <c r="E790" s="126"/>
      <c r="F790" s="127"/>
      <c r="G790" s="126"/>
      <c r="H790" s="127"/>
      <c r="I790" s="126"/>
      <c r="J790" s="126"/>
      <c r="K790" s="127"/>
      <c r="L790" s="126"/>
      <c r="M790" s="126"/>
      <c r="N790" s="127"/>
      <c r="O790" s="126"/>
      <c r="P790" s="126"/>
      <c r="Q790" s="127"/>
      <c r="R790" s="126"/>
      <c r="S790" s="126"/>
      <c r="T790" s="127"/>
      <c r="U790" s="126"/>
      <c r="V790" s="126"/>
      <c r="W790" s="127"/>
      <c r="X790" s="126"/>
      <c r="Y790" s="126"/>
      <c r="Z790" s="127"/>
      <c r="AA790" s="126"/>
      <c r="AB790" s="126"/>
      <c r="AC790" s="127"/>
      <c r="AD790" s="126"/>
      <c r="AE790" s="126"/>
      <c r="AF790" s="126"/>
      <c r="AG790" s="127"/>
      <c r="AH790" s="126"/>
      <c r="AI790" s="126"/>
      <c r="AJ790" s="127"/>
      <c r="AK790" s="126"/>
      <c r="AL790" s="126"/>
      <c r="AM790" s="127"/>
      <c r="AN790" s="126"/>
      <c r="AO790" s="126"/>
      <c r="AP790" s="127"/>
      <c r="AQ790" s="126"/>
      <c r="AR790" s="126"/>
      <c r="AS790" s="127"/>
      <c r="AT790" s="126"/>
      <c r="AU790" s="126"/>
      <c r="AV790" s="127"/>
      <c r="AW790" s="126"/>
      <c r="AX790" s="126"/>
      <c r="AY790" s="127"/>
      <c r="AZ790" s="126"/>
      <c r="BA790" s="126"/>
      <c r="BB790" s="127"/>
      <c r="BC790" s="126"/>
      <c r="BD790" s="134"/>
      <c r="BE790" s="127"/>
      <c r="BF790" s="126"/>
      <c r="BG790" s="126"/>
      <c r="BH790" s="126"/>
      <c r="BI790" s="126"/>
      <c r="BJ790" s="126"/>
      <c r="BK790" s="126"/>
      <c r="BL790" s="126"/>
      <c r="BM790" s="126"/>
      <c r="BN790" s="126"/>
      <c r="BO790" s="126"/>
      <c r="BP790" s="126"/>
      <c r="BQ790" s="126"/>
      <c r="BR790" s="126"/>
      <c r="BS790" s="126"/>
      <c r="BT790" s="126"/>
      <c r="BU790" s="126"/>
      <c r="BV790" s="126"/>
      <c r="BW790" s="126"/>
      <c r="BX790" s="126"/>
    </row>
    <row r="791">
      <c r="A791" s="126"/>
      <c r="B791" s="126"/>
      <c r="C791" s="127"/>
      <c r="D791" s="126"/>
      <c r="E791" s="126"/>
      <c r="F791" s="127"/>
      <c r="G791" s="126"/>
      <c r="H791" s="127"/>
      <c r="I791" s="126"/>
      <c r="J791" s="126"/>
      <c r="K791" s="127"/>
      <c r="L791" s="126"/>
      <c r="M791" s="126"/>
      <c r="N791" s="127"/>
      <c r="O791" s="126"/>
      <c r="P791" s="126"/>
      <c r="Q791" s="127"/>
      <c r="R791" s="126"/>
      <c r="S791" s="126"/>
      <c r="T791" s="127"/>
      <c r="U791" s="126"/>
      <c r="V791" s="126"/>
      <c r="W791" s="127"/>
      <c r="X791" s="126"/>
      <c r="Y791" s="126"/>
      <c r="Z791" s="127"/>
      <c r="AA791" s="126"/>
      <c r="AB791" s="126"/>
      <c r="AC791" s="127"/>
      <c r="AD791" s="126"/>
      <c r="AE791" s="126"/>
      <c r="AF791" s="126"/>
      <c r="AG791" s="127"/>
      <c r="AH791" s="126"/>
      <c r="AI791" s="126"/>
      <c r="AJ791" s="127"/>
      <c r="AK791" s="126"/>
      <c r="AL791" s="126"/>
      <c r="AM791" s="127"/>
      <c r="AN791" s="126"/>
      <c r="AO791" s="126"/>
      <c r="AP791" s="127"/>
      <c r="AQ791" s="126"/>
      <c r="AR791" s="126"/>
      <c r="AS791" s="127"/>
      <c r="AT791" s="126"/>
      <c r="AU791" s="126"/>
      <c r="AV791" s="127"/>
      <c r="AW791" s="126"/>
      <c r="AX791" s="126"/>
      <c r="AY791" s="127"/>
      <c r="AZ791" s="126"/>
      <c r="BA791" s="126"/>
      <c r="BB791" s="127"/>
      <c r="BC791" s="126"/>
      <c r="BD791" s="134"/>
      <c r="BE791" s="127"/>
      <c r="BF791" s="126"/>
      <c r="BG791" s="126"/>
      <c r="BH791" s="126"/>
      <c r="BI791" s="126"/>
      <c r="BJ791" s="126"/>
      <c r="BK791" s="126"/>
      <c r="BL791" s="126"/>
      <c r="BM791" s="126"/>
      <c r="BN791" s="126"/>
      <c r="BO791" s="126"/>
      <c r="BP791" s="126"/>
      <c r="BQ791" s="126"/>
      <c r="BR791" s="126"/>
      <c r="BS791" s="126"/>
      <c r="BT791" s="126"/>
      <c r="BU791" s="126"/>
      <c r="BV791" s="126"/>
      <c r="BW791" s="126"/>
      <c r="BX791" s="126"/>
    </row>
    <row r="792">
      <c r="A792" s="126"/>
      <c r="B792" s="126"/>
      <c r="C792" s="127"/>
      <c r="D792" s="126"/>
      <c r="E792" s="126"/>
      <c r="F792" s="127"/>
      <c r="G792" s="126"/>
      <c r="H792" s="127"/>
      <c r="I792" s="126"/>
      <c r="J792" s="126"/>
      <c r="K792" s="127"/>
      <c r="L792" s="126"/>
      <c r="M792" s="126"/>
      <c r="N792" s="127"/>
      <c r="O792" s="126"/>
      <c r="P792" s="126"/>
      <c r="Q792" s="127"/>
      <c r="R792" s="126"/>
      <c r="S792" s="126"/>
      <c r="T792" s="127"/>
      <c r="U792" s="126"/>
      <c r="V792" s="126"/>
      <c r="W792" s="127"/>
      <c r="X792" s="126"/>
      <c r="Y792" s="126"/>
      <c r="Z792" s="127"/>
      <c r="AA792" s="126"/>
      <c r="AB792" s="126"/>
      <c r="AC792" s="127"/>
      <c r="AD792" s="126"/>
      <c r="AE792" s="126"/>
      <c r="AF792" s="126"/>
      <c r="AG792" s="127"/>
      <c r="AH792" s="126"/>
      <c r="AI792" s="126"/>
      <c r="AJ792" s="127"/>
      <c r="AK792" s="126"/>
      <c r="AL792" s="126"/>
      <c r="AM792" s="127"/>
      <c r="AN792" s="126"/>
      <c r="AO792" s="126"/>
      <c r="AP792" s="127"/>
      <c r="AQ792" s="126"/>
      <c r="AR792" s="126"/>
      <c r="AS792" s="127"/>
      <c r="AT792" s="126"/>
      <c r="AU792" s="126"/>
      <c r="AV792" s="127"/>
      <c r="AW792" s="126"/>
      <c r="AX792" s="126"/>
      <c r="AY792" s="127"/>
      <c r="AZ792" s="126"/>
      <c r="BA792" s="126"/>
      <c r="BB792" s="127"/>
      <c r="BC792" s="126"/>
      <c r="BD792" s="134"/>
      <c r="BE792" s="127"/>
      <c r="BF792" s="126"/>
      <c r="BG792" s="126"/>
      <c r="BH792" s="126"/>
      <c r="BI792" s="126"/>
      <c r="BJ792" s="126"/>
      <c r="BK792" s="126"/>
      <c r="BL792" s="126"/>
      <c r="BM792" s="126"/>
      <c r="BN792" s="126"/>
      <c r="BO792" s="126"/>
      <c r="BP792" s="126"/>
      <c r="BQ792" s="126"/>
      <c r="BR792" s="126"/>
      <c r="BS792" s="126"/>
      <c r="BT792" s="126"/>
      <c r="BU792" s="126"/>
      <c r="BV792" s="126"/>
      <c r="BW792" s="126"/>
      <c r="BX792" s="126"/>
    </row>
    <row r="793">
      <c r="A793" s="126"/>
      <c r="B793" s="126"/>
      <c r="C793" s="127"/>
      <c r="D793" s="126"/>
      <c r="E793" s="126"/>
      <c r="F793" s="127"/>
      <c r="G793" s="126"/>
      <c r="H793" s="127"/>
      <c r="I793" s="126"/>
      <c r="J793" s="126"/>
      <c r="K793" s="127"/>
      <c r="L793" s="126"/>
      <c r="M793" s="126"/>
      <c r="N793" s="127"/>
      <c r="O793" s="126"/>
      <c r="P793" s="126"/>
      <c r="Q793" s="127"/>
      <c r="R793" s="126"/>
      <c r="S793" s="126"/>
      <c r="T793" s="127"/>
      <c r="U793" s="126"/>
      <c r="V793" s="126"/>
      <c r="W793" s="127"/>
      <c r="X793" s="126"/>
      <c r="Y793" s="126"/>
      <c r="Z793" s="127"/>
      <c r="AA793" s="126"/>
      <c r="AB793" s="126"/>
      <c r="AC793" s="127"/>
      <c r="AD793" s="126"/>
      <c r="AE793" s="126"/>
      <c r="AF793" s="126"/>
      <c r="AG793" s="127"/>
      <c r="AH793" s="126"/>
      <c r="AI793" s="126"/>
      <c r="AJ793" s="127"/>
      <c r="AK793" s="126"/>
      <c r="AL793" s="126"/>
      <c r="AM793" s="127"/>
      <c r="AN793" s="126"/>
      <c r="AO793" s="126"/>
      <c r="AP793" s="127"/>
      <c r="AQ793" s="126"/>
      <c r="AR793" s="126"/>
      <c r="AS793" s="127"/>
      <c r="AT793" s="126"/>
      <c r="AU793" s="126"/>
      <c r="AV793" s="127"/>
      <c r="AW793" s="126"/>
      <c r="AX793" s="126"/>
      <c r="AY793" s="127"/>
      <c r="AZ793" s="126"/>
      <c r="BA793" s="126"/>
      <c r="BB793" s="127"/>
      <c r="BC793" s="126"/>
      <c r="BD793" s="134"/>
      <c r="BE793" s="127"/>
      <c r="BF793" s="126"/>
      <c r="BG793" s="126"/>
      <c r="BH793" s="126"/>
      <c r="BI793" s="126"/>
      <c r="BJ793" s="126"/>
      <c r="BK793" s="126"/>
      <c r="BL793" s="126"/>
      <c r="BM793" s="126"/>
      <c r="BN793" s="126"/>
      <c r="BO793" s="126"/>
      <c r="BP793" s="126"/>
      <c r="BQ793" s="126"/>
      <c r="BR793" s="126"/>
      <c r="BS793" s="126"/>
      <c r="BT793" s="126"/>
      <c r="BU793" s="126"/>
      <c r="BV793" s="126"/>
      <c r="BW793" s="126"/>
      <c r="BX793" s="126"/>
    </row>
    <row r="794">
      <c r="A794" s="126"/>
      <c r="B794" s="126"/>
      <c r="C794" s="127"/>
      <c r="D794" s="126"/>
      <c r="E794" s="126"/>
      <c r="F794" s="127"/>
      <c r="G794" s="126"/>
      <c r="H794" s="127"/>
      <c r="I794" s="126"/>
      <c r="J794" s="126"/>
      <c r="K794" s="127"/>
      <c r="L794" s="126"/>
      <c r="M794" s="126"/>
      <c r="N794" s="127"/>
      <c r="O794" s="126"/>
      <c r="P794" s="126"/>
      <c r="Q794" s="127"/>
      <c r="R794" s="126"/>
      <c r="S794" s="126"/>
      <c r="T794" s="127"/>
      <c r="U794" s="126"/>
      <c r="V794" s="126"/>
      <c r="W794" s="127"/>
      <c r="X794" s="126"/>
      <c r="Y794" s="126"/>
      <c r="Z794" s="127"/>
      <c r="AA794" s="126"/>
      <c r="AB794" s="126"/>
      <c r="AC794" s="127"/>
      <c r="AD794" s="126"/>
      <c r="AE794" s="126"/>
      <c r="AF794" s="126"/>
      <c r="AG794" s="127"/>
      <c r="AH794" s="126"/>
      <c r="AI794" s="126"/>
      <c r="AJ794" s="127"/>
      <c r="AK794" s="126"/>
      <c r="AL794" s="126"/>
      <c r="AM794" s="127"/>
      <c r="AN794" s="126"/>
      <c r="AO794" s="126"/>
      <c r="AP794" s="127"/>
      <c r="AQ794" s="126"/>
      <c r="AR794" s="126"/>
      <c r="AS794" s="127"/>
      <c r="AT794" s="126"/>
      <c r="AU794" s="126"/>
      <c r="AV794" s="127"/>
      <c r="AW794" s="126"/>
      <c r="AX794" s="126"/>
      <c r="AY794" s="127"/>
      <c r="AZ794" s="126"/>
      <c r="BA794" s="126"/>
      <c r="BB794" s="127"/>
      <c r="BC794" s="126"/>
      <c r="BD794" s="134"/>
      <c r="BE794" s="127"/>
      <c r="BF794" s="126"/>
      <c r="BG794" s="126"/>
      <c r="BH794" s="126"/>
      <c r="BI794" s="126"/>
      <c r="BJ794" s="126"/>
      <c r="BK794" s="126"/>
      <c r="BL794" s="126"/>
      <c r="BM794" s="126"/>
      <c r="BN794" s="126"/>
      <c r="BO794" s="126"/>
      <c r="BP794" s="126"/>
      <c r="BQ794" s="126"/>
      <c r="BR794" s="126"/>
      <c r="BS794" s="126"/>
      <c r="BT794" s="126"/>
      <c r="BU794" s="126"/>
      <c r="BV794" s="126"/>
      <c r="BW794" s="126"/>
      <c r="BX794" s="126"/>
    </row>
    <row r="795">
      <c r="A795" s="126"/>
      <c r="B795" s="126"/>
      <c r="C795" s="127"/>
      <c r="D795" s="126"/>
      <c r="E795" s="126"/>
      <c r="F795" s="127"/>
      <c r="G795" s="126"/>
      <c r="H795" s="127"/>
      <c r="I795" s="126"/>
      <c r="J795" s="126"/>
      <c r="K795" s="127"/>
      <c r="L795" s="126"/>
      <c r="M795" s="126"/>
      <c r="N795" s="127"/>
      <c r="O795" s="126"/>
      <c r="P795" s="126"/>
      <c r="Q795" s="127"/>
      <c r="R795" s="126"/>
      <c r="S795" s="126"/>
      <c r="T795" s="127"/>
      <c r="U795" s="126"/>
      <c r="V795" s="126"/>
      <c r="W795" s="127"/>
      <c r="X795" s="126"/>
      <c r="Y795" s="126"/>
      <c r="Z795" s="127"/>
      <c r="AA795" s="126"/>
      <c r="AB795" s="126"/>
      <c r="AC795" s="127"/>
      <c r="AD795" s="126"/>
      <c r="AE795" s="126"/>
      <c r="AF795" s="126"/>
      <c r="AG795" s="127"/>
      <c r="AH795" s="126"/>
      <c r="AI795" s="126"/>
      <c r="AJ795" s="127"/>
      <c r="AK795" s="126"/>
      <c r="AL795" s="126"/>
      <c r="AM795" s="127"/>
      <c r="AN795" s="126"/>
      <c r="AO795" s="126"/>
      <c r="AP795" s="127"/>
      <c r="AQ795" s="126"/>
      <c r="AR795" s="126"/>
      <c r="AS795" s="127"/>
      <c r="AT795" s="126"/>
      <c r="AU795" s="126"/>
      <c r="AV795" s="127"/>
      <c r="AW795" s="126"/>
      <c r="AX795" s="126"/>
      <c r="AY795" s="127"/>
      <c r="AZ795" s="126"/>
      <c r="BA795" s="126"/>
      <c r="BB795" s="127"/>
      <c r="BC795" s="126"/>
      <c r="BD795" s="134"/>
      <c r="BE795" s="127"/>
      <c r="BF795" s="126"/>
      <c r="BG795" s="126"/>
      <c r="BH795" s="126"/>
      <c r="BI795" s="126"/>
      <c r="BJ795" s="126"/>
      <c r="BK795" s="126"/>
      <c r="BL795" s="126"/>
      <c r="BM795" s="126"/>
      <c r="BN795" s="126"/>
      <c r="BO795" s="126"/>
      <c r="BP795" s="126"/>
      <c r="BQ795" s="126"/>
      <c r="BR795" s="126"/>
      <c r="BS795" s="126"/>
      <c r="BT795" s="126"/>
      <c r="BU795" s="126"/>
      <c r="BV795" s="126"/>
      <c r="BW795" s="126"/>
      <c r="BX795" s="126"/>
    </row>
    <row r="796">
      <c r="A796" s="126"/>
      <c r="B796" s="126"/>
      <c r="C796" s="127"/>
      <c r="D796" s="126"/>
      <c r="E796" s="126"/>
      <c r="F796" s="127"/>
      <c r="G796" s="126"/>
      <c r="H796" s="127"/>
      <c r="I796" s="126"/>
      <c r="J796" s="126"/>
      <c r="K796" s="127"/>
      <c r="L796" s="126"/>
      <c r="M796" s="126"/>
      <c r="N796" s="127"/>
      <c r="O796" s="126"/>
      <c r="P796" s="126"/>
      <c r="Q796" s="127"/>
      <c r="R796" s="126"/>
      <c r="S796" s="126"/>
      <c r="T796" s="127"/>
      <c r="U796" s="126"/>
      <c r="V796" s="126"/>
      <c r="W796" s="127"/>
      <c r="X796" s="126"/>
      <c r="Y796" s="126"/>
      <c r="Z796" s="127"/>
      <c r="AA796" s="126"/>
      <c r="AB796" s="126"/>
      <c r="AC796" s="127"/>
      <c r="AD796" s="126"/>
      <c r="AE796" s="126"/>
      <c r="AF796" s="126"/>
      <c r="AG796" s="127"/>
      <c r="AH796" s="126"/>
      <c r="AI796" s="126"/>
      <c r="AJ796" s="127"/>
      <c r="AK796" s="126"/>
      <c r="AL796" s="126"/>
      <c r="AM796" s="127"/>
      <c r="AN796" s="126"/>
      <c r="AO796" s="126"/>
      <c r="AP796" s="127"/>
      <c r="AQ796" s="126"/>
      <c r="AR796" s="126"/>
      <c r="AS796" s="127"/>
      <c r="AT796" s="126"/>
      <c r="AU796" s="126"/>
      <c r="AV796" s="127"/>
      <c r="AW796" s="126"/>
      <c r="AX796" s="126"/>
      <c r="AY796" s="127"/>
      <c r="AZ796" s="126"/>
      <c r="BA796" s="126"/>
      <c r="BB796" s="127"/>
      <c r="BC796" s="126"/>
      <c r="BD796" s="134"/>
      <c r="BE796" s="127"/>
      <c r="BF796" s="126"/>
      <c r="BG796" s="126"/>
      <c r="BH796" s="126"/>
      <c r="BI796" s="126"/>
      <c r="BJ796" s="126"/>
      <c r="BK796" s="126"/>
      <c r="BL796" s="126"/>
      <c r="BM796" s="126"/>
      <c r="BN796" s="126"/>
      <c r="BO796" s="126"/>
      <c r="BP796" s="126"/>
      <c r="BQ796" s="126"/>
      <c r="BR796" s="126"/>
      <c r="BS796" s="126"/>
      <c r="BT796" s="126"/>
      <c r="BU796" s="126"/>
      <c r="BV796" s="126"/>
      <c r="BW796" s="126"/>
      <c r="BX796" s="126"/>
    </row>
    <row r="797">
      <c r="A797" s="126"/>
      <c r="B797" s="126"/>
      <c r="C797" s="127"/>
      <c r="D797" s="126"/>
      <c r="E797" s="126"/>
      <c r="F797" s="127"/>
      <c r="G797" s="126"/>
      <c r="H797" s="127"/>
      <c r="I797" s="126"/>
      <c r="J797" s="126"/>
      <c r="K797" s="127"/>
      <c r="L797" s="126"/>
      <c r="M797" s="126"/>
      <c r="N797" s="127"/>
      <c r="O797" s="126"/>
      <c r="P797" s="126"/>
      <c r="Q797" s="127"/>
      <c r="R797" s="126"/>
      <c r="S797" s="126"/>
      <c r="T797" s="127"/>
      <c r="U797" s="126"/>
      <c r="V797" s="126"/>
      <c r="W797" s="127"/>
      <c r="X797" s="126"/>
      <c r="Y797" s="126"/>
      <c r="Z797" s="127"/>
      <c r="AA797" s="126"/>
      <c r="AB797" s="126"/>
      <c r="AC797" s="127"/>
      <c r="AD797" s="126"/>
      <c r="AE797" s="126"/>
      <c r="AF797" s="126"/>
      <c r="AG797" s="127"/>
      <c r="AH797" s="126"/>
      <c r="AI797" s="126"/>
      <c r="AJ797" s="127"/>
      <c r="AK797" s="126"/>
      <c r="AL797" s="126"/>
      <c r="AM797" s="127"/>
      <c r="AN797" s="126"/>
      <c r="AO797" s="126"/>
      <c r="AP797" s="127"/>
      <c r="AQ797" s="126"/>
      <c r="AR797" s="126"/>
      <c r="AS797" s="127"/>
      <c r="AT797" s="126"/>
      <c r="AU797" s="126"/>
      <c r="AV797" s="127"/>
      <c r="AW797" s="126"/>
      <c r="AX797" s="126"/>
      <c r="AY797" s="127"/>
      <c r="AZ797" s="126"/>
      <c r="BA797" s="126"/>
      <c r="BB797" s="127"/>
      <c r="BC797" s="126"/>
      <c r="BD797" s="134"/>
      <c r="BE797" s="127"/>
      <c r="BF797" s="126"/>
      <c r="BG797" s="126"/>
      <c r="BH797" s="126"/>
      <c r="BI797" s="126"/>
      <c r="BJ797" s="126"/>
      <c r="BK797" s="126"/>
      <c r="BL797" s="126"/>
      <c r="BM797" s="126"/>
      <c r="BN797" s="126"/>
      <c r="BO797" s="126"/>
      <c r="BP797" s="126"/>
      <c r="BQ797" s="126"/>
      <c r="BR797" s="126"/>
      <c r="BS797" s="126"/>
      <c r="BT797" s="126"/>
      <c r="BU797" s="126"/>
      <c r="BV797" s="126"/>
      <c r="BW797" s="126"/>
      <c r="BX797" s="126"/>
    </row>
    <row r="798">
      <c r="A798" s="126"/>
      <c r="B798" s="126"/>
      <c r="C798" s="127"/>
      <c r="D798" s="126"/>
      <c r="E798" s="126"/>
      <c r="F798" s="127"/>
      <c r="G798" s="126"/>
      <c r="H798" s="127"/>
      <c r="I798" s="126"/>
      <c r="J798" s="126"/>
      <c r="K798" s="127"/>
      <c r="L798" s="126"/>
      <c r="M798" s="126"/>
      <c r="N798" s="127"/>
      <c r="O798" s="126"/>
      <c r="P798" s="126"/>
      <c r="Q798" s="127"/>
      <c r="R798" s="126"/>
      <c r="S798" s="126"/>
      <c r="T798" s="127"/>
      <c r="U798" s="126"/>
      <c r="V798" s="126"/>
      <c r="W798" s="127"/>
      <c r="X798" s="126"/>
      <c r="Y798" s="126"/>
      <c r="Z798" s="127"/>
      <c r="AA798" s="126"/>
      <c r="AB798" s="126"/>
      <c r="AC798" s="127"/>
      <c r="AD798" s="126"/>
      <c r="AE798" s="126"/>
      <c r="AF798" s="126"/>
      <c r="AG798" s="127"/>
      <c r="AH798" s="126"/>
      <c r="AI798" s="126"/>
      <c r="AJ798" s="127"/>
      <c r="AK798" s="126"/>
      <c r="AL798" s="126"/>
      <c r="AM798" s="127"/>
      <c r="AN798" s="126"/>
      <c r="AO798" s="126"/>
      <c r="AP798" s="127"/>
      <c r="AQ798" s="126"/>
      <c r="AR798" s="126"/>
      <c r="AS798" s="127"/>
      <c r="AT798" s="126"/>
      <c r="AU798" s="126"/>
      <c r="AV798" s="127"/>
      <c r="AW798" s="126"/>
      <c r="AX798" s="126"/>
      <c r="AY798" s="127"/>
      <c r="AZ798" s="126"/>
      <c r="BA798" s="126"/>
      <c r="BB798" s="127"/>
      <c r="BC798" s="126"/>
      <c r="BD798" s="134"/>
      <c r="BE798" s="127"/>
      <c r="BF798" s="126"/>
      <c r="BG798" s="126"/>
      <c r="BH798" s="126"/>
      <c r="BI798" s="126"/>
      <c r="BJ798" s="126"/>
      <c r="BK798" s="126"/>
      <c r="BL798" s="126"/>
      <c r="BM798" s="126"/>
      <c r="BN798" s="126"/>
      <c r="BO798" s="126"/>
      <c r="BP798" s="126"/>
      <c r="BQ798" s="126"/>
      <c r="BR798" s="126"/>
      <c r="BS798" s="126"/>
      <c r="BT798" s="126"/>
      <c r="BU798" s="126"/>
      <c r="BV798" s="126"/>
      <c r="BW798" s="126"/>
      <c r="BX798" s="126"/>
    </row>
    <row r="799">
      <c r="A799" s="126"/>
      <c r="B799" s="126"/>
      <c r="C799" s="127"/>
      <c r="D799" s="126"/>
      <c r="E799" s="126"/>
      <c r="F799" s="127"/>
      <c r="G799" s="126"/>
      <c r="H799" s="127"/>
      <c r="I799" s="126"/>
      <c r="J799" s="126"/>
      <c r="K799" s="127"/>
      <c r="L799" s="126"/>
      <c r="M799" s="126"/>
      <c r="N799" s="127"/>
      <c r="O799" s="126"/>
      <c r="P799" s="126"/>
      <c r="Q799" s="127"/>
      <c r="R799" s="126"/>
      <c r="S799" s="126"/>
      <c r="T799" s="127"/>
      <c r="U799" s="126"/>
      <c r="V799" s="126"/>
      <c r="W799" s="127"/>
      <c r="X799" s="126"/>
      <c r="Y799" s="126"/>
      <c r="Z799" s="127"/>
      <c r="AA799" s="126"/>
      <c r="AB799" s="126"/>
      <c r="AC799" s="127"/>
      <c r="AD799" s="126"/>
      <c r="AE799" s="126"/>
      <c r="AF799" s="126"/>
      <c r="AG799" s="127"/>
      <c r="AH799" s="126"/>
      <c r="AI799" s="126"/>
      <c r="AJ799" s="127"/>
      <c r="AK799" s="126"/>
      <c r="AL799" s="126"/>
      <c r="AM799" s="127"/>
      <c r="AN799" s="126"/>
      <c r="AO799" s="126"/>
      <c r="AP799" s="127"/>
      <c r="AQ799" s="126"/>
      <c r="AR799" s="126"/>
      <c r="AS799" s="127"/>
      <c r="AT799" s="126"/>
      <c r="AU799" s="126"/>
      <c r="AV799" s="127"/>
      <c r="AW799" s="126"/>
      <c r="AX799" s="126"/>
      <c r="AY799" s="127"/>
      <c r="AZ799" s="126"/>
      <c r="BA799" s="126"/>
      <c r="BB799" s="127"/>
      <c r="BC799" s="126"/>
      <c r="BD799" s="134"/>
      <c r="BE799" s="127"/>
      <c r="BF799" s="126"/>
      <c r="BG799" s="126"/>
      <c r="BH799" s="126"/>
      <c r="BI799" s="126"/>
      <c r="BJ799" s="126"/>
      <c r="BK799" s="126"/>
      <c r="BL799" s="126"/>
      <c r="BM799" s="126"/>
      <c r="BN799" s="126"/>
      <c r="BO799" s="126"/>
      <c r="BP799" s="126"/>
      <c r="BQ799" s="126"/>
      <c r="BR799" s="126"/>
      <c r="BS799" s="126"/>
      <c r="BT799" s="126"/>
      <c r="BU799" s="126"/>
      <c r="BV799" s="126"/>
      <c r="BW799" s="126"/>
      <c r="BX799" s="126"/>
    </row>
    <row r="800">
      <c r="A800" s="126"/>
      <c r="B800" s="126"/>
      <c r="C800" s="127"/>
      <c r="D800" s="126"/>
      <c r="E800" s="126"/>
      <c r="F800" s="127"/>
      <c r="G800" s="126"/>
      <c r="H800" s="127"/>
      <c r="I800" s="126"/>
      <c r="J800" s="126"/>
      <c r="K800" s="127"/>
      <c r="L800" s="126"/>
      <c r="M800" s="126"/>
      <c r="N800" s="127"/>
      <c r="O800" s="126"/>
      <c r="P800" s="126"/>
      <c r="Q800" s="127"/>
      <c r="R800" s="126"/>
      <c r="S800" s="126"/>
      <c r="T800" s="127"/>
      <c r="U800" s="126"/>
      <c r="V800" s="126"/>
      <c r="W800" s="127"/>
      <c r="X800" s="126"/>
      <c r="Y800" s="126"/>
      <c r="Z800" s="127"/>
      <c r="AA800" s="126"/>
      <c r="AB800" s="126"/>
      <c r="AC800" s="127"/>
      <c r="AD800" s="126"/>
      <c r="AE800" s="126"/>
      <c r="AF800" s="126"/>
      <c r="AG800" s="127"/>
      <c r="AH800" s="126"/>
      <c r="AI800" s="126"/>
      <c r="AJ800" s="127"/>
      <c r="AK800" s="126"/>
      <c r="AL800" s="126"/>
      <c r="AM800" s="127"/>
      <c r="AN800" s="126"/>
      <c r="AO800" s="126"/>
      <c r="AP800" s="127"/>
      <c r="AQ800" s="126"/>
      <c r="AR800" s="126"/>
      <c r="AS800" s="127"/>
      <c r="AT800" s="126"/>
      <c r="AU800" s="126"/>
      <c r="AV800" s="127"/>
      <c r="AW800" s="126"/>
      <c r="AX800" s="126"/>
      <c r="AY800" s="127"/>
      <c r="AZ800" s="126"/>
      <c r="BA800" s="126"/>
      <c r="BB800" s="127"/>
      <c r="BC800" s="126"/>
      <c r="BD800" s="134"/>
      <c r="BE800" s="127"/>
      <c r="BF800" s="126"/>
      <c r="BG800" s="126"/>
      <c r="BH800" s="126"/>
      <c r="BI800" s="126"/>
      <c r="BJ800" s="126"/>
      <c r="BK800" s="126"/>
      <c r="BL800" s="126"/>
      <c r="BM800" s="126"/>
      <c r="BN800" s="126"/>
      <c r="BO800" s="126"/>
      <c r="BP800" s="126"/>
      <c r="BQ800" s="126"/>
      <c r="BR800" s="126"/>
      <c r="BS800" s="126"/>
      <c r="BT800" s="126"/>
      <c r="BU800" s="126"/>
      <c r="BV800" s="126"/>
      <c r="BW800" s="126"/>
      <c r="BX800" s="126"/>
    </row>
    <row r="801">
      <c r="A801" s="126"/>
      <c r="B801" s="126"/>
      <c r="C801" s="127"/>
      <c r="D801" s="126"/>
      <c r="E801" s="126"/>
      <c r="F801" s="127"/>
      <c r="G801" s="126"/>
      <c r="H801" s="127"/>
      <c r="I801" s="126"/>
      <c r="J801" s="126"/>
      <c r="K801" s="127"/>
      <c r="L801" s="126"/>
      <c r="M801" s="126"/>
      <c r="N801" s="127"/>
      <c r="O801" s="126"/>
      <c r="P801" s="126"/>
      <c r="Q801" s="127"/>
      <c r="R801" s="126"/>
      <c r="S801" s="126"/>
      <c r="T801" s="127"/>
      <c r="U801" s="126"/>
      <c r="V801" s="126"/>
      <c r="W801" s="127"/>
      <c r="X801" s="126"/>
      <c r="Y801" s="126"/>
      <c r="Z801" s="127"/>
      <c r="AA801" s="126"/>
      <c r="AB801" s="126"/>
      <c r="AC801" s="127"/>
      <c r="AD801" s="126"/>
      <c r="AE801" s="126"/>
      <c r="AF801" s="126"/>
      <c r="AG801" s="127"/>
      <c r="AH801" s="126"/>
      <c r="AI801" s="126"/>
      <c r="AJ801" s="127"/>
      <c r="AK801" s="126"/>
      <c r="AL801" s="126"/>
      <c r="AM801" s="127"/>
      <c r="AN801" s="126"/>
      <c r="AO801" s="126"/>
      <c r="AP801" s="127"/>
      <c r="AQ801" s="126"/>
      <c r="AR801" s="126"/>
      <c r="AS801" s="127"/>
      <c r="AT801" s="126"/>
      <c r="AU801" s="126"/>
      <c r="AV801" s="127"/>
      <c r="AW801" s="126"/>
      <c r="AX801" s="126"/>
      <c r="AY801" s="127"/>
      <c r="AZ801" s="126"/>
      <c r="BA801" s="126"/>
      <c r="BB801" s="127"/>
      <c r="BC801" s="126"/>
      <c r="BD801" s="134"/>
      <c r="BE801" s="127"/>
      <c r="BF801" s="126"/>
      <c r="BG801" s="126"/>
      <c r="BH801" s="126"/>
      <c r="BI801" s="126"/>
      <c r="BJ801" s="126"/>
      <c r="BK801" s="126"/>
      <c r="BL801" s="126"/>
      <c r="BM801" s="126"/>
      <c r="BN801" s="126"/>
      <c r="BO801" s="126"/>
      <c r="BP801" s="126"/>
      <c r="BQ801" s="126"/>
      <c r="BR801" s="126"/>
      <c r="BS801" s="126"/>
      <c r="BT801" s="126"/>
      <c r="BU801" s="126"/>
      <c r="BV801" s="126"/>
      <c r="BW801" s="126"/>
      <c r="BX801" s="126"/>
    </row>
    <row r="802">
      <c r="A802" s="126"/>
      <c r="B802" s="126"/>
      <c r="C802" s="127"/>
      <c r="D802" s="126"/>
      <c r="E802" s="126"/>
      <c r="F802" s="127"/>
      <c r="G802" s="126"/>
      <c r="H802" s="127"/>
      <c r="I802" s="126"/>
      <c r="J802" s="126"/>
      <c r="K802" s="127"/>
      <c r="L802" s="126"/>
      <c r="M802" s="126"/>
      <c r="N802" s="127"/>
      <c r="O802" s="126"/>
      <c r="P802" s="126"/>
      <c r="Q802" s="127"/>
      <c r="R802" s="126"/>
      <c r="S802" s="126"/>
      <c r="T802" s="127"/>
      <c r="U802" s="126"/>
      <c r="V802" s="126"/>
      <c r="W802" s="127"/>
      <c r="X802" s="126"/>
      <c r="Y802" s="126"/>
      <c r="Z802" s="127"/>
      <c r="AA802" s="126"/>
      <c r="AB802" s="126"/>
      <c r="AC802" s="127"/>
      <c r="AD802" s="126"/>
      <c r="AE802" s="126"/>
      <c r="AF802" s="126"/>
      <c r="AG802" s="127"/>
      <c r="AH802" s="126"/>
      <c r="AI802" s="126"/>
      <c r="AJ802" s="127"/>
      <c r="AK802" s="126"/>
      <c r="AL802" s="126"/>
      <c r="AM802" s="127"/>
      <c r="AN802" s="126"/>
      <c r="AO802" s="126"/>
      <c r="AP802" s="127"/>
      <c r="AQ802" s="126"/>
      <c r="AR802" s="126"/>
      <c r="AS802" s="127"/>
      <c r="AT802" s="126"/>
      <c r="AU802" s="126"/>
      <c r="AV802" s="127"/>
      <c r="AW802" s="126"/>
      <c r="AX802" s="126"/>
      <c r="AY802" s="127"/>
      <c r="AZ802" s="126"/>
      <c r="BA802" s="126"/>
      <c r="BB802" s="127"/>
      <c r="BC802" s="126"/>
      <c r="BD802" s="134"/>
      <c r="BE802" s="127"/>
      <c r="BF802" s="126"/>
      <c r="BG802" s="126"/>
      <c r="BH802" s="126"/>
      <c r="BI802" s="126"/>
      <c r="BJ802" s="126"/>
      <c r="BK802" s="126"/>
      <c r="BL802" s="126"/>
      <c r="BM802" s="126"/>
      <c r="BN802" s="126"/>
      <c r="BO802" s="126"/>
      <c r="BP802" s="126"/>
      <c r="BQ802" s="126"/>
      <c r="BR802" s="126"/>
      <c r="BS802" s="126"/>
      <c r="BT802" s="126"/>
      <c r="BU802" s="126"/>
      <c r="BV802" s="126"/>
      <c r="BW802" s="126"/>
      <c r="BX802" s="126"/>
    </row>
    <row r="803">
      <c r="A803" s="126"/>
      <c r="B803" s="126"/>
      <c r="C803" s="127"/>
      <c r="D803" s="126"/>
      <c r="E803" s="126"/>
      <c r="F803" s="127"/>
      <c r="G803" s="126"/>
      <c r="H803" s="127"/>
      <c r="I803" s="126"/>
      <c r="J803" s="126"/>
      <c r="K803" s="127"/>
      <c r="L803" s="126"/>
      <c r="M803" s="126"/>
      <c r="N803" s="127"/>
      <c r="O803" s="126"/>
      <c r="P803" s="126"/>
      <c r="Q803" s="127"/>
      <c r="R803" s="126"/>
      <c r="S803" s="126"/>
      <c r="T803" s="127"/>
      <c r="U803" s="126"/>
      <c r="V803" s="126"/>
      <c r="W803" s="127"/>
      <c r="X803" s="126"/>
      <c r="Y803" s="126"/>
      <c r="Z803" s="127"/>
      <c r="AA803" s="126"/>
      <c r="AB803" s="126"/>
      <c r="AC803" s="127"/>
      <c r="AD803" s="126"/>
      <c r="AE803" s="126"/>
      <c r="AF803" s="126"/>
      <c r="AG803" s="127"/>
      <c r="AH803" s="126"/>
      <c r="AI803" s="126"/>
      <c r="AJ803" s="127"/>
      <c r="AK803" s="126"/>
      <c r="AL803" s="126"/>
      <c r="AM803" s="127"/>
      <c r="AN803" s="126"/>
      <c r="AO803" s="126"/>
      <c r="AP803" s="127"/>
      <c r="AQ803" s="126"/>
      <c r="AR803" s="126"/>
      <c r="AS803" s="127"/>
      <c r="AT803" s="126"/>
      <c r="AU803" s="126"/>
      <c r="AV803" s="127"/>
      <c r="AW803" s="126"/>
      <c r="AX803" s="126"/>
      <c r="AY803" s="127"/>
      <c r="AZ803" s="126"/>
      <c r="BA803" s="126"/>
      <c r="BB803" s="127"/>
      <c r="BC803" s="126"/>
      <c r="BD803" s="134"/>
      <c r="BE803" s="127"/>
      <c r="BF803" s="126"/>
      <c r="BG803" s="126"/>
      <c r="BH803" s="126"/>
      <c r="BI803" s="126"/>
      <c r="BJ803" s="126"/>
      <c r="BK803" s="126"/>
      <c r="BL803" s="126"/>
      <c r="BM803" s="126"/>
      <c r="BN803" s="126"/>
      <c r="BO803" s="126"/>
      <c r="BP803" s="126"/>
      <c r="BQ803" s="126"/>
      <c r="BR803" s="126"/>
      <c r="BS803" s="126"/>
      <c r="BT803" s="126"/>
      <c r="BU803" s="126"/>
      <c r="BV803" s="126"/>
      <c r="BW803" s="126"/>
      <c r="BX803" s="126"/>
    </row>
    <row r="804">
      <c r="A804" s="126"/>
      <c r="B804" s="126"/>
      <c r="C804" s="127"/>
      <c r="D804" s="126"/>
      <c r="E804" s="126"/>
      <c r="F804" s="127"/>
      <c r="G804" s="126"/>
      <c r="H804" s="127"/>
      <c r="I804" s="126"/>
      <c r="J804" s="126"/>
      <c r="K804" s="127"/>
      <c r="L804" s="126"/>
      <c r="M804" s="126"/>
      <c r="N804" s="127"/>
      <c r="O804" s="126"/>
      <c r="P804" s="126"/>
      <c r="Q804" s="127"/>
      <c r="R804" s="126"/>
      <c r="S804" s="126"/>
      <c r="T804" s="127"/>
      <c r="U804" s="126"/>
      <c r="V804" s="126"/>
      <c r="W804" s="127"/>
      <c r="X804" s="126"/>
      <c r="Y804" s="126"/>
      <c r="Z804" s="127"/>
      <c r="AA804" s="126"/>
      <c r="AB804" s="126"/>
      <c r="AC804" s="127"/>
      <c r="AD804" s="126"/>
      <c r="AE804" s="126"/>
      <c r="AF804" s="126"/>
      <c r="AG804" s="127"/>
      <c r="AH804" s="126"/>
      <c r="AI804" s="126"/>
      <c r="AJ804" s="127"/>
      <c r="AK804" s="126"/>
      <c r="AL804" s="126"/>
      <c r="AM804" s="127"/>
      <c r="AN804" s="126"/>
      <c r="AO804" s="126"/>
      <c r="AP804" s="127"/>
      <c r="AQ804" s="126"/>
      <c r="AR804" s="126"/>
      <c r="AS804" s="127"/>
      <c r="AT804" s="126"/>
      <c r="AU804" s="126"/>
      <c r="AV804" s="127"/>
      <c r="AW804" s="126"/>
      <c r="AX804" s="126"/>
      <c r="AY804" s="127"/>
      <c r="AZ804" s="126"/>
      <c r="BA804" s="126"/>
      <c r="BB804" s="127"/>
      <c r="BC804" s="126"/>
      <c r="BD804" s="134"/>
      <c r="BE804" s="127"/>
      <c r="BF804" s="126"/>
      <c r="BG804" s="126"/>
      <c r="BH804" s="126"/>
      <c r="BI804" s="126"/>
      <c r="BJ804" s="126"/>
      <c r="BK804" s="126"/>
      <c r="BL804" s="126"/>
      <c r="BM804" s="126"/>
      <c r="BN804" s="126"/>
      <c r="BO804" s="126"/>
      <c r="BP804" s="126"/>
      <c r="BQ804" s="126"/>
      <c r="BR804" s="126"/>
      <c r="BS804" s="126"/>
      <c r="BT804" s="126"/>
      <c r="BU804" s="126"/>
      <c r="BV804" s="126"/>
      <c r="BW804" s="126"/>
      <c r="BX804" s="126"/>
    </row>
    <row r="805">
      <c r="A805" s="126"/>
      <c r="B805" s="126"/>
      <c r="C805" s="127"/>
      <c r="D805" s="126"/>
      <c r="E805" s="126"/>
      <c r="F805" s="127"/>
      <c r="G805" s="126"/>
      <c r="H805" s="127"/>
      <c r="I805" s="126"/>
      <c r="J805" s="126"/>
      <c r="K805" s="127"/>
      <c r="L805" s="126"/>
      <c r="M805" s="126"/>
      <c r="N805" s="127"/>
      <c r="O805" s="126"/>
      <c r="P805" s="126"/>
      <c r="Q805" s="127"/>
      <c r="R805" s="126"/>
      <c r="S805" s="126"/>
      <c r="T805" s="127"/>
      <c r="U805" s="126"/>
      <c r="V805" s="126"/>
      <c r="W805" s="127"/>
      <c r="X805" s="126"/>
      <c r="Y805" s="126"/>
      <c r="Z805" s="127"/>
      <c r="AA805" s="126"/>
      <c r="AB805" s="126"/>
      <c r="AC805" s="127"/>
      <c r="AD805" s="126"/>
      <c r="AE805" s="126"/>
      <c r="AF805" s="126"/>
      <c r="AG805" s="127"/>
      <c r="AH805" s="126"/>
      <c r="AI805" s="126"/>
      <c r="AJ805" s="127"/>
      <c r="AK805" s="126"/>
      <c r="AL805" s="126"/>
      <c r="AM805" s="127"/>
      <c r="AN805" s="126"/>
      <c r="AO805" s="126"/>
      <c r="AP805" s="127"/>
      <c r="AQ805" s="126"/>
      <c r="AR805" s="126"/>
      <c r="AS805" s="127"/>
      <c r="AT805" s="126"/>
      <c r="AU805" s="126"/>
      <c r="AV805" s="127"/>
      <c r="AW805" s="126"/>
      <c r="AX805" s="126"/>
      <c r="AY805" s="127"/>
      <c r="AZ805" s="126"/>
      <c r="BA805" s="126"/>
      <c r="BB805" s="127"/>
      <c r="BC805" s="126"/>
      <c r="BD805" s="134"/>
      <c r="BE805" s="127"/>
      <c r="BF805" s="126"/>
      <c r="BG805" s="126"/>
      <c r="BH805" s="126"/>
      <c r="BI805" s="126"/>
      <c r="BJ805" s="126"/>
      <c r="BK805" s="126"/>
      <c r="BL805" s="126"/>
      <c r="BM805" s="126"/>
      <c r="BN805" s="126"/>
      <c r="BO805" s="126"/>
      <c r="BP805" s="126"/>
      <c r="BQ805" s="126"/>
      <c r="BR805" s="126"/>
      <c r="BS805" s="126"/>
      <c r="BT805" s="126"/>
      <c r="BU805" s="126"/>
      <c r="BV805" s="126"/>
      <c r="BW805" s="126"/>
      <c r="BX805" s="126"/>
    </row>
    <row r="806">
      <c r="A806" s="126"/>
      <c r="B806" s="126"/>
      <c r="C806" s="127"/>
      <c r="D806" s="126"/>
      <c r="E806" s="126"/>
      <c r="F806" s="127"/>
      <c r="G806" s="126"/>
      <c r="H806" s="127"/>
      <c r="I806" s="126"/>
      <c r="J806" s="126"/>
      <c r="K806" s="127"/>
      <c r="L806" s="126"/>
      <c r="M806" s="126"/>
      <c r="N806" s="127"/>
      <c r="O806" s="126"/>
      <c r="P806" s="126"/>
      <c r="Q806" s="127"/>
      <c r="R806" s="126"/>
      <c r="S806" s="126"/>
      <c r="T806" s="127"/>
      <c r="U806" s="126"/>
      <c r="V806" s="126"/>
      <c r="W806" s="127"/>
      <c r="X806" s="126"/>
      <c r="Y806" s="126"/>
      <c r="Z806" s="127"/>
      <c r="AA806" s="126"/>
      <c r="AB806" s="126"/>
      <c r="AC806" s="127"/>
      <c r="AD806" s="126"/>
      <c r="AE806" s="126"/>
      <c r="AF806" s="126"/>
      <c r="AG806" s="127"/>
      <c r="AH806" s="126"/>
      <c r="AI806" s="126"/>
      <c r="AJ806" s="127"/>
      <c r="AK806" s="126"/>
      <c r="AL806" s="126"/>
      <c r="AM806" s="127"/>
      <c r="AN806" s="126"/>
      <c r="AO806" s="126"/>
      <c r="AP806" s="127"/>
      <c r="AQ806" s="126"/>
      <c r="AR806" s="126"/>
      <c r="AS806" s="127"/>
      <c r="AT806" s="126"/>
      <c r="AU806" s="126"/>
      <c r="AV806" s="127"/>
      <c r="AW806" s="126"/>
      <c r="AX806" s="126"/>
      <c r="AY806" s="127"/>
      <c r="AZ806" s="126"/>
      <c r="BA806" s="126"/>
      <c r="BB806" s="127"/>
      <c r="BC806" s="126"/>
      <c r="BD806" s="134"/>
      <c r="BE806" s="127"/>
      <c r="BF806" s="126"/>
      <c r="BG806" s="126"/>
      <c r="BH806" s="126"/>
      <c r="BI806" s="126"/>
      <c r="BJ806" s="126"/>
      <c r="BK806" s="126"/>
      <c r="BL806" s="126"/>
      <c r="BM806" s="126"/>
      <c r="BN806" s="126"/>
      <c r="BO806" s="126"/>
      <c r="BP806" s="126"/>
      <c r="BQ806" s="126"/>
      <c r="BR806" s="126"/>
      <c r="BS806" s="126"/>
      <c r="BT806" s="126"/>
      <c r="BU806" s="126"/>
      <c r="BV806" s="126"/>
      <c r="BW806" s="126"/>
      <c r="BX806" s="126"/>
    </row>
    <row r="807">
      <c r="A807" s="126"/>
      <c r="B807" s="126"/>
      <c r="C807" s="127"/>
      <c r="D807" s="126"/>
      <c r="E807" s="126"/>
      <c r="F807" s="127"/>
      <c r="G807" s="126"/>
      <c r="H807" s="127"/>
      <c r="I807" s="126"/>
      <c r="J807" s="126"/>
      <c r="K807" s="127"/>
      <c r="L807" s="126"/>
      <c r="M807" s="126"/>
      <c r="N807" s="127"/>
      <c r="O807" s="126"/>
      <c r="P807" s="126"/>
      <c r="Q807" s="127"/>
      <c r="R807" s="126"/>
      <c r="S807" s="126"/>
      <c r="T807" s="127"/>
      <c r="U807" s="126"/>
      <c r="V807" s="126"/>
      <c r="W807" s="127"/>
      <c r="X807" s="126"/>
      <c r="Y807" s="126"/>
      <c r="Z807" s="127"/>
      <c r="AA807" s="126"/>
      <c r="AB807" s="126"/>
      <c r="AC807" s="127"/>
      <c r="AD807" s="126"/>
      <c r="AE807" s="126"/>
      <c r="AF807" s="126"/>
      <c r="AG807" s="127"/>
      <c r="AH807" s="126"/>
      <c r="AI807" s="126"/>
      <c r="AJ807" s="127"/>
      <c r="AK807" s="126"/>
      <c r="AL807" s="126"/>
      <c r="AM807" s="127"/>
      <c r="AN807" s="126"/>
      <c r="AO807" s="126"/>
      <c r="AP807" s="127"/>
      <c r="AQ807" s="126"/>
      <c r="AR807" s="126"/>
      <c r="AS807" s="127"/>
      <c r="AT807" s="126"/>
      <c r="AU807" s="126"/>
      <c r="AV807" s="127"/>
      <c r="AW807" s="126"/>
      <c r="AX807" s="126"/>
      <c r="AY807" s="127"/>
      <c r="AZ807" s="126"/>
      <c r="BA807" s="126"/>
      <c r="BB807" s="127"/>
      <c r="BC807" s="126"/>
      <c r="BD807" s="134"/>
      <c r="BE807" s="127"/>
      <c r="BF807" s="126"/>
      <c r="BG807" s="126"/>
      <c r="BH807" s="126"/>
      <c r="BI807" s="126"/>
      <c r="BJ807" s="126"/>
      <c r="BK807" s="126"/>
      <c r="BL807" s="126"/>
      <c r="BM807" s="126"/>
      <c r="BN807" s="126"/>
      <c r="BO807" s="126"/>
      <c r="BP807" s="126"/>
      <c r="BQ807" s="126"/>
      <c r="BR807" s="126"/>
      <c r="BS807" s="126"/>
      <c r="BT807" s="126"/>
      <c r="BU807" s="126"/>
      <c r="BV807" s="126"/>
      <c r="BW807" s="126"/>
      <c r="BX807" s="126"/>
    </row>
    <row r="808">
      <c r="A808" s="126"/>
      <c r="B808" s="126"/>
      <c r="C808" s="127"/>
      <c r="D808" s="126"/>
      <c r="E808" s="126"/>
      <c r="F808" s="127"/>
      <c r="G808" s="126"/>
      <c r="H808" s="127"/>
      <c r="I808" s="126"/>
      <c r="J808" s="126"/>
      <c r="K808" s="127"/>
      <c r="L808" s="126"/>
      <c r="M808" s="126"/>
      <c r="N808" s="127"/>
      <c r="O808" s="126"/>
      <c r="P808" s="126"/>
      <c r="Q808" s="127"/>
      <c r="R808" s="126"/>
      <c r="S808" s="126"/>
      <c r="T808" s="127"/>
      <c r="U808" s="126"/>
      <c r="V808" s="126"/>
      <c r="W808" s="127"/>
      <c r="X808" s="126"/>
      <c r="Y808" s="126"/>
      <c r="Z808" s="127"/>
      <c r="AA808" s="126"/>
      <c r="AB808" s="126"/>
      <c r="AC808" s="127"/>
      <c r="AD808" s="126"/>
      <c r="AE808" s="126"/>
      <c r="AF808" s="126"/>
      <c r="AG808" s="127"/>
      <c r="AH808" s="126"/>
      <c r="AI808" s="126"/>
      <c r="AJ808" s="127"/>
      <c r="AK808" s="126"/>
      <c r="AL808" s="126"/>
      <c r="AM808" s="127"/>
      <c r="AN808" s="126"/>
      <c r="AO808" s="126"/>
      <c r="AP808" s="127"/>
      <c r="AQ808" s="126"/>
      <c r="AR808" s="126"/>
      <c r="AS808" s="127"/>
      <c r="AT808" s="126"/>
      <c r="AU808" s="126"/>
      <c r="AV808" s="127"/>
      <c r="AW808" s="126"/>
      <c r="AX808" s="126"/>
      <c r="AY808" s="127"/>
      <c r="AZ808" s="126"/>
      <c r="BA808" s="126"/>
      <c r="BB808" s="127"/>
      <c r="BC808" s="126"/>
      <c r="BD808" s="134"/>
      <c r="BE808" s="127"/>
      <c r="BF808" s="126"/>
      <c r="BG808" s="126"/>
      <c r="BH808" s="126"/>
      <c r="BI808" s="126"/>
      <c r="BJ808" s="126"/>
      <c r="BK808" s="126"/>
      <c r="BL808" s="126"/>
      <c r="BM808" s="126"/>
      <c r="BN808" s="126"/>
      <c r="BO808" s="126"/>
      <c r="BP808" s="126"/>
      <c r="BQ808" s="126"/>
      <c r="BR808" s="126"/>
      <c r="BS808" s="126"/>
      <c r="BT808" s="126"/>
      <c r="BU808" s="126"/>
      <c r="BV808" s="126"/>
      <c r="BW808" s="126"/>
      <c r="BX808" s="126"/>
    </row>
    <row r="809">
      <c r="A809" s="126"/>
      <c r="B809" s="126"/>
      <c r="C809" s="127"/>
      <c r="D809" s="126"/>
      <c r="E809" s="126"/>
      <c r="F809" s="127"/>
      <c r="G809" s="126"/>
      <c r="H809" s="127"/>
      <c r="I809" s="126"/>
      <c r="J809" s="126"/>
      <c r="K809" s="127"/>
      <c r="L809" s="126"/>
      <c r="M809" s="126"/>
      <c r="N809" s="127"/>
      <c r="O809" s="126"/>
      <c r="P809" s="126"/>
      <c r="Q809" s="127"/>
      <c r="R809" s="126"/>
      <c r="S809" s="126"/>
      <c r="T809" s="127"/>
      <c r="U809" s="126"/>
      <c r="V809" s="126"/>
      <c r="W809" s="127"/>
      <c r="X809" s="126"/>
      <c r="Y809" s="126"/>
      <c r="Z809" s="127"/>
      <c r="AA809" s="126"/>
      <c r="AB809" s="126"/>
      <c r="AC809" s="127"/>
      <c r="AD809" s="126"/>
      <c r="AE809" s="126"/>
      <c r="AF809" s="126"/>
      <c r="AG809" s="127"/>
      <c r="AH809" s="126"/>
      <c r="AI809" s="126"/>
      <c r="AJ809" s="127"/>
      <c r="AK809" s="126"/>
      <c r="AL809" s="126"/>
      <c r="AM809" s="127"/>
      <c r="AN809" s="126"/>
      <c r="AO809" s="126"/>
      <c r="AP809" s="127"/>
      <c r="AQ809" s="126"/>
      <c r="AR809" s="126"/>
      <c r="AS809" s="127"/>
      <c r="AT809" s="126"/>
      <c r="AU809" s="126"/>
      <c r="AV809" s="127"/>
      <c r="AW809" s="126"/>
      <c r="AX809" s="126"/>
      <c r="AY809" s="127"/>
      <c r="AZ809" s="126"/>
      <c r="BA809" s="126"/>
      <c r="BB809" s="127"/>
      <c r="BC809" s="126"/>
      <c r="BD809" s="134"/>
      <c r="BE809" s="127"/>
      <c r="BF809" s="126"/>
      <c r="BG809" s="126"/>
      <c r="BH809" s="126"/>
      <c r="BI809" s="126"/>
      <c r="BJ809" s="126"/>
      <c r="BK809" s="126"/>
      <c r="BL809" s="126"/>
      <c r="BM809" s="126"/>
      <c r="BN809" s="126"/>
      <c r="BO809" s="126"/>
      <c r="BP809" s="126"/>
      <c r="BQ809" s="126"/>
      <c r="BR809" s="126"/>
      <c r="BS809" s="126"/>
      <c r="BT809" s="126"/>
      <c r="BU809" s="126"/>
      <c r="BV809" s="126"/>
      <c r="BW809" s="126"/>
      <c r="BX809" s="126"/>
    </row>
    <row r="810">
      <c r="A810" s="126"/>
      <c r="B810" s="126"/>
      <c r="C810" s="127"/>
      <c r="D810" s="126"/>
      <c r="E810" s="126"/>
      <c r="F810" s="127"/>
      <c r="G810" s="126"/>
      <c r="H810" s="127"/>
      <c r="I810" s="126"/>
      <c r="J810" s="126"/>
      <c r="K810" s="127"/>
      <c r="L810" s="126"/>
      <c r="M810" s="126"/>
      <c r="N810" s="127"/>
      <c r="O810" s="126"/>
      <c r="P810" s="126"/>
      <c r="Q810" s="127"/>
      <c r="R810" s="126"/>
      <c r="S810" s="126"/>
      <c r="T810" s="127"/>
      <c r="U810" s="126"/>
      <c r="V810" s="126"/>
      <c r="W810" s="127"/>
      <c r="X810" s="126"/>
      <c r="Y810" s="126"/>
      <c r="Z810" s="127"/>
      <c r="AA810" s="126"/>
      <c r="AB810" s="126"/>
      <c r="AC810" s="127"/>
      <c r="AD810" s="126"/>
      <c r="AE810" s="126"/>
      <c r="AF810" s="126"/>
      <c r="AG810" s="127"/>
      <c r="AH810" s="126"/>
      <c r="AI810" s="126"/>
      <c r="AJ810" s="127"/>
      <c r="AK810" s="126"/>
      <c r="AL810" s="126"/>
      <c r="AM810" s="127"/>
      <c r="AN810" s="126"/>
      <c r="AO810" s="126"/>
      <c r="AP810" s="127"/>
      <c r="AQ810" s="126"/>
      <c r="AR810" s="126"/>
      <c r="AS810" s="127"/>
      <c r="AT810" s="126"/>
      <c r="AU810" s="126"/>
      <c r="AV810" s="127"/>
      <c r="AW810" s="126"/>
      <c r="AX810" s="126"/>
      <c r="AY810" s="127"/>
      <c r="AZ810" s="126"/>
      <c r="BA810" s="126"/>
      <c r="BB810" s="127"/>
      <c r="BC810" s="126"/>
      <c r="BD810" s="134"/>
      <c r="BE810" s="127"/>
      <c r="BF810" s="126"/>
      <c r="BG810" s="126"/>
      <c r="BH810" s="126"/>
      <c r="BI810" s="126"/>
      <c r="BJ810" s="126"/>
      <c r="BK810" s="126"/>
      <c r="BL810" s="126"/>
      <c r="BM810" s="126"/>
      <c r="BN810" s="126"/>
      <c r="BO810" s="126"/>
      <c r="BP810" s="126"/>
      <c r="BQ810" s="126"/>
      <c r="BR810" s="126"/>
      <c r="BS810" s="126"/>
      <c r="BT810" s="126"/>
      <c r="BU810" s="126"/>
      <c r="BV810" s="126"/>
      <c r="BW810" s="126"/>
      <c r="BX810" s="126"/>
    </row>
    <row r="811">
      <c r="A811" s="126"/>
      <c r="B811" s="126"/>
      <c r="C811" s="127"/>
      <c r="D811" s="126"/>
      <c r="E811" s="126"/>
      <c r="F811" s="127"/>
      <c r="G811" s="126"/>
      <c r="H811" s="127"/>
      <c r="I811" s="126"/>
      <c r="J811" s="126"/>
      <c r="K811" s="127"/>
      <c r="L811" s="126"/>
      <c r="M811" s="126"/>
      <c r="N811" s="127"/>
      <c r="O811" s="126"/>
      <c r="P811" s="126"/>
      <c r="Q811" s="127"/>
      <c r="R811" s="126"/>
      <c r="S811" s="126"/>
      <c r="T811" s="127"/>
      <c r="U811" s="126"/>
      <c r="V811" s="126"/>
      <c r="W811" s="127"/>
      <c r="X811" s="126"/>
      <c r="Y811" s="126"/>
      <c r="Z811" s="127"/>
      <c r="AA811" s="126"/>
      <c r="AB811" s="126"/>
      <c r="AC811" s="127"/>
      <c r="AD811" s="126"/>
      <c r="AE811" s="126"/>
      <c r="AF811" s="126"/>
      <c r="AG811" s="127"/>
      <c r="AH811" s="126"/>
      <c r="AI811" s="126"/>
      <c r="AJ811" s="127"/>
      <c r="AK811" s="126"/>
      <c r="AL811" s="126"/>
      <c r="AM811" s="127"/>
      <c r="AN811" s="126"/>
      <c r="AO811" s="126"/>
      <c r="AP811" s="127"/>
      <c r="AQ811" s="126"/>
      <c r="AR811" s="126"/>
      <c r="AS811" s="127"/>
      <c r="AT811" s="126"/>
      <c r="AU811" s="126"/>
      <c r="AV811" s="127"/>
      <c r="AW811" s="126"/>
      <c r="AX811" s="126"/>
      <c r="AY811" s="127"/>
      <c r="AZ811" s="126"/>
      <c r="BA811" s="126"/>
      <c r="BB811" s="127"/>
      <c r="BC811" s="126"/>
      <c r="BD811" s="134"/>
      <c r="BE811" s="127"/>
      <c r="BF811" s="126"/>
      <c r="BG811" s="126"/>
      <c r="BH811" s="126"/>
      <c r="BI811" s="126"/>
      <c r="BJ811" s="126"/>
      <c r="BK811" s="126"/>
      <c r="BL811" s="126"/>
      <c r="BM811" s="126"/>
      <c r="BN811" s="126"/>
      <c r="BO811" s="126"/>
      <c r="BP811" s="126"/>
      <c r="BQ811" s="126"/>
      <c r="BR811" s="126"/>
      <c r="BS811" s="126"/>
      <c r="BT811" s="126"/>
      <c r="BU811" s="126"/>
      <c r="BV811" s="126"/>
      <c r="BW811" s="126"/>
      <c r="BX811" s="126"/>
    </row>
    <row r="812">
      <c r="A812" s="126"/>
      <c r="B812" s="126"/>
      <c r="C812" s="127"/>
      <c r="D812" s="126"/>
      <c r="E812" s="126"/>
      <c r="F812" s="127"/>
      <c r="G812" s="126"/>
      <c r="H812" s="127"/>
      <c r="I812" s="126"/>
      <c r="J812" s="126"/>
      <c r="K812" s="127"/>
      <c r="L812" s="126"/>
      <c r="M812" s="126"/>
      <c r="N812" s="127"/>
      <c r="O812" s="126"/>
      <c r="P812" s="126"/>
      <c r="Q812" s="127"/>
      <c r="R812" s="126"/>
      <c r="S812" s="126"/>
      <c r="T812" s="127"/>
      <c r="U812" s="126"/>
      <c r="V812" s="126"/>
      <c r="W812" s="127"/>
      <c r="X812" s="126"/>
      <c r="Y812" s="126"/>
      <c r="Z812" s="127"/>
      <c r="AA812" s="126"/>
      <c r="AB812" s="126"/>
      <c r="AC812" s="127"/>
      <c r="AD812" s="126"/>
      <c r="AE812" s="126"/>
      <c r="AF812" s="126"/>
      <c r="AG812" s="127"/>
      <c r="AH812" s="126"/>
      <c r="AI812" s="126"/>
      <c r="AJ812" s="127"/>
      <c r="AK812" s="126"/>
      <c r="AL812" s="126"/>
      <c r="AM812" s="127"/>
      <c r="AN812" s="126"/>
      <c r="AO812" s="126"/>
      <c r="AP812" s="127"/>
      <c r="AQ812" s="126"/>
      <c r="AR812" s="126"/>
      <c r="AS812" s="127"/>
      <c r="AT812" s="126"/>
      <c r="AU812" s="126"/>
      <c r="AV812" s="127"/>
      <c r="AW812" s="126"/>
      <c r="AX812" s="126"/>
      <c r="AY812" s="127"/>
      <c r="AZ812" s="126"/>
      <c r="BA812" s="126"/>
      <c r="BB812" s="127"/>
      <c r="BC812" s="126"/>
      <c r="BD812" s="134"/>
      <c r="BE812" s="127"/>
      <c r="BF812" s="126"/>
      <c r="BG812" s="126"/>
      <c r="BH812" s="126"/>
      <c r="BI812" s="126"/>
      <c r="BJ812" s="126"/>
      <c r="BK812" s="126"/>
      <c r="BL812" s="126"/>
      <c r="BM812" s="126"/>
      <c r="BN812" s="126"/>
      <c r="BO812" s="126"/>
      <c r="BP812" s="126"/>
      <c r="BQ812" s="126"/>
      <c r="BR812" s="126"/>
      <c r="BS812" s="126"/>
      <c r="BT812" s="126"/>
      <c r="BU812" s="126"/>
      <c r="BV812" s="126"/>
      <c r="BW812" s="126"/>
      <c r="BX812" s="126"/>
    </row>
    <row r="813">
      <c r="A813" s="126"/>
      <c r="B813" s="126"/>
      <c r="C813" s="127"/>
      <c r="D813" s="126"/>
      <c r="E813" s="126"/>
      <c r="F813" s="127"/>
      <c r="G813" s="126"/>
      <c r="H813" s="127"/>
      <c r="I813" s="126"/>
      <c r="J813" s="126"/>
      <c r="K813" s="127"/>
      <c r="L813" s="126"/>
      <c r="M813" s="126"/>
      <c r="N813" s="127"/>
      <c r="O813" s="126"/>
      <c r="P813" s="126"/>
      <c r="Q813" s="127"/>
      <c r="R813" s="126"/>
      <c r="S813" s="126"/>
      <c r="T813" s="127"/>
      <c r="U813" s="126"/>
      <c r="V813" s="126"/>
      <c r="W813" s="127"/>
      <c r="X813" s="126"/>
      <c r="Y813" s="126"/>
      <c r="Z813" s="127"/>
      <c r="AA813" s="126"/>
      <c r="AB813" s="126"/>
      <c r="AC813" s="127"/>
      <c r="AD813" s="126"/>
      <c r="AE813" s="126"/>
      <c r="AF813" s="126"/>
      <c r="AG813" s="127"/>
      <c r="AH813" s="126"/>
      <c r="AI813" s="126"/>
      <c r="AJ813" s="127"/>
      <c r="AK813" s="126"/>
      <c r="AL813" s="126"/>
      <c r="AM813" s="127"/>
      <c r="AN813" s="126"/>
      <c r="AO813" s="126"/>
      <c r="AP813" s="127"/>
      <c r="AQ813" s="126"/>
      <c r="AR813" s="126"/>
      <c r="AS813" s="127"/>
      <c r="AT813" s="126"/>
      <c r="AU813" s="126"/>
      <c r="AV813" s="127"/>
      <c r="AW813" s="126"/>
      <c r="AX813" s="126"/>
      <c r="AY813" s="127"/>
      <c r="AZ813" s="126"/>
      <c r="BA813" s="126"/>
      <c r="BB813" s="127"/>
      <c r="BC813" s="126"/>
      <c r="BD813" s="134"/>
      <c r="BE813" s="127"/>
      <c r="BF813" s="126"/>
      <c r="BG813" s="126"/>
      <c r="BH813" s="126"/>
      <c r="BI813" s="126"/>
      <c r="BJ813" s="126"/>
      <c r="BK813" s="126"/>
      <c r="BL813" s="126"/>
      <c r="BM813" s="126"/>
      <c r="BN813" s="126"/>
      <c r="BO813" s="126"/>
      <c r="BP813" s="126"/>
      <c r="BQ813" s="126"/>
      <c r="BR813" s="126"/>
      <c r="BS813" s="126"/>
      <c r="BT813" s="126"/>
      <c r="BU813" s="126"/>
      <c r="BV813" s="126"/>
      <c r="BW813" s="126"/>
      <c r="BX813" s="126"/>
    </row>
    <row r="814">
      <c r="A814" s="126"/>
      <c r="B814" s="126"/>
      <c r="C814" s="127"/>
      <c r="D814" s="126"/>
      <c r="E814" s="126"/>
      <c r="F814" s="127"/>
      <c r="G814" s="126"/>
      <c r="H814" s="127"/>
      <c r="I814" s="126"/>
      <c r="J814" s="126"/>
      <c r="K814" s="127"/>
      <c r="L814" s="126"/>
      <c r="M814" s="126"/>
      <c r="N814" s="127"/>
      <c r="O814" s="126"/>
      <c r="P814" s="126"/>
      <c r="Q814" s="127"/>
      <c r="R814" s="126"/>
      <c r="S814" s="126"/>
      <c r="T814" s="127"/>
      <c r="U814" s="126"/>
      <c r="V814" s="126"/>
      <c r="W814" s="127"/>
      <c r="X814" s="126"/>
      <c r="Y814" s="126"/>
      <c r="Z814" s="127"/>
      <c r="AA814" s="126"/>
      <c r="AB814" s="126"/>
      <c r="AC814" s="127"/>
      <c r="AD814" s="126"/>
      <c r="AE814" s="126"/>
      <c r="AF814" s="126"/>
      <c r="AG814" s="127"/>
      <c r="AH814" s="126"/>
      <c r="AI814" s="126"/>
      <c r="AJ814" s="127"/>
      <c r="AK814" s="126"/>
      <c r="AL814" s="126"/>
      <c r="AM814" s="127"/>
      <c r="AN814" s="126"/>
      <c r="AO814" s="126"/>
      <c r="AP814" s="127"/>
      <c r="AQ814" s="126"/>
      <c r="AR814" s="126"/>
      <c r="AS814" s="127"/>
      <c r="AT814" s="126"/>
      <c r="AU814" s="126"/>
      <c r="AV814" s="127"/>
      <c r="AW814" s="126"/>
      <c r="AX814" s="126"/>
      <c r="AY814" s="127"/>
      <c r="AZ814" s="126"/>
      <c r="BA814" s="126"/>
      <c r="BB814" s="127"/>
      <c r="BC814" s="126"/>
      <c r="BD814" s="134"/>
      <c r="BE814" s="127"/>
      <c r="BF814" s="126"/>
      <c r="BG814" s="126"/>
      <c r="BH814" s="126"/>
      <c r="BI814" s="126"/>
      <c r="BJ814" s="126"/>
      <c r="BK814" s="126"/>
      <c r="BL814" s="126"/>
      <c r="BM814" s="126"/>
      <c r="BN814" s="126"/>
      <c r="BO814" s="126"/>
      <c r="BP814" s="126"/>
      <c r="BQ814" s="126"/>
      <c r="BR814" s="126"/>
      <c r="BS814" s="126"/>
      <c r="BT814" s="126"/>
      <c r="BU814" s="126"/>
      <c r="BV814" s="126"/>
      <c r="BW814" s="126"/>
      <c r="BX814" s="126"/>
    </row>
    <row r="815">
      <c r="A815" s="126"/>
      <c r="B815" s="126"/>
      <c r="C815" s="127"/>
      <c r="D815" s="126"/>
      <c r="E815" s="126"/>
      <c r="F815" s="127"/>
      <c r="G815" s="126"/>
      <c r="H815" s="127"/>
      <c r="I815" s="126"/>
      <c r="J815" s="126"/>
      <c r="K815" s="127"/>
      <c r="L815" s="126"/>
      <c r="M815" s="126"/>
      <c r="N815" s="127"/>
      <c r="O815" s="126"/>
      <c r="P815" s="126"/>
      <c r="Q815" s="127"/>
      <c r="R815" s="126"/>
      <c r="S815" s="126"/>
      <c r="T815" s="127"/>
      <c r="U815" s="126"/>
      <c r="V815" s="126"/>
      <c r="W815" s="127"/>
      <c r="X815" s="126"/>
      <c r="Y815" s="126"/>
      <c r="Z815" s="127"/>
      <c r="AA815" s="126"/>
      <c r="AB815" s="126"/>
      <c r="AC815" s="127"/>
      <c r="AD815" s="126"/>
      <c r="AE815" s="126"/>
      <c r="AF815" s="126"/>
      <c r="AG815" s="127"/>
      <c r="AH815" s="126"/>
      <c r="AI815" s="126"/>
      <c r="AJ815" s="127"/>
      <c r="AK815" s="126"/>
      <c r="AL815" s="126"/>
      <c r="AM815" s="127"/>
      <c r="AN815" s="126"/>
      <c r="AO815" s="126"/>
      <c r="AP815" s="127"/>
      <c r="AQ815" s="126"/>
      <c r="AR815" s="126"/>
      <c r="AS815" s="127"/>
      <c r="AT815" s="126"/>
      <c r="AU815" s="126"/>
      <c r="AV815" s="127"/>
      <c r="AW815" s="126"/>
      <c r="AX815" s="126"/>
      <c r="AY815" s="127"/>
      <c r="AZ815" s="126"/>
      <c r="BA815" s="126"/>
      <c r="BB815" s="127"/>
      <c r="BC815" s="126"/>
      <c r="BD815" s="134"/>
      <c r="BE815" s="127"/>
      <c r="BF815" s="126"/>
      <c r="BG815" s="126"/>
      <c r="BH815" s="126"/>
      <c r="BI815" s="126"/>
      <c r="BJ815" s="126"/>
      <c r="BK815" s="126"/>
      <c r="BL815" s="126"/>
      <c r="BM815" s="126"/>
      <c r="BN815" s="126"/>
      <c r="BO815" s="126"/>
      <c r="BP815" s="126"/>
      <c r="BQ815" s="126"/>
      <c r="BR815" s="126"/>
      <c r="BS815" s="126"/>
      <c r="BT815" s="126"/>
      <c r="BU815" s="126"/>
      <c r="BV815" s="126"/>
      <c r="BW815" s="126"/>
      <c r="BX815" s="126"/>
    </row>
    <row r="816">
      <c r="A816" s="126"/>
      <c r="B816" s="126"/>
      <c r="C816" s="127"/>
      <c r="D816" s="126"/>
      <c r="E816" s="126"/>
      <c r="F816" s="127"/>
      <c r="G816" s="126"/>
      <c r="H816" s="127"/>
      <c r="I816" s="126"/>
      <c r="J816" s="126"/>
      <c r="K816" s="127"/>
      <c r="L816" s="126"/>
      <c r="M816" s="126"/>
      <c r="N816" s="127"/>
      <c r="O816" s="126"/>
      <c r="P816" s="126"/>
      <c r="Q816" s="127"/>
      <c r="R816" s="126"/>
      <c r="S816" s="126"/>
      <c r="T816" s="127"/>
      <c r="U816" s="126"/>
      <c r="V816" s="126"/>
      <c r="W816" s="127"/>
      <c r="X816" s="126"/>
      <c r="Y816" s="126"/>
      <c r="Z816" s="127"/>
      <c r="AA816" s="126"/>
      <c r="AB816" s="126"/>
      <c r="AC816" s="127"/>
      <c r="AD816" s="126"/>
      <c r="AE816" s="126"/>
      <c r="AF816" s="126"/>
      <c r="AG816" s="127"/>
      <c r="AH816" s="126"/>
      <c r="AI816" s="126"/>
      <c r="AJ816" s="127"/>
      <c r="AK816" s="126"/>
      <c r="AL816" s="126"/>
      <c r="AM816" s="127"/>
      <c r="AN816" s="126"/>
      <c r="AO816" s="126"/>
      <c r="AP816" s="127"/>
      <c r="AQ816" s="126"/>
      <c r="AR816" s="126"/>
      <c r="AS816" s="127"/>
      <c r="AT816" s="126"/>
      <c r="AU816" s="126"/>
      <c r="AV816" s="127"/>
      <c r="AW816" s="126"/>
      <c r="AX816" s="126"/>
      <c r="AY816" s="127"/>
      <c r="AZ816" s="126"/>
      <c r="BA816" s="126"/>
      <c r="BB816" s="127"/>
      <c r="BC816" s="126"/>
      <c r="BD816" s="134"/>
      <c r="BE816" s="127"/>
      <c r="BF816" s="126"/>
      <c r="BG816" s="126"/>
      <c r="BH816" s="126"/>
      <c r="BI816" s="126"/>
      <c r="BJ816" s="126"/>
      <c r="BK816" s="126"/>
      <c r="BL816" s="126"/>
      <c r="BM816" s="126"/>
      <c r="BN816" s="126"/>
      <c r="BO816" s="126"/>
      <c r="BP816" s="126"/>
      <c r="BQ816" s="126"/>
      <c r="BR816" s="126"/>
      <c r="BS816" s="126"/>
      <c r="BT816" s="126"/>
      <c r="BU816" s="126"/>
      <c r="BV816" s="126"/>
      <c r="BW816" s="126"/>
      <c r="BX816" s="126"/>
    </row>
    <row r="817">
      <c r="A817" s="126"/>
      <c r="B817" s="126"/>
      <c r="C817" s="127"/>
      <c r="D817" s="126"/>
      <c r="E817" s="126"/>
      <c r="F817" s="127"/>
      <c r="G817" s="126"/>
      <c r="H817" s="127"/>
      <c r="I817" s="126"/>
      <c r="J817" s="126"/>
      <c r="K817" s="127"/>
      <c r="L817" s="126"/>
      <c r="M817" s="126"/>
      <c r="N817" s="127"/>
      <c r="O817" s="126"/>
      <c r="P817" s="126"/>
      <c r="Q817" s="127"/>
      <c r="R817" s="126"/>
      <c r="S817" s="126"/>
      <c r="T817" s="127"/>
      <c r="U817" s="126"/>
      <c r="V817" s="126"/>
      <c r="W817" s="127"/>
      <c r="X817" s="126"/>
      <c r="Y817" s="126"/>
      <c r="Z817" s="127"/>
      <c r="AA817" s="126"/>
      <c r="AB817" s="126"/>
      <c r="AC817" s="127"/>
      <c r="AD817" s="126"/>
      <c r="AE817" s="126"/>
      <c r="AF817" s="126"/>
      <c r="AG817" s="127"/>
      <c r="AH817" s="126"/>
      <c r="AI817" s="126"/>
      <c r="AJ817" s="127"/>
      <c r="AK817" s="126"/>
      <c r="AL817" s="126"/>
      <c r="AM817" s="127"/>
      <c r="AN817" s="126"/>
      <c r="AO817" s="126"/>
      <c r="AP817" s="127"/>
      <c r="AQ817" s="126"/>
      <c r="AR817" s="126"/>
      <c r="AS817" s="127"/>
      <c r="AT817" s="126"/>
      <c r="AU817" s="126"/>
      <c r="AV817" s="127"/>
      <c r="AW817" s="126"/>
      <c r="AX817" s="126"/>
      <c r="AY817" s="127"/>
      <c r="AZ817" s="126"/>
      <c r="BA817" s="126"/>
      <c r="BB817" s="127"/>
      <c r="BC817" s="126"/>
      <c r="BD817" s="134"/>
      <c r="BE817" s="127"/>
      <c r="BF817" s="126"/>
      <c r="BG817" s="126"/>
      <c r="BH817" s="126"/>
      <c r="BI817" s="126"/>
      <c r="BJ817" s="126"/>
      <c r="BK817" s="126"/>
      <c r="BL817" s="126"/>
      <c r="BM817" s="126"/>
      <c r="BN817" s="126"/>
      <c r="BO817" s="126"/>
      <c r="BP817" s="126"/>
      <c r="BQ817" s="126"/>
      <c r="BR817" s="126"/>
      <c r="BS817" s="126"/>
      <c r="BT817" s="126"/>
      <c r="BU817" s="126"/>
      <c r="BV817" s="126"/>
      <c r="BW817" s="126"/>
      <c r="BX817" s="126"/>
    </row>
    <row r="818">
      <c r="A818" s="126"/>
      <c r="B818" s="126"/>
      <c r="C818" s="127"/>
      <c r="D818" s="126"/>
      <c r="E818" s="126"/>
      <c r="F818" s="127"/>
      <c r="G818" s="126"/>
      <c r="H818" s="127"/>
      <c r="I818" s="126"/>
      <c r="J818" s="126"/>
      <c r="K818" s="127"/>
      <c r="L818" s="126"/>
      <c r="M818" s="126"/>
      <c r="N818" s="127"/>
      <c r="O818" s="126"/>
      <c r="P818" s="126"/>
      <c r="Q818" s="127"/>
      <c r="R818" s="126"/>
      <c r="S818" s="126"/>
      <c r="T818" s="127"/>
      <c r="U818" s="126"/>
      <c r="V818" s="126"/>
      <c r="W818" s="127"/>
      <c r="X818" s="126"/>
      <c r="Y818" s="126"/>
      <c r="Z818" s="127"/>
      <c r="AA818" s="126"/>
      <c r="AB818" s="126"/>
      <c r="AC818" s="127"/>
      <c r="AD818" s="126"/>
      <c r="AE818" s="126"/>
      <c r="AF818" s="126"/>
      <c r="AG818" s="127"/>
      <c r="AH818" s="126"/>
      <c r="AI818" s="126"/>
      <c r="AJ818" s="127"/>
      <c r="AK818" s="126"/>
      <c r="AL818" s="126"/>
      <c r="AM818" s="127"/>
      <c r="AN818" s="126"/>
      <c r="AO818" s="126"/>
      <c r="AP818" s="127"/>
      <c r="AQ818" s="126"/>
      <c r="AR818" s="126"/>
      <c r="AS818" s="127"/>
      <c r="AT818" s="126"/>
      <c r="AU818" s="126"/>
      <c r="AV818" s="127"/>
      <c r="AW818" s="126"/>
      <c r="AX818" s="126"/>
      <c r="AY818" s="127"/>
      <c r="AZ818" s="126"/>
      <c r="BA818" s="126"/>
      <c r="BB818" s="127"/>
      <c r="BC818" s="126"/>
      <c r="BD818" s="134"/>
      <c r="BE818" s="127"/>
      <c r="BF818" s="126"/>
      <c r="BG818" s="126"/>
      <c r="BH818" s="126"/>
      <c r="BI818" s="126"/>
      <c r="BJ818" s="126"/>
      <c r="BK818" s="126"/>
      <c r="BL818" s="126"/>
      <c r="BM818" s="126"/>
      <c r="BN818" s="126"/>
      <c r="BO818" s="126"/>
      <c r="BP818" s="126"/>
      <c r="BQ818" s="126"/>
      <c r="BR818" s="126"/>
      <c r="BS818" s="126"/>
      <c r="BT818" s="126"/>
      <c r="BU818" s="126"/>
      <c r="BV818" s="126"/>
      <c r="BW818" s="126"/>
      <c r="BX818" s="126"/>
    </row>
    <row r="819">
      <c r="A819" s="126"/>
      <c r="B819" s="126"/>
      <c r="C819" s="127"/>
      <c r="D819" s="126"/>
      <c r="E819" s="126"/>
      <c r="F819" s="127"/>
      <c r="G819" s="126"/>
      <c r="H819" s="127"/>
      <c r="I819" s="126"/>
      <c r="J819" s="126"/>
      <c r="K819" s="127"/>
      <c r="L819" s="126"/>
      <c r="M819" s="126"/>
      <c r="N819" s="127"/>
      <c r="O819" s="126"/>
      <c r="P819" s="126"/>
      <c r="Q819" s="127"/>
      <c r="R819" s="126"/>
      <c r="S819" s="126"/>
      <c r="T819" s="127"/>
      <c r="U819" s="126"/>
      <c r="V819" s="126"/>
      <c r="W819" s="127"/>
      <c r="X819" s="126"/>
      <c r="Y819" s="126"/>
      <c r="Z819" s="127"/>
      <c r="AA819" s="126"/>
      <c r="AB819" s="126"/>
      <c r="AC819" s="127"/>
      <c r="AD819" s="126"/>
      <c r="AE819" s="126"/>
      <c r="AF819" s="126"/>
      <c r="AG819" s="127"/>
      <c r="AH819" s="126"/>
      <c r="AI819" s="126"/>
      <c r="AJ819" s="127"/>
      <c r="AK819" s="126"/>
      <c r="AL819" s="126"/>
      <c r="AM819" s="127"/>
      <c r="AN819" s="126"/>
      <c r="AO819" s="126"/>
      <c r="AP819" s="127"/>
      <c r="AQ819" s="126"/>
      <c r="AR819" s="126"/>
      <c r="AS819" s="127"/>
      <c r="AT819" s="126"/>
      <c r="AU819" s="126"/>
      <c r="AV819" s="127"/>
      <c r="AW819" s="126"/>
      <c r="AX819" s="126"/>
      <c r="AY819" s="127"/>
      <c r="AZ819" s="126"/>
      <c r="BA819" s="126"/>
      <c r="BB819" s="127"/>
      <c r="BC819" s="126"/>
      <c r="BD819" s="134"/>
      <c r="BE819" s="127"/>
      <c r="BF819" s="126"/>
      <c r="BG819" s="126"/>
      <c r="BH819" s="126"/>
      <c r="BI819" s="126"/>
      <c r="BJ819" s="126"/>
      <c r="BK819" s="126"/>
      <c r="BL819" s="126"/>
      <c r="BM819" s="126"/>
      <c r="BN819" s="126"/>
      <c r="BO819" s="126"/>
      <c r="BP819" s="126"/>
      <c r="BQ819" s="126"/>
      <c r="BR819" s="126"/>
      <c r="BS819" s="126"/>
      <c r="BT819" s="126"/>
      <c r="BU819" s="126"/>
      <c r="BV819" s="126"/>
      <c r="BW819" s="126"/>
      <c r="BX819" s="126"/>
    </row>
    <row r="820">
      <c r="A820" s="126"/>
      <c r="B820" s="126"/>
      <c r="C820" s="127"/>
      <c r="D820" s="126"/>
      <c r="E820" s="126"/>
      <c r="F820" s="127"/>
      <c r="G820" s="126"/>
      <c r="H820" s="127"/>
      <c r="I820" s="126"/>
      <c r="J820" s="126"/>
      <c r="K820" s="127"/>
      <c r="L820" s="126"/>
      <c r="M820" s="126"/>
      <c r="N820" s="127"/>
      <c r="O820" s="126"/>
      <c r="P820" s="126"/>
      <c r="Q820" s="127"/>
      <c r="R820" s="126"/>
      <c r="S820" s="126"/>
      <c r="T820" s="127"/>
      <c r="U820" s="126"/>
      <c r="V820" s="126"/>
      <c r="W820" s="127"/>
      <c r="X820" s="126"/>
      <c r="Y820" s="126"/>
      <c r="Z820" s="127"/>
      <c r="AA820" s="126"/>
      <c r="AB820" s="126"/>
      <c r="AC820" s="127"/>
      <c r="AD820" s="126"/>
      <c r="AE820" s="126"/>
      <c r="AF820" s="126"/>
      <c r="AG820" s="127"/>
      <c r="AH820" s="126"/>
      <c r="AI820" s="126"/>
      <c r="AJ820" s="127"/>
      <c r="AK820" s="126"/>
      <c r="AL820" s="126"/>
      <c r="AM820" s="127"/>
      <c r="AN820" s="126"/>
      <c r="AO820" s="126"/>
      <c r="AP820" s="127"/>
      <c r="AQ820" s="126"/>
      <c r="AR820" s="126"/>
      <c r="AS820" s="127"/>
      <c r="AT820" s="126"/>
      <c r="AU820" s="126"/>
      <c r="AV820" s="127"/>
      <c r="AW820" s="126"/>
      <c r="AX820" s="126"/>
      <c r="AY820" s="127"/>
      <c r="AZ820" s="126"/>
      <c r="BA820" s="126"/>
      <c r="BB820" s="127"/>
      <c r="BC820" s="126"/>
      <c r="BD820" s="134"/>
      <c r="BE820" s="127"/>
      <c r="BF820" s="126"/>
      <c r="BG820" s="126"/>
      <c r="BH820" s="126"/>
      <c r="BI820" s="126"/>
      <c r="BJ820" s="126"/>
      <c r="BK820" s="126"/>
      <c r="BL820" s="126"/>
      <c r="BM820" s="126"/>
      <c r="BN820" s="126"/>
      <c r="BO820" s="126"/>
      <c r="BP820" s="126"/>
      <c r="BQ820" s="126"/>
      <c r="BR820" s="126"/>
      <c r="BS820" s="126"/>
      <c r="BT820" s="126"/>
      <c r="BU820" s="126"/>
      <c r="BV820" s="126"/>
      <c r="BW820" s="126"/>
      <c r="BX820" s="126"/>
    </row>
    <row r="821">
      <c r="A821" s="126"/>
      <c r="B821" s="126"/>
      <c r="C821" s="127"/>
      <c r="D821" s="126"/>
      <c r="E821" s="126"/>
      <c r="F821" s="127"/>
      <c r="G821" s="126"/>
      <c r="H821" s="127"/>
      <c r="I821" s="126"/>
      <c r="J821" s="126"/>
      <c r="K821" s="127"/>
      <c r="L821" s="126"/>
      <c r="M821" s="126"/>
      <c r="N821" s="127"/>
      <c r="O821" s="126"/>
      <c r="P821" s="126"/>
      <c r="Q821" s="127"/>
      <c r="R821" s="126"/>
      <c r="S821" s="126"/>
      <c r="T821" s="127"/>
      <c r="U821" s="126"/>
      <c r="V821" s="126"/>
      <c r="W821" s="127"/>
      <c r="X821" s="126"/>
      <c r="Y821" s="126"/>
      <c r="Z821" s="127"/>
      <c r="AA821" s="126"/>
      <c r="AB821" s="126"/>
      <c r="AC821" s="127"/>
      <c r="AD821" s="126"/>
      <c r="AE821" s="126"/>
      <c r="AF821" s="126"/>
      <c r="AG821" s="127"/>
      <c r="AH821" s="126"/>
      <c r="AI821" s="126"/>
      <c r="AJ821" s="127"/>
      <c r="AK821" s="126"/>
      <c r="AL821" s="126"/>
      <c r="AM821" s="127"/>
      <c r="AN821" s="126"/>
      <c r="AO821" s="126"/>
      <c r="AP821" s="127"/>
      <c r="AQ821" s="126"/>
      <c r="AR821" s="126"/>
      <c r="AS821" s="127"/>
      <c r="AT821" s="126"/>
      <c r="AU821" s="126"/>
      <c r="AV821" s="127"/>
      <c r="AW821" s="126"/>
      <c r="AX821" s="126"/>
      <c r="AY821" s="127"/>
      <c r="AZ821" s="126"/>
      <c r="BA821" s="126"/>
      <c r="BB821" s="127"/>
      <c r="BC821" s="126"/>
      <c r="BD821" s="134"/>
      <c r="BE821" s="127"/>
      <c r="BF821" s="126"/>
      <c r="BG821" s="126"/>
      <c r="BH821" s="126"/>
      <c r="BI821" s="126"/>
      <c r="BJ821" s="126"/>
      <c r="BK821" s="126"/>
      <c r="BL821" s="126"/>
      <c r="BM821" s="126"/>
      <c r="BN821" s="126"/>
      <c r="BO821" s="126"/>
      <c r="BP821" s="126"/>
      <c r="BQ821" s="126"/>
      <c r="BR821" s="126"/>
      <c r="BS821" s="126"/>
      <c r="BT821" s="126"/>
      <c r="BU821" s="126"/>
      <c r="BV821" s="126"/>
      <c r="BW821" s="126"/>
      <c r="BX821" s="126"/>
    </row>
    <row r="822">
      <c r="A822" s="126"/>
      <c r="B822" s="126"/>
      <c r="C822" s="127"/>
      <c r="D822" s="126"/>
      <c r="E822" s="126"/>
      <c r="F822" s="127"/>
      <c r="G822" s="126"/>
      <c r="H822" s="127"/>
      <c r="I822" s="126"/>
      <c r="J822" s="126"/>
      <c r="K822" s="127"/>
      <c r="L822" s="126"/>
      <c r="M822" s="126"/>
      <c r="N822" s="127"/>
      <c r="O822" s="126"/>
      <c r="P822" s="126"/>
      <c r="Q822" s="127"/>
      <c r="R822" s="126"/>
      <c r="S822" s="126"/>
      <c r="T822" s="127"/>
      <c r="U822" s="126"/>
      <c r="V822" s="126"/>
      <c r="W822" s="127"/>
      <c r="X822" s="126"/>
      <c r="Y822" s="126"/>
      <c r="Z822" s="127"/>
      <c r="AA822" s="126"/>
      <c r="AB822" s="126"/>
      <c r="AC822" s="127"/>
      <c r="AD822" s="126"/>
      <c r="AE822" s="126"/>
      <c r="AF822" s="126"/>
      <c r="AG822" s="127"/>
      <c r="AH822" s="126"/>
      <c r="AI822" s="126"/>
      <c r="AJ822" s="127"/>
      <c r="AK822" s="126"/>
      <c r="AL822" s="126"/>
      <c r="AM822" s="127"/>
      <c r="AN822" s="126"/>
      <c r="AO822" s="126"/>
      <c r="AP822" s="127"/>
      <c r="AQ822" s="126"/>
      <c r="AR822" s="126"/>
      <c r="AS822" s="127"/>
      <c r="AT822" s="126"/>
      <c r="AU822" s="126"/>
      <c r="AV822" s="127"/>
      <c r="AW822" s="126"/>
      <c r="AX822" s="126"/>
      <c r="AY822" s="127"/>
      <c r="AZ822" s="126"/>
      <c r="BA822" s="126"/>
      <c r="BB822" s="127"/>
      <c r="BC822" s="126"/>
      <c r="BD822" s="134"/>
      <c r="BE822" s="127"/>
      <c r="BF822" s="126"/>
      <c r="BG822" s="126"/>
      <c r="BH822" s="126"/>
      <c r="BI822" s="126"/>
      <c r="BJ822" s="126"/>
      <c r="BK822" s="126"/>
      <c r="BL822" s="126"/>
      <c r="BM822" s="126"/>
      <c r="BN822" s="126"/>
      <c r="BO822" s="126"/>
      <c r="BP822" s="126"/>
      <c r="BQ822" s="126"/>
      <c r="BR822" s="126"/>
      <c r="BS822" s="126"/>
      <c r="BT822" s="126"/>
      <c r="BU822" s="126"/>
      <c r="BV822" s="126"/>
      <c r="BW822" s="126"/>
      <c r="BX822" s="126"/>
    </row>
    <row r="823">
      <c r="A823" s="126"/>
      <c r="B823" s="126"/>
      <c r="C823" s="127"/>
      <c r="D823" s="126"/>
      <c r="E823" s="126"/>
      <c r="F823" s="127"/>
      <c r="G823" s="126"/>
      <c r="H823" s="127"/>
      <c r="I823" s="126"/>
      <c r="J823" s="126"/>
      <c r="K823" s="127"/>
      <c r="L823" s="126"/>
      <c r="M823" s="126"/>
      <c r="N823" s="127"/>
      <c r="O823" s="126"/>
      <c r="P823" s="126"/>
      <c r="Q823" s="127"/>
      <c r="R823" s="126"/>
      <c r="S823" s="126"/>
      <c r="T823" s="127"/>
      <c r="U823" s="126"/>
      <c r="V823" s="126"/>
      <c r="W823" s="127"/>
      <c r="X823" s="126"/>
      <c r="Y823" s="126"/>
      <c r="Z823" s="127"/>
      <c r="AA823" s="126"/>
      <c r="AB823" s="126"/>
      <c r="AC823" s="127"/>
      <c r="AD823" s="126"/>
      <c r="AE823" s="126"/>
      <c r="AF823" s="126"/>
      <c r="AG823" s="127"/>
      <c r="AH823" s="126"/>
      <c r="AI823" s="126"/>
      <c r="AJ823" s="127"/>
      <c r="AK823" s="126"/>
      <c r="AL823" s="126"/>
      <c r="AM823" s="127"/>
      <c r="AN823" s="126"/>
      <c r="AO823" s="126"/>
      <c r="AP823" s="127"/>
      <c r="AQ823" s="126"/>
      <c r="AR823" s="126"/>
      <c r="AS823" s="127"/>
      <c r="AT823" s="126"/>
      <c r="AU823" s="126"/>
      <c r="AV823" s="127"/>
      <c r="AW823" s="126"/>
      <c r="AX823" s="126"/>
      <c r="AY823" s="127"/>
      <c r="AZ823" s="126"/>
      <c r="BA823" s="126"/>
      <c r="BB823" s="127"/>
      <c r="BC823" s="126"/>
      <c r="BD823" s="134"/>
      <c r="BE823" s="127"/>
      <c r="BF823" s="126"/>
      <c r="BG823" s="126"/>
      <c r="BH823" s="126"/>
      <c r="BI823" s="126"/>
      <c r="BJ823" s="126"/>
      <c r="BK823" s="126"/>
      <c r="BL823" s="126"/>
      <c r="BM823" s="126"/>
      <c r="BN823" s="126"/>
      <c r="BO823" s="126"/>
      <c r="BP823" s="126"/>
      <c r="BQ823" s="126"/>
      <c r="BR823" s="126"/>
      <c r="BS823" s="126"/>
      <c r="BT823" s="126"/>
      <c r="BU823" s="126"/>
      <c r="BV823" s="126"/>
      <c r="BW823" s="126"/>
      <c r="BX823" s="126"/>
    </row>
    <row r="824">
      <c r="A824" s="126"/>
      <c r="B824" s="126"/>
      <c r="C824" s="127"/>
      <c r="D824" s="126"/>
      <c r="E824" s="126"/>
      <c r="F824" s="127"/>
      <c r="G824" s="126"/>
      <c r="H824" s="127"/>
      <c r="I824" s="126"/>
      <c r="J824" s="126"/>
      <c r="K824" s="127"/>
      <c r="L824" s="126"/>
      <c r="M824" s="126"/>
      <c r="N824" s="127"/>
      <c r="O824" s="126"/>
      <c r="P824" s="126"/>
      <c r="Q824" s="127"/>
      <c r="R824" s="126"/>
      <c r="S824" s="126"/>
      <c r="T824" s="127"/>
      <c r="U824" s="126"/>
      <c r="V824" s="126"/>
      <c r="W824" s="127"/>
      <c r="X824" s="126"/>
      <c r="Y824" s="126"/>
      <c r="Z824" s="127"/>
      <c r="AA824" s="126"/>
      <c r="AB824" s="126"/>
      <c r="AC824" s="127"/>
      <c r="AD824" s="126"/>
      <c r="AE824" s="126"/>
      <c r="AF824" s="126"/>
      <c r="AG824" s="127"/>
      <c r="AH824" s="126"/>
      <c r="AI824" s="126"/>
      <c r="AJ824" s="127"/>
      <c r="AK824" s="126"/>
      <c r="AL824" s="126"/>
      <c r="AM824" s="127"/>
      <c r="AN824" s="126"/>
      <c r="AO824" s="126"/>
      <c r="AP824" s="127"/>
      <c r="AQ824" s="126"/>
      <c r="AR824" s="126"/>
      <c r="AS824" s="127"/>
      <c r="AT824" s="126"/>
      <c r="AU824" s="126"/>
      <c r="AV824" s="127"/>
      <c r="AW824" s="126"/>
      <c r="AX824" s="126"/>
      <c r="AY824" s="127"/>
      <c r="AZ824" s="126"/>
      <c r="BA824" s="126"/>
      <c r="BB824" s="127"/>
      <c r="BC824" s="126"/>
      <c r="BD824" s="134"/>
      <c r="BE824" s="127"/>
      <c r="BF824" s="126"/>
      <c r="BG824" s="126"/>
      <c r="BH824" s="126"/>
      <c r="BI824" s="126"/>
      <c r="BJ824" s="126"/>
      <c r="BK824" s="126"/>
      <c r="BL824" s="126"/>
      <c r="BM824" s="126"/>
      <c r="BN824" s="126"/>
      <c r="BO824" s="126"/>
      <c r="BP824" s="126"/>
      <c r="BQ824" s="126"/>
      <c r="BR824" s="126"/>
      <c r="BS824" s="126"/>
      <c r="BT824" s="126"/>
      <c r="BU824" s="126"/>
      <c r="BV824" s="126"/>
      <c r="BW824" s="126"/>
      <c r="BX824" s="126"/>
    </row>
    <row r="825">
      <c r="A825" s="126"/>
      <c r="B825" s="126"/>
      <c r="C825" s="127"/>
      <c r="D825" s="126"/>
      <c r="E825" s="126"/>
      <c r="F825" s="127"/>
      <c r="G825" s="126"/>
      <c r="H825" s="127"/>
      <c r="I825" s="126"/>
      <c r="J825" s="126"/>
      <c r="K825" s="127"/>
      <c r="L825" s="126"/>
      <c r="M825" s="126"/>
      <c r="N825" s="127"/>
      <c r="O825" s="126"/>
      <c r="P825" s="126"/>
      <c r="Q825" s="127"/>
      <c r="R825" s="126"/>
      <c r="S825" s="126"/>
      <c r="T825" s="127"/>
      <c r="U825" s="126"/>
      <c r="V825" s="126"/>
      <c r="W825" s="127"/>
      <c r="X825" s="126"/>
      <c r="Y825" s="126"/>
      <c r="Z825" s="127"/>
      <c r="AA825" s="126"/>
      <c r="AB825" s="126"/>
      <c r="AC825" s="127"/>
      <c r="AD825" s="126"/>
      <c r="AE825" s="126"/>
      <c r="AF825" s="126"/>
      <c r="AG825" s="127"/>
      <c r="AH825" s="126"/>
      <c r="AI825" s="126"/>
      <c r="AJ825" s="127"/>
      <c r="AK825" s="126"/>
      <c r="AL825" s="126"/>
      <c r="AM825" s="127"/>
      <c r="AN825" s="126"/>
      <c r="AO825" s="126"/>
      <c r="AP825" s="127"/>
      <c r="AQ825" s="126"/>
      <c r="AR825" s="126"/>
      <c r="AS825" s="127"/>
      <c r="AT825" s="126"/>
      <c r="AU825" s="126"/>
      <c r="AV825" s="127"/>
      <c r="AW825" s="126"/>
      <c r="AX825" s="126"/>
      <c r="AY825" s="127"/>
      <c r="AZ825" s="126"/>
      <c r="BA825" s="126"/>
      <c r="BB825" s="127"/>
      <c r="BC825" s="126"/>
      <c r="BD825" s="134"/>
      <c r="BE825" s="127"/>
      <c r="BF825" s="126"/>
      <c r="BG825" s="126"/>
      <c r="BH825" s="126"/>
      <c r="BI825" s="126"/>
      <c r="BJ825" s="126"/>
      <c r="BK825" s="126"/>
      <c r="BL825" s="126"/>
      <c r="BM825" s="126"/>
      <c r="BN825" s="126"/>
      <c r="BO825" s="126"/>
      <c r="BP825" s="126"/>
      <c r="BQ825" s="126"/>
      <c r="BR825" s="126"/>
      <c r="BS825" s="126"/>
      <c r="BT825" s="126"/>
      <c r="BU825" s="126"/>
      <c r="BV825" s="126"/>
      <c r="BW825" s="126"/>
      <c r="BX825" s="126"/>
    </row>
    <row r="826">
      <c r="A826" s="126"/>
      <c r="B826" s="126"/>
      <c r="C826" s="127"/>
      <c r="D826" s="126"/>
      <c r="E826" s="126"/>
      <c r="F826" s="127"/>
      <c r="G826" s="126"/>
      <c r="H826" s="127"/>
      <c r="I826" s="126"/>
      <c r="J826" s="126"/>
      <c r="K826" s="127"/>
      <c r="L826" s="126"/>
      <c r="M826" s="126"/>
      <c r="N826" s="127"/>
      <c r="O826" s="126"/>
      <c r="P826" s="126"/>
      <c r="Q826" s="127"/>
      <c r="R826" s="126"/>
      <c r="S826" s="126"/>
      <c r="T826" s="127"/>
      <c r="U826" s="126"/>
      <c r="V826" s="126"/>
      <c r="W826" s="127"/>
      <c r="X826" s="126"/>
      <c r="Y826" s="126"/>
      <c r="Z826" s="127"/>
      <c r="AA826" s="126"/>
      <c r="AB826" s="126"/>
      <c r="AC826" s="127"/>
      <c r="AD826" s="126"/>
      <c r="AE826" s="126"/>
      <c r="AF826" s="126"/>
      <c r="AG826" s="127"/>
      <c r="AH826" s="126"/>
      <c r="AI826" s="126"/>
      <c r="AJ826" s="127"/>
      <c r="AK826" s="126"/>
      <c r="AL826" s="126"/>
      <c r="AM826" s="127"/>
      <c r="AN826" s="126"/>
      <c r="AO826" s="126"/>
      <c r="AP826" s="127"/>
      <c r="AQ826" s="126"/>
      <c r="AR826" s="126"/>
      <c r="AS826" s="127"/>
      <c r="AT826" s="126"/>
      <c r="AU826" s="126"/>
      <c r="AV826" s="127"/>
      <c r="AW826" s="126"/>
      <c r="AX826" s="126"/>
      <c r="AY826" s="127"/>
      <c r="AZ826" s="126"/>
      <c r="BA826" s="126"/>
      <c r="BB826" s="127"/>
      <c r="BC826" s="126"/>
      <c r="BD826" s="134"/>
      <c r="BE826" s="127"/>
      <c r="BF826" s="126"/>
      <c r="BG826" s="126"/>
      <c r="BH826" s="126"/>
      <c r="BI826" s="126"/>
      <c r="BJ826" s="126"/>
      <c r="BK826" s="126"/>
      <c r="BL826" s="126"/>
      <c r="BM826" s="126"/>
      <c r="BN826" s="126"/>
      <c r="BO826" s="126"/>
      <c r="BP826" s="126"/>
      <c r="BQ826" s="126"/>
      <c r="BR826" s="126"/>
      <c r="BS826" s="126"/>
      <c r="BT826" s="126"/>
      <c r="BU826" s="126"/>
      <c r="BV826" s="126"/>
      <c r="BW826" s="126"/>
      <c r="BX826" s="126"/>
    </row>
    <row r="827">
      <c r="A827" s="126"/>
      <c r="B827" s="126"/>
      <c r="C827" s="127"/>
      <c r="D827" s="126"/>
      <c r="E827" s="126"/>
      <c r="F827" s="127"/>
      <c r="G827" s="126"/>
      <c r="H827" s="127"/>
      <c r="I827" s="126"/>
      <c r="J827" s="126"/>
      <c r="K827" s="127"/>
      <c r="L827" s="126"/>
      <c r="M827" s="126"/>
      <c r="N827" s="127"/>
      <c r="O827" s="126"/>
      <c r="P827" s="126"/>
      <c r="Q827" s="127"/>
      <c r="R827" s="126"/>
      <c r="S827" s="126"/>
      <c r="T827" s="127"/>
      <c r="U827" s="126"/>
      <c r="V827" s="126"/>
      <c r="W827" s="127"/>
      <c r="X827" s="126"/>
      <c r="Y827" s="126"/>
      <c r="Z827" s="127"/>
      <c r="AA827" s="126"/>
      <c r="AB827" s="126"/>
      <c r="AC827" s="127"/>
      <c r="AD827" s="126"/>
      <c r="AE827" s="126"/>
      <c r="AF827" s="126"/>
      <c r="AG827" s="127"/>
      <c r="AH827" s="126"/>
      <c r="AI827" s="126"/>
      <c r="AJ827" s="127"/>
      <c r="AK827" s="126"/>
      <c r="AL827" s="126"/>
      <c r="AM827" s="127"/>
      <c r="AN827" s="126"/>
      <c r="AO827" s="126"/>
      <c r="AP827" s="127"/>
      <c r="AQ827" s="126"/>
      <c r="AR827" s="126"/>
      <c r="AS827" s="127"/>
      <c r="AT827" s="126"/>
      <c r="AU827" s="126"/>
      <c r="AV827" s="127"/>
      <c r="AW827" s="126"/>
      <c r="AX827" s="126"/>
      <c r="AY827" s="127"/>
      <c r="AZ827" s="126"/>
      <c r="BA827" s="126"/>
      <c r="BB827" s="127"/>
      <c r="BC827" s="126"/>
      <c r="BD827" s="134"/>
      <c r="BE827" s="127"/>
      <c r="BF827" s="126"/>
      <c r="BG827" s="126"/>
      <c r="BH827" s="126"/>
      <c r="BI827" s="126"/>
      <c r="BJ827" s="126"/>
      <c r="BK827" s="126"/>
      <c r="BL827" s="126"/>
      <c r="BM827" s="126"/>
      <c r="BN827" s="126"/>
      <c r="BO827" s="126"/>
      <c r="BP827" s="126"/>
      <c r="BQ827" s="126"/>
      <c r="BR827" s="126"/>
      <c r="BS827" s="126"/>
      <c r="BT827" s="126"/>
      <c r="BU827" s="126"/>
      <c r="BV827" s="126"/>
      <c r="BW827" s="126"/>
      <c r="BX827" s="126"/>
    </row>
    <row r="828">
      <c r="A828" s="126"/>
      <c r="B828" s="126"/>
      <c r="C828" s="127"/>
      <c r="D828" s="126"/>
      <c r="E828" s="126"/>
      <c r="F828" s="127"/>
      <c r="G828" s="126"/>
      <c r="H828" s="127"/>
      <c r="I828" s="126"/>
      <c r="J828" s="126"/>
      <c r="K828" s="127"/>
      <c r="L828" s="126"/>
      <c r="M828" s="126"/>
      <c r="N828" s="127"/>
      <c r="O828" s="126"/>
      <c r="P828" s="126"/>
      <c r="Q828" s="127"/>
      <c r="R828" s="126"/>
      <c r="S828" s="126"/>
      <c r="T828" s="127"/>
      <c r="U828" s="126"/>
      <c r="V828" s="126"/>
      <c r="W828" s="127"/>
      <c r="X828" s="126"/>
      <c r="Y828" s="126"/>
      <c r="Z828" s="127"/>
      <c r="AA828" s="126"/>
      <c r="AB828" s="126"/>
      <c r="AC828" s="127"/>
      <c r="AD828" s="126"/>
      <c r="AE828" s="126"/>
      <c r="AF828" s="126"/>
      <c r="AG828" s="127"/>
      <c r="AH828" s="126"/>
      <c r="AI828" s="126"/>
      <c r="AJ828" s="127"/>
      <c r="AK828" s="126"/>
      <c r="AL828" s="126"/>
      <c r="AM828" s="127"/>
      <c r="AN828" s="126"/>
      <c r="AO828" s="126"/>
      <c r="AP828" s="127"/>
      <c r="AQ828" s="126"/>
      <c r="AR828" s="126"/>
      <c r="AS828" s="127"/>
      <c r="AT828" s="126"/>
      <c r="AU828" s="126"/>
      <c r="AV828" s="127"/>
      <c r="AW828" s="126"/>
      <c r="AX828" s="126"/>
      <c r="AY828" s="127"/>
      <c r="AZ828" s="126"/>
      <c r="BA828" s="126"/>
      <c r="BB828" s="127"/>
      <c r="BC828" s="126"/>
      <c r="BD828" s="134"/>
      <c r="BE828" s="127"/>
      <c r="BF828" s="126"/>
      <c r="BG828" s="126"/>
      <c r="BH828" s="126"/>
      <c r="BI828" s="126"/>
      <c r="BJ828" s="126"/>
      <c r="BK828" s="126"/>
      <c r="BL828" s="126"/>
      <c r="BM828" s="126"/>
      <c r="BN828" s="126"/>
      <c r="BO828" s="126"/>
      <c r="BP828" s="126"/>
      <c r="BQ828" s="126"/>
      <c r="BR828" s="126"/>
      <c r="BS828" s="126"/>
      <c r="BT828" s="126"/>
      <c r="BU828" s="126"/>
      <c r="BV828" s="126"/>
      <c r="BW828" s="126"/>
      <c r="BX828" s="126"/>
    </row>
    <row r="829">
      <c r="A829" s="126"/>
      <c r="B829" s="126"/>
      <c r="C829" s="127"/>
      <c r="D829" s="126"/>
      <c r="E829" s="126"/>
      <c r="F829" s="127"/>
      <c r="G829" s="126"/>
      <c r="H829" s="127"/>
      <c r="I829" s="126"/>
      <c r="J829" s="126"/>
      <c r="K829" s="127"/>
      <c r="L829" s="126"/>
      <c r="M829" s="126"/>
      <c r="N829" s="127"/>
      <c r="O829" s="126"/>
      <c r="P829" s="126"/>
      <c r="Q829" s="127"/>
      <c r="R829" s="126"/>
      <c r="S829" s="126"/>
      <c r="T829" s="127"/>
      <c r="U829" s="126"/>
      <c r="V829" s="126"/>
      <c r="W829" s="127"/>
      <c r="X829" s="126"/>
      <c r="Y829" s="126"/>
      <c r="Z829" s="127"/>
      <c r="AA829" s="126"/>
      <c r="AB829" s="126"/>
      <c r="AC829" s="127"/>
      <c r="AD829" s="126"/>
      <c r="AE829" s="126"/>
      <c r="AF829" s="126"/>
      <c r="AG829" s="127"/>
      <c r="AH829" s="126"/>
      <c r="AI829" s="126"/>
      <c r="AJ829" s="127"/>
      <c r="AK829" s="126"/>
      <c r="AL829" s="126"/>
      <c r="AM829" s="127"/>
      <c r="AN829" s="126"/>
      <c r="AO829" s="126"/>
      <c r="AP829" s="127"/>
      <c r="AQ829" s="126"/>
      <c r="AR829" s="126"/>
      <c r="AS829" s="127"/>
      <c r="AT829" s="126"/>
      <c r="AU829" s="126"/>
      <c r="AV829" s="127"/>
      <c r="AW829" s="126"/>
      <c r="AX829" s="126"/>
      <c r="AY829" s="127"/>
      <c r="AZ829" s="126"/>
      <c r="BA829" s="126"/>
      <c r="BB829" s="127"/>
      <c r="BC829" s="126"/>
      <c r="BD829" s="134"/>
      <c r="BE829" s="127"/>
      <c r="BF829" s="126"/>
      <c r="BG829" s="126"/>
      <c r="BH829" s="126"/>
      <c r="BI829" s="126"/>
      <c r="BJ829" s="126"/>
      <c r="BK829" s="126"/>
      <c r="BL829" s="126"/>
      <c r="BM829" s="126"/>
      <c r="BN829" s="126"/>
      <c r="BO829" s="126"/>
      <c r="BP829" s="126"/>
      <c r="BQ829" s="126"/>
      <c r="BR829" s="126"/>
      <c r="BS829" s="126"/>
      <c r="BT829" s="126"/>
      <c r="BU829" s="126"/>
      <c r="BV829" s="126"/>
      <c r="BW829" s="126"/>
      <c r="BX829" s="126"/>
    </row>
    <row r="830">
      <c r="A830" s="126"/>
      <c r="B830" s="126"/>
      <c r="C830" s="127"/>
      <c r="D830" s="126"/>
      <c r="E830" s="126"/>
      <c r="F830" s="127"/>
      <c r="G830" s="126"/>
      <c r="H830" s="127"/>
      <c r="I830" s="126"/>
      <c r="J830" s="126"/>
      <c r="K830" s="127"/>
      <c r="L830" s="126"/>
      <c r="M830" s="126"/>
      <c r="N830" s="127"/>
      <c r="O830" s="126"/>
      <c r="P830" s="126"/>
      <c r="Q830" s="127"/>
      <c r="R830" s="126"/>
      <c r="S830" s="126"/>
      <c r="T830" s="127"/>
      <c r="U830" s="126"/>
      <c r="V830" s="126"/>
      <c r="W830" s="127"/>
      <c r="X830" s="126"/>
      <c r="Y830" s="126"/>
      <c r="Z830" s="127"/>
      <c r="AA830" s="126"/>
      <c r="AB830" s="126"/>
      <c r="AC830" s="127"/>
      <c r="AD830" s="126"/>
      <c r="AE830" s="126"/>
      <c r="AF830" s="126"/>
      <c r="AG830" s="127"/>
      <c r="AH830" s="126"/>
      <c r="AI830" s="126"/>
      <c r="AJ830" s="127"/>
      <c r="AK830" s="126"/>
      <c r="AL830" s="126"/>
      <c r="AM830" s="127"/>
      <c r="AN830" s="126"/>
      <c r="AO830" s="126"/>
      <c r="AP830" s="127"/>
      <c r="AQ830" s="126"/>
      <c r="AR830" s="126"/>
      <c r="AS830" s="127"/>
      <c r="AT830" s="126"/>
      <c r="AU830" s="126"/>
      <c r="AV830" s="127"/>
      <c r="AW830" s="126"/>
      <c r="AX830" s="126"/>
      <c r="AY830" s="127"/>
      <c r="AZ830" s="126"/>
      <c r="BA830" s="126"/>
      <c r="BB830" s="127"/>
      <c r="BC830" s="126"/>
      <c r="BD830" s="134"/>
      <c r="BE830" s="127"/>
      <c r="BF830" s="126"/>
      <c r="BG830" s="126"/>
      <c r="BH830" s="126"/>
      <c r="BI830" s="126"/>
      <c r="BJ830" s="126"/>
      <c r="BK830" s="126"/>
      <c r="BL830" s="126"/>
      <c r="BM830" s="126"/>
      <c r="BN830" s="126"/>
      <c r="BO830" s="126"/>
      <c r="BP830" s="126"/>
      <c r="BQ830" s="126"/>
      <c r="BR830" s="126"/>
      <c r="BS830" s="126"/>
      <c r="BT830" s="126"/>
      <c r="BU830" s="126"/>
      <c r="BV830" s="126"/>
      <c r="BW830" s="126"/>
      <c r="BX830" s="126"/>
    </row>
    <row r="831">
      <c r="A831" s="126"/>
      <c r="B831" s="126"/>
      <c r="C831" s="127"/>
      <c r="D831" s="126"/>
      <c r="E831" s="126"/>
      <c r="F831" s="127"/>
      <c r="G831" s="126"/>
      <c r="H831" s="127"/>
      <c r="I831" s="126"/>
      <c r="J831" s="126"/>
      <c r="K831" s="127"/>
      <c r="L831" s="126"/>
      <c r="M831" s="126"/>
      <c r="N831" s="127"/>
      <c r="O831" s="126"/>
      <c r="P831" s="126"/>
      <c r="Q831" s="127"/>
      <c r="R831" s="126"/>
      <c r="S831" s="126"/>
      <c r="T831" s="127"/>
      <c r="U831" s="126"/>
      <c r="V831" s="126"/>
      <c r="W831" s="127"/>
      <c r="X831" s="126"/>
      <c r="Y831" s="126"/>
      <c r="Z831" s="127"/>
      <c r="AA831" s="126"/>
      <c r="AB831" s="126"/>
      <c r="AC831" s="127"/>
      <c r="AD831" s="126"/>
      <c r="AE831" s="126"/>
      <c r="AF831" s="126"/>
      <c r="AG831" s="127"/>
      <c r="AH831" s="126"/>
      <c r="AI831" s="126"/>
      <c r="AJ831" s="127"/>
      <c r="AK831" s="126"/>
      <c r="AL831" s="126"/>
      <c r="AM831" s="127"/>
      <c r="AN831" s="126"/>
      <c r="AO831" s="126"/>
      <c r="AP831" s="127"/>
      <c r="AQ831" s="126"/>
      <c r="AR831" s="126"/>
      <c r="AS831" s="127"/>
      <c r="AT831" s="126"/>
      <c r="AU831" s="126"/>
      <c r="AV831" s="127"/>
      <c r="AW831" s="126"/>
      <c r="AX831" s="126"/>
      <c r="AY831" s="127"/>
      <c r="AZ831" s="126"/>
      <c r="BA831" s="126"/>
      <c r="BB831" s="127"/>
      <c r="BC831" s="126"/>
      <c r="BD831" s="134"/>
      <c r="BE831" s="127"/>
      <c r="BF831" s="126"/>
      <c r="BG831" s="126"/>
      <c r="BH831" s="126"/>
      <c r="BI831" s="126"/>
      <c r="BJ831" s="126"/>
      <c r="BK831" s="126"/>
      <c r="BL831" s="126"/>
      <c r="BM831" s="126"/>
      <c r="BN831" s="126"/>
      <c r="BO831" s="126"/>
      <c r="BP831" s="126"/>
      <c r="BQ831" s="126"/>
      <c r="BR831" s="126"/>
      <c r="BS831" s="126"/>
      <c r="BT831" s="126"/>
      <c r="BU831" s="126"/>
      <c r="BV831" s="126"/>
      <c r="BW831" s="126"/>
      <c r="BX831" s="126"/>
    </row>
    <row r="832">
      <c r="A832" s="126"/>
      <c r="B832" s="126"/>
      <c r="C832" s="127"/>
      <c r="D832" s="126"/>
      <c r="E832" s="126"/>
      <c r="F832" s="127"/>
      <c r="G832" s="126"/>
      <c r="H832" s="127"/>
      <c r="I832" s="126"/>
      <c r="J832" s="126"/>
      <c r="K832" s="127"/>
      <c r="L832" s="126"/>
      <c r="M832" s="126"/>
      <c r="N832" s="127"/>
      <c r="O832" s="126"/>
      <c r="P832" s="126"/>
      <c r="Q832" s="127"/>
      <c r="R832" s="126"/>
      <c r="S832" s="126"/>
      <c r="T832" s="127"/>
      <c r="U832" s="126"/>
      <c r="V832" s="126"/>
      <c r="W832" s="127"/>
      <c r="X832" s="126"/>
      <c r="Y832" s="126"/>
      <c r="Z832" s="127"/>
      <c r="AA832" s="126"/>
      <c r="AB832" s="126"/>
      <c r="AC832" s="127"/>
      <c r="AD832" s="126"/>
      <c r="AE832" s="126"/>
      <c r="AF832" s="126"/>
      <c r="AG832" s="127"/>
      <c r="AH832" s="126"/>
      <c r="AI832" s="126"/>
      <c r="AJ832" s="127"/>
      <c r="AK832" s="126"/>
      <c r="AL832" s="126"/>
      <c r="AM832" s="127"/>
      <c r="AN832" s="126"/>
      <c r="AO832" s="126"/>
      <c r="AP832" s="127"/>
      <c r="AQ832" s="126"/>
      <c r="AR832" s="126"/>
      <c r="AS832" s="127"/>
      <c r="AT832" s="126"/>
      <c r="AU832" s="126"/>
      <c r="AV832" s="127"/>
      <c r="AW832" s="126"/>
      <c r="AX832" s="126"/>
      <c r="AY832" s="127"/>
      <c r="AZ832" s="126"/>
      <c r="BA832" s="126"/>
      <c r="BB832" s="127"/>
      <c r="BC832" s="126"/>
      <c r="BD832" s="134"/>
      <c r="BE832" s="127"/>
      <c r="BF832" s="126"/>
      <c r="BG832" s="126"/>
      <c r="BH832" s="126"/>
      <c r="BI832" s="126"/>
      <c r="BJ832" s="126"/>
      <c r="BK832" s="126"/>
      <c r="BL832" s="126"/>
      <c r="BM832" s="126"/>
      <c r="BN832" s="126"/>
      <c r="BO832" s="126"/>
      <c r="BP832" s="126"/>
      <c r="BQ832" s="126"/>
      <c r="BR832" s="126"/>
      <c r="BS832" s="126"/>
      <c r="BT832" s="126"/>
      <c r="BU832" s="126"/>
      <c r="BV832" s="126"/>
      <c r="BW832" s="126"/>
      <c r="BX832" s="126"/>
    </row>
    <row r="833">
      <c r="A833" s="126"/>
      <c r="B833" s="126"/>
      <c r="C833" s="127"/>
      <c r="D833" s="126"/>
      <c r="E833" s="126"/>
      <c r="F833" s="127"/>
      <c r="G833" s="126"/>
      <c r="H833" s="127"/>
      <c r="I833" s="126"/>
      <c r="J833" s="126"/>
      <c r="K833" s="127"/>
      <c r="L833" s="126"/>
      <c r="M833" s="126"/>
      <c r="N833" s="127"/>
      <c r="O833" s="126"/>
      <c r="P833" s="126"/>
      <c r="Q833" s="127"/>
      <c r="R833" s="126"/>
      <c r="S833" s="126"/>
      <c r="T833" s="127"/>
      <c r="U833" s="126"/>
      <c r="V833" s="126"/>
      <c r="W833" s="127"/>
      <c r="X833" s="126"/>
      <c r="Y833" s="126"/>
      <c r="Z833" s="127"/>
      <c r="AA833" s="126"/>
      <c r="AB833" s="126"/>
      <c r="AC833" s="127"/>
      <c r="AD833" s="126"/>
      <c r="AE833" s="126"/>
      <c r="AF833" s="126"/>
      <c r="AG833" s="127"/>
      <c r="AH833" s="126"/>
      <c r="AI833" s="126"/>
      <c r="AJ833" s="127"/>
      <c r="AK833" s="126"/>
      <c r="AL833" s="126"/>
      <c r="AM833" s="127"/>
      <c r="AN833" s="126"/>
      <c r="AO833" s="126"/>
      <c r="AP833" s="127"/>
      <c r="AQ833" s="126"/>
      <c r="AR833" s="126"/>
      <c r="AS833" s="127"/>
      <c r="AT833" s="126"/>
      <c r="AU833" s="126"/>
      <c r="AV833" s="127"/>
      <c r="AW833" s="126"/>
      <c r="AX833" s="126"/>
      <c r="AY833" s="127"/>
      <c r="AZ833" s="126"/>
      <c r="BA833" s="126"/>
      <c r="BB833" s="127"/>
      <c r="BC833" s="126"/>
      <c r="BD833" s="134"/>
      <c r="BE833" s="127"/>
      <c r="BF833" s="126"/>
      <c r="BG833" s="126"/>
      <c r="BH833" s="126"/>
      <c r="BI833" s="126"/>
      <c r="BJ833" s="126"/>
      <c r="BK833" s="126"/>
      <c r="BL833" s="126"/>
      <c r="BM833" s="126"/>
      <c r="BN833" s="126"/>
      <c r="BO833" s="126"/>
      <c r="BP833" s="126"/>
      <c r="BQ833" s="126"/>
      <c r="BR833" s="126"/>
      <c r="BS833" s="126"/>
      <c r="BT833" s="126"/>
      <c r="BU833" s="126"/>
      <c r="BV833" s="126"/>
      <c r="BW833" s="126"/>
      <c r="BX833" s="126"/>
    </row>
    <row r="834">
      <c r="A834" s="126"/>
      <c r="B834" s="126"/>
      <c r="C834" s="127"/>
      <c r="D834" s="126"/>
      <c r="E834" s="126"/>
      <c r="F834" s="127"/>
      <c r="G834" s="126"/>
      <c r="H834" s="127"/>
      <c r="I834" s="126"/>
      <c r="J834" s="126"/>
      <c r="K834" s="127"/>
      <c r="L834" s="126"/>
      <c r="M834" s="126"/>
      <c r="N834" s="127"/>
      <c r="O834" s="126"/>
      <c r="P834" s="126"/>
      <c r="Q834" s="127"/>
      <c r="R834" s="126"/>
      <c r="S834" s="126"/>
      <c r="T834" s="127"/>
      <c r="U834" s="126"/>
      <c r="V834" s="126"/>
      <c r="W834" s="127"/>
      <c r="X834" s="126"/>
      <c r="Y834" s="126"/>
      <c r="Z834" s="127"/>
      <c r="AA834" s="126"/>
      <c r="AB834" s="126"/>
      <c r="AC834" s="127"/>
      <c r="AD834" s="126"/>
      <c r="AE834" s="126"/>
      <c r="AF834" s="126"/>
      <c r="AG834" s="127"/>
      <c r="AH834" s="126"/>
      <c r="AI834" s="126"/>
      <c r="AJ834" s="127"/>
      <c r="AK834" s="126"/>
      <c r="AL834" s="126"/>
      <c r="AM834" s="127"/>
      <c r="AN834" s="126"/>
      <c r="AO834" s="126"/>
      <c r="AP834" s="127"/>
      <c r="AQ834" s="126"/>
      <c r="AR834" s="126"/>
      <c r="AS834" s="127"/>
      <c r="AT834" s="126"/>
      <c r="AU834" s="126"/>
      <c r="AV834" s="127"/>
      <c r="AW834" s="126"/>
      <c r="AX834" s="126"/>
      <c r="AY834" s="127"/>
      <c r="AZ834" s="126"/>
      <c r="BA834" s="126"/>
      <c r="BB834" s="127"/>
      <c r="BC834" s="126"/>
      <c r="BD834" s="134"/>
      <c r="BE834" s="127"/>
      <c r="BF834" s="126"/>
      <c r="BG834" s="126"/>
      <c r="BH834" s="126"/>
      <c r="BI834" s="126"/>
      <c r="BJ834" s="126"/>
      <c r="BK834" s="126"/>
      <c r="BL834" s="126"/>
      <c r="BM834" s="126"/>
      <c r="BN834" s="126"/>
      <c r="BO834" s="126"/>
      <c r="BP834" s="126"/>
      <c r="BQ834" s="126"/>
      <c r="BR834" s="126"/>
      <c r="BS834" s="126"/>
      <c r="BT834" s="126"/>
      <c r="BU834" s="126"/>
      <c r="BV834" s="126"/>
      <c r="BW834" s="126"/>
      <c r="BX834" s="126"/>
    </row>
    <row r="835">
      <c r="A835" s="126"/>
      <c r="B835" s="126"/>
      <c r="C835" s="127"/>
      <c r="D835" s="126"/>
      <c r="E835" s="126"/>
      <c r="F835" s="127"/>
      <c r="G835" s="126"/>
      <c r="H835" s="127"/>
      <c r="I835" s="126"/>
      <c r="J835" s="126"/>
      <c r="K835" s="127"/>
      <c r="L835" s="126"/>
      <c r="M835" s="126"/>
      <c r="N835" s="127"/>
      <c r="O835" s="126"/>
      <c r="P835" s="126"/>
      <c r="Q835" s="127"/>
      <c r="R835" s="126"/>
      <c r="S835" s="126"/>
      <c r="T835" s="127"/>
      <c r="U835" s="126"/>
      <c r="V835" s="126"/>
      <c r="W835" s="127"/>
      <c r="X835" s="126"/>
      <c r="Y835" s="126"/>
      <c r="Z835" s="127"/>
      <c r="AA835" s="126"/>
      <c r="AB835" s="126"/>
      <c r="AC835" s="127"/>
      <c r="AD835" s="126"/>
      <c r="AE835" s="126"/>
      <c r="AF835" s="126"/>
      <c r="AG835" s="127"/>
      <c r="AH835" s="126"/>
      <c r="AI835" s="126"/>
      <c r="AJ835" s="127"/>
      <c r="AK835" s="126"/>
      <c r="AL835" s="126"/>
      <c r="AM835" s="127"/>
      <c r="AN835" s="126"/>
      <c r="AO835" s="126"/>
      <c r="AP835" s="127"/>
      <c r="AQ835" s="126"/>
      <c r="AR835" s="126"/>
      <c r="AS835" s="127"/>
      <c r="AT835" s="126"/>
      <c r="AU835" s="126"/>
      <c r="AV835" s="127"/>
      <c r="AW835" s="126"/>
      <c r="AX835" s="126"/>
      <c r="AY835" s="127"/>
      <c r="AZ835" s="126"/>
      <c r="BA835" s="126"/>
      <c r="BB835" s="127"/>
      <c r="BC835" s="126"/>
      <c r="BD835" s="134"/>
      <c r="BE835" s="127"/>
      <c r="BF835" s="126"/>
      <c r="BG835" s="126"/>
      <c r="BH835" s="126"/>
      <c r="BI835" s="126"/>
      <c r="BJ835" s="126"/>
      <c r="BK835" s="126"/>
      <c r="BL835" s="126"/>
      <c r="BM835" s="126"/>
      <c r="BN835" s="126"/>
      <c r="BO835" s="126"/>
      <c r="BP835" s="126"/>
      <c r="BQ835" s="126"/>
      <c r="BR835" s="126"/>
      <c r="BS835" s="126"/>
      <c r="BT835" s="126"/>
      <c r="BU835" s="126"/>
      <c r="BV835" s="126"/>
      <c r="BW835" s="126"/>
      <c r="BX835" s="126"/>
    </row>
    <row r="836">
      <c r="A836" s="126"/>
      <c r="B836" s="126"/>
      <c r="C836" s="127"/>
      <c r="D836" s="126"/>
      <c r="E836" s="126"/>
      <c r="F836" s="127"/>
      <c r="G836" s="126"/>
      <c r="H836" s="127"/>
      <c r="I836" s="126"/>
      <c r="J836" s="126"/>
      <c r="K836" s="127"/>
      <c r="L836" s="126"/>
      <c r="M836" s="126"/>
      <c r="N836" s="127"/>
      <c r="O836" s="126"/>
      <c r="P836" s="126"/>
      <c r="Q836" s="127"/>
      <c r="R836" s="126"/>
      <c r="S836" s="126"/>
      <c r="T836" s="127"/>
      <c r="U836" s="126"/>
      <c r="V836" s="126"/>
      <c r="W836" s="127"/>
      <c r="X836" s="126"/>
      <c r="Y836" s="126"/>
      <c r="Z836" s="127"/>
      <c r="AA836" s="126"/>
      <c r="AB836" s="126"/>
      <c r="AC836" s="127"/>
      <c r="AD836" s="126"/>
      <c r="AE836" s="126"/>
      <c r="AF836" s="126"/>
      <c r="AG836" s="127"/>
      <c r="AH836" s="126"/>
      <c r="AI836" s="126"/>
      <c r="AJ836" s="127"/>
      <c r="AK836" s="126"/>
      <c r="AL836" s="126"/>
      <c r="AM836" s="127"/>
      <c r="AN836" s="126"/>
      <c r="AO836" s="126"/>
      <c r="AP836" s="127"/>
      <c r="AQ836" s="126"/>
      <c r="AR836" s="126"/>
      <c r="AS836" s="127"/>
      <c r="AT836" s="126"/>
      <c r="AU836" s="126"/>
      <c r="AV836" s="127"/>
      <c r="AW836" s="126"/>
      <c r="AX836" s="126"/>
      <c r="AY836" s="127"/>
      <c r="AZ836" s="126"/>
      <c r="BA836" s="126"/>
      <c r="BB836" s="127"/>
      <c r="BC836" s="126"/>
      <c r="BD836" s="134"/>
      <c r="BE836" s="127"/>
      <c r="BF836" s="126"/>
      <c r="BG836" s="126"/>
      <c r="BH836" s="126"/>
      <c r="BI836" s="126"/>
      <c r="BJ836" s="126"/>
      <c r="BK836" s="126"/>
      <c r="BL836" s="126"/>
      <c r="BM836" s="126"/>
      <c r="BN836" s="126"/>
      <c r="BO836" s="126"/>
      <c r="BP836" s="126"/>
      <c r="BQ836" s="126"/>
      <c r="BR836" s="126"/>
      <c r="BS836" s="126"/>
      <c r="BT836" s="126"/>
      <c r="BU836" s="126"/>
      <c r="BV836" s="126"/>
      <c r="BW836" s="126"/>
      <c r="BX836" s="126"/>
    </row>
    <row r="837">
      <c r="A837" s="126"/>
      <c r="B837" s="126"/>
      <c r="C837" s="127"/>
      <c r="D837" s="126"/>
      <c r="E837" s="126"/>
      <c r="F837" s="127"/>
      <c r="G837" s="126"/>
      <c r="H837" s="127"/>
      <c r="I837" s="126"/>
      <c r="J837" s="126"/>
      <c r="K837" s="127"/>
      <c r="L837" s="126"/>
      <c r="M837" s="126"/>
      <c r="N837" s="127"/>
      <c r="O837" s="126"/>
      <c r="P837" s="126"/>
      <c r="Q837" s="127"/>
      <c r="R837" s="126"/>
      <c r="S837" s="126"/>
      <c r="T837" s="127"/>
      <c r="U837" s="126"/>
      <c r="V837" s="126"/>
      <c r="W837" s="127"/>
      <c r="X837" s="126"/>
      <c r="Y837" s="126"/>
      <c r="Z837" s="127"/>
      <c r="AA837" s="126"/>
      <c r="AB837" s="126"/>
      <c r="AC837" s="127"/>
      <c r="AD837" s="126"/>
      <c r="AE837" s="126"/>
      <c r="AF837" s="126"/>
      <c r="AG837" s="127"/>
      <c r="AH837" s="126"/>
      <c r="AI837" s="126"/>
      <c r="AJ837" s="127"/>
      <c r="AK837" s="126"/>
      <c r="AL837" s="126"/>
      <c r="AM837" s="127"/>
      <c r="AN837" s="126"/>
      <c r="AO837" s="126"/>
      <c r="AP837" s="127"/>
      <c r="AQ837" s="126"/>
      <c r="AR837" s="126"/>
      <c r="AS837" s="127"/>
      <c r="AT837" s="126"/>
      <c r="AU837" s="126"/>
      <c r="AV837" s="127"/>
      <c r="AW837" s="126"/>
      <c r="AX837" s="126"/>
      <c r="AY837" s="127"/>
      <c r="AZ837" s="126"/>
      <c r="BA837" s="126"/>
      <c r="BB837" s="127"/>
      <c r="BC837" s="126"/>
      <c r="BD837" s="134"/>
      <c r="BE837" s="127"/>
      <c r="BF837" s="126"/>
      <c r="BG837" s="126"/>
      <c r="BH837" s="126"/>
      <c r="BI837" s="126"/>
      <c r="BJ837" s="126"/>
      <c r="BK837" s="126"/>
      <c r="BL837" s="126"/>
      <c r="BM837" s="126"/>
      <c r="BN837" s="126"/>
      <c r="BO837" s="126"/>
      <c r="BP837" s="126"/>
      <c r="BQ837" s="126"/>
      <c r="BR837" s="126"/>
      <c r="BS837" s="126"/>
      <c r="BT837" s="126"/>
      <c r="BU837" s="126"/>
      <c r="BV837" s="126"/>
      <c r="BW837" s="126"/>
      <c r="BX837" s="126"/>
    </row>
    <row r="838">
      <c r="A838" s="126"/>
      <c r="B838" s="126"/>
      <c r="C838" s="127"/>
      <c r="D838" s="126"/>
      <c r="E838" s="126"/>
      <c r="F838" s="127"/>
      <c r="G838" s="126"/>
      <c r="H838" s="127"/>
      <c r="I838" s="126"/>
      <c r="J838" s="126"/>
      <c r="K838" s="127"/>
      <c r="L838" s="126"/>
      <c r="M838" s="126"/>
      <c r="N838" s="127"/>
      <c r="O838" s="126"/>
      <c r="P838" s="126"/>
      <c r="Q838" s="127"/>
      <c r="R838" s="126"/>
      <c r="S838" s="126"/>
      <c r="T838" s="127"/>
      <c r="U838" s="126"/>
      <c r="V838" s="126"/>
      <c r="W838" s="127"/>
      <c r="X838" s="126"/>
      <c r="Y838" s="126"/>
      <c r="Z838" s="127"/>
      <c r="AA838" s="126"/>
      <c r="AB838" s="126"/>
      <c r="AC838" s="127"/>
      <c r="AD838" s="126"/>
      <c r="AE838" s="126"/>
      <c r="AF838" s="126"/>
      <c r="AG838" s="127"/>
      <c r="AH838" s="126"/>
      <c r="AI838" s="126"/>
      <c r="AJ838" s="127"/>
      <c r="AK838" s="126"/>
      <c r="AL838" s="126"/>
      <c r="AM838" s="127"/>
      <c r="AN838" s="126"/>
      <c r="AO838" s="126"/>
      <c r="AP838" s="127"/>
      <c r="AQ838" s="126"/>
      <c r="AR838" s="126"/>
      <c r="AS838" s="127"/>
      <c r="AT838" s="126"/>
      <c r="AU838" s="126"/>
      <c r="AV838" s="127"/>
      <c r="AW838" s="126"/>
      <c r="AX838" s="126"/>
      <c r="AY838" s="127"/>
      <c r="AZ838" s="126"/>
      <c r="BA838" s="126"/>
      <c r="BB838" s="127"/>
      <c r="BC838" s="126"/>
      <c r="BD838" s="134"/>
      <c r="BE838" s="127"/>
      <c r="BF838" s="126"/>
      <c r="BG838" s="126"/>
      <c r="BH838" s="126"/>
      <c r="BI838" s="126"/>
      <c r="BJ838" s="126"/>
      <c r="BK838" s="126"/>
      <c r="BL838" s="126"/>
      <c r="BM838" s="126"/>
      <c r="BN838" s="126"/>
      <c r="BO838" s="126"/>
      <c r="BP838" s="126"/>
      <c r="BQ838" s="126"/>
      <c r="BR838" s="126"/>
      <c r="BS838" s="126"/>
      <c r="BT838" s="126"/>
      <c r="BU838" s="126"/>
      <c r="BV838" s="126"/>
      <c r="BW838" s="126"/>
      <c r="BX838" s="126"/>
    </row>
    <row r="839">
      <c r="A839" s="126"/>
      <c r="B839" s="126"/>
      <c r="C839" s="127"/>
      <c r="D839" s="126"/>
      <c r="E839" s="126"/>
      <c r="F839" s="127"/>
      <c r="G839" s="126"/>
      <c r="H839" s="127"/>
      <c r="I839" s="126"/>
      <c r="J839" s="126"/>
      <c r="K839" s="127"/>
      <c r="L839" s="126"/>
      <c r="M839" s="126"/>
      <c r="N839" s="127"/>
      <c r="O839" s="126"/>
      <c r="P839" s="126"/>
      <c r="Q839" s="127"/>
      <c r="R839" s="126"/>
      <c r="S839" s="126"/>
      <c r="T839" s="127"/>
      <c r="U839" s="126"/>
      <c r="V839" s="126"/>
      <c r="W839" s="127"/>
      <c r="X839" s="126"/>
      <c r="Y839" s="126"/>
      <c r="Z839" s="127"/>
      <c r="AA839" s="126"/>
      <c r="AB839" s="126"/>
      <c r="AC839" s="127"/>
      <c r="AD839" s="126"/>
      <c r="AE839" s="126"/>
      <c r="AF839" s="126"/>
      <c r="AG839" s="127"/>
      <c r="AH839" s="126"/>
      <c r="AI839" s="126"/>
      <c r="AJ839" s="127"/>
      <c r="AK839" s="126"/>
      <c r="AL839" s="126"/>
      <c r="AM839" s="127"/>
      <c r="AN839" s="126"/>
      <c r="AO839" s="126"/>
      <c r="AP839" s="127"/>
      <c r="AQ839" s="126"/>
      <c r="AR839" s="126"/>
      <c r="AS839" s="127"/>
      <c r="AT839" s="126"/>
      <c r="AU839" s="126"/>
      <c r="AV839" s="127"/>
      <c r="AW839" s="126"/>
      <c r="AX839" s="126"/>
      <c r="AY839" s="127"/>
      <c r="AZ839" s="126"/>
      <c r="BA839" s="126"/>
      <c r="BB839" s="127"/>
      <c r="BC839" s="126"/>
      <c r="BD839" s="134"/>
      <c r="BE839" s="127"/>
      <c r="BF839" s="126"/>
      <c r="BG839" s="126"/>
      <c r="BH839" s="126"/>
      <c r="BI839" s="126"/>
      <c r="BJ839" s="126"/>
      <c r="BK839" s="126"/>
      <c r="BL839" s="126"/>
      <c r="BM839" s="126"/>
      <c r="BN839" s="126"/>
      <c r="BO839" s="126"/>
      <c r="BP839" s="126"/>
      <c r="BQ839" s="126"/>
      <c r="BR839" s="126"/>
      <c r="BS839" s="126"/>
      <c r="BT839" s="126"/>
      <c r="BU839" s="126"/>
      <c r="BV839" s="126"/>
      <c r="BW839" s="126"/>
      <c r="BX839" s="126"/>
    </row>
    <row r="840">
      <c r="A840" s="126"/>
      <c r="B840" s="126"/>
      <c r="C840" s="127"/>
      <c r="D840" s="126"/>
      <c r="E840" s="126"/>
      <c r="F840" s="127"/>
      <c r="G840" s="126"/>
      <c r="H840" s="127"/>
      <c r="I840" s="126"/>
      <c r="J840" s="126"/>
      <c r="K840" s="127"/>
      <c r="L840" s="126"/>
      <c r="M840" s="126"/>
      <c r="N840" s="127"/>
      <c r="O840" s="126"/>
      <c r="P840" s="126"/>
      <c r="Q840" s="127"/>
      <c r="R840" s="126"/>
      <c r="S840" s="126"/>
      <c r="T840" s="127"/>
      <c r="U840" s="126"/>
      <c r="V840" s="126"/>
      <c r="W840" s="127"/>
      <c r="X840" s="126"/>
      <c r="Y840" s="126"/>
      <c r="Z840" s="127"/>
      <c r="AA840" s="126"/>
      <c r="AB840" s="126"/>
      <c r="AC840" s="127"/>
      <c r="AD840" s="126"/>
      <c r="AE840" s="126"/>
      <c r="AF840" s="126"/>
      <c r="AG840" s="127"/>
      <c r="AH840" s="126"/>
      <c r="AI840" s="126"/>
      <c r="AJ840" s="127"/>
      <c r="AK840" s="126"/>
      <c r="AL840" s="126"/>
      <c r="AM840" s="127"/>
      <c r="AN840" s="126"/>
      <c r="AO840" s="126"/>
      <c r="AP840" s="127"/>
      <c r="AQ840" s="126"/>
      <c r="AR840" s="126"/>
      <c r="AS840" s="127"/>
      <c r="AT840" s="126"/>
      <c r="AU840" s="126"/>
      <c r="AV840" s="127"/>
      <c r="AW840" s="126"/>
      <c r="AX840" s="126"/>
      <c r="AY840" s="127"/>
      <c r="AZ840" s="126"/>
      <c r="BA840" s="126"/>
      <c r="BB840" s="127"/>
      <c r="BC840" s="126"/>
      <c r="BD840" s="134"/>
      <c r="BE840" s="127"/>
      <c r="BF840" s="126"/>
      <c r="BG840" s="126"/>
      <c r="BH840" s="126"/>
      <c r="BI840" s="126"/>
      <c r="BJ840" s="126"/>
      <c r="BK840" s="126"/>
      <c r="BL840" s="126"/>
      <c r="BM840" s="126"/>
      <c r="BN840" s="126"/>
      <c r="BO840" s="126"/>
      <c r="BP840" s="126"/>
      <c r="BQ840" s="126"/>
      <c r="BR840" s="126"/>
      <c r="BS840" s="126"/>
      <c r="BT840" s="126"/>
      <c r="BU840" s="126"/>
      <c r="BV840" s="126"/>
      <c r="BW840" s="126"/>
      <c r="BX840" s="126"/>
    </row>
    <row r="841">
      <c r="A841" s="126"/>
      <c r="B841" s="126"/>
      <c r="C841" s="127"/>
      <c r="D841" s="126"/>
      <c r="E841" s="126"/>
      <c r="F841" s="127"/>
      <c r="G841" s="126"/>
      <c r="H841" s="127"/>
      <c r="I841" s="126"/>
      <c r="J841" s="126"/>
      <c r="K841" s="127"/>
      <c r="L841" s="126"/>
      <c r="M841" s="126"/>
      <c r="N841" s="127"/>
      <c r="O841" s="126"/>
      <c r="P841" s="126"/>
      <c r="Q841" s="127"/>
      <c r="R841" s="126"/>
      <c r="S841" s="126"/>
      <c r="T841" s="127"/>
      <c r="U841" s="126"/>
      <c r="V841" s="126"/>
      <c r="W841" s="127"/>
      <c r="X841" s="126"/>
      <c r="Y841" s="126"/>
      <c r="Z841" s="127"/>
      <c r="AA841" s="126"/>
      <c r="AB841" s="126"/>
      <c r="AC841" s="127"/>
      <c r="AD841" s="126"/>
      <c r="AE841" s="126"/>
      <c r="AF841" s="126"/>
      <c r="AG841" s="127"/>
      <c r="AH841" s="126"/>
      <c r="AI841" s="126"/>
      <c r="AJ841" s="127"/>
      <c r="AK841" s="126"/>
      <c r="AL841" s="126"/>
      <c r="AM841" s="127"/>
      <c r="AN841" s="126"/>
      <c r="AO841" s="126"/>
      <c r="AP841" s="127"/>
      <c r="AQ841" s="126"/>
      <c r="AR841" s="126"/>
      <c r="AS841" s="127"/>
      <c r="AT841" s="126"/>
      <c r="AU841" s="126"/>
      <c r="AV841" s="127"/>
      <c r="AW841" s="126"/>
      <c r="AX841" s="126"/>
      <c r="AY841" s="127"/>
      <c r="AZ841" s="126"/>
      <c r="BA841" s="126"/>
      <c r="BB841" s="127"/>
      <c r="BC841" s="126"/>
      <c r="BD841" s="134"/>
      <c r="BE841" s="127"/>
      <c r="BF841" s="126"/>
      <c r="BG841" s="126"/>
      <c r="BH841" s="126"/>
      <c r="BI841" s="126"/>
      <c r="BJ841" s="126"/>
      <c r="BK841" s="126"/>
      <c r="BL841" s="126"/>
      <c r="BM841" s="126"/>
      <c r="BN841" s="126"/>
      <c r="BO841" s="126"/>
      <c r="BP841" s="126"/>
      <c r="BQ841" s="126"/>
      <c r="BR841" s="126"/>
      <c r="BS841" s="126"/>
      <c r="BT841" s="126"/>
      <c r="BU841" s="126"/>
      <c r="BV841" s="126"/>
      <c r="BW841" s="126"/>
      <c r="BX841" s="126"/>
    </row>
    <row r="842">
      <c r="A842" s="126"/>
      <c r="B842" s="126"/>
      <c r="C842" s="127"/>
      <c r="D842" s="126"/>
      <c r="E842" s="126"/>
      <c r="F842" s="127"/>
      <c r="G842" s="126"/>
      <c r="H842" s="127"/>
      <c r="I842" s="126"/>
      <c r="J842" s="126"/>
      <c r="K842" s="127"/>
      <c r="L842" s="126"/>
      <c r="M842" s="126"/>
      <c r="N842" s="127"/>
      <c r="O842" s="126"/>
      <c r="P842" s="126"/>
      <c r="Q842" s="127"/>
      <c r="R842" s="126"/>
      <c r="S842" s="126"/>
      <c r="T842" s="127"/>
      <c r="U842" s="126"/>
      <c r="V842" s="126"/>
      <c r="W842" s="127"/>
      <c r="X842" s="126"/>
      <c r="Y842" s="126"/>
      <c r="Z842" s="127"/>
      <c r="AA842" s="126"/>
      <c r="AB842" s="126"/>
      <c r="AC842" s="127"/>
      <c r="AD842" s="126"/>
      <c r="AE842" s="126"/>
      <c r="AF842" s="126"/>
      <c r="AG842" s="127"/>
      <c r="AH842" s="126"/>
      <c r="AI842" s="126"/>
      <c r="AJ842" s="127"/>
      <c r="AK842" s="126"/>
      <c r="AL842" s="126"/>
      <c r="AM842" s="127"/>
      <c r="AN842" s="126"/>
      <c r="AO842" s="126"/>
      <c r="AP842" s="127"/>
      <c r="AQ842" s="126"/>
      <c r="AR842" s="126"/>
      <c r="AS842" s="127"/>
      <c r="AT842" s="126"/>
      <c r="AU842" s="126"/>
      <c r="AV842" s="127"/>
      <c r="AW842" s="126"/>
      <c r="AX842" s="126"/>
      <c r="AY842" s="127"/>
      <c r="AZ842" s="126"/>
      <c r="BA842" s="126"/>
      <c r="BB842" s="127"/>
      <c r="BC842" s="126"/>
      <c r="BD842" s="134"/>
      <c r="BE842" s="127"/>
      <c r="BF842" s="126"/>
      <c r="BG842" s="126"/>
      <c r="BH842" s="126"/>
      <c r="BI842" s="126"/>
      <c r="BJ842" s="126"/>
      <c r="BK842" s="126"/>
      <c r="BL842" s="126"/>
      <c r="BM842" s="126"/>
      <c r="BN842" s="126"/>
      <c r="BO842" s="126"/>
      <c r="BP842" s="126"/>
      <c r="BQ842" s="126"/>
      <c r="BR842" s="126"/>
      <c r="BS842" s="126"/>
      <c r="BT842" s="126"/>
      <c r="BU842" s="126"/>
      <c r="BV842" s="126"/>
      <c r="BW842" s="126"/>
      <c r="BX842" s="126"/>
    </row>
    <row r="843">
      <c r="A843" s="126"/>
      <c r="B843" s="126"/>
      <c r="C843" s="127"/>
      <c r="D843" s="126"/>
      <c r="E843" s="126"/>
      <c r="F843" s="127"/>
      <c r="G843" s="126"/>
      <c r="H843" s="127"/>
      <c r="I843" s="126"/>
      <c r="J843" s="126"/>
      <c r="K843" s="127"/>
      <c r="L843" s="126"/>
      <c r="M843" s="126"/>
      <c r="N843" s="127"/>
      <c r="O843" s="126"/>
      <c r="P843" s="126"/>
      <c r="Q843" s="127"/>
      <c r="R843" s="126"/>
      <c r="S843" s="126"/>
      <c r="T843" s="127"/>
      <c r="U843" s="126"/>
      <c r="V843" s="126"/>
      <c r="W843" s="127"/>
      <c r="X843" s="126"/>
      <c r="Y843" s="126"/>
      <c r="Z843" s="127"/>
      <c r="AA843" s="126"/>
      <c r="AB843" s="126"/>
      <c r="AC843" s="127"/>
      <c r="AD843" s="126"/>
      <c r="AE843" s="126"/>
      <c r="AF843" s="126"/>
      <c r="AG843" s="127"/>
      <c r="AH843" s="126"/>
      <c r="AI843" s="126"/>
      <c r="AJ843" s="127"/>
      <c r="AK843" s="126"/>
      <c r="AL843" s="126"/>
      <c r="AM843" s="127"/>
      <c r="AN843" s="126"/>
      <c r="AO843" s="126"/>
      <c r="AP843" s="127"/>
      <c r="AQ843" s="126"/>
      <c r="AR843" s="126"/>
      <c r="AS843" s="127"/>
      <c r="AT843" s="126"/>
      <c r="AU843" s="126"/>
      <c r="AV843" s="127"/>
      <c r="AW843" s="126"/>
      <c r="AX843" s="126"/>
      <c r="AY843" s="127"/>
      <c r="AZ843" s="126"/>
      <c r="BA843" s="126"/>
      <c r="BB843" s="127"/>
      <c r="BC843" s="126"/>
      <c r="BD843" s="134"/>
      <c r="BE843" s="127"/>
      <c r="BF843" s="126"/>
      <c r="BG843" s="126"/>
      <c r="BH843" s="126"/>
      <c r="BI843" s="126"/>
      <c r="BJ843" s="126"/>
      <c r="BK843" s="126"/>
      <c r="BL843" s="126"/>
      <c r="BM843" s="126"/>
      <c r="BN843" s="126"/>
      <c r="BO843" s="126"/>
      <c r="BP843" s="126"/>
      <c r="BQ843" s="126"/>
      <c r="BR843" s="126"/>
      <c r="BS843" s="126"/>
      <c r="BT843" s="126"/>
      <c r="BU843" s="126"/>
      <c r="BV843" s="126"/>
      <c r="BW843" s="126"/>
      <c r="BX843" s="126"/>
    </row>
    <row r="844">
      <c r="A844" s="126"/>
      <c r="B844" s="126"/>
      <c r="C844" s="127"/>
      <c r="D844" s="126"/>
      <c r="E844" s="126"/>
      <c r="F844" s="127"/>
      <c r="G844" s="126"/>
      <c r="H844" s="127"/>
      <c r="I844" s="126"/>
      <c r="J844" s="126"/>
      <c r="K844" s="127"/>
      <c r="L844" s="126"/>
      <c r="M844" s="126"/>
      <c r="N844" s="127"/>
      <c r="O844" s="126"/>
      <c r="P844" s="126"/>
      <c r="Q844" s="127"/>
      <c r="R844" s="126"/>
      <c r="S844" s="126"/>
      <c r="T844" s="127"/>
      <c r="U844" s="126"/>
      <c r="V844" s="126"/>
      <c r="W844" s="127"/>
      <c r="X844" s="126"/>
      <c r="Y844" s="126"/>
      <c r="Z844" s="127"/>
      <c r="AA844" s="126"/>
      <c r="AB844" s="126"/>
      <c r="AC844" s="127"/>
      <c r="AD844" s="126"/>
      <c r="AE844" s="126"/>
      <c r="AF844" s="126"/>
      <c r="AG844" s="127"/>
      <c r="AH844" s="126"/>
      <c r="AI844" s="126"/>
      <c r="AJ844" s="127"/>
      <c r="AK844" s="126"/>
      <c r="AL844" s="126"/>
      <c r="AM844" s="127"/>
      <c r="AN844" s="126"/>
      <c r="AO844" s="126"/>
      <c r="AP844" s="127"/>
      <c r="AQ844" s="126"/>
      <c r="AR844" s="126"/>
      <c r="AS844" s="127"/>
      <c r="AT844" s="126"/>
      <c r="AU844" s="126"/>
      <c r="AV844" s="127"/>
      <c r="AW844" s="126"/>
      <c r="AX844" s="126"/>
      <c r="AY844" s="127"/>
      <c r="AZ844" s="126"/>
      <c r="BA844" s="126"/>
      <c r="BB844" s="127"/>
      <c r="BC844" s="126"/>
      <c r="BD844" s="134"/>
      <c r="BE844" s="127"/>
      <c r="BF844" s="126"/>
      <c r="BG844" s="126"/>
      <c r="BH844" s="126"/>
      <c r="BI844" s="126"/>
      <c r="BJ844" s="126"/>
      <c r="BK844" s="126"/>
      <c r="BL844" s="126"/>
      <c r="BM844" s="126"/>
      <c r="BN844" s="126"/>
      <c r="BO844" s="126"/>
      <c r="BP844" s="126"/>
      <c r="BQ844" s="126"/>
      <c r="BR844" s="126"/>
      <c r="BS844" s="126"/>
      <c r="BT844" s="126"/>
      <c r="BU844" s="126"/>
      <c r="BV844" s="126"/>
      <c r="BW844" s="126"/>
      <c r="BX844" s="126"/>
    </row>
    <row r="845">
      <c r="A845" s="126"/>
      <c r="B845" s="126"/>
      <c r="C845" s="127"/>
      <c r="D845" s="126"/>
      <c r="E845" s="126"/>
      <c r="F845" s="127"/>
      <c r="G845" s="126"/>
      <c r="H845" s="127"/>
      <c r="I845" s="126"/>
      <c r="J845" s="126"/>
      <c r="K845" s="127"/>
      <c r="L845" s="126"/>
      <c r="M845" s="126"/>
      <c r="N845" s="127"/>
      <c r="O845" s="126"/>
      <c r="P845" s="126"/>
      <c r="Q845" s="127"/>
      <c r="R845" s="126"/>
      <c r="S845" s="126"/>
      <c r="T845" s="127"/>
      <c r="U845" s="126"/>
      <c r="V845" s="126"/>
      <c r="W845" s="127"/>
      <c r="X845" s="126"/>
      <c r="Y845" s="126"/>
      <c r="Z845" s="127"/>
      <c r="AA845" s="126"/>
      <c r="AB845" s="126"/>
      <c r="AC845" s="127"/>
      <c r="AD845" s="126"/>
      <c r="AE845" s="126"/>
      <c r="AF845" s="126"/>
      <c r="AG845" s="127"/>
      <c r="AH845" s="126"/>
      <c r="AI845" s="126"/>
      <c r="AJ845" s="127"/>
      <c r="AK845" s="126"/>
      <c r="AL845" s="126"/>
      <c r="AM845" s="127"/>
      <c r="AN845" s="126"/>
      <c r="AO845" s="126"/>
      <c r="AP845" s="127"/>
      <c r="AQ845" s="126"/>
      <c r="AR845" s="126"/>
      <c r="AS845" s="127"/>
      <c r="AT845" s="126"/>
      <c r="AU845" s="126"/>
      <c r="AV845" s="127"/>
      <c r="AW845" s="126"/>
      <c r="AX845" s="126"/>
      <c r="AY845" s="127"/>
      <c r="AZ845" s="126"/>
      <c r="BA845" s="126"/>
      <c r="BB845" s="127"/>
      <c r="BC845" s="126"/>
      <c r="BD845" s="134"/>
      <c r="BE845" s="127"/>
      <c r="BF845" s="126"/>
      <c r="BG845" s="126"/>
      <c r="BH845" s="126"/>
      <c r="BI845" s="126"/>
      <c r="BJ845" s="126"/>
      <c r="BK845" s="126"/>
      <c r="BL845" s="126"/>
      <c r="BM845" s="126"/>
      <c r="BN845" s="126"/>
      <c r="BO845" s="126"/>
      <c r="BP845" s="126"/>
      <c r="BQ845" s="126"/>
      <c r="BR845" s="126"/>
      <c r="BS845" s="126"/>
      <c r="BT845" s="126"/>
      <c r="BU845" s="126"/>
      <c r="BV845" s="126"/>
      <c r="BW845" s="126"/>
      <c r="BX845" s="126"/>
    </row>
    <row r="846">
      <c r="A846" s="126"/>
      <c r="B846" s="126"/>
      <c r="C846" s="127"/>
      <c r="D846" s="126"/>
      <c r="E846" s="126"/>
      <c r="F846" s="127"/>
      <c r="G846" s="126"/>
      <c r="H846" s="127"/>
      <c r="I846" s="126"/>
      <c r="J846" s="126"/>
      <c r="K846" s="127"/>
      <c r="L846" s="126"/>
      <c r="M846" s="126"/>
      <c r="N846" s="127"/>
      <c r="O846" s="126"/>
      <c r="P846" s="126"/>
      <c r="Q846" s="127"/>
      <c r="R846" s="126"/>
      <c r="S846" s="126"/>
      <c r="T846" s="127"/>
      <c r="U846" s="126"/>
      <c r="V846" s="126"/>
      <c r="W846" s="127"/>
      <c r="X846" s="126"/>
      <c r="Y846" s="126"/>
      <c r="Z846" s="127"/>
      <c r="AA846" s="126"/>
      <c r="AB846" s="126"/>
      <c r="AC846" s="127"/>
      <c r="AD846" s="126"/>
      <c r="AE846" s="126"/>
      <c r="AF846" s="126"/>
      <c r="AG846" s="127"/>
      <c r="AH846" s="126"/>
      <c r="AI846" s="126"/>
      <c r="AJ846" s="127"/>
      <c r="AK846" s="126"/>
      <c r="AL846" s="126"/>
      <c r="AM846" s="127"/>
      <c r="AN846" s="126"/>
      <c r="AO846" s="126"/>
      <c r="AP846" s="127"/>
      <c r="AQ846" s="126"/>
      <c r="AR846" s="126"/>
      <c r="AS846" s="127"/>
      <c r="AT846" s="126"/>
      <c r="AU846" s="126"/>
      <c r="AV846" s="127"/>
      <c r="AW846" s="126"/>
      <c r="AX846" s="126"/>
      <c r="AY846" s="127"/>
      <c r="AZ846" s="126"/>
      <c r="BA846" s="126"/>
      <c r="BB846" s="127"/>
      <c r="BC846" s="126"/>
      <c r="BD846" s="134"/>
      <c r="BE846" s="127"/>
      <c r="BF846" s="126"/>
      <c r="BG846" s="126"/>
      <c r="BH846" s="126"/>
      <c r="BI846" s="126"/>
      <c r="BJ846" s="126"/>
      <c r="BK846" s="126"/>
      <c r="BL846" s="126"/>
      <c r="BM846" s="126"/>
      <c r="BN846" s="126"/>
      <c r="BO846" s="126"/>
      <c r="BP846" s="126"/>
      <c r="BQ846" s="126"/>
      <c r="BR846" s="126"/>
      <c r="BS846" s="126"/>
      <c r="BT846" s="126"/>
      <c r="BU846" s="126"/>
      <c r="BV846" s="126"/>
      <c r="BW846" s="126"/>
      <c r="BX846" s="126"/>
    </row>
    <row r="847">
      <c r="A847" s="126"/>
      <c r="B847" s="126"/>
      <c r="C847" s="127"/>
      <c r="D847" s="126"/>
      <c r="E847" s="126"/>
      <c r="F847" s="127"/>
      <c r="G847" s="126"/>
      <c r="H847" s="127"/>
      <c r="I847" s="126"/>
      <c r="J847" s="126"/>
      <c r="K847" s="127"/>
      <c r="L847" s="126"/>
      <c r="M847" s="126"/>
      <c r="N847" s="127"/>
      <c r="O847" s="126"/>
      <c r="P847" s="126"/>
      <c r="Q847" s="127"/>
      <c r="R847" s="126"/>
      <c r="S847" s="126"/>
      <c r="T847" s="127"/>
      <c r="U847" s="126"/>
      <c r="V847" s="126"/>
      <c r="W847" s="127"/>
      <c r="X847" s="126"/>
      <c r="Y847" s="126"/>
      <c r="Z847" s="127"/>
      <c r="AA847" s="126"/>
      <c r="AB847" s="126"/>
      <c r="AC847" s="127"/>
      <c r="AD847" s="126"/>
      <c r="AE847" s="126"/>
      <c r="AF847" s="126"/>
      <c r="AG847" s="127"/>
      <c r="AH847" s="126"/>
      <c r="AI847" s="126"/>
      <c r="AJ847" s="127"/>
      <c r="AK847" s="126"/>
      <c r="AL847" s="126"/>
      <c r="AM847" s="127"/>
      <c r="AN847" s="126"/>
      <c r="AO847" s="126"/>
      <c r="AP847" s="127"/>
      <c r="AQ847" s="126"/>
      <c r="AR847" s="126"/>
      <c r="AS847" s="127"/>
      <c r="AT847" s="126"/>
      <c r="AU847" s="126"/>
      <c r="AV847" s="127"/>
      <c r="AW847" s="126"/>
      <c r="AX847" s="126"/>
      <c r="AY847" s="127"/>
      <c r="AZ847" s="126"/>
      <c r="BA847" s="126"/>
      <c r="BB847" s="127"/>
      <c r="BC847" s="126"/>
      <c r="BD847" s="134"/>
      <c r="BE847" s="127"/>
      <c r="BF847" s="126"/>
      <c r="BG847" s="126"/>
      <c r="BH847" s="126"/>
      <c r="BI847" s="126"/>
      <c r="BJ847" s="126"/>
      <c r="BK847" s="126"/>
      <c r="BL847" s="126"/>
      <c r="BM847" s="126"/>
      <c r="BN847" s="126"/>
      <c r="BO847" s="126"/>
      <c r="BP847" s="126"/>
      <c r="BQ847" s="126"/>
      <c r="BR847" s="126"/>
      <c r="BS847" s="126"/>
      <c r="BT847" s="126"/>
      <c r="BU847" s="126"/>
      <c r="BV847" s="126"/>
      <c r="BW847" s="126"/>
      <c r="BX847" s="126"/>
    </row>
    <row r="848">
      <c r="A848" s="126"/>
      <c r="B848" s="126"/>
      <c r="C848" s="127"/>
      <c r="D848" s="126"/>
      <c r="E848" s="126"/>
      <c r="F848" s="127"/>
      <c r="G848" s="126"/>
      <c r="H848" s="127"/>
      <c r="I848" s="126"/>
      <c r="J848" s="126"/>
      <c r="K848" s="127"/>
      <c r="L848" s="126"/>
      <c r="M848" s="126"/>
      <c r="N848" s="127"/>
      <c r="O848" s="126"/>
      <c r="P848" s="126"/>
      <c r="Q848" s="127"/>
      <c r="R848" s="126"/>
      <c r="S848" s="126"/>
      <c r="T848" s="127"/>
      <c r="U848" s="126"/>
      <c r="V848" s="126"/>
      <c r="W848" s="127"/>
      <c r="X848" s="126"/>
      <c r="Y848" s="126"/>
      <c r="Z848" s="127"/>
      <c r="AA848" s="126"/>
      <c r="AB848" s="126"/>
      <c r="AC848" s="127"/>
      <c r="AD848" s="126"/>
      <c r="AE848" s="126"/>
      <c r="AF848" s="126"/>
      <c r="AG848" s="127"/>
      <c r="AH848" s="126"/>
      <c r="AI848" s="126"/>
      <c r="AJ848" s="127"/>
      <c r="AK848" s="126"/>
      <c r="AL848" s="126"/>
      <c r="AM848" s="127"/>
      <c r="AN848" s="126"/>
      <c r="AO848" s="126"/>
      <c r="AP848" s="127"/>
      <c r="AQ848" s="126"/>
      <c r="AR848" s="126"/>
      <c r="AS848" s="127"/>
      <c r="AT848" s="126"/>
      <c r="AU848" s="126"/>
      <c r="AV848" s="127"/>
      <c r="AW848" s="126"/>
      <c r="AX848" s="126"/>
      <c r="AY848" s="127"/>
      <c r="AZ848" s="126"/>
      <c r="BA848" s="126"/>
      <c r="BB848" s="127"/>
      <c r="BC848" s="126"/>
      <c r="BD848" s="134"/>
      <c r="BE848" s="127"/>
      <c r="BF848" s="126"/>
      <c r="BG848" s="126"/>
      <c r="BH848" s="126"/>
      <c r="BI848" s="126"/>
      <c r="BJ848" s="126"/>
      <c r="BK848" s="126"/>
      <c r="BL848" s="126"/>
      <c r="BM848" s="126"/>
      <c r="BN848" s="126"/>
      <c r="BO848" s="126"/>
      <c r="BP848" s="126"/>
      <c r="BQ848" s="126"/>
      <c r="BR848" s="126"/>
      <c r="BS848" s="126"/>
      <c r="BT848" s="126"/>
      <c r="BU848" s="126"/>
      <c r="BV848" s="126"/>
      <c r="BW848" s="126"/>
      <c r="BX848" s="126"/>
    </row>
    <row r="849">
      <c r="A849" s="126"/>
      <c r="B849" s="126"/>
      <c r="C849" s="127"/>
      <c r="D849" s="126"/>
      <c r="E849" s="126"/>
      <c r="F849" s="127"/>
      <c r="G849" s="126"/>
      <c r="H849" s="127"/>
      <c r="I849" s="126"/>
      <c r="J849" s="126"/>
      <c r="K849" s="127"/>
      <c r="L849" s="126"/>
      <c r="M849" s="126"/>
      <c r="N849" s="127"/>
      <c r="O849" s="126"/>
      <c r="P849" s="126"/>
      <c r="Q849" s="127"/>
      <c r="R849" s="126"/>
      <c r="S849" s="126"/>
      <c r="T849" s="127"/>
      <c r="U849" s="126"/>
      <c r="V849" s="126"/>
      <c r="W849" s="127"/>
      <c r="X849" s="126"/>
      <c r="Y849" s="126"/>
      <c r="Z849" s="127"/>
      <c r="AA849" s="126"/>
      <c r="AB849" s="126"/>
      <c r="AC849" s="127"/>
      <c r="AD849" s="126"/>
      <c r="AE849" s="126"/>
      <c r="AF849" s="126"/>
      <c r="AG849" s="127"/>
      <c r="AH849" s="126"/>
      <c r="AI849" s="126"/>
      <c r="AJ849" s="127"/>
      <c r="AK849" s="126"/>
      <c r="AL849" s="126"/>
      <c r="AM849" s="127"/>
      <c r="AN849" s="126"/>
      <c r="AO849" s="126"/>
      <c r="AP849" s="127"/>
      <c r="AQ849" s="126"/>
      <c r="AR849" s="126"/>
      <c r="AS849" s="127"/>
      <c r="AT849" s="126"/>
      <c r="AU849" s="126"/>
      <c r="AV849" s="127"/>
      <c r="AW849" s="126"/>
      <c r="AX849" s="126"/>
      <c r="AY849" s="127"/>
      <c r="AZ849" s="126"/>
      <c r="BA849" s="126"/>
      <c r="BB849" s="127"/>
      <c r="BC849" s="126"/>
      <c r="BD849" s="134"/>
      <c r="BE849" s="127"/>
      <c r="BF849" s="126"/>
      <c r="BG849" s="126"/>
      <c r="BH849" s="126"/>
      <c r="BI849" s="126"/>
      <c r="BJ849" s="126"/>
      <c r="BK849" s="126"/>
      <c r="BL849" s="126"/>
      <c r="BM849" s="126"/>
      <c r="BN849" s="126"/>
      <c r="BO849" s="126"/>
      <c r="BP849" s="126"/>
      <c r="BQ849" s="126"/>
      <c r="BR849" s="126"/>
      <c r="BS849" s="126"/>
      <c r="BT849" s="126"/>
      <c r="BU849" s="126"/>
      <c r="BV849" s="126"/>
      <c r="BW849" s="126"/>
      <c r="BX849" s="126"/>
    </row>
    <row r="850">
      <c r="A850" s="126"/>
      <c r="B850" s="126"/>
      <c r="C850" s="127"/>
      <c r="D850" s="126"/>
      <c r="E850" s="126"/>
      <c r="F850" s="127"/>
      <c r="G850" s="126"/>
      <c r="H850" s="127"/>
      <c r="I850" s="126"/>
      <c r="J850" s="126"/>
      <c r="K850" s="127"/>
      <c r="L850" s="126"/>
      <c r="M850" s="126"/>
      <c r="N850" s="127"/>
      <c r="O850" s="126"/>
      <c r="P850" s="126"/>
      <c r="Q850" s="127"/>
      <c r="R850" s="126"/>
      <c r="S850" s="126"/>
      <c r="T850" s="127"/>
      <c r="U850" s="126"/>
      <c r="V850" s="126"/>
      <c r="W850" s="127"/>
      <c r="X850" s="126"/>
      <c r="Y850" s="126"/>
      <c r="Z850" s="127"/>
      <c r="AA850" s="126"/>
      <c r="AB850" s="126"/>
      <c r="AC850" s="127"/>
      <c r="AD850" s="126"/>
      <c r="AE850" s="126"/>
      <c r="AF850" s="126"/>
      <c r="AG850" s="127"/>
      <c r="AH850" s="126"/>
      <c r="AI850" s="126"/>
      <c r="AJ850" s="127"/>
      <c r="AK850" s="126"/>
      <c r="AL850" s="126"/>
      <c r="AM850" s="127"/>
      <c r="AN850" s="126"/>
      <c r="AO850" s="126"/>
      <c r="AP850" s="127"/>
      <c r="AQ850" s="126"/>
      <c r="AR850" s="126"/>
      <c r="AS850" s="127"/>
      <c r="AT850" s="126"/>
      <c r="AU850" s="126"/>
      <c r="AV850" s="127"/>
      <c r="AW850" s="126"/>
      <c r="AX850" s="126"/>
      <c r="AY850" s="127"/>
      <c r="AZ850" s="126"/>
      <c r="BA850" s="126"/>
      <c r="BB850" s="127"/>
      <c r="BC850" s="126"/>
      <c r="BD850" s="134"/>
      <c r="BE850" s="127"/>
      <c r="BF850" s="126"/>
      <c r="BG850" s="126"/>
      <c r="BH850" s="126"/>
      <c r="BI850" s="126"/>
      <c r="BJ850" s="126"/>
      <c r="BK850" s="126"/>
      <c r="BL850" s="126"/>
      <c r="BM850" s="126"/>
      <c r="BN850" s="126"/>
      <c r="BO850" s="126"/>
      <c r="BP850" s="126"/>
      <c r="BQ850" s="126"/>
      <c r="BR850" s="126"/>
      <c r="BS850" s="126"/>
      <c r="BT850" s="126"/>
      <c r="BU850" s="126"/>
      <c r="BV850" s="126"/>
      <c r="BW850" s="126"/>
      <c r="BX850" s="126"/>
    </row>
    <row r="851">
      <c r="A851" s="126"/>
      <c r="B851" s="126"/>
      <c r="C851" s="127"/>
      <c r="D851" s="126"/>
      <c r="E851" s="126"/>
      <c r="F851" s="127"/>
      <c r="G851" s="126"/>
      <c r="H851" s="127"/>
      <c r="I851" s="126"/>
      <c r="J851" s="126"/>
      <c r="K851" s="127"/>
      <c r="L851" s="126"/>
      <c r="M851" s="126"/>
      <c r="N851" s="127"/>
      <c r="O851" s="126"/>
      <c r="P851" s="126"/>
      <c r="Q851" s="127"/>
      <c r="R851" s="126"/>
      <c r="S851" s="126"/>
      <c r="T851" s="127"/>
      <c r="U851" s="126"/>
      <c r="V851" s="126"/>
      <c r="W851" s="127"/>
      <c r="X851" s="126"/>
      <c r="Y851" s="126"/>
      <c r="Z851" s="127"/>
      <c r="AA851" s="126"/>
      <c r="AB851" s="126"/>
      <c r="AC851" s="127"/>
      <c r="AD851" s="126"/>
      <c r="AE851" s="126"/>
      <c r="AF851" s="126"/>
      <c r="AG851" s="127"/>
      <c r="AH851" s="126"/>
      <c r="AI851" s="126"/>
      <c r="AJ851" s="127"/>
      <c r="AK851" s="126"/>
      <c r="AL851" s="126"/>
      <c r="AM851" s="127"/>
      <c r="AN851" s="126"/>
      <c r="AO851" s="126"/>
      <c r="AP851" s="127"/>
      <c r="AQ851" s="126"/>
      <c r="AR851" s="126"/>
      <c r="AS851" s="127"/>
      <c r="AT851" s="126"/>
      <c r="AU851" s="126"/>
      <c r="AV851" s="127"/>
      <c r="AW851" s="126"/>
      <c r="AX851" s="126"/>
      <c r="AY851" s="127"/>
      <c r="AZ851" s="126"/>
      <c r="BA851" s="126"/>
      <c r="BB851" s="127"/>
      <c r="BC851" s="126"/>
      <c r="BD851" s="134"/>
      <c r="BE851" s="127"/>
      <c r="BF851" s="126"/>
      <c r="BG851" s="126"/>
      <c r="BH851" s="126"/>
      <c r="BI851" s="126"/>
      <c r="BJ851" s="126"/>
      <c r="BK851" s="126"/>
      <c r="BL851" s="126"/>
      <c r="BM851" s="126"/>
      <c r="BN851" s="126"/>
      <c r="BO851" s="126"/>
      <c r="BP851" s="126"/>
      <c r="BQ851" s="126"/>
      <c r="BR851" s="126"/>
      <c r="BS851" s="126"/>
      <c r="BT851" s="126"/>
      <c r="BU851" s="126"/>
      <c r="BV851" s="126"/>
      <c r="BW851" s="126"/>
      <c r="BX851" s="126"/>
    </row>
    <row r="852">
      <c r="A852" s="126"/>
      <c r="B852" s="126"/>
      <c r="C852" s="127"/>
      <c r="D852" s="126"/>
      <c r="E852" s="126"/>
      <c r="F852" s="127"/>
      <c r="G852" s="126"/>
      <c r="H852" s="127"/>
      <c r="I852" s="126"/>
      <c r="J852" s="126"/>
      <c r="K852" s="127"/>
      <c r="L852" s="126"/>
      <c r="M852" s="126"/>
      <c r="N852" s="127"/>
      <c r="O852" s="126"/>
      <c r="P852" s="126"/>
      <c r="Q852" s="127"/>
      <c r="R852" s="126"/>
      <c r="S852" s="126"/>
      <c r="T852" s="127"/>
      <c r="U852" s="126"/>
      <c r="V852" s="126"/>
      <c r="W852" s="127"/>
      <c r="X852" s="126"/>
      <c r="Y852" s="126"/>
      <c r="Z852" s="127"/>
      <c r="AA852" s="126"/>
      <c r="AB852" s="126"/>
      <c r="AC852" s="127"/>
      <c r="AD852" s="126"/>
      <c r="AE852" s="126"/>
      <c r="AF852" s="126"/>
      <c r="AG852" s="127"/>
      <c r="AH852" s="126"/>
      <c r="AI852" s="126"/>
      <c r="AJ852" s="127"/>
      <c r="AK852" s="126"/>
      <c r="AL852" s="126"/>
      <c r="AM852" s="127"/>
      <c r="AN852" s="126"/>
      <c r="AO852" s="126"/>
      <c r="AP852" s="127"/>
      <c r="AQ852" s="126"/>
      <c r="AR852" s="126"/>
      <c r="AS852" s="127"/>
      <c r="AT852" s="126"/>
      <c r="AU852" s="126"/>
      <c r="AV852" s="127"/>
      <c r="AW852" s="126"/>
      <c r="AX852" s="126"/>
      <c r="AY852" s="127"/>
      <c r="AZ852" s="126"/>
      <c r="BA852" s="126"/>
      <c r="BB852" s="127"/>
      <c r="BC852" s="126"/>
      <c r="BD852" s="134"/>
      <c r="BE852" s="127"/>
      <c r="BF852" s="126"/>
      <c r="BG852" s="126"/>
      <c r="BH852" s="126"/>
      <c r="BI852" s="126"/>
      <c r="BJ852" s="126"/>
      <c r="BK852" s="126"/>
      <c r="BL852" s="126"/>
      <c r="BM852" s="126"/>
      <c r="BN852" s="126"/>
      <c r="BO852" s="126"/>
      <c r="BP852" s="126"/>
      <c r="BQ852" s="126"/>
      <c r="BR852" s="126"/>
      <c r="BS852" s="126"/>
      <c r="BT852" s="126"/>
      <c r="BU852" s="126"/>
      <c r="BV852" s="126"/>
      <c r="BW852" s="126"/>
      <c r="BX852" s="126"/>
    </row>
    <row r="853">
      <c r="A853" s="126"/>
      <c r="B853" s="126"/>
      <c r="C853" s="127"/>
      <c r="D853" s="126"/>
      <c r="E853" s="126"/>
      <c r="F853" s="127"/>
      <c r="G853" s="126"/>
      <c r="H853" s="127"/>
      <c r="I853" s="126"/>
      <c r="J853" s="126"/>
      <c r="K853" s="127"/>
      <c r="L853" s="126"/>
      <c r="M853" s="126"/>
      <c r="N853" s="127"/>
      <c r="O853" s="126"/>
      <c r="P853" s="126"/>
      <c r="Q853" s="127"/>
      <c r="R853" s="126"/>
      <c r="S853" s="126"/>
      <c r="T853" s="127"/>
      <c r="U853" s="126"/>
      <c r="V853" s="126"/>
      <c r="W853" s="127"/>
      <c r="X853" s="126"/>
      <c r="Y853" s="126"/>
      <c r="Z853" s="127"/>
      <c r="AA853" s="126"/>
      <c r="AB853" s="126"/>
      <c r="AC853" s="127"/>
      <c r="AD853" s="126"/>
      <c r="AE853" s="126"/>
      <c r="AF853" s="126"/>
      <c r="AG853" s="127"/>
      <c r="AH853" s="126"/>
      <c r="AI853" s="126"/>
      <c r="AJ853" s="127"/>
      <c r="AK853" s="126"/>
      <c r="AL853" s="126"/>
      <c r="AM853" s="127"/>
      <c r="AN853" s="126"/>
      <c r="AO853" s="126"/>
      <c r="AP853" s="127"/>
      <c r="AQ853" s="126"/>
      <c r="AR853" s="126"/>
      <c r="AS853" s="127"/>
      <c r="AT853" s="126"/>
      <c r="AU853" s="126"/>
      <c r="AV853" s="127"/>
      <c r="AW853" s="126"/>
      <c r="AX853" s="126"/>
      <c r="AY853" s="127"/>
      <c r="AZ853" s="126"/>
      <c r="BA853" s="126"/>
      <c r="BB853" s="127"/>
      <c r="BC853" s="126"/>
      <c r="BD853" s="134"/>
      <c r="BE853" s="127"/>
      <c r="BF853" s="126"/>
      <c r="BG853" s="126"/>
      <c r="BH853" s="126"/>
      <c r="BI853" s="126"/>
      <c r="BJ853" s="126"/>
      <c r="BK853" s="126"/>
      <c r="BL853" s="126"/>
      <c r="BM853" s="126"/>
      <c r="BN853" s="126"/>
      <c r="BO853" s="126"/>
      <c r="BP853" s="126"/>
      <c r="BQ853" s="126"/>
      <c r="BR853" s="126"/>
      <c r="BS853" s="126"/>
      <c r="BT853" s="126"/>
      <c r="BU853" s="126"/>
      <c r="BV853" s="126"/>
      <c r="BW853" s="126"/>
      <c r="BX853" s="126"/>
    </row>
    <row r="854">
      <c r="A854" s="126"/>
      <c r="B854" s="126"/>
      <c r="C854" s="127"/>
      <c r="D854" s="126"/>
      <c r="E854" s="126"/>
      <c r="F854" s="127"/>
      <c r="G854" s="126"/>
      <c r="H854" s="127"/>
      <c r="I854" s="126"/>
      <c r="J854" s="126"/>
      <c r="K854" s="127"/>
      <c r="L854" s="126"/>
      <c r="M854" s="126"/>
      <c r="N854" s="127"/>
      <c r="O854" s="126"/>
      <c r="P854" s="126"/>
      <c r="Q854" s="127"/>
      <c r="R854" s="126"/>
      <c r="S854" s="126"/>
      <c r="T854" s="127"/>
      <c r="U854" s="126"/>
      <c r="V854" s="126"/>
      <c r="W854" s="127"/>
      <c r="X854" s="126"/>
      <c r="Y854" s="126"/>
      <c r="Z854" s="127"/>
      <c r="AA854" s="126"/>
      <c r="AB854" s="126"/>
      <c r="AC854" s="127"/>
      <c r="AD854" s="126"/>
      <c r="AE854" s="126"/>
      <c r="AF854" s="126"/>
      <c r="AG854" s="127"/>
      <c r="AH854" s="126"/>
      <c r="AI854" s="126"/>
      <c r="AJ854" s="127"/>
      <c r="AK854" s="126"/>
      <c r="AL854" s="126"/>
      <c r="AM854" s="127"/>
      <c r="AN854" s="126"/>
      <c r="AO854" s="126"/>
      <c r="AP854" s="127"/>
      <c r="AQ854" s="126"/>
      <c r="AR854" s="126"/>
      <c r="AS854" s="127"/>
      <c r="AT854" s="126"/>
      <c r="AU854" s="126"/>
      <c r="AV854" s="127"/>
      <c r="AW854" s="126"/>
      <c r="AX854" s="126"/>
      <c r="AY854" s="127"/>
      <c r="AZ854" s="126"/>
      <c r="BA854" s="126"/>
      <c r="BB854" s="127"/>
      <c r="BC854" s="126"/>
      <c r="BD854" s="134"/>
      <c r="BE854" s="127"/>
      <c r="BF854" s="126"/>
      <c r="BG854" s="126"/>
      <c r="BH854" s="126"/>
      <c r="BI854" s="126"/>
      <c r="BJ854" s="126"/>
      <c r="BK854" s="126"/>
      <c r="BL854" s="126"/>
      <c r="BM854" s="126"/>
      <c r="BN854" s="126"/>
      <c r="BO854" s="126"/>
      <c r="BP854" s="126"/>
      <c r="BQ854" s="126"/>
      <c r="BR854" s="126"/>
      <c r="BS854" s="126"/>
      <c r="BT854" s="126"/>
      <c r="BU854" s="126"/>
      <c r="BV854" s="126"/>
      <c r="BW854" s="126"/>
      <c r="BX854" s="126"/>
    </row>
    <row r="855">
      <c r="A855" s="126"/>
      <c r="B855" s="126"/>
      <c r="C855" s="127"/>
      <c r="D855" s="126"/>
      <c r="E855" s="126"/>
      <c r="F855" s="127"/>
      <c r="G855" s="126"/>
      <c r="H855" s="127"/>
      <c r="I855" s="126"/>
      <c r="J855" s="126"/>
      <c r="K855" s="127"/>
      <c r="L855" s="126"/>
      <c r="M855" s="126"/>
      <c r="N855" s="127"/>
      <c r="O855" s="126"/>
      <c r="P855" s="126"/>
      <c r="Q855" s="127"/>
      <c r="R855" s="126"/>
      <c r="S855" s="126"/>
      <c r="T855" s="127"/>
      <c r="U855" s="126"/>
      <c r="V855" s="126"/>
      <c r="W855" s="127"/>
      <c r="X855" s="126"/>
      <c r="Y855" s="126"/>
      <c r="Z855" s="127"/>
      <c r="AA855" s="126"/>
      <c r="AB855" s="126"/>
      <c r="AC855" s="127"/>
      <c r="AD855" s="126"/>
      <c r="AE855" s="126"/>
      <c r="AF855" s="126"/>
      <c r="AG855" s="127"/>
      <c r="AH855" s="126"/>
      <c r="AI855" s="126"/>
      <c r="AJ855" s="127"/>
      <c r="AK855" s="126"/>
      <c r="AL855" s="126"/>
      <c r="AM855" s="127"/>
      <c r="AN855" s="126"/>
      <c r="AO855" s="126"/>
      <c r="AP855" s="127"/>
      <c r="AQ855" s="126"/>
      <c r="AR855" s="126"/>
      <c r="AS855" s="127"/>
      <c r="AT855" s="126"/>
      <c r="AU855" s="126"/>
      <c r="AV855" s="127"/>
      <c r="AW855" s="126"/>
      <c r="AX855" s="126"/>
      <c r="AY855" s="127"/>
      <c r="AZ855" s="126"/>
      <c r="BA855" s="126"/>
      <c r="BB855" s="127"/>
      <c r="BC855" s="126"/>
      <c r="BD855" s="134"/>
      <c r="BE855" s="127"/>
      <c r="BF855" s="126"/>
      <c r="BG855" s="126"/>
      <c r="BH855" s="126"/>
      <c r="BI855" s="126"/>
      <c r="BJ855" s="126"/>
      <c r="BK855" s="126"/>
      <c r="BL855" s="126"/>
      <c r="BM855" s="126"/>
      <c r="BN855" s="126"/>
      <c r="BO855" s="126"/>
      <c r="BP855" s="126"/>
      <c r="BQ855" s="126"/>
      <c r="BR855" s="126"/>
      <c r="BS855" s="126"/>
      <c r="BT855" s="126"/>
      <c r="BU855" s="126"/>
      <c r="BV855" s="126"/>
      <c r="BW855" s="126"/>
      <c r="BX855" s="126"/>
    </row>
    <row r="856">
      <c r="A856" s="126"/>
      <c r="B856" s="126"/>
      <c r="C856" s="127"/>
      <c r="D856" s="126"/>
      <c r="E856" s="126"/>
      <c r="F856" s="127"/>
      <c r="G856" s="126"/>
      <c r="H856" s="127"/>
      <c r="I856" s="126"/>
      <c r="J856" s="126"/>
      <c r="K856" s="127"/>
      <c r="L856" s="126"/>
      <c r="M856" s="126"/>
      <c r="N856" s="127"/>
      <c r="O856" s="126"/>
      <c r="P856" s="126"/>
      <c r="Q856" s="127"/>
      <c r="R856" s="126"/>
      <c r="S856" s="126"/>
      <c r="T856" s="127"/>
      <c r="U856" s="126"/>
      <c r="V856" s="126"/>
      <c r="W856" s="127"/>
      <c r="X856" s="126"/>
      <c r="Y856" s="126"/>
      <c r="Z856" s="127"/>
      <c r="AA856" s="126"/>
      <c r="AB856" s="126"/>
      <c r="AC856" s="127"/>
      <c r="AD856" s="126"/>
      <c r="AE856" s="126"/>
      <c r="AF856" s="126"/>
      <c r="AG856" s="127"/>
      <c r="AH856" s="126"/>
      <c r="AI856" s="126"/>
      <c r="AJ856" s="127"/>
      <c r="AK856" s="126"/>
      <c r="AL856" s="126"/>
      <c r="AM856" s="127"/>
      <c r="AN856" s="126"/>
      <c r="AO856" s="126"/>
      <c r="AP856" s="127"/>
      <c r="AQ856" s="126"/>
      <c r="AR856" s="126"/>
      <c r="AS856" s="127"/>
      <c r="AT856" s="126"/>
      <c r="AU856" s="126"/>
      <c r="AV856" s="127"/>
      <c r="AW856" s="126"/>
      <c r="AX856" s="126"/>
      <c r="AY856" s="127"/>
      <c r="AZ856" s="126"/>
      <c r="BA856" s="126"/>
      <c r="BB856" s="127"/>
      <c r="BC856" s="126"/>
      <c r="BD856" s="134"/>
      <c r="BE856" s="127"/>
      <c r="BF856" s="126"/>
      <c r="BG856" s="126"/>
      <c r="BH856" s="126"/>
      <c r="BI856" s="126"/>
      <c r="BJ856" s="126"/>
      <c r="BK856" s="126"/>
      <c r="BL856" s="126"/>
      <c r="BM856" s="126"/>
      <c r="BN856" s="126"/>
      <c r="BO856" s="126"/>
      <c r="BP856" s="126"/>
      <c r="BQ856" s="126"/>
      <c r="BR856" s="126"/>
      <c r="BS856" s="126"/>
      <c r="BT856" s="126"/>
      <c r="BU856" s="126"/>
      <c r="BV856" s="126"/>
      <c r="BW856" s="126"/>
      <c r="BX856" s="126"/>
    </row>
    <row r="857">
      <c r="A857" s="126"/>
      <c r="B857" s="126"/>
      <c r="C857" s="127"/>
      <c r="D857" s="126"/>
      <c r="E857" s="126"/>
      <c r="F857" s="127"/>
      <c r="G857" s="126"/>
      <c r="H857" s="127"/>
      <c r="I857" s="126"/>
      <c r="J857" s="126"/>
      <c r="K857" s="127"/>
      <c r="L857" s="126"/>
      <c r="M857" s="126"/>
      <c r="N857" s="127"/>
      <c r="O857" s="126"/>
      <c r="P857" s="126"/>
      <c r="Q857" s="127"/>
      <c r="R857" s="126"/>
      <c r="S857" s="126"/>
      <c r="T857" s="127"/>
      <c r="U857" s="126"/>
      <c r="V857" s="126"/>
      <c r="W857" s="127"/>
      <c r="X857" s="126"/>
      <c r="Y857" s="126"/>
      <c r="Z857" s="127"/>
      <c r="AA857" s="126"/>
      <c r="AB857" s="126"/>
      <c r="AC857" s="127"/>
      <c r="AD857" s="126"/>
      <c r="AE857" s="126"/>
      <c r="AF857" s="126"/>
      <c r="AG857" s="127"/>
      <c r="AH857" s="126"/>
      <c r="AI857" s="126"/>
      <c r="AJ857" s="127"/>
      <c r="AK857" s="126"/>
      <c r="AL857" s="126"/>
      <c r="AM857" s="127"/>
      <c r="AN857" s="126"/>
      <c r="AO857" s="126"/>
      <c r="AP857" s="127"/>
      <c r="AQ857" s="126"/>
      <c r="AR857" s="126"/>
      <c r="AS857" s="127"/>
      <c r="AT857" s="126"/>
      <c r="AU857" s="126"/>
      <c r="AV857" s="127"/>
      <c r="AW857" s="126"/>
      <c r="AX857" s="126"/>
      <c r="AY857" s="127"/>
      <c r="AZ857" s="126"/>
      <c r="BA857" s="126"/>
      <c r="BB857" s="127"/>
      <c r="BC857" s="126"/>
      <c r="BD857" s="134"/>
      <c r="BE857" s="127"/>
      <c r="BF857" s="126"/>
      <c r="BG857" s="126"/>
      <c r="BH857" s="126"/>
      <c r="BI857" s="126"/>
      <c r="BJ857" s="126"/>
      <c r="BK857" s="126"/>
      <c r="BL857" s="126"/>
      <c r="BM857" s="126"/>
      <c r="BN857" s="126"/>
      <c r="BO857" s="126"/>
      <c r="BP857" s="126"/>
      <c r="BQ857" s="126"/>
      <c r="BR857" s="126"/>
      <c r="BS857" s="126"/>
      <c r="BT857" s="126"/>
      <c r="BU857" s="126"/>
      <c r="BV857" s="126"/>
      <c r="BW857" s="126"/>
      <c r="BX857" s="126"/>
    </row>
    <row r="858">
      <c r="A858" s="126"/>
      <c r="B858" s="126"/>
      <c r="C858" s="127"/>
      <c r="D858" s="126"/>
      <c r="E858" s="126"/>
      <c r="F858" s="127"/>
      <c r="G858" s="126"/>
      <c r="H858" s="127"/>
      <c r="I858" s="126"/>
      <c r="J858" s="126"/>
      <c r="K858" s="127"/>
      <c r="L858" s="126"/>
      <c r="M858" s="126"/>
      <c r="N858" s="127"/>
      <c r="O858" s="126"/>
      <c r="P858" s="126"/>
      <c r="Q858" s="127"/>
      <c r="R858" s="126"/>
      <c r="S858" s="126"/>
      <c r="T858" s="127"/>
      <c r="U858" s="126"/>
      <c r="V858" s="126"/>
      <c r="W858" s="127"/>
      <c r="X858" s="126"/>
      <c r="Y858" s="126"/>
      <c r="Z858" s="127"/>
      <c r="AA858" s="126"/>
      <c r="AB858" s="126"/>
      <c r="AC858" s="127"/>
      <c r="AD858" s="126"/>
      <c r="AE858" s="126"/>
      <c r="AF858" s="126"/>
      <c r="AG858" s="127"/>
      <c r="AH858" s="126"/>
      <c r="AI858" s="126"/>
      <c r="AJ858" s="127"/>
      <c r="AK858" s="126"/>
      <c r="AL858" s="126"/>
      <c r="AM858" s="127"/>
      <c r="AN858" s="126"/>
      <c r="AO858" s="126"/>
      <c r="AP858" s="127"/>
      <c r="AQ858" s="126"/>
      <c r="AR858" s="126"/>
      <c r="AS858" s="127"/>
      <c r="AT858" s="126"/>
      <c r="AU858" s="126"/>
      <c r="AV858" s="127"/>
      <c r="AW858" s="126"/>
      <c r="AX858" s="126"/>
      <c r="AY858" s="127"/>
      <c r="AZ858" s="126"/>
      <c r="BA858" s="126"/>
      <c r="BB858" s="127"/>
      <c r="BC858" s="126"/>
      <c r="BD858" s="134"/>
      <c r="BE858" s="127"/>
      <c r="BF858" s="126"/>
      <c r="BG858" s="126"/>
      <c r="BH858" s="126"/>
      <c r="BI858" s="126"/>
      <c r="BJ858" s="126"/>
      <c r="BK858" s="126"/>
      <c r="BL858" s="126"/>
      <c r="BM858" s="126"/>
      <c r="BN858" s="126"/>
      <c r="BO858" s="126"/>
      <c r="BP858" s="126"/>
      <c r="BQ858" s="126"/>
      <c r="BR858" s="126"/>
      <c r="BS858" s="126"/>
      <c r="BT858" s="126"/>
      <c r="BU858" s="126"/>
      <c r="BV858" s="126"/>
      <c r="BW858" s="126"/>
      <c r="BX858" s="126"/>
    </row>
    <row r="859">
      <c r="A859" s="126"/>
      <c r="B859" s="126"/>
      <c r="C859" s="127"/>
      <c r="D859" s="126"/>
      <c r="E859" s="126"/>
      <c r="F859" s="127"/>
      <c r="G859" s="126"/>
      <c r="H859" s="127"/>
      <c r="I859" s="126"/>
      <c r="J859" s="126"/>
      <c r="K859" s="127"/>
      <c r="L859" s="126"/>
      <c r="M859" s="126"/>
      <c r="N859" s="127"/>
      <c r="O859" s="126"/>
      <c r="P859" s="126"/>
      <c r="Q859" s="127"/>
      <c r="R859" s="126"/>
      <c r="S859" s="126"/>
      <c r="T859" s="127"/>
      <c r="U859" s="126"/>
      <c r="V859" s="126"/>
      <c r="W859" s="127"/>
      <c r="X859" s="126"/>
      <c r="Y859" s="126"/>
      <c r="Z859" s="127"/>
      <c r="AA859" s="126"/>
      <c r="AB859" s="126"/>
      <c r="AC859" s="127"/>
      <c r="AD859" s="126"/>
      <c r="AE859" s="126"/>
      <c r="AF859" s="126"/>
      <c r="AG859" s="127"/>
      <c r="AH859" s="126"/>
      <c r="AI859" s="126"/>
      <c r="AJ859" s="127"/>
      <c r="AK859" s="126"/>
      <c r="AL859" s="126"/>
      <c r="AM859" s="127"/>
      <c r="AN859" s="126"/>
      <c r="AO859" s="126"/>
      <c r="AP859" s="127"/>
      <c r="AQ859" s="126"/>
      <c r="AR859" s="126"/>
      <c r="AS859" s="127"/>
      <c r="AT859" s="126"/>
      <c r="AU859" s="126"/>
      <c r="AV859" s="127"/>
      <c r="AW859" s="126"/>
      <c r="AX859" s="126"/>
      <c r="AY859" s="127"/>
      <c r="AZ859" s="126"/>
      <c r="BA859" s="126"/>
      <c r="BB859" s="127"/>
      <c r="BC859" s="126"/>
      <c r="BD859" s="134"/>
      <c r="BE859" s="127"/>
      <c r="BF859" s="126"/>
      <c r="BG859" s="126"/>
      <c r="BH859" s="126"/>
      <c r="BI859" s="126"/>
      <c r="BJ859" s="126"/>
      <c r="BK859" s="126"/>
      <c r="BL859" s="126"/>
      <c r="BM859" s="126"/>
      <c r="BN859" s="126"/>
      <c r="BO859" s="126"/>
      <c r="BP859" s="126"/>
      <c r="BQ859" s="126"/>
      <c r="BR859" s="126"/>
      <c r="BS859" s="126"/>
      <c r="BT859" s="126"/>
      <c r="BU859" s="126"/>
      <c r="BV859" s="126"/>
      <c r="BW859" s="126"/>
      <c r="BX859" s="126"/>
    </row>
    <row r="860">
      <c r="A860" s="126"/>
      <c r="B860" s="126"/>
      <c r="C860" s="127"/>
      <c r="D860" s="126"/>
      <c r="E860" s="126"/>
      <c r="F860" s="127"/>
      <c r="G860" s="126"/>
      <c r="H860" s="127"/>
      <c r="I860" s="126"/>
      <c r="J860" s="126"/>
      <c r="K860" s="127"/>
      <c r="L860" s="126"/>
      <c r="M860" s="126"/>
      <c r="N860" s="127"/>
      <c r="O860" s="126"/>
      <c r="P860" s="126"/>
      <c r="Q860" s="127"/>
      <c r="R860" s="126"/>
      <c r="S860" s="126"/>
      <c r="T860" s="127"/>
      <c r="U860" s="126"/>
      <c r="V860" s="126"/>
      <c r="W860" s="127"/>
      <c r="X860" s="126"/>
      <c r="Y860" s="126"/>
      <c r="Z860" s="127"/>
      <c r="AA860" s="126"/>
      <c r="AB860" s="126"/>
      <c r="AC860" s="127"/>
      <c r="AD860" s="126"/>
      <c r="AE860" s="126"/>
      <c r="AF860" s="126"/>
      <c r="AG860" s="127"/>
      <c r="AH860" s="126"/>
      <c r="AI860" s="126"/>
      <c r="AJ860" s="127"/>
      <c r="AK860" s="126"/>
      <c r="AL860" s="126"/>
      <c r="AM860" s="127"/>
      <c r="AN860" s="126"/>
      <c r="AO860" s="126"/>
      <c r="AP860" s="127"/>
      <c r="AQ860" s="126"/>
      <c r="AR860" s="126"/>
      <c r="AS860" s="127"/>
      <c r="AT860" s="126"/>
      <c r="AU860" s="126"/>
      <c r="AV860" s="127"/>
      <c r="AW860" s="126"/>
      <c r="AX860" s="126"/>
      <c r="AY860" s="127"/>
      <c r="AZ860" s="126"/>
      <c r="BA860" s="126"/>
      <c r="BB860" s="127"/>
      <c r="BC860" s="126"/>
      <c r="BD860" s="134"/>
      <c r="BE860" s="127"/>
      <c r="BF860" s="126"/>
      <c r="BG860" s="126"/>
      <c r="BH860" s="126"/>
      <c r="BI860" s="126"/>
      <c r="BJ860" s="126"/>
      <c r="BK860" s="126"/>
      <c r="BL860" s="126"/>
      <c r="BM860" s="126"/>
      <c r="BN860" s="126"/>
      <c r="BO860" s="126"/>
      <c r="BP860" s="126"/>
      <c r="BQ860" s="126"/>
      <c r="BR860" s="126"/>
      <c r="BS860" s="126"/>
      <c r="BT860" s="126"/>
      <c r="BU860" s="126"/>
      <c r="BV860" s="126"/>
      <c r="BW860" s="126"/>
      <c r="BX860" s="126"/>
    </row>
    <row r="861">
      <c r="A861" s="126"/>
      <c r="B861" s="126"/>
      <c r="C861" s="127"/>
      <c r="D861" s="126"/>
      <c r="E861" s="126"/>
      <c r="F861" s="127"/>
      <c r="G861" s="126"/>
      <c r="H861" s="127"/>
      <c r="I861" s="126"/>
      <c r="J861" s="126"/>
      <c r="K861" s="127"/>
      <c r="L861" s="126"/>
      <c r="M861" s="126"/>
      <c r="N861" s="127"/>
      <c r="O861" s="126"/>
      <c r="P861" s="126"/>
      <c r="Q861" s="127"/>
      <c r="R861" s="126"/>
      <c r="S861" s="126"/>
      <c r="T861" s="127"/>
      <c r="U861" s="126"/>
      <c r="V861" s="126"/>
      <c r="W861" s="127"/>
      <c r="X861" s="126"/>
      <c r="Y861" s="126"/>
      <c r="Z861" s="127"/>
      <c r="AA861" s="126"/>
      <c r="AB861" s="126"/>
      <c r="AC861" s="127"/>
      <c r="AD861" s="126"/>
      <c r="AE861" s="126"/>
      <c r="AF861" s="126"/>
      <c r="AG861" s="127"/>
      <c r="AH861" s="126"/>
      <c r="AI861" s="126"/>
      <c r="AJ861" s="127"/>
      <c r="AK861" s="126"/>
      <c r="AL861" s="126"/>
      <c r="AM861" s="127"/>
      <c r="AN861" s="126"/>
      <c r="AO861" s="126"/>
      <c r="AP861" s="127"/>
      <c r="AQ861" s="126"/>
      <c r="AR861" s="126"/>
      <c r="AS861" s="127"/>
      <c r="AT861" s="126"/>
      <c r="AU861" s="126"/>
      <c r="AV861" s="127"/>
      <c r="AW861" s="126"/>
      <c r="AX861" s="126"/>
      <c r="AY861" s="127"/>
      <c r="AZ861" s="126"/>
      <c r="BA861" s="126"/>
      <c r="BB861" s="127"/>
      <c r="BC861" s="126"/>
      <c r="BD861" s="134"/>
      <c r="BE861" s="127"/>
      <c r="BF861" s="126"/>
      <c r="BG861" s="126"/>
      <c r="BH861" s="126"/>
      <c r="BI861" s="126"/>
      <c r="BJ861" s="126"/>
      <c r="BK861" s="126"/>
      <c r="BL861" s="126"/>
      <c r="BM861" s="126"/>
      <c r="BN861" s="126"/>
      <c r="BO861" s="126"/>
      <c r="BP861" s="126"/>
      <c r="BQ861" s="126"/>
      <c r="BR861" s="126"/>
      <c r="BS861" s="126"/>
      <c r="BT861" s="126"/>
      <c r="BU861" s="126"/>
      <c r="BV861" s="126"/>
      <c r="BW861" s="126"/>
      <c r="BX861" s="126"/>
    </row>
    <row r="862">
      <c r="A862" s="126"/>
      <c r="B862" s="126"/>
      <c r="C862" s="127"/>
      <c r="D862" s="126"/>
      <c r="E862" s="126"/>
      <c r="F862" s="127"/>
      <c r="G862" s="126"/>
      <c r="H862" s="127"/>
      <c r="I862" s="126"/>
      <c r="J862" s="126"/>
      <c r="K862" s="127"/>
      <c r="L862" s="126"/>
      <c r="M862" s="126"/>
      <c r="N862" s="127"/>
      <c r="O862" s="126"/>
      <c r="P862" s="126"/>
      <c r="Q862" s="127"/>
      <c r="R862" s="126"/>
      <c r="S862" s="126"/>
      <c r="T862" s="127"/>
      <c r="U862" s="126"/>
      <c r="V862" s="126"/>
      <c r="W862" s="127"/>
      <c r="X862" s="126"/>
      <c r="Y862" s="126"/>
      <c r="Z862" s="127"/>
      <c r="AA862" s="126"/>
      <c r="AB862" s="126"/>
      <c r="AC862" s="127"/>
      <c r="AD862" s="126"/>
      <c r="AE862" s="126"/>
      <c r="AF862" s="126"/>
      <c r="AG862" s="127"/>
      <c r="AH862" s="126"/>
      <c r="AI862" s="126"/>
      <c r="AJ862" s="127"/>
      <c r="AK862" s="126"/>
      <c r="AL862" s="126"/>
      <c r="AM862" s="127"/>
      <c r="AN862" s="126"/>
      <c r="AO862" s="126"/>
      <c r="AP862" s="127"/>
      <c r="AQ862" s="126"/>
      <c r="AR862" s="126"/>
      <c r="AS862" s="127"/>
      <c r="AT862" s="126"/>
      <c r="AU862" s="126"/>
      <c r="AV862" s="127"/>
      <c r="AW862" s="126"/>
      <c r="AX862" s="126"/>
      <c r="AY862" s="127"/>
      <c r="AZ862" s="126"/>
      <c r="BA862" s="126"/>
      <c r="BB862" s="127"/>
      <c r="BC862" s="126"/>
      <c r="BD862" s="134"/>
      <c r="BE862" s="127"/>
      <c r="BF862" s="126"/>
      <c r="BG862" s="126"/>
      <c r="BH862" s="126"/>
      <c r="BI862" s="126"/>
      <c r="BJ862" s="126"/>
      <c r="BK862" s="126"/>
      <c r="BL862" s="126"/>
      <c r="BM862" s="126"/>
      <c r="BN862" s="126"/>
      <c r="BO862" s="126"/>
      <c r="BP862" s="126"/>
      <c r="BQ862" s="126"/>
      <c r="BR862" s="126"/>
      <c r="BS862" s="126"/>
      <c r="BT862" s="126"/>
      <c r="BU862" s="126"/>
      <c r="BV862" s="126"/>
      <c r="BW862" s="126"/>
      <c r="BX862" s="126"/>
    </row>
    <row r="863">
      <c r="A863" s="126"/>
      <c r="B863" s="126"/>
      <c r="C863" s="127"/>
      <c r="D863" s="126"/>
      <c r="E863" s="126"/>
      <c r="F863" s="127"/>
      <c r="G863" s="126"/>
      <c r="H863" s="127"/>
      <c r="I863" s="126"/>
      <c r="J863" s="126"/>
      <c r="K863" s="127"/>
      <c r="L863" s="126"/>
      <c r="M863" s="126"/>
      <c r="N863" s="127"/>
      <c r="O863" s="126"/>
      <c r="P863" s="126"/>
      <c r="Q863" s="127"/>
      <c r="R863" s="126"/>
      <c r="S863" s="126"/>
      <c r="T863" s="127"/>
      <c r="U863" s="126"/>
      <c r="V863" s="126"/>
      <c r="W863" s="127"/>
      <c r="X863" s="126"/>
      <c r="Y863" s="126"/>
      <c r="Z863" s="127"/>
      <c r="AA863" s="126"/>
      <c r="AB863" s="126"/>
      <c r="AC863" s="127"/>
      <c r="AD863" s="126"/>
      <c r="AE863" s="126"/>
      <c r="AF863" s="126"/>
      <c r="AG863" s="127"/>
      <c r="AH863" s="126"/>
      <c r="AI863" s="126"/>
      <c r="AJ863" s="127"/>
      <c r="AK863" s="126"/>
      <c r="AL863" s="126"/>
      <c r="AM863" s="127"/>
      <c r="AN863" s="126"/>
      <c r="AO863" s="126"/>
      <c r="AP863" s="127"/>
      <c r="AQ863" s="126"/>
      <c r="AR863" s="126"/>
      <c r="AS863" s="127"/>
      <c r="AT863" s="126"/>
      <c r="AU863" s="126"/>
      <c r="AV863" s="127"/>
      <c r="AW863" s="126"/>
      <c r="AX863" s="126"/>
      <c r="AY863" s="127"/>
      <c r="AZ863" s="126"/>
      <c r="BA863" s="126"/>
      <c r="BB863" s="127"/>
      <c r="BC863" s="126"/>
      <c r="BD863" s="134"/>
      <c r="BE863" s="127"/>
      <c r="BF863" s="126"/>
      <c r="BG863" s="126"/>
      <c r="BH863" s="126"/>
      <c r="BI863" s="126"/>
      <c r="BJ863" s="126"/>
      <c r="BK863" s="126"/>
      <c r="BL863" s="126"/>
      <c r="BM863" s="126"/>
      <c r="BN863" s="126"/>
      <c r="BO863" s="126"/>
      <c r="BP863" s="126"/>
      <c r="BQ863" s="126"/>
      <c r="BR863" s="126"/>
      <c r="BS863" s="126"/>
      <c r="BT863" s="126"/>
      <c r="BU863" s="126"/>
      <c r="BV863" s="126"/>
      <c r="BW863" s="126"/>
      <c r="BX863" s="126"/>
    </row>
    <row r="864">
      <c r="A864" s="126"/>
      <c r="B864" s="126"/>
      <c r="C864" s="127"/>
      <c r="D864" s="126"/>
      <c r="E864" s="126"/>
      <c r="F864" s="127"/>
      <c r="G864" s="126"/>
      <c r="H864" s="127"/>
      <c r="I864" s="126"/>
      <c r="J864" s="126"/>
      <c r="K864" s="127"/>
      <c r="L864" s="126"/>
      <c r="M864" s="126"/>
      <c r="N864" s="127"/>
      <c r="O864" s="126"/>
      <c r="P864" s="126"/>
      <c r="Q864" s="127"/>
      <c r="R864" s="126"/>
      <c r="S864" s="126"/>
      <c r="T864" s="127"/>
      <c r="U864" s="126"/>
      <c r="V864" s="126"/>
      <c r="W864" s="127"/>
      <c r="X864" s="126"/>
      <c r="Y864" s="126"/>
      <c r="Z864" s="127"/>
      <c r="AA864" s="126"/>
      <c r="AB864" s="126"/>
      <c r="AC864" s="127"/>
      <c r="AD864" s="126"/>
      <c r="AE864" s="126"/>
      <c r="AF864" s="126"/>
      <c r="AG864" s="127"/>
      <c r="AH864" s="126"/>
      <c r="AI864" s="126"/>
      <c r="AJ864" s="127"/>
      <c r="AK864" s="126"/>
      <c r="AL864" s="126"/>
      <c r="AM864" s="127"/>
      <c r="AN864" s="126"/>
      <c r="AO864" s="126"/>
      <c r="AP864" s="127"/>
      <c r="AQ864" s="126"/>
      <c r="AR864" s="126"/>
      <c r="AS864" s="127"/>
      <c r="AT864" s="126"/>
      <c r="AU864" s="126"/>
      <c r="AV864" s="127"/>
      <c r="AW864" s="126"/>
      <c r="AX864" s="126"/>
      <c r="AY864" s="127"/>
      <c r="AZ864" s="126"/>
      <c r="BA864" s="126"/>
      <c r="BB864" s="127"/>
      <c r="BC864" s="126"/>
      <c r="BD864" s="134"/>
      <c r="BE864" s="127"/>
      <c r="BF864" s="126"/>
      <c r="BG864" s="126"/>
      <c r="BH864" s="126"/>
      <c r="BI864" s="126"/>
      <c r="BJ864" s="126"/>
      <c r="BK864" s="126"/>
      <c r="BL864" s="126"/>
      <c r="BM864" s="126"/>
      <c r="BN864" s="126"/>
      <c r="BO864" s="126"/>
      <c r="BP864" s="126"/>
      <c r="BQ864" s="126"/>
      <c r="BR864" s="126"/>
      <c r="BS864" s="126"/>
      <c r="BT864" s="126"/>
      <c r="BU864" s="126"/>
      <c r="BV864" s="126"/>
      <c r="BW864" s="126"/>
      <c r="BX864" s="126"/>
    </row>
    <row r="865">
      <c r="A865" s="126"/>
      <c r="B865" s="126"/>
      <c r="C865" s="127"/>
      <c r="D865" s="126"/>
      <c r="E865" s="126"/>
      <c r="F865" s="127"/>
      <c r="G865" s="126"/>
      <c r="H865" s="127"/>
      <c r="I865" s="126"/>
      <c r="J865" s="126"/>
      <c r="K865" s="127"/>
      <c r="L865" s="126"/>
      <c r="M865" s="126"/>
      <c r="N865" s="127"/>
      <c r="O865" s="126"/>
      <c r="P865" s="126"/>
      <c r="Q865" s="127"/>
      <c r="R865" s="126"/>
      <c r="S865" s="126"/>
      <c r="T865" s="127"/>
      <c r="U865" s="126"/>
      <c r="V865" s="126"/>
      <c r="W865" s="127"/>
      <c r="X865" s="126"/>
      <c r="Y865" s="126"/>
      <c r="Z865" s="127"/>
      <c r="AA865" s="126"/>
      <c r="AB865" s="126"/>
      <c r="AC865" s="127"/>
      <c r="AD865" s="126"/>
      <c r="AE865" s="126"/>
      <c r="AF865" s="126"/>
      <c r="AG865" s="127"/>
      <c r="AH865" s="126"/>
      <c r="AI865" s="126"/>
      <c r="AJ865" s="127"/>
      <c r="AK865" s="126"/>
      <c r="AL865" s="126"/>
      <c r="AM865" s="127"/>
      <c r="AN865" s="126"/>
      <c r="AO865" s="126"/>
      <c r="AP865" s="127"/>
      <c r="AQ865" s="126"/>
      <c r="AR865" s="126"/>
      <c r="AS865" s="127"/>
      <c r="AT865" s="126"/>
      <c r="AU865" s="126"/>
      <c r="AV865" s="127"/>
      <c r="AW865" s="126"/>
      <c r="AX865" s="126"/>
      <c r="AY865" s="127"/>
      <c r="AZ865" s="126"/>
      <c r="BA865" s="126"/>
      <c r="BB865" s="127"/>
      <c r="BC865" s="126"/>
      <c r="BD865" s="134"/>
      <c r="BE865" s="127"/>
      <c r="BF865" s="126"/>
      <c r="BG865" s="126"/>
      <c r="BH865" s="126"/>
      <c r="BI865" s="126"/>
      <c r="BJ865" s="126"/>
      <c r="BK865" s="126"/>
      <c r="BL865" s="126"/>
      <c r="BM865" s="126"/>
      <c r="BN865" s="126"/>
      <c r="BO865" s="126"/>
      <c r="BP865" s="126"/>
      <c r="BQ865" s="126"/>
      <c r="BR865" s="126"/>
      <c r="BS865" s="126"/>
      <c r="BT865" s="126"/>
      <c r="BU865" s="126"/>
      <c r="BV865" s="126"/>
      <c r="BW865" s="126"/>
      <c r="BX865" s="126"/>
    </row>
    <row r="866">
      <c r="A866" s="126"/>
      <c r="B866" s="126"/>
      <c r="C866" s="127"/>
      <c r="D866" s="126"/>
      <c r="E866" s="126"/>
      <c r="F866" s="127"/>
      <c r="G866" s="126"/>
      <c r="H866" s="127"/>
      <c r="I866" s="126"/>
      <c r="J866" s="126"/>
      <c r="K866" s="127"/>
      <c r="L866" s="126"/>
      <c r="M866" s="126"/>
      <c r="N866" s="127"/>
      <c r="O866" s="126"/>
      <c r="P866" s="126"/>
      <c r="Q866" s="127"/>
      <c r="R866" s="126"/>
      <c r="S866" s="126"/>
      <c r="T866" s="127"/>
      <c r="U866" s="126"/>
      <c r="V866" s="126"/>
      <c r="W866" s="127"/>
      <c r="X866" s="126"/>
      <c r="Y866" s="126"/>
      <c r="Z866" s="127"/>
      <c r="AA866" s="126"/>
      <c r="AB866" s="126"/>
      <c r="AC866" s="127"/>
      <c r="AD866" s="126"/>
      <c r="AE866" s="126"/>
      <c r="AF866" s="126"/>
      <c r="AG866" s="127"/>
      <c r="AH866" s="126"/>
      <c r="AI866" s="126"/>
      <c r="AJ866" s="127"/>
      <c r="AK866" s="126"/>
      <c r="AL866" s="126"/>
      <c r="AM866" s="127"/>
      <c r="AN866" s="126"/>
      <c r="AO866" s="126"/>
      <c r="AP866" s="127"/>
      <c r="AQ866" s="126"/>
      <c r="AR866" s="126"/>
      <c r="AS866" s="127"/>
      <c r="AT866" s="126"/>
      <c r="AU866" s="126"/>
      <c r="AV866" s="127"/>
      <c r="AW866" s="126"/>
      <c r="AX866" s="126"/>
      <c r="AY866" s="127"/>
      <c r="AZ866" s="126"/>
      <c r="BA866" s="126"/>
      <c r="BB866" s="127"/>
      <c r="BC866" s="126"/>
      <c r="BD866" s="134"/>
      <c r="BE866" s="127"/>
      <c r="BF866" s="126"/>
      <c r="BG866" s="126"/>
      <c r="BH866" s="126"/>
      <c r="BI866" s="126"/>
      <c r="BJ866" s="126"/>
      <c r="BK866" s="126"/>
      <c r="BL866" s="126"/>
      <c r="BM866" s="126"/>
      <c r="BN866" s="126"/>
      <c r="BO866" s="126"/>
      <c r="BP866" s="126"/>
      <c r="BQ866" s="126"/>
      <c r="BR866" s="126"/>
      <c r="BS866" s="126"/>
      <c r="BT866" s="126"/>
      <c r="BU866" s="126"/>
      <c r="BV866" s="126"/>
      <c r="BW866" s="126"/>
      <c r="BX866" s="126"/>
    </row>
    <row r="867">
      <c r="A867" s="126"/>
      <c r="B867" s="126"/>
      <c r="C867" s="127"/>
      <c r="D867" s="126"/>
      <c r="E867" s="126"/>
      <c r="F867" s="127"/>
      <c r="G867" s="126"/>
      <c r="H867" s="127"/>
      <c r="I867" s="126"/>
      <c r="J867" s="126"/>
      <c r="K867" s="127"/>
      <c r="L867" s="126"/>
      <c r="M867" s="126"/>
      <c r="N867" s="127"/>
      <c r="O867" s="126"/>
      <c r="P867" s="126"/>
      <c r="Q867" s="127"/>
      <c r="R867" s="126"/>
      <c r="S867" s="126"/>
      <c r="T867" s="127"/>
      <c r="U867" s="126"/>
      <c r="V867" s="126"/>
      <c r="W867" s="127"/>
      <c r="X867" s="126"/>
      <c r="Y867" s="126"/>
      <c r="Z867" s="127"/>
      <c r="AA867" s="126"/>
      <c r="AB867" s="126"/>
      <c r="AC867" s="127"/>
      <c r="AD867" s="126"/>
      <c r="AE867" s="126"/>
      <c r="AF867" s="126"/>
      <c r="AG867" s="127"/>
      <c r="AH867" s="126"/>
      <c r="AI867" s="126"/>
      <c r="AJ867" s="127"/>
      <c r="AK867" s="126"/>
      <c r="AL867" s="126"/>
      <c r="AM867" s="127"/>
      <c r="AN867" s="126"/>
      <c r="AO867" s="126"/>
      <c r="AP867" s="127"/>
      <c r="AQ867" s="126"/>
      <c r="AR867" s="126"/>
      <c r="AS867" s="127"/>
      <c r="AT867" s="126"/>
      <c r="AU867" s="126"/>
      <c r="AV867" s="127"/>
      <c r="AW867" s="126"/>
      <c r="AX867" s="126"/>
      <c r="AY867" s="127"/>
      <c r="AZ867" s="126"/>
      <c r="BA867" s="126"/>
      <c r="BB867" s="127"/>
      <c r="BC867" s="126"/>
      <c r="BD867" s="134"/>
      <c r="BE867" s="127"/>
      <c r="BF867" s="126"/>
      <c r="BG867" s="126"/>
      <c r="BH867" s="126"/>
      <c r="BI867" s="126"/>
      <c r="BJ867" s="126"/>
      <c r="BK867" s="126"/>
      <c r="BL867" s="126"/>
      <c r="BM867" s="126"/>
      <c r="BN867" s="126"/>
      <c r="BO867" s="126"/>
      <c r="BP867" s="126"/>
      <c r="BQ867" s="126"/>
      <c r="BR867" s="126"/>
      <c r="BS867" s="126"/>
      <c r="BT867" s="126"/>
      <c r="BU867" s="126"/>
      <c r="BV867" s="126"/>
      <c r="BW867" s="126"/>
      <c r="BX867" s="126"/>
    </row>
    <row r="868">
      <c r="A868" s="126"/>
      <c r="B868" s="126"/>
      <c r="C868" s="127"/>
      <c r="D868" s="126"/>
      <c r="E868" s="126"/>
      <c r="F868" s="127"/>
      <c r="G868" s="126"/>
      <c r="H868" s="127"/>
      <c r="I868" s="126"/>
      <c r="J868" s="126"/>
      <c r="K868" s="127"/>
      <c r="L868" s="126"/>
      <c r="M868" s="126"/>
      <c r="N868" s="127"/>
      <c r="O868" s="126"/>
      <c r="P868" s="126"/>
      <c r="Q868" s="127"/>
      <c r="R868" s="126"/>
      <c r="S868" s="126"/>
      <c r="T868" s="127"/>
      <c r="U868" s="126"/>
      <c r="V868" s="126"/>
      <c r="W868" s="127"/>
      <c r="X868" s="126"/>
      <c r="Y868" s="126"/>
      <c r="Z868" s="127"/>
      <c r="AA868" s="126"/>
      <c r="AB868" s="126"/>
      <c r="AC868" s="127"/>
      <c r="AD868" s="126"/>
      <c r="AE868" s="126"/>
      <c r="AF868" s="126"/>
      <c r="AG868" s="127"/>
      <c r="AH868" s="126"/>
      <c r="AI868" s="126"/>
      <c r="AJ868" s="127"/>
      <c r="AK868" s="126"/>
      <c r="AL868" s="126"/>
      <c r="AM868" s="127"/>
      <c r="AN868" s="126"/>
      <c r="AO868" s="126"/>
      <c r="AP868" s="127"/>
      <c r="AQ868" s="126"/>
      <c r="AR868" s="126"/>
      <c r="AS868" s="127"/>
      <c r="AT868" s="126"/>
      <c r="AU868" s="126"/>
      <c r="AV868" s="127"/>
      <c r="AW868" s="126"/>
      <c r="AX868" s="126"/>
      <c r="AY868" s="127"/>
      <c r="AZ868" s="126"/>
      <c r="BA868" s="126"/>
      <c r="BB868" s="127"/>
      <c r="BC868" s="126"/>
      <c r="BD868" s="134"/>
      <c r="BE868" s="127"/>
      <c r="BF868" s="126"/>
      <c r="BG868" s="126"/>
      <c r="BH868" s="126"/>
      <c r="BI868" s="126"/>
      <c r="BJ868" s="126"/>
      <c r="BK868" s="126"/>
      <c r="BL868" s="126"/>
      <c r="BM868" s="126"/>
      <c r="BN868" s="126"/>
      <c r="BO868" s="126"/>
      <c r="BP868" s="126"/>
      <c r="BQ868" s="126"/>
      <c r="BR868" s="126"/>
      <c r="BS868" s="126"/>
      <c r="BT868" s="126"/>
      <c r="BU868" s="126"/>
      <c r="BV868" s="126"/>
      <c r="BW868" s="126"/>
      <c r="BX868" s="126"/>
    </row>
    <row r="869">
      <c r="A869" s="126"/>
      <c r="B869" s="126"/>
      <c r="C869" s="127"/>
      <c r="D869" s="126"/>
      <c r="E869" s="126"/>
      <c r="F869" s="127"/>
      <c r="G869" s="126"/>
      <c r="H869" s="127"/>
      <c r="I869" s="126"/>
      <c r="J869" s="126"/>
      <c r="K869" s="127"/>
      <c r="L869" s="126"/>
      <c r="M869" s="126"/>
      <c r="N869" s="127"/>
      <c r="O869" s="126"/>
      <c r="P869" s="126"/>
      <c r="Q869" s="127"/>
      <c r="R869" s="126"/>
      <c r="S869" s="126"/>
      <c r="T869" s="127"/>
      <c r="U869" s="126"/>
      <c r="V869" s="126"/>
      <c r="W869" s="127"/>
      <c r="X869" s="126"/>
      <c r="Y869" s="126"/>
      <c r="Z869" s="127"/>
      <c r="AA869" s="126"/>
      <c r="AB869" s="126"/>
      <c r="AC869" s="127"/>
      <c r="AD869" s="126"/>
      <c r="AE869" s="126"/>
      <c r="AF869" s="126"/>
      <c r="AG869" s="127"/>
      <c r="AH869" s="126"/>
      <c r="AI869" s="126"/>
      <c r="AJ869" s="127"/>
      <c r="AK869" s="126"/>
      <c r="AL869" s="126"/>
      <c r="AM869" s="127"/>
      <c r="AN869" s="126"/>
      <c r="AO869" s="126"/>
      <c r="AP869" s="127"/>
      <c r="AQ869" s="126"/>
      <c r="AR869" s="126"/>
      <c r="AS869" s="127"/>
      <c r="AT869" s="126"/>
      <c r="AU869" s="126"/>
      <c r="AV869" s="127"/>
      <c r="AW869" s="126"/>
      <c r="AX869" s="126"/>
      <c r="AY869" s="127"/>
      <c r="AZ869" s="126"/>
      <c r="BA869" s="126"/>
      <c r="BB869" s="127"/>
      <c r="BC869" s="126"/>
      <c r="BD869" s="134"/>
      <c r="BE869" s="127"/>
      <c r="BF869" s="126"/>
      <c r="BG869" s="126"/>
      <c r="BH869" s="126"/>
      <c r="BI869" s="126"/>
      <c r="BJ869" s="126"/>
      <c r="BK869" s="126"/>
      <c r="BL869" s="126"/>
      <c r="BM869" s="126"/>
      <c r="BN869" s="126"/>
      <c r="BO869" s="126"/>
      <c r="BP869" s="126"/>
      <c r="BQ869" s="126"/>
      <c r="BR869" s="126"/>
      <c r="BS869" s="126"/>
      <c r="BT869" s="126"/>
      <c r="BU869" s="126"/>
      <c r="BV869" s="126"/>
      <c r="BW869" s="126"/>
      <c r="BX869" s="126"/>
    </row>
    <row r="870">
      <c r="A870" s="126"/>
      <c r="B870" s="126"/>
      <c r="C870" s="127"/>
      <c r="D870" s="126"/>
      <c r="E870" s="126"/>
      <c r="F870" s="127"/>
      <c r="G870" s="126"/>
      <c r="H870" s="127"/>
      <c r="I870" s="126"/>
      <c r="J870" s="126"/>
      <c r="K870" s="127"/>
      <c r="L870" s="126"/>
      <c r="M870" s="126"/>
      <c r="N870" s="127"/>
      <c r="O870" s="126"/>
      <c r="P870" s="126"/>
      <c r="Q870" s="127"/>
      <c r="R870" s="126"/>
      <c r="S870" s="126"/>
      <c r="T870" s="127"/>
      <c r="U870" s="126"/>
      <c r="V870" s="126"/>
      <c r="W870" s="127"/>
      <c r="X870" s="126"/>
      <c r="Y870" s="126"/>
      <c r="Z870" s="127"/>
      <c r="AA870" s="126"/>
      <c r="AB870" s="126"/>
      <c r="AC870" s="127"/>
      <c r="AD870" s="126"/>
      <c r="AE870" s="126"/>
      <c r="AF870" s="126"/>
      <c r="AG870" s="127"/>
      <c r="AH870" s="126"/>
      <c r="AI870" s="126"/>
      <c r="AJ870" s="127"/>
      <c r="AK870" s="126"/>
      <c r="AL870" s="126"/>
      <c r="AM870" s="127"/>
      <c r="AN870" s="126"/>
      <c r="AO870" s="126"/>
      <c r="AP870" s="127"/>
      <c r="AQ870" s="126"/>
      <c r="AR870" s="126"/>
      <c r="AS870" s="127"/>
      <c r="AT870" s="126"/>
      <c r="AU870" s="126"/>
      <c r="AV870" s="127"/>
      <c r="AW870" s="126"/>
      <c r="AX870" s="126"/>
      <c r="AY870" s="127"/>
      <c r="AZ870" s="126"/>
      <c r="BA870" s="126"/>
      <c r="BB870" s="127"/>
      <c r="BC870" s="126"/>
      <c r="BD870" s="134"/>
      <c r="BE870" s="127"/>
      <c r="BF870" s="126"/>
      <c r="BG870" s="126"/>
      <c r="BH870" s="126"/>
      <c r="BI870" s="126"/>
      <c r="BJ870" s="126"/>
      <c r="BK870" s="126"/>
      <c r="BL870" s="126"/>
      <c r="BM870" s="126"/>
      <c r="BN870" s="126"/>
      <c r="BO870" s="126"/>
      <c r="BP870" s="126"/>
      <c r="BQ870" s="126"/>
      <c r="BR870" s="126"/>
      <c r="BS870" s="126"/>
      <c r="BT870" s="126"/>
      <c r="BU870" s="126"/>
      <c r="BV870" s="126"/>
      <c r="BW870" s="126"/>
      <c r="BX870" s="126"/>
    </row>
    <row r="871">
      <c r="A871" s="126"/>
      <c r="B871" s="126"/>
      <c r="C871" s="127"/>
      <c r="D871" s="126"/>
      <c r="E871" s="126"/>
      <c r="F871" s="127"/>
      <c r="G871" s="126"/>
      <c r="H871" s="127"/>
      <c r="I871" s="126"/>
      <c r="J871" s="126"/>
      <c r="K871" s="127"/>
      <c r="L871" s="126"/>
      <c r="M871" s="126"/>
      <c r="N871" s="127"/>
      <c r="O871" s="126"/>
      <c r="P871" s="126"/>
      <c r="Q871" s="127"/>
      <c r="R871" s="126"/>
      <c r="S871" s="126"/>
      <c r="T871" s="127"/>
      <c r="U871" s="126"/>
      <c r="V871" s="126"/>
      <c r="W871" s="127"/>
      <c r="X871" s="126"/>
      <c r="Y871" s="126"/>
      <c r="Z871" s="127"/>
      <c r="AA871" s="126"/>
      <c r="AB871" s="126"/>
      <c r="AC871" s="127"/>
      <c r="AD871" s="126"/>
      <c r="AE871" s="126"/>
      <c r="AF871" s="126"/>
      <c r="AG871" s="127"/>
      <c r="AH871" s="126"/>
      <c r="AI871" s="126"/>
      <c r="AJ871" s="127"/>
      <c r="AK871" s="126"/>
      <c r="AL871" s="126"/>
      <c r="AM871" s="127"/>
      <c r="AN871" s="126"/>
      <c r="AO871" s="126"/>
      <c r="AP871" s="127"/>
      <c r="AQ871" s="126"/>
      <c r="AR871" s="126"/>
      <c r="AS871" s="127"/>
      <c r="AT871" s="126"/>
      <c r="AU871" s="126"/>
      <c r="AV871" s="127"/>
      <c r="AW871" s="126"/>
      <c r="AX871" s="126"/>
      <c r="AY871" s="127"/>
      <c r="AZ871" s="126"/>
      <c r="BA871" s="126"/>
      <c r="BB871" s="127"/>
      <c r="BC871" s="126"/>
      <c r="BD871" s="134"/>
      <c r="BE871" s="127"/>
      <c r="BF871" s="126"/>
      <c r="BG871" s="126"/>
      <c r="BH871" s="126"/>
      <c r="BI871" s="126"/>
      <c r="BJ871" s="126"/>
      <c r="BK871" s="126"/>
      <c r="BL871" s="126"/>
      <c r="BM871" s="126"/>
      <c r="BN871" s="126"/>
      <c r="BO871" s="126"/>
      <c r="BP871" s="126"/>
      <c r="BQ871" s="126"/>
      <c r="BR871" s="126"/>
      <c r="BS871" s="126"/>
      <c r="BT871" s="126"/>
      <c r="BU871" s="126"/>
      <c r="BV871" s="126"/>
      <c r="BW871" s="126"/>
      <c r="BX871" s="126"/>
    </row>
    <row r="872">
      <c r="A872" s="126"/>
      <c r="B872" s="126"/>
      <c r="C872" s="127"/>
      <c r="D872" s="126"/>
      <c r="E872" s="126"/>
      <c r="F872" s="127"/>
      <c r="G872" s="126"/>
      <c r="H872" s="127"/>
      <c r="I872" s="126"/>
      <c r="J872" s="126"/>
      <c r="K872" s="127"/>
      <c r="L872" s="126"/>
      <c r="M872" s="126"/>
      <c r="N872" s="127"/>
      <c r="O872" s="126"/>
      <c r="P872" s="126"/>
      <c r="Q872" s="127"/>
      <c r="R872" s="126"/>
      <c r="S872" s="126"/>
      <c r="T872" s="127"/>
      <c r="U872" s="126"/>
      <c r="V872" s="126"/>
      <c r="W872" s="127"/>
      <c r="X872" s="126"/>
      <c r="Y872" s="126"/>
      <c r="Z872" s="127"/>
      <c r="AA872" s="126"/>
      <c r="AB872" s="126"/>
      <c r="AC872" s="127"/>
      <c r="AD872" s="126"/>
      <c r="AE872" s="126"/>
      <c r="AF872" s="126"/>
      <c r="AG872" s="127"/>
      <c r="AH872" s="126"/>
      <c r="AI872" s="126"/>
      <c r="AJ872" s="127"/>
      <c r="AK872" s="126"/>
      <c r="AL872" s="126"/>
      <c r="AM872" s="127"/>
      <c r="AN872" s="126"/>
      <c r="AO872" s="126"/>
      <c r="AP872" s="127"/>
      <c r="AQ872" s="126"/>
      <c r="AR872" s="126"/>
      <c r="AS872" s="127"/>
      <c r="AT872" s="126"/>
      <c r="AU872" s="126"/>
      <c r="AV872" s="127"/>
      <c r="AW872" s="126"/>
      <c r="AX872" s="126"/>
      <c r="AY872" s="127"/>
      <c r="AZ872" s="126"/>
      <c r="BA872" s="126"/>
      <c r="BB872" s="127"/>
      <c r="BC872" s="126"/>
      <c r="BD872" s="134"/>
      <c r="BE872" s="127"/>
      <c r="BF872" s="126"/>
      <c r="BG872" s="126"/>
      <c r="BH872" s="126"/>
      <c r="BI872" s="126"/>
      <c r="BJ872" s="126"/>
      <c r="BK872" s="126"/>
      <c r="BL872" s="126"/>
      <c r="BM872" s="126"/>
      <c r="BN872" s="126"/>
      <c r="BO872" s="126"/>
      <c r="BP872" s="126"/>
      <c r="BQ872" s="126"/>
      <c r="BR872" s="126"/>
      <c r="BS872" s="126"/>
      <c r="BT872" s="126"/>
      <c r="BU872" s="126"/>
      <c r="BV872" s="126"/>
      <c r="BW872" s="126"/>
      <c r="BX872" s="126"/>
    </row>
    <row r="873">
      <c r="A873" s="126"/>
      <c r="B873" s="126"/>
      <c r="C873" s="127"/>
      <c r="D873" s="126"/>
      <c r="E873" s="126"/>
      <c r="F873" s="127"/>
      <c r="G873" s="126"/>
      <c r="H873" s="127"/>
      <c r="I873" s="126"/>
      <c r="J873" s="126"/>
      <c r="K873" s="127"/>
      <c r="L873" s="126"/>
      <c r="M873" s="126"/>
      <c r="N873" s="127"/>
      <c r="O873" s="126"/>
      <c r="P873" s="126"/>
      <c r="Q873" s="127"/>
      <c r="R873" s="126"/>
      <c r="S873" s="126"/>
      <c r="T873" s="127"/>
      <c r="U873" s="126"/>
      <c r="V873" s="126"/>
      <c r="W873" s="127"/>
      <c r="X873" s="126"/>
      <c r="Y873" s="126"/>
      <c r="Z873" s="127"/>
      <c r="AA873" s="126"/>
      <c r="AB873" s="126"/>
      <c r="AC873" s="127"/>
      <c r="AD873" s="126"/>
      <c r="AE873" s="126"/>
      <c r="AF873" s="126"/>
      <c r="AG873" s="127"/>
      <c r="AH873" s="126"/>
      <c r="AI873" s="126"/>
      <c r="AJ873" s="127"/>
      <c r="AK873" s="126"/>
      <c r="AL873" s="126"/>
      <c r="AM873" s="127"/>
      <c r="AN873" s="126"/>
      <c r="AO873" s="126"/>
      <c r="AP873" s="127"/>
      <c r="AQ873" s="126"/>
      <c r="AR873" s="126"/>
      <c r="AS873" s="127"/>
      <c r="AT873" s="126"/>
      <c r="AU873" s="126"/>
      <c r="AV873" s="127"/>
      <c r="AW873" s="126"/>
      <c r="AX873" s="126"/>
      <c r="AY873" s="127"/>
      <c r="AZ873" s="126"/>
      <c r="BA873" s="126"/>
      <c r="BB873" s="127"/>
      <c r="BC873" s="126"/>
      <c r="BD873" s="134"/>
      <c r="BE873" s="127"/>
      <c r="BF873" s="126"/>
      <c r="BG873" s="126"/>
      <c r="BH873" s="126"/>
      <c r="BI873" s="126"/>
      <c r="BJ873" s="126"/>
      <c r="BK873" s="126"/>
      <c r="BL873" s="126"/>
      <c r="BM873" s="126"/>
      <c r="BN873" s="126"/>
      <c r="BO873" s="126"/>
      <c r="BP873" s="126"/>
      <c r="BQ873" s="126"/>
      <c r="BR873" s="126"/>
      <c r="BS873" s="126"/>
      <c r="BT873" s="126"/>
      <c r="BU873" s="126"/>
      <c r="BV873" s="126"/>
      <c r="BW873" s="126"/>
      <c r="BX873" s="126"/>
    </row>
    <row r="874">
      <c r="A874" s="126"/>
      <c r="B874" s="126"/>
      <c r="C874" s="127"/>
      <c r="D874" s="126"/>
      <c r="E874" s="126"/>
      <c r="F874" s="127"/>
      <c r="G874" s="126"/>
      <c r="H874" s="127"/>
      <c r="I874" s="126"/>
      <c r="J874" s="126"/>
      <c r="K874" s="127"/>
      <c r="L874" s="126"/>
      <c r="M874" s="126"/>
      <c r="N874" s="127"/>
      <c r="O874" s="126"/>
      <c r="P874" s="126"/>
      <c r="Q874" s="127"/>
      <c r="R874" s="126"/>
      <c r="S874" s="126"/>
      <c r="T874" s="127"/>
      <c r="U874" s="126"/>
      <c r="V874" s="126"/>
      <c r="W874" s="127"/>
      <c r="X874" s="126"/>
      <c r="Y874" s="126"/>
      <c r="Z874" s="127"/>
      <c r="AA874" s="126"/>
      <c r="AB874" s="126"/>
      <c r="AC874" s="127"/>
      <c r="AD874" s="126"/>
      <c r="AE874" s="126"/>
      <c r="AF874" s="126"/>
      <c r="AG874" s="127"/>
      <c r="AH874" s="126"/>
      <c r="AI874" s="126"/>
      <c r="AJ874" s="127"/>
      <c r="AK874" s="126"/>
      <c r="AL874" s="126"/>
      <c r="AM874" s="127"/>
      <c r="AN874" s="126"/>
      <c r="AO874" s="126"/>
      <c r="AP874" s="127"/>
      <c r="AQ874" s="126"/>
      <c r="AR874" s="126"/>
      <c r="AS874" s="127"/>
      <c r="AT874" s="126"/>
      <c r="AU874" s="126"/>
      <c r="AV874" s="127"/>
      <c r="AW874" s="126"/>
      <c r="AX874" s="126"/>
      <c r="AY874" s="127"/>
      <c r="AZ874" s="126"/>
      <c r="BA874" s="126"/>
      <c r="BB874" s="127"/>
      <c r="BC874" s="126"/>
      <c r="BD874" s="134"/>
      <c r="BE874" s="127"/>
      <c r="BF874" s="126"/>
      <c r="BG874" s="126"/>
      <c r="BH874" s="126"/>
      <c r="BI874" s="126"/>
      <c r="BJ874" s="126"/>
      <c r="BK874" s="126"/>
      <c r="BL874" s="126"/>
      <c r="BM874" s="126"/>
      <c r="BN874" s="126"/>
      <c r="BO874" s="126"/>
      <c r="BP874" s="126"/>
      <c r="BQ874" s="126"/>
      <c r="BR874" s="126"/>
      <c r="BS874" s="126"/>
      <c r="BT874" s="126"/>
      <c r="BU874" s="126"/>
      <c r="BV874" s="126"/>
      <c r="BW874" s="126"/>
      <c r="BX874" s="126"/>
    </row>
    <row r="875">
      <c r="A875" s="126"/>
      <c r="B875" s="126"/>
      <c r="C875" s="127"/>
      <c r="D875" s="126"/>
      <c r="E875" s="126"/>
      <c r="F875" s="127"/>
      <c r="G875" s="126"/>
      <c r="H875" s="127"/>
      <c r="I875" s="126"/>
      <c r="J875" s="126"/>
      <c r="K875" s="127"/>
      <c r="L875" s="126"/>
      <c r="M875" s="126"/>
      <c r="N875" s="127"/>
      <c r="O875" s="126"/>
      <c r="P875" s="126"/>
      <c r="Q875" s="127"/>
      <c r="R875" s="126"/>
      <c r="S875" s="126"/>
      <c r="T875" s="127"/>
      <c r="U875" s="126"/>
      <c r="V875" s="126"/>
      <c r="W875" s="127"/>
      <c r="X875" s="126"/>
      <c r="Y875" s="126"/>
      <c r="Z875" s="127"/>
      <c r="AA875" s="126"/>
      <c r="AB875" s="126"/>
      <c r="AC875" s="127"/>
      <c r="AD875" s="126"/>
      <c r="AE875" s="126"/>
      <c r="AF875" s="126"/>
      <c r="AG875" s="127"/>
      <c r="AH875" s="126"/>
      <c r="AI875" s="126"/>
      <c r="AJ875" s="127"/>
      <c r="AK875" s="126"/>
      <c r="AL875" s="126"/>
      <c r="AM875" s="127"/>
      <c r="AN875" s="126"/>
      <c r="AO875" s="126"/>
      <c r="AP875" s="127"/>
      <c r="AQ875" s="126"/>
      <c r="AR875" s="126"/>
      <c r="AS875" s="127"/>
      <c r="AT875" s="126"/>
      <c r="AU875" s="126"/>
      <c r="AV875" s="127"/>
      <c r="AW875" s="126"/>
      <c r="AX875" s="126"/>
      <c r="AY875" s="127"/>
      <c r="AZ875" s="126"/>
      <c r="BA875" s="126"/>
      <c r="BB875" s="127"/>
      <c r="BC875" s="126"/>
      <c r="BD875" s="134"/>
      <c r="BE875" s="127"/>
      <c r="BF875" s="126"/>
      <c r="BG875" s="126"/>
      <c r="BH875" s="126"/>
      <c r="BI875" s="126"/>
      <c r="BJ875" s="126"/>
      <c r="BK875" s="126"/>
      <c r="BL875" s="126"/>
      <c r="BM875" s="126"/>
      <c r="BN875" s="126"/>
      <c r="BO875" s="126"/>
      <c r="BP875" s="126"/>
      <c r="BQ875" s="126"/>
      <c r="BR875" s="126"/>
      <c r="BS875" s="126"/>
      <c r="BT875" s="126"/>
      <c r="BU875" s="126"/>
      <c r="BV875" s="126"/>
      <c r="BW875" s="126"/>
      <c r="BX875" s="126"/>
    </row>
    <row r="876">
      <c r="A876" s="126"/>
      <c r="B876" s="126"/>
      <c r="C876" s="127"/>
      <c r="D876" s="126"/>
      <c r="E876" s="126"/>
      <c r="F876" s="127"/>
      <c r="G876" s="126"/>
      <c r="H876" s="127"/>
      <c r="I876" s="126"/>
      <c r="J876" s="126"/>
      <c r="K876" s="127"/>
      <c r="L876" s="126"/>
      <c r="M876" s="126"/>
      <c r="N876" s="127"/>
      <c r="O876" s="126"/>
      <c r="P876" s="126"/>
      <c r="Q876" s="127"/>
      <c r="R876" s="126"/>
      <c r="S876" s="126"/>
      <c r="T876" s="127"/>
      <c r="U876" s="126"/>
      <c r="V876" s="126"/>
      <c r="W876" s="127"/>
      <c r="X876" s="126"/>
      <c r="Y876" s="126"/>
      <c r="Z876" s="127"/>
      <c r="AA876" s="126"/>
      <c r="AB876" s="126"/>
      <c r="AC876" s="127"/>
      <c r="AD876" s="126"/>
      <c r="AE876" s="126"/>
      <c r="AF876" s="126"/>
      <c r="AG876" s="127"/>
      <c r="AH876" s="126"/>
      <c r="AI876" s="126"/>
      <c r="AJ876" s="127"/>
      <c r="AK876" s="126"/>
      <c r="AL876" s="126"/>
      <c r="AM876" s="127"/>
      <c r="AN876" s="126"/>
      <c r="AO876" s="126"/>
      <c r="AP876" s="127"/>
      <c r="AQ876" s="126"/>
      <c r="AR876" s="126"/>
      <c r="AS876" s="127"/>
      <c r="AT876" s="126"/>
      <c r="AU876" s="126"/>
      <c r="AV876" s="127"/>
      <c r="AW876" s="126"/>
      <c r="AX876" s="126"/>
      <c r="AY876" s="127"/>
      <c r="AZ876" s="126"/>
      <c r="BA876" s="126"/>
      <c r="BB876" s="127"/>
      <c r="BC876" s="126"/>
      <c r="BD876" s="134"/>
      <c r="BE876" s="127"/>
      <c r="BF876" s="126"/>
      <c r="BG876" s="126"/>
      <c r="BH876" s="126"/>
      <c r="BI876" s="126"/>
      <c r="BJ876" s="126"/>
      <c r="BK876" s="126"/>
      <c r="BL876" s="126"/>
      <c r="BM876" s="126"/>
      <c r="BN876" s="126"/>
      <c r="BO876" s="126"/>
      <c r="BP876" s="126"/>
      <c r="BQ876" s="126"/>
      <c r="BR876" s="126"/>
      <c r="BS876" s="126"/>
      <c r="BT876" s="126"/>
      <c r="BU876" s="126"/>
      <c r="BV876" s="126"/>
      <c r="BW876" s="126"/>
      <c r="BX876" s="126"/>
    </row>
    <row r="877">
      <c r="A877" s="126"/>
      <c r="B877" s="126"/>
      <c r="C877" s="127"/>
      <c r="D877" s="126"/>
      <c r="E877" s="126"/>
      <c r="F877" s="127"/>
      <c r="G877" s="126"/>
      <c r="H877" s="127"/>
      <c r="I877" s="126"/>
      <c r="J877" s="126"/>
      <c r="K877" s="127"/>
      <c r="L877" s="126"/>
      <c r="M877" s="126"/>
      <c r="N877" s="127"/>
      <c r="O877" s="126"/>
      <c r="P877" s="126"/>
      <c r="Q877" s="127"/>
      <c r="R877" s="126"/>
      <c r="S877" s="126"/>
      <c r="T877" s="127"/>
      <c r="U877" s="126"/>
      <c r="V877" s="126"/>
      <c r="W877" s="127"/>
      <c r="X877" s="126"/>
      <c r="Y877" s="126"/>
      <c r="Z877" s="127"/>
      <c r="AA877" s="126"/>
      <c r="AB877" s="126"/>
      <c r="AC877" s="127"/>
      <c r="AD877" s="126"/>
      <c r="AE877" s="126"/>
      <c r="AF877" s="126"/>
      <c r="AG877" s="127"/>
      <c r="AH877" s="126"/>
      <c r="AI877" s="126"/>
      <c r="AJ877" s="127"/>
      <c r="AK877" s="126"/>
      <c r="AL877" s="126"/>
      <c r="AM877" s="127"/>
      <c r="AN877" s="126"/>
      <c r="AO877" s="126"/>
      <c r="AP877" s="127"/>
      <c r="AQ877" s="126"/>
      <c r="AR877" s="126"/>
      <c r="AS877" s="127"/>
      <c r="AT877" s="126"/>
      <c r="AU877" s="126"/>
      <c r="AV877" s="127"/>
      <c r="AW877" s="126"/>
      <c r="AX877" s="126"/>
      <c r="AY877" s="127"/>
      <c r="AZ877" s="126"/>
      <c r="BA877" s="126"/>
      <c r="BB877" s="127"/>
      <c r="BC877" s="126"/>
      <c r="BD877" s="134"/>
      <c r="BE877" s="127"/>
      <c r="BF877" s="126"/>
      <c r="BG877" s="126"/>
      <c r="BH877" s="126"/>
      <c r="BI877" s="126"/>
      <c r="BJ877" s="126"/>
      <c r="BK877" s="126"/>
      <c r="BL877" s="126"/>
      <c r="BM877" s="126"/>
      <c r="BN877" s="126"/>
      <c r="BO877" s="126"/>
      <c r="BP877" s="126"/>
      <c r="BQ877" s="126"/>
      <c r="BR877" s="126"/>
      <c r="BS877" s="126"/>
      <c r="BT877" s="126"/>
      <c r="BU877" s="126"/>
      <c r="BV877" s="126"/>
      <c r="BW877" s="126"/>
      <c r="BX877" s="126"/>
    </row>
    <row r="878">
      <c r="A878" s="126"/>
      <c r="B878" s="126"/>
      <c r="C878" s="127"/>
      <c r="D878" s="126"/>
      <c r="E878" s="126"/>
      <c r="F878" s="127"/>
      <c r="G878" s="126"/>
      <c r="H878" s="127"/>
      <c r="I878" s="126"/>
      <c r="J878" s="126"/>
      <c r="K878" s="127"/>
      <c r="L878" s="126"/>
      <c r="M878" s="126"/>
      <c r="N878" s="127"/>
      <c r="O878" s="126"/>
      <c r="P878" s="126"/>
      <c r="Q878" s="127"/>
      <c r="R878" s="126"/>
      <c r="S878" s="126"/>
      <c r="T878" s="127"/>
      <c r="U878" s="126"/>
      <c r="V878" s="126"/>
      <c r="W878" s="127"/>
      <c r="X878" s="126"/>
      <c r="Y878" s="126"/>
      <c r="Z878" s="127"/>
      <c r="AA878" s="126"/>
      <c r="AB878" s="126"/>
      <c r="AC878" s="127"/>
      <c r="AD878" s="126"/>
      <c r="AE878" s="126"/>
      <c r="AF878" s="126"/>
      <c r="AG878" s="127"/>
      <c r="AH878" s="126"/>
      <c r="AI878" s="126"/>
      <c r="AJ878" s="127"/>
      <c r="AK878" s="126"/>
      <c r="AL878" s="126"/>
      <c r="AM878" s="127"/>
      <c r="AN878" s="126"/>
      <c r="AO878" s="126"/>
      <c r="AP878" s="127"/>
      <c r="AQ878" s="126"/>
      <c r="AR878" s="126"/>
      <c r="AS878" s="127"/>
      <c r="AT878" s="126"/>
      <c r="AU878" s="126"/>
      <c r="AV878" s="127"/>
      <c r="AW878" s="126"/>
      <c r="AX878" s="126"/>
      <c r="AY878" s="127"/>
      <c r="AZ878" s="126"/>
      <c r="BA878" s="126"/>
      <c r="BB878" s="127"/>
      <c r="BC878" s="126"/>
      <c r="BD878" s="134"/>
      <c r="BE878" s="127"/>
      <c r="BF878" s="126"/>
      <c r="BG878" s="126"/>
      <c r="BH878" s="126"/>
      <c r="BI878" s="126"/>
      <c r="BJ878" s="126"/>
      <c r="BK878" s="126"/>
      <c r="BL878" s="126"/>
      <c r="BM878" s="126"/>
      <c r="BN878" s="126"/>
      <c r="BO878" s="126"/>
      <c r="BP878" s="126"/>
      <c r="BQ878" s="126"/>
      <c r="BR878" s="126"/>
      <c r="BS878" s="126"/>
      <c r="BT878" s="126"/>
      <c r="BU878" s="126"/>
      <c r="BV878" s="126"/>
      <c r="BW878" s="126"/>
      <c r="BX878" s="126"/>
    </row>
    <row r="879">
      <c r="A879" s="126"/>
      <c r="B879" s="126"/>
      <c r="C879" s="127"/>
      <c r="D879" s="126"/>
      <c r="E879" s="126"/>
      <c r="F879" s="127"/>
      <c r="G879" s="126"/>
      <c r="H879" s="127"/>
      <c r="I879" s="126"/>
      <c r="J879" s="126"/>
      <c r="K879" s="127"/>
      <c r="L879" s="126"/>
      <c r="M879" s="126"/>
      <c r="N879" s="127"/>
      <c r="O879" s="126"/>
      <c r="P879" s="126"/>
      <c r="Q879" s="127"/>
      <c r="R879" s="126"/>
      <c r="S879" s="126"/>
      <c r="T879" s="127"/>
      <c r="U879" s="126"/>
      <c r="V879" s="126"/>
      <c r="W879" s="127"/>
      <c r="X879" s="126"/>
      <c r="Y879" s="126"/>
      <c r="Z879" s="127"/>
      <c r="AA879" s="126"/>
      <c r="AB879" s="126"/>
      <c r="AC879" s="127"/>
      <c r="AD879" s="126"/>
      <c r="AE879" s="126"/>
      <c r="AF879" s="126"/>
      <c r="AG879" s="127"/>
      <c r="AH879" s="126"/>
      <c r="AI879" s="126"/>
      <c r="AJ879" s="127"/>
      <c r="AK879" s="126"/>
      <c r="AL879" s="126"/>
      <c r="AM879" s="127"/>
      <c r="AN879" s="126"/>
      <c r="AO879" s="126"/>
      <c r="AP879" s="127"/>
      <c r="AQ879" s="126"/>
      <c r="AR879" s="126"/>
      <c r="AS879" s="127"/>
      <c r="AT879" s="126"/>
      <c r="AU879" s="126"/>
      <c r="AV879" s="127"/>
      <c r="AW879" s="126"/>
      <c r="AX879" s="126"/>
      <c r="AY879" s="127"/>
      <c r="AZ879" s="126"/>
      <c r="BA879" s="126"/>
      <c r="BB879" s="127"/>
      <c r="BC879" s="126"/>
      <c r="BD879" s="134"/>
      <c r="BE879" s="127"/>
      <c r="BF879" s="126"/>
      <c r="BG879" s="126"/>
      <c r="BH879" s="126"/>
      <c r="BI879" s="126"/>
      <c r="BJ879" s="126"/>
      <c r="BK879" s="126"/>
      <c r="BL879" s="126"/>
      <c r="BM879" s="126"/>
      <c r="BN879" s="126"/>
      <c r="BO879" s="126"/>
      <c r="BP879" s="126"/>
      <c r="BQ879" s="126"/>
      <c r="BR879" s="126"/>
      <c r="BS879" s="126"/>
      <c r="BT879" s="126"/>
      <c r="BU879" s="126"/>
      <c r="BV879" s="126"/>
      <c r="BW879" s="126"/>
      <c r="BX879" s="126"/>
    </row>
    <row r="880">
      <c r="A880" s="126"/>
      <c r="B880" s="126"/>
      <c r="C880" s="127"/>
      <c r="D880" s="126"/>
      <c r="E880" s="126"/>
      <c r="F880" s="127"/>
      <c r="G880" s="126"/>
      <c r="H880" s="127"/>
      <c r="I880" s="126"/>
      <c r="J880" s="126"/>
      <c r="K880" s="127"/>
      <c r="L880" s="126"/>
      <c r="M880" s="126"/>
      <c r="N880" s="127"/>
      <c r="O880" s="126"/>
      <c r="P880" s="126"/>
      <c r="Q880" s="127"/>
      <c r="R880" s="126"/>
      <c r="S880" s="126"/>
      <c r="T880" s="127"/>
      <c r="U880" s="126"/>
      <c r="V880" s="126"/>
      <c r="W880" s="127"/>
      <c r="X880" s="126"/>
      <c r="Y880" s="126"/>
      <c r="Z880" s="127"/>
      <c r="AA880" s="126"/>
      <c r="AB880" s="126"/>
      <c r="AC880" s="127"/>
      <c r="AD880" s="126"/>
      <c r="AE880" s="126"/>
      <c r="AF880" s="126"/>
      <c r="AG880" s="127"/>
      <c r="AH880" s="126"/>
      <c r="AI880" s="126"/>
      <c r="AJ880" s="127"/>
      <c r="AK880" s="126"/>
      <c r="AL880" s="126"/>
      <c r="AM880" s="127"/>
      <c r="AN880" s="126"/>
      <c r="AO880" s="126"/>
      <c r="AP880" s="127"/>
      <c r="AQ880" s="126"/>
      <c r="AR880" s="126"/>
      <c r="AS880" s="127"/>
      <c r="AT880" s="126"/>
      <c r="AU880" s="126"/>
      <c r="AV880" s="127"/>
      <c r="AW880" s="126"/>
      <c r="AX880" s="126"/>
      <c r="AY880" s="127"/>
      <c r="AZ880" s="126"/>
      <c r="BA880" s="126"/>
      <c r="BB880" s="127"/>
      <c r="BC880" s="126"/>
      <c r="BD880" s="134"/>
      <c r="BE880" s="127"/>
      <c r="BF880" s="126"/>
      <c r="BG880" s="126"/>
      <c r="BH880" s="126"/>
      <c r="BI880" s="126"/>
      <c r="BJ880" s="126"/>
      <c r="BK880" s="126"/>
      <c r="BL880" s="126"/>
      <c r="BM880" s="126"/>
      <c r="BN880" s="126"/>
      <c r="BO880" s="126"/>
      <c r="BP880" s="126"/>
      <c r="BQ880" s="126"/>
      <c r="BR880" s="126"/>
      <c r="BS880" s="126"/>
      <c r="BT880" s="126"/>
      <c r="BU880" s="126"/>
      <c r="BV880" s="126"/>
      <c r="BW880" s="126"/>
      <c r="BX880" s="126"/>
    </row>
    <row r="881">
      <c r="A881" s="126"/>
      <c r="B881" s="126"/>
      <c r="C881" s="127"/>
      <c r="D881" s="126"/>
      <c r="E881" s="126"/>
      <c r="F881" s="127"/>
      <c r="G881" s="126"/>
      <c r="H881" s="127"/>
      <c r="I881" s="126"/>
      <c r="J881" s="126"/>
      <c r="K881" s="127"/>
      <c r="L881" s="126"/>
      <c r="M881" s="126"/>
      <c r="N881" s="127"/>
      <c r="O881" s="126"/>
      <c r="P881" s="126"/>
      <c r="Q881" s="127"/>
      <c r="R881" s="126"/>
      <c r="S881" s="126"/>
      <c r="T881" s="127"/>
      <c r="U881" s="126"/>
      <c r="V881" s="126"/>
      <c r="W881" s="127"/>
      <c r="X881" s="126"/>
      <c r="Y881" s="126"/>
      <c r="Z881" s="127"/>
      <c r="AA881" s="126"/>
      <c r="AB881" s="126"/>
      <c r="AC881" s="127"/>
      <c r="AD881" s="126"/>
      <c r="AE881" s="126"/>
      <c r="AF881" s="126"/>
      <c r="AG881" s="127"/>
      <c r="AH881" s="126"/>
      <c r="AI881" s="126"/>
      <c r="AJ881" s="127"/>
      <c r="AK881" s="126"/>
      <c r="AL881" s="126"/>
      <c r="AM881" s="127"/>
      <c r="AN881" s="126"/>
      <c r="AO881" s="126"/>
      <c r="AP881" s="127"/>
      <c r="AQ881" s="126"/>
      <c r="AR881" s="126"/>
      <c r="AS881" s="127"/>
      <c r="AT881" s="126"/>
      <c r="AU881" s="126"/>
      <c r="AV881" s="127"/>
      <c r="AW881" s="126"/>
      <c r="AX881" s="126"/>
      <c r="AY881" s="127"/>
      <c r="AZ881" s="126"/>
      <c r="BA881" s="126"/>
      <c r="BB881" s="127"/>
      <c r="BC881" s="126"/>
      <c r="BD881" s="134"/>
      <c r="BE881" s="127"/>
      <c r="BF881" s="126"/>
      <c r="BG881" s="126"/>
      <c r="BH881" s="126"/>
      <c r="BI881" s="126"/>
      <c r="BJ881" s="126"/>
      <c r="BK881" s="126"/>
      <c r="BL881" s="126"/>
      <c r="BM881" s="126"/>
      <c r="BN881" s="126"/>
      <c r="BO881" s="126"/>
      <c r="BP881" s="126"/>
      <c r="BQ881" s="126"/>
      <c r="BR881" s="126"/>
      <c r="BS881" s="126"/>
      <c r="BT881" s="126"/>
      <c r="BU881" s="126"/>
      <c r="BV881" s="126"/>
      <c r="BW881" s="126"/>
      <c r="BX881" s="126"/>
    </row>
    <row r="882">
      <c r="A882" s="126"/>
      <c r="B882" s="126"/>
      <c r="C882" s="127"/>
      <c r="D882" s="126"/>
      <c r="E882" s="126"/>
      <c r="F882" s="127"/>
      <c r="G882" s="126"/>
      <c r="H882" s="127"/>
      <c r="I882" s="126"/>
      <c r="J882" s="126"/>
      <c r="K882" s="127"/>
      <c r="L882" s="126"/>
      <c r="M882" s="126"/>
      <c r="N882" s="127"/>
      <c r="O882" s="126"/>
      <c r="P882" s="126"/>
      <c r="Q882" s="127"/>
      <c r="R882" s="126"/>
      <c r="S882" s="126"/>
      <c r="T882" s="127"/>
      <c r="U882" s="126"/>
      <c r="V882" s="126"/>
      <c r="W882" s="127"/>
      <c r="X882" s="126"/>
      <c r="Y882" s="126"/>
      <c r="Z882" s="127"/>
      <c r="AA882" s="126"/>
      <c r="AB882" s="126"/>
      <c r="AC882" s="127"/>
      <c r="AD882" s="126"/>
      <c r="AE882" s="126"/>
      <c r="AF882" s="126"/>
      <c r="AG882" s="127"/>
      <c r="AH882" s="126"/>
      <c r="AI882" s="126"/>
      <c r="AJ882" s="127"/>
      <c r="AK882" s="126"/>
      <c r="AL882" s="126"/>
      <c r="AM882" s="127"/>
      <c r="AN882" s="126"/>
      <c r="AO882" s="126"/>
      <c r="AP882" s="127"/>
      <c r="AQ882" s="126"/>
      <c r="AR882" s="126"/>
      <c r="AS882" s="127"/>
      <c r="AT882" s="126"/>
      <c r="AU882" s="126"/>
      <c r="AV882" s="127"/>
      <c r="AW882" s="126"/>
      <c r="AX882" s="126"/>
      <c r="AY882" s="127"/>
      <c r="AZ882" s="126"/>
      <c r="BA882" s="126"/>
      <c r="BB882" s="127"/>
      <c r="BC882" s="126"/>
      <c r="BD882" s="134"/>
      <c r="BE882" s="127"/>
      <c r="BF882" s="126"/>
      <c r="BG882" s="126"/>
      <c r="BH882" s="126"/>
      <c r="BI882" s="126"/>
      <c r="BJ882" s="126"/>
      <c r="BK882" s="126"/>
      <c r="BL882" s="126"/>
      <c r="BM882" s="126"/>
      <c r="BN882" s="126"/>
      <c r="BO882" s="126"/>
      <c r="BP882" s="126"/>
      <c r="BQ882" s="126"/>
      <c r="BR882" s="126"/>
      <c r="BS882" s="126"/>
      <c r="BT882" s="126"/>
      <c r="BU882" s="126"/>
      <c r="BV882" s="126"/>
      <c r="BW882" s="126"/>
      <c r="BX882" s="126"/>
    </row>
    <row r="883">
      <c r="A883" s="126"/>
      <c r="B883" s="126"/>
      <c r="C883" s="127"/>
      <c r="D883" s="126"/>
      <c r="E883" s="126"/>
      <c r="F883" s="127"/>
      <c r="G883" s="126"/>
      <c r="H883" s="127"/>
      <c r="I883" s="126"/>
      <c r="J883" s="126"/>
      <c r="K883" s="127"/>
      <c r="L883" s="126"/>
      <c r="M883" s="126"/>
      <c r="N883" s="127"/>
      <c r="O883" s="126"/>
      <c r="P883" s="126"/>
      <c r="Q883" s="127"/>
      <c r="R883" s="126"/>
      <c r="S883" s="126"/>
      <c r="T883" s="127"/>
      <c r="U883" s="126"/>
      <c r="V883" s="126"/>
      <c r="W883" s="127"/>
      <c r="X883" s="126"/>
      <c r="Y883" s="126"/>
      <c r="Z883" s="127"/>
      <c r="AA883" s="126"/>
      <c r="AB883" s="126"/>
      <c r="AC883" s="127"/>
      <c r="AD883" s="126"/>
      <c r="AE883" s="126"/>
      <c r="AF883" s="126"/>
      <c r="AG883" s="127"/>
      <c r="AH883" s="126"/>
      <c r="AI883" s="126"/>
      <c r="AJ883" s="127"/>
      <c r="AK883" s="126"/>
      <c r="AL883" s="126"/>
      <c r="AM883" s="127"/>
      <c r="AN883" s="126"/>
      <c r="AO883" s="126"/>
      <c r="AP883" s="127"/>
      <c r="AQ883" s="126"/>
      <c r="AR883" s="126"/>
      <c r="AS883" s="127"/>
      <c r="AT883" s="126"/>
      <c r="AU883" s="126"/>
      <c r="AV883" s="127"/>
      <c r="AW883" s="126"/>
      <c r="AX883" s="126"/>
      <c r="AY883" s="127"/>
      <c r="AZ883" s="126"/>
      <c r="BA883" s="126"/>
      <c r="BB883" s="127"/>
      <c r="BC883" s="126"/>
      <c r="BD883" s="134"/>
      <c r="BE883" s="127"/>
      <c r="BF883" s="126"/>
      <c r="BG883" s="126"/>
      <c r="BH883" s="126"/>
      <c r="BI883" s="126"/>
      <c r="BJ883" s="126"/>
      <c r="BK883" s="126"/>
      <c r="BL883" s="126"/>
      <c r="BM883" s="126"/>
      <c r="BN883" s="126"/>
      <c r="BO883" s="126"/>
      <c r="BP883" s="126"/>
      <c r="BQ883" s="126"/>
      <c r="BR883" s="126"/>
      <c r="BS883" s="126"/>
      <c r="BT883" s="126"/>
      <c r="BU883" s="126"/>
      <c r="BV883" s="126"/>
      <c r="BW883" s="126"/>
      <c r="BX883" s="126"/>
    </row>
    <row r="884">
      <c r="A884" s="126"/>
      <c r="B884" s="126"/>
      <c r="C884" s="127"/>
      <c r="D884" s="126"/>
      <c r="E884" s="126"/>
      <c r="F884" s="127"/>
      <c r="G884" s="126"/>
      <c r="H884" s="127"/>
      <c r="I884" s="126"/>
      <c r="J884" s="126"/>
      <c r="K884" s="127"/>
      <c r="L884" s="126"/>
      <c r="M884" s="126"/>
      <c r="N884" s="127"/>
      <c r="O884" s="126"/>
      <c r="P884" s="126"/>
      <c r="Q884" s="127"/>
      <c r="R884" s="126"/>
      <c r="S884" s="126"/>
      <c r="T884" s="127"/>
      <c r="U884" s="126"/>
      <c r="V884" s="126"/>
      <c r="W884" s="127"/>
      <c r="X884" s="126"/>
      <c r="Y884" s="126"/>
      <c r="Z884" s="127"/>
      <c r="AA884" s="126"/>
      <c r="AB884" s="126"/>
      <c r="AC884" s="127"/>
      <c r="AD884" s="126"/>
      <c r="AE884" s="126"/>
      <c r="AF884" s="126"/>
      <c r="AG884" s="127"/>
      <c r="AH884" s="126"/>
      <c r="AI884" s="126"/>
      <c r="AJ884" s="127"/>
      <c r="AK884" s="126"/>
      <c r="AL884" s="126"/>
      <c r="AM884" s="127"/>
      <c r="AN884" s="126"/>
      <c r="AO884" s="126"/>
      <c r="AP884" s="127"/>
      <c r="AQ884" s="126"/>
      <c r="AR884" s="126"/>
      <c r="AS884" s="127"/>
      <c r="AT884" s="126"/>
      <c r="AU884" s="126"/>
      <c r="AV884" s="127"/>
      <c r="AW884" s="126"/>
      <c r="AX884" s="126"/>
      <c r="AY884" s="127"/>
      <c r="AZ884" s="126"/>
      <c r="BA884" s="126"/>
      <c r="BB884" s="127"/>
      <c r="BC884" s="126"/>
      <c r="BD884" s="134"/>
      <c r="BE884" s="127"/>
      <c r="BF884" s="126"/>
      <c r="BG884" s="126"/>
      <c r="BH884" s="126"/>
      <c r="BI884" s="126"/>
      <c r="BJ884" s="126"/>
      <c r="BK884" s="126"/>
      <c r="BL884" s="126"/>
      <c r="BM884" s="126"/>
      <c r="BN884" s="126"/>
      <c r="BO884" s="126"/>
      <c r="BP884" s="126"/>
      <c r="BQ884" s="126"/>
      <c r="BR884" s="126"/>
      <c r="BS884" s="126"/>
      <c r="BT884" s="126"/>
      <c r="BU884" s="126"/>
      <c r="BV884" s="126"/>
      <c r="BW884" s="126"/>
      <c r="BX884" s="126"/>
    </row>
    <row r="885">
      <c r="A885" s="126"/>
      <c r="B885" s="126"/>
      <c r="C885" s="127"/>
      <c r="D885" s="126"/>
      <c r="E885" s="126"/>
      <c r="F885" s="127"/>
      <c r="G885" s="126"/>
      <c r="H885" s="127"/>
      <c r="I885" s="126"/>
      <c r="J885" s="126"/>
      <c r="K885" s="127"/>
      <c r="L885" s="126"/>
      <c r="M885" s="126"/>
      <c r="N885" s="127"/>
      <c r="O885" s="126"/>
      <c r="P885" s="126"/>
      <c r="Q885" s="127"/>
      <c r="R885" s="126"/>
      <c r="S885" s="126"/>
      <c r="T885" s="127"/>
      <c r="U885" s="126"/>
      <c r="V885" s="126"/>
      <c r="W885" s="127"/>
      <c r="X885" s="126"/>
      <c r="Y885" s="126"/>
      <c r="Z885" s="127"/>
      <c r="AA885" s="126"/>
      <c r="AB885" s="126"/>
      <c r="AC885" s="127"/>
      <c r="AD885" s="126"/>
      <c r="AE885" s="126"/>
      <c r="AF885" s="126"/>
      <c r="AG885" s="127"/>
      <c r="AH885" s="126"/>
      <c r="AI885" s="126"/>
      <c r="AJ885" s="127"/>
      <c r="AK885" s="126"/>
      <c r="AL885" s="126"/>
      <c r="AM885" s="127"/>
      <c r="AN885" s="126"/>
      <c r="AO885" s="126"/>
      <c r="AP885" s="127"/>
      <c r="AQ885" s="126"/>
      <c r="AR885" s="126"/>
      <c r="AS885" s="127"/>
      <c r="AT885" s="126"/>
      <c r="AU885" s="126"/>
      <c r="AV885" s="127"/>
      <c r="AW885" s="126"/>
      <c r="AX885" s="126"/>
      <c r="AY885" s="127"/>
      <c r="AZ885" s="126"/>
      <c r="BA885" s="126"/>
      <c r="BB885" s="127"/>
      <c r="BC885" s="126"/>
      <c r="BD885" s="134"/>
      <c r="BE885" s="127"/>
      <c r="BF885" s="126"/>
      <c r="BG885" s="126"/>
      <c r="BH885" s="126"/>
      <c r="BI885" s="126"/>
      <c r="BJ885" s="126"/>
      <c r="BK885" s="126"/>
      <c r="BL885" s="126"/>
      <c r="BM885" s="126"/>
      <c r="BN885" s="126"/>
      <c r="BO885" s="126"/>
      <c r="BP885" s="126"/>
      <c r="BQ885" s="126"/>
      <c r="BR885" s="126"/>
      <c r="BS885" s="126"/>
      <c r="BT885" s="126"/>
      <c r="BU885" s="126"/>
      <c r="BV885" s="126"/>
      <c r="BW885" s="126"/>
      <c r="BX885" s="126"/>
    </row>
    <row r="886">
      <c r="A886" s="126"/>
      <c r="B886" s="126"/>
      <c r="C886" s="127"/>
      <c r="D886" s="126"/>
      <c r="E886" s="126"/>
      <c r="F886" s="127"/>
      <c r="G886" s="126"/>
      <c r="H886" s="127"/>
      <c r="I886" s="126"/>
      <c r="J886" s="126"/>
      <c r="K886" s="127"/>
      <c r="L886" s="126"/>
      <c r="M886" s="126"/>
      <c r="N886" s="127"/>
      <c r="O886" s="126"/>
      <c r="P886" s="126"/>
      <c r="Q886" s="127"/>
      <c r="R886" s="126"/>
      <c r="S886" s="126"/>
      <c r="T886" s="127"/>
      <c r="U886" s="126"/>
      <c r="V886" s="126"/>
      <c r="W886" s="127"/>
      <c r="X886" s="126"/>
      <c r="Y886" s="126"/>
      <c r="Z886" s="127"/>
      <c r="AA886" s="126"/>
      <c r="AB886" s="126"/>
      <c r="AC886" s="127"/>
      <c r="AD886" s="126"/>
      <c r="AE886" s="126"/>
      <c r="AF886" s="126"/>
      <c r="AG886" s="127"/>
      <c r="AH886" s="126"/>
      <c r="AI886" s="126"/>
      <c r="AJ886" s="127"/>
      <c r="AK886" s="126"/>
      <c r="AL886" s="126"/>
      <c r="AM886" s="127"/>
      <c r="AN886" s="126"/>
      <c r="AO886" s="126"/>
      <c r="AP886" s="127"/>
      <c r="AQ886" s="126"/>
      <c r="AR886" s="126"/>
      <c r="AS886" s="127"/>
      <c r="AT886" s="126"/>
      <c r="AU886" s="126"/>
      <c r="AV886" s="127"/>
      <c r="AW886" s="126"/>
      <c r="AX886" s="126"/>
      <c r="AY886" s="127"/>
      <c r="AZ886" s="126"/>
      <c r="BA886" s="126"/>
      <c r="BB886" s="127"/>
      <c r="BC886" s="126"/>
      <c r="BD886" s="134"/>
      <c r="BE886" s="127"/>
      <c r="BF886" s="126"/>
      <c r="BG886" s="126"/>
      <c r="BH886" s="126"/>
      <c r="BI886" s="126"/>
      <c r="BJ886" s="126"/>
      <c r="BK886" s="126"/>
      <c r="BL886" s="126"/>
      <c r="BM886" s="126"/>
      <c r="BN886" s="126"/>
      <c r="BO886" s="126"/>
      <c r="BP886" s="126"/>
      <c r="BQ886" s="126"/>
      <c r="BR886" s="126"/>
      <c r="BS886" s="126"/>
      <c r="BT886" s="126"/>
      <c r="BU886" s="126"/>
      <c r="BV886" s="126"/>
      <c r="BW886" s="126"/>
      <c r="BX886" s="126"/>
    </row>
    <row r="887">
      <c r="A887" s="126"/>
      <c r="B887" s="126"/>
      <c r="C887" s="127"/>
      <c r="D887" s="126"/>
      <c r="E887" s="126"/>
      <c r="F887" s="127"/>
      <c r="G887" s="126"/>
      <c r="H887" s="127"/>
      <c r="I887" s="126"/>
      <c r="J887" s="126"/>
      <c r="K887" s="127"/>
      <c r="L887" s="126"/>
      <c r="M887" s="126"/>
      <c r="N887" s="127"/>
      <c r="O887" s="126"/>
      <c r="P887" s="126"/>
      <c r="Q887" s="127"/>
      <c r="R887" s="126"/>
      <c r="S887" s="126"/>
      <c r="T887" s="127"/>
      <c r="U887" s="126"/>
      <c r="V887" s="126"/>
      <c r="W887" s="127"/>
      <c r="X887" s="126"/>
      <c r="Y887" s="126"/>
      <c r="Z887" s="127"/>
      <c r="AA887" s="126"/>
      <c r="AB887" s="126"/>
      <c r="AC887" s="127"/>
      <c r="AD887" s="126"/>
      <c r="AE887" s="126"/>
      <c r="AF887" s="126"/>
      <c r="AG887" s="127"/>
      <c r="AH887" s="126"/>
      <c r="AI887" s="126"/>
      <c r="AJ887" s="127"/>
      <c r="AK887" s="126"/>
      <c r="AL887" s="126"/>
      <c r="AM887" s="127"/>
      <c r="AN887" s="126"/>
      <c r="AO887" s="126"/>
      <c r="AP887" s="127"/>
      <c r="AQ887" s="126"/>
      <c r="AR887" s="126"/>
      <c r="AS887" s="127"/>
      <c r="AT887" s="126"/>
      <c r="AU887" s="126"/>
      <c r="AV887" s="127"/>
      <c r="AW887" s="126"/>
      <c r="AX887" s="126"/>
      <c r="AY887" s="127"/>
      <c r="AZ887" s="126"/>
      <c r="BA887" s="126"/>
      <c r="BB887" s="127"/>
      <c r="BC887" s="126"/>
      <c r="BD887" s="134"/>
      <c r="BE887" s="127"/>
      <c r="BF887" s="126"/>
      <c r="BG887" s="126"/>
      <c r="BH887" s="126"/>
      <c r="BI887" s="126"/>
      <c r="BJ887" s="126"/>
      <c r="BK887" s="126"/>
      <c r="BL887" s="126"/>
      <c r="BM887" s="126"/>
      <c r="BN887" s="126"/>
      <c r="BO887" s="126"/>
      <c r="BP887" s="126"/>
      <c r="BQ887" s="126"/>
      <c r="BR887" s="126"/>
      <c r="BS887" s="126"/>
      <c r="BT887" s="126"/>
      <c r="BU887" s="126"/>
      <c r="BV887" s="126"/>
      <c r="BW887" s="126"/>
      <c r="BX887" s="126"/>
    </row>
    <row r="888">
      <c r="A888" s="126"/>
      <c r="B888" s="126"/>
      <c r="C888" s="127"/>
      <c r="D888" s="126"/>
      <c r="E888" s="126"/>
      <c r="F888" s="127"/>
      <c r="G888" s="126"/>
      <c r="H888" s="127"/>
      <c r="I888" s="126"/>
      <c r="J888" s="126"/>
      <c r="K888" s="127"/>
      <c r="L888" s="126"/>
      <c r="M888" s="126"/>
      <c r="N888" s="127"/>
      <c r="O888" s="126"/>
      <c r="P888" s="126"/>
      <c r="Q888" s="127"/>
      <c r="R888" s="126"/>
      <c r="S888" s="126"/>
      <c r="T888" s="127"/>
      <c r="U888" s="126"/>
      <c r="V888" s="126"/>
      <c r="W888" s="127"/>
      <c r="X888" s="126"/>
      <c r="Y888" s="126"/>
      <c r="Z888" s="127"/>
      <c r="AA888" s="126"/>
      <c r="AB888" s="126"/>
      <c r="AC888" s="127"/>
      <c r="AD888" s="126"/>
      <c r="AE888" s="126"/>
      <c r="AF888" s="126"/>
      <c r="AG888" s="127"/>
      <c r="AH888" s="126"/>
      <c r="AI888" s="126"/>
      <c r="AJ888" s="127"/>
      <c r="AK888" s="126"/>
      <c r="AL888" s="126"/>
      <c r="AM888" s="127"/>
      <c r="AN888" s="126"/>
      <c r="AO888" s="126"/>
      <c r="AP888" s="127"/>
      <c r="AQ888" s="126"/>
      <c r="AR888" s="126"/>
      <c r="AS888" s="127"/>
      <c r="AT888" s="126"/>
      <c r="AU888" s="126"/>
      <c r="AV888" s="127"/>
      <c r="AW888" s="126"/>
      <c r="AX888" s="126"/>
      <c r="AY888" s="127"/>
      <c r="AZ888" s="126"/>
      <c r="BA888" s="126"/>
      <c r="BB888" s="127"/>
      <c r="BC888" s="126"/>
      <c r="BD888" s="134"/>
      <c r="BE888" s="127"/>
      <c r="BF888" s="126"/>
      <c r="BG888" s="126"/>
      <c r="BH888" s="126"/>
      <c r="BI888" s="126"/>
      <c r="BJ888" s="126"/>
      <c r="BK888" s="126"/>
      <c r="BL888" s="126"/>
      <c r="BM888" s="126"/>
      <c r="BN888" s="126"/>
      <c r="BO888" s="126"/>
      <c r="BP888" s="126"/>
      <c r="BQ888" s="126"/>
      <c r="BR888" s="126"/>
      <c r="BS888" s="126"/>
      <c r="BT888" s="126"/>
      <c r="BU888" s="126"/>
      <c r="BV888" s="126"/>
      <c r="BW888" s="126"/>
      <c r="BX888" s="126"/>
    </row>
    <row r="889">
      <c r="A889" s="126"/>
      <c r="B889" s="126"/>
      <c r="C889" s="127"/>
      <c r="D889" s="126"/>
      <c r="E889" s="126"/>
      <c r="F889" s="127"/>
      <c r="G889" s="126"/>
      <c r="H889" s="127"/>
      <c r="I889" s="126"/>
      <c r="J889" s="126"/>
      <c r="K889" s="127"/>
      <c r="L889" s="126"/>
      <c r="M889" s="126"/>
      <c r="N889" s="127"/>
      <c r="O889" s="126"/>
      <c r="P889" s="126"/>
      <c r="Q889" s="127"/>
      <c r="R889" s="126"/>
      <c r="S889" s="126"/>
      <c r="T889" s="127"/>
      <c r="U889" s="126"/>
      <c r="V889" s="126"/>
      <c r="W889" s="127"/>
      <c r="X889" s="126"/>
      <c r="Y889" s="126"/>
      <c r="Z889" s="127"/>
      <c r="AA889" s="126"/>
      <c r="AB889" s="126"/>
      <c r="AC889" s="127"/>
      <c r="AD889" s="126"/>
      <c r="AE889" s="126"/>
      <c r="AF889" s="126"/>
      <c r="AG889" s="127"/>
      <c r="AH889" s="126"/>
      <c r="AI889" s="126"/>
      <c r="AJ889" s="127"/>
      <c r="AK889" s="126"/>
      <c r="AL889" s="126"/>
      <c r="AM889" s="127"/>
      <c r="AN889" s="126"/>
      <c r="AO889" s="126"/>
      <c r="AP889" s="127"/>
      <c r="AQ889" s="126"/>
      <c r="AR889" s="126"/>
      <c r="AS889" s="127"/>
      <c r="AT889" s="126"/>
      <c r="AU889" s="126"/>
      <c r="AV889" s="127"/>
      <c r="AW889" s="126"/>
      <c r="AX889" s="126"/>
      <c r="AY889" s="127"/>
      <c r="AZ889" s="126"/>
      <c r="BA889" s="126"/>
      <c r="BB889" s="127"/>
      <c r="BC889" s="126"/>
      <c r="BD889" s="134"/>
      <c r="BE889" s="127"/>
      <c r="BF889" s="126"/>
      <c r="BG889" s="126"/>
      <c r="BH889" s="126"/>
      <c r="BI889" s="126"/>
      <c r="BJ889" s="126"/>
      <c r="BK889" s="126"/>
      <c r="BL889" s="126"/>
      <c r="BM889" s="126"/>
      <c r="BN889" s="126"/>
      <c r="BO889" s="126"/>
      <c r="BP889" s="126"/>
      <c r="BQ889" s="126"/>
      <c r="BR889" s="126"/>
      <c r="BS889" s="126"/>
      <c r="BT889" s="126"/>
      <c r="BU889" s="126"/>
      <c r="BV889" s="126"/>
      <c r="BW889" s="126"/>
      <c r="BX889" s="126"/>
    </row>
    <row r="890">
      <c r="A890" s="126"/>
      <c r="B890" s="126"/>
      <c r="C890" s="127"/>
      <c r="D890" s="126"/>
      <c r="E890" s="126"/>
      <c r="F890" s="127"/>
      <c r="G890" s="126"/>
      <c r="H890" s="127"/>
      <c r="I890" s="126"/>
      <c r="J890" s="126"/>
      <c r="K890" s="127"/>
      <c r="L890" s="126"/>
      <c r="M890" s="126"/>
      <c r="N890" s="127"/>
      <c r="O890" s="126"/>
      <c r="P890" s="126"/>
      <c r="Q890" s="127"/>
      <c r="R890" s="126"/>
      <c r="S890" s="126"/>
      <c r="T890" s="127"/>
      <c r="U890" s="126"/>
      <c r="V890" s="126"/>
      <c r="W890" s="127"/>
      <c r="X890" s="126"/>
      <c r="Y890" s="126"/>
      <c r="Z890" s="127"/>
      <c r="AA890" s="126"/>
      <c r="AB890" s="126"/>
      <c r="AC890" s="127"/>
      <c r="AD890" s="126"/>
      <c r="AE890" s="126"/>
      <c r="AF890" s="126"/>
      <c r="AG890" s="127"/>
      <c r="AH890" s="126"/>
      <c r="AI890" s="126"/>
      <c r="AJ890" s="127"/>
      <c r="AK890" s="126"/>
      <c r="AL890" s="126"/>
      <c r="AM890" s="127"/>
      <c r="AN890" s="126"/>
      <c r="AO890" s="126"/>
      <c r="AP890" s="127"/>
      <c r="AQ890" s="126"/>
      <c r="AR890" s="126"/>
      <c r="AS890" s="127"/>
      <c r="AT890" s="126"/>
      <c r="AU890" s="126"/>
      <c r="AV890" s="127"/>
      <c r="AW890" s="126"/>
      <c r="AX890" s="126"/>
      <c r="AY890" s="127"/>
      <c r="AZ890" s="126"/>
      <c r="BA890" s="126"/>
      <c r="BB890" s="127"/>
      <c r="BC890" s="126"/>
      <c r="BD890" s="134"/>
      <c r="BE890" s="127"/>
      <c r="BF890" s="126"/>
      <c r="BG890" s="126"/>
      <c r="BH890" s="126"/>
      <c r="BI890" s="126"/>
      <c r="BJ890" s="126"/>
      <c r="BK890" s="126"/>
      <c r="BL890" s="126"/>
      <c r="BM890" s="126"/>
      <c r="BN890" s="126"/>
      <c r="BO890" s="126"/>
      <c r="BP890" s="126"/>
      <c r="BQ890" s="126"/>
      <c r="BR890" s="126"/>
      <c r="BS890" s="126"/>
      <c r="BT890" s="126"/>
      <c r="BU890" s="126"/>
      <c r="BV890" s="126"/>
      <c r="BW890" s="126"/>
      <c r="BX890" s="126"/>
    </row>
    <row r="891">
      <c r="A891" s="126"/>
      <c r="B891" s="126"/>
      <c r="C891" s="127"/>
      <c r="D891" s="126"/>
      <c r="E891" s="126"/>
      <c r="F891" s="127"/>
      <c r="G891" s="126"/>
      <c r="H891" s="127"/>
      <c r="I891" s="126"/>
      <c r="J891" s="126"/>
      <c r="K891" s="127"/>
      <c r="L891" s="126"/>
      <c r="M891" s="126"/>
      <c r="N891" s="127"/>
      <c r="O891" s="126"/>
      <c r="P891" s="126"/>
      <c r="Q891" s="127"/>
      <c r="R891" s="126"/>
      <c r="S891" s="126"/>
      <c r="T891" s="127"/>
      <c r="U891" s="126"/>
      <c r="V891" s="126"/>
      <c r="W891" s="127"/>
      <c r="X891" s="126"/>
      <c r="Y891" s="126"/>
      <c r="Z891" s="127"/>
      <c r="AA891" s="126"/>
      <c r="AB891" s="126"/>
      <c r="AC891" s="127"/>
      <c r="AD891" s="126"/>
      <c r="AE891" s="126"/>
      <c r="AF891" s="126"/>
      <c r="AG891" s="127"/>
      <c r="AH891" s="126"/>
      <c r="AI891" s="126"/>
      <c r="AJ891" s="127"/>
      <c r="AK891" s="126"/>
      <c r="AL891" s="126"/>
      <c r="AM891" s="127"/>
      <c r="AN891" s="126"/>
      <c r="AO891" s="126"/>
      <c r="AP891" s="127"/>
      <c r="AQ891" s="126"/>
      <c r="AR891" s="126"/>
      <c r="AS891" s="127"/>
      <c r="AT891" s="126"/>
      <c r="AU891" s="126"/>
      <c r="AV891" s="127"/>
      <c r="AW891" s="126"/>
      <c r="AX891" s="126"/>
      <c r="AY891" s="127"/>
      <c r="AZ891" s="126"/>
      <c r="BA891" s="126"/>
      <c r="BB891" s="127"/>
      <c r="BC891" s="126"/>
      <c r="BD891" s="134"/>
      <c r="BE891" s="127"/>
      <c r="BF891" s="126"/>
      <c r="BG891" s="126"/>
      <c r="BH891" s="126"/>
      <c r="BI891" s="126"/>
      <c r="BJ891" s="126"/>
      <c r="BK891" s="126"/>
      <c r="BL891" s="126"/>
      <c r="BM891" s="126"/>
      <c r="BN891" s="126"/>
      <c r="BO891" s="126"/>
      <c r="BP891" s="126"/>
      <c r="BQ891" s="126"/>
      <c r="BR891" s="126"/>
      <c r="BS891" s="126"/>
      <c r="BT891" s="126"/>
      <c r="BU891" s="126"/>
      <c r="BV891" s="126"/>
      <c r="BW891" s="126"/>
      <c r="BX891" s="126"/>
    </row>
    <row r="892">
      <c r="A892" s="126"/>
      <c r="B892" s="126"/>
      <c r="C892" s="127"/>
      <c r="D892" s="126"/>
      <c r="E892" s="126"/>
      <c r="F892" s="127"/>
      <c r="G892" s="126"/>
      <c r="H892" s="127"/>
      <c r="I892" s="126"/>
      <c r="J892" s="126"/>
      <c r="K892" s="127"/>
      <c r="L892" s="126"/>
      <c r="M892" s="126"/>
      <c r="N892" s="127"/>
      <c r="O892" s="126"/>
      <c r="P892" s="126"/>
      <c r="Q892" s="127"/>
      <c r="R892" s="126"/>
      <c r="S892" s="126"/>
      <c r="T892" s="127"/>
      <c r="U892" s="126"/>
      <c r="V892" s="126"/>
      <c r="W892" s="127"/>
      <c r="X892" s="126"/>
      <c r="Y892" s="126"/>
      <c r="Z892" s="127"/>
      <c r="AA892" s="126"/>
      <c r="AB892" s="126"/>
      <c r="AC892" s="127"/>
      <c r="AD892" s="126"/>
      <c r="AE892" s="126"/>
      <c r="AF892" s="126"/>
      <c r="AG892" s="127"/>
      <c r="AH892" s="126"/>
      <c r="AI892" s="126"/>
      <c r="AJ892" s="127"/>
      <c r="AK892" s="126"/>
      <c r="AL892" s="126"/>
      <c r="AM892" s="127"/>
      <c r="AN892" s="126"/>
      <c r="AO892" s="126"/>
      <c r="AP892" s="127"/>
      <c r="AQ892" s="126"/>
      <c r="AR892" s="126"/>
      <c r="AS892" s="127"/>
      <c r="AT892" s="126"/>
      <c r="AU892" s="126"/>
      <c r="AV892" s="127"/>
      <c r="AW892" s="126"/>
      <c r="AX892" s="126"/>
      <c r="AY892" s="127"/>
      <c r="AZ892" s="126"/>
      <c r="BA892" s="126"/>
      <c r="BB892" s="127"/>
      <c r="BC892" s="126"/>
      <c r="BD892" s="134"/>
      <c r="BE892" s="127"/>
      <c r="BF892" s="126"/>
      <c r="BG892" s="126"/>
      <c r="BH892" s="126"/>
      <c r="BI892" s="126"/>
      <c r="BJ892" s="126"/>
      <c r="BK892" s="126"/>
      <c r="BL892" s="126"/>
      <c r="BM892" s="126"/>
      <c r="BN892" s="126"/>
      <c r="BO892" s="126"/>
      <c r="BP892" s="126"/>
      <c r="BQ892" s="126"/>
      <c r="BR892" s="126"/>
      <c r="BS892" s="126"/>
      <c r="BT892" s="126"/>
      <c r="BU892" s="126"/>
      <c r="BV892" s="126"/>
      <c r="BW892" s="126"/>
      <c r="BX892" s="126"/>
    </row>
    <row r="893">
      <c r="A893" s="126"/>
      <c r="B893" s="126"/>
      <c r="C893" s="127"/>
      <c r="D893" s="126"/>
      <c r="E893" s="126"/>
      <c r="F893" s="127"/>
      <c r="G893" s="126"/>
      <c r="H893" s="127"/>
      <c r="I893" s="126"/>
      <c r="J893" s="126"/>
      <c r="K893" s="127"/>
      <c r="L893" s="126"/>
      <c r="M893" s="126"/>
      <c r="N893" s="127"/>
      <c r="O893" s="126"/>
      <c r="P893" s="126"/>
      <c r="Q893" s="127"/>
      <c r="R893" s="126"/>
      <c r="S893" s="126"/>
      <c r="T893" s="127"/>
      <c r="U893" s="126"/>
      <c r="V893" s="126"/>
      <c r="W893" s="127"/>
      <c r="X893" s="126"/>
      <c r="Y893" s="126"/>
      <c r="Z893" s="127"/>
      <c r="AA893" s="126"/>
      <c r="AB893" s="126"/>
      <c r="AC893" s="127"/>
      <c r="AD893" s="126"/>
      <c r="AE893" s="126"/>
      <c r="AF893" s="126"/>
      <c r="AG893" s="127"/>
      <c r="AH893" s="126"/>
      <c r="AI893" s="126"/>
      <c r="AJ893" s="127"/>
      <c r="AK893" s="126"/>
      <c r="AL893" s="126"/>
      <c r="AM893" s="127"/>
      <c r="AN893" s="126"/>
      <c r="AO893" s="126"/>
      <c r="AP893" s="127"/>
      <c r="AQ893" s="126"/>
      <c r="AR893" s="126"/>
      <c r="AS893" s="127"/>
      <c r="AT893" s="126"/>
      <c r="AU893" s="126"/>
      <c r="AV893" s="127"/>
      <c r="AW893" s="126"/>
      <c r="AX893" s="126"/>
      <c r="AY893" s="127"/>
      <c r="AZ893" s="126"/>
      <c r="BA893" s="126"/>
      <c r="BB893" s="127"/>
      <c r="BC893" s="126"/>
      <c r="BD893" s="134"/>
      <c r="BE893" s="127"/>
      <c r="BF893" s="126"/>
      <c r="BG893" s="126"/>
      <c r="BH893" s="126"/>
      <c r="BI893" s="126"/>
      <c r="BJ893" s="126"/>
      <c r="BK893" s="126"/>
      <c r="BL893" s="126"/>
      <c r="BM893" s="126"/>
      <c r="BN893" s="126"/>
      <c r="BO893" s="126"/>
      <c r="BP893" s="126"/>
      <c r="BQ893" s="126"/>
      <c r="BR893" s="126"/>
      <c r="BS893" s="126"/>
      <c r="BT893" s="126"/>
      <c r="BU893" s="126"/>
      <c r="BV893" s="126"/>
      <c r="BW893" s="126"/>
      <c r="BX893" s="126"/>
    </row>
    <row r="894">
      <c r="A894" s="126"/>
      <c r="B894" s="126"/>
      <c r="C894" s="127"/>
      <c r="D894" s="126"/>
      <c r="E894" s="126"/>
      <c r="F894" s="127"/>
      <c r="G894" s="126"/>
      <c r="H894" s="127"/>
      <c r="I894" s="126"/>
      <c r="J894" s="126"/>
      <c r="K894" s="127"/>
      <c r="L894" s="126"/>
      <c r="M894" s="126"/>
      <c r="N894" s="127"/>
      <c r="O894" s="126"/>
      <c r="P894" s="126"/>
      <c r="Q894" s="127"/>
      <c r="R894" s="126"/>
      <c r="S894" s="126"/>
      <c r="T894" s="127"/>
      <c r="U894" s="126"/>
      <c r="V894" s="126"/>
      <c r="W894" s="127"/>
      <c r="X894" s="126"/>
      <c r="Y894" s="126"/>
      <c r="Z894" s="127"/>
      <c r="AA894" s="126"/>
      <c r="AB894" s="126"/>
      <c r="AC894" s="127"/>
      <c r="AD894" s="126"/>
      <c r="AE894" s="126"/>
      <c r="AF894" s="126"/>
      <c r="AG894" s="127"/>
      <c r="AH894" s="126"/>
      <c r="AI894" s="126"/>
      <c r="AJ894" s="127"/>
      <c r="AK894" s="126"/>
      <c r="AL894" s="126"/>
      <c r="AM894" s="127"/>
      <c r="AN894" s="126"/>
      <c r="AO894" s="126"/>
      <c r="AP894" s="127"/>
      <c r="AQ894" s="126"/>
      <c r="AR894" s="126"/>
      <c r="AS894" s="127"/>
      <c r="AT894" s="126"/>
      <c r="AU894" s="126"/>
      <c r="AV894" s="127"/>
      <c r="AW894" s="126"/>
      <c r="AX894" s="126"/>
      <c r="AY894" s="127"/>
      <c r="AZ894" s="126"/>
      <c r="BA894" s="126"/>
      <c r="BB894" s="127"/>
      <c r="BC894" s="126"/>
      <c r="BD894" s="134"/>
      <c r="BE894" s="127"/>
      <c r="BF894" s="126"/>
      <c r="BG894" s="126"/>
      <c r="BH894" s="126"/>
      <c r="BI894" s="126"/>
      <c r="BJ894" s="126"/>
      <c r="BK894" s="126"/>
      <c r="BL894" s="126"/>
      <c r="BM894" s="126"/>
      <c r="BN894" s="126"/>
      <c r="BO894" s="126"/>
      <c r="BP894" s="126"/>
      <c r="BQ894" s="126"/>
      <c r="BR894" s="126"/>
      <c r="BS894" s="126"/>
      <c r="BT894" s="126"/>
      <c r="BU894" s="126"/>
      <c r="BV894" s="126"/>
      <c r="BW894" s="126"/>
      <c r="BX894" s="126"/>
    </row>
    <row r="895">
      <c r="A895" s="126"/>
      <c r="B895" s="126"/>
      <c r="C895" s="127"/>
      <c r="D895" s="126"/>
      <c r="E895" s="126"/>
      <c r="F895" s="127"/>
      <c r="G895" s="126"/>
      <c r="H895" s="127"/>
      <c r="I895" s="126"/>
      <c r="J895" s="126"/>
      <c r="K895" s="127"/>
      <c r="L895" s="126"/>
      <c r="M895" s="126"/>
      <c r="N895" s="127"/>
      <c r="O895" s="126"/>
      <c r="P895" s="126"/>
      <c r="Q895" s="127"/>
      <c r="R895" s="126"/>
      <c r="S895" s="126"/>
      <c r="T895" s="127"/>
      <c r="U895" s="126"/>
      <c r="V895" s="126"/>
      <c r="W895" s="127"/>
      <c r="X895" s="126"/>
      <c r="Y895" s="126"/>
      <c r="Z895" s="127"/>
      <c r="AA895" s="126"/>
      <c r="AB895" s="126"/>
      <c r="AC895" s="127"/>
      <c r="AD895" s="126"/>
      <c r="AE895" s="126"/>
      <c r="AF895" s="126"/>
      <c r="AG895" s="127"/>
      <c r="AH895" s="126"/>
      <c r="AI895" s="126"/>
      <c r="AJ895" s="127"/>
      <c r="AK895" s="126"/>
      <c r="AL895" s="126"/>
      <c r="AM895" s="127"/>
      <c r="AN895" s="126"/>
      <c r="AO895" s="126"/>
      <c r="AP895" s="127"/>
      <c r="AQ895" s="126"/>
      <c r="AR895" s="126"/>
      <c r="AS895" s="127"/>
      <c r="AT895" s="126"/>
      <c r="AU895" s="126"/>
      <c r="AV895" s="127"/>
      <c r="AW895" s="126"/>
      <c r="AX895" s="126"/>
      <c r="AY895" s="127"/>
      <c r="AZ895" s="126"/>
      <c r="BA895" s="126"/>
      <c r="BB895" s="127"/>
      <c r="BC895" s="126"/>
      <c r="BD895" s="134"/>
      <c r="BE895" s="127"/>
      <c r="BF895" s="126"/>
      <c r="BG895" s="126"/>
      <c r="BH895" s="126"/>
      <c r="BI895" s="126"/>
      <c r="BJ895" s="126"/>
      <c r="BK895" s="126"/>
      <c r="BL895" s="126"/>
      <c r="BM895" s="126"/>
      <c r="BN895" s="126"/>
      <c r="BO895" s="126"/>
      <c r="BP895" s="126"/>
      <c r="BQ895" s="126"/>
      <c r="BR895" s="126"/>
      <c r="BS895" s="126"/>
      <c r="BT895" s="126"/>
      <c r="BU895" s="126"/>
      <c r="BV895" s="126"/>
      <c r="BW895" s="126"/>
      <c r="BX895" s="126"/>
    </row>
    <row r="896">
      <c r="A896" s="126"/>
      <c r="B896" s="126"/>
      <c r="C896" s="127"/>
      <c r="D896" s="126"/>
      <c r="E896" s="126"/>
      <c r="F896" s="127"/>
      <c r="G896" s="126"/>
      <c r="H896" s="127"/>
      <c r="I896" s="126"/>
      <c r="J896" s="126"/>
      <c r="K896" s="127"/>
      <c r="L896" s="126"/>
      <c r="M896" s="126"/>
      <c r="N896" s="127"/>
      <c r="O896" s="126"/>
      <c r="P896" s="126"/>
      <c r="Q896" s="127"/>
      <c r="R896" s="126"/>
      <c r="S896" s="126"/>
      <c r="T896" s="127"/>
      <c r="U896" s="126"/>
      <c r="V896" s="126"/>
      <c r="W896" s="127"/>
      <c r="X896" s="126"/>
      <c r="Y896" s="126"/>
      <c r="Z896" s="127"/>
      <c r="AA896" s="126"/>
      <c r="AB896" s="126"/>
      <c r="AC896" s="127"/>
      <c r="AD896" s="126"/>
      <c r="AE896" s="126"/>
      <c r="AF896" s="126"/>
      <c r="AG896" s="127"/>
      <c r="AH896" s="126"/>
      <c r="AI896" s="126"/>
      <c r="AJ896" s="127"/>
      <c r="AK896" s="126"/>
      <c r="AL896" s="126"/>
      <c r="AM896" s="127"/>
      <c r="AN896" s="126"/>
      <c r="AO896" s="126"/>
      <c r="AP896" s="127"/>
      <c r="AQ896" s="126"/>
      <c r="AR896" s="126"/>
      <c r="AS896" s="127"/>
      <c r="AT896" s="126"/>
      <c r="AU896" s="126"/>
      <c r="AV896" s="127"/>
      <c r="AW896" s="126"/>
      <c r="AX896" s="126"/>
      <c r="AY896" s="127"/>
      <c r="AZ896" s="126"/>
      <c r="BA896" s="126"/>
      <c r="BB896" s="127"/>
      <c r="BC896" s="126"/>
      <c r="BD896" s="134"/>
      <c r="BE896" s="127"/>
      <c r="BF896" s="126"/>
      <c r="BG896" s="126"/>
      <c r="BH896" s="126"/>
      <c r="BI896" s="126"/>
      <c r="BJ896" s="126"/>
      <c r="BK896" s="126"/>
      <c r="BL896" s="126"/>
      <c r="BM896" s="126"/>
      <c r="BN896" s="126"/>
      <c r="BO896" s="126"/>
      <c r="BP896" s="126"/>
      <c r="BQ896" s="126"/>
      <c r="BR896" s="126"/>
      <c r="BS896" s="126"/>
      <c r="BT896" s="126"/>
      <c r="BU896" s="126"/>
      <c r="BV896" s="126"/>
      <c r="BW896" s="126"/>
      <c r="BX896" s="126"/>
    </row>
    <row r="897">
      <c r="A897" s="126"/>
      <c r="B897" s="126"/>
      <c r="C897" s="127"/>
      <c r="D897" s="126"/>
      <c r="E897" s="126"/>
      <c r="F897" s="127"/>
      <c r="G897" s="126"/>
      <c r="H897" s="127"/>
      <c r="I897" s="126"/>
      <c r="J897" s="126"/>
      <c r="K897" s="127"/>
      <c r="L897" s="126"/>
      <c r="M897" s="126"/>
      <c r="N897" s="127"/>
      <c r="O897" s="126"/>
      <c r="P897" s="126"/>
      <c r="Q897" s="127"/>
      <c r="R897" s="126"/>
      <c r="S897" s="126"/>
      <c r="T897" s="127"/>
      <c r="U897" s="126"/>
      <c r="V897" s="126"/>
      <c r="W897" s="127"/>
      <c r="X897" s="126"/>
      <c r="Y897" s="126"/>
      <c r="Z897" s="127"/>
      <c r="AA897" s="126"/>
      <c r="AB897" s="126"/>
      <c r="AC897" s="127"/>
      <c r="AD897" s="126"/>
      <c r="AE897" s="126"/>
      <c r="AF897" s="126"/>
      <c r="AG897" s="127"/>
      <c r="AH897" s="126"/>
      <c r="AI897" s="126"/>
      <c r="AJ897" s="127"/>
      <c r="AK897" s="126"/>
      <c r="AL897" s="126"/>
      <c r="AM897" s="127"/>
      <c r="AN897" s="126"/>
      <c r="AO897" s="126"/>
      <c r="AP897" s="127"/>
      <c r="AQ897" s="126"/>
      <c r="AR897" s="126"/>
      <c r="AS897" s="127"/>
      <c r="AT897" s="126"/>
      <c r="AU897" s="126"/>
      <c r="AV897" s="127"/>
      <c r="AW897" s="126"/>
      <c r="AX897" s="126"/>
      <c r="AY897" s="127"/>
      <c r="AZ897" s="126"/>
      <c r="BA897" s="126"/>
      <c r="BB897" s="127"/>
      <c r="BC897" s="126"/>
      <c r="BD897" s="134"/>
      <c r="BE897" s="127"/>
      <c r="BF897" s="126"/>
      <c r="BG897" s="126"/>
      <c r="BH897" s="126"/>
      <c r="BI897" s="126"/>
      <c r="BJ897" s="126"/>
      <c r="BK897" s="126"/>
      <c r="BL897" s="126"/>
      <c r="BM897" s="126"/>
      <c r="BN897" s="126"/>
      <c r="BO897" s="126"/>
      <c r="BP897" s="126"/>
      <c r="BQ897" s="126"/>
      <c r="BR897" s="126"/>
      <c r="BS897" s="126"/>
      <c r="BT897" s="126"/>
      <c r="BU897" s="126"/>
      <c r="BV897" s="126"/>
      <c r="BW897" s="126"/>
      <c r="BX897" s="126"/>
    </row>
    <row r="898">
      <c r="A898" s="126"/>
      <c r="B898" s="126"/>
      <c r="C898" s="127"/>
      <c r="D898" s="126"/>
      <c r="E898" s="126"/>
      <c r="F898" s="127"/>
      <c r="G898" s="126"/>
      <c r="H898" s="127"/>
      <c r="I898" s="126"/>
      <c r="J898" s="126"/>
      <c r="K898" s="127"/>
      <c r="L898" s="126"/>
      <c r="M898" s="126"/>
      <c r="N898" s="127"/>
      <c r="O898" s="126"/>
      <c r="P898" s="126"/>
      <c r="Q898" s="127"/>
      <c r="R898" s="126"/>
      <c r="S898" s="126"/>
      <c r="T898" s="127"/>
      <c r="U898" s="126"/>
      <c r="V898" s="126"/>
      <c r="W898" s="127"/>
      <c r="X898" s="126"/>
      <c r="Y898" s="126"/>
      <c r="Z898" s="127"/>
      <c r="AA898" s="126"/>
      <c r="AB898" s="126"/>
      <c r="AC898" s="127"/>
      <c r="AD898" s="126"/>
      <c r="AE898" s="126"/>
      <c r="AF898" s="126"/>
      <c r="AG898" s="127"/>
      <c r="AH898" s="126"/>
      <c r="AI898" s="126"/>
      <c r="AJ898" s="127"/>
      <c r="AK898" s="126"/>
      <c r="AL898" s="126"/>
      <c r="AM898" s="127"/>
      <c r="AN898" s="126"/>
      <c r="AO898" s="126"/>
      <c r="AP898" s="127"/>
      <c r="AQ898" s="126"/>
      <c r="AR898" s="126"/>
      <c r="AS898" s="127"/>
      <c r="AT898" s="126"/>
      <c r="AU898" s="126"/>
      <c r="AV898" s="127"/>
      <c r="AW898" s="126"/>
      <c r="AX898" s="126"/>
      <c r="AY898" s="127"/>
      <c r="AZ898" s="126"/>
      <c r="BA898" s="126"/>
      <c r="BB898" s="127"/>
      <c r="BC898" s="126"/>
      <c r="BD898" s="134"/>
      <c r="BE898" s="127"/>
      <c r="BF898" s="126"/>
      <c r="BG898" s="126"/>
      <c r="BH898" s="126"/>
      <c r="BI898" s="126"/>
      <c r="BJ898" s="126"/>
      <c r="BK898" s="126"/>
      <c r="BL898" s="126"/>
      <c r="BM898" s="126"/>
      <c r="BN898" s="126"/>
      <c r="BO898" s="126"/>
      <c r="BP898" s="126"/>
      <c r="BQ898" s="126"/>
      <c r="BR898" s="126"/>
      <c r="BS898" s="126"/>
      <c r="BT898" s="126"/>
      <c r="BU898" s="126"/>
      <c r="BV898" s="126"/>
      <c r="BW898" s="126"/>
      <c r="BX898" s="126"/>
    </row>
    <row r="899">
      <c r="A899" s="126"/>
      <c r="B899" s="126"/>
      <c r="C899" s="127"/>
      <c r="D899" s="126"/>
      <c r="E899" s="126"/>
      <c r="F899" s="127"/>
      <c r="G899" s="126"/>
      <c r="H899" s="127"/>
      <c r="I899" s="126"/>
      <c r="J899" s="126"/>
      <c r="K899" s="127"/>
      <c r="L899" s="126"/>
      <c r="M899" s="126"/>
      <c r="N899" s="127"/>
      <c r="O899" s="126"/>
      <c r="P899" s="126"/>
      <c r="Q899" s="127"/>
      <c r="R899" s="126"/>
      <c r="S899" s="126"/>
      <c r="T899" s="127"/>
      <c r="U899" s="126"/>
      <c r="V899" s="126"/>
      <c r="W899" s="127"/>
      <c r="X899" s="126"/>
      <c r="Y899" s="126"/>
      <c r="Z899" s="127"/>
      <c r="AA899" s="126"/>
      <c r="AB899" s="126"/>
      <c r="AC899" s="127"/>
      <c r="AD899" s="126"/>
      <c r="AE899" s="126"/>
      <c r="AF899" s="126"/>
      <c r="AG899" s="127"/>
      <c r="AH899" s="126"/>
      <c r="AI899" s="126"/>
      <c r="AJ899" s="127"/>
      <c r="AK899" s="126"/>
      <c r="AL899" s="126"/>
      <c r="AM899" s="127"/>
      <c r="AN899" s="126"/>
      <c r="AO899" s="126"/>
      <c r="AP899" s="127"/>
      <c r="AQ899" s="126"/>
      <c r="AR899" s="126"/>
      <c r="AS899" s="127"/>
      <c r="AT899" s="126"/>
      <c r="AU899" s="126"/>
      <c r="AV899" s="127"/>
      <c r="AW899" s="126"/>
      <c r="AX899" s="126"/>
      <c r="AY899" s="127"/>
      <c r="AZ899" s="126"/>
      <c r="BA899" s="126"/>
      <c r="BB899" s="127"/>
      <c r="BC899" s="126"/>
      <c r="BD899" s="134"/>
      <c r="BE899" s="127"/>
      <c r="BF899" s="126"/>
      <c r="BG899" s="126"/>
      <c r="BH899" s="126"/>
      <c r="BI899" s="126"/>
      <c r="BJ899" s="126"/>
      <c r="BK899" s="126"/>
      <c r="BL899" s="126"/>
      <c r="BM899" s="126"/>
      <c r="BN899" s="126"/>
      <c r="BO899" s="126"/>
      <c r="BP899" s="126"/>
      <c r="BQ899" s="126"/>
      <c r="BR899" s="126"/>
      <c r="BS899" s="126"/>
      <c r="BT899" s="126"/>
      <c r="BU899" s="126"/>
      <c r="BV899" s="126"/>
      <c r="BW899" s="126"/>
      <c r="BX899" s="126"/>
    </row>
    <row r="900">
      <c r="A900" s="126"/>
      <c r="B900" s="126"/>
      <c r="C900" s="127"/>
      <c r="D900" s="126"/>
      <c r="E900" s="126"/>
      <c r="F900" s="127"/>
      <c r="G900" s="126"/>
      <c r="H900" s="127"/>
      <c r="I900" s="126"/>
      <c r="J900" s="126"/>
      <c r="K900" s="127"/>
      <c r="L900" s="126"/>
      <c r="M900" s="126"/>
      <c r="N900" s="127"/>
      <c r="O900" s="126"/>
      <c r="P900" s="126"/>
      <c r="Q900" s="127"/>
      <c r="R900" s="126"/>
      <c r="S900" s="126"/>
      <c r="T900" s="127"/>
      <c r="U900" s="126"/>
      <c r="V900" s="126"/>
      <c r="W900" s="127"/>
      <c r="X900" s="126"/>
      <c r="Y900" s="126"/>
      <c r="Z900" s="127"/>
      <c r="AA900" s="126"/>
      <c r="AB900" s="126"/>
      <c r="AC900" s="127"/>
      <c r="AD900" s="126"/>
      <c r="AE900" s="126"/>
      <c r="AF900" s="126"/>
      <c r="AG900" s="127"/>
      <c r="AH900" s="126"/>
      <c r="AI900" s="126"/>
      <c r="AJ900" s="127"/>
      <c r="AK900" s="126"/>
      <c r="AL900" s="126"/>
      <c r="AM900" s="127"/>
      <c r="AN900" s="126"/>
      <c r="AO900" s="126"/>
      <c r="AP900" s="127"/>
      <c r="AQ900" s="126"/>
      <c r="AR900" s="126"/>
      <c r="AS900" s="127"/>
      <c r="AT900" s="126"/>
      <c r="AU900" s="126"/>
      <c r="AV900" s="127"/>
      <c r="AW900" s="126"/>
      <c r="AX900" s="126"/>
      <c r="AY900" s="127"/>
      <c r="AZ900" s="126"/>
      <c r="BA900" s="126"/>
      <c r="BB900" s="127"/>
      <c r="BC900" s="126"/>
      <c r="BD900" s="134"/>
      <c r="BE900" s="127"/>
      <c r="BF900" s="126"/>
      <c r="BG900" s="126"/>
      <c r="BH900" s="126"/>
      <c r="BI900" s="126"/>
      <c r="BJ900" s="126"/>
      <c r="BK900" s="126"/>
      <c r="BL900" s="126"/>
      <c r="BM900" s="126"/>
      <c r="BN900" s="126"/>
      <c r="BO900" s="126"/>
      <c r="BP900" s="126"/>
      <c r="BQ900" s="126"/>
      <c r="BR900" s="126"/>
      <c r="BS900" s="126"/>
      <c r="BT900" s="126"/>
      <c r="BU900" s="126"/>
      <c r="BV900" s="126"/>
      <c r="BW900" s="126"/>
      <c r="BX900" s="126"/>
    </row>
    <row r="901">
      <c r="A901" s="126"/>
      <c r="B901" s="126"/>
      <c r="C901" s="127"/>
      <c r="D901" s="126"/>
      <c r="E901" s="126"/>
      <c r="F901" s="127"/>
      <c r="G901" s="126"/>
      <c r="H901" s="127"/>
      <c r="I901" s="126"/>
      <c r="J901" s="126"/>
      <c r="K901" s="127"/>
      <c r="L901" s="126"/>
      <c r="M901" s="126"/>
      <c r="N901" s="127"/>
      <c r="O901" s="126"/>
      <c r="P901" s="126"/>
      <c r="Q901" s="127"/>
      <c r="R901" s="126"/>
      <c r="S901" s="126"/>
      <c r="T901" s="127"/>
      <c r="U901" s="126"/>
      <c r="V901" s="126"/>
      <c r="W901" s="127"/>
      <c r="X901" s="126"/>
      <c r="Y901" s="126"/>
      <c r="Z901" s="127"/>
      <c r="AA901" s="126"/>
      <c r="AB901" s="126"/>
      <c r="AC901" s="127"/>
      <c r="AD901" s="126"/>
      <c r="AE901" s="126"/>
      <c r="AF901" s="126"/>
      <c r="AG901" s="127"/>
      <c r="AH901" s="126"/>
      <c r="AI901" s="126"/>
      <c r="AJ901" s="127"/>
      <c r="AK901" s="126"/>
      <c r="AL901" s="126"/>
      <c r="AM901" s="127"/>
      <c r="AN901" s="126"/>
      <c r="AO901" s="126"/>
      <c r="AP901" s="127"/>
      <c r="AQ901" s="126"/>
      <c r="AR901" s="126"/>
      <c r="AS901" s="127"/>
      <c r="AT901" s="126"/>
      <c r="AU901" s="126"/>
      <c r="AV901" s="127"/>
      <c r="AW901" s="126"/>
      <c r="AX901" s="126"/>
      <c r="AY901" s="127"/>
      <c r="AZ901" s="126"/>
      <c r="BA901" s="126"/>
      <c r="BB901" s="127"/>
      <c r="BC901" s="126"/>
      <c r="BD901" s="134"/>
      <c r="BE901" s="127"/>
      <c r="BF901" s="126"/>
      <c r="BG901" s="126"/>
      <c r="BH901" s="126"/>
      <c r="BI901" s="126"/>
      <c r="BJ901" s="126"/>
      <c r="BK901" s="126"/>
      <c r="BL901" s="126"/>
      <c r="BM901" s="126"/>
      <c r="BN901" s="126"/>
      <c r="BO901" s="126"/>
      <c r="BP901" s="126"/>
      <c r="BQ901" s="126"/>
      <c r="BR901" s="126"/>
      <c r="BS901" s="126"/>
      <c r="BT901" s="126"/>
      <c r="BU901" s="126"/>
      <c r="BV901" s="126"/>
      <c r="BW901" s="126"/>
      <c r="BX901" s="126"/>
    </row>
    <row r="902">
      <c r="A902" s="126"/>
      <c r="B902" s="126"/>
      <c r="C902" s="127"/>
      <c r="D902" s="126"/>
      <c r="E902" s="126"/>
      <c r="F902" s="127"/>
      <c r="G902" s="126"/>
      <c r="H902" s="127"/>
      <c r="I902" s="126"/>
      <c r="J902" s="126"/>
      <c r="K902" s="127"/>
      <c r="L902" s="126"/>
      <c r="M902" s="126"/>
      <c r="N902" s="127"/>
      <c r="O902" s="126"/>
      <c r="P902" s="126"/>
      <c r="Q902" s="127"/>
      <c r="R902" s="126"/>
      <c r="S902" s="126"/>
      <c r="T902" s="127"/>
      <c r="U902" s="126"/>
      <c r="V902" s="126"/>
      <c r="W902" s="127"/>
      <c r="X902" s="126"/>
      <c r="Y902" s="126"/>
      <c r="Z902" s="127"/>
      <c r="AA902" s="126"/>
      <c r="AB902" s="126"/>
      <c r="AC902" s="127"/>
      <c r="AD902" s="126"/>
      <c r="AE902" s="126"/>
      <c r="AF902" s="126"/>
      <c r="AG902" s="127"/>
      <c r="AH902" s="126"/>
      <c r="AI902" s="126"/>
      <c r="AJ902" s="127"/>
      <c r="AK902" s="126"/>
      <c r="AL902" s="126"/>
      <c r="AM902" s="127"/>
      <c r="AN902" s="126"/>
      <c r="AO902" s="126"/>
      <c r="AP902" s="127"/>
      <c r="AQ902" s="126"/>
      <c r="AR902" s="126"/>
      <c r="AS902" s="127"/>
      <c r="AT902" s="126"/>
      <c r="AU902" s="126"/>
      <c r="AV902" s="127"/>
      <c r="AW902" s="126"/>
      <c r="AX902" s="126"/>
      <c r="AY902" s="127"/>
      <c r="AZ902" s="126"/>
      <c r="BA902" s="126"/>
      <c r="BB902" s="127"/>
      <c r="BC902" s="126"/>
      <c r="BD902" s="134"/>
      <c r="BE902" s="127"/>
      <c r="BF902" s="126"/>
      <c r="BG902" s="126"/>
      <c r="BH902" s="126"/>
      <c r="BI902" s="126"/>
      <c r="BJ902" s="126"/>
      <c r="BK902" s="126"/>
      <c r="BL902" s="126"/>
      <c r="BM902" s="126"/>
      <c r="BN902" s="126"/>
      <c r="BO902" s="126"/>
      <c r="BP902" s="126"/>
      <c r="BQ902" s="126"/>
      <c r="BR902" s="126"/>
      <c r="BS902" s="126"/>
      <c r="BT902" s="126"/>
      <c r="BU902" s="126"/>
      <c r="BV902" s="126"/>
      <c r="BW902" s="126"/>
      <c r="BX902" s="126"/>
    </row>
    <row r="903">
      <c r="A903" s="126"/>
      <c r="B903" s="126"/>
      <c r="C903" s="127"/>
      <c r="D903" s="126"/>
      <c r="E903" s="126"/>
      <c r="F903" s="127"/>
      <c r="G903" s="126"/>
      <c r="H903" s="127"/>
      <c r="I903" s="126"/>
      <c r="J903" s="126"/>
      <c r="K903" s="127"/>
      <c r="L903" s="126"/>
      <c r="M903" s="126"/>
      <c r="N903" s="127"/>
      <c r="O903" s="126"/>
      <c r="P903" s="126"/>
      <c r="Q903" s="127"/>
      <c r="R903" s="126"/>
      <c r="S903" s="126"/>
      <c r="T903" s="127"/>
      <c r="U903" s="126"/>
      <c r="V903" s="126"/>
      <c r="W903" s="127"/>
      <c r="X903" s="126"/>
      <c r="Y903" s="126"/>
      <c r="Z903" s="127"/>
      <c r="AA903" s="126"/>
      <c r="AB903" s="126"/>
      <c r="AC903" s="127"/>
      <c r="AD903" s="126"/>
      <c r="AE903" s="126"/>
      <c r="AF903" s="126"/>
      <c r="AG903" s="127"/>
      <c r="AH903" s="126"/>
      <c r="AI903" s="126"/>
      <c r="AJ903" s="127"/>
      <c r="AK903" s="126"/>
      <c r="AL903" s="126"/>
      <c r="AM903" s="127"/>
      <c r="AN903" s="126"/>
      <c r="AO903" s="126"/>
      <c r="AP903" s="127"/>
      <c r="AQ903" s="126"/>
      <c r="AR903" s="126"/>
      <c r="AS903" s="127"/>
      <c r="AT903" s="126"/>
      <c r="AU903" s="126"/>
      <c r="AV903" s="127"/>
      <c r="AW903" s="126"/>
      <c r="AX903" s="126"/>
      <c r="AY903" s="127"/>
      <c r="AZ903" s="126"/>
      <c r="BA903" s="126"/>
      <c r="BB903" s="127"/>
      <c r="BC903" s="126"/>
      <c r="BD903" s="134"/>
      <c r="BE903" s="127"/>
      <c r="BF903" s="126"/>
      <c r="BG903" s="126"/>
      <c r="BH903" s="126"/>
      <c r="BI903" s="126"/>
      <c r="BJ903" s="126"/>
      <c r="BK903" s="126"/>
      <c r="BL903" s="126"/>
      <c r="BM903" s="126"/>
      <c r="BN903" s="126"/>
      <c r="BO903" s="126"/>
      <c r="BP903" s="126"/>
      <c r="BQ903" s="126"/>
      <c r="BR903" s="126"/>
      <c r="BS903" s="126"/>
      <c r="BT903" s="126"/>
      <c r="BU903" s="126"/>
      <c r="BV903" s="126"/>
      <c r="BW903" s="126"/>
      <c r="BX903" s="126"/>
    </row>
    <row r="904">
      <c r="A904" s="126"/>
      <c r="B904" s="126"/>
      <c r="C904" s="127"/>
      <c r="D904" s="126"/>
      <c r="E904" s="126"/>
      <c r="F904" s="127"/>
      <c r="G904" s="126"/>
      <c r="H904" s="127"/>
      <c r="I904" s="126"/>
      <c r="J904" s="126"/>
      <c r="K904" s="127"/>
      <c r="L904" s="126"/>
      <c r="M904" s="126"/>
      <c r="N904" s="127"/>
      <c r="O904" s="126"/>
      <c r="P904" s="126"/>
      <c r="Q904" s="127"/>
      <c r="R904" s="126"/>
      <c r="S904" s="126"/>
      <c r="T904" s="127"/>
      <c r="U904" s="126"/>
      <c r="V904" s="126"/>
      <c r="W904" s="127"/>
      <c r="X904" s="126"/>
      <c r="Y904" s="126"/>
      <c r="Z904" s="127"/>
      <c r="AA904" s="126"/>
      <c r="AB904" s="126"/>
      <c r="AC904" s="127"/>
      <c r="AD904" s="126"/>
      <c r="AE904" s="126"/>
      <c r="AF904" s="126"/>
      <c r="AG904" s="127"/>
      <c r="AH904" s="126"/>
      <c r="AI904" s="126"/>
      <c r="AJ904" s="127"/>
      <c r="AK904" s="126"/>
      <c r="AL904" s="126"/>
      <c r="AM904" s="127"/>
      <c r="AN904" s="126"/>
      <c r="AO904" s="126"/>
      <c r="AP904" s="127"/>
      <c r="AQ904" s="126"/>
      <c r="AR904" s="126"/>
      <c r="AS904" s="127"/>
      <c r="AT904" s="126"/>
      <c r="AU904" s="126"/>
      <c r="AV904" s="127"/>
      <c r="AW904" s="126"/>
      <c r="AX904" s="126"/>
      <c r="AY904" s="127"/>
      <c r="AZ904" s="126"/>
      <c r="BA904" s="126"/>
      <c r="BB904" s="127"/>
      <c r="BC904" s="126"/>
      <c r="BD904" s="134"/>
      <c r="BE904" s="127"/>
      <c r="BF904" s="126"/>
      <c r="BG904" s="126"/>
      <c r="BH904" s="126"/>
      <c r="BI904" s="126"/>
      <c r="BJ904" s="126"/>
      <c r="BK904" s="126"/>
      <c r="BL904" s="126"/>
      <c r="BM904" s="126"/>
      <c r="BN904" s="126"/>
      <c r="BO904" s="126"/>
      <c r="BP904" s="126"/>
      <c r="BQ904" s="126"/>
      <c r="BR904" s="126"/>
      <c r="BS904" s="126"/>
      <c r="BT904" s="126"/>
      <c r="BU904" s="126"/>
      <c r="BV904" s="126"/>
      <c r="BW904" s="126"/>
      <c r="BX904" s="126"/>
    </row>
    <row r="905">
      <c r="A905" s="126"/>
      <c r="B905" s="126"/>
      <c r="C905" s="127"/>
      <c r="D905" s="126"/>
      <c r="E905" s="126"/>
      <c r="F905" s="127"/>
      <c r="G905" s="126"/>
      <c r="H905" s="127"/>
      <c r="I905" s="126"/>
      <c r="J905" s="126"/>
      <c r="K905" s="127"/>
      <c r="L905" s="126"/>
      <c r="M905" s="126"/>
      <c r="N905" s="127"/>
      <c r="O905" s="126"/>
      <c r="P905" s="126"/>
      <c r="Q905" s="127"/>
      <c r="R905" s="126"/>
      <c r="S905" s="126"/>
      <c r="T905" s="127"/>
      <c r="U905" s="126"/>
      <c r="V905" s="126"/>
      <c r="W905" s="127"/>
      <c r="X905" s="126"/>
      <c r="Y905" s="126"/>
      <c r="Z905" s="127"/>
      <c r="AA905" s="126"/>
      <c r="AB905" s="126"/>
      <c r="AC905" s="127"/>
      <c r="AD905" s="126"/>
      <c r="AE905" s="126"/>
      <c r="AF905" s="126"/>
      <c r="AG905" s="127"/>
      <c r="AH905" s="126"/>
      <c r="AI905" s="126"/>
      <c r="AJ905" s="127"/>
      <c r="AK905" s="126"/>
      <c r="AL905" s="126"/>
      <c r="AM905" s="127"/>
      <c r="AN905" s="126"/>
      <c r="AO905" s="126"/>
      <c r="AP905" s="127"/>
      <c r="AQ905" s="126"/>
      <c r="AR905" s="126"/>
      <c r="AS905" s="127"/>
      <c r="AT905" s="126"/>
      <c r="AU905" s="126"/>
      <c r="AV905" s="127"/>
      <c r="AW905" s="126"/>
      <c r="AX905" s="126"/>
      <c r="AY905" s="127"/>
      <c r="AZ905" s="126"/>
      <c r="BA905" s="126"/>
      <c r="BB905" s="127"/>
      <c r="BC905" s="126"/>
      <c r="BD905" s="134"/>
      <c r="BE905" s="127"/>
      <c r="BF905" s="126"/>
      <c r="BG905" s="126"/>
      <c r="BH905" s="126"/>
      <c r="BI905" s="126"/>
      <c r="BJ905" s="126"/>
      <c r="BK905" s="126"/>
      <c r="BL905" s="126"/>
      <c r="BM905" s="126"/>
      <c r="BN905" s="126"/>
      <c r="BO905" s="126"/>
      <c r="BP905" s="126"/>
      <c r="BQ905" s="126"/>
      <c r="BR905" s="126"/>
      <c r="BS905" s="126"/>
      <c r="BT905" s="126"/>
      <c r="BU905" s="126"/>
      <c r="BV905" s="126"/>
      <c r="BW905" s="126"/>
      <c r="BX905" s="126"/>
    </row>
    <row r="906">
      <c r="A906" s="126"/>
      <c r="B906" s="126"/>
      <c r="C906" s="127"/>
      <c r="D906" s="126"/>
      <c r="E906" s="126"/>
      <c r="F906" s="127"/>
      <c r="G906" s="126"/>
      <c r="H906" s="127"/>
      <c r="I906" s="126"/>
      <c r="J906" s="126"/>
      <c r="K906" s="127"/>
      <c r="L906" s="126"/>
      <c r="M906" s="126"/>
      <c r="N906" s="127"/>
      <c r="O906" s="126"/>
      <c r="P906" s="126"/>
      <c r="Q906" s="127"/>
      <c r="R906" s="126"/>
      <c r="S906" s="126"/>
      <c r="T906" s="127"/>
      <c r="U906" s="126"/>
      <c r="V906" s="126"/>
      <c r="W906" s="127"/>
      <c r="X906" s="126"/>
      <c r="Y906" s="126"/>
      <c r="Z906" s="127"/>
      <c r="AA906" s="126"/>
      <c r="AB906" s="126"/>
      <c r="AC906" s="127"/>
      <c r="AD906" s="126"/>
      <c r="AE906" s="126"/>
      <c r="AF906" s="126"/>
      <c r="AG906" s="127"/>
      <c r="AH906" s="126"/>
      <c r="AI906" s="126"/>
      <c r="AJ906" s="127"/>
      <c r="AK906" s="126"/>
      <c r="AL906" s="126"/>
      <c r="AM906" s="127"/>
      <c r="AN906" s="126"/>
      <c r="AO906" s="126"/>
      <c r="AP906" s="127"/>
      <c r="AQ906" s="126"/>
      <c r="AR906" s="126"/>
      <c r="AS906" s="127"/>
      <c r="AT906" s="126"/>
      <c r="AU906" s="126"/>
      <c r="AV906" s="127"/>
      <c r="AW906" s="126"/>
      <c r="AX906" s="126"/>
      <c r="AY906" s="127"/>
      <c r="AZ906" s="126"/>
      <c r="BA906" s="126"/>
      <c r="BB906" s="127"/>
      <c r="BC906" s="126"/>
      <c r="BD906" s="134"/>
      <c r="BE906" s="127"/>
      <c r="BF906" s="126"/>
      <c r="BG906" s="126"/>
      <c r="BH906" s="126"/>
      <c r="BI906" s="126"/>
      <c r="BJ906" s="126"/>
      <c r="BK906" s="126"/>
      <c r="BL906" s="126"/>
      <c r="BM906" s="126"/>
      <c r="BN906" s="126"/>
      <c r="BO906" s="126"/>
      <c r="BP906" s="126"/>
      <c r="BQ906" s="126"/>
      <c r="BR906" s="126"/>
      <c r="BS906" s="126"/>
      <c r="BT906" s="126"/>
      <c r="BU906" s="126"/>
      <c r="BV906" s="126"/>
      <c r="BW906" s="126"/>
      <c r="BX906" s="126"/>
    </row>
    <row r="907">
      <c r="A907" s="126"/>
      <c r="B907" s="126"/>
      <c r="C907" s="127"/>
      <c r="D907" s="126"/>
      <c r="E907" s="126"/>
      <c r="F907" s="127"/>
      <c r="G907" s="126"/>
      <c r="H907" s="127"/>
      <c r="I907" s="126"/>
      <c r="J907" s="126"/>
      <c r="K907" s="127"/>
      <c r="L907" s="126"/>
      <c r="M907" s="126"/>
      <c r="N907" s="127"/>
      <c r="O907" s="126"/>
      <c r="P907" s="126"/>
      <c r="Q907" s="127"/>
      <c r="R907" s="126"/>
      <c r="S907" s="126"/>
      <c r="T907" s="127"/>
      <c r="U907" s="126"/>
      <c r="V907" s="126"/>
      <c r="W907" s="127"/>
      <c r="X907" s="126"/>
      <c r="Y907" s="126"/>
      <c r="Z907" s="127"/>
      <c r="AA907" s="126"/>
      <c r="AB907" s="126"/>
      <c r="AC907" s="127"/>
      <c r="AD907" s="126"/>
      <c r="AE907" s="126"/>
      <c r="AF907" s="126"/>
      <c r="AG907" s="127"/>
      <c r="AH907" s="126"/>
      <c r="AI907" s="126"/>
      <c r="AJ907" s="127"/>
      <c r="AK907" s="126"/>
      <c r="AL907" s="126"/>
      <c r="AM907" s="127"/>
      <c r="AN907" s="126"/>
      <c r="AO907" s="126"/>
      <c r="AP907" s="127"/>
      <c r="AQ907" s="126"/>
      <c r="AR907" s="126"/>
      <c r="AS907" s="127"/>
      <c r="AT907" s="126"/>
      <c r="AU907" s="126"/>
      <c r="AV907" s="127"/>
      <c r="AW907" s="126"/>
      <c r="AX907" s="126"/>
      <c r="AY907" s="127"/>
      <c r="AZ907" s="126"/>
      <c r="BA907" s="126"/>
      <c r="BB907" s="127"/>
      <c r="BC907" s="126"/>
      <c r="BD907" s="134"/>
      <c r="BE907" s="127"/>
      <c r="BF907" s="126"/>
      <c r="BG907" s="126"/>
      <c r="BH907" s="126"/>
      <c r="BI907" s="126"/>
      <c r="BJ907" s="126"/>
      <c r="BK907" s="126"/>
      <c r="BL907" s="126"/>
      <c r="BM907" s="126"/>
      <c r="BN907" s="126"/>
      <c r="BO907" s="126"/>
      <c r="BP907" s="126"/>
      <c r="BQ907" s="126"/>
      <c r="BR907" s="126"/>
      <c r="BS907" s="126"/>
      <c r="BT907" s="126"/>
      <c r="BU907" s="126"/>
      <c r="BV907" s="126"/>
      <c r="BW907" s="126"/>
      <c r="BX907" s="126"/>
    </row>
    <row r="908">
      <c r="A908" s="126"/>
      <c r="B908" s="126"/>
      <c r="C908" s="127"/>
      <c r="D908" s="126"/>
      <c r="E908" s="126"/>
      <c r="F908" s="127"/>
      <c r="G908" s="126"/>
      <c r="H908" s="127"/>
      <c r="I908" s="126"/>
      <c r="J908" s="126"/>
      <c r="K908" s="127"/>
      <c r="L908" s="126"/>
      <c r="M908" s="126"/>
      <c r="N908" s="127"/>
      <c r="O908" s="126"/>
      <c r="P908" s="126"/>
      <c r="Q908" s="127"/>
      <c r="R908" s="126"/>
      <c r="S908" s="126"/>
      <c r="T908" s="127"/>
      <c r="U908" s="126"/>
      <c r="V908" s="126"/>
      <c r="W908" s="127"/>
      <c r="X908" s="126"/>
      <c r="Y908" s="126"/>
      <c r="Z908" s="127"/>
      <c r="AA908" s="126"/>
      <c r="AB908" s="126"/>
      <c r="AC908" s="127"/>
      <c r="AD908" s="126"/>
      <c r="AE908" s="126"/>
      <c r="AF908" s="126"/>
      <c r="AG908" s="127"/>
      <c r="AH908" s="126"/>
      <c r="AI908" s="126"/>
      <c r="AJ908" s="127"/>
      <c r="AK908" s="126"/>
      <c r="AL908" s="126"/>
      <c r="AM908" s="127"/>
      <c r="AN908" s="126"/>
      <c r="AO908" s="126"/>
      <c r="AP908" s="127"/>
      <c r="AQ908" s="126"/>
      <c r="AR908" s="126"/>
      <c r="AS908" s="127"/>
      <c r="AT908" s="126"/>
      <c r="AU908" s="126"/>
      <c r="AV908" s="127"/>
      <c r="AW908" s="126"/>
      <c r="AX908" s="126"/>
      <c r="AY908" s="127"/>
      <c r="AZ908" s="126"/>
      <c r="BA908" s="126"/>
      <c r="BB908" s="127"/>
      <c r="BC908" s="126"/>
      <c r="BD908" s="134"/>
      <c r="BE908" s="127"/>
      <c r="BF908" s="126"/>
      <c r="BG908" s="126"/>
      <c r="BH908" s="126"/>
      <c r="BI908" s="126"/>
      <c r="BJ908" s="126"/>
      <c r="BK908" s="126"/>
      <c r="BL908" s="126"/>
      <c r="BM908" s="126"/>
      <c r="BN908" s="126"/>
      <c r="BO908" s="126"/>
      <c r="BP908" s="126"/>
      <c r="BQ908" s="126"/>
      <c r="BR908" s="126"/>
      <c r="BS908" s="126"/>
      <c r="BT908" s="126"/>
      <c r="BU908" s="126"/>
      <c r="BV908" s="126"/>
      <c r="BW908" s="126"/>
      <c r="BX908" s="126"/>
    </row>
    <row r="909">
      <c r="A909" s="126"/>
      <c r="B909" s="126"/>
      <c r="C909" s="127"/>
      <c r="D909" s="126"/>
      <c r="E909" s="126"/>
      <c r="F909" s="127"/>
      <c r="G909" s="126"/>
      <c r="H909" s="127"/>
      <c r="I909" s="126"/>
      <c r="J909" s="126"/>
      <c r="K909" s="127"/>
      <c r="L909" s="126"/>
      <c r="M909" s="126"/>
      <c r="N909" s="127"/>
      <c r="O909" s="126"/>
      <c r="P909" s="126"/>
      <c r="Q909" s="127"/>
      <c r="R909" s="126"/>
      <c r="S909" s="126"/>
      <c r="T909" s="127"/>
      <c r="U909" s="126"/>
      <c r="V909" s="126"/>
      <c r="W909" s="127"/>
      <c r="X909" s="126"/>
      <c r="Y909" s="126"/>
      <c r="Z909" s="127"/>
      <c r="AA909" s="126"/>
      <c r="AB909" s="126"/>
      <c r="AC909" s="127"/>
      <c r="AD909" s="126"/>
      <c r="AE909" s="126"/>
      <c r="AF909" s="126"/>
      <c r="AG909" s="127"/>
      <c r="AH909" s="126"/>
      <c r="AI909" s="126"/>
      <c r="AJ909" s="127"/>
      <c r="AK909" s="126"/>
      <c r="AL909" s="126"/>
      <c r="AM909" s="127"/>
      <c r="AN909" s="126"/>
      <c r="AO909" s="126"/>
      <c r="AP909" s="127"/>
      <c r="AQ909" s="126"/>
      <c r="AR909" s="126"/>
      <c r="AS909" s="127"/>
      <c r="AT909" s="126"/>
      <c r="AU909" s="126"/>
      <c r="AV909" s="127"/>
      <c r="AW909" s="126"/>
      <c r="AX909" s="126"/>
      <c r="AY909" s="127"/>
      <c r="AZ909" s="126"/>
      <c r="BA909" s="126"/>
      <c r="BB909" s="127"/>
      <c r="BC909" s="126"/>
      <c r="BD909" s="134"/>
      <c r="BE909" s="127"/>
      <c r="BF909" s="126"/>
      <c r="BG909" s="126"/>
      <c r="BH909" s="126"/>
      <c r="BI909" s="126"/>
      <c r="BJ909" s="126"/>
      <c r="BK909" s="126"/>
      <c r="BL909" s="126"/>
      <c r="BM909" s="126"/>
      <c r="BN909" s="126"/>
      <c r="BO909" s="126"/>
      <c r="BP909" s="126"/>
      <c r="BQ909" s="126"/>
      <c r="BR909" s="126"/>
      <c r="BS909" s="126"/>
      <c r="BT909" s="126"/>
      <c r="BU909" s="126"/>
      <c r="BV909" s="126"/>
      <c r="BW909" s="126"/>
      <c r="BX909" s="126"/>
    </row>
    <row r="910">
      <c r="A910" s="126"/>
      <c r="B910" s="126"/>
      <c r="C910" s="127"/>
      <c r="D910" s="126"/>
      <c r="E910" s="126"/>
      <c r="F910" s="127"/>
      <c r="G910" s="126"/>
      <c r="H910" s="127"/>
      <c r="I910" s="126"/>
      <c r="J910" s="126"/>
      <c r="K910" s="127"/>
      <c r="L910" s="126"/>
      <c r="M910" s="126"/>
      <c r="N910" s="127"/>
      <c r="O910" s="126"/>
      <c r="P910" s="126"/>
      <c r="Q910" s="127"/>
      <c r="R910" s="126"/>
      <c r="S910" s="126"/>
      <c r="T910" s="127"/>
      <c r="U910" s="126"/>
      <c r="V910" s="126"/>
      <c r="W910" s="127"/>
      <c r="X910" s="126"/>
      <c r="Y910" s="126"/>
      <c r="Z910" s="127"/>
      <c r="AA910" s="126"/>
      <c r="AB910" s="126"/>
      <c r="AC910" s="127"/>
      <c r="AD910" s="126"/>
      <c r="AE910" s="126"/>
      <c r="AF910" s="126"/>
      <c r="AG910" s="127"/>
      <c r="AH910" s="126"/>
      <c r="AI910" s="126"/>
      <c r="AJ910" s="127"/>
      <c r="AK910" s="126"/>
      <c r="AL910" s="126"/>
      <c r="AM910" s="127"/>
      <c r="AN910" s="126"/>
      <c r="AO910" s="126"/>
      <c r="AP910" s="127"/>
      <c r="AQ910" s="126"/>
      <c r="AR910" s="126"/>
      <c r="AS910" s="127"/>
      <c r="AT910" s="126"/>
      <c r="AU910" s="126"/>
      <c r="AV910" s="127"/>
      <c r="AW910" s="126"/>
      <c r="AX910" s="126"/>
      <c r="AY910" s="127"/>
      <c r="AZ910" s="126"/>
      <c r="BA910" s="126"/>
      <c r="BB910" s="127"/>
      <c r="BC910" s="126"/>
      <c r="BD910" s="134"/>
      <c r="BE910" s="127"/>
      <c r="BF910" s="126"/>
      <c r="BG910" s="126"/>
      <c r="BH910" s="126"/>
      <c r="BI910" s="126"/>
      <c r="BJ910" s="126"/>
      <c r="BK910" s="126"/>
      <c r="BL910" s="126"/>
      <c r="BM910" s="126"/>
      <c r="BN910" s="126"/>
      <c r="BO910" s="126"/>
      <c r="BP910" s="126"/>
      <c r="BQ910" s="126"/>
      <c r="BR910" s="126"/>
      <c r="BS910" s="126"/>
      <c r="BT910" s="126"/>
      <c r="BU910" s="126"/>
      <c r="BV910" s="126"/>
      <c r="BW910" s="126"/>
      <c r="BX910" s="126"/>
    </row>
    <row r="911">
      <c r="A911" s="126"/>
      <c r="B911" s="126"/>
      <c r="C911" s="127"/>
      <c r="D911" s="126"/>
      <c r="E911" s="126"/>
      <c r="F911" s="127"/>
      <c r="G911" s="126"/>
      <c r="H911" s="127"/>
      <c r="I911" s="126"/>
      <c r="J911" s="126"/>
      <c r="K911" s="127"/>
      <c r="L911" s="126"/>
      <c r="M911" s="126"/>
      <c r="N911" s="127"/>
      <c r="O911" s="126"/>
      <c r="P911" s="126"/>
      <c r="Q911" s="127"/>
      <c r="R911" s="126"/>
      <c r="S911" s="126"/>
      <c r="T911" s="127"/>
      <c r="U911" s="126"/>
      <c r="V911" s="126"/>
      <c r="W911" s="127"/>
      <c r="X911" s="126"/>
      <c r="Y911" s="126"/>
      <c r="Z911" s="127"/>
      <c r="AA911" s="126"/>
      <c r="AB911" s="126"/>
      <c r="AC911" s="127"/>
      <c r="AD911" s="126"/>
      <c r="AE911" s="126"/>
      <c r="AF911" s="126"/>
      <c r="AG911" s="127"/>
      <c r="AH911" s="126"/>
      <c r="AI911" s="126"/>
      <c r="AJ911" s="127"/>
      <c r="AK911" s="126"/>
      <c r="AL911" s="126"/>
      <c r="AM911" s="127"/>
      <c r="AN911" s="126"/>
      <c r="AO911" s="126"/>
      <c r="AP911" s="127"/>
      <c r="AQ911" s="126"/>
      <c r="AR911" s="126"/>
      <c r="AS911" s="127"/>
      <c r="AT911" s="126"/>
      <c r="AU911" s="126"/>
      <c r="AV911" s="127"/>
      <c r="AW911" s="126"/>
      <c r="AX911" s="126"/>
      <c r="AY911" s="127"/>
      <c r="AZ911" s="126"/>
      <c r="BA911" s="126"/>
      <c r="BB911" s="127"/>
      <c r="BC911" s="126"/>
      <c r="BD911" s="134"/>
      <c r="BE911" s="127"/>
      <c r="BF911" s="126"/>
      <c r="BG911" s="126"/>
      <c r="BH911" s="126"/>
      <c r="BI911" s="126"/>
      <c r="BJ911" s="126"/>
      <c r="BK911" s="126"/>
      <c r="BL911" s="126"/>
      <c r="BM911" s="126"/>
      <c r="BN911" s="126"/>
      <c r="BO911" s="126"/>
      <c r="BP911" s="126"/>
      <c r="BQ911" s="126"/>
      <c r="BR911" s="126"/>
      <c r="BS911" s="126"/>
      <c r="BT911" s="126"/>
      <c r="BU911" s="126"/>
      <c r="BV911" s="126"/>
      <c r="BW911" s="126"/>
      <c r="BX911" s="126"/>
    </row>
    <row r="912">
      <c r="A912" s="126"/>
      <c r="B912" s="126"/>
      <c r="C912" s="127"/>
      <c r="D912" s="126"/>
      <c r="E912" s="126"/>
      <c r="F912" s="127"/>
      <c r="G912" s="126"/>
      <c r="H912" s="127"/>
      <c r="I912" s="126"/>
      <c r="J912" s="126"/>
      <c r="K912" s="127"/>
      <c r="L912" s="126"/>
      <c r="M912" s="126"/>
      <c r="N912" s="127"/>
      <c r="O912" s="126"/>
      <c r="P912" s="126"/>
      <c r="Q912" s="127"/>
      <c r="R912" s="126"/>
      <c r="S912" s="126"/>
      <c r="T912" s="127"/>
      <c r="U912" s="126"/>
      <c r="V912" s="126"/>
      <c r="W912" s="127"/>
      <c r="X912" s="126"/>
      <c r="Y912" s="126"/>
      <c r="Z912" s="127"/>
      <c r="AA912" s="126"/>
      <c r="AB912" s="126"/>
      <c r="AC912" s="127"/>
      <c r="AD912" s="126"/>
      <c r="AE912" s="126"/>
      <c r="AF912" s="126"/>
      <c r="AG912" s="127"/>
      <c r="AH912" s="126"/>
      <c r="AI912" s="126"/>
      <c r="AJ912" s="127"/>
      <c r="AK912" s="126"/>
      <c r="AL912" s="126"/>
      <c r="AM912" s="127"/>
      <c r="AN912" s="126"/>
      <c r="AO912" s="126"/>
      <c r="AP912" s="127"/>
      <c r="AQ912" s="126"/>
      <c r="AR912" s="126"/>
      <c r="AS912" s="127"/>
      <c r="AT912" s="126"/>
      <c r="AU912" s="126"/>
      <c r="AV912" s="127"/>
      <c r="AW912" s="126"/>
      <c r="AX912" s="126"/>
      <c r="AY912" s="127"/>
      <c r="AZ912" s="126"/>
      <c r="BA912" s="126"/>
      <c r="BB912" s="127"/>
      <c r="BC912" s="126"/>
      <c r="BD912" s="134"/>
      <c r="BE912" s="127"/>
      <c r="BF912" s="126"/>
      <c r="BG912" s="126"/>
      <c r="BH912" s="126"/>
      <c r="BI912" s="126"/>
      <c r="BJ912" s="126"/>
      <c r="BK912" s="126"/>
      <c r="BL912" s="126"/>
      <c r="BM912" s="126"/>
      <c r="BN912" s="126"/>
      <c r="BO912" s="126"/>
      <c r="BP912" s="126"/>
      <c r="BQ912" s="126"/>
      <c r="BR912" s="126"/>
      <c r="BS912" s="126"/>
      <c r="BT912" s="126"/>
      <c r="BU912" s="126"/>
      <c r="BV912" s="126"/>
      <c r="BW912" s="126"/>
      <c r="BX912" s="126"/>
    </row>
    <row r="913">
      <c r="A913" s="126"/>
      <c r="B913" s="126"/>
      <c r="C913" s="127"/>
      <c r="D913" s="126"/>
      <c r="E913" s="126"/>
      <c r="F913" s="127"/>
      <c r="G913" s="126"/>
      <c r="H913" s="127"/>
      <c r="I913" s="126"/>
      <c r="J913" s="126"/>
      <c r="K913" s="127"/>
      <c r="L913" s="126"/>
      <c r="M913" s="126"/>
      <c r="N913" s="127"/>
      <c r="O913" s="126"/>
      <c r="P913" s="126"/>
      <c r="Q913" s="127"/>
      <c r="R913" s="126"/>
      <c r="S913" s="126"/>
      <c r="T913" s="127"/>
      <c r="U913" s="126"/>
      <c r="V913" s="126"/>
      <c r="W913" s="127"/>
      <c r="X913" s="126"/>
      <c r="Y913" s="126"/>
      <c r="Z913" s="127"/>
      <c r="AA913" s="126"/>
      <c r="AB913" s="126"/>
      <c r="AC913" s="127"/>
      <c r="AD913" s="126"/>
      <c r="AE913" s="126"/>
      <c r="AF913" s="126"/>
      <c r="AG913" s="127"/>
      <c r="AH913" s="126"/>
      <c r="AI913" s="126"/>
      <c r="AJ913" s="127"/>
      <c r="AK913" s="126"/>
      <c r="AL913" s="126"/>
      <c r="AM913" s="127"/>
      <c r="AN913" s="126"/>
      <c r="AO913" s="126"/>
      <c r="AP913" s="127"/>
      <c r="AQ913" s="126"/>
      <c r="AR913" s="126"/>
      <c r="AS913" s="127"/>
      <c r="AT913" s="126"/>
      <c r="AU913" s="126"/>
      <c r="AV913" s="127"/>
      <c r="AW913" s="126"/>
      <c r="AX913" s="126"/>
      <c r="AY913" s="127"/>
      <c r="AZ913" s="126"/>
      <c r="BA913" s="126"/>
      <c r="BB913" s="127"/>
      <c r="BC913" s="126"/>
      <c r="BD913" s="134"/>
      <c r="BE913" s="127"/>
      <c r="BF913" s="126"/>
      <c r="BG913" s="126"/>
      <c r="BH913" s="126"/>
      <c r="BI913" s="126"/>
      <c r="BJ913" s="126"/>
      <c r="BK913" s="126"/>
      <c r="BL913" s="126"/>
      <c r="BM913" s="126"/>
      <c r="BN913" s="126"/>
      <c r="BO913" s="126"/>
      <c r="BP913" s="126"/>
      <c r="BQ913" s="126"/>
      <c r="BR913" s="126"/>
      <c r="BS913" s="126"/>
      <c r="BT913" s="126"/>
      <c r="BU913" s="126"/>
      <c r="BV913" s="126"/>
      <c r="BW913" s="126"/>
      <c r="BX913" s="126"/>
    </row>
    <row r="914">
      <c r="A914" s="126"/>
      <c r="B914" s="126"/>
      <c r="C914" s="127"/>
      <c r="D914" s="126"/>
      <c r="E914" s="126"/>
      <c r="F914" s="127"/>
      <c r="G914" s="126"/>
      <c r="H914" s="127"/>
      <c r="I914" s="126"/>
      <c r="J914" s="126"/>
      <c r="K914" s="127"/>
      <c r="L914" s="126"/>
      <c r="M914" s="126"/>
      <c r="N914" s="127"/>
      <c r="O914" s="126"/>
      <c r="P914" s="126"/>
      <c r="Q914" s="127"/>
      <c r="R914" s="126"/>
      <c r="S914" s="126"/>
      <c r="T914" s="127"/>
      <c r="U914" s="126"/>
      <c r="V914" s="126"/>
      <c r="W914" s="127"/>
      <c r="X914" s="126"/>
      <c r="Y914" s="126"/>
      <c r="Z914" s="127"/>
      <c r="AA914" s="126"/>
      <c r="AB914" s="126"/>
      <c r="AC914" s="127"/>
      <c r="AD914" s="126"/>
      <c r="AE914" s="126"/>
      <c r="AF914" s="126"/>
      <c r="AG914" s="127"/>
      <c r="AH914" s="126"/>
      <c r="AI914" s="126"/>
      <c r="AJ914" s="127"/>
      <c r="AK914" s="126"/>
      <c r="AL914" s="126"/>
      <c r="AM914" s="127"/>
      <c r="AN914" s="126"/>
      <c r="AO914" s="126"/>
      <c r="AP914" s="127"/>
      <c r="AQ914" s="126"/>
      <c r="AR914" s="126"/>
      <c r="AS914" s="127"/>
      <c r="AT914" s="126"/>
      <c r="AU914" s="126"/>
      <c r="AV914" s="127"/>
      <c r="AW914" s="126"/>
      <c r="AX914" s="126"/>
      <c r="AY914" s="127"/>
      <c r="AZ914" s="126"/>
      <c r="BA914" s="126"/>
      <c r="BB914" s="127"/>
      <c r="BC914" s="126"/>
      <c r="BD914" s="134"/>
      <c r="BE914" s="127"/>
      <c r="BF914" s="126"/>
      <c r="BG914" s="126"/>
      <c r="BH914" s="126"/>
      <c r="BI914" s="126"/>
      <c r="BJ914" s="126"/>
      <c r="BK914" s="126"/>
      <c r="BL914" s="126"/>
      <c r="BM914" s="126"/>
      <c r="BN914" s="126"/>
      <c r="BO914" s="126"/>
      <c r="BP914" s="126"/>
      <c r="BQ914" s="126"/>
      <c r="BR914" s="126"/>
      <c r="BS914" s="126"/>
      <c r="BT914" s="126"/>
      <c r="BU914" s="126"/>
      <c r="BV914" s="126"/>
      <c r="BW914" s="126"/>
      <c r="BX914" s="126"/>
    </row>
    <row r="915">
      <c r="A915" s="126"/>
      <c r="B915" s="126"/>
      <c r="C915" s="127"/>
      <c r="D915" s="126"/>
      <c r="E915" s="126"/>
      <c r="F915" s="127"/>
      <c r="G915" s="126"/>
      <c r="H915" s="127"/>
      <c r="I915" s="126"/>
      <c r="J915" s="126"/>
      <c r="K915" s="127"/>
      <c r="L915" s="126"/>
      <c r="M915" s="126"/>
      <c r="N915" s="127"/>
      <c r="O915" s="126"/>
      <c r="P915" s="126"/>
      <c r="Q915" s="127"/>
      <c r="R915" s="126"/>
      <c r="S915" s="126"/>
      <c r="T915" s="127"/>
      <c r="U915" s="126"/>
      <c r="V915" s="126"/>
      <c r="W915" s="127"/>
      <c r="X915" s="126"/>
      <c r="Y915" s="126"/>
      <c r="Z915" s="127"/>
      <c r="AA915" s="126"/>
      <c r="AB915" s="126"/>
      <c r="AC915" s="127"/>
      <c r="AD915" s="126"/>
      <c r="AE915" s="126"/>
      <c r="AF915" s="126"/>
      <c r="AG915" s="127"/>
      <c r="AH915" s="126"/>
      <c r="AI915" s="126"/>
      <c r="AJ915" s="127"/>
      <c r="AK915" s="126"/>
      <c r="AL915" s="126"/>
      <c r="AM915" s="127"/>
      <c r="AN915" s="126"/>
      <c r="AO915" s="126"/>
      <c r="AP915" s="127"/>
      <c r="AQ915" s="126"/>
      <c r="AR915" s="126"/>
      <c r="AS915" s="127"/>
      <c r="AT915" s="126"/>
      <c r="AU915" s="126"/>
      <c r="AV915" s="127"/>
      <c r="AW915" s="126"/>
      <c r="AX915" s="126"/>
      <c r="AY915" s="127"/>
      <c r="AZ915" s="126"/>
      <c r="BA915" s="126"/>
      <c r="BB915" s="127"/>
      <c r="BC915" s="126"/>
      <c r="BD915" s="134"/>
      <c r="BE915" s="127"/>
      <c r="BF915" s="126"/>
      <c r="BG915" s="126"/>
      <c r="BH915" s="126"/>
      <c r="BI915" s="126"/>
      <c r="BJ915" s="126"/>
      <c r="BK915" s="126"/>
      <c r="BL915" s="126"/>
      <c r="BM915" s="126"/>
      <c r="BN915" s="126"/>
      <c r="BO915" s="126"/>
      <c r="BP915" s="126"/>
      <c r="BQ915" s="126"/>
      <c r="BR915" s="126"/>
      <c r="BS915" s="126"/>
      <c r="BT915" s="126"/>
      <c r="BU915" s="126"/>
      <c r="BV915" s="126"/>
      <c r="BW915" s="126"/>
      <c r="BX915" s="126"/>
    </row>
    <row r="916">
      <c r="A916" s="126"/>
      <c r="B916" s="126"/>
      <c r="C916" s="127"/>
      <c r="D916" s="126"/>
      <c r="E916" s="126"/>
      <c r="F916" s="127"/>
      <c r="G916" s="126"/>
      <c r="H916" s="127"/>
      <c r="I916" s="126"/>
      <c r="J916" s="126"/>
      <c r="K916" s="127"/>
      <c r="L916" s="126"/>
      <c r="M916" s="126"/>
      <c r="N916" s="127"/>
      <c r="O916" s="126"/>
      <c r="P916" s="126"/>
      <c r="Q916" s="127"/>
      <c r="R916" s="126"/>
      <c r="S916" s="126"/>
      <c r="T916" s="127"/>
      <c r="U916" s="126"/>
      <c r="V916" s="126"/>
      <c r="W916" s="127"/>
      <c r="X916" s="126"/>
      <c r="Y916" s="126"/>
      <c r="Z916" s="127"/>
      <c r="AA916" s="126"/>
      <c r="AB916" s="126"/>
      <c r="AC916" s="127"/>
      <c r="AD916" s="126"/>
      <c r="AE916" s="126"/>
      <c r="AF916" s="126"/>
      <c r="AG916" s="127"/>
      <c r="AH916" s="126"/>
      <c r="AI916" s="126"/>
      <c r="AJ916" s="127"/>
      <c r="AK916" s="126"/>
      <c r="AL916" s="126"/>
      <c r="AM916" s="127"/>
      <c r="AN916" s="126"/>
      <c r="AO916" s="126"/>
      <c r="AP916" s="127"/>
      <c r="AQ916" s="126"/>
      <c r="AR916" s="126"/>
      <c r="AS916" s="127"/>
      <c r="AT916" s="126"/>
      <c r="AU916" s="126"/>
      <c r="AV916" s="127"/>
      <c r="AW916" s="126"/>
      <c r="AX916" s="126"/>
      <c r="AY916" s="127"/>
      <c r="AZ916" s="126"/>
      <c r="BA916" s="126"/>
      <c r="BB916" s="127"/>
      <c r="BC916" s="126"/>
      <c r="BD916" s="134"/>
      <c r="BE916" s="127"/>
      <c r="BF916" s="126"/>
      <c r="BG916" s="126"/>
      <c r="BH916" s="126"/>
      <c r="BI916" s="126"/>
      <c r="BJ916" s="126"/>
      <c r="BK916" s="126"/>
      <c r="BL916" s="126"/>
      <c r="BM916" s="126"/>
      <c r="BN916" s="126"/>
      <c r="BO916" s="126"/>
      <c r="BP916" s="126"/>
      <c r="BQ916" s="126"/>
      <c r="BR916" s="126"/>
      <c r="BS916" s="126"/>
      <c r="BT916" s="126"/>
      <c r="BU916" s="126"/>
      <c r="BV916" s="126"/>
      <c r="BW916" s="126"/>
      <c r="BX916" s="126"/>
    </row>
    <row r="917">
      <c r="A917" s="126"/>
      <c r="B917" s="126"/>
      <c r="C917" s="127"/>
      <c r="D917" s="126"/>
      <c r="E917" s="126"/>
      <c r="F917" s="127"/>
      <c r="G917" s="126"/>
      <c r="H917" s="127"/>
      <c r="I917" s="126"/>
      <c r="J917" s="126"/>
      <c r="K917" s="127"/>
      <c r="L917" s="126"/>
      <c r="M917" s="126"/>
      <c r="N917" s="127"/>
      <c r="O917" s="126"/>
      <c r="P917" s="126"/>
      <c r="Q917" s="127"/>
      <c r="R917" s="126"/>
      <c r="S917" s="126"/>
      <c r="T917" s="127"/>
      <c r="U917" s="126"/>
      <c r="V917" s="126"/>
      <c r="W917" s="127"/>
      <c r="X917" s="126"/>
      <c r="Y917" s="126"/>
      <c r="Z917" s="127"/>
      <c r="AA917" s="126"/>
      <c r="AB917" s="126"/>
      <c r="AC917" s="127"/>
      <c r="AD917" s="126"/>
      <c r="AE917" s="126"/>
      <c r="AF917" s="126"/>
      <c r="AG917" s="127"/>
      <c r="AH917" s="126"/>
      <c r="AI917" s="126"/>
      <c r="AJ917" s="127"/>
      <c r="AK917" s="126"/>
      <c r="AL917" s="126"/>
      <c r="AM917" s="127"/>
      <c r="AN917" s="126"/>
      <c r="AO917" s="126"/>
      <c r="AP917" s="127"/>
      <c r="AQ917" s="126"/>
      <c r="AR917" s="126"/>
      <c r="AS917" s="127"/>
      <c r="AT917" s="126"/>
      <c r="AU917" s="126"/>
      <c r="AV917" s="127"/>
      <c r="AW917" s="126"/>
      <c r="AX917" s="126"/>
      <c r="AY917" s="127"/>
      <c r="AZ917" s="126"/>
      <c r="BA917" s="126"/>
      <c r="BB917" s="127"/>
      <c r="BC917" s="126"/>
      <c r="BD917" s="134"/>
      <c r="BE917" s="127"/>
      <c r="BF917" s="126"/>
      <c r="BG917" s="126"/>
      <c r="BH917" s="126"/>
      <c r="BI917" s="126"/>
      <c r="BJ917" s="126"/>
      <c r="BK917" s="126"/>
      <c r="BL917" s="126"/>
      <c r="BM917" s="126"/>
      <c r="BN917" s="126"/>
      <c r="BO917" s="126"/>
      <c r="BP917" s="126"/>
      <c r="BQ917" s="126"/>
      <c r="BR917" s="126"/>
      <c r="BS917" s="126"/>
      <c r="BT917" s="126"/>
      <c r="BU917" s="126"/>
      <c r="BV917" s="126"/>
      <c r="BW917" s="126"/>
      <c r="BX917" s="126"/>
    </row>
    <row r="918">
      <c r="A918" s="126"/>
      <c r="B918" s="126"/>
      <c r="C918" s="127"/>
      <c r="D918" s="126"/>
      <c r="E918" s="126"/>
      <c r="F918" s="127"/>
      <c r="G918" s="126"/>
      <c r="H918" s="127"/>
      <c r="I918" s="126"/>
      <c r="J918" s="126"/>
      <c r="K918" s="127"/>
      <c r="L918" s="126"/>
      <c r="M918" s="126"/>
      <c r="N918" s="127"/>
      <c r="O918" s="126"/>
      <c r="P918" s="126"/>
      <c r="Q918" s="127"/>
      <c r="R918" s="126"/>
      <c r="S918" s="126"/>
      <c r="T918" s="127"/>
      <c r="U918" s="126"/>
      <c r="V918" s="126"/>
      <c r="W918" s="127"/>
      <c r="X918" s="126"/>
      <c r="Y918" s="126"/>
      <c r="Z918" s="127"/>
      <c r="AA918" s="126"/>
      <c r="AB918" s="126"/>
      <c r="AC918" s="127"/>
      <c r="AD918" s="126"/>
      <c r="AE918" s="126"/>
      <c r="AF918" s="126"/>
      <c r="AG918" s="127"/>
      <c r="AH918" s="126"/>
      <c r="AI918" s="126"/>
      <c r="AJ918" s="127"/>
      <c r="AK918" s="126"/>
      <c r="AL918" s="126"/>
      <c r="AM918" s="127"/>
      <c r="AN918" s="126"/>
      <c r="AO918" s="126"/>
      <c r="AP918" s="127"/>
      <c r="AQ918" s="126"/>
      <c r="AR918" s="126"/>
      <c r="AS918" s="127"/>
      <c r="AT918" s="126"/>
      <c r="AU918" s="126"/>
      <c r="AV918" s="127"/>
      <c r="AW918" s="126"/>
      <c r="AX918" s="126"/>
      <c r="AY918" s="127"/>
      <c r="AZ918" s="126"/>
      <c r="BA918" s="126"/>
      <c r="BB918" s="127"/>
      <c r="BC918" s="126"/>
      <c r="BD918" s="134"/>
      <c r="BE918" s="127"/>
      <c r="BF918" s="126"/>
      <c r="BG918" s="126"/>
      <c r="BH918" s="126"/>
      <c r="BI918" s="126"/>
      <c r="BJ918" s="126"/>
      <c r="BK918" s="126"/>
      <c r="BL918" s="126"/>
      <c r="BM918" s="126"/>
      <c r="BN918" s="126"/>
      <c r="BO918" s="126"/>
      <c r="BP918" s="126"/>
      <c r="BQ918" s="126"/>
      <c r="BR918" s="126"/>
      <c r="BS918" s="126"/>
      <c r="BT918" s="126"/>
      <c r="BU918" s="126"/>
      <c r="BV918" s="126"/>
      <c r="BW918" s="126"/>
      <c r="BX918" s="126"/>
    </row>
    <row r="919">
      <c r="A919" s="126"/>
      <c r="B919" s="126"/>
      <c r="C919" s="127"/>
      <c r="D919" s="126"/>
      <c r="E919" s="126"/>
      <c r="F919" s="127"/>
      <c r="G919" s="126"/>
      <c r="H919" s="127"/>
      <c r="I919" s="126"/>
      <c r="J919" s="126"/>
      <c r="K919" s="127"/>
      <c r="L919" s="126"/>
      <c r="M919" s="126"/>
      <c r="N919" s="127"/>
      <c r="O919" s="126"/>
      <c r="P919" s="126"/>
      <c r="Q919" s="127"/>
      <c r="R919" s="126"/>
      <c r="S919" s="126"/>
      <c r="T919" s="127"/>
      <c r="U919" s="126"/>
      <c r="V919" s="126"/>
      <c r="W919" s="127"/>
      <c r="X919" s="126"/>
      <c r="Y919" s="126"/>
      <c r="Z919" s="127"/>
      <c r="AA919" s="126"/>
      <c r="AB919" s="126"/>
      <c r="AC919" s="127"/>
      <c r="AD919" s="126"/>
      <c r="AE919" s="126"/>
      <c r="AF919" s="126"/>
      <c r="AG919" s="127"/>
      <c r="AH919" s="126"/>
      <c r="AI919" s="126"/>
      <c r="AJ919" s="127"/>
      <c r="AK919" s="126"/>
      <c r="AL919" s="126"/>
      <c r="AM919" s="127"/>
      <c r="AN919" s="126"/>
      <c r="AO919" s="126"/>
      <c r="AP919" s="127"/>
      <c r="AQ919" s="126"/>
      <c r="AR919" s="126"/>
      <c r="AS919" s="127"/>
      <c r="AT919" s="126"/>
      <c r="AU919" s="126"/>
      <c r="AV919" s="127"/>
      <c r="AW919" s="126"/>
      <c r="AX919" s="126"/>
      <c r="AY919" s="127"/>
      <c r="AZ919" s="126"/>
      <c r="BA919" s="126"/>
      <c r="BB919" s="127"/>
      <c r="BC919" s="126"/>
      <c r="BD919" s="134"/>
      <c r="BE919" s="127"/>
      <c r="BF919" s="126"/>
      <c r="BG919" s="126"/>
      <c r="BH919" s="126"/>
      <c r="BI919" s="126"/>
      <c r="BJ919" s="126"/>
      <c r="BK919" s="126"/>
      <c r="BL919" s="126"/>
      <c r="BM919" s="126"/>
      <c r="BN919" s="126"/>
      <c r="BO919" s="126"/>
      <c r="BP919" s="126"/>
      <c r="BQ919" s="126"/>
      <c r="BR919" s="126"/>
      <c r="BS919" s="126"/>
      <c r="BT919" s="126"/>
      <c r="BU919" s="126"/>
      <c r="BV919" s="126"/>
      <c r="BW919" s="126"/>
      <c r="BX919" s="126"/>
    </row>
    <row r="920">
      <c r="A920" s="126"/>
      <c r="B920" s="126"/>
      <c r="C920" s="127"/>
      <c r="D920" s="126"/>
      <c r="E920" s="126"/>
      <c r="F920" s="127"/>
      <c r="G920" s="126"/>
      <c r="H920" s="127"/>
      <c r="I920" s="126"/>
      <c r="J920" s="126"/>
      <c r="K920" s="127"/>
      <c r="L920" s="126"/>
      <c r="M920" s="126"/>
      <c r="N920" s="127"/>
      <c r="O920" s="126"/>
      <c r="P920" s="126"/>
      <c r="Q920" s="127"/>
      <c r="R920" s="126"/>
      <c r="S920" s="126"/>
      <c r="T920" s="127"/>
      <c r="U920" s="126"/>
      <c r="V920" s="126"/>
      <c r="W920" s="127"/>
      <c r="X920" s="126"/>
      <c r="Y920" s="126"/>
      <c r="Z920" s="127"/>
      <c r="AA920" s="126"/>
      <c r="AB920" s="126"/>
      <c r="AC920" s="127"/>
      <c r="AD920" s="126"/>
      <c r="AE920" s="126"/>
      <c r="AF920" s="126"/>
      <c r="AG920" s="127"/>
      <c r="AH920" s="126"/>
      <c r="AI920" s="126"/>
      <c r="AJ920" s="127"/>
      <c r="AK920" s="126"/>
      <c r="AL920" s="126"/>
      <c r="AM920" s="127"/>
      <c r="AN920" s="126"/>
      <c r="AO920" s="126"/>
      <c r="AP920" s="127"/>
      <c r="AQ920" s="126"/>
      <c r="AR920" s="126"/>
      <c r="AS920" s="127"/>
      <c r="AT920" s="126"/>
      <c r="AU920" s="126"/>
      <c r="AV920" s="127"/>
      <c r="AW920" s="126"/>
      <c r="AX920" s="126"/>
      <c r="AY920" s="127"/>
      <c r="AZ920" s="126"/>
      <c r="BA920" s="126"/>
      <c r="BB920" s="127"/>
      <c r="BC920" s="126"/>
      <c r="BD920" s="134"/>
      <c r="BE920" s="127"/>
      <c r="BF920" s="126"/>
      <c r="BG920" s="126"/>
      <c r="BH920" s="126"/>
      <c r="BI920" s="126"/>
      <c r="BJ920" s="126"/>
      <c r="BK920" s="126"/>
      <c r="BL920" s="126"/>
      <c r="BM920" s="126"/>
      <c r="BN920" s="126"/>
      <c r="BO920" s="126"/>
      <c r="BP920" s="126"/>
      <c r="BQ920" s="126"/>
      <c r="BR920" s="126"/>
      <c r="BS920" s="126"/>
      <c r="BT920" s="126"/>
      <c r="BU920" s="126"/>
      <c r="BV920" s="126"/>
      <c r="BW920" s="126"/>
      <c r="BX920" s="126"/>
    </row>
    <row r="921">
      <c r="A921" s="126"/>
      <c r="B921" s="126"/>
      <c r="C921" s="127"/>
      <c r="D921" s="126"/>
      <c r="E921" s="126"/>
      <c r="F921" s="127"/>
      <c r="G921" s="126"/>
      <c r="H921" s="127"/>
      <c r="I921" s="126"/>
      <c r="J921" s="126"/>
      <c r="K921" s="127"/>
      <c r="L921" s="126"/>
      <c r="M921" s="126"/>
      <c r="N921" s="127"/>
      <c r="O921" s="126"/>
      <c r="P921" s="126"/>
      <c r="Q921" s="127"/>
      <c r="R921" s="126"/>
      <c r="S921" s="126"/>
      <c r="T921" s="127"/>
      <c r="U921" s="126"/>
      <c r="V921" s="126"/>
      <c r="W921" s="127"/>
      <c r="X921" s="126"/>
      <c r="Y921" s="126"/>
      <c r="Z921" s="127"/>
      <c r="AA921" s="126"/>
      <c r="AB921" s="126"/>
      <c r="AC921" s="127"/>
      <c r="AD921" s="126"/>
      <c r="AE921" s="126"/>
      <c r="AF921" s="126"/>
      <c r="AG921" s="127"/>
      <c r="AH921" s="126"/>
      <c r="AI921" s="126"/>
      <c r="AJ921" s="127"/>
      <c r="AK921" s="126"/>
      <c r="AL921" s="126"/>
      <c r="AM921" s="127"/>
      <c r="AN921" s="126"/>
      <c r="AO921" s="126"/>
      <c r="AP921" s="127"/>
      <c r="AQ921" s="126"/>
      <c r="AR921" s="126"/>
      <c r="AS921" s="127"/>
      <c r="AT921" s="126"/>
      <c r="AU921" s="126"/>
      <c r="AV921" s="127"/>
      <c r="AW921" s="126"/>
      <c r="AX921" s="126"/>
      <c r="AY921" s="127"/>
      <c r="AZ921" s="126"/>
      <c r="BA921" s="126"/>
      <c r="BB921" s="127"/>
      <c r="BC921" s="126"/>
      <c r="BD921" s="134"/>
      <c r="BE921" s="127"/>
      <c r="BF921" s="126"/>
      <c r="BG921" s="126"/>
      <c r="BH921" s="126"/>
      <c r="BI921" s="126"/>
      <c r="BJ921" s="126"/>
      <c r="BK921" s="126"/>
      <c r="BL921" s="126"/>
      <c r="BM921" s="126"/>
      <c r="BN921" s="126"/>
      <c r="BO921" s="126"/>
      <c r="BP921" s="126"/>
      <c r="BQ921" s="126"/>
      <c r="BR921" s="126"/>
      <c r="BS921" s="126"/>
      <c r="BT921" s="126"/>
      <c r="BU921" s="126"/>
      <c r="BV921" s="126"/>
      <c r="BW921" s="126"/>
      <c r="BX921" s="126"/>
    </row>
    <row r="922">
      <c r="A922" s="126"/>
      <c r="B922" s="126"/>
      <c r="C922" s="127"/>
      <c r="D922" s="126"/>
      <c r="E922" s="126"/>
      <c r="F922" s="127"/>
      <c r="G922" s="126"/>
      <c r="H922" s="127"/>
      <c r="I922" s="126"/>
      <c r="J922" s="126"/>
      <c r="K922" s="127"/>
      <c r="L922" s="126"/>
      <c r="M922" s="126"/>
      <c r="N922" s="127"/>
      <c r="O922" s="126"/>
      <c r="P922" s="126"/>
      <c r="Q922" s="127"/>
      <c r="R922" s="126"/>
      <c r="S922" s="126"/>
      <c r="T922" s="127"/>
      <c r="U922" s="126"/>
      <c r="V922" s="126"/>
      <c r="W922" s="127"/>
      <c r="X922" s="126"/>
      <c r="Y922" s="126"/>
      <c r="Z922" s="127"/>
      <c r="AA922" s="126"/>
      <c r="AB922" s="126"/>
      <c r="AC922" s="127"/>
      <c r="AD922" s="126"/>
      <c r="AE922" s="126"/>
      <c r="AF922" s="126"/>
      <c r="AG922" s="127"/>
      <c r="AH922" s="126"/>
      <c r="AI922" s="126"/>
      <c r="AJ922" s="127"/>
      <c r="AK922" s="126"/>
      <c r="AL922" s="126"/>
      <c r="AM922" s="127"/>
      <c r="AN922" s="126"/>
      <c r="AO922" s="126"/>
      <c r="AP922" s="127"/>
      <c r="AQ922" s="126"/>
      <c r="AR922" s="126"/>
      <c r="AS922" s="127"/>
      <c r="AT922" s="126"/>
      <c r="AU922" s="126"/>
      <c r="AV922" s="127"/>
      <c r="AW922" s="126"/>
      <c r="AX922" s="126"/>
      <c r="AY922" s="127"/>
      <c r="AZ922" s="126"/>
      <c r="BA922" s="126"/>
      <c r="BB922" s="127"/>
      <c r="BC922" s="126"/>
      <c r="BD922" s="134"/>
      <c r="BE922" s="127"/>
      <c r="BF922" s="126"/>
      <c r="BG922" s="126"/>
      <c r="BH922" s="126"/>
      <c r="BI922" s="126"/>
      <c r="BJ922" s="126"/>
      <c r="BK922" s="126"/>
      <c r="BL922" s="126"/>
      <c r="BM922" s="126"/>
      <c r="BN922" s="126"/>
      <c r="BO922" s="126"/>
      <c r="BP922" s="126"/>
      <c r="BQ922" s="126"/>
      <c r="BR922" s="126"/>
      <c r="BS922" s="126"/>
      <c r="BT922" s="126"/>
      <c r="BU922" s="126"/>
      <c r="BV922" s="126"/>
      <c r="BW922" s="126"/>
      <c r="BX922" s="126"/>
    </row>
    <row r="923">
      <c r="A923" s="126"/>
      <c r="B923" s="126"/>
      <c r="C923" s="127"/>
      <c r="D923" s="126"/>
      <c r="E923" s="126"/>
      <c r="F923" s="127"/>
      <c r="G923" s="126"/>
      <c r="H923" s="127"/>
      <c r="I923" s="126"/>
      <c r="J923" s="126"/>
      <c r="K923" s="127"/>
      <c r="L923" s="126"/>
      <c r="M923" s="126"/>
      <c r="N923" s="127"/>
      <c r="O923" s="126"/>
      <c r="P923" s="126"/>
      <c r="Q923" s="127"/>
      <c r="R923" s="126"/>
      <c r="S923" s="126"/>
      <c r="T923" s="127"/>
      <c r="U923" s="126"/>
      <c r="V923" s="126"/>
      <c r="W923" s="127"/>
      <c r="X923" s="126"/>
      <c r="Y923" s="126"/>
      <c r="Z923" s="127"/>
      <c r="AA923" s="126"/>
      <c r="AB923" s="126"/>
      <c r="AC923" s="127"/>
      <c r="AD923" s="126"/>
      <c r="AE923" s="126"/>
      <c r="AF923" s="126"/>
      <c r="AG923" s="127"/>
      <c r="AH923" s="126"/>
      <c r="AI923" s="126"/>
      <c r="AJ923" s="127"/>
      <c r="AK923" s="126"/>
      <c r="AL923" s="126"/>
      <c r="AM923" s="127"/>
      <c r="AN923" s="126"/>
      <c r="AO923" s="126"/>
      <c r="AP923" s="127"/>
      <c r="AQ923" s="126"/>
      <c r="AR923" s="126"/>
      <c r="AS923" s="127"/>
      <c r="AT923" s="126"/>
      <c r="AU923" s="126"/>
      <c r="AV923" s="127"/>
      <c r="AW923" s="126"/>
      <c r="AX923" s="126"/>
      <c r="AY923" s="127"/>
      <c r="AZ923" s="126"/>
      <c r="BA923" s="126"/>
      <c r="BB923" s="127"/>
      <c r="BC923" s="126"/>
      <c r="BD923" s="134"/>
      <c r="BE923" s="127"/>
      <c r="BF923" s="126"/>
      <c r="BG923" s="126"/>
      <c r="BH923" s="126"/>
      <c r="BI923" s="126"/>
      <c r="BJ923" s="126"/>
      <c r="BK923" s="126"/>
      <c r="BL923" s="126"/>
      <c r="BM923" s="126"/>
      <c r="BN923" s="126"/>
      <c r="BO923" s="126"/>
      <c r="BP923" s="126"/>
      <c r="BQ923" s="126"/>
      <c r="BR923" s="126"/>
      <c r="BS923" s="126"/>
      <c r="BT923" s="126"/>
      <c r="BU923" s="126"/>
      <c r="BV923" s="126"/>
      <c r="BW923" s="126"/>
      <c r="BX923" s="126"/>
    </row>
    <row r="924">
      <c r="A924" s="126"/>
      <c r="B924" s="126"/>
      <c r="C924" s="127"/>
      <c r="D924" s="126"/>
      <c r="E924" s="126"/>
      <c r="F924" s="127"/>
      <c r="G924" s="126"/>
      <c r="H924" s="127"/>
      <c r="I924" s="126"/>
      <c r="J924" s="126"/>
      <c r="K924" s="127"/>
      <c r="L924" s="126"/>
      <c r="M924" s="126"/>
      <c r="N924" s="127"/>
      <c r="O924" s="126"/>
      <c r="P924" s="126"/>
      <c r="Q924" s="127"/>
      <c r="R924" s="126"/>
      <c r="S924" s="126"/>
      <c r="T924" s="127"/>
      <c r="U924" s="126"/>
      <c r="V924" s="126"/>
      <c r="W924" s="127"/>
      <c r="X924" s="126"/>
      <c r="Y924" s="126"/>
      <c r="Z924" s="127"/>
      <c r="AA924" s="126"/>
      <c r="AB924" s="126"/>
      <c r="AC924" s="127"/>
      <c r="AD924" s="126"/>
      <c r="AE924" s="126"/>
      <c r="AF924" s="126"/>
      <c r="AG924" s="127"/>
      <c r="AH924" s="126"/>
      <c r="AI924" s="126"/>
      <c r="AJ924" s="127"/>
      <c r="AK924" s="126"/>
      <c r="AL924" s="126"/>
      <c r="AM924" s="127"/>
      <c r="AN924" s="126"/>
      <c r="AO924" s="126"/>
      <c r="AP924" s="127"/>
      <c r="AQ924" s="126"/>
      <c r="AR924" s="126"/>
      <c r="AS924" s="127"/>
      <c r="AT924" s="126"/>
      <c r="AU924" s="126"/>
      <c r="AV924" s="127"/>
      <c r="AW924" s="126"/>
      <c r="AX924" s="126"/>
      <c r="AY924" s="127"/>
      <c r="AZ924" s="126"/>
      <c r="BA924" s="126"/>
      <c r="BB924" s="127"/>
      <c r="BC924" s="126"/>
      <c r="BD924" s="134"/>
      <c r="BE924" s="127"/>
      <c r="BF924" s="126"/>
      <c r="BG924" s="126"/>
      <c r="BH924" s="126"/>
      <c r="BI924" s="126"/>
      <c r="BJ924" s="126"/>
      <c r="BK924" s="126"/>
      <c r="BL924" s="126"/>
      <c r="BM924" s="126"/>
      <c r="BN924" s="126"/>
      <c r="BO924" s="126"/>
      <c r="BP924" s="126"/>
      <c r="BQ924" s="126"/>
      <c r="BR924" s="126"/>
      <c r="BS924" s="126"/>
      <c r="BT924" s="126"/>
      <c r="BU924" s="126"/>
      <c r="BV924" s="126"/>
      <c r="BW924" s="126"/>
      <c r="BX924" s="126"/>
    </row>
    <row r="925">
      <c r="A925" s="126"/>
      <c r="B925" s="126"/>
      <c r="C925" s="127"/>
      <c r="D925" s="126"/>
      <c r="E925" s="126"/>
      <c r="F925" s="127"/>
      <c r="G925" s="126"/>
      <c r="H925" s="127"/>
      <c r="I925" s="126"/>
      <c r="J925" s="126"/>
      <c r="K925" s="127"/>
      <c r="L925" s="126"/>
      <c r="M925" s="126"/>
      <c r="N925" s="127"/>
      <c r="O925" s="126"/>
      <c r="P925" s="126"/>
      <c r="Q925" s="127"/>
      <c r="R925" s="126"/>
      <c r="S925" s="126"/>
      <c r="T925" s="127"/>
      <c r="U925" s="126"/>
      <c r="V925" s="126"/>
      <c r="W925" s="127"/>
      <c r="X925" s="126"/>
      <c r="Y925" s="126"/>
      <c r="Z925" s="127"/>
      <c r="AA925" s="126"/>
      <c r="AB925" s="126"/>
      <c r="AC925" s="127"/>
      <c r="AD925" s="126"/>
      <c r="AE925" s="126"/>
      <c r="AF925" s="126"/>
      <c r="AG925" s="127"/>
      <c r="AH925" s="126"/>
      <c r="AI925" s="126"/>
      <c r="AJ925" s="127"/>
      <c r="AK925" s="126"/>
      <c r="AL925" s="126"/>
      <c r="AM925" s="127"/>
      <c r="AN925" s="126"/>
      <c r="AO925" s="126"/>
      <c r="AP925" s="127"/>
      <c r="AQ925" s="126"/>
      <c r="AR925" s="126"/>
      <c r="AS925" s="127"/>
      <c r="AT925" s="126"/>
      <c r="AU925" s="126"/>
      <c r="AV925" s="127"/>
      <c r="AW925" s="126"/>
      <c r="AX925" s="126"/>
      <c r="AY925" s="127"/>
      <c r="AZ925" s="126"/>
      <c r="BA925" s="126"/>
      <c r="BB925" s="127"/>
      <c r="BC925" s="126"/>
      <c r="BD925" s="134"/>
      <c r="BE925" s="127"/>
      <c r="BF925" s="126"/>
      <c r="BG925" s="126"/>
      <c r="BH925" s="126"/>
      <c r="BI925" s="126"/>
      <c r="BJ925" s="126"/>
      <c r="BK925" s="126"/>
      <c r="BL925" s="126"/>
      <c r="BM925" s="126"/>
      <c r="BN925" s="126"/>
      <c r="BO925" s="126"/>
      <c r="BP925" s="126"/>
      <c r="BQ925" s="126"/>
      <c r="BR925" s="126"/>
      <c r="BS925" s="126"/>
      <c r="BT925" s="126"/>
      <c r="BU925" s="126"/>
      <c r="BV925" s="126"/>
      <c r="BW925" s="126"/>
      <c r="BX925" s="126"/>
    </row>
    <row r="926">
      <c r="A926" s="126"/>
      <c r="B926" s="126"/>
      <c r="C926" s="127"/>
      <c r="D926" s="126"/>
      <c r="E926" s="126"/>
      <c r="F926" s="127"/>
      <c r="G926" s="126"/>
      <c r="H926" s="127"/>
      <c r="I926" s="126"/>
      <c r="J926" s="126"/>
      <c r="K926" s="127"/>
      <c r="L926" s="126"/>
      <c r="M926" s="126"/>
      <c r="N926" s="127"/>
      <c r="O926" s="126"/>
      <c r="P926" s="126"/>
      <c r="Q926" s="127"/>
      <c r="R926" s="126"/>
      <c r="S926" s="126"/>
      <c r="T926" s="127"/>
      <c r="U926" s="126"/>
      <c r="V926" s="126"/>
      <c r="W926" s="127"/>
      <c r="X926" s="126"/>
      <c r="Y926" s="126"/>
      <c r="Z926" s="127"/>
      <c r="AA926" s="126"/>
      <c r="AB926" s="126"/>
      <c r="AC926" s="127"/>
      <c r="AD926" s="126"/>
      <c r="AE926" s="126"/>
      <c r="AF926" s="126"/>
      <c r="AG926" s="127"/>
      <c r="AH926" s="126"/>
      <c r="AI926" s="126"/>
      <c r="AJ926" s="127"/>
      <c r="AK926" s="126"/>
      <c r="AL926" s="126"/>
      <c r="AM926" s="127"/>
      <c r="AN926" s="126"/>
      <c r="AO926" s="126"/>
      <c r="AP926" s="127"/>
      <c r="AQ926" s="126"/>
      <c r="AR926" s="126"/>
      <c r="AS926" s="127"/>
      <c r="AT926" s="126"/>
      <c r="AU926" s="126"/>
      <c r="AV926" s="127"/>
      <c r="AW926" s="126"/>
      <c r="AX926" s="126"/>
      <c r="AY926" s="127"/>
      <c r="AZ926" s="126"/>
      <c r="BA926" s="126"/>
      <c r="BB926" s="127"/>
      <c r="BC926" s="126"/>
      <c r="BD926" s="134"/>
      <c r="BE926" s="127"/>
      <c r="BF926" s="126"/>
      <c r="BG926" s="126"/>
      <c r="BH926" s="126"/>
      <c r="BI926" s="126"/>
      <c r="BJ926" s="126"/>
      <c r="BK926" s="126"/>
      <c r="BL926" s="126"/>
      <c r="BM926" s="126"/>
      <c r="BN926" s="126"/>
      <c r="BO926" s="126"/>
      <c r="BP926" s="126"/>
      <c r="BQ926" s="126"/>
      <c r="BR926" s="126"/>
      <c r="BS926" s="126"/>
      <c r="BT926" s="126"/>
      <c r="BU926" s="126"/>
      <c r="BV926" s="126"/>
      <c r="BW926" s="126"/>
      <c r="BX926" s="126"/>
    </row>
    <row r="927">
      <c r="A927" s="126"/>
      <c r="B927" s="126"/>
      <c r="C927" s="127"/>
      <c r="D927" s="126"/>
      <c r="E927" s="126"/>
      <c r="F927" s="127"/>
      <c r="G927" s="126"/>
      <c r="H927" s="127"/>
      <c r="I927" s="126"/>
      <c r="J927" s="126"/>
      <c r="K927" s="127"/>
      <c r="L927" s="126"/>
      <c r="M927" s="126"/>
      <c r="N927" s="127"/>
      <c r="O927" s="126"/>
      <c r="P927" s="126"/>
      <c r="Q927" s="127"/>
      <c r="R927" s="126"/>
      <c r="S927" s="126"/>
      <c r="T927" s="127"/>
      <c r="U927" s="126"/>
      <c r="V927" s="126"/>
      <c r="W927" s="127"/>
      <c r="X927" s="126"/>
      <c r="Y927" s="126"/>
      <c r="Z927" s="127"/>
      <c r="AA927" s="126"/>
      <c r="AB927" s="126"/>
      <c r="AC927" s="127"/>
      <c r="AD927" s="126"/>
      <c r="AE927" s="126"/>
      <c r="AF927" s="126"/>
      <c r="AG927" s="127"/>
      <c r="AH927" s="126"/>
      <c r="AI927" s="126"/>
      <c r="AJ927" s="127"/>
      <c r="AK927" s="126"/>
      <c r="AL927" s="126"/>
      <c r="AM927" s="127"/>
      <c r="AN927" s="126"/>
      <c r="AO927" s="126"/>
      <c r="AP927" s="127"/>
      <c r="AQ927" s="126"/>
      <c r="AR927" s="126"/>
      <c r="AS927" s="127"/>
      <c r="AT927" s="126"/>
      <c r="AU927" s="126"/>
      <c r="AV927" s="127"/>
      <c r="AW927" s="126"/>
      <c r="AX927" s="126"/>
      <c r="AY927" s="127"/>
      <c r="AZ927" s="126"/>
      <c r="BA927" s="126"/>
      <c r="BB927" s="127"/>
      <c r="BC927" s="126"/>
      <c r="BD927" s="134"/>
      <c r="BE927" s="127"/>
      <c r="BF927" s="126"/>
      <c r="BG927" s="126"/>
      <c r="BH927" s="126"/>
      <c r="BI927" s="126"/>
      <c r="BJ927" s="126"/>
      <c r="BK927" s="126"/>
      <c r="BL927" s="126"/>
      <c r="BM927" s="126"/>
      <c r="BN927" s="126"/>
      <c r="BO927" s="126"/>
      <c r="BP927" s="126"/>
      <c r="BQ927" s="126"/>
      <c r="BR927" s="126"/>
      <c r="BS927" s="126"/>
      <c r="BT927" s="126"/>
      <c r="BU927" s="126"/>
      <c r="BV927" s="126"/>
      <c r="BW927" s="126"/>
      <c r="BX927" s="126"/>
    </row>
    <row r="928">
      <c r="A928" s="126"/>
      <c r="B928" s="126"/>
      <c r="C928" s="127"/>
      <c r="D928" s="126"/>
      <c r="E928" s="126"/>
      <c r="F928" s="127"/>
      <c r="G928" s="126"/>
      <c r="H928" s="127"/>
      <c r="I928" s="126"/>
      <c r="J928" s="126"/>
      <c r="K928" s="127"/>
      <c r="L928" s="126"/>
      <c r="M928" s="126"/>
      <c r="N928" s="127"/>
      <c r="O928" s="126"/>
      <c r="P928" s="126"/>
      <c r="Q928" s="127"/>
      <c r="R928" s="126"/>
      <c r="S928" s="126"/>
      <c r="T928" s="127"/>
      <c r="U928" s="126"/>
      <c r="V928" s="126"/>
      <c r="W928" s="127"/>
      <c r="X928" s="126"/>
      <c r="Y928" s="126"/>
      <c r="Z928" s="127"/>
      <c r="AA928" s="126"/>
      <c r="AB928" s="126"/>
      <c r="AC928" s="127"/>
      <c r="AD928" s="126"/>
      <c r="AE928" s="126"/>
      <c r="AF928" s="126"/>
      <c r="AG928" s="127"/>
      <c r="AH928" s="126"/>
      <c r="AI928" s="126"/>
      <c r="AJ928" s="127"/>
      <c r="AK928" s="126"/>
      <c r="AL928" s="126"/>
      <c r="AM928" s="127"/>
      <c r="AN928" s="126"/>
      <c r="AO928" s="126"/>
      <c r="AP928" s="127"/>
      <c r="AQ928" s="126"/>
      <c r="AR928" s="126"/>
      <c r="AS928" s="127"/>
      <c r="AT928" s="126"/>
      <c r="AU928" s="126"/>
      <c r="AV928" s="127"/>
      <c r="AW928" s="126"/>
      <c r="AX928" s="126"/>
      <c r="AY928" s="127"/>
      <c r="AZ928" s="126"/>
      <c r="BA928" s="126"/>
      <c r="BB928" s="127"/>
      <c r="BC928" s="126"/>
      <c r="BD928" s="134"/>
      <c r="BE928" s="127"/>
      <c r="BF928" s="126"/>
      <c r="BG928" s="126"/>
      <c r="BH928" s="126"/>
      <c r="BI928" s="126"/>
      <c r="BJ928" s="126"/>
      <c r="BK928" s="126"/>
      <c r="BL928" s="126"/>
      <c r="BM928" s="126"/>
      <c r="BN928" s="126"/>
      <c r="BO928" s="126"/>
      <c r="BP928" s="126"/>
      <c r="BQ928" s="126"/>
      <c r="BR928" s="126"/>
      <c r="BS928" s="126"/>
      <c r="BT928" s="126"/>
      <c r="BU928" s="126"/>
      <c r="BV928" s="126"/>
      <c r="BW928" s="126"/>
      <c r="BX928" s="126"/>
    </row>
    <row r="929">
      <c r="A929" s="126"/>
      <c r="B929" s="126"/>
      <c r="C929" s="127"/>
      <c r="D929" s="126"/>
      <c r="E929" s="126"/>
      <c r="F929" s="127"/>
      <c r="G929" s="126"/>
      <c r="H929" s="127"/>
      <c r="I929" s="126"/>
      <c r="J929" s="126"/>
      <c r="K929" s="127"/>
      <c r="L929" s="126"/>
      <c r="M929" s="126"/>
      <c r="N929" s="127"/>
      <c r="O929" s="126"/>
      <c r="P929" s="126"/>
      <c r="Q929" s="127"/>
      <c r="R929" s="126"/>
      <c r="S929" s="126"/>
      <c r="T929" s="127"/>
      <c r="U929" s="126"/>
      <c r="V929" s="126"/>
      <c r="W929" s="127"/>
      <c r="X929" s="126"/>
      <c r="Y929" s="126"/>
      <c r="Z929" s="127"/>
      <c r="AA929" s="126"/>
      <c r="AB929" s="126"/>
      <c r="AC929" s="127"/>
      <c r="AD929" s="126"/>
      <c r="AE929" s="126"/>
      <c r="AF929" s="126"/>
      <c r="AG929" s="127"/>
      <c r="AH929" s="126"/>
      <c r="AI929" s="126"/>
      <c r="AJ929" s="127"/>
      <c r="AK929" s="126"/>
      <c r="AL929" s="126"/>
      <c r="AM929" s="127"/>
      <c r="AN929" s="126"/>
      <c r="AO929" s="126"/>
      <c r="AP929" s="127"/>
      <c r="AQ929" s="126"/>
      <c r="AR929" s="126"/>
      <c r="AS929" s="127"/>
      <c r="AT929" s="126"/>
      <c r="AU929" s="126"/>
      <c r="AV929" s="127"/>
      <c r="AW929" s="126"/>
      <c r="AX929" s="126"/>
      <c r="AY929" s="127"/>
      <c r="AZ929" s="126"/>
      <c r="BA929" s="126"/>
      <c r="BB929" s="127"/>
      <c r="BC929" s="126"/>
      <c r="BD929" s="134"/>
      <c r="BE929" s="127"/>
      <c r="BF929" s="126"/>
      <c r="BG929" s="126"/>
      <c r="BH929" s="126"/>
      <c r="BI929" s="126"/>
      <c r="BJ929" s="126"/>
      <c r="BK929" s="126"/>
      <c r="BL929" s="126"/>
      <c r="BM929" s="126"/>
      <c r="BN929" s="126"/>
      <c r="BO929" s="126"/>
      <c r="BP929" s="126"/>
      <c r="BQ929" s="126"/>
      <c r="BR929" s="126"/>
      <c r="BS929" s="126"/>
      <c r="BT929" s="126"/>
      <c r="BU929" s="126"/>
      <c r="BV929" s="126"/>
      <c r="BW929" s="126"/>
      <c r="BX929" s="126"/>
    </row>
    <row r="930">
      <c r="A930" s="126"/>
      <c r="B930" s="126"/>
      <c r="C930" s="127"/>
      <c r="D930" s="126"/>
      <c r="E930" s="126"/>
      <c r="F930" s="127"/>
      <c r="G930" s="126"/>
      <c r="H930" s="127"/>
      <c r="I930" s="126"/>
      <c r="J930" s="126"/>
      <c r="K930" s="127"/>
      <c r="L930" s="126"/>
      <c r="M930" s="126"/>
      <c r="N930" s="127"/>
      <c r="O930" s="126"/>
      <c r="P930" s="126"/>
      <c r="Q930" s="127"/>
      <c r="R930" s="126"/>
      <c r="S930" s="126"/>
      <c r="T930" s="127"/>
      <c r="U930" s="126"/>
      <c r="V930" s="126"/>
      <c r="W930" s="127"/>
      <c r="X930" s="126"/>
      <c r="Y930" s="126"/>
      <c r="Z930" s="127"/>
      <c r="AA930" s="126"/>
      <c r="AB930" s="126"/>
      <c r="AC930" s="127"/>
      <c r="AD930" s="126"/>
      <c r="AE930" s="126"/>
      <c r="AF930" s="126"/>
      <c r="AG930" s="127"/>
      <c r="AH930" s="126"/>
      <c r="AI930" s="126"/>
      <c r="AJ930" s="127"/>
      <c r="AK930" s="126"/>
      <c r="AL930" s="126"/>
      <c r="AM930" s="127"/>
      <c r="AN930" s="126"/>
      <c r="AO930" s="126"/>
      <c r="AP930" s="127"/>
      <c r="AQ930" s="126"/>
      <c r="AR930" s="126"/>
      <c r="AS930" s="127"/>
      <c r="AT930" s="126"/>
      <c r="AU930" s="126"/>
      <c r="AV930" s="127"/>
      <c r="AW930" s="126"/>
      <c r="AX930" s="126"/>
      <c r="AY930" s="127"/>
      <c r="AZ930" s="126"/>
      <c r="BA930" s="126"/>
      <c r="BB930" s="127"/>
      <c r="BC930" s="126"/>
      <c r="BD930" s="134"/>
      <c r="BE930" s="127"/>
      <c r="BF930" s="126"/>
      <c r="BG930" s="126"/>
      <c r="BH930" s="126"/>
      <c r="BI930" s="126"/>
      <c r="BJ930" s="126"/>
      <c r="BK930" s="126"/>
      <c r="BL930" s="126"/>
      <c r="BM930" s="126"/>
      <c r="BN930" s="126"/>
      <c r="BO930" s="126"/>
      <c r="BP930" s="126"/>
      <c r="BQ930" s="126"/>
      <c r="BR930" s="126"/>
      <c r="BS930" s="126"/>
      <c r="BT930" s="126"/>
      <c r="BU930" s="126"/>
      <c r="BV930" s="126"/>
      <c r="BW930" s="126"/>
      <c r="BX930" s="126"/>
    </row>
    <row r="931">
      <c r="A931" s="126"/>
      <c r="B931" s="126"/>
      <c r="C931" s="127"/>
      <c r="D931" s="126"/>
      <c r="E931" s="126"/>
      <c r="F931" s="127"/>
      <c r="G931" s="126"/>
      <c r="H931" s="127"/>
      <c r="I931" s="126"/>
      <c r="J931" s="126"/>
      <c r="K931" s="127"/>
      <c r="L931" s="126"/>
      <c r="M931" s="126"/>
      <c r="N931" s="127"/>
      <c r="O931" s="126"/>
      <c r="P931" s="126"/>
      <c r="Q931" s="127"/>
      <c r="R931" s="126"/>
      <c r="S931" s="126"/>
      <c r="T931" s="127"/>
      <c r="U931" s="126"/>
      <c r="V931" s="126"/>
      <c r="W931" s="127"/>
      <c r="X931" s="126"/>
      <c r="Y931" s="126"/>
      <c r="Z931" s="127"/>
      <c r="AA931" s="126"/>
      <c r="AB931" s="126"/>
      <c r="AC931" s="127"/>
      <c r="AD931" s="126"/>
      <c r="AE931" s="126"/>
      <c r="AF931" s="126"/>
      <c r="AG931" s="127"/>
      <c r="AH931" s="126"/>
      <c r="AI931" s="126"/>
      <c r="AJ931" s="127"/>
      <c r="AK931" s="126"/>
      <c r="AL931" s="126"/>
      <c r="AM931" s="127"/>
      <c r="AN931" s="126"/>
      <c r="AO931" s="126"/>
      <c r="AP931" s="127"/>
      <c r="AQ931" s="126"/>
      <c r="AR931" s="126"/>
      <c r="AS931" s="127"/>
      <c r="AT931" s="126"/>
      <c r="AU931" s="126"/>
      <c r="AV931" s="127"/>
      <c r="AW931" s="126"/>
      <c r="AX931" s="126"/>
      <c r="AY931" s="127"/>
      <c r="AZ931" s="126"/>
      <c r="BA931" s="126"/>
      <c r="BB931" s="127"/>
      <c r="BC931" s="126"/>
      <c r="BD931" s="134"/>
      <c r="BE931" s="127"/>
      <c r="BF931" s="126"/>
      <c r="BG931" s="126"/>
      <c r="BH931" s="126"/>
      <c r="BI931" s="126"/>
      <c r="BJ931" s="126"/>
      <c r="BK931" s="126"/>
      <c r="BL931" s="126"/>
      <c r="BM931" s="126"/>
      <c r="BN931" s="126"/>
      <c r="BO931" s="126"/>
      <c r="BP931" s="126"/>
      <c r="BQ931" s="126"/>
      <c r="BR931" s="126"/>
      <c r="BS931" s="126"/>
      <c r="BT931" s="126"/>
      <c r="BU931" s="126"/>
      <c r="BV931" s="126"/>
      <c r="BW931" s="126"/>
      <c r="BX931" s="126"/>
    </row>
    <row r="932">
      <c r="A932" s="126"/>
      <c r="B932" s="126"/>
      <c r="C932" s="127"/>
      <c r="D932" s="126"/>
      <c r="E932" s="126"/>
      <c r="F932" s="127"/>
      <c r="G932" s="126"/>
      <c r="H932" s="127"/>
      <c r="I932" s="126"/>
      <c r="J932" s="126"/>
      <c r="K932" s="127"/>
      <c r="L932" s="126"/>
      <c r="M932" s="126"/>
      <c r="N932" s="127"/>
      <c r="O932" s="126"/>
      <c r="P932" s="126"/>
      <c r="Q932" s="127"/>
      <c r="R932" s="126"/>
      <c r="S932" s="126"/>
      <c r="T932" s="127"/>
      <c r="U932" s="126"/>
      <c r="V932" s="126"/>
      <c r="W932" s="127"/>
      <c r="X932" s="126"/>
      <c r="Y932" s="126"/>
      <c r="Z932" s="127"/>
      <c r="AA932" s="126"/>
      <c r="AB932" s="126"/>
      <c r="AC932" s="127"/>
      <c r="AD932" s="126"/>
      <c r="AE932" s="126"/>
      <c r="AF932" s="126"/>
      <c r="AG932" s="127"/>
      <c r="AH932" s="126"/>
      <c r="AI932" s="126"/>
      <c r="AJ932" s="127"/>
      <c r="AK932" s="126"/>
      <c r="AL932" s="126"/>
      <c r="AM932" s="127"/>
      <c r="AN932" s="126"/>
      <c r="AO932" s="126"/>
      <c r="AP932" s="127"/>
      <c r="AQ932" s="126"/>
      <c r="AR932" s="126"/>
      <c r="AS932" s="127"/>
      <c r="AT932" s="126"/>
      <c r="AU932" s="126"/>
      <c r="AV932" s="127"/>
      <c r="AW932" s="126"/>
      <c r="AX932" s="126"/>
      <c r="AY932" s="127"/>
      <c r="AZ932" s="126"/>
      <c r="BA932" s="126"/>
      <c r="BB932" s="127"/>
      <c r="BC932" s="126"/>
      <c r="BD932" s="134"/>
      <c r="BE932" s="127"/>
      <c r="BF932" s="126"/>
      <c r="BG932" s="126"/>
      <c r="BH932" s="126"/>
      <c r="BI932" s="126"/>
      <c r="BJ932" s="126"/>
      <c r="BK932" s="126"/>
      <c r="BL932" s="126"/>
      <c r="BM932" s="126"/>
      <c r="BN932" s="126"/>
      <c r="BO932" s="126"/>
      <c r="BP932" s="126"/>
      <c r="BQ932" s="126"/>
      <c r="BR932" s="126"/>
      <c r="BS932" s="126"/>
      <c r="BT932" s="126"/>
      <c r="BU932" s="126"/>
      <c r="BV932" s="126"/>
      <c r="BW932" s="126"/>
      <c r="BX932" s="126"/>
    </row>
    <row r="933">
      <c r="A933" s="126"/>
      <c r="B933" s="126"/>
      <c r="C933" s="127"/>
      <c r="D933" s="126"/>
      <c r="E933" s="126"/>
      <c r="F933" s="127"/>
      <c r="G933" s="126"/>
      <c r="H933" s="127"/>
      <c r="I933" s="126"/>
      <c r="J933" s="126"/>
      <c r="K933" s="127"/>
      <c r="L933" s="126"/>
      <c r="M933" s="126"/>
      <c r="N933" s="127"/>
      <c r="O933" s="126"/>
      <c r="P933" s="126"/>
      <c r="Q933" s="127"/>
      <c r="R933" s="126"/>
      <c r="S933" s="126"/>
      <c r="T933" s="127"/>
      <c r="U933" s="126"/>
      <c r="V933" s="126"/>
      <c r="W933" s="127"/>
      <c r="X933" s="126"/>
      <c r="Y933" s="126"/>
      <c r="Z933" s="127"/>
      <c r="AA933" s="126"/>
      <c r="AB933" s="126"/>
      <c r="AC933" s="127"/>
      <c r="AD933" s="126"/>
      <c r="AE933" s="126"/>
      <c r="AF933" s="126"/>
      <c r="AG933" s="127"/>
      <c r="AH933" s="126"/>
      <c r="AI933" s="126"/>
      <c r="AJ933" s="127"/>
      <c r="AK933" s="126"/>
      <c r="AL933" s="126"/>
      <c r="AM933" s="127"/>
      <c r="AN933" s="126"/>
      <c r="AO933" s="126"/>
      <c r="AP933" s="127"/>
      <c r="AQ933" s="126"/>
      <c r="AR933" s="126"/>
      <c r="AS933" s="127"/>
      <c r="AT933" s="126"/>
      <c r="AU933" s="126"/>
      <c r="AV933" s="127"/>
      <c r="AW933" s="126"/>
      <c r="AX933" s="126"/>
      <c r="AY933" s="127"/>
      <c r="AZ933" s="126"/>
      <c r="BA933" s="126"/>
      <c r="BB933" s="127"/>
      <c r="BC933" s="126"/>
      <c r="BD933" s="134"/>
      <c r="BE933" s="127"/>
      <c r="BF933" s="126"/>
      <c r="BG933" s="126"/>
      <c r="BH933" s="126"/>
      <c r="BI933" s="126"/>
      <c r="BJ933" s="126"/>
      <c r="BK933" s="126"/>
      <c r="BL933" s="126"/>
      <c r="BM933" s="126"/>
      <c r="BN933" s="126"/>
      <c r="BO933" s="126"/>
      <c r="BP933" s="126"/>
      <c r="BQ933" s="126"/>
      <c r="BR933" s="126"/>
      <c r="BS933" s="126"/>
      <c r="BT933" s="126"/>
      <c r="BU933" s="126"/>
      <c r="BV933" s="126"/>
      <c r="BW933" s="126"/>
      <c r="BX933" s="126"/>
    </row>
    <row r="934">
      <c r="A934" s="126"/>
      <c r="B934" s="126"/>
      <c r="C934" s="127"/>
      <c r="D934" s="126"/>
      <c r="E934" s="126"/>
      <c r="F934" s="127"/>
      <c r="G934" s="126"/>
      <c r="H934" s="127"/>
      <c r="I934" s="126"/>
      <c r="J934" s="126"/>
      <c r="K934" s="127"/>
      <c r="L934" s="126"/>
      <c r="M934" s="126"/>
      <c r="N934" s="127"/>
      <c r="O934" s="126"/>
      <c r="P934" s="126"/>
      <c r="Q934" s="127"/>
      <c r="R934" s="126"/>
      <c r="S934" s="126"/>
      <c r="T934" s="127"/>
      <c r="U934" s="126"/>
      <c r="V934" s="126"/>
      <c r="W934" s="127"/>
      <c r="X934" s="126"/>
      <c r="Y934" s="126"/>
      <c r="Z934" s="127"/>
      <c r="AA934" s="126"/>
      <c r="AB934" s="126"/>
      <c r="AC934" s="127"/>
      <c r="AD934" s="126"/>
      <c r="AE934" s="126"/>
      <c r="AF934" s="126"/>
      <c r="AG934" s="127"/>
      <c r="AH934" s="126"/>
      <c r="AI934" s="126"/>
      <c r="AJ934" s="127"/>
      <c r="AK934" s="126"/>
      <c r="AL934" s="126"/>
      <c r="AM934" s="127"/>
      <c r="AN934" s="126"/>
      <c r="AO934" s="126"/>
      <c r="AP934" s="127"/>
      <c r="AQ934" s="126"/>
      <c r="AR934" s="126"/>
      <c r="AS934" s="127"/>
      <c r="AT934" s="126"/>
      <c r="AU934" s="126"/>
      <c r="AV934" s="127"/>
      <c r="AW934" s="126"/>
      <c r="AX934" s="126"/>
      <c r="AY934" s="127"/>
      <c r="AZ934" s="126"/>
      <c r="BA934" s="126"/>
      <c r="BB934" s="127"/>
      <c r="BC934" s="126"/>
      <c r="BD934" s="134"/>
      <c r="BE934" s="127"/>
      <c r="BF934" s="126"/>
      <c r="BG934" s="126"/>
      <c r="BH934" s="126"/>
      <c r="BI934" s="126"/>
      <c r="BJ934" s="126"/>
      <c r="BK934" s="126"/>
      <c r="BL934" s="126"/>
      <c r="BM934" s="126"/>
      <c r="BN934" s="126"/>
      <c r="BO934" s="126"/>
      <c r="BP934" s="126"/>
      <c r="BQ934" s="126"/>
      <c r="BR934" s="126"/>
      <c r="BS934" s="126"/>
      <c r="BT934" s="126"/>
      <c r="BU934" s="126"/>
      <c r="BV934" s="126"/>
      <c r="BW934" s="126"/>
      <c r="BX934" s="126"/>
    </row>
    <row r="935">
      <c r="A935" s="126"/>
      <c r="B935" s="126"/>
      <c r="C935" s="127"/>
      <c r="D935" s="126"/>
      <c r="E935" s="126"/>
      <c r="F935" s="127"/>
      <c r="G935" s="126"/>
      <c r="H935" s="127"/>
      <c r="I935" s="126"/>
      <c r="J935" s="126"/>
      <c r="K935" s="127"/>
      <c r="L935" s="126"/>
      <c r="M935" s="126"/>
      <c r="N935" s="127"/>
      <c r="O935" s="126"/>
      <c r="P935" s="126"/>
      <c r="Q935" s="127"/>
      <c r="R935" s="126"/>
      <c r="S935" s="126"/>
      <c r="T935" s="127"/>
      <c r="U935" s="126"/>
      <c r="V935" s="126"/>
      <c r="W935" s="127"/>
      <c r="X935" s="126"/>
      <c r="Y935" s="126"/>
      <c r="Z935" s="127"/>
      <c r="AA935" s="126"/>
      <c r="AB935" s="126"/>
      <c r="AC935" s="127"/>
      <c r="AD935" s="126"/>
      <c r="AE935" s="126"/>
      <c r="AF935" s="126"/>
      <c r="AG935" s="127"/>
      <c r="AH935" s="126"/>
      <c r="AI935" s="126"/>
      <c r="AJ935" s="127"/>
      <c r="AK935" s="126"/>
      <c r="AL935" s="126"/>
      <c r="AM935" s="127"/>
      <c r="AN935" s="126"/>
      <c r="AO935" s="126"/>
      <c r="AP935" s="127"/>
      <c r="AQ935" s="126"/>
      <c r="AR935" s="126"/>
      <c r="AS935" s="127"/>
      <c r="AT935" s="126"/>
      <c r="AU935" s="126"/>
      <c r="AV935" s="127"/>
      <c r="AW935" s="126"/>
      <c r="AX935" s="126"/>
      <c r="AY935" s="127"/>
      <c r="AZ935" s="126"/>
      <c r="BA935" s="126"/>
      <c r="BB935" s="127"/>
      <c r="BC935" s="126"/>
      <c r="BD935" s="134"/>
      <c r="BE935" s="127"/>
      <c r="BF935" s="126"/>
      <c r="BG935" s="126"/>
      <c r="BH935" s="126"/>
      <c r="BI935" s="126"/>
      <c r="BJ935" s="126"/>
      <c r="BK935" s="126"/>
      <c r="BL935" s="126"/>
      <c r="BM935" s="126"/>
      <c r="BN935" s="126"/>
      <c r="BO935" s="126"/>
      <c r="BP935" s="126"/>
      <c r="BQ935" s="126"/>
      <c r="BR935" s="126"/>
      <c r="BS935" s="126"/>
      <c r="BT935" s="126"/>
      <c r="BU935" s="126"/>
      <c r="BV935" s="126"/>
      <c r="BW935" s="126"/>
      <c r="BX935" s="126"/>
    </row>
    <row r="936">
      <c r="A936" s="126"/>
      <c r="B936" s="126"/>
      <c r="C936" s="127"/>
      <c r="D936" s="126"/>
      <c r="E936" s="126"/>
      <c r="F936" s="127"/>
      <c r="G936" s="126"/>
      <c r="H936" s="127"/>
      <c r="I936" s="126"/>
      <c r="J936" s="126"/>
      <c r="K936" s="127"/>
      <c r="L936" s="126"/>
      <c r="M936" s="126"/>
      <c r="N936" s="127"/>
      <c r="O936" s="126"/>
      <c r="P936" s="126"/>
      <c r="Q936" s="127"/>
      <c r="R936" s="126"/>
      <c r="S936" s="126"/>
      <c r="T936" s="127"/>
      <c r="U936" s="126"/>
      <c r="V936" s="126"/>
      <c r="W936" s="127"/>
      <c r="X936" s="126"/>
      <c r="Y936" s="126"/>
      <c r="Z936" s="127"/>
      <c r="AA936" s="126"/>
      <c r="AB936" s="126"/>
      <c r="AC936" s="127"/>
      <c r="AD936" s="126"/>
      <c r="AE936" s="126"/>
      <c r="AF936" s="126"/>
      <c r="AG936" s="127"/>
      <c r="AH936" s="126"/>
      <c r="AI936" s="126"/>
      <c r="AJ936" s="127"/>
      <c r="AK936" s="126"/>
      <c r="AL936" s="126"/>
      <c r="AM936" s="127"/>
      <c r="AN936" s="126"/>
      <c r="AO936" s="126"/>
      <c r="AP936" s="127"/>
      <c r="AQ936" s="126"/>
      <c r="AR936" s="126"/>
      <c r="AS936" s="127"/>
      <c r="AT936" s="126"/>
      <c r="AU936" s="126"/>
      <c r="AV936" s="127"/>
      <c r="AW936" s="126"/>
      <c r="AX936" s="126"/>
      <c r="AY936" s="127"/>
      <c r="AZ936" s="126"/>
      <c r="BA936" s="126"/>
      <c r="BB936" s="127"/>
      <c r="BC936" s="126"/>
      <c r="BD936" s="134"/>
      <c r="BE936" s="127"/>
      <c r="BF936" s="126"/>
      <c r="BG936" s="126"/>
      <c r="BH936" s="126"/>
      <c r="BI936" s="126"/>
      <c r="BJ936" s="126"/>
      <c r="BK936" s="126"/>
      <c r="BL936" s="126"/>
      <c r="BM936" s="126"/>
      <c r="BN936" s="126"/>
      <c r="BO936" s="126"/>
      <c r="BP936" s="126"/>
      <c r="BQ936" s="126"/>
      <c r="BR936" s="126"/>
      <c r="BS936" s="126"/>
      <c r="BT936" s="126"/>
      <c r="BU936" s="126"/>
      <c r="BV936" s="126"/>
      <c r="BW936" s="126"/>
      <c r="BX936" s="126"/>
    </row>
    <row r="937">
      <c r="A937" s="126"/>
      <c r="B937" s="126"/>
      <c r="C937" s="127"/>
      <c r="D937" s="126"/>
      <c r="E937" s="126"/>
      <c r="F937" s="127"/>
      <c r="G937" s="126"/>
      <c r="H937" s="127"/>
      <c r="I937" s="126"/>
      <c r="J937" s="126"/>
      <c r="K937" s="127"/>
      <c r="L937" s="126"/>
      <c r="M937" s="126"/>
      <c r="N937" s="127"/>
      <c r="O937" s="126"/>
      <c r="P937" s="126"/>
      <c r="Q937" s="127"/>
      <c r="R937" s="126"/>
      <c r="S937" s="126"/>
      <c r="T937" s="127"/>
      <c r="U937" s="126"/>
      <c r="V937" s="126"/>
      <c r="W937" s="127"/>
      <c r="X937" s="126"/>
      <c r="Y937" s="126"/>
      <c r="Z937" s="127"/>
      <c r="AA937" s="126"/>
      <c r="AB937" s="126"/>
      <c r="AC937" s="127"/>
      <c r="AD937" s="126"/>
      <c r="AE937" s="126"/>
      <c r="AF937" s="126"/>
      <c r="AG937" s="127"/>
      <c r="AH937" s="126"/>
      <c r="AI937" s="126"/>
      <c r="AJ937" s="127"/>
      <c r="AK937" s="126"/>
      <c r="AL937" s="126"/>
      <c r="AM937" s="127"/>
      <c r="AN937" s="126"/>
      <c r="AO937" s="126"/>
      <c r="AP937" s="127"/>
      <c r="AQ937" s="126"/>
      <c r="AR937" s="126"/>
      <c r="AS937" s="127"/>
      <c r="AT937" s="126"/>
      <c r="AU937" s="126"/>
      <c r="AV937" s="127"/>
      <c r="AW937" s="126"/>
      <c r="AX937" s="126"/>
      <c r="AY937" s="127"/>
      <c r="AZ937" s="126"/>
      <c r="BA937" s="126"/>
      <c r="BB937" s="127"/>
      <c r="BC937" s="126"/>
      <c r="BD937" s="134"/>
      <c r="BE937" s="127"/>
      <c r="BF937" s="126"/>
      <c r="BG937" s="126"/>
      <c r="BH937" s="126"/>
      <c r="BI937" s="126"/>
      <c r="BJ937" s="126"/>
      <c r="BK937" s="126"/>
      <c r="BL937" s="126"/>
      <c r="BM937" s="126"/>
      <c r="BN937" s="126"/>
      <c r="BO937" s="126"/>
      <c r="BP937" s="126"/>
      <c r="BQ937" s="126"/>
      <c r="BR937" s="126"/>
      <c r="BS937" s="126"/>
      <c r="BT937" s="126"/>
      <c r="BU937" s="126"/>
      <c r="BV937" s="126"/>
      <c r="BW937" s="126"/>
      <c r="BX937" s="126"/>
    </row>
    <row r="938">
      <c r="A938" s="126"/>
      <c r="B938" s="126"/>
      <c r="C938" s="127"/>
      <c r="D938" s="126"/>
      <c r="E938" s="126"/>
      <c r="F938" s="127"/>
      <c r="G938" s="126"/>
      <c r="H938" s="127"/>
      <c r="I938" s="126"/>
      <c r="J938" s="126"/>
      <c r="K938" s="127"/>
      <c r="L938" s="126"/>
      <c r="M938" s="126"/>
      <c r="N938" s="127"/>
      <c r="O938" s="126"/>
      <c r="P938" s="126"/>
      <c r="Q938" s="127"/>
      <c r="R938" s="126"/>
      <c r="S938" s="126"/>
      <c r="T938" s="127"/>
      <c r="U938" s="126"/>
      <c r="V938" s="126"/>
      <c r="W938" s="127"/>
      <c r="X938" s="126"/>
      <c r="Y938" s="126"/>
      <c r="Z938" s="127"/>
      <c r="AA938" s="126"/>
      <c r="AB938" s="126"/>
      <c r="AC938" s="127"/>
      <c r="AD938" s="126"/>
      <c r="AE938" s="126"/>
      <c r="AF938" s="126"/>
      <c r="AG938" s="127"/>
      <c r="AH938" s="126"/>
      <c r="AI938" s="126"/>
      <c r="AJ938" s="127"/>
      <c r="AK938" s="126"/>
      <c r="AL938" s="126"/>
      <c r="AM938" s="127"/>
      <c r="AN938" s="126"/>
      <c r="AO938" s="126"/>
      <c r="AP938" s="127"/>
      <c r="AQ938" s="126"/>
      <c r="AR938" s="126"/>
      <c r="AS938" s="127"/>
      <c r="AT938" s="126"/>
      <c r="AU938" s="126"/>
      <c r="AV938" s="127"/>
      <c r="AW938" s="126"/>
      <c r="AX938" s="126"/>
      <c r="AY938" s="127"/>
      <c r="AZ938" s="126"/>
      <c r="BA938" s="126"/>
      <c r="BB938" s="127"/>
      <c r="BC938" s="126"/>
      <c r="BD938" s="134"/>
      <c r="BE938" s="127"/>
      <c r="BF938" s="126"/>
      <c r="BG938" s="126"/>
      <c r="BH938" s="126"/>
      <c r="BI938" s="126"/>
      <c r="BJ938" s="126"/>
      <c r="BK938" s="126"/>
      <c r="BL938" s="126"/>
      <c r="BM938" s="126"/>
      <c r="BN938" s="126"/>
      <c r="BO938" s="126"/>
      <c r="BP938" s="126"/>
      <c r="BQ938" s="126"/>
      <c r="BR938" s="126"/>
      <c r="BS938" s="126"/>
      <c r="BT938" s="126"/>
      <c r="BU938" s="126"/>
      <c r="BV938" s="126"/>
      <c r="BW938" s="126"/>
      <c r="BX938" s="126"/>
    </row>
    <row r="939">
      <c r="A939" s="126"/>
      <c r="B939" s="126"/>
      <c r="C939" s="127"/>
      <c r="D939" s="126"/>
      <c r="E939" s="126"/>
      <c r="F939" s="127"/>
      <c r="G939" s="126"/>
      <c r="H939" s="127"/>
      <c r="I939" s="126"/>
      <c r="J939" s="126"/>
      <c r="K939" s="127"/>
      <c r="L939" s="126"/>
      <c r="M939" s="126"/>
      <c r="N939" s="127"/>
      <c r="O939" s="126"/>
      <c r="P939" s="126"/>
      <c r="Q939" s="127"/>
      <c r="R939" s="126"/>
      <c r="S939" s="126"/>
      <c r="T939" s="127"/>
      <c r="U939" s="126"/>
      <c r="V939" s="126"/>
      <c r="W939" s="127"/>
      <c r="X939" s="126"/>
      <c r="Y939" s="126"/>
      <c r="Z939" s="127"/>
      <c r="AA939" s="126"/>
      <c r="AB939" s="126"/>
      <c r="AC939" s="127"/>
      <c r="AD939" s="126"/>
      <c r="AE939" s="126"/>
      <c r="AF939" s="126"/>
      <c r="AG939" s="127"/>
      <c r="AH939" s="126"/>
      <c r="AI939" s="126"/>
      <c r="AJ939" s="127"/>
      <c r="AK939" s="126"/>
      <c r="AL939" s="126"/>
      <c r="AM939" s="127"/>
      <c r="AN939" s="126"/>
      <c r="AO939" s="126"/>
      <c r="AP939" s="127"/>
      <c r="AQ939" s="126"/>
      <c r="AR939" s="126"/>
      <c r="AS939" s="127"/>
      <c r="AT939" s="126"/>
      <c r="AU939" s="126"/>
      <c r="AV939" s="127"/>
      <c r="AW939" s="126"/>
      <c r="AX939" s="126"/>
      <c r="AY939" s="127"/>
      <c r="AZ939" s="126"/>
      <c r="BA939" s="126"/>
      <c r="BB939" s="127"/>
      <c r="BC939" s="126"/>
      <c r="BD939" s="134"/>
      <c r="BE939" s="127"/>
      <c r="BF939" s="126"/>
      <c r="BG939" s="126"/>
      <c r="BH939" s="126"/>
      <c r="BI939" s="126"/>
      <c r="BJ939" s="126"/>
      <c r="BK939" s="126"/>
      <c r="BL939" s="126"/>
      <c r="BM939" s="126"/>
      <c r="BN939" s="126"/>
      <c r="BO939" s="126"/>
      <c r="BP939" s="126"/>
      <c r="BQ939" s="126"/>
      <c r="BR939" s="126"/>
      <c r="BS939" s="126"/>
      <c r="BT939" s="126"/>
      <c r="BU939" s="126"/>
      <c r="BV939" s="126"/>
      <c r="BW939" s="126"/>
      <c r="BX939" s="126"/>
    </row>
    <row r="940">
      <c r="A940" s="126"/>
      <c r="B940" s="126"/>
      <c r="C940" s="127"/>
      <c r="D940" s="126"/>
      <c r="E940" s="126"/>
      <c r="F940" s="127"/>
      <c r="G940" s="126"/>
      <c r="H940" s="127"/>
      <c r="I940" s="126"/>
      <c r="J940" s="126"/>
      <c r="K940" s="127"/>
      <c r="L940" s="126"/>
      <c r="M940" s="126"/>
      <c r="N940" s="127"/>
      <c r="O940" s="126"/>
      <c r="P940" s="126"/>
      <c r="Q940" s="127"/>
      <c r="R940" s="126"/>
      <c r="S940" s="126"/>
      <c r="T940" s="127"/>
      <c r="U940" s="126"/>
      <c r="V940" s="126"/>
      <c r="W940" s="127"/>
      <c r="X940" s="126"/>
      <c r="Y940" s="126"/>
      <c r="Z940" s="127"/>
      <c r="AA940" s="126"/>
      <c r="AB940" s="126"/>
      <c r="AC940" s="127"/>
      <c r="AD940" s="126"/>
      <c r="AE940" s="126"/>
      <c r="AF940" s="126"/>
      <c r="AG940" s="127"/>
      <c r="AH940" s="126"/>
      <c r="AI940" s="126"/>
      <c r="AJ940" s="127"/>
      <c r="AK940" s="126"/>
      <c r="AL940" s="126"/>
      <c r="AM940" s="127"/>
      <c r="AN940" s="126"/>
      <c r="AO940" s="126"/>
      <c r="AP940" s="127"/>
      <c r="AQ940" s="126"/>
      <c r="AR940" s="126"/>
      <c r="AS940" s="127"/>
      <c r="AT940" s="126"/>
      <c r="AU940" s="126"/>
      <c r="AV940" s="127"/>
      <c r="AW940" s="126"/>
      <c r="AX940" s="126"/>
      <c r="AY940" s="127"/>
      <c r="AZ940" s="126"/>
      <c r="BA940" s="126"/>
      <c r="BB940" s="127"/>
      <c r="BC940" s="126"/>
      <c r="BD940" s="134"/>
      <c r="BE940" s="127"/>
      <c r="BF940" s="126"/>
      <c r="BG940" s="126"/>
      <c r="BH940" s="126"/>
      <c r="BI940" s="126"/>
      <c r="BJ940" s="126"/>
      <c r="BK940" s="126"/>
      <c r="BL940" s="126"/>
      <c r="BM940" s="126"/>
      <c r="BN940" s="126"/>
      <c r="BO940" s="126"/>
      <c r="BP940" s="126"/>
      <c r="BQ940" s="126"/>
      <c r="BR940" s="126"/>
      <c r="BS940" s="126"/>
      <c r="BT940" s="126"/>
      <c r="BU940" s="126"/>
      <c r="BV940" s="126"/>
      <c r="BW940" s="126"/>
      <c r="BX940" s="126"/>
    </row>
    <row r="941">
      <c r="A941" s="126"/>
      <c r="B941" s="126"/>
      <c r="C941" s="127"/>
      <c r="D941" s="126"/>
      <c r="E941" s="126"/>
      <c r="F941" s="127"/>
      <c r="G941" s="126"/>
      <c r="H941" s="127"/>
      <c r="I941" s="126"/>
      <c r="J941" s="126"/>
      <c r="K941" s="127"/>
      <c r="L941" s="126"/>
      <c r="M941" s="126"/>
      <c r="N941" s="127"/>
      <c r="O941" s="126"/>
      <c r="P941" s="126"/>
      <c r="Q941" s="127"/>
      <c r="R941" s="126"/>
      <c r="S941" s="126"/>
      <c r="T941" s="127"/>
      <c r="U941" s="126"/>
      <c r="V941" s="126"/>
      <c r="W941" s="127"/>
      <c r="X941" s="126"/>
      <c r="Y941" s="126"/>
      <c r="Z941" s="127"/>
      <c r="AA941" s="126"/>
      <c r="AB941" s="126"/>
      <c r="AC941" s="127"/>
      <c r="AD941" s="126"/>
      <c r="AE941" s="126"/>
      <c r="AF941" s="126"/>
      <c r="AG941" s="127"/>
      <c r="AH941" s="126"/>
      <c r="AI941" s="126"/>
      <c r="AJ941" s="127"/>
      <c r="AK941" s="126"/>
      <c r="AL941" s="126"/>
      <c r="AM941" s="127"/>
      <c r="AN941" s="126"/>
      <c r="AO941" s="126"/>
      <c r="AP941" s="127"/>
      <c r="AQ941" s="126"/>
      <c r="AR941" s="126"/>
      <c r="AS941" s="127"/>
      <c r="AT941" s="126"/>
      <c r="AU941" s="126"/>
      <c r="AV941" s="127"/>
      <c r="AW941" s="126"/>
      <c r="AX941" s="126"/>
      <c r="AY941" s="127"/>
      <c r="AZ941" s="126"/>
      <c r="BA941" s="126"/>
      <c r="BB941" s="127"/>
      <c r="BC941" s="126"/>
      <c r="BD941" s="134"/>
      <c r="BE941" s="127"/>
      <c r="BF941" s="126"/>
      <c r="BG941" s="126"/>
      <c r="BH941" s="126"/>
      <c r="BI941" s="126"/>
      <c r="BJ941" s="126"/>
      <c r="BK941" s="126"/>
      <c r="BL941" s="126"/>
      <c r="BM941" s="126"/>
      <c r="BN941" s="126"/>
      <c r="BO941" s="126"/>
      <c r="BP941" s="126"/>
      <c r="BQ941" s="126"/>
      <c r="BR941" s="126"/>
      <c r="BS941" s="126"/>
      <c r="BT941" s="126"/>
      <c r="BU941" s="126"/>
      <c r="BV941" s="126"/>
      <c r="BW941" s="126"/>
      <c r="BX941" s="126"/>
    </row>
    <row r="942">
      <c r="A942" s="126"/>
      <c r="B942" s="126"/>
      <c r="C942" s="127"/>
      <c r="D942" s="126"/>
      <c r="E942" s="126"/>
      <c r="F942" s="127"/>
      <c r="G942" s="126"/>
      <c r="H942" s="127"/>
      <c r="I942" s="126"/>
      <c r="J942" s="126"/>
      <c r="K942" s="127"/>
      <c r="L942" s="126"/>
      <c r="M942" s="126"/>
      <c r="N942" s="127"/>
      <c r="O942" s="126"/>
      <c r="P942" s="126"/>
      <c r="Q942" s="127"/>
      <c r="R942" s="126"/>
      <c r="S942" s="126"/>
      <c r="T942" s="127"/>
      <c r="U942" s="126"/>
      <c r="V942" s="126"/>
      <c r="W942" s="127"/>
      <c r="X942" s="126"/>
      <c r="Y942" s="126"/>
      <c r="Z942" s="127"/>
      <c r="AA942" s="126"/>
      <c r="AB942" s="126"/>
      <c r="AC942" s="127"/>
      <c r="AD942" s="126"/>
      <c r="AE942" s="126"/>
      <c r="AF942" s="126"/>
      <c r="AG942" s="127"/>
      <c r="AH942" s="126"/>
      <c r="AI942" s="126"/>
      <c r="AJ942" s="127"/>
      <c r="AK942" s="126"/>
      <c r="AL942" s="126"/>
      <c r="AM942" s="127"/>
      <c r="AN942" s="126"/>
      <c r="AO942" s="126"/>
      <c r="AP942" s="127"/>
      <c r="AQ942" s="126"/>
      <c r="AR942" s="126"/>
      <c r="AS942" s="127"/>
      <c r="AT942" s="126"/>
      <c r="AU942" s="126"/>
      <c r="AV942" s="127"/>
      <c r="AW942" s="126"/>
      <c r="AX942" s="126"/>
      <c r="AY942" s="127"/>
      <c r="AZ942" s="126"/>
      <c r="BA942" s="126"/>
      <c r="BB942" s="127"/>
      <c r="BC942" s="126"/>
      <c r="BD942" s="134"/>
      <c r="BE942" s="127"/>
      <c r="BF942" s="126"/>
      <c r="BG942" s="126"/>
      <c r="BH942" s="126"/>
      <c r="BI942" s="126"/>
      <c r="BJ942" s="126"/>
      <c r="BK942" s="126"/>
      <c r="BL942" s="126"/>
      <c r="BM942" s="126"/>
      <c r="BN942" s="126"/>
      <c r="BO942" s="126"/>
      <c r="BP942" s="126"/>
      <c r="BQ942" s="126"/>
      <c r="BR942" s="126"/>
      <c r="BS942" s="126"/>
      <c r="BT942" s="126"/>
      <c r="BU942" s="126"/>
      <c r="BV942" s="126"/>
      <c r="BW942" s="126"/>
      <c r="BX942" s="126"/>
    </row>
    <row r="943">
      <c r="A943" s="126"/>
      <c r="B943" s="126"/>
      <c r="C943" s="127"/>
      <c r="D943" s="126"/>
      <c r="E943" s="126"/>
      <c r="F943" s="127"/>
      <c r="G943" s="126"/>
      <c r="H943" s="127"/>
      <c r="I943" s="126"/>
      <c r="J943" s="126"/>
      <c r="K943" s="127"/>
      <c r="L943" s="126"/>
      <c r="M943" s="126"/>
      <c r="N943" s="127"/>
      <c r="O943" s="126"/>
      <c r="P943" s="126"/>
      <c r="Q943" s="127"/>
      <c r="R943" s="126"/>
      <c r="S943" s="126"/>
      <c r="T943" s="127"/>
      <c r="U943" s="126"/>
      <c r="V943" s="126"/>
      <c r="W943" s="127"/>
      <c r="X943" s="126"/>
      <c r="Y943" s="126"/>
      <c r="Z943" s="127"/>
      <c r="AA943" s="126"/>
      <c r="AB943" s="126"/>
      <c r="AC943" s="127"/>
      <c r="AD943" s="126"/>
      <c r="AE943" s="126"/>
      <c r="AF943" s="126"/>
      <c r="AG943" s="127"/>
      <c r="AH943" s="126"/>
      <c r="AI943" s="126"/>
      <c r="AJ943" s="127"/>
      <c r="AK943" s="126"/>
      <c r="AL943" s="126"/>
      <c r="AM943" s="127"/>
      <c r="AN943" s="126"/>
      <c r="AO943" s="126"/>
      <c r="AP943" s="127"/>
      <c r="AQ943" s="126"/>
      <c r="AR943" s="126"/>
      <c r="AS943" s="127"/>
      <c r="AT943" s="126"/>
      <c r="AU943" s="126"/>
      <c r="AV943" s="127"/>
      <c r="AW943" s="126"/>
      <c r="AX943" s="126"/>
      <c r="AY943" s="127"/>
      <c r="AZ943" s="126"/>
      <c r="BA943" s="126"/>
      <c r="BB943" s="127"/>
      <c r="BC943" s="126"/>
      <c r="BD943" s="134"/>
      <c r="BE943" s="127"/>
      <c r="BF943" s="126"/>
      <c r="BG943" s="126"/>
      <c r="BH943" s="126"/>
      <c r="BI943" s="126"/>
      <c r="BJ943" s="126"/>
      <c r="BK943" s="126"/>
      <c r="BL943" s="126"/>
      <c r="BM943" s="126"/>
      <c r="BN943" s="126"/>
      <c r="BO943" s="126"/>
      <c r="BP943" s="126"/>
      <c r="BQ943" s="126"/>
      <c r="BR943" s="126"/>
      <c r="BS943" s="126"/>
      <c r="BT943" s="126"/>
      <c r="BU943" s="126"/>
      <c r="BV943" s="126"/>
      <c r="BW943" s="126"/>
      <c r="BX943" s="126"/>
    </row>
    <row r="944">
      <c r="A944" s="126"/>
      <c r="B944" s="126"/>
      <c r="C944" s="127"/>
      <c r="D944" s="126"/>
      <c r="E944" s="126"/>
      <c r="F944" s="127"/>
      <c r="G944" s="126"/>
      <c r="H944" s="127"/>
      <c r="I944" s="126"/>
      <c r="J944" s="126"/>
      <c r="K944" s="127"/>
      <c r="L944" s="126"/>
      <c r="M944" s="126"/>
      <c r="N944" s="127"/>
      <c r="O944" s="126"/>
      <c r="P944" s="126"/>
      <c r="Q944" s="127"/>
      <c r="R944" s="126"/>
      <c r="S944" s="126"/>
      <c r="T944" s="127"/>
      <c r="U944" s="126"/>
      <c r="V944" s="126"/>
      <c r="W944" s="127"/>
      <c r="X944" s="126"/>
      <c r="Y944" s="126"/>
      <c r="Z944" s="127"/>
      <c r="AA944" s="126"/>
      <c r="AB944" s="126"/>
      <c r="AC944" s="127"/>
      <c r="AD944" s="126"/>
      <c r="AE944" s="126"/>
      <c r="AF944" s="126"/>
      <c r="AG944" s="127"/>
      <c r="AH944" s="126"/>
      <c r="AI944" s="126"/>
      <c r="AJ944" s="127"/>
      <c r="AK944" s="126"/>
      <c r="AL944" s="126"/>
      <c r="AM944" s="127"/>
      <c r="AN944" s="126"/>
      <c r="AO944" s="126"/>
      <c r="AP944" s="127"/>
      <c r="AQ944" s="126"/>
      <c r="AR944" s="126"/>
      <c r="AS944" s="127"/>
      <c r="AT944" s="126"/>
      <c r="AU944" s="126"/>
      <c r="AV944" s="127"/>
      <c r="AW944" s="126"/>
      <c r="AX944" s="126"/>
      <c r="AY944" s="127"/>
      <c r="AZ944" s="126"/>
      <c r="BA944" s="126"/>
      <c r="BB944" s="127"/>
      <c r="BC944" s="126"/>
      <c r="BD944" s="134"/>
      <c r="BE944" s="127"/>
      <c r="BF944" s="126"/>
      <c r="BG944" s="126"/>
      <c r="BH944" s="126"/>
      <c r="BI944" s="126"/>
      <c r="BJ944" s="126"/>
      <c r="BK944" s="126"/>
      <c r="BL944" s="126"/>
      <c r="BM944" s="126"/>
      <c r="BN944" s="126"/>
      <c r="BO944" s="126"/>
      <c r="BP944" s="126"/>
      <c r="BQ944" s="126"/>
      <c r="BR944" s="126"/>
      <c r="BS944" s="126"/>
      <c r="BT944" s="126"/>
      <c r="BU944" s="126"/>
      <c r="BV944" s="126"/>
      <c r="BW944" s="126"/>
      <c r="BX944" s="126"/>
    </row>
    <row r="945">
      <c r="A945" s="126"/>
      <c r="B945" s="126"/>
      <c r="C945" s="127"/>
      <c r="D945" s="126"/>
      <c r="E945" s="126"/>
      <c r="F945" s="127"/>
      <c r="G945" s="126"/>
      <c r="H945" s="127"/>
      <c r="I945" s="126"/>
      <c r="J945" s="126"/>
      <c r="K945" s="127"/>
      <c r="L945" s="126"/>
      <c r="M945" s="126"/>
      <c r="N945" s="127"/>
      <c r="O945" s="126"/>
      <c r="P945" s="126"/>
      <c r="Q945" s="127"/>
      <c r="R945" s="126"/>
      <c r="S945" s="126"/>
      <c r="T945" s="127"/>
      <c r="U945" s="126"/>
      <c r="V945" s="126"/>
      <c r="W945" s="127"/>
      <c r="X945" s="126"/>
      <c r="Y945" s="126"/>
      <c r="Z945" s="127"/>
      <c r="AA945" s="126"/>
      <c r="AB945" s="126"/>
      <c r="AC945" s="127"/>
      <c r="AD945" s="126"/>
      <c r="AE945" s="126"/>
      <c r="AF945" s="126"/>
      <c r="AG945" s="127"/>
      <c r="AH945" s="126"/>
      <c r="AI945" s="126"/>
      <c r="AJ945" s="127"/>
      <c r="AK945" s="126"/>
      <c r="AL945" s="126"/>
      <c r="AM945" s="127"/>
      <c r="AN945" s="126"/>
      <c r="AO945" s="126"/>
      <c r="AP945" s="127"/>
      <c r="AQ945" s="126"/>
      <c r="AR945" s="126"/>
      <c r="AS945" s="127"/>
      <c r="AT945" s="126"/>
      <c r="AU945" s="126"/>
      <c r="AV945" s="127"/>
      <c r="AW945" s="126"/>
      <c r="AX945" s="126"/>
      <c r="AY945" s="127"/>
      <c r="AZ945" s="126"/>
      <c r="BA945" s="126"/>
      <c r="BB945" s="127"/>
      <c r="BC945" s="126"/>
      <c r="BD945" s="134"/>
      <c r="BE945" s="127"/>
      <c r="BF945" s="126"/>
      <c r="BG945" s="126"/>
      <c r="BH945" s="126"/>
      <c r="BI945" s="126"/>
      <c r="BJ945" s="126"/>
      <c r="BK945" s="126"/>
      <c r="BL945" s="126"/>
      <c r="BM945" s="126"/>
      <c r="BN945" s="126"/>
      <c r="BO945" s="126"/>
      <c r="BP945" s="126"/>
      <c r="BQ945" s="126"/>
      <c r="BR945" s="126"/>
      <c r="BS945" s="126"/>
      <c r="BT945" s="126"/>
      <c r="BU945" s="126"/>
      <c r="BV945" s="126"/>
      <c r="BW945" s="126"/>
      <c r="BX945" s="126"/>
    </row>
    <row r="946">
      <c r="A946" s="126"/>
      <c r="B946" s="126"/>
      <c r="C946" s="127"/>
      <c r="D946" s="126"/>
      <c r="E946" s="126"/>
      <c r="F946" s="127"/>
      <c r="G946" s="126"/>
      <c r="H946" s="127"/>
      <c r="I946" s="126"/>
      <c r="J946" s="126"/>
      <c r="K946" s="127"/>
      <c r="L946" s="126"/>
      <c r="M946" s="126"/>
      <c r="N946" s="127"/>
      <c r="O946" s="126"/>
      <c r="P946" s="126"/>
      <c r="Q946" s="127"/>
      <c r="R946" s="126"/>
      <c r="S946" s="126"/>
      <c r="T946" s="127"/>
      <c r="U946" s="126"/>
      <c r="V946" s="126"/>
      <c r="W946" s="127"/>
      <c r="X946" s="126"/>
      <c r="Y946" s="126"/>
      <c r="Z946" s="127"/>
      <c r="AA946" s="126"/>
      <c r="AB946" s="126"/>
      <c r="AC946" s="127"/>
      <c r="AD946" s="126"/>
      <c r="AE946" s="126"/>
      <c r="AF946" s="126"/>
      <c r="AG946" s="127"/>
      <c r="AH946" s="126"/>
      <c r="AI946" s="126"/>
      <c r="AJ946" s="127"/>
      <c r="AK946" s="126"/>
      <c r="AL946" s="126"/>
      <c r="AM946" s="127"/>
      <c r="AN946" s="126"/>
      <c r="AO946" s="126"/>
      <c r="AP946" s="127"/>
      <c r="AQ946" s="126"/>
      <c r="AR946" s="126"/>
      <c r="AS946" s="127"/>
      <c r="AT946" s="126"/>
      <c r="AU946" s="126"/>
      <c r="AV946" s="127"/>
      <c r="AW946" s="126"/>
      <c r="AX946" s="126"/>
      <c r="AY946" s="127"/>
      <c r="AZ946" s="126"/>
      <c r="BA946" s="126"/>
      <c r="BB946" s="127"/>
      <c r="BC946" s="126"/>
      <c r="BD946" s="134"/>
      <c r="BE946" s="127"/>
      <c r="BF946" s="126"/>
      <c r="BG946" s="126"/>
      <c r="BH946" s="126"/>
      <c r="BI946" s="126"/>
      <c r="BJ946" s="126"/>
      <c r="BK946" s="126"/>
      <c r="BL946" s="126"/>
      <c r="BM946" s="126"/>
      <c r="BN946" s="126"/>
      <c r="BO946" s="126"/>
      <c r="BP946" s="126"/>
      <c r="BQ946" s="126"/>
      <c r="BR946" s="126"/>
      <c r="BS946" s="126"/>
      <c r="BT946" s="126"/>
      <c r="BU946" s="126"/>
      <c r="BV946" s="126"/>
      <c r="BW946" s="126"/>
      <c r="BX946" s="126"/>
    </row>
    <row r="947">
      <c r="A947" s="126"/>
      <c r="B947" s="126"/>
      <c r="C947" s="127"/>
      <c r="D947" s="126"/>
      <c r="E947" s="126"/>
      <c r="F947" s="127"/>
      <c r="G947" s="126"/>
      <c r="H947" s="127"/>
      <c r="I947" s="126"/>
      <c r="J947" s="126"/>
      <c r="K947" s="127"/>
      <c r="L947" s="126"/>
      <c r="M947" s="126"/>
      <c r="N947" s="127"/>
      <c r="O947" s="126"/>
      <c r="P947" s="126"/>
      <c r="Q947" s="127"/>
      <c r="R947" s="126"/>
      <c r="S947" s="126"/>
      <c r="T947" s="127"/>
      <c r="U947" s="126"/>
      <c r="V947" s="126"/>
      <c r="W947" s="127"/>
      <c r="X947" s="126"/>
      <c r="Y947" s="126"/>
      <c r="Z947" s="127"/>
      <c r="AA947" s="126"/>
      <c r="AB947" s="126"/>
      <c r="AC947" s="127"/>
      <c r="AD947" s="126"/>
      <c r="AE947" s="126"/>
      <c r="AF947" s="126"/>
      <c r="AG947" s="127"/>
      <c r="AH947" s="126"/>
      <c r="AI947" s="126"/>
      <c r="AJ947" s="127"/>
      <c r="AK947" s="126"/>
      <c r="AL947" s="126"/>
      <c r="AM947" s="127"/>
      <c r="AN947" s="126"/>
      <c r="AO947" s="126"/>
      <c r="AP947" s="127"/>
      <c r="AQ947" s="126"/>
      <c r="AR947" s="126"/>
      <c r="AS947" s="127"/>
      <c r="AT947" s="126"/>
      <c r="AU947" s="126"/>
      <c r="AV947" s="127"/>
      <c r="AW947" s="126"/>
      <c r="AX947" s="126"/>
      <c r="AY947" s="127"/>
      <c r="AZ947" s="126"/>
      <c r="BA947" s="126"/>
      <c r="BB947" s="127"/>
      <c r="BC947" s="126"/>
      <c r="BD947" s="134"/>
      <c r="BE947" s="127"/>
      <c r="BF947" s="126"/>
      <c r="BG947" s="126"/>
      <c r="BH947" s="126"/>
      <c r="BI947" s="126"/>
      <c r="BJ947" s="126"/>
      <c r="BK947" s="126"/>
      <c r="BL947" s="126"/>
      <c r="BM947" s="126"/>
      <c r="BN947" s="126"/>
      <c r="BO947" s="126"/>
      <c r="BP947" s="126"/>
      <c r="BQ947" s="126"/>
      <c r="BR947" s="126"/>
      <c r="BS947" s="126"/>
      <c r="BT947" s="126"/>
      <c r="BU947" s="126"/>
      <c r="BV947" s="126"/>
      <c r="BW947" s="126"/>
      <c r="BX947" s="126"/>
    </row>
    <row r="948">
      <c r="A948" s="126"/>
      <c r="B948" s="126"/>
      <c r="C948" s="127"/>
      <c r="D948" s="126"/>
      <c r="E948" s="126"/>
      <c r="F948" s="127"/>
      <c r="G948" s="126"/>
      <c r="H948" s="127"/>
      <c r="I948" s="126"/>
      <c r="J948" s="126"/>
      <c r="K948" s="127"/>
      <c r="L948" s="126"/>
      <c r="M948" s="126"/>
      <c r="N948" s="127"/>
      <c r="O948" s="126"/>
      <c r="P948" s="126"/>
      <c r="Q948" s="127"/>
      <c r="R948" s="126"/>
      <c r="S948" s="126"/>
      <c r="T948" s="127"/>
      <c r="U948" s="126"/>
      <c r="V948" s="126"/>
      <c r="W948" s="127"/>
      <c r="X948" s="126"/>
      <c r="Y948" s="126"/>
      <c r="Z948" s="127"/>
      <c r="AA948" s="126"/>
      <c r="AB948" s="126"/>
      <c r="AC948" s="127"/>
      <c r="AD948" s="126"/>
      <c r="AE948" s="126"/>
      <c r="AF948" s="126"/>
      <c r="AG948" s="127"/>
      <c r="AH948" s="126"/>
      <c r="AI948" s="126"/>
      <c r="AJ948" s="127"/>
      <c r="AK948" s="126"/>
      <c r="AL948" s="126"/>
      <c r="AM948" s="127"/>
      <c r="AN948" s="126"/>
      <c r="AO948" s="126"/>
      <c r="AP948" s="127"/>
      <c r="AQ948" s="126"/>
      <c r="AR948" s="126"/>
      <c r="AS948" s="127"/>
      <c r="AT948" s="126"/>
      <c r="AU948" s="126"/>
      <c r="AV948" s="127"/>
      <c r="AW948" s="126"/>
      <c r="AX948" s="126"/>
      <c r="AY948" s="127"/>
      <c r="AZ948" s="126"/>
      <c r="BA948" s="126"/>
      <c r="BB948" s="127"/>
      <c r="BC948" s="126"/>
      <c r="BD948" s="134"/>
      <c r="BE948" s="127"/>
      <c r="BF948" s="126"/>
      <c r="BG948" s="126"/>
      <c r="BH948" s="126"/>
      <c r="BI948" s="126"/>
      <c r="BJ948" s="126"/>
      <c r="BK948" s="126"/>
      <c r="BL948" s="126"/>
      <c r="BM948" s="126"/>
      <c r="BN948" s="126"/>
      <c r="BO948" s="126"/>
      <c r="BP948" s="126"/>
      <c r="BQ948" s="126"/>
      <c r="BR948" s="126"/>
      <c r="BS948" s="126"/>
      <c r="BT948" s="126"/>
      <c r="BU948" s="126"/>
      <c r="BV948" s="126"/>
      <c r="BW948" s="126"/>
      <c r="BX948" s="126"/>
    </row>
    <row r="949">
      <c r="A949" s="126"/>
      <c r="B949" s="126"/>
      <c r="C949" s="127"/>
      <c r="D949" s="126"/>
      <c r="E949" s="126"/>
      <c r="F949" s="127"/>
      <c r="G949" s="126"/>
      <c r="H949" s="127"/>
      <c r="I949" s="126"/>
      <c r="J949" s="126"/>
      <c r="K949" s="127"/>
      <c r="L949" s="126"/>
      <c r="M949" s="126"/>
      <c r="N949" s="127"/>
      <c r="O949" s="126"/>
      <c r="P949" s="126"/>
      <c r="Q949" s="127"/>
      <c r="R949" s="126"/>
      <c r="S949" s="126"/>
      <c r="T949" s="127"/>
      <c r="U949" s="126"/>
      <c r="V949" s="126"/>
      <c r="W949" s="127"/>
      <c r="X949" s="126"/>
      <c r="Y949" s="126"/>
      <c r="Z949" s="127"/>
      <c r="AA949" s="126"/>
      <c r="AB949" s="126"/>
      <c r="AC949" s="127"/>
      <c r="AD949" s="126"/>
      <c r="AE949" s="126"/>
      <c r="AF949" s="126"/>
      <c r="AG949" s="127"/>
      <c r="AH949" s="126"/>
      <c r="AI949" s="126"/>
      <c r="AJ949" s="127"/>
      <c r="AK949" s="126"/>
      <c r="AL949" s="126"/>
      <c r="AM949" s="127"/>
      <c r="AN949" s="126"/>
      <c r="AO949" s="126"/>
      <c r="AP949" s="127"/>
      <c r="AQ949" s="126"/>
      <c r="AR949" s="126"/>
      <c r="AS949" s="127"/>
      <c r="AT949" s="126"/>
      <c r="AU949" s="126"/>
      <c r="AV949" s="127"/>
      <c r="AW949" s="126"/>
      <c r="AX949" s="126"/>
      <c r="AY949" s="127"/>
      <c r="AZ949" s="126"/>
      <c r="BA949" s="126"/>
      <c r="BB949" s="127"/>
      <c r="BC949" s="126"/>
      <c r="BD949" s="134"/>
      <c r="BE949" s="127"/>
      <c r="BF949" s="126"/>
      <c r="BG949" s="126"/>
      <c r="BH949" s="126"/>
      <c r="BI949" s="126"/>
      <c r="BJ949" s="126"/>
      <c r="BK949" s="126"/>
      <c r="BL949" s="126"/>
      <c r="BM949" s="126"/>
      <c r="BN949" s="126"/>
      <c r="BO949" s="126"/>
      <c r="BP949" s="126"/>
      <c r="BQ949" s="126"/>
      <c r="BR949" s="126"/>
      <c r="BS949" s="126"/>
      <c r="BT949" s="126"/>
      <c r="BU949" s="126"/>
      <c r="BV949" s="126"/>
      <c r="BW949" s="126"/>
      <c r="BX949" s="126"/>
    </row>
    <row r="950">
      <c r="A950" s="126"/>
      <c r="B950" s="126"/>
      <c r="C950" s="127"/>
      <c r="D950" s="126"/>
      <c r="E950" s="126"/>
      <c r="F950" s="127"/>
      <c r="G950" s="126"/>
      <c r="H950" s="127"/>
      <c r="I950" s="126"/>
      <c r="J950" s="126"/>
      <c r="K950" s="127"/>
      <c r="L950" s="126"/>
      <c r="M950" s="126"/>
      <c r="N950" s="127"/>
      <c r="O950" s="126"/>
      <c r="P950" s="126"/>
      <c r="Q950" s="127"/>
      <c r="R950" s="126"/>
      <c r="S950" s="126"/>
      <c r="T950" s="127"/>
      <c r="U950" s="126"/>
      <c r="V950" s="126"/>
      <c r="W950" s="127"/>
      <c r="X950" s="126"/>
      <c r="Y950" s="126"/>
      <c r="Z950" s="127"/>
      <c r="AA950" s="126"/>
      <c r="AB950" s="126"/>
      <c r="AC950" s="127"/>
      <c r="AD950" s="126"/>
      <c r="AE950" s="126"/>
      <c r="AF950" s="126"/>
      <c r="AG950" s="127"/>
      <c r="AH950" s="126"/>
      <c r="AI950" s="126"/>
      <c r="AJ950" s="127"/>
      <c r="AK950" s="126"/>
      <c r="AL950" s="126"/>
      <c r="AM950" s="127"/>
      <c r="AN950" s="126"/>
      <c r="AO950" s="126"/>
      <c r="AP950" s="127"/>
      <c r="AQ950" s="126"/>
      <c r="AR950" s="126"/>
      <c r="AS950" s="127"/>
      <c r="AT950" s="126"/>
      <c r="AU950" s="126"/>
      <c r="AV950" s="127"/>
      <c r="AW950" s="126"/>
      <c r="AX950" s="126"/>
      <c r="AY950" s="127"/>
      <c r="AZ950" s="126"/>
      <c r="BA950" s="126"/>
      <c r="BB950" s="127"/>
      <c r="BC950" s="126"/>
      <c r="BD950" s="134"/>
      <c r="BE950" s="127"/>
      <c r="BF950" s="126"/>
      <c r="BG950" s="126"/>
      <c r="BH950" s="126"/>
      <c r="BI950" s="126"/>
      <c r="BJ950" s="126"/>
      <c r="BK950" s="126"/>
      <c r="BL950" s="126"/>
      <c r="BM950" s="126"/>
      <c r="BN950" s="126"/>
      <c r="BO950" s="126"/>
      <c r="BP950" s="126"/>
      <c r="BQ950" s="126"/>
      <c r="BR950" s="126"/>
      <c r="BS950" s="126"/>
      <c r="BT950" s="126"/>
      <c r="BU950" s="126"/>
      <c r="BV950" s="126"/>
      <c r="BW950" s="126"/>
      <c r="BX950" s="126"/>
    </row>
    <row r="951">
      <c r="A951" s="126"/>
      <c r="B951" s="126"/>
      <c r="C951" s="127"/>
      <c r="D951" s="126"/>
      <c r="E951" s="126"/>
      <c r="F951" s="127"/>
      <c r="G951" s="126"/>
      <c r="H951" s="127"/>
      <c r="I951" s="126"/>
      <c r="J951" s="126"/>
      <c r="K951" s="127"/>
      <c r="L951" s="126"/>
      <c r="M951" s="126"/>
      <c r="N951" s="127"/>
      <c r="O951" s="126"/>
      <c r="P951" s="126"/>
      <c r="Q951" s="127"/>
      <c r="R951" s="126"/>
      <c r="S951" s="126"/>
      <c r="T951" s="127"/>
      <c r="U951" s="126"/>
      <c r="V951" s="126"/>
      <c r="W951" s="127"/>
      <c r="X951" s="126"/>
      <c r="Y951" s="126"/>
      <c r="Z951" s="127"/>
      <c r="AA951" s="126"/>
      <c r="AB951" s="126"/>
      <c r="AC951" s="127"/>
      <c r="AD951" s="126"/>
      <c r="AE951" s="126"/>
      <c r="AF951" s="126"/>
      <c r="AG951" s="127"/>
      <c r="AH951" s="126"/>
      <c r="AI951" s="126"/>
      <c r="AJ951" s="127"/>
      <c r="AK951" s="126"/>
      <c r="AL951" s="126"/>
      <c r="AM951" s="127"/>
      <c r="AN951" s="126"/>
      <c r="AO951" s="126"/>
      <c r="AP951" s="127"/>
      <c r="AQ951" s="126"/>
      <c r="AR951" s="126"/>
      <c r="AS951" s="127"/>
      <c r="AT951" s="126"/>
      <c r="AU951" s="126"/>
      <c r="AV951" s="127"/>
      <c r="AW951" s="126"/>
      <c r="AX951" s="126"/>
      <c r="AY951" s="127"/>
      <c r="AZ951" s="126"/>
      <c r="BA951" s="126"/>
      <c r="BB951" s="127"/>
      <c r="BC951" s="126"/>
      <c r="BD951" s="134"/>
      <c r="BE951" s="127"/>
      <c r="BF951" s="126"/>
      <c r="BG951" s="126"/>
      <c r="BH951" s="126"/>
      <c r="BI951" s="126"/>
      <c r="BJ951" s="126"/>
      <c r="BK951" s="126"/>
      <c r="BL951" s="126"/>
      <c r="BM951" s="126"/>
      <c r="BN951" s="126"/>
      <c r="BO951" s="126"/>
      <c r="BP951" s="126"/>
      <c r="BQ951" s="126"/>
      <c r="BR951" s="126"/>
      <c r="BS951" s="126"/>
      <c r="BT951" s="126"/>
      <c r="BU951" s="126"/>
      <c r="BV951" s="126"/>
      <c r="BW951" s="126"/>
      <c r="BX951" s="126"/>
    </row>
    <row r="952">
      <c r="A952" s="126"/>
      <c r="B952" s="126"/>
      <c r="C952" s="127"/>
      <c r="D952" s="126"/>
      <c r="E952" s="126"/>
      <c r="F952" s="127"/>
      <c r="G952" s="126"/>
      <c r="H952" s="127"/>
      <c r="I952" s="126"/>
      <c r="J952" s="126"/>
      <c r="K952" s="127"/>
      <c r="L952" s="126"/>
      <c r="M952" s="126"/>
      <c r="N952" s="127"/>
      <c r="O952" s="126"/>
      <c r="P952" s="126"/>
      <c r="Q952" s="127"/>
      <c r="R952" s="126"/>
      <c r="S952" s="126"/>
      <c r="T952" s="127"/>
      <c r="U952" s="126"/>
      <c r="V952" s="126"/>
      <c r="W952" s="127"/>
      <c r="X952" s="126"/>
      <c r="Y952" s="126"/>
      <c r="Z952" s="127"/>
      <c r="AA952" s="126"/>
      <c r="AB952" s="126"/>
      <c r="AC952" s="127"/>
      <c r="AD952" s="126"/>
      <c r="AE952" s="126"/>
      <c r="AF952" s="126"/>
      <c r="AG952" s="127"/>
      <c r="AH952" s="126"/>
      <c r="AI952" s="126"/>
      <c r="AJ952" s="127"/>
      <c r="AK952" s="126"/>
      <c r="AL952" s="126"/>
      <c r="AM952" s="127"/>
      <c r="AN952" s="126"/>
      <c r="AO952" s="126"/>
      <c r="AP952" s="127"/>
      <c r="AQ952" s="126"/>
      <c r="AR952" s="126"/>
      <c r="AS952" s="127"/>
      <c r="AT952" s="126"/>
      <c r="AU952" s="126"/>
      <c r="AV952" s="127"/>
      <c r="AW952" s="126"/>
      <c r="AX952" s="126"/>
      <c r="AY952" s="127"/>
      <c r="AZ952" s="126"/>
      <c r="BA952" s="126"/>
      <c r="BB952" s="127"/>
      <c r="BC952" s="126"/>
      <c r="BD952" s="134"/>
      <c r="BE952" s="127"/>
      <c r="BF952" s="126"/>
      <c r="BG952" s="126"/>
      <c r="BH952" s="126"/>
      <c r="BI952" s="126"/>
      <c r="BJ952" s="126"/>
      <c r="BK952" s="126"/>
      <c r="BL952" s="126"/>
      <c r="BM952" s="126"/>
      <c r="BN952" s="126"/>
      <c r="BO952" s="126"/>
      <c r="BP952" s="126"/>
      <c r="BQ952" s="126"/>
      <c r="BR952" s="126"/>
      <c r="BS952" s="126"/>
      <c r="BT952" s="126"/>
      <c r="BU952" s="126"/>
      <c r="BV952" s="126"/>
      <c r="BW952" s="126"/>
      <c r="BX952" s="126"/>
    </row>
    <row r="953">
      <c r="A953" s="126"/>
      <c r="B953" s="126"/>
      <c r="C953" s="127"/>
      <c r="D953" s="126"/>
      <c r="E953" s="126"/>
      <c r="F953" s="127"/>
      <c r="G953" s="126"/>
      <c r="H953" s="127"/>
      <c r="I953" s="126"/>
      <c r="J953" s="126"/>
      <c r="K953" s="127"/>
      <c r="L953" s="126"/>
      <c r="M953" s="126"/>
      <c r="N953" s="127"/>
      <c r="O953" s="126"/>
      <c r="P953" s="126"/>
      <c r="Q953" s="127"/>
      <c r="R953" s="126"/>
      <c r="S953" s="126"/>
      <c r="T953" s="127"/>
      <c r="U953" s="126"/>
      <c r="V953" s="126"/>
      <c r="W953" s="127"/>
      <c r="X953" s="126"/>
      <c r="Y953" s="126"/>
      <c r="Z953" s="127"/>
      <c r="AA953" s="126"/>
      <c r="AB953" s="126"/>
      <c r="AC953" s="127"/>
      <c r="AD953" s="126"/>
      <c r="AE953" s="126"/>
      <c r="AF953" s="126"/>
      <c r="AG953" s="127"/>
      <c r="AH953" s="126"/>
      <c r="AI953" s="126"/>
      <c r="AJ953" s="127"/>
      <c r="AK953" s="126"/>
      <c r="AL953" s="126"/>
      <c r="AM953" s="127"/>
      <c r="AN953" s="126"/>
      <c r="AO953" s="126"/>
      <c r="AP953" s="127"/>
      <c r="AQ953" s="126"/>
      <c r="AR953" s="126"/>
      <c r="AS953" s="127"/>
      <c r="AT953" s="126"/>
      <c r="AU953" s="126"/>
      <c r="AV953" s="127"/>
      <c r="AW953" s="126"/>
      <c r="AX953" s="126"/>
      <c r="AY953" s="127"/>
      <c r="AZ953" s="126"/>
      <c r="BA953" s="126"/>
      <c r="BB953" s="127"/>
      <c r="BC953" s="126"/>
      <c r="BD953" s="134"/>
      <c r="BE953" s="127"/>
      <c r="BF953" s="126"/>
      <c r="BG953" s="126"/>
      <c r="BH953" s="126"/>
      <c r="BI953" s="126"/>
      <c r="BJ953" s="126"/>
      <c r="BK953" s="126"/>
      <c r="BL953" s="126"/>
      <c r="BM953" s="126"/>
      <c r="BN953" s="126"/>
      <c r="BO953" s="126"/>
      <c r="BP953" s="126"/>
      <c r="BQ953" s="126"/>
      <c r="BR953" s="126"/>
      <c r="BS953" s="126"/>
      <c r="BT953" s="126"/>
      <c r="BU953" s="126"/>
      <c r="BV953" s="126"/>
      <c r="BW953" s="126"/>
      <c r="BX953" s="126"/>
    </row>
    <row r="954">
      <c r="A954" s="126"/>
      <c r="B954" s="126"/>
      <c r="C954" s="127"/>
      <c r="D954" s="126"/>
      <c r="E954" s="126"/>
      <c r="F954" s="127"/>
      <c r="G954" s="126"/>
      <c r="H954" s="127"/>
      <c r="I954" s="126"/>
      <c r="J954" s="126"/>
      <c r="K954" s="127"/>
      <c r="L954" s="126"/>
      <c r="M954" s="126"/>
      <c r="N954" s="127"/>
      <c r="O954" s="126"/>
      <c r="P954" s="126"/>
      <c r="Q954" s="127"/>
      <c r="R954" s="126"/>
      <c r="S954" s="126"/>
      <c r="T954" s="127"/>
      <c r="U954" s="126"/>
      <c r="V954" s="126"/>
      <c r="W954" s="127"/>
      <c r="X954" s="126"/>
      <c r="Y954" s="126"/>
      <c r="Z954" s="127"/>
      <c r="AA954" s="126"/>
      <c r="AB954" s="126"/>
      <c r="AC954" s="127"/>
      <c r="AD954" s="126"/>
      <c r="AE954" s="126"/>
      <c r="AF954" s="126"/>
      <c r="AG954" s="127"/>
      <c r="AH954" s="126"/>
      <c r="AI954" s="126"/>
      <c r="AJ954" s="127"/>
      <c r="AK954" s="126"/>
      <c r="AL954" s="126"/>
      <c r="AM954" s="127"/>
      <c r="AN954" s="126"/>
      <c r="AO954" s="126"/>
      <c r="AP954" s="127"/>
      <c r="AQ954" s="126"/>
      <c r="AR954" s="126"/>
      <c r="AS954" s="127"/>
      <c r="AT954" s="126"/>
      <c r="AU954" s="126"/>
      <c r="AV954" s="127"/>
      <c r="AW954" s="126"/>
      <c r="AX954" s="126"/>
      <c r="AY954" s="127"/>
      <c r="AZ954" s="126"/>
      <c r="BA954" s="126"/>
      <c r="BB954" s="127"/>
      <c r="BC954" s="126"/>
      <c r="BD954" s="134"/>
      <c r="BE954" s="127"/>
      <c r="BF954" s="126"/>
      <c r="BG954" s="126"/>
      <c r="BH954" s="126"/>
      <c r="BI954" s="126"/>
      <c r="BJ954" s="126"/>
      <c r="BK954" s="126"/>
      <c r="BL954" s="126"/>
      <c r="BM954" s="126"/>
      <c r="BN954" s="126"/>
      <c r="BO954" s="126"/>
      <c r="BP954" s="126"/>
      <c r="BQ954" s="126"/>
      <c r="BR954" s="126"/>
      <c r="BS954" s="126"/>
      <c r="BT954" s="126"/>
      <c r="BU954" s="126"/>
      <c r="BV954" s="126"/>
      <c r="BW954" s="126"/>
      <c r="BX954" s="126"/>
    </row>
    <row r="955">
      <c r="A955" s="126"/>
      <c r="B955" s="126"/>
      <c r="C955" s="127"/>
      <c r="D955" s="126"/>
      <c r="E955" s="126"/>
      <c r="F955" s="127"/>
      <c r="G955" s="126"/>
      <c r="H955" s="127"/>
      <c r="I955" s="126"/>
      <c r="J955" s="126"/>
      <c r="K955" s="127"/>
      <c r="L955" s="126"/>
      <c r="M955" s="126"/>
      <c r="N955" s="127"/>
      <c r="O955" s="126"/>
      <c r="P955" s="126"/>
      <c r="Q955" s="127"/>
      <c r="R955" s="126"/>
      <c r="S955" s="126"/>
      <c r="T955" s="127"/>
      <c r="U955" s="126"/>
      <c r="V955" s="126"/>
      <c r="W955" s="127"/>
      <c r="X955" s="126"/>
      <c r="Y955" s="126"/>
      <c r="Z955" s="127"/>
      <c r="AA955" s="126"/>
      <c r="AB955" s="126"/>
      <c r="AC955" s="127"/>
      <c r="AD955" s="126"/>
      <c r="AE955" s="126"/>
      <c r="AF955" s="126"/>
      <c r="AG955" s="127"/>
      <c r="AH955" s="126"/>
      <c r="AI955" s="126"/>
      <c r="AJ955" s="127"/>
      <c r="AK955" s="126"/>
      <c r="AL955" s="126"/>
      <c r="AM955" s="127"/>
      <c r="AN955" s="126"/>
      <c r="AO955" s="126"/>
      <c r="AP955" s="127"/>
      <c r="AQ955" s="126"/>
      <c r="AR955" s="126"/>
      <c r="AS955" s="127"/>
      <c r="AT955" s="126"/>
      <c r="AU955" s="126"/>
      <c r="AV955" s="127"/>
      <c r="AW955" s="126"/>
      <c r="AX955" s="126"/>
      <c r="AY955" s="127"/>
      <c r="AZ955" s="126"/>
      <c r="BA955" s="126"/>
      <c r="BB955" s="127"/>
      <c r="BC955" s="126"/>
      <c r="BD955" s="134"/>
      <c r="BE955" s="127"/>
      <c r="BF955" s="126"/>
      <c r="BG955" s="126"/>
      <c r="BH955" s="126"/>
      <c r="BI955" s="126"/>
      <c r="BJ955" s="126"/>
      <c r="BK955" s="126"/>
      <c r="BL955" s="126"/>
      <c r="BM955" s="126"/>
      <c r="BN955" s="126"/>
      <c r="BO955" s="126"/>
      <c r="BP955" s="126"/>
      <c r="BQ955" s="126"/>
      <c r="BR955" s="126"/>
      <c r="BS955" s="126"/>
      <c r="BT955" s="126"/>
      <c r="BU955" s="126"/>
      <c r="BV955" s="126"/>
      <c r="BW955" s="126"/>
      <c r="BX955" s="126"/>
    </row>
    <row r="956">
      <c r="A956" s="126"/>
      <c r="B956" s="126"/>
      <c r="C956" s="127"/>
      <c r="D956" s="126"/>
      <c r="E956" s="126"/>
      <c r="F956" s="127"/>
      <c r="G956" s="126"/>
      <c r="H956" s="127"/>
      <c r="I956" s="126"/>
      <c r="J956" s="126"/>
      <c r="K956" s="127"/>
      <c r="L956" s="126"/>
      <c r="M956" s="126"/>
      <c r="N956" s="127"/>
      <c r="O956" s="126"/>
      <c r="P956" s="126"/>
      <c r="Q956" s="127"/>
      <c r="R956" s="126"/>
      <c r="S956" s="126"/>
      <c r="T956" s="127"/>
      <c r="U956" s="126"/>
      <c r="V956" s="126"/>
      <c r="W956" s="127"/>
      <c r="X956" s="126"/>
      <c r="Y956" s="126"/>
      <c r="Z956" s="127"/>
      <c r="AA956" s="126"/>
      <c r="AB956" s="126"/>
      <c r="AC956" s="127"/>
      <c r="AD956" s="126"/>
      <c r="AE956" s="126"/>
      <c r="AF956" s="126"/>
      <c r="AG956" s="127"/>
      <c r="AH956" s="126"/>
      <c r="AI956" s="126"/>
      <c r="AJ956" s="127"/>
      <c r="AK956" s="126"/>
      <c r="AL956" s="126"/>
      <c r="AM956" s="127"/>
      <c r="AN956" s="126"/>
      <c r="AO956" s="126"/>
      <c r="AP956" s="127"/>
      <c r="AQ956" s="126"/>
      <c r="AR956" s="126"/>
      <c r="AS956" s="127"/>
      <c r="AT956" s="126"/>
      <c r="AU956" s="126"/>
      <c r="AV956" s="127"/>
      <c r="AW956" s="126"/>
      <c r="AX956" s="126"/>
      <c r="AY956" s="127"/>
      <c r="AZ956" s="126"/>
      <c r="BA956" s="126"/>
      <c r="BB956" s="127"/>
      <c r="BC956" s="126"/>
      <c r="BD956" s="134"/>
      <c r="BE956" s="127"/>
      <c r="BF956" s="126"/>
      <c r="BG956" s="126"/>
      <c r="BH956" s="126"/>
      <c r="BI956" s="126"/>
      <c r="BJ956" s="126"/>
      <c r="BK956" s="126"/>
      <c r="BL956" s="126"/>
      <c r="BM956" s="126"/>
      <c r="BN956" s="126"/>
      <c r="BO956" s="126"/>
      <c r="BP956" s="126"/>
      <c r="BQ956" s="126"/>
      <c r="BR956" s="126"/>
      <c r="BS956" s="126"/>
      <c r="BT956" s="126"/>
      <c r="BU956" s="126"/>
      <c r="BV956" s="126"/>
      <c r="BW956" s="126"/>
      <c r="BX956" s="126"/>
    </row>
    <row r="957">
      <c r="A957" s="126"/>
      <c r="B957" s="126"/>
      <c r="C957" s="127"/>
      <c r="D957" s="126"/>
      <c r="E957" s="126"/>
      <c r="F957" s="127"/>
      <c r="G957" s="126"/>
      <c r="H957" s="127"/>
      <c r="I957" s="126"/>
      <c r="J957" s="126"/>
      <c r="K957" s="127"/>
      <c r="L957" s="126"/>
      <c r="M957" s="126"/>
      <c r="N957" s="127"/>
      <c r="O957" s="126"/>
      <c r="P957" s="126"/>
      <c r="Q957" s="127"/>
      <c r="R957" s="126"/>
      <c r="S957" s="126"/>
      <c r="T957" s="127"/>
      <c r="U957" s="126"/>
      <c r="V957" s="126"/>
      <c r="W957" s="127"/>
      <c r="X957" s="126"/>
      <c r="Y957" s="126"/>
      <c r="Z957" s="127"/>
      <c r="AA957" s="126"/>
      <c r="AB957" s="126"/>
      <c r="AC957" s="127"/>
      <c r="AD957" s="126"/>
      <c r="AE957" s="126"/>
      <c r="AF957" s="126"/>
      <c r="AG957" s="127"/>
      <c r="AH957" s="126"/>
      <c r="AI957" s="126"/>
      <c r="AJ957" s="127"/>
      <c r="AK957" s="126"/>
      <c r="AL957" s="126"/>
      <c r="AM957" s="127"/>
      <c r="AN957" s="126"/>
      <c r="AO957" s="126"/>
      <c r="AP957" s="127"/>
      <c r="AQ957" s="126"/>
      <c r="AR957" s="126"/>
      <c r="AS957" s="127"/>
      <c r="AT957" s="126"/>
      <c r="AU957" s="126"/>
      <c r="AV957" s="127"/>
      <c r="AW957" s="126"/>
      <c r="AX957" s="126"/>
      <c r="AY957" s="127"/>
      <c r="AZ957" s="126"/>
      <c r="BA957" s="126"/>
      <c r="BB957" s="127"/>
      <c r="BC957" s="126"/>
      <c r="BD957" s="134"/>
      <c r="BE957" s="127"/>
      <c r="BF957" s="126"/>
      <c r="BG957" s="126"/>
      <c r="BH957" s="126"/>
      <c r="BI957" s="126"/>
      <c r="BJ957" s="126"/>
      <c r="BK957" s="126"/>
      <c r="BL957" s="126"/>
      <c r="BM957" s="126"/>
      <c r="BN957" s="126"/>
      <c r="BO957" s="126"/>
      <c r="BP957" s="126"/>
      <c r="BQ957" s="126"/>
      <c r="BR957" s="126"/>
      <c r="BS957" s="126"/>
      <c r="BT957" s="126"/>
      <c r="BU957" s="126"/>
      <c r="BV957" s="126"/>
      <c r="BW957" s="126"/>
      <c r="BX957" s="126"/>
    </row>
    <row r="958">
      <c r="A958" s="126"/>
      <c r="B958" s="126"/>
      <c r="C958" s="127"/>
      <c r="D958" s="126"/>
      <c r="E958" s="126"/>
      <c r="F958" s="127"/>
      <c r="G958" s="126"/>
      <c r="H958" s="127"/>
      <c r="I958" s="126"/>
      <c r="J958" s="126"/>
      <c r="K958" s="127"/>
      <c r="L958" s="126"/>
      <c r="M958" s="126"/>
      <c r="N958" s="127"/>
      <c r="O958" s="126"/>
      <c r="P958" s="126"/>
      <c r="Q958" s="127"/>
      <c r="R958" s="126"/>
      <c r="S958" s="126"/>
      <c r="T958" s="127"/>
      <c r="U958" s="126"/>
      <c r="V958" s="126"/>
      <c r="W958" s="127"/>
      <c r="X958" s="126"/>
      <c r="Y958" s="126"/>
      <c r="Z958" s="127"/>
      <c r="AA958" s="126"/>
      <c r="AB958" s="126"/>
      <c r="AC958" s="127"/>
      <c r="AD958" s="126"/>
      <c r="AE958" s="126"/>
      <c r="AF958" s="126"/>
      <c r="AG958" s="127"/>
      <c r="AH958" s="126"/>
      <c r="AI958" s="126"/>
      <c r="AJ958" s="127"/>
      <c r="AK958" s="126"/>
      <c r="AL958" s="126"/>
      <c r="AM958" s="127"/>
      <c r="AN958" s="126"/>
      <c r="AO958" s="126"/>
      <c r="AP958" s="127"/>
      <c r="AQ958" s="126"/>
      <c r="AR958" s="126"/>
      <c r="AS958" s="127"/>
      <c r="AT958" s="126"/>
      <c r="AU958" s="126"/>
      <c r="AV958" s="127"/>
      <c r="AW958" s="126"/>
      <c r="AX958" s="126"/>
      <c r="AY958" s="127"/>
      <c r="AZ958" s="126"/>
      <c r="BA958" s="126"/>
      <c r="BB958" s="127"/>
      <c r="BC958" s="126"/>
      <c r="BD958" s="134"/>
      <c r="BE958" s="127"/>
      <c r="BF958" s="126"/>
      <c r="BG958" s="126"/>
      <c r="BH958" s="126"/>
      <c r="BI958" s="126"/>
      <c r="BJ958" s="126"/>
      <c r="BK958" s="126"/>
      <c r="BL958" s="126"/>
      <c r="BM958" s="126"/>
      <c r="BN958" s="126"/>
      <c r="BO958" s="126"/>
      <c r="BP958" s="126"/>
      <c r="BQ958" s="126"/>
      <c r="BR958" s="126"/>
      <c r="BS958" s="126"/>
      <c r="BT958" s="126"/>
      <c r="BU958" s="126"/>
      <c r="BV958" s="126"/>
      <c r="BW958" s="126"/>
      <c r="BX958" s="126"/>
    </row>
    <row r="959">
      <c r="A959" s="126"/>
      <c r="B959" s="126"/>
      <c r="C959" s="127"/>
      <c r="D959" s="126"/>
      <c r="E959" s="126"/>
      <c r="F959" s="127"/>
      <c r="G959" s="126"/>
      <c r="H959" s="127"/>
      <c r="I959" s="126"/>
      <c r="J959" s="126"/>
      <c r="K959" s="127"/>
      <c r="L959" s="126"/>
      <c r="M959" s="126"/>
      <c r="N959" s="127"/>
      <c r="O959" s="126"/>
      <c r="P959" s="126"/>
      <c r="Q959" s="127"/>
      <c r="R959" s="126"/>
      <c r="S959" s="126"/>
      <c r="T959" s="127"/>
      <c r="U959" s="126"/>
      <c r="V959" s="126"/>
      <c r="W959" s="127"/>
      <c r="X959" s="126"/>
      <c r="Y959" s="126"/>
      <c r="Z959" s="127"/>
      <c r="AA959" s="126"/>
      <c r="AB959" s="126"/>
      <c r="AC959" s="127"/>
      <c r="AD959" s="126"/>
      <c r="AE959" s="126"/>
      <c r="AF959" s="126"/>
      <c r="AG959" s="127"/>
      <c r="AH959" s="126"/>
      <c r="AI959" s="126"/>
      <c r="AJ959" s="127"/>
      <c r="AK959" s="126"/>
      <c r="AL959" s="126"/>
      <c r="AM959" s="127"/>
      <c r="AN959" s="126"/>
      <c r="AO959" s="126"/>
      <c r="AP959" s="127"/>
      <c r="AQ959" s="126"/>
      <c r="AR959" s="126"/>
      <c r="AS959" s="127"/>
      <c r="AT959" s="126"/>
      <c r="AU959" s="126"/>
      <c r="AV959" s="127"/>
      <c r="AW959" s="126"/>
      <c r="AX959" s="126"/>
      <c r="AY959" s="127"/>
      <c r="AZ959" s="126"/>
      <c r="BA959" s="126"/>
      <c r="BB959" s="127"/>
      <c r="BC959" s="126"/>
      <c r="BD959" s="134"/>
      <c r="BE959" s="127"/>
      <c r="BF959" s="126"/>
      <c r="BG959" s="126"/>
      <c r="BH959" s="126"/>
      <c r="BI959" s="126"/>
      <c r="BJ959" s="126"/>
      <c r="BK959" s="126"/>
      <c r="BL959" s="126"/>
      <c r="BM959" s="126"/>
      <c r="BN959" s="126"/>
      <c r="BO959" s="126"/>
      <c r="BP959" s="126"/>
      <c r="BQ959" s="126"/>
      <c r="BR959" s="126"/>
      <c r="BS959" s="126"/>
      <c r="BT959" s="126"/>
      <c r="BU959" s="126"/>
      <c r="BV959" s="126"/>
      <c r="BW959" s="126"/>
      <c r="BX959" s="126"/>
    </row>
    <row r="960">
      <c r="A960" s="126"/>
      <c r="B960" s="126"/>
      <c r="C960" s="127"/>
      <c r="D960" s="126"/>
      <c r="E960" s="126"/>
      <c r="F960" s="127"/>
      <c r="G960" s="126"/>
      <c r="H960" s="127"/>
      <c r="I960" s="126"/>
      <c r="J960" s="126"/>
      <c r="K960" s="127"/>
      <c r="L960" s="126"/>
      <c r="M960" s="126"/>
      <c r="N960" s="127"/>
      <c r="O960" s="126"/>
      <c r="P960" s="126"/>
      <c r="Q960" s="127"/>
      <c r="R960" s="126"/>
      <c r="S960" s="126"/>
      <c r="T960" s="127"/>
      <c r="U960" s="126"/>
      <c r="V960" s="126"/>
      <c r="W960" s="127"/>
      <c r="X960" s="126"/>
      <c r="Y960" s="126"/>
      <c r="Z960" s="127"/>
      <c r="AA960" s="126"/>
      <c r="AB960" s="126"/>
      <c r="AC960" s="127"/>
      <c r="AD960" s="126"/>
      <c r="AE960" s="126"/>
      <c r="AF960" s="126"/>
      <c r="AG960" s="127"/>
      <c r="AH960" s="126"/>
      <c r="AI960" s="126"/>
      <c r="AJ960" s="127"/>
      <c r="AK960" s="126"/>
      <c r="AL960" s="126"/>
      <c r="AM960" s="127"/>
      <c r="AN960" s="126"/>
      <c r="AO960" s="126"/>
      <c r="AP960" s="127"/>
      <c r="AQ960" s="126"/>
      <c r="AR960" s="126"/>
      <c r="AS960" s="127"/>
      <c r="AT960" s="126"/>
      <c r="AU960" s="126"/>
      <c r="AV960" s="127"/>
      <c r="AW960" s="126"/>
      <c r="AX960" s="126"/>
      <c r="AY960" s="127"/>
      <c r="AZ960" s="126"/>
      <c r="BA960" s="126"/>
      <c r="BB960" s="127"/>
      <c r="BC960" s="126"/>
      <c r="BD960" s="134"/>
      <c r="BE960" s="127"/>
      <c r="BF960" s="126"/>
      <c r="BG960" s="126"/>
      <c r="BH960" s="126"/>
      <c r="BI960" s="126"/>
      <c r="BJ960" s="126"/>
      <c r="BK960" s="126"/>
      <c r="BL960" s="126"/>
      <c r="BM960" s="126"/>
      <c r="BN960" s="126"/>
      <c r="BO960" s="126"/>
      <c r="BP960" s="126"/>
      <c r="BQ960" s="126"/>
      <c r="BR960" s="126"/>
      <c r="BS960" s="126"/>
      <c r="BT960" s="126"/>
      <c r="BU960" s="126"/>
      <c r="BV960" s="126"/>
      <c r="BW960" s="126"/>
      <c r="BX960" s="126"/>
    </row>
    <row r="961">
      <c r="A961" s="126"/>
      <c r="B961" s="126"/>
      <c r="C961" s="127"/>
      <c r="D961" s="126"/>
      <c r="E961" s="126"/>
      <c r="F961" s="127"/>
      <c r="G961" s="126"/>
      <c r="H961" s="127"/>
      <c r="I961" s="126"/>
      <c r="J961" s="126"/>
      <c r="K961" s="127"/>
      <c r="L961" s="126"/>
      <c r="M961" s="126"/>
      <c r="N961" s="127"/>
      <c r="O961" s="126"/>
      <c r="P961" s="126"/>
      <c r="Q961" s="127"/>
      <c r="R961" s="126"/>
      <c r="S961" s="126"/>
      <c r="T961" s="127"/>
      <c r="U961" s="126"/>
      <c r="V961" s="126"/>
      <c r="W961" s="127"/>
      <c r="X961" s="126"/>
      <c r="Y961" s="126"/>
      <c r="Z961" s="127"/>
      <c r="AA961" s="126"/>
      <c r="AB961" s="126"/>
      <c r="AC961" s="127"/>
      <c r="AD961" s="126"/>
      <c r="AE961" s="126"/>
      <c r="AF961" s="126"/>
      <c r="AG961" s="127"/>
      <c r="AH961" s="126"/>
      <c r="AI961" s="126"/>
      <c r="AJ961" s="127"/>
      <c r="AK961" s="126"/>
      <c r="AL961" s="126"/>
      <c r="AM961" s="127"/>
      <c r="AN961" s="126"/>
      <c r="AO961" s="126"/>
      <c r="AP961" s="127"/>
      <c r="AQ961" s="126"/>
      <c r="AR961" s="126"/>
      <c r="AS961" s="127"/>
      <c r="AT961" s="126"/>
      <c r="AU961" s="126"/>
      <c r="AV961" s="127"/>
      <c r="AW961" s="126"/>
      <c r="AX961" s="126"/>
      <c r="AY961" s="127"/>
      <c r="AZ961" s="126"/>
      <c r="BA961" s="126"/>
      <c r="BB961" s="127"/>
      <c r="BC961" s="126"/>
      <c r="BD961" s="134"/>
      <c r="BE961" s="127"/>
      <c r="BF961" s="126"/>
      <c r="BG961" s="126"/>
      <c r="BH961" s="126"/>
      <c r="BI961" s="126"/>
      <c r="BJ961" s="126"/>
      <c r="BK961" s="126"/>
      <c r="BL961" s="126"/>
      <c r="BM961" s="126"/>
      <c r="BN961" s="126"/>
      <c r="BO961" s="126"/>
      <c r="BP961" s="126"/>
      <c r="BQ961" s="126"/>
      <c r="BR961" s="126"/>
      <c r="BS961" s="126"/>
      <c r="BT961" s="126"/>
      <c r="BU961" s="126"/>
      <c r="BV961" s="126"/>
      <c r="BW961" s="126"/>
      <c r="BX961" s="126"/>
    </row>
    <row r="962">
      <c r="A962" s="126"/>
      <c r="B962" s="126"/>
      <c r="C962" s="127"/>
      <c r="D962" s="126"/>
      <c r="E962" s="126"/>
      <c r="F962" s="127"/>
      <c r="G962" s="126"/>
      <c r="H962" s="127"/>
      <c r="I962" s="126"/>
      <c r="J962" s="126"/>
      <c r="K962" s="127"/>
      <c r="L962" s="126"/>
      <c r="M962" s="126"/>
      <c r="N962" s="127"/>
      <c r="O962" s="126"/>
      <c r="P962" s="126"/>
      <c r="Q962" s="127"/>
      <c r="R962" s="126"/>
      <c r="S962" s="126"/>
      <c r="T962" s="127"/>
      <c r="U962" s="126"/>
      <c r="V962" s="126"/>
      <c r="W962" s="127"/>
      <c r="X962" s="126"/>
      <c r="Y962" s="126"/>
      <c r="Z962" s="127"/>
      <c r="AA962" s="126"/>
      <c r="AB962" s="126"/>
      <c r="AC962" s="127"/>
      <c r="AD962" s="126"/>
      <c r="AE962" s="126"/>
      <c r="AF962" s="126"/>
      <c r="AG962" s="127"/>
      <c r="AH962" s="126"/>
      <c r="AI962" s="126"/>
      <c r="AJ962" s="127"/>
      <c r="AK962" s="126"/>
      <c r="AL962" s="126"/>
      <c r="AM962" s="127"/>
      <c r="AN962" s="126"/>
      <c r="AO962" s="126"/>
      <c r="AP962" s="127"/>
      <c r="AQ962" s="126"/>
      <c r="AR962" s="126"/>
      <c r="AS962" s="127"/>
      <c r="AT962" s="126"/>
      <c r="AU962" s="126"/>
      <c r="AV962" s="127"/>
      <c r="AW962" s="126"/>
      <c r="AX962" s="126"/>
      <c r="AY962" s="127"/>
      <c r="AZ962" s="126"/>
      <c r="BA962" s="126"/>
      <c r="BB962" s="127"/>
      <c r="BC962" s="126"/>
      <c r="BD962" s="134"/>
      <c r="BE962" s="127"/>
      <c r="BF962" s="126"/>
      <c r="BG962" s="126"/>
      <c r="BH962" s="126"/>
      <c r="BI962" s="126"/>
      <c r="BJ962" s="126"/>
      <c r="BK962" s="126"/>
      <c r="BL962" s="126"/>
      <c r="BM962" s="126"/>
      <c r="BN962" s="126"/>
      <c r="BO962" s="126"/>
      <c r="BP962" s="126"/>
      <c r="BQ962" s="126"/>
      <c r="BR962" s="126"/>
      <c r="BS962" s="126"/>
      <c r="BT962" s="126"/>
      <c r="BU962" s="126"/>
      <c r="BV962" s="126"/>
      <c r="BW962" s="126"/>
      <c r="BX962" s="126"/>
    </row>
    <row r="963">
      <c r="A963" s="126"/>
      <c r="B963" s="126"/>
      <c r="C963" s="127"/>
      <c r="D963" s="126"/>
      <c r="E963" s="126"/>
      <c r="F963" s="127"/>
      <c r="G963" s="126"/>
      <c r="H963" s="127"/>
      <c r="I963" s="126"/>
      <c r="J963" s="126"/>
      <c r="K963" s="127"/>
      <c r="L963" s="126"/>
      <c r="M963" s="126"/>
      <c r="N963" s="127"/>
      <c r="O963" s="126"/>
      <c r="P963" s="126"/>
      <c r="Q963" s="127"/>
      <c r="R963" s="126"/>
      <c r="S963" s="126"/>
      <c r="T963" s="127"/>
      <c r="U963" s="126"/>
      <c r="V963" s="126"/>
      <c r="W963" s="127"/>
      <c r="X963" s="126"/>
      <c r="Y963" s="126"/>
      <c r="Z963" s="127"/>
      <c r="AA963" s="126"/>
      <c r="AB963" s="126"/>
      <c r="AC963" s="127"/>
      <c r="AD963" s="126"/>
      <c r="AE963" s="126"/>
      <c r="AF963" s="126"/>
      <c r="AG963" s="127"/>
      <c r="AH963" s="126"/>
      <c r="AI963" s="126"/>
      <c r="AJ963" s="127"/>
      <c r="AK963" s="126"/>
      <c r="AL963" s="126"/>
      <c r="AM963" s="127"/>
      <c r="AN963" s="126"/>
      <c r="AO963" s="126"/>
      <c r="AP963" s="127"/>
      <c r="AQ963" s="126"/>
      <c r="AR963" s="126"/>
      <c r="AS963" s="127"/>
      <c r="AT963" s="126"/>
      <c r="AU963" s="126"/>
      <c r="AV963" s="127"/>
      <c r="AW963" s="126"/>
      <c r="AX963" s="126"/>
      <c r="AY963" s="127"/>
      <c r="AZ963" s="126"/>
      <c r="BA963" s="126"/>
      <c r="BB963" s="127"/>
      <c r="BC963" s="126"/>
      <c r="BD963" s="134"/>
      <c r="BE963" s="127"/>
      <c r="BF963" s="126"/>
      <c r="BG963" s="126"/>
      <c r="BH963" s="126"/>
      <c r="BI963" s="126"/>
      <c r="BJ963" s="126"/>
      <c r="BK963" s="126"/>
      <c r="BL963" s="126"/>
      <c r="BM963" s="126"/>
      <c r="BN963" s="126"/>
      <c r="BO963" s="126"/>
      <c r="BP963" s="126"/>
      <c r="BQ963" s="126"/>
      <c r="BR963" s="126"/>
      <c r="BS963" s="126"/>
      <c r="BT963" s="126"/>
      <c r="BU963" s="126"/>
      <c r="BV963" s="126"/>
      <c r="BW963" s="126"/>
      <c r="BX963" s="126"/>
    </row>
    <row r="964">
      <c r="A964" s="126"/>
      <c r="B964" s="126"/>
      <c r="C964" s="127"/>
      <c r="D964" s="126"/>
      <c r="E964" s="126"/>
      <c r="F964" s="127"/>
      <c r="G964" s="126"/>
      <c r="H964" s="127"/>
      <c r="I964" s="126"/>
      <c r="J964" s="126"/>
      <c r="K964" s="127"/>
      <c r="L964" s="126"/>
      <c r="M964" s="126"/>
      <c r="N964" s="127"/>
      <c r="O964" s="126"/>
      <c r="P964" s="126"/>
      <c r="Q964" s="127"/>
      <c r="R964" s="126"/>
      <c r="S964" s="126"/>
      <c r="T964" s="127"/>
      <c r="U964" s="126"/>
      <c r="V964" s="126"/>
      <c r="W964" s="127"/>
      <c r="X964" s="126"/>
      <c r="Y964" s="126"/>
      <c r="Z964" s="127"/>
      <c r="AA964" s="126"/>
      <c r="AB964" s="126"/>
      <c r="AC964" s="127"/>
      <c r="AD964" s="126"/>
      <c r="AE964" s="126"/>
      <c r="AF964" s="126"/>
      <c r="AG964" s="127"/>
      <c r="AH964" s="126"/>
      <c r="AI964" s="126"/>
      <c r="AJ964" s="127"/>
      <c r="AK964" s="126"/>
      <c r="AL964" s="126"/>
      <c r="AM964" s="127"/>
      <c r="AN964" s="126"/>
      <c r="AO964" s="126"/>
      <c r="AP964" s="127"/>
      <c r="AQ964" s="126"/>
      <c r="AR964" s="126"/>
      <c r="AS964" s="127"/>
      <c r="AT964" s="126"/>
      <c r="AU964" s="126"/>
      <c r="AV964" s="127"/>
      <c r="AW964" s="126"/>
      <c r="AX964" s="126"/>
      <c r="AY964" s="127"/>
      <c r="AZ964" s="126"/>
      <c r="BA964" s="126"/>
      <c r="BB964" s="127"/>
      <c r="BC964" s="126"/>
      <c r="BD964" s="134"/>
      <c r="BE964" s="127"/>
      <c r="BF964" s="126"/>
      <c r="BG964" s="126"/>
      <c r="BH964" s="126"/>
      <c r="BI964" s="126"/>
      <c r="BJ964" s="126"/>
      <c r="BK964" s="126"/>
      <c r="BL964" s="126"/>
      <c r="BM964" s="126"/>
      <c r="BN964" s="126"/>
      <c r="BO964" s="126"/>
      <c r="BP964" s="126"/>
      <c r="BQ964" s="126"/>
      <c r="BR964" s="126"/>
      <c r="BS964" s="126"/>
      <c r="BT964" s="126"/>
      <c r="BU964" s="126"/>
      <c r="BV964" s="126"/>
      <c r="BW964" s="126"/>
      <c r="BX964" s="126"/>
    </row>
    <row r="965">
      <c r="A965" s="126"/>
      <c r="B965" s="126"/>
      <c r="C965" s="127"/>
      <c r="D965" s="126"/>
      <c r="E965" s="126"/>
      <c r="F965" s="127"/>
      <c r="G965" s="126"/>
      <c r="H965" s="127"/>
      <c r="I965" s="126"/>
      <c r="J965" s="126"/>
      <c r="K965" s="127"/>
      <c r="L965" s="126"/>
      <c r="M965" s="126"/>
      <c r="N965" s="127"/>
      <c r="O965" s="126"/>
      <c r="P965" s="126"/>
      <c r="Q965" s="127"/>
      <c r="R965" s="126"/>
      <c r="S965" s="126"/>
      <c r="T965" s="127"/>
      <c r="U965" s="126"/>
      <c r="V965" s="126"/>
      <c r="W965" s="127"/>
      <c r="X965" s="126"/>
      <c r="Y965" s="126"/>
      <c r="Z965" s="127"/>
      <c r="AA965" s="126"/>
      <c r="AB965" s="126"/>
      <c r="AC965" s="127"/>
      <c r="AD965" s="126"/>
      <c r="AE965" s="126"/>
      <c r="AF965" s="126"/>
      <c r="AG965" s="127"/>
      <c r="AH965" s="126"/>
      <c r="AI965" s="126"/>
      <c r="AJ965" s="127"/>
      <c r="AK965" s="126"/>
      <c r="AL965" s="126"/>
      <c r="AM965" s="127"/>
      <c r="AN965" s="126"/>
      <c r="AO965" s="126"/>
      <c r="AP965" s="127"/>
      <c r="AQ965" s="126"/>
      <c r="AR965" s="126"/>
      <c r="AS965" s="127"/>
      <c r="AT965" s="126"/>
      <c r="AU965" s="126"/>
      <c r="AV965" s="127"/>
      <c r="AW965" s="126"/>
      <c r="AX965" s="126"/>
      <c r="AY965" s="127"/>
      <c r="AZ965" s="126"/>
      <c r="BA965" s="126"/>
      <c r="BB965" s="127"/>
      <c r="BC965" s="126"/>
      <c r="BD965" s="134"/>
      <c r="BE965" s="127"/>
      <c r="BF965" s="126"/>
      <c r="BG965" s="126"/>
      <c r="BH965" s="126"/>
      <c r="BI965" s="126"/>
      <c r="BJ965" s="126"/>
      <c r="BK965" s="126"/>
      <c r="BL965" s="126"/>
      <c r="BM965" s="126"/>
      <c r="BN965" s="126"/>
      <c r="BO965" s="126"/>
      <c r="BP965" s="126"/>
      <c r="BQ965" s="126"/>
      <c r="BR965" s="126"/>
      <c r="BS965" s="126"/>
      <c r="BT965" s="126"/>
      <c r="BU965" s="126"/>
      <c r="BV965" s="126"/>
      <c r="BW965" s="126"/>
      <c r="BX965" s="126"/>
    </row>
    <row r="966">
      <c r="A966" s="126"/>
      <c r="B966" s="126"/>
      <c r="C966" s="127"/>
      <c r="D966" s="126"/>
      <c r="E966" s="126"/>
      <c r="F966" s="127"/>
      <c r="G966" s="126"/>
      <c r="H966" s="127"/>
      <c r="I966" s="126"/>
      <c r="J966" s="126"/>
      <c r="K966" s="127"/>
      <c r="L966" s="126"/>
      <c r="M966" s="126"/>
      <c r="N966" s="127"/>
      <c r="O966" s="126"/>
      <c r="P966" s="126"/>
      <c r="Q966" s="127"/>
      <c r="R966" s="126"/>
      <c r="S966" s="126"/>
      <c r="T966" s="127"/>
      <c r="U966" s="126"/>
      <c r="V966" s="126"/>
      <c r="W966" s="127"/>
      <c r="X966" s="126"/>
      <c r="Y966" s="126"/>
      <c r="Z966" s="127"/>
      <c r="AA966" s="126"/>
      <c r="AB966" s="126"/>
      <c r="AC966" s="127"/>
      <c r="AD966" s="126"/>
      <c r="AE966" s="126"/>
      <c r="AF966" s="126"/>
      <c r="AG966" s="127"/>
      <c r="AH966" s="126"/>
      <c r="AI966" s="126"/>
      <c r="AJ966" s="127"/>
      <c r="AK966" s="126"/>
      <c r="AL966" s="126"/>
      <c r="AM966" s="127"/>
      <c r="AN966" s="126"/>
      <c r="AO966" s="126"/>
      <c r="AP966" s="127"/>
      <c r="AQ966" s="126"/>
      <c r="AR966" s="126"/>
      <c r="AS966" s="127"/>
      <c r="AT966" s="126"/>
      <c r="AU966" s="126"/>
      <c r="AV966" s="127"/>
      <c r="AW966" s="126"/>
      <c r="AX966" s="126"/>
      <c r="AY966" s="127"/>
      <c r="AZ966" s="126"/>
      <c r="BA966" s="126"/>
      <c r="BB966" s="127"/>
      <c r="BC966" s="126"/>
      <c r="BD966" s="134"/>
      <c r="BE966" s="127"/>
      <c r="BF966" s="126"/>
      <c r="BG966" s="126"/>
      <c r="BH966" s="126"/>
      <c r="BI966" s="126"/>
      <c r="BJ966" s="126"/>
      <c r="BK966" s="126"/>
      <c r="BL966" s="126"/>
      <c r="BM966" s="126"/>
      <c r="BN966" s="126"/>
      <c r="BO966" s="126"/>
      <c r="BP966" s="126"/>
      <c r="BQ966" s="126"/>
      <c r="BR966" s="126"/>
      <c r="BS966" s="126"/>
      <c r="BT966" s="126"/>
      <c r="BU966" s="126"/>
      <c r="BV966" s="126"/>
      <c r="BW966" s="126"/>
      <c r="BX966" s="12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1.22" defaultRowHeight="15.0"/>
  <cols>
    <col customWidth="1" min="2" max="2" width="17.89"/>
    <col customWidth="1" min="3" max="3" width="27.0"/>
    <col customWidth="1" min="4" max="4" width="15.0"/>
  </cols>
  <sheetData>
    <row r="1">
      <c r="A1" s="141" t="s">
        <v>51</v>
      </c>
      <c r="B1" s="141" t="s">
        <v>53</v>
      </c>
      <c r="C1" s="141" t="s">
        <v>10</v>
      </c>
      <c r="D1" s="141" t="s">
        <v>56</v>
      </c>
    </row>
    <row r="2">
      <c r="A2" s="142" t="s">
        <v>642</v>
      </c>
      <c r="B2" s="142" t="s">
        <v>1333</v>
      </c>
      <c r="C2" s="143" t="s">
        <v>3415</v>
      </c>
      <c r="D2" s="142" t="s">
        <v>3416</v>
      </c>
    </row>
    <row r="3">
      <c r="A3" s="142" t="s">
        <v>642</v>
      </c>
      <c r="B3" s="142" t="s">
        <v>1333</v>
      </c>
      <c r="C3" s="143" t="s">
        <v>1338</v>
      </c>
      <c r="D3" s="142" t="s">
        <v>1339</v>
      </c>
    </row>
    <row r="4">
      <c r="A4" s="142" t="s">
        <v>642</v>
      </c>
      <c r="B4" s="142" t="s">
        <v>1333</v>
      </c>
      <c r="C4" s="143" t="s">
        <v>3417</v>
      </c>
      <c r="D4" s="142" t="s">
        <v>3418</v>
      </c>
    </row>
    <row r="5">
      <c r="A5" s="142" t="s">
        <v>642</v>
      </c>
      <c r="B5" s="142" t="s">
        <v>1333</v>
      </c>
      <c r="C5" s="143" t="s">
        <v>3419</v>
      </c>
      <c r="D5" s="142" t="s">
        <v>3420</v>
      </c>
    </row>
    <row r="6" ht="15.75" customHeight="1">
      <c r="A6" s="142" t="s">
        <v>642</v>
      </c>
      <c r="B6" s="142" t="s">
        <v>1333</v>
      </c>
      <c r="C6" s="143" t="s">
        <v>3421</v>
      </c>
      <c r="D6" s="142" t="s">
        <v>3422</v>
      </c>
    </row>
    <row r="7">
      <c r="A7" s="142" t="s">
        <v>642</v>
      </c>
      <c r="B7" s="142" t="s">
        <v>1333</v>
      </c>
      <c r="C7" s="143" t="s">
        <v>2189</v>
      </c>
      <c r="D7" s="142" t="s">
        <v>3423</v>
      </c>
    </row>
    <row r="8">
      <c r="A8" s="142" t="s">
        <v>642</v>
      </c>
      <c r="B8" s="142" t="s">
        <v>1333</v>
      </c>
      <c r="C8" s="143" t="s">
        <v>3424</v>
      </c>
      <c r="D8" s="142" t="s">
        <v>3425</v>
      </c>
    </row>
    <row r="9">
      <c r="A9" s="142" t="s">
        <v>642</v>
      </c>
      <c r="B9" s="142" t="s">
        <v>1333</v>
      </c>
      <c r="C9" s="143" t="s">
        <v>3426</v>
      </c>
      <c r="D9" s="142" t="s">
        <v>3427</v>
      </c>
    </row>
    <row r="10">
      <c r="A10" s="142" t="s">
        <v>642</v>
      </c>
      <c r="B10" s="142" t="s">
        <v>1333</v>
      </c>
      <c r="C10" s="143" t="s">
        <v>3428</v>
      </c>
      <c r="D10" s="142" t="s">
        <v>3429</v>
      </c>
    </row>
    <row r="11">
      <c r="A11" s="142" t="s">
        <v>642</v>
      </c>
      <c r="B11" s="142" t="s">
        <v>1333</v>
      </c>
      <c r="C11" s="143" t="s">
        <v>3430</v>
      </c>
      <c r="D11" s="142" t="s">
        <v>3431</v>
      </c>
    </row>
    <row r="12">
      <c r="A12" s="142" t="s">
        <v>642</v>
      </c>
      <c r="B12" s="142" t="s">
        <v>1333</v>
      </c>
      <c r="C12" s="143" t="s">
        <v>1334</v>
      </c>
      <c r="D12" s="142" t="s">
        <v>1335</v>
      </c>
    </row>
    <row r="13">
      <c r="A13" s="142" t="s">
        <v>642</v>
      </c>
      <c r="B13" s="142" t="s">
        <v>1333</v>
      </c>
      <c r="C13" s="143" t="s">
        <v>1347</v>
      </c>
      <c r="D13" s="142" t="s">
        <v>1348</v>
      </c>
    </row>
    <row r="14">
      <c r="A14" s="142" t="s">
        <v>642</v>
      </c>
      <c r="B14" s="142" t="s">
        <v>2528</v>
      </c>
      <c r="C14" s="143" t="s">
        <v>3432</v>
      </c>
      <c r="D14" s="142" t="s">
        <v>3433</v>
      </c>
    </row>
    <row r="15">
      <c r="A15" s="142" t="s">
        <v>642</v>
      </c>
      <c r="B15" s="142" t="s">
        <v>2528</v>
      </c>
      <c r="C15" s="143" t="s">
        <v>2529</v>
      </c>
      <c r="D15" s="142" t="s">
        <v>2530</v>
      </c>
    </row>
    <row r="16">
      <c r="A16" s="142" t="s">
        <v>642</v>
      </c>
      <c r="B16" s="142" t="s">
        <v>2528</v>
      </c>
      <c r="C16" s="143" t="s">
        <v>3434</v>
      </c>
      <c r="D16" s="142" t="s">
        <v>3435</v>
      </c>
    </row>
    <row r="17">
      <c r="A17" s="142" t="s">
        <v>642</v>
      </c>
      <c r="B17" s="142" t="s">
        <v>2528</v>
      </c>
      <c r="C17" s="143" t="s">
        <v>3436</v>
      </c>
      <c r="D17" s="142" t="s">
        <v>3437</v>
      </c>
    </row>
    <row r="18">
      <c r="A18" s="142" t="s">
        <v>642</v>
      </c>
      <c r="B18" s="142" t="s">
        <v>2528</v>
      </c>
      <c r="C18" s="143" t="s">
        <v>3438</v>
      </c>
      <c r="D18" s="142" t="s">
        <v>3439</v>
      </c>
    </row>
    <row r="19">
      <c r="A19" s="142" t="s">
        <v>642</v>
      </c>
      <c r="B19" s="142" t="s">
        <v>2528</v>
      </c>
      <c r="C19" s="143" t="s">
        <v>3440</v>
      </c>
      <c r="D19" s="142" t="s">
        <v>3441</v>
      </c>
    </row>
    <row r="20">
      <c r="A20" s="142" t="s">
        <v>642</v>
      </c>
      <c r="B20" s="142" t="s">
        <v>2528</v>
      </c>
      <c r="C20" s="143" t="s">
        <v>3442</v>
      </c>
      <c r="D20" s="142" t="s">
        <v>3443</v>
      </c>
    </row>
    <row r="21">
      <c r="A21" s="142" t="s">
        <v>642</v>
      </c>
      <c r="B21" s="142" t="s">
        <v>2528</v>
      </c>
      <c r="C21" s="143" t="s">
        <v>3444</v>
      </c>
      <c r="D21" s="142" t="s">
        <v>3445</v>
      </c>
    </row>
    <row r="22">
      <c r="A22" s="142" t="s">
        <v>642</v>
      </c>
      <c r="B22" s="142" t="s">
        <v>2528</v>
      </c>
      <c r="C22" s="143" t="s">
        <v>3446</v>
      </c>
      <c r="D22" s="142" t="s">
        <v>3447</v>
      </c>
    </row>
    <row r="23">
      <c r="A23" s="142" t="s">
        <v>642</v>
      </c>
      <c r="B23" s="142" t="s">
        <v>2528</v>
      </c>
      <c r="C23" s="143" t="s">
        <v>3448</v>
      </c>
      <c r="D23" s="142" t="s">
        <v>3449</v>
      </c>
    </row>
    <row r="24">
      <c r="A24" s="142" t="s">
        <v>642</v>
      </c>
      <c r="B24" s="142" t="s">
        <v>2528</v>
      </c>
      <c r="C24" s="143" t="s">
        <v>3450</v>
      </c>
      <c r="D24" s="142" t="s">
        <v>3451</v>
      </c>
    </row>
    <row r="25">
      <c r="A25" s="142" t="s">
        <v>642</v>
      </c>
      <c r="B25" s="142" t="s">
        <v>2528</v>
      </c>
      <c r="C25" s="143" t="s">
        <v>3452</v>
      </c>
      <c r="D25" s="142" t="s">
        <v>3453</v>
      </c>
    </row>
    <row r="26">
      <c r="A26" s="142" t="s">
        <v>642</v>
      </c>
      <c r="B26" s="142" t="s">
        <v>2528</v>
      </c>
      <c r="C26" s="143" t="s">
        <v>3454</v>
      </c>
      <c r="D26" s="142" t="s">
        <v>3455</v>
      </c>
    </row>
    <row r="27">
      <c r="A27" s="142" t="s">
        <v>642</v>
      </c>
      <c r="B27" s="142" t="s">
        <v>2528</v>
      </c>
      <c r="C27" s="143" t="s">
        <v>3456</v>
      </c>
      <c r="D27" s="142" t="s">
        <v>3457</v>
      </c>
    </row>
    <row r="28">
      <c r="A28" s="142" t="s">
        <v>642</v>
      </c>
      <c r="B28" s="142" t="s">
        <v>2528</v>
      </c>
      <c r="C28" s="143" t="s">
        <v>3458</v>
      </c>
      <c r="D28" s="142" t="s">
        <v>3459</v>
      </c>
    </row>
    <row r="29">
      <c r="A29" s="142" t="s">
        <v>642</v>
      </c>
      <c r="B29" s="142" t="s">
        <v>2528</v>
      </c>
      <c r="C29" s="143" t="s">
        <v>3460</v>
      </c>
      <c r="D29" s="142" t="s">
        <v>3461</v>
      </c>
    </row>
    <row r="30">
      <c r="A30" s="142" t="s">
        <v>642</v>
      </c>
      <c r="B30" s="142" t="s">
        <v>2528</v>
      </c>
      <c r="C30" s="143" t="s">
        <v>3462</v>
      </c>
      <c r="D30" s="142" t="s">
        <v>3463</v>
      </c>
    </row>
    <row r="31">
      <c r="A31" s="142" t="s">
        <v>642</v>
      </c>
      <c r="B31" s="142" t="s">
        <v>2528</v>
      </c>
      <c r="C31" s="143" t="s">
        <v>3464</v>
      </c>
      <c r="D31" s="142" t="s">
        <v>3465</v>
      </c>
    </row>
    <row r="32">
      <c r="A32" s="142" t="s">
        <v>642</v>
      </c>
      <c r="B32" s="142" t="s">
        <v>2528</v>
      </c>
      <c r="C32" s="143" t="s">
        <v>3466</v>
      </c>
      <c r="D32" s="142" t="s">
        <v>3467</v>
      </c>
    </row>
    <row r="33">
      <c r="A33" s="142" t="s">
        <v>642</v>
      </c>
      <c r="B33" s="142" t="s">
        <v>2528</v>
      </c>
      <c r="C33" s="143" t="s">
        <v>3468</v>
      </c>
      <c r="D33" s="142" t="s">
        <v>3469</v>
      </c>
    </row>
    <row r="34">
      <c r="A34" s="142" t="s">
        <v>642</v>
      </c>
      <c r="B34" s="142" t="s">
        <v>2528</v>
      </c>
      <c r="C34" s="143" t="s">
        <v>3470</v>
      </c>
      <c r="D34" s="142" t="s">
        <v>3471</v>
      </c>
    </row>
    <row r="35">
      <c r="A35" s="142" t="s">
        <v>642</v>
      </c>
      <c r="B35" s="142" t="s">
        <v>2528</v>
      </c>
      <c r="C35" s="143" t="s">
        <v>3472</v>
      </c>
      <c r="D35" s="142" t="s">
        <v>3473</v>
      </c>
    </row>
    <row r="36">
      <c r="A36" s="142" t="s">
        <v>642</v>
      </c>
      <c r="B36" s="142" t="s">
        <v>2528</v>
      </c>
      <c r="C36" s="143" t="s">
        <v>3474</v>
      </c>
      <c r="D36" s="142" t="s">
        <v>3475</v>
      </c>
    </row>
    <row r="37">
      <c r="A37" s="142" t="s">
        <v>642</v>
      </c>
      <c r="B37" s="142" t="s">
        <v>2528</v>
      </c>
      <c r="C37" s="143" t="s">
        <v>3476</v>
      </c>
      <c r="D37" s="142" t="s">
        <v>3477</v>
      </c>
    </row>
    <row r="38">
      <c r="A38" s="142" t="s">
        <v>642</v>
      </c>
      <c r="B38" s="142" t="s">
        <v>2528</v>
      </c>
      <c r="C38" s="143" t="s">
        <v>3478</v>
      </c>
      <c r="D38" s="142" t="s">
        <v>3479</v>
      </c>
    </row>
    <row r="39">
      <c r="A39" s="142" t="s">
        <v>642</v>
      </c>
      <c r="B39" s="142" t="s">
        <v>2528</v>
      </c>
      <c r="C39" s="143" t="s">
        <v>3480</v>
      </c>
      <c r="D39" s="142" t="s">
        <v>3481</v>
      </c>
    </row>
    <row r="40">
      <c r="A40" s="142" t="s">
        <v>642</v>
      </c>
      <c r="B40" s="142" t="s">
        <v>2528</v>
      </c>
      <c r="C40" s="143" t="s">
        <v>3482</v>
      </c>
      <c r="D40" s="142" t="s">
        <v>3483</v>
      </c>
    </row>
    <row r="41">
      <c r="A41" s="142" t="s">
        <v>642</v>
      </c>
      <c r="B41" s="142" t="s">
        <v>2528</v>
      </c>
      <c r="C41" s="143" t="s">
        <v>3484</v>
      </c>
      <c r="D41" s="142" t="s">
        <v>3485</v>
      </c>
    </row>
    <row r="42">
      <c r="A42" s="142" t="s">
        <v>642</v>
      </c>
      <c r="B42" s="142" t="s">
        <v>2528</v>
      </c>
      <c r="C42" s="143" t="s">
        <v>3486</v>
      </c>
      <c r="D42" s="142" t="s">
        <v>3487</v>
      </c>
    </row>
    <row r="43">
      <c r="A43" s="142" t="s">
        <v>642</v>
      </c>
      <c r="B43" s="142" t="s">
        <v>2528</v>
      </c>
      <c r="C43" s="143" t="s">
        <v>3488</v>
      </c>
      <c r="D43" s="142" t="s">
        <v>3489</v>
      </c>
    </row>
    <row r="44">
      <c r="A44" s="142" t="s">
        <v>642</v>
      </c>
      <c r="B44" s="142" t="s">
        <v>2528</v>
      </c>
      <c r="C44" s="143" t="s">
        <v>3490</v>
      </c>
      <c r="D44" s="142" t="s">
        <v>3491</v>
      </c>
    </row>
    <row r="45">
      <c r="A45" s="142" t="s">
        <v>642</v>
      </c>
      <c r="B45" s="142" t="s">
        <v>2528</v>
      </c>
      <c r="C45" s="143" t="s">
        <v>3492</v>
      </c>
      <c r="D45" s="142" t="s">
        <v>3493</v>
      </c>
    </row>
    <row r="46">
      <c r="A46" s="142" t="s">
        <v>642</v>
      </c>
      <c r="B46" s="142" t="s">
        <v>2528</v>
      </c>
      <c r="C46" s="143" t="s">
        <v>3494</v>
      </c>
      <c r="D46" s="142" t="s">
        <v>3495</v>
      </c>
    </row>
    <row r="47">
      <c r="A47" s="142" t="s">
        <v>642</v>
      </c>
      <c r="B47" s="142" t="s">
        <v>2528</v>
      </c>
      <c r="C47" s="143" t="s">
        <v>3496</v>
      </c>
      <c r="D47" s="142" t="s">
        <v>3497</v>
      </c>
    </row>
    <row r="48">
      <c r="A48" s="142" t="s">
        <v>642</v>
      </c>
      <c r="B48" s="142" t="s">
        <v>2528</v>
      </c>
      <c r="C48" s="143" t="s">
        <v>3498</v>
      </c>
      <c r="D48" s="142" t="s">
        <v>3499</v>
      </c>
    </row>
    <row r="49">
      <c r="A49" s="142" t="s">
        <v>642</v>
      </c>
      <c r="B49" s="142" t="s">
        <v>2528</v>
      </c>
      <c r="C49" s="143" t="s">
        <v>3500</v>
      </c>
      <c r="D49" s="142" t="s">
        <v>3501</v>
      </c>
    </row>
    <row r="50">
      <c r="A50" s="142" t="s">
        <v>642</v>
      </c>
      <c r="B50" s="142" t="s">
        <v>2528</v>
      </c>
      <c r="C50" s="143" t="s">
        <v>3502</v>
      </c>
      <c r="D50" s="142" t="s">
        <v>3503</v>
      </c>
    </row>
    <row r="51">
      <c r="A51" s="142" t="s">
        <v>642</v>
      </c>
      <c r="B51" s="142" t="s">
        <v>2528</v>
      </c>
      <c r="C51" s="143" t="s">
        <v>3504</v>
      </c>
      <c r="D51" s="142" t="s">
        <v>3505</v>
      </c>
    </row>
    <row r="52">
      <c r="A52" s="142" t="s">
        <v>642</v>
      </c>
      <c r="B52" s="142" t="s">
        <v>2528</v>
      </c>
      <c r="C52" s="143" t="s">
        <v>3506</v>
      </c>
      <c r="D52" s="142" t="s">
        <v>3507</v>
      </c>
    </row>
    <row r="53">
      <c r="A53" s="142" t="s">
        <v>642</v>
      </c>
      <c r="B53" s="142" t="s">
        <v>2528</v>
      </c>
      <c r="C53" s="143" t="s">
        <v>3508</v>
      </c>
      <c r="D53" s="142" t="s">
        <v>3509</v>
      </c>
    </row>
    <row r="54">
      <c r="A54" s="142" t="s">
        <v>642</v>
      </c>
      <c r="B54" s="142" t="s">
        <v>2769</v>
      </c>
      <c r="C54" s="143" t="s">
        <v>3510</v>
      </c>
      <c r="D54" s="142" t="s">
        <v>3511</v>
      </c>
    </row>
    <row r="55">
      <c r="A55" s="142" t="s">
        <v>642</v>
      </c>
      <c r="B55" s="142" t="s">
        <v>2769</v>
      </c>
      <c r="C55" s="143" t="s">
        <v>3512</v>
      </c>
      <c r="D55" s="142" t="s">
        <v>3513</v>
      </c>
    </row>
    <row r="56">
      <c r="A56" s="142" t="s">
        <v>642</v>
      </c>
      <c r="B56" s="142" t="s">
        <v>2769</v>
      </c>
      <c r="C56" s="143" t="s">
        <v>3514</v>
      </c>
      <c r="D56" s="142" t="s">
        <v>3515</v>
      </c>
    </row>
    <row r="57">
      <c r="A57" s="142" t="s">
        <v>642</v>
      </c>
      <c r="B57" s="142" t="s">
        <v>2769</v>
      </c>
      <c r="C57" s="143" t="s">
        <v>3516</v>
      </c>
      <c r="D57" s="142" t="s">
        <v>3517</v>
      </c>
    </row>
    <row r="58">
      <c r="A58" s="142" t="s">
        <v>642</v>
      </c>
      <c r="B58" s="142" t="s">
        <v>2769</v>
      </c>
      <c r="C58" s="143" t="s">
        <v>3518</v>
      </c>
      <c r="D58" s="142" t="s">
        <v>3519</v>
      </c>
    </row>
    <row r="59">
      <c r="A59" s="142" t="s">
        <v>642</v>
      </c>
      <c r="B59" s="142" t="s">
        <v>2769</v>
      </c>
      <c r="C59" s="143" t="s">
        <v>3520</v>
      </c>
      <c r="D59" s="142" t="s">
        <v>3521</v>
      </c>
    </row>
    <row r="60">
      <c r="A60" s="142" t="s">
        <v>642</v>
      </c>
      <c r="B60" s="142" t="s">
        <v>2769</v>
      </c>
      <c r="C60" s="143" t="s">
        <v>2770</v>
      </c>
      <c r="D60" s="142" t="s">
        <v>2771</v>
      </c>
    </row>
    <row r="61">
      <c r="A61" s="142" t="s">
        <v>642</v>
      </c>
      <c r="B61" s="142" t="s">
        <v>2769</v>
      </c>
      <c r="C61" s="143" t="s">
        <v>3522</v>
      </c>
      <c r="D61" s="142" t="s">
        <v>3523</v>
      </c>
    </row>
    <row r="62">
      <c r="A62" s="142" t="s">
        <v>642</v>
      </c>
      <c r="B62" s="142" t="s">
        <v>2769</v>
      </c>
      <c r="C62" s="143" t="s">
        <v>1355</v>
      </c>
      <c r="D62" s="142" t="s">
        <v>3524</v>
      </c>
    </row>
    <row r="63">
      <c r="A63" s="142" t="s">
        <v>642</v>
      </c>
      <c r="B63" s="142" t="s">
        <v>2769</v>
      </c>
      <c r="C63" s="143" t="s">
        <v>3525</v>
      </c>
      <c r="D63" s="142" t="s">
        <v>3526</v>
      </c>
    </row>
    <row r="64">
      <c r="A64" s="142" t="s">
        <v>642</v>
      </c>
      <c r="B64" s="142" t="s">
        <v>2769</v>
      </c>
      <c r="C64" s="143" t="s">
        <v>3527</v>
      </c>
      <c r="D64" s="142" t="s">
        <v>3528</v>
      </c>
    </row>
    <row r="65">
      <c r="A65" s="142" t="s">
        <v>642</v>
      </c>
      <c r="B65" s="142" t="s">
        <v>2769</v>
      </c>
      <c r="C65" s="143" t="s">
        <v>3529</v>
      </c>
      <c r="D65" s="142" t="s">
        <v>3530</v>
      </c>
    </row>
    <row r="66">
      <c r="A66" s="142" t="s">
        <v>642</v>
      </c>
      <c r="B66" s="142" t="s">
        <v>2769</v>
      </c>
      <c r="C66" s="143" t="s">
        <v>3531</v>
      </c>
      <c r="D66" s="142" t="s">
        <v>3532</v>
      </c>
    </row>
    <row r="67">
      <c r="A67" s="142" t="s">
        <v>642</v>
      </c>
      <c r="B67" s="142" t="s">
        <v>2769</v>
      </c>
      <c r="C67" s="143" t="s">
        <v>3533</v>
      </c>
      <c r="D67" s="142" t="s">
        <v>3534</v>
      </c>
    </row>
    <row r="68">
      <c r="A68" s="142" t="s">
        <v>642</v>
      </c>
      <c r="B68" s="142" t="s">
        <v>2769</v>
      </c>
      <c r="C68" s="143" t="s">
        <v>3535</v>
      </c>
      <c r="D68" s="142" t="s">
        <v>3536</v>
      </c>
    </row>
    <row r="69">
      <c r="A69" s="142" t="s">
        <v>642</v>
      </c>
      <c r="B69" s="142" t="s">
        <v>2769</v>
      </c>
      <c r="C69" s="143" t="s">
        <v>3537</v>
      </c>
      <c r="D69" s="142" t="s">
        <v>3538</v>
      </c>
    </row>
    <row r="70">
      <c r="A70" s="142" t="s">
        <v>642</v>
      </c>
      <c r="B70" s="142" t="s">
        <v>2769</v>
      </c>
      <c r="C70" s="143" t="s">
        <v>3539</v>
      </c>
      <c r="D70" s="142" t="s">
        <v>3540</v>
      </c>
    </row>
    <row r="71">
      <c r="A71" s="142" t="s">
        <v>642</v>
      </c>
      <c r="B71" s="142" t="s">
        <v>2769</v>
      </c>
      <c r="C71" s="143" t="s">
        <v>3541</v>
      </c>
      <c r="D71" s="142" t="s">
        <v>3542</v>
      </c>
    </row>
    <row r="72">
      <c r="A72" s="142" t="s">
        <v>642</v>
      </c>
      <c r="B72" s="142" t="s">
        <v>2769</v>
      </c>
      <c r="C72" s="143" t="s">
        <v>3543</v>
      </c>
      <c r="D72" s="142" t="s">
        <v>3544</v>
      </c>
    </row>
    <row r="73">
      <c r="A73" s="142" t="s">
        <v>642</v>
      </c>
      <c r="B73" s="143" t="s">
        <v>1217</v>
      </c>
      <c r="C73" s="143" t="s">
        <v>1230</v>
      </c>
      <c r="D73" s="142" t="s">
        <v>1231</v>
      </c>
    </row>
    <row r="74">
      <c r="A74" s="142" t="s">
        <v>642</v>
      </c>
      <c r="B74" s="143" t="s">
        <v>1217</v>
      </c>
      <c r="C74" s="143" t="s">
        <v>1218</v>
      </c>
      <c r="D74" s="142" t="s">
        <v>1219</v>
      </c>
    </row>
    <row r="75">
      <c r="A75" s="142" t="s">
        <v>642</v>
      </c>
      <c r="B75" s="143" t="s">
        <v>1217</v>
      </c>
      <c r="C75" s="143" t="s">
        <v>3545</v>
      </c>
      <c r="D75" s="142" t="s">
        <v>3546</v>
      </c>
    </row>
    <row r="76">
      <c r="A76" s="142" t="s">
        <v>642</v>
      </c>
      <c r="B76" s="143" t="s">
        <v>1217</v>
      </c>
      <c r="C76" s="143" t="s">
        <v>1242</v>
      </c>
      <c r="D76" s="142" t="s">
        <v>1243</v>
      </c>
    </row>
    <row r="77">
      <c r="A77" s="142" t="s">
        <v>642</v>
      </c>
      <c r="B77" s="143" t="s">
        <v>1217</v>
      </c>
      <c r="C77" s="143" t="s">
        <v>1248</v>
      </c>
      <c r="D77" s="142" t="s">
        <v>1249</v>
      </c>
    </row>
    <row r="78">
      <c r="A78" s="142" t="s">
        <v>642</v>
      </c>
      <c r="B78" s="143" t="s">
        <v>1217</v>
      </c>
      <c r="C78" s="143" t="s">
        <v>3547</v>
      </c>
      <c r="D78" s="142" t="s">
        <v>3548</v>
      </c>
    </row>
    <row r="79">
      <c r="A79" s="142" t="s">
        <v>642</v>
      </c>
      <c r="B79" s="143" t="s">
        <v>1217</v>
      </c>
      <c r="C79" s="143" t="s">
        <v>3549</v>
      </c>
      <c r="D79" s="142" t="s">
        <v>3550</v>
      </c>
    </row>
    <row r="80">
      <c r="A80" s="142" t="s">
        <v>642</v>
      </c>
      <c r="B80" s="143" t="s">
        <v>1217</v>
      </c>
      <c r="C80" s="143" t="s">
        <v>3551</v>
      </c>
      <c r="D80" s="142" t="s">
        <v>3552</v>
      </c>
    </row>
    <row r="81">
      <c r="A81" s="142" t="s">
        <v>642</v>
      </c>
      <c r="B81" s="143" t="s">
        <v>1217</v>
      </c>
      <c r="C81" s="143" t="s">
        <v>3553</v>
      </c>
      <c r="D81" s="142" t="s">
        <v>3554</v>
      </c>
    </row>
    <row r="82">
      <c r="A82" s="142" t="s">
        <v>642</v>
      </c>
      <c r="B82" s="143" t="s">
        <v>1217</v>
      </c>
      <c r="C82" s="143" t="s">
        <v>3555</v>
      </c>
      <c r="D82" s="142" t="s">
        <v>3556</v>
      </c>
    </row>
    <row r="83">
      <c r="A83" s="142" t="s">
        <v>642</v>
      </c>
      <c r="B83" s="143" t="s">
        <v>1217</v>
      </c>
      <c r="C83" s="143" t="s">
        <v>1236</v>
      </c>
      <c r="D83" s="142" t="s">
        <v>1237</v>
      </c>
    </row>
    <row r="84">
      <c r="A84" s="142" t="s">
        <v>642</v>
      </c>
      <c r="B84" s="142" t="s">
        <v>643</v>
      </c>
      <c r="C84" s="143" t="s">
        <v>3557</v>
      </c>
      <c r="D84" s="142" t="s">
        <v>3558</v>
      </c>
    </row>
    <row r="85">
      <c r="A85" s="142" t="s">
        <v>642</v>
      </c>
      <c r="B85" s="142" t="s">
        <v>643</v>
      </c>
      <c r="C85" s="143" t="s">
        <v>3559</v>
      </c>
      <c r="D85" s="142" t="s">
        <v>3560</v>
      </c>
    </row>
    <row r="86">
      <c r="A86" s="142" t="s">
        <v>642</v>
      </c>
      <c r="B86" s="142" t="s">
        <v>643</v>
      </c>
      <c r="C86" s="143" t="s">
        <v>3561</v>
      </c>
      <c r="D86" s="142" t="s">
        <v>3562</v>
      </c>
    </row>
    <row r="87">
      <c r="A87" s="142" t="s">
        <v>642</v>
      </c>
      <c r="B87" s="142" t="s">
        <v>643</v>
      </c>
      <c r="C87" s="143" t="s">
        <v>1307</v>
      </c>
      <c r="D87" s="142" t="s">
        <v>1308</v>
      </c>
    </row>
    <row r="88">
      <c r="A88" s="142" t="s">
        <v>642</v>
      </c>
      <c r="B88" s="142" t="s">
        <v>643</v>
      </c>
      <c r="C88" s="143" t="s">
        <v>3563</v>
      </c>
      <c r="D88" s="142" t="s">
        <v>3564</v>
      </c>
    </row>
    <row r="89">
      <c r="A89" s="142" t="s">
        <v>642</v>
      </c>
      <c r="B89" s="142" t="s">
        <v>643</v>
      </c>
      <c r="C89" s="143" t="s">
        <v>3565</v>
      </c>
      <c r="D89" s="142" t="s">
        <v>3566</v>
      </c>
    </row>
    <row r="90">
      <c r="A90" s="142" t="s">
        <v>642</v>
      </c>
      <c r="B90" s="142" t="s">
        <v>643</v>
      </c>
      <c r="C90" s="143" t="s">
        <v>644</v>
      </c>
      <c r="D90" s="142" t="s">
        <v>645</v>
      </c>
    </row>
    <row r="91">
      <c r="A91" s="142" t="s">
        <v>642</v>
      </c>
      <c r="B91" s="142" t="s">
        <v>643</v>
      </c>
      <c r="C91" s="143" t="s">
        <v>3567</v>
      </c>
      <c r="D91" s="142" t="s">
        <v>3568</v>
      </c>
    </row>
    <row r="92">
      <c r="A92" s="142" t="s">
        <v>642</v>
      </c>
      <c r="B92" s="142" t="s">
        <v>643</v>
      </c>
      <c r="C92" s="143" t="s">
        <v>1355</v>
      </c>
      <c r="D92" s="142" t="s">
        <v>1356</v>
      </c>
    </row>
    <row r="93">
      <c r="A93" s="142" t="s">
        <v>642</v>
      </c>
      <c r="B93" s="142" t="s">
        <v>643</v>
      </c>
      <c r="C93" s="143" t="s">
        <v>3569</v>
      </c>
      <c r="D93" s="142" t="s">
        <v>3570</v>
      </c>
    </row>
    <row r="94">
      <c r="A94" s="142" t="s">
        <v>642</v>
      </c>
      <c r="B94" s="142" t="s">
        <v>643</v>
      </c>
      <c r="C94" s="143" t="s">
        <v>3571</v>
      </c>
      <c r="D94" s="142" t="s">
        <v>3572</v>
      </c>
    </row>
    <row r="95">
      <c r="A95" s="142" t="s">
        <v>642</v>
      </c>
      <c r="B95" s="142" t="s">
        <v>643</v>
      </c>
      <c r="C95" s="143" t="s">
        <v>3573</v>
      </c>
      <c r="D95" s="142" t="s">
        <v>3574</v>
      </c>
    </row>
    <row r="96">
      <c r="A96" s="142" t="s">
        <v>642</v>
      </c>
      <c r="B96" s="142" t="s">
        <v>643</v>
      </c>
      <c r="C96" s="143" t="s">
        <v>3575</v>
      </c>
      <c r="D96" s="142" t="s">
        <v>3576</v>
      </c>
    </row>
    <row r="97">
      <c r="A97" s="142" t="s">
        <v>642</v>
      </c>
      <c r="B97" s="143" t="s">
        <v>3577</v>
      </c>
      <c r="C97" s="143" t="s">
        <v>3578</v>
      </c>
      <c r="D97" s="142" t="s">
        <v>3579</v>
      </c>
    </row>
    <row r="98">
      <c r="A98" s="142" t="s">
        <v>642</v>
      </c>
      <c r="B98" s="143" t="s">
        <v>3577</v>
      </c>
      <c r="C98" s="143" t="s">
        <v>3580</v>
      </c>
      <c r="D98" s="142" t="s">
        <v>3581</v>
      </c>
    </row>
    <row r="99">
      <c r="A99" s="142" t="s">
        <v>642</v>
      </c>
      <c r="B99" s="143" t="s">
        <v>3577</v>
      </c>
      <c r="C99" s="143" t="s">
        <v>3582</v>
      </c>
      <c r="D99" s="142" t="s">
        <v>3583</v>
      </c>
    </row>
    <row r="100">
      <c r="A100" s="142" t="s">
        <v>642</v>
      </c>
      <c r="B100" s="143" t="s">
        <v>3577</v>
      </c>
      <c r="C100" s="143" t="s">
        <v>3584</v>
      </c>
      <c r="D100" s="142" t="s">
        <v>3585</v>
      </c>
    </row>
    <row r="101">
      <c r="A101" s="142" t="s">
        <v>642</v>
      </c>
      <c r="B101" s="143" t="s">
        <v>3577</v>
      </c>
      <c r="C101" s="143" t="s">
        <v>3586</v>
      </c>
      <c r="D101" s="142" t="s">
        <v>3587</v>
      </c>
    </row>
    <row r="102">
      <c r="A102" s="142" t="s">
        <v>642</v>
      </c>
      <c r="B102" s="143" t="s">
        <v>3577</v>
      </c>
      <c r="C102" s="143" t="s">
        <v>3588</v>
      </c>
      <c r="D102" s="142" t="s">
        <v>3589</v>
      </c>
    </row>
    <row r="103">
      <c r="A103" s="142" t="s">
        <v>642</v>
      </c>
      <c r="B103" s="143" t="s">
        <v>3577</v>
      </c>
      <c r="C103" s="143" t="s">
        <v>3590</v>
      </c>
      <c r="D103" s="142" t="s">
        <v>3591</v>
      </c>
    </row>
    <row r="104">
      <c r="A104" s="142" t="s">
        <v>642</v>
      </c>
      <c r="B104" s="143" t="s">
        <v>3577</v>
      </c>
      <c r="C104" s="143" t="s">
        <v>3592</v>
      </c>
      <c r="D104" s="142" t="s">
        <v>3593</v>
      </c>
    </row>
    <row r="105">
      <c r="A105" s="142" t="s">
        <v>642</v>
      </c>
      <c r="B105" s="143" t="s">
        <v>3577</v>
      </c>
      <c r="C105" s="143" t="s">
        <v>3594</v>
      </c>
      <c r="D105" s="142" t="s">
        <v>3595</v>
      </c>
    </row>
    <row r="106">
      <c r="A106" s="142" t="s">
        <v>642</v>
      </c>
      <c r="B106" s="143" t="s">
        <v>3577</v>
      </c>
      <c r="C106" s="143" t="s">
        <v>3596</v>
      </c>
      <c r="D106" s="142" t="s">
        <v>3597</v>
      </c>
    </row>
    <row r="107">
      <c r="A107" s="142" t="s">
        <v>642</v>
      </c>
      <c r="B107" s="143" t="s">
        <v>3577</v>
      </c>
      <c r="C107" s="143" t="s">
        <v>3598</v>
      </c>
      <c r="D107" s="142" t="s">
        <v>3599</v>
      </c>
    </row>
    <row r="108">
      <c r="A108" s="142" t="s">
        <v>642</v>
      </c>
      <c r="B108" s="143" t="s">
        <v>3577</v>
      </c>
      <c r="C108" s="143" t="s">
        <v>3600</v>
      </c>
      <c r="D108" s="142" t="s">
        <v>3601</v>
      </c>
    </row>
    <row r="109">
      <c r="A109" s="142" t="s">
        <v>642</v>
      </c>
      <c r="B109" s="143" t="s">
        <v>3577</v>
      </c>
      <c r="C109" s="143" t="s">
        <v>3602</v>
      </c>
      <c r="D109" s="142" t="s">
        <v>3603</v>
      </c>
    </row>
    <row r="110">
      <c r="A110" s="142" t="s">
        <v>642</v>
      </c>
      <c r="B110" s="143" t="s">
        <v>3577</v>
      </c>
      <c r="C110" s="143" t="s">
        <v>3604</v>
      </c>
      <c r="D110" s="142" t="s">
        <v>3605</v>
      </c>
    </row>
    <row r="111">
      <c r="A111" s="142" t="s">
        <v>642</v>
      </c>
      <c r="B111" s="143" t="s">
        <v>3577</v>
      </c>
      <c r="C111" s="143" t="s">
        <v>3606</v>
      </c>
      <c r="D111" s="142" t="s">
        <v>3607</v>
      </c>
    </row>
    <row r="112">
      <c r="A112" s="142" t="s">
        <v>642</v>
      </c>
      <c r="B112" s="143" t="s">
        <v>3577</v>
      </c>
      <c r="C112" s="143" t="s">
        <v>3608</v>
      </c>
      <c r="D112" s="142" t="s">
        <v>3609</v>
      </c>
    </row>
    <row r="113">
      <c r="A113" s="142" t="s">
        <v>642</v>
      </c>
      <c r="B113" s="143" t="s">
        <v>3577</v>
      </c>
      <c r="C113" s="143" t="s">
        <v>3610</v>
      </c>
      <c r="D113" s="142" t="s">
        <v>3611</v>
      </c>
    </row>
    <row r="114">
      <c r="A114" s="142" t="s">
        <v>642</v>
      </c>
      <c r="B114" s="143" t="s">
        <v>3577</v>
      </c>
      <c r="C114" s="143" t="s">
        <v>3612</v>
      </c>
      <c r="D114" s="142" t="s">
        <v>3613</v>
      </c>
    </row>
    <row r="115">
      <c r="A115" s="142" t="s">
        <v>642</v>
      </c>
      <c r="B115" s="143" t="s">
        <v>3577</v>
      </c>
      <c r="C115" s="143" t="s">
        <v>3614</v>
      </c>
      <c r="D115" s="142" t="s">
        <v>3615</v>
      </c>
    </row>
    <row r="116">
      <c r="A116" s="142" t="s">
        <v>642</v>
      </c>
      <c r="B116" s="143" t="s">
        <v>3577</v>
      </c>
      <c r="C116" s="143" t="s">
        <v>3616</v>
      </c>
      <c r="D116" s="142" t="s">
        <v>3617</v>
      </c>
    </row>
    <row r="117">
      <c r="A117" s="142" t="s">
        <v>642</v>
      </c>
      <c r="B117" s="143" t="s">
        <v>3577</v>
      </c>
      <c r="C117" s="143" t="s">
        <v>3618</v>
      </c>
      <c r="D117" s="142" t="s">
        <v>3619</v>
      </c>
    </row>
    <row r="118">
      <c r="A118" s="142" t="s">
        <v>642</v>
      </c>
      <c r="B118" s="143" t="s">
        <v>3577</v>
      </c>
      <c r="C118" s="143" t="s">
        <v>3620</v>
      </c>
      <c r="D118" s="142" t="s">
        <v>3621</v>
      </c>
    </row>
    <row r="119">
      <c r="A119" s="142" t="s">
        <v>642</v>
      </c>
      <c r="B119" s="143" t="s">
        <v>3577</v>
      </c>
      <c r="C119" s="143" t="s">
        <v>3622</v>
      </c>
      <c r="D119" s="142" t="s">
        <v>3623</v>
      </c>
    </row>
    <row r="120">
      <c r="A120" s="142" t="s">
        <v>642</v>
      </c>
      <c r="B120" s="143" t="s">
        <v>3577</v>
      </c>
      <c r="C120" s="143" t="s">
        <v>3624</v>
      </c>
      <c r="D120" s="142" t="s">
        <v>3625</v>
      </c>
    </row>
    <row r="121">
      <c r="A121" s="142" t="s">
        <v>642</v>
      </c>
      <c r="B121" s="143" t="s">
        <v>3626</v>
      </c>
      <c r="C121" s="143" t="s">
        <v>3627</v>
      </c>
      <c r="D121" s="142"/>
    </row>
    <row r="122">
      <c r="A122" s="142" t="s">
        <v>642</v>
      </c>
      <c r="B122" s="143" t="s">
        <v>3626</v>
      </c>
      <c r="C122" s="143" t="s">
        <v>3628</v>
      </c>
      <c r="D122" s="142"/>
    </row>
    <row r="123">
      <c r="A123" s="142" t="s">
        <v>642</v>
      </c>
      <c r="B123" s="143" t="s">
        <v>3626</v>
      </c>
      <c r="C123" s="143" t="s">
        <v>3629</v>
      </c>
      <c r="D123" s="142"/>
    </row>
    <row r="124">
      <c r="A124" s="142" t="s">
        <v>642</v>
      </c>
      <c r="B124" s="143" t="s">
        <v>3626</v>
      </c>
      <c r="C124" s="143" t="s">
        <v>3630</v>
      </c>
      <c r="D124" s="142"/>
    </row>
    <row r="125">
      <c r="A125" s="142" t="s">
        <v>642</v>
      </c>
      <c r="B125" s="143" t="s">
        <v>3626</v>
      </c>
      <c r="C125" s="143" t="s">
        <v>3631</v>
      </c>
      <c r="D125" s="142"/>
    </row>
    <row r="126">
      <c r="A126" s="142" t="s">
        <v>642</v>
      </c>
      <c r="B126" s="143" t="s">
        <v>3626</v>
      </c>
      <c r="C126" s="143" t="s">
        <v>3632</v>
      </c>
      <c r="D126" s="142"/>
    </row>
    <row r="127">
      <c r="A127" s="142" t="s">
        <v>642</v>
      </c>
      <c r="B127" s="143" t="s">
        <v>3626</v>
      </c>
      <c r="C127" s="143" t="s">
        <v>3633</v>
      </c>
      <c r="D127" s="142"/>
    </row>
    <row r="128">
      <c r="A128" s="142" t="s">
        <v>642</v>
      </c>
      <c r="B128" s="143" t="s">
        <v>3626</v>
      </c>
      <c r="C128" s="143" t="s">
        <v>3634</v>
      </c>
      <c r="D128" s="142"/>
    </row>
    <row r="129">
      <c r="A129" s="143" t="s">
        <v>143</v>
      </c>
      <c r="B129" s="142" t="s">
        <v>381</v>
      </c>
      <c r="C129" s="143" t="s">
        <v>3635</v>
      </c>
      <c r="D129" s="142" t="s">
        <v>3636</v>
      </c>
    </row>
    <row r="130">
      <c r="A130" s="143" t="s">
        <v>143</v>
      </c>
      <c r="B130" s="142" t="s">
        <v>381</v>
      </c>
      <c r="C130" s="143" t="s">
        <v>2585</v>
      </c>
      <c r="D130" s="142" t="s">
        <v>2586</v>
      </c>
    </row>
    <row r="131">
      <c r="A131" s="143" t="s">
        <v>143</v>
      </c>
      <c r="B131" s="142" t="s">
        <v>381</v>
      </c>
      <c r="C131" s="143" t="s">
        <v>3637</v>
      </c>
      <c r="D131" s="142" t="s">
        <v>3638</v>
      </c>
    </row>
    <row r="132">
      <c r="A132" s="143" t="s">
        <v>143</v>
      </c>
      <c r="B132" s="142" t="s">
        <v>381</v>
      </c>
      <c r="C132" s="143" t="s">
        <v>3639</v>
      </c>
      <c r="D132" s="142" t="s">
        <v>3640</v>
      </c>
    </row>
    <row r="133">
      <c r="A133" s="143" t="s">
        <v>143</v>
      </c>
      <c r="B133" s="142" t="s">
        <v>381</v>
      </c>
      <c r="C133" s="143" t="s">
        <v>3641</v>
      </c>
      <c r="D133" s="142" t="s">
        <v>3642</v>
      </c>
    </row>
    <row r="134">
      <c r="A134" s="143" t="s">
        <v>143</v>
      </c>
      <c r="B134" s="142" t="s">
        <v>381</v>
      </c>
      <c r="C134" s="143" t="s">
        <v>3643</v>
      </c>
      <c r="D134" s="142" t="s">
        <v>3644</v>
      </c>
    </row>
    <row r="135">
      <c r="A135" s="143" t="s">
        <v>143</v>
      </c>
      <c r="B135" s="142" t="s">
        <v>381</v>
      </c>
      <c r="C135" s="143" t="s">
        <v>3645</v>
      </c>
      <c r="D135" s="142" t="s">
        <v>3646</v>
      </c>
    </row>
    <row r="136">
      <c r="A136" s="143" t="s">
        <v>143</v>
      </c>
      <c r="B136" s="142" t="s">
        <v>381</v>
      </c>
      <c r="C136" s="143" t="s">
        <v>2363</v>
      </c>
      <c r="D136" s="142" t="s">
        <v>2364</v>
      </c>
    </row>
    <row r="137">
      <c r="A137" s="143" t="s">
        <v>143</v>
      </c>
      <c r="B137" s="142" t="s">
        <v>381</v>
      </c>
      <c r="C137" s="143" t="s">
        <v>3647</v>
      </c>
      <c r="D137" s="142" t="s">
        <v>3648</v>
      </c>
    </row>
    <row r="138">
      <c r="A138" s="143" t="s">
        <v>143</v>
      </c>
      <c r="B138" s="142" t="s">
        <v>381</v>
      </c>
      <c r="C138" s="143" t="s">
        <v>3649</v>
      </c>
      <c r="D138" s="142" t="s">
        <v>3650</v>
      </c>
    </row>
    <row r="139">
      <c r="A139" s="143" t="s">
        <v>143</v>
      </c>
      <c r="B139" s="142" t="s">
        <v>381</v>
      </c>
      <c r="C139" s="143" t="s">
        <v>3651</v>
      </c>
      <c r="D139" s="142" t="s">
        <v>3652</v>
      </c>
    </row>
    <row r="140">
      <c r="A140" s="143" t="s">
        <v>143</v>
      </c>
      <c r="B140" s="142" t="s">
        <v>381</v>
      </c>
      <c r="C140" s="143" t="s">
        <v>382</v>
      </c>
      <c r="D140" s="142" t="s">
        <v>383</v>
      </c>
    </row>
    <row r="141">
      <c r="A141" s="143" t="s">
        <v>143</v>
      </c>
      <c r="B141" s="142" t="s">
        <v>381</v>
      </c>
      <c r="C141" s="143" t="s">
        <v>3653</v>
      </c>
      <c r="D141" s="142" t="s">
        <v>3654</v>
      </c>
    </row>
    <row r="142">
      <c r="A142" s="143" t="s">
        <v>143</v>
      </c>
      <c r="B142" s="142" t="s">
        <v>381</v>
      </c>
      <c r="C142" s="143" t="s">
        <v>3655</v>
      </c>
      <c r="D142" s="142" t="s">
        <v>3656</v>
      </c>
    </row>
    <row r="143">
      <c r="A143" s="143" t="s">
        <v>143</v>
      </c>
      <c r="B143" s="142" t="s">
        <v>381</v>
      </c>
      <c r="C143" s="143" t="s">
        <v>1681</v>
      </c>
      <c r="D143" s="142" t="s">
        <v>1682</v>
      </c>
    </row>
    <row r="144">
      <c r="A144" s="143" t="s">
        <v>143</v>
      </c>
      <c r="B144" s="142" t="s">
        <v>381</v>
      </c>
      <c r="C144" s="143" t="s">
        <v>3657</v>
      </c>
      <c r="D144" s="142" t="s">
        <v>3658</v>
      </c>
    </row>
    <row r="145">
      <c r="A145" s="143" t="s">
        <v>143</v>
      </c>
      <c r="B145" s="142" t="s">
        <v>381</v>
      </c>
      <c r="C145" s="143" t="s">
        <v>400</v>
      </c>
      <c r="D145" s="142" t="s">
        <v>401</v>
      </c>
    </row>
    <row r="146">
      <c r="A146" s="143" t="s">
        <v>143</v>
      </c>
      <c r="B146" s="142" t="s">
        <v>381</v>
      </c>
      <c r="C146" s="143" t="s">
        <v>3659</v>
      </c>
      <c r="D146" s="142" t="s">
        <v>3660</v>
      </c>
    </row>
    <row r="147">
      <c r="A147" s="143" t="s">
        <v>143</v>
      </c>
      <c r="B147" s="142" t="s">
        <v>381</v>
      </c>
      <c r="C147" s="143" t="s">
        <v>3661</v>
      </c>
      <c r="D147" s="142" t="s">
        <v>3662</v>
      </c>
    </row>
    <row r="148">
      <c r="A148" s="143" t="s">
        <v>143</v>
      </c>
      <c r="B148" s="142" t="s">
        <v>381</v>
      </c>
      <c r="C148" s="143" t="s">
        <v>3663</v>
      </c>
      <c r="D148" s="142" t="s">
        <v>3664</v>
      </c>
    </row>
    <row r="149">
      <c r="A149" s="143" t="s">
        <v>143</v>
      </c>
      <c r="B149" s="142" t="s">
        <v>381</v>
      </c>
      <c r="C149" s="143" t="s">
        <v>3665</v>
      </c>
      <c r="D149" s="142" t="s">
        <v>3666</v>
      </c>
    </row>
    <row r="150">
      <c r="A150" s="143" t="s">
        <v>143</v>
      </c>
      <c r="B150" s="142" t="s">
        <v>381</v>
      </c>
      <c r="C150" s="143" t="s">
        <v>3667</v>
      </c>
      <c r="D150" s="142" t="s">
        <v>3668</v>
      </c>
    </row>
    <row r="151">
      <c r="A151" s="143" t="s">
        <v>143</v>
      </c>
      <c r="B151" s="142" t="s">
        <v>381</v>
      </c>
      <c r="C151" s="143" t="s">
        <v>3669</v>
      </c>
      <c r="D151" s="142" t="s">
        <v>3670</v>
      </c>
    </row>
    <row r="152">
      <c r="A152" s="143" t="s">
        <v>143</v>
      </c>
      <c r="B152" s="142" t="s">
        <v>404</v>
      </c>
      <c r="C152" s="143" t="s">
        <v>3671</v>
      </c>
      <c r="D152" s="142" t="s">
        <v>3672</v>
      </c>
    </row>
    <row r="153">
      <c r="A153" s="143" t="s">
        <v>143</v>
      </c>
      <c r="B153" s="142" t="s">
        <v>404</v>
      </c>
      <c r="C153" s="143" t="s">
        <v>3673</v>
      </c>
      <c r="D153" s="142" t="s">
        <v>3674</v>
      </c>
    </row>
    <row r="154">
      <c r="A154" s="143" t="s">
        <v>143</v>
      </c>
      <c r="B154" s="142" t="s">
        <v>404</v>
      </c>
      <c r="C154" s="143" t="s">
        <v>3675</v>
      </c>
      <c r="D154" s="142" t="s">
        <v>3676</v>
      </c>
    </row>
    <row r="155">
      <c r="A155" s="143" t="s">
        <v>143</v>
      </c>
      <c r="B155" s="142" t="s">
        <v>404</v>
      </c>
      <c r="C155" s="143" t="s">
        <v>3643</v>
      </c>
      <c r="D155" s="142" t="s">
        <v>3677</v>
      </c>
    </row>
    <row r="156">
      <c r="A156" s="143" t="s">
        <v>143</v>
      </c>
      <c r="B156" s="142" t="s">
        <v>404</v>
      </c>
      <c r="C156" s="143" t="s">
        <v>405</v>
      </c>
      <c r="D156" s="142" t="s">
        <v>406</v>
      </c>
    </row>
    <row r="157">
      <c r="A157" s="143" t="s">
        <v>143</v>
      </c>
      <c r="B157" s="142" t="s">
        <v>404</v>
      </c>
      <c r="C157" s="143" t="s">
        <v>3678</v>
      </c>
      <c r="D157" s="142" t="s">
        <v>412</v>
      </c>
    </row>
    <row r="158">
      <c r="A158" s="143" t="s">
        <v>143</v>
      </c>
      <c r="B158" s="142" t="s">
        <v>404</v>
      </c>
      <c r="C158" s="143" t="s">
        <v>3679</v>
      </c>
      <c r="D158" s="142" t="s">
        <v>3680</v>
      </c>
    </row>
    <row r="159">
      <c r="A159" s="143" t="s">
        <v>143</v>
      </c>
      <c r="B159" s="142" t="s">
        <v>404</v>
      </c>
      <c r="C159" s="143" t="s">
        <v>3681</v>
      </c>
      <c r="D159" s="142" t="s">
        <v>3682</v>
      </c>
    </row>
    <row r="160">
      <c r="A160" s="143" t="s">
        <v>143</v>
      </c>
      <c r="B160" s="142" t="s">
        <v>404</v>
      </c>
      <c r="C160" s="143" t="s">
        <v>3683</v>
      </c>
      <c r="D160" s="142" t="s">
        <v>3684</v>
      </c>
    </row>
    <row r="161">
      <c r="A161" s="143" t="s">
        <v>143</v>
      </c>
      <c r="B161" s="142" t="s">
        <v>404</v>
      </c>
      <c r="C161" s="143" t="s">
        <v>3685</v>
      </c>
      <c r="D161" s="142" t="s">
        <v>3686</v>
      </c>
    </row>
    <row r="162">
      <c r="A162" s="143" t="s">
        <v>143</v>
      </c>
      <c r="B162" s="142" t="s">
        <v>404</v>
      </c>
      <c r="C162" s="143" t="s">
        <v>3687</v>
      </c>
      <c r="D162" s="142" t="s">
        <v>3688</v>
      </c>
    </row>
    <row r="163">
      <c r="A163" s="143" t="s">
        <v>143</v>
      </c>
      <c r="B163" s="142" t="s">
        <v>404</v>
      </c>
      <c r="C163" s="143" t="s">
        <v>3689</v>
      </c>
      <c r="D163" s="142" t="s">
        <v>3690</v>
      </c>
    </row>
    <row r="164">
      <c r="A164" s="143" t="s">
        <v>143</v>
      </c>
      <c r="B164" s="142" t="s">
        <v>404</v>
      </c>
      <c r="C164" s="143" t="s">
        <v>3691</v>
      </c>
      <c r="D164" s="142" t="s">
        <v>3692</v>
      </c>
    </row>
    <row r="165">
      <c r="A165" s="143" t="s">
        <v>143</v>
      </c>
      <c r="B165" s="142" t="s">
        <v>404</v>
      </c>
      <c r="C165" s="143" t="s">
        <v>416</v>
      </c>
      <c r="D165" s="142" t="s">
        <v>417</v>
      </c>
    </row>
    <row r="166">
      <c r="A166" s="143" t="s">
        <v>143</v>
      </c>
      <c r="B166" s="142" t="s">
        <v>404</v>
      </c>
      <c r="C166" s="143" t="s">
        <v>3693</v>
      </c>
      <c r="D166" s="142" t="s">
        <v>3694</v>
      </c>
    </row>
    <row r="167">
      <c r="A167" s="143" t="s">
        <v>143</v>
      </c>
      <c r="B167" s="142" t="s">
        <v>404</v>
      </c>
      <c r="C167" s="143" t="s">
        <v>3155</v>
      </c>
      <c r="D167" s="142" t="s">
        <v>3695</v>
      </c>
    </row>
    <row r="168">
      <c r="A168" s="143" t="s">
        <v>143</v>
      </c>
      <c r="B168" s="142" t="s">
        <v>404</v>
      </c>
      <c r="C168" s="143" t="s">
        <v>3696</v>
      </c>
      <c r="D168" s="142" t="s">
        <v>3697</v>
      </c>
    </row>
    <row r="169">
      <c r="A169" s="143" t="s">
        <v>143</v>
      </c>
      <c r="B169" s="142" t="s">
        <v>404</v>
      </c>
      <c r="C169" s="143" t="s">
        <v>3698</v>
      </c>
      <c r="D169" s="142" t="s">
        <v>3699</v>
      </c>
    </row>
    <row r="170">
      <c r="A170" s="143" t="s">
        <v>143</v>
      </c>
      <c r="B170" s="142" t="s">
        <v>404</v>
      </c>
      <c r="C170" s="143" t="s">
        <v>3700</v>
      </c>
      <c r="D170" s="142" t="s">
        <v>3701</v>
      </c>
    </row>
    <row r="171">
      <c r="A171" s="143" t="s">
        <v>143</v>
      </c>
      <c r="B171" s="142" t="s">
        <v>404</v>
      </c>
      <c r="C171" s="143" t="s">
        <v>491</v>
      </c>
      <c r="D171" s="142" t="s">
        <v>3702</v>
      </c>
    </row>
    <row r="172">
      <c r="A172" s="143" t="s">
        <v>143</v>
      </c>
      <c r="B172" s="142" t="s">
        <v>404</v>
      </c>
      <c r="C172" s="143" t="s">
        <v>1964</v>
      </c>
      <c r="D172" s="142" t="s">
        <v>3703</v>
      </c>
    </row>
    <row r="173">
      <c r="A173" s="143" t="s">
        <v>143</v>
      </c>
      <c r="B173" s="142" t="s">
        <v>404</v>
      </c>
      <c r="C173" s="143" t="s">
        <v>3704</v>
      </c>
      <c r="D173" s="142" t="s">
        <v>3705</v>
      </c>
    </row>
    <row r="174">
      <c r="A174" s="143" t="s">
        <v>143</v>
      </c>
      <c r="B174" s="142" t="s">
        <v>404</v>
      </c>
      <c r="C174" s="143" t="s">
        <v>3706</v>
      </c>
      <c r="D174" s="142" t="s">
        <v>3707</v>
      </c>
    </row>
    <row r="175">
      <c r="A175" s="143" t="s">
        <v>143</v>
      </c>
      <c r="B175" s="142" t="s">
        <v>404</v>
      </c>
      <c r="C175" s="143" t="s">
        <v>420</v>
      </c>
      <c r="D175" s="142" t="s">
        <v>421</v>
      </c>
    </row>
    <row r="176">
      <c r="A176" s="143" t="s">
        <v>143</v>
      </c>
      <c r="B176" s="142" t="s">
        <v>404</v>
      </c>
      <c r="C176" s="143" t="s">
        <v>3708</v>
      </c>
      <c r="D176" s="142" t="s">
        <v>3709</v>
      </c>
    </row>
    <row r="177">
      <c r="A177" s="143" t="s">
        <v>143</v>
      </c>
      <c r="B177" s="142" t="s">
        <v>404</v>
      </c>
      <c r="C177" s="143" t="s">
        <v>3710</v>
      </c>
      <c r="D177" s="142" t="s">
        <v>3711</v>
      </c>
    </row>
    <row r="178">
      <c r="A178" s="143" t="s">
        <v>143</v>
      </c>
      <c r="B178" s="142" t="s">
        <v>404</v>
      </c>
      <c r="C178" s="143" t="s">
        <v>3052</v>
      </c>
      <c r="D178" s="142" t="s">
        <v>3053</v>
      </c>
    </row>
    <row r="179">
      <c r="A179" s="143" t="s">
        <v>143</v>
      </c>
      <c r="B179" s="142" t="s">
        <v>404</v>
      </c>
      <c r="C179" s="143" t="s">
        <v>894</v>
      </c>
      <c r="D179" s="142" t="s">
        <v>3712</v>
      </c>
    </row>
    <row r="180">
      <c r="A180" s="143" t="s">
        <v>143</v>
      </c>
      <c r="B180" s="142" t="s">
        <v>404</v>
      </c>
      <c r="C180" s="143" t="s">
        <v>3713</v>
      </c>
      <c r="D180" s="142" t="s">
        <v>3714</v>
      </c>
    </row>
    <row r="181">
      <c r="A181" s="143" t="s">
        <v>143</v>
      </c>
      <c r="B181" s="142" t="s">
        <v>404</v>
      </c>
      <c r="C181" s="143" t="s">
        <v>424</v>
      </c>
      <c r="D181" s="142" t="s">
        <v>425</v>
      </c>
    </row>
    <row r="182">
      <c r="A182" s="143" t="s">
        <v>143</v>
      </c>
      <c r="B182" s="142" t="s">
        <v>404</v>
      </c>
      <c r="C182" s="143" t="s">
        <v>3715</v>
      </c>
      <c r="D182" s="142" t="s">
        <v>3716</v>
      </c>
    </row>
    <row r="183">
      <c r="A183" s="143" t="s">
        <v>143</v>
      </c>
      <c r="B183" s="142" t="s">
        <v>404</v>
      </c>
      <c r="C183" s="143" t="s">
        <v>3717</v>
      </c>
      <c r="D183" s="142" t="s">
        <v>3718</v>
      </c>
    </row>
    <row r="184">
      <c r="A184" s="143" t="s">
        <v>143</v>
      </c>
      <c r="B184" s="142" t="s">
        <v>404</v>
      </c>
      <c r="C184" s="143" t="s">
        <v>428</v>
      </c>
      <c r="D184" s="142" t="s">
        <v>429</v>
      </c>
    </row>
    <row r="185">
      <c r="A185" s="143" t="s">
        <v>143</v>
      </c>
      <c r="B185" s="142" t="s">
        <v>404</v>
      </c>
      <c r="C185" s="143" t="s">
        <v>433</v>
      </c>
      <c r="D185" s="142" t="s">
        <v>434</v>
      </c>
    </row>
    <row r="186">
      <c r="A186" s="143" t="s">
        <v>143</v>
      </c>
      <c r="B186" s="142" t="s">
        <v>438</v>
      </c>
      <c r="C186" s="143" t="s">
        <v>2845</v>
      </c>
      <c r="D186" s="142" t="s">
        <v>2846</v>
      </c>
    </row>
    <row r="187">
      <c r="A187" s="143" t="s">
        <v>143</v>
      </c>
      <c r="B187" s="142" t="s">
        <v>438</v>
      </c>
      <c r="C187" s="143" t="s">
        <v>439</v>
      </c>
      <c r="D187" s="142" t="s">
        <v>440</v>
      </c>
    </row>
    <row r="188">
      <c r="A188" s="143" t="s">
        <v>143</v>
      </c>
      <c r="B188" s="142" t="s">
        <v>438</v>
      </c>
      <c r="C188" s="143" t="s">
        <v>1633</v>
      </c>
      <c r="D188" s="142" t="s">
        <v>1634</v>
      </c>
    </row>
    <row r="189">
      <c r="A189" s="143" t="s">
        <v>143</v>
      </c>
      <c r="B189" s="142" t="s">
        <v>438</v>
      </c>
      <c r="C189" s="143" t="s">
        <v>3719</v>
      </c>
      <c r="D189" s="142" t="s">
        <v>3720</v>
      </c>
    </row>
    <row r="190">
      <c r="A190" s="143" t="s">
        <v>143</v>
      </c>
      <c r="B190" s="142" t="s">
        <v>438</v>
      </c>
      <c r="C190" s="143" t="s">
        <v>1564</v>
      </c>
      <c r="D190" s="142" t="s">
        <v>1565</v>
      </c>
    </row>
    <row r="191">
      <c r="A191" s="143" t="s">
        <v>143</v>
      </c>
      <c r="B191" s="142" t="s">
        <v>438</v>
      </c>
      <c r="C191" s="143" t="s">
        <v>443</v>
      </c>
      <c r="D191" s="142" t="s">
        <v>444</v>
      </c>
    </row>
    <row r="192">
      <c r="A192" s="143" t="s">
        <v>143</v>
      </c>
      <c r="B192" s="142" t="s">
        <v>438</v>
      </c>
      <c r="C192" s="143" t="s">
        <v>2723</v>
      </c>
      <c r="D192" s="142" t="s">
        <v>2724</v>
      </c>
    </row>
    <row r="193">
      <c r="A193" s="143" t="s">
        <v>143</v>
      </c>
      <c r="B193" s="142" t="s">
        <v>438</v>
      </c>
      <c r="C193" s="143" t="s">
        <v>3643</v>
      </c>
      <c r="D193" s="142" t="s">
        <v>3721</v>
      </c>
    </row>
    <row r="194">
      <c r="A194" s="143" t="s">
        <v>143</v>
      </c>
      <c r="B194" s="142" t="s">
        <v>438</v>
      </c>
      <c r="C194" s="143" t="s">
        <v>1142</v>
      </c>
      <c r="D194" s="142" t="s">
        <v>1143</v>
      </c>
    </row>
    <row r="195">
      <c r="A195" s="143" t="s">
        <v>143</v>
      </c>
      <c r="B195" s="142" t="s">
        <v>438</v>
      </c>
      <c r="C195" s="143" t="s">
        <v>2538</v>
      </c>
      <c r="D195" s="142" t="s">
        <v>2539</v>
      </c>
    </row>
    <row r="196">
      <c r="A196" s="143" t="s">
        <v>143</v>
      </c>
      <c r="B196" s="142" t="s">
        <v>438</v>
      </c>
      <c r="C196" s="143" t="s">
        <v>3722</v>
      </c>
      <c r="D196" s="142" t="s">
        <v>3723</v>
      </c>
    </row>
    <row r="197">
      <c r="A197" s="143" t="s">
        <v>143</v>
      </c>
      <c r="B197" s="142" t="s">
        <v>438</v>
      </c>
      <c r="C197" s="143" t="s">
        <v>3724</v>
      </c>
      <c r="D197" s="142" t="s">
        <v>3725</v>
      </c>
    </row>
    <row r="198">
      <c r="A198" s="143" t="s">
        <v>143</v>
      </c>
      <c r="B198" s="142" t="s">
        <v>438</v>
      </c>
      <c r="C198" s="143" t="s">
        <v>447</v>
      </c>
      <c r="D198" s="142" t="s">
        <v>448</v>
      </c>
    </row>
    <row r="199">
      <c r="A199" s="143" t="s">
        <v>143</v>
      </c>
      <c r="B199" s="142" t="s">
        <v>438</v>
      </c>
      <c r="C199" s="143" t="s">
        <v>2033</v>
      </c>
      <c r="D199" s="142" t="s">
        <v>2034</v>
      </c>
    </row>
    <row r="200">
      <c r="A200" s="143" t="s">
        <v>143</v>
      </c>
      <c r="B200" s="142" t="s">
        <v>438</v>
      </c>
      <c r="C200" s="143" t="s">
        <v>3726</v>
      </c>
      <c r="D200" s="142" t="s">
        <v>3727</v>
      </c>
    </row>
    <row r="201">
      <c r="A201" s="143" t="s">
        <v>143</v>
      </c>
      <c r="B201" s="142" t="s">
        <v>438</v>
      </c>
      <c r="C201" s="143" t="s">
        <v>491</v>
      </c>
      <c r="D201" s="142" t="s">
        <v>1646</v>
      </c>
    </row>
    <row r="202">
      <c r="A202" s="143" t="s">
        <v>143</v>
      </c>
      <c r="B202" s="142" t="s">
        <v>438</v>
      </c>
      <c r="C202" s="143" t="s">
        <v>2850</v>
      </c>
      <c r="D202" s="142" t="s">
        <v>2851</v>
      </c>
    </row>
    <row r="203">
      <c r="A203" s="143" t="s">
        <v>143</v>
      </c>
      <c r="B203" s="142" t="s">
        <v>438</v>
      </c>
      <c r="C203" s="143" t="s">
        <v>3728</v>
      </c>
      <c r="D203" s="142" t="s">
        <v>3729</v>
      </c>
    </row>
    <row r="204">
      <c r="A204" s="143" t="s">
        <v>143</v>
      </c>
      <c r="B204" s="142" t="s">
        <v>438</v>
      </c>
      <c r="C204" s="143" t="s">
        <v>3730</v>
      </c>
      <c r="D204" s="142" t="s">
        <v>3731</v>
      </c>
    </row>
    <row r="205">
      <c r="A205" s="143" t="s">
        <v>143</v>
      </c>
      <c r="B205" s="142" t="s">
        <v>438</v>
      </c>
      <c r="C205" s="143" t="s">
        <v>3732</v>
      </c>
      <c r="D205" s="142" t="s">
        <v>3733</v>
      </c>
    </row>
    <row r="206">
      <c r="A206" s="143" t="s">
        <v>143</v>
      </c>
      <c r="B206" s="142" t="s">
        <v>144</v>
      </c>
      <c r="C206" s="143" t="s">
        <v>145</v>
      </c>
      <c r="D206" s="142" t="s">
        <v>146</v>
      </c>
    </row>
    <row r="207">
      <c r="A207" s="143" t="s">
        <v>143</v>
      </c>
      <c r="B207" s="142" t="s">
        <v>144</v>
      </c>
      <c r="C207" s="143" t="s">
        <v>3734</v>
      </c>
      <c r="D207" s="142" t="s">
        <v>3735</v>
      </c>
    </row>
    <row r="208">
      <c r="A208" s="143" t="s">
        <v>143</v>
      </c>
      <c r="B208" s="142" t="s">
        <v>144</v>
      </c>
      <c r="C208" s="143" t="s">
        <v>221</v>
      </c>
      <c r="D208" s="142" t="s">
        <v>222</v>
      </c>
    </row>
    <row r="209">
      <c r="A209" s="143" t="s">
        <v>143</v>
      </c>
      <c r="B209" s="142" t="s">
        <v>144</v>
      </c>
      <c r="C209" s="143" t="s">
        <v>3736</v>
      </c>
      <c r="D209" s="142" t="s">
        <v>3737</v>
      </c>
    </row>
    <row r="210">
      <c r="A210" s="143" t="s">
        <v>143</v>
      </c>
      <c r="B210" s="142" t="s">
        <v>144</v>
      </c>
      <c r="C210" s="143" t="s">
        <v>230</v>
      </c>
      <c r="D210" s="142" t="s">
        <v>231</v>
      </c>
    </row>
    <row r="211">
      <c r="A211" s="143" t="s">
        <v>143</v>
      </c>
      <c r="B211" s="142" t="s">
        <v>144</v>
      </c>
      <c r="C211" s="143" t="s">
        <v>3738</v>
      </c>
      <c r="D211" s="142" t="s">
        <v>3739</v>
      </c>
    </row>
    <row r="212">
      <c r="A212" s="143" t="s">
        <v>143</v>
      </c>
      <c r="B212" s="142" t="s">
        <v>144</v>
      </c>
      <c r="C212" s="143" t="s">
        <v>3740</v>
      </c>
      <c r="D212" s="142" t="s">
        <v>3741</v>
      </c>
    </row>
    <row r="213">
      <c r="A213" s="143" t="s">
        <v>143</v>
      </c>
      <c r="B213" s="142" t="s">
        <v>144</v>
      </c>
      <c r="C213" s="143" t="s">
        <v>463</v>
      </c>
      <c r="D213" s="142" t="s">
        <v>464</v>
      </c>
    </row>
    <row r="214">
      <c r="A214" s="143" t="s">
        <v>143</v>
      </c>
      <c r="B214" s="142" t="s">
        <v>144</v>
      </c>
      <c r="C214" s="143" t="s">
        <v>3742</v>
      </c>
      <c r="D214" s="142" t="s">
        <v>3743</v>
      </c>
    </row>
    <row r="215">
      <c r="A215" s="143" t="s">
        <v>143</v>
      </c>
      <c r="B215" s="142" t="s">
        <v>144</v>
      </c>
      <c r="C215" s="143" t="s">
        <v>3744</v>
      </c>
      <c r="D215" s="142" t="s">
        <v>3745</v>
      </c>
    </row>
    <row r="216">
      <c r="A216" s="143" t="s">
        <v>143</v>
      </c>
      <c r="B216" s="142" t="s">
        <v>144</v>
      </c>
      <c r="C216" s="143" t="s">
        <v>3746</v>
      </c>
      <c r="D216" s="142" t="s">
        <v>3747</v>
      </c>
    </row>
    <row r="217">
      <c r="A217" s="143" t="s">
        <v>143</v>
      </c>
      <c r="B217" s="142" t="s">
        <v>144</v>
      </c>
      <c r="C217" s="143" t="s">
        <v>3748</v>
      </c>
      <c r="D217" s="142" t="s">
        <v>3749</v>
      </c>
    </row>
    <row r="218">
      <c r="A218" s="143" t="s">
        <v>143</v>
      </c>
      <c r="B218" s="142" t="s">
        <v>144</v>
      </c>
      <c r="C218" s="143" t="s">
        <v>3750</v>
      </c>
      <c r="D218" s="142" t="s">
        <v>3751</v>
      </c>
    </row>
    <row r="219">
      <c r="A219" s="143" t="s">
        <v>143</v>
      </c>
      <c r="B219" s="142" t="s">
        <v>144</v>
      </c>
      <c r="C219" s="143" t="s">
        <v>693</v>
      </c>
      <c r="D219" s="142" t="s">
        <v>694</v>
      </c>
    </row>
    <row r="220">
      <c r="A220" s="143" t="s">
        <v>143</v>
      </c>
      <c r="B220" s="142" t="s">
        <v>144</v>
      </c>
      <c r="C220" s="143" t="s">
        <v>3752</v>
      </c>
      <c r="D220" s="142" t="s">
        <v>3753</v>
      </c>
    </row>
    <row r="221">
      <c r="A221" s="143" t="s">
        <v>143</v>
      </c>
      <c r="B221" s="142" t="s">
        <v>144</v>
      </c>
      <c r="C221" s="143" t="s">
        <v>3643</v>
      </c>
      <c r="D221" s="142" t="s">
        <v>3754</v>
      </c>
    </row>
    <row r="222">
      <c r="A222" s="143" t="s">
        <v>143</v>
      </c>
      <c r="B222" s="142" t="s">
        <v>144</v>
      </c>
      <c r="C222" s="143" t="s">
        <v>3755</v>
      </c>
      <c r="D222" s="142" t="s">
        <v>3756</v>
      </c>
    </row>
    <row r="223">
      <c r="A223" s="143" t="s">
        <v>143</v>
      </c>
      <c r="B223" s="142" t="s">
        <v>144</v>
      </c>
      <c r="C223" s="143" t="s">
        <v>3757</v>
      </c>
      <c r="D223" s="142" t="s">
        <v>3758</v>
      </c>
    </row>
    <row r="224">
      <c r="A224" s="143" t="s">
        <v>143</v>
      </c>
      <c r="B224" s="142" t="s">
        <v>144</v>
      </c>
      <c r="C224" s="143" t="s">
        <v>3759</v>
      </c>
      <c r="D224" s="142" t="s">
        <v>3760</v>
      </c>
    </row>
    <row r="225">
      <c r="A225" s="143" t="s">
        <v>143</v>
      </c>
      <c r="B225" s="142" t="s">
        <v>144</v>
      </c>
      <c r="C225" s="143" t="s">
        <v>472</v>
      </c>
      <c r="D225" s="142" t="s">
        <v>473</v>
      </c>
    </row>
    <row r="226">
      <c r="A226" s="143" t="s">
        <v>143</v>
      </c>
      <c r="B226" s="142" t="s">
        <v>144</v>
      </c>
      <c r="C226" s="143" t="s">
        <v>2857</v>
      </c>
      <c r="D226" s="142" t="s">
        <v>2858</v>
      </c>
    </row>
    <row r="227">
      <c r="A227" s="143" t="s">
        <v>143</v>
      </c>
      <c r="B227" s="142" t="s">
        <v>144</v>
      </c>
      <c r="C227" s="143" t="s">
        <v>1649</v>
      </c>
      <c r="D227" s="142" t="s">
        <v>1650</v>
      </c>
    </row>
    <row r="228">
      <c r="A228" s="143" t="s">
        <v>143</v>
      </c>
      <c r="B228" s="142" t="s">
        <v>144</v>
      </c>
      <c r="C228" s="143" t="s">
        <v>1255</v>
      </c>
      <c r="D228" s="142" t="s">
        <v>3761</v>
      </c>
    </row>
    <row r="229">
      <c r="A229" s="143" t="s">
        <v>143</v>
      </c>
      <c r="B229" s="142" t="s">
        <v>144</v>
      </c>
      <c r="C229" s="143" t="s">
        <v>3762</v>
      </c>
      <c r="D229" s="142" t="s">
        <v>3763</v>
      </c>
    </row>
    <row r="230">
      <c r="A230" s="143" t="s">
        <v>143</v>
      </c>
      <c r="B230" s="142" t="s">
        <v>144</v>
      </c>
      <c r="C230" s="143" t="s">
        <v>3764</v>
      </c>
      <c r="D230" s="142" t="s">
        <v>3765</v>
      </c>
    </row>
    <row r="231">
      <c r="A231" s="143" t="s">
        <v>143</v>
      </c>
      <c r="B231" s="142" t="s">
        <v>144</v>
      </c>
      <c r="C231" s="143" t="s">
        <v>3766</v>
      </c>
      <c r="D231" s="142" t="s">
        <v>3767</v>
      </c>
    </row>
    <row r="232">
      <c r="A232" s="143" t="s">
        <v>143</v>
      </c>
      <c r="B232" s="142" t="s">
        <v>144</v>
      </c>
      <c r="C232" s="143" t="s">
        <v>3768</v>
      </c>
      <c r="D232" s="142" t="s">
        <v>3769</v>
      </c>
    </row>
    <row r="233">
      <c r="A233" s="143" t="s">
        <v>143</v>
      </c>
      <c r="B233" s="142" t="s">
        <v>144</v>
      </c>
      <c r="C233" s="143" t="s">
        <v>3770</v>
      </c>
      <c r="D233" s="142" t="s">
        <v>3771</v>
      </c>
    </row>
    <row r="234">
      <c r="A234" s="143" t="s">
        <v>143</v>
      </c>
      <c r="B234" s="142" t="s">
        <v>144</v>
      </c>
      <c r="C234" s="143" t="s">
        <v>3772</v>
      </c>
      <c r="D234" s="142" t="s">
        <v>3773</v>
      </c>
    </row>
    <row r="235">
      <c r="A235" s="143" t="s">
        <v>143</v>
      </c>
      <c r="B235" s="142" t="s">
        <v>144</v>
      </c>
      <c r="C235" s="143" t="s">
        <v>3774</v>
      </c>
      <c r="D235" s="142" t="s">
        <v>3775</v>
      </c>
    </row>
    <row r="236">
      <c r="A236" s="143" t="s">
        <v>143</v>
      </c>
      <c r="B236" s="142" t="s">
        <v>144</v>
      </c>
      <c r="C236" s="143" t="s">
        <v>3776</v>
      </c>
      <c r="D236" s="142" t="s">
        <v>3777</v>
      </c>
    </row>
    <row r="237">
      <c r="A237" s="143" t="s">
        <v>143</v>
      </c>
      <c r="B237" s="142" t="s">
        <v>144</v>
      </c>
      <c r="C237" s="143" t="s">
        <v>3778</v>
      </c>
      <c r="D237" s="142" t="s">
        <v>3779</v>
      </c>
    </row>
    <row r="238">
      <c r="A238" s="143" t="s">
        <v>143</v>
      </c>
      <c r="B238" s="142" t="s">
        <v>144</v>
      </c>
      <c r="C238" s="143" t="s">
        <v>2545</v>
      </c>
      <c r="D238" s="142" t="s">
        <v>2546</v>
      </c>
    </row>
    <row r="239">
      <c r="A239" s="143" t="s">
        <v>143</v>
      </c>
      <c r="B239" s="142" t="s">
        <v>144</v>
      </c>
      <c r="C239" s="143" t="s">
        <v>1987</v>
      </c>
      <c r="D239" s="142" t="s">
        <v>3780</v>
      </c>
    </row>
    <row r="240">
      <c r="A240" s="143" t="s">
        <v>143</v>
      </c>
      <c r="B240" s="142" t="s">
        <v>144</v>
      </c>
      <c r="C240" s="143" t="s">
        <v>3781</v>
      </c>
      <c r="D240" s="142" t="s">
        <v>3782</v>
      </c>
    </row>
    <row r="241">
      <c r="A241" s="143" t="s">
        <v>143</v>
      </c>
      <c r="B241" s="142" t="s">
        <v>144</v>
      </c>
      <c r="C241" s="143" t="s">
        <v>3663</v>
      </c>
      <c r="D241" s="142" t="s">
        <v>3783</v>
      </c>
    </row>
    <row r="242">
      <c r="A242" s="143" t="s">
        <v>143</v>
      </c>
      <c r="B242" s="142" t="s">
        <v>144</v>
      </c>
      <c r="C242" s="143" t="s">
        <v>3784</v>
      </c>
      <c r="D242" s="142" t="s">
        <v>3785</v>
      </c>
    </row>
    <row r="243">
      <c r="A243" s="143" t="s">
        <v>143</v>
      </c>
      <c r="B243" s="142" t="s">
        <v>144</v>
      </c>
      <c r="C243" s="143" t="s">
        <v>3786</v>
      </c>
      <c r="D243" s="142" t="s">
        <v>3787</v>
      </c>
    </row>
    <row r="244">
      <c r="A244" s="143" t="s">
        <v>143</v>
      </c>
      <c r="B244" s="142" t="s">
        <v>144</v>
      </c>
      <c r="C244" s="143" t="s">
        <v>3710</v>
      </c>
      <c r="D244" s="142" t="s">
        <v>3788</v>
      </c>
    </row>
    <row r="245">
      <c r="A245" s="143" t="s">
        <v>143</v>
      </c>
      <c r="B245" s="142" t="s">
        <v>144</v>
      </c>
      <c r="C245" s="143" t="s">
        <v>2850</v>
      </c>
      <c r="D245" s="142" t="s">
        <v>3789</v>
      </c>
    </row>
    <row r="246">
      <c r="A246" s="143" t="s">
        <v>143</v>
      </c>
      <c r="B246" s="142" t="s">
        <v>144</v>
      </c>
      <c r="C246" s="143" t="s">
        <v>3790</v>
      </c>
      <c r="D246" s="142" t="s">
        <v>3791</v>
      </c>
    </row>
    <row r="247">
      <c r="A247" s="143" t="s">
        <v>143</v>
      </c>
      <c r="B247" s="142" t="s">
        <v>144</v>
      </c>
      <c r="C247" s="143" t="s">
        <v>477</v>
      </c>
      <c r="D247" s="142" t="s">
        <v>478</v>
      </c>
    </row>
    <row r="248">
      <c r="A248" s="143" t="s">
        <v>143</v>
      </c>
      <c r="B248" s="142" t="s">
        <v>144</v>
      </c>
      <c r="C248" s="143" t="s">
        <v>3792</v>
      </c>
      <c r="D248" s="142" t="s">
        <v>3793</v>
      </c>
    </row>
    <row r="249">
      <c r="A249" s="143" t="s">
        <v>143</v>
      </c>
      <c r="B249" s="142" t="s">
        <v>144</v>
      </c>
      <c r="C249" s="143" t="s">
        <v>3794</v>
      </c>
      <c r="D249" s="142" t="s">
        <v>3795</v>
      </c>
    </row>
    <row r="250">
      <c r="A250" s="143" t="s">
        <v>143</v>
      </c>
      <c r="B250" s="142" t="s">
        <v>144</v>
      </c>
      <c r="C250" s="143" t="s">
        <v>3796</v>
      </c>
      <c r="D250" s="142" t="s">
        <v>3797</v>
      </c>
    </row>
    <row r="251">
      <c r="A251" s="143" t="s">
        <v>143</v>
      </c>
      <c r="B251" s="142" t="s">
        <v>144</v>
      </c>
      <c r="C251" s="143" t="s">
        <v>3798</v>
      </c>
      <c r="D251" s="142" t="s">
        <v>3799</v>
      </c>
    </row>
    <row r="252">
      <c r="A252" s="143" t="s">
        <v>143</v>
      </c>
      <c r="B252" s="142" t="s">
        <v>144</v>
      </c>
      <c r="C252" s="143" t="s">
        <v>3800</v>
      </c>
      <c r="D252" s="142" t="s">
        <v>3801</v>
      </c>
    </row>
    <row r="253">
      <c r="A253" s="143" t="s">
        <v>143</v>
      </c>
      <c r="B253" s="142" t="s">
        <v>144</v>
      </c>
      <c r="C253" s="143" t="s">
        <v>3802</v>
      </c>
      <c r="D253" s="142" t="s">
        <v>3803</v>
      </c>
    </row>
    <row r="254">
      <c r="A254" s="143" t="s">
        <v>481</v>
      </c>
      <c r="B254" s="143" t="s">
        <v>3804</v>
      </c>
      <c r="C254" s="143" t="s">
        <v>3805</v>
      </c>
      <c r="D254" s="142" t="s">
        <v>3806</v>
      </c>
    </row>
    <row r="255">
      <c r="A255" s="143" t="s">
        <v>481</v>
      </c>
      <c r="B255" s="143" t="s">
        <v>3804</v>
      </c>
      <c r="C255" s="143" t="s">
        <v>3807</v>
      </c>
      <c r="D255" s="142" t="s">
        <v>3808</v>
      </c>
    </row>
    <row r="256">
      <c r="A256" s="143" t="s">
        <v>481</v>
      </c>
      <c r="B256" s="143" t="s">
        <v>3804</v>
      </c>
      <c r="C256" s="143" t="s">
        <v>3809</v>
      </c>
      <c r="D256" s="142" t="s">
        <v>3810</v>
      </c>
    </row>
    <row r="257">
      <c r="A257" s="143" t="s">
        <v>481</v>
      </c>
      <c r="B257" s="143" t="s">
        <v>3804</v>
      </c>
      <c r="C257" s="143" t="s">
        <v>3811</v>
      </c>
      <c r="D257" s="142" t="s">
        <v>3812</v>
      </c>
    </row>
    <row r="258">
      <c r="A258" s="143" t="s">
        <v>481</v>
      </c>
      <c r="B258" s="143" t="s">
        <v>3804</v>
      </c>
      <c r="C258" s="143" t="s">
        <v>3813</v>
      </c>
      <c r="D258" s="142" t="s">
        <v>3814</v>
      </c>
    </row>
    <row r="259">
      <c r="A259" s="143" t="s">
        <v>481</v>
      </c>
      <c r="B259" s="143" t="s">
        <v>3804</v>
      </c>
      <c r="C259" s="143" t="s">
        <v>3815</v>
      </c>
      <c r="D259" s="142" t="s">
        <v>3816</v>
      </c>
    </row>
    <row r="260">
      <c r="A260" s="143" t="s">
        <v>481</v>
      </c>
      <c r="B260" s="143" t="s">
        <v>482</v>
      </c>
      <c r="C260" s="143" t="s">
        <v>3817</v>
      </c>
      <c r="D260" s="142" t="s">
        <v>3818</v>
      </c>
    </row>
    <row r="261">
      <c r="A261" s="143" t="s">
        <v>481</v>
      </c>
      <c r="B261" s="143" t="s">
        <v>482</v>
      </c>
      <c r="C261" s="143" t="s">
        <v>3736</v>
      </c>
      <c r="D261" s="142" t="s">
        <v>3819</v>
      </c>
    </row>
    <row r="262">
      <c r="A262" s="143" t="s">
        <v>481</v>
      </c>
      <c r="B262" s="143" t="s">
        <v>482</v>
      </c>
      <c r="C262" s="143" t="s">
        <v>3820</v>
      </c>
      <c r="D262" s="142" t="s">
        <v>3821</v>
      </c>
    </row>
    <row r="263">
      <c r="A263" s="143" t="s">
        <v>481</v>
      </c>
      <c r="B263" s="143" t="s">
        <v>482</v>
      </c>
      <c r="C263" s="143" t="s">
        <v>3822</v>
      </c>
      <c r="D263" s="142" t="s">
        <v>3823</v>
      </c>
    </row>
    <row r="264">
      <c r="A264" s="143" t="s">
        <v>481</v>
      </c>
      <c r="B264" s="143" t="s">
        <v>482</v>
      </c>
      <c r="C264" s="143" t="s">
        <v>3824</v>
      </c>
      <c r="D264" s="142" t="s">
        <v>3825</v>
      </c>
    </row>
    <row r="265">
      <c r="A265" s="143" t="s">
        <v>481</v>
      </c>
      <c r="B265" s="143" t="s">
        <v>482</v>
      </c>
      <c r="C265" s="143" t="s">
        <v>3826</v>
      </c>
      <c r="D265" s="142" t="s">
        <v>3827</v>
      </c>
    </row>
    <row r="266">
      <c r="A266" s="143" t="s">
        <v>481</v>
      </c>
      <c r="B266" s="143" t="s">
        <v>482</v>
      </c>
      <c r="C266" s="143" t="s">
        <v>3828</v>
      </c>
      <c r="D266" s="142" t="s">
        <v>3829</v>
      </c>
    </row>
    <row r="267">
      <c r="A267" s="143" t="s">
        <v>481</v>
      </c>
      <c r="B267" s="143" t="s">
        <v>482</v>
      </c>
      <c r="C267" s="143" t="s">
        <v>3830</v>
      </c>
      <c r="D267" s="142" t="s">
        <v>3831</v>
      </c>
    </row>
    <row r="268">
      <c r="A268" s="143" t="s">
        <v>481</v>
      </c>
      <c r="B268" s="143" t="s">
        <v>482</v>
      </c>
      <c r="C268" s="143" t="s">
        <v>3832</v>
      </c>
      <c r="D268" s="142" t="s">
        <v>3833</v>
      </c>
    </row>
    <row r="269">
      <c r="A269" s="143" t="s">
        <v>481</v>
      </c>
      <c r="B269" s="143" t="s">
        <v>482</v>
      </c>
      <c r="C269" s="143" t="s">
        <v>3834</v>
      </c>
      <c r="D269" s="142" t="s">
        <v>3835</v>
      </c>
    </row>
    <row r="270">
      <c r="A270" s="143" t="s">
        <v>481</v>
      </c>
      <c r="B270" s="143" t="s">
        <v>482</v>
      </c>
      <c r="C270" s="143" t="s">
        <v>3836</v>
      </c>
      <c r="D270" s="142" t="s">
        <v>3837</v>
      </c>
    </row>
    <row r="271">
      <c r="A271" s="143" t="s">
        <v>481</v>
      </c>
      <c r="B271" s="143" t="s">
        <v>482</v>
      </c>
      <c r="C271" s="143" t="s">
        <v>3838</v>
      </c>
      <c r="D271" s="142" t="s">
        <v>3839</v>
      </c>
    </row>
    <row r="272">
      <c r="A272" s="143" t="s">
        <v>481</v>
      </c>
      <c r="B272" s="143" t="s">
        <v>482</v>
      </c>
      <c r="C272" s="143" t="s">
        <v>3840</v>
      </c>
      <c r="D272" s="142" t="s">
        <v>3841</v>
      </c>
    </row>
    <row r="273">
      <c r="A273" s="143" t="s">
        <v>481</v>
      </c>
      <c r="B273" s="143" t="s">
        <v>482</v>
      </c>
      <c r="C273" s="143" t="s">
        <v>3842</v>
      </c>
      <c r="D273" s="142" t="s">
        <v>3843</v>
      </c>
    </row>
    <row r="274">
      <c r="A274" s="143" t="s">
        <v>481</v>
      </c>
      <c r="B274" s="143" t="s">
        <v>482</v>
      </c>
      <c r="C274" s="143" t="s">
        <v>3844</v>
      </c>
      <c r="D274" s="142" t="s">
        <v>3845</v>
      </c>
    </row>
    <row r="275">
      <c r="A275" s="143" t="s">
        <v>481</v>
      </c>
      <c r="B275" s="143" t="s">
        <v>482</v>
      </c>
      <c r="C275" s="143" t="s">
        <v>3846</v>
      </c>
      <c r="D275" s="142" t="s">
        <v>3847</v>
      </c>
    </row>
    <row r="276">
      <c r="A276" s="143" t="s">
        <v>481</v>
      </c>
      <c r="B276" s="143" t="s">
        <v>482</v>
      </c>
      <c r="C276" s="143" t="s">
        <v>3848</v>
      </c>
      <c r="D276" s="142" t="s">
        <v>3849</v>
      </c>
    </row>
    <row r="277">
      <c r="A277" s="143" t="s">
        <v>481</v>
      </c>
      <c r="B277" s="143" t="s">
        <v>482</v>
      </c>
      <c r="C277" s="143" t="s">
        <v>3850</v>
      </c>
      <c r="D277" s="142" t="s">
        <v>3851</v>
      </c>
    </row>
    <row r="278">
      <c r="A278" s="143" t="s">
        <v>481</v>
      </c>
      <c r="B278" s="143" t="s">
        <v>482</v>
      </c>
      <c r="C278" s="143" t="s">
        <v>3852</v>
      </c>
      <c r="D278" s="142" t="s">
        <v>3853</v>
      </c>
    </row>
    <row r="279">
      <c r="A279" s="143" t="s">
        <v>481</v>
      </c>
      <c r="B279" s="143" t="s">
        <v>482</v>
      </c>
      <c r="C279" s="143" t="s">
        <v>3854</v>
      </c>
      <c r="D279" s="142" t="s">
        <v>3855</v>
      </c>
    </row>
    <row r="280">
      <c r="A280" s="143" t="s">
        <v>481</v>
      </c>
      <c r="B280" s="143" t="s">
        <v>482</v>
      </c>
      <c r="C280" s="143" t="s">
        <v>3856</v>
      </c>
      <c r="D280" s="142" t="s">
        <v>3857</v>
      </c>
    </row>
    <row r="281">
      <c r="A281" s="143" t="s">
        <v>481</v>
      </c>
      <c r="B281" s="143" t="s">
        <v>482</v>
      </c>
      <c r="C281" s="143" t="s">
        <v>3858</v>
      </c>
      <c r="D281" s="142" t="s">
        <v>3859</v>
      </c>
    </row>
    <row r="282">
      <c r="A282" s="143" t="s">
        <v>481</v>
      </c>
      <c r="B282" s="143" t="s">
        <v>482</v>
      </c>
      <c r="C282" s="143" t="s">
        <v>483</v>
      </c>
      <c r="D282" s="142" t="s">
        <v>484</v>
      </c>
    </row>
    <row r="283">
      <c r="A283" s="143" t="s">
        <v>481</v>
      </c>
      <c r="B283" s="143" t="s">
        <v>482</v>
      </c>
      <c r="C283" s="143" t="s">
        <v>3860</v>
      </c>
      <c r="D283" s="142" t="s">
        <v>3861</v>
      </c>
    </row>
    <row r="284">
      <c r="A284" s="143" t="s">
        <v>481</v>
      </c>
      <c r="B284" s="143" t="s">
        <v>482</v>
      </c>
      <c r="C284" s="143" t="s">
        <v>3862</v>
      </c>
      <c r="D284" s="142" t="s">
        <v>3863</v>
      </c>
    </row>
    <row r="285">
      <c r="A285" s="143" t="s">
        <v>481</v>
      </c>
      <c r="B285" s="143" t="s">
        <v>482</v>
      </c>
      <c r="C285" s="143" t="s">
        <v>3864</v>
      </c>
      <c r="D285" s="142" t="s">
        <v>3865</v>
      </c>
    </row>
    <row r="286">
      <c r="A286" s="143" t="s">
        <v>481</v>
      </c>
      <c r="B286" s="143" t="s">
        <v>482</v>
      </c>
      <c r="C286" s="143" t="s">
        <v>3866</v>
      </c>
      <c r="D286" s="142" t="s">
        <v>3867</v>
      </c>
    </row>
    <row r="287">
      <c r="A287" s="143" t="s">
        <v>481</v>
      </c>
      <c r="B287" s="143" t="s">
        <v>482</v>
      </c>
      <c r="C287" s="143" t="s">
        <v>3868</v>
      </c>
      <c r="D287" s="142" t="s">
        <v>3869</v>
      </c>
    </row>
    <row r="288">
      <c r="A288" s="143" t="s">
        <v>481</v>
      </c>
      <c r="B288" s="143" t="s">
        <v>482</v>
      </c>
      <c r="C288" s="143" t="s">
        <v>3870</v>
      </c>
      <c r="D288" s="142" t="s">
        <v>3871</v>
      </c>
    </row>
    <row r="289">
      <c r="A289" s="143" t="s">
        <v>481</v>
      </c>
      <c r="B289" s="143" t="s">
        <v>3872</v>
      </c>
      <c r="C289" s="143" t="s">
        <v>3873</v>
      </c>
      <c r="D289" s="142" t="s">
        <v>3874</v>
      </c>
    </row>
    <row r="290">
      <c r="A290" s="143" t="s">
        <v>481</v>
      </c>
      <c r="B290" s="143" t="s">
        <v>3872</v>
      </c>
      <c r="C290" s="143" t="s">
        <v>3875</v>
      </c>
      <c r="D290" s="142" t="s">
        <v>3876</v>
      </c>
    </row>
    <row r="291">
      <c r="A291" s="143" t="s">
        <v>481</v>
      </c>
      <c r="B291" s="143" t="s">
        <v>3872</v>
      </c>
      <c r="C291" s="143" t="s">
        <v>1208</v>
      </c>
      <c r="D291" s="142" t="s">
        <v>3877</v>
      </c>
    </row>
    <row r="292">
      <c r="A292" s="143" t="s">
        <v>481</v>
      </c>
      <c r="B292" s="143" t="s">
        <v>3872</v>
      </c>
      <c r="C292" s="143" t="s">
        <v>3878</v>
      </c>
      <c r="D292" s="142" t="s">
        <v>3879</v>
      </c>
    </row>
    <row r="293">
      <c r="A293" s="143" t="s">
        <v>481</v>
      </c>
      <c r="B293" s="143" t="s">
        <v>3872</v>
      </c>
      <c r="C293" s="143" t="s">
        <v>3643</v>
      </c>
      <c r="D293" s="142" t="s">
        <v>3880</v>
      </c>
    </row>
    <row r="294">
      <c r="A294" s="143" t="s">
        <v>481</v>
      </c>
      <c r="B294" s="143" t="s">
        <v>3872</v>
      </c>
      <c r="C294" s="143" t="s">
        <v>3881</v>
      </c>
      <c r="D294" s="142" t="s">
        <v>3882</v>
      </c>
    </row>
    <row r="295">
      <c r="A295" s="143" t="s">
        <v>481</v>
      </c>
      <c r="B295" s="143" t="s">
        <v>3872</v>
      </c>
      <c r="C295" s="143" t="s">
        <v>3883</v>
      </c>
      <c r="D295" s="142" t="s">
        <v>3884</v>
      </c>
    </row>
    <row r="296">
      <c r="A296" s="143" t="s">
        <v>481</v>
      </c>
      <c r="B296" s="143" t="s">
        <v>3872</v>
      </c>
      <c r="C296" s="143" t="s">
        <v>3885</v>
      </c>
      <c r="D296" s="142" t="s">
        <v>3886</v>
      </c>
    </row>
    <row r="297">
      <c r="A297" s="143" t="s">
        <v>481</v>
      </c>
      <c r="B297" s="143" t="s">
        <v>3872</v>
      </c>
      <c r="C297" s="143" t="s">
        <v>3887</v>
      </c>
      <c r="D297" s="142" t="s">
        <v>3888</v>
      </c>
    </row>
    <row r="298">
      <c r="A298" s="143" t="s">
        <v>481</v>
      </c>
      <c r="B298" s="143" t="s">
        <v>3872</v>
      </c>
      <c r="C298" s="143" t="s">
        <v>3889</v>
      </c>
      <c r="D298" s="142" t="s">
        <v>3890</v>
      </c>
    </row>
    <row r="299">
      <c r="A299" s="143" t="s">
        <v>481</v>
      </c>
      <c r="B299" s="143" t="s">
        <v>3872</v>
      </c>
      <c r="C299" s="143" t="s">
        <v>3891</v>
      </c>
      <c r="D299" s="142" t="s">
        <v>3892</v>
      </c>
    </row>
    <row r="300">
      <c r="A300" s="143" t="s">
        <v>481</v>
      </c>
      <c r="B300" s="143" t="s">
        <v>3872</v>
      </c>
      <c r="C300" s="143" t="s">
        <v>3893</v>
      </c>
      <c r="D300" s="142" t="s">
        <v>3894</v>
      </c>
    </row>
    <row r="301">
      <c r="A301" s="143" t="s">
        <v>481</v>
      </c>
      <c r="B301" s="143" t="s">
        <v>3872</v>
      </c>
      <c r="C301" s="143" t="s">
        <v>3895</v>
      </c>
      <c r="D301" s="142" t="s">
        <v>3896</v>
      </c>
    </row>
    <row r="302">
      <c r="A302" s="143" t="s">
        <v>481</v>
      </c>
      <c r="B302" s="143" t="s">
        <v>3872</v>
      </c>
      <c r="C302" s="143" t="s">
        <v>3897</v>
      </c>
      <c r="D302" s="142" t="s">
        <v>3898</v>
      </c>
    </row>
    <row r="303">
      <c r="A303" s="143" t="s">
        <v>481</v>
      </c>
      <c r="B303" s="143" t="s">
        <v>3872</v>
      </c>
      <c r="C303" s="143" t="s">
        <v>3899</v>
      </c>
      <c r="D303" s="142" t="s">
        <v>3900</v>
      </c>
    </row>
    <row r="304">
      <c r="A304" s="143" t="s">
        <v>481</v>
      </c>
      <c r="B304" s="143" t="s">
        <v>3872</v>
      </c>
      <c r="C304" s="143" t="s">
        <v>2538</v>
      </c>
      <c r="D304" s="142" t="s">
        <v>3901</v>
      </c>
    </row>
    <row r="305">
      <c r="A305" s="143" t="s">
        <v>481</v>
      </c>
      <c r="B305" s="143" t="s">
        <v>3872</v>
      </c>
      <c r="C305" s="143" t="s">
        <v>3902</v>
      </c>
      <c r="D305" s="142" t="s">
        <v>3903</v>
      </c>
    </row>
    <row r="306">
      <c r="A306" s="143" t="s">
        <v>481</v>
      </c>
      <c r="B306" s="143" t="s">
        <v>3872</v>
      </c>
      <c r="C306" s="143" t="s">
        <v>3904</v>
      </c>
      <c r="D306" s="142" t="s">
        <v>3905</v>
      </c>
    </row>
    <row r="307">
      <c r="A307" s="143" t="s">
        <v>481</v>
      </c>
      <c r="B307" s="143" t="s">
        <v>3872</v>
      </c>
      <c r="C307" s="143" t="s">
        <v>3906</v>
      </c>
      <c r="D307" s="142" t="s">
        <v>3907</v>
      </c>
    </row>
    <row r="308">
      <c r="A308" s="143" t="s">
        <v>481</v>
      </c>
      <c r="B308" s="143" t="s">
        <v>3872</v>
      </c>
      <c r="C308" s="143" t="s">
        <v>3722</v>
      </c>
      <c r="D308" s="142" t="s">
        <v>3908</v>
      </c>
    </row>
    <row r="309">
      <c r="A309" s="143" t="s">
        <v>481</v>
      </c>
      <c r="B309" s="143" t="s">
        <v>3872</v>
      </c>
      <c r="C309" s="143" t="s">
        <v>3909</v>
      </c>
      <c r="D309" s="142" t="s">
        <v>3910</v>
      </c>
    </row>
    <row r="310">
      <c r="A310" s="143" t="s">
        <v>481</v>
      </c>
      <c r="B310" s="143" t="s">
        <v>3872</v>
      </c>
      <c r="C310" s="143" t="s">
        <v>497</v>
      </c>
      <c r="D310" s="142" t="s">
        <v>3911</v>
      </c>
    </row>
    <row r="311">
      <c r="A311" s="143" t="s">
        <v>481</v>
      </c>
      <c r="B311" s="143" t="s">
        <v>3872</v>
      </c>
      <c r="C311" s="143" t="s">
        <v>3693</v>
      </c>
      <c r="D311" s="142" t="s">
        <v>3912</v>
      </c>
    </row>
    <row r="312">
      <c r="A312" s="143" t="s">
        <v>481</v>
      </c>
      <c r="B312" s="143" t="s">
        <v>3872</v>
      </c>
      <c r="C312" s="143" t="s">
        <v>3913</v>
      </c>
      <c r="D312" s="142" t="s">
        <v>3914</v>
      </c>
    </row>
    <row r="313">
      <c r="A313" s="143" t="s">
        <v>481</v>
      </c>
      <c r="B313" s="143" t="s">
        <v>3872</v>
      </c>
      <c r="C313" s="143" t="s">
        <v>3915</v>
      </c>
      <c r="D313" s="142" t="s">
        <v>3916</v>
      </c>
    </row>
    <row r="314">
      <c r="A314" s="143" t="s">
        <v>481</v>
      </c>
      <c r="B314" s="143" t="s">
        <v>3872</v>
      </c>
      <c r="C314" s="143" t="s">
        <v>3917</v>
      </c>
      <c r="D314" s="142" t="s">
        <v>3918</v>
      </c>
    </row>
    <row r="315">
      <c r="A315" s="143" t="s">
        <v>481</v>
      </c>
      <c r="B315" s="143" t="s">
        <v>3872</v>
      </c>
      <c r="C315" s="143" t="s">
        <v>3919</v>
      </c>
      <c r="D315" s="142" t="s">
        <v>3920</v>
      </c>
    </row>
    <row r="316">
      <c r="A316" s="143" t="s">
        <v>481</v>
      </c>
      <c r="B316" s="143" t="s">
        <v>3872</v>
      </c>
      <c r="C316" s="143" t="s">
        <v>3921</v>
      </c>
      <c r="D316" s="142" t="s">
        <v>3922</v>
      </c>
    </row>
    <row r="317">
      <c r="A317" s="143" t="s">
        <v>481</v>
      </c>
      <c r="B317" s="143" t="s">
        <v>3872</v>
      </c>
      <c r="C317" s="143" t="s">
        <v>3178</v>
      </c>
      <c r="D317" s="142" t="s">
        <v>3923</v>
      </c>
    </row>
    <row r="318">
      <c r="A318" s="143" t="s">
        <v>481</v>
      </c>
      <c r="B318" s="143" t="s">
        <v>3872</v>
      </c>
      <c r="C318" s="143" t="s">
        <v>3781</v>
      </c>
      <c r="D318" s="142" t="s">
        <v>3924</v>
      </c>
    </row>
    <row r="319">
      <c r="A319" s="143" t="s">
        <v>481</v>
      </c>
      <c r="B319" s="143" t="s">
        <v>3872</v>
      </c>
      <c r="C319" s="143" t="s">
        <v>3925</v>
      </c>
      <c r="D319" s="142" t="s">
        <v>3926</v>
      </c>
    </row>
    <row r="320">
      <c r="A320" s="143" t="s">
        <v>481</v>
      </c>
      <c r="B320" s="143" t="s">
        <v>3872</v>
      </c>
      <c r="C320" s="143" t="s">
        <v>3927</v>
      </c>
      <c r="D320" s="142" t="s">
        <v>3928</v>
      </c>
    </row>
    <row r="321">
      <c r="A321" s="143" t="s">
        <v>481</v>
      </c>
      <c r="B321" s="143" t="s">
        <v>3872</v>
      </c>
      <c r="C321" s="143" t="s">
        <v>3929</v>
      </c>
      <c r="D321" s="142" t="s">
        <v>3930</v>
      </c>
    </row>
    <row r="322">
      <c r="A322" s="143" t="s">
        <v>481</v>
      </c>
      <c r="B322" s="143" t="s">
        <v>3872</v>
      </c>
      <c r="C322" s="143" t="s">
        <v>3710</v>
      </c>
      <c r="D322" s="142" t="s">
        <v>3931</v>
      </c>
    </row>
    <row r="323">
      <c r="A323" s="143" t="s">
        <v>481</v>
      </c>
      <c r="B323" s="143" t="s">
        <v>3872</v>
      </c>
      <c r="C323" s="143" t="s">
        <v>3932</v>
      </c>
      <c r="D323" s="142" t="s">
        <v>3933</v>
      </c>
    </row>
    <row r="324">
      <c r="A324" s="143" t="s">
        <v>481</v>
      </c>
      <c r="B324" s="143" t="s">
        <v>3872</v>
      </c>
      <c r="C324" s="143" t="s">
        <v>2850</v>
      </c>
      <c r="D324" s="142" t="s">
        <v>3934</v>
      </c>
    </row>
    <row r="325">
      <c r="A325" s="143" t="s">
        <v>481</v>
      </c>
      <c r="B325" s="143" t="s">
        <v>3872</v>
      </c>
      <c r="C325" s="143" t="s">
        <v>3935</v>
      </c>
      <c r="D325" s="142" t="s">
        <v>3936</v>
      </c>
    </row>
    <row r="326">
      <c r="A326" s="143" t="s">
        <v>481</v>
      </c>
      <c r="B326" s="143" t="s">
        <v>3937</v>
      </c>
      <c r="C326" s="143" t="s">
        <v>3938</v>
      </c>
      <c r="D326" s="142" t="s">
        <v>3939</v>
      </c>
    </row>
    <row r="327">
      <c r="A327" s="143" t="s">
        <v>481</v>
      </c>
      <c r="B327" s="143" t="s">
        <v>3937</v>
      </c>
      <c r="C327" s="143" t="s">
        <v>3940</v>
      </c>
      <c r="D327" s="142" t="s">
        <v>3941</v>
      </c>
    </row>
    <row r="328">
      <c r="A328" s="143" t="s">
        <v>481</v>
      </c>
      <c r="B328" s="143" t="s">
        <v>3937</v>
      </c>
      <c r="C328" s="143" t="s">
        <v>3942</v>
      </c>
      <c r="D328" s="142" t="s">
        <v>3943</v>
      </c>
    </row>
    <row r="329">
      <c r="A329" s="143" t="s">
        <v>481</v>
      </c>
      <c r="B329" s="143" t="s">
        <v>3937</v>
      </c>
      <c r="C329" s="143" t="s">
        <v>3944</v>
      </c>
      <c r="D329" s="142" t="s">
        <v>3945</v>
      </c>
    </row>
    <row r="330">
      <c r="A330" s="143" t="s">
        <v>481</v>
      </c>
      <c r="B330" s="143" t="s">
        <v>3937</v>
      </c>
      <c r="C330" s="143" t="s">
        <v>3946</v>
      </c>
      <c r="D330" s="142" t="s">
        <v>3947</v>
      </c>
    </row>
    <row r="331">
      <c r="A331" s="143" t="s">
        <v>481</v>
      </c>
      <c r="B331" s="143" t="s">
        <v>3937</v>
      </c>
      <c r="C331" s="143" t="s">
        <v>3948</v>
      </c>
      <c r="D331" s="142" t="s">
        <v>3949</v>
      </c>
    </row>
    <row r="332">
      <c r="A332" s="143" t="s">
        <v>481</v>
      </c>
      <c r="B332" s="143" t="s">
        <v>3937</v>
      </c>
      <c r="C332" s="143" t="s">
        <v>3950</v>
      </c>
      <c r="D332" s="142" t="s">
        <v>3951</v>
      </c>
    </row>
    <row r="333">
      <c r="A333" s="143" t="s">
        <v>481</v>
      </c>
      <c r="B333" s="143" t="s">
        <v>3937</v>
      </c>
      <c r="C333" s="143" t="s">
        <v>3952</v>
      </c>
      <c r="D333" s="142" t="s">
        <v>3953</v>
      </c>
    </row>
    <row r="334">
      <c r="A334" s="143" t="s">
        <v>481</v>
      </c>
      <c r="B334" s="143" t="s">
        <v>3937</v>
      </c>
      <c r="C334" s="143" t="s">
        <v>3954</v>
      </c>
      <c r="D334" s="142" t="s">
        <v>3955</v>
      </c>
    </row>
    <row r="335">
      <c r="A335" s="143" t="s">
        <v>481</v>
      </c>
      <c r="B335" s="143" t="s">
        <v>3937</v>
      </c>
      <c r="C335" s="143" t="s">
        <v>3956</v>
      </c>
      <c r="D335" s="142" t="s">
        <v>3957</v>
      </c>
    </row>
    <row r="336">
      <c r="A336" s="143" t="s">
        <v>481</v>
      </c>
      <c r="B336" s="143" t="s">
        <v>3937</v>
      </c>
      <c r="C336" s="143" t="s">
        <v>497</v>
      </c>
      <c r="D336" s="142" t="s">
        <v>3958</v>
      </c>
    </row>
    <row r="337">
      <c r="A337" s="143" t="s">
        <v>481</v>
      </c>
      <c r="B337" s="143" t="s">
        <v>3937</v>
      </c>
      <c r="C337" s="143" t="s">
        <v>3959</v>
      </c>
      <c r="D337" s="142" t="s">
        <v>3960</v>
      </c>
    </row>
    <row r="338">
      <c r="A338" s="143" t="s">
        <v>481</v>
      </c>
      <c r="B338" s="143" t="s">
        <v>3937</v>
      </c>
      <c r="C338" s="143" t="s">
        <v>3961</v>
      </c>
      <c r="D338" s="142" t="s">
        <v>3962</v>
      </c>
    </row>
    <row r="339">
      <c r="A339" s="143" t="s">
        <v>481</v>
      </c>
      <c r="B339" s="143" t="s">
        <v>3937</v>
      </c>
      <c r="C339" s="143" t="s">
        <v>3963</v>
      </c>
      <c r="D339" s="142" t="s">
        <v>3964</v>
      </c>
    </row>
    <row r="340">
      <c r="A340" s="143" t="s">
        <v>481</v>
      </c>
      <c r="B340" s="143" t="s">
        <v>3937</v>
      </c>
      <c r="C340" s="143" t="s">
        <v>3965</v>
      </c>
      <c r="D340" s="142" t="s">
        <v>3966</v>
      </c>
    </row>
    <row r="341">
      <c r="A341" s="143" t="s">
        <v>481</v>
      </c>
      <c r="B341" s="143" t="s">
        <v>3693</v>
      </c>
      <c r="C341" s="143" t="s">
        <v>3967</v>
      </c>
      <c r="D341" s="142" t="s">
        <v>3968</v>
      </c>
    </row>
    <row r="342">
      <c r="A342" s="143" t="s">
        <v>481</v>
      </c>
      <c r="B342" s="143" t="s">
        <v>3693</v>
      </c>
      <c r="C342" s="143" t="s">
        <v>3969</v>
      </c>
      <c r="D342" s="142" t="s">
        <v>3970</v>
      </c>
    </row>
    <row r="343">
      <c r="A343" s="143" t="s">
        <v>481</v>
      </c>
      <c r="B343" s="143" t="s">
        <v>3693</v>
      </c>
      <c r="C343" s="143" t="s">
        <v>3971</v>
      </c>
      <c r="D343" s="142" t="s">
        <v>3972</v>
      </c>
    </row>
    <row r="344">
      <c r="A344" s="143" t="s">
        <v>481</v>
      </c>
      <c r="B344" s="143" t="s">
        <v>3693</v>
      </c>
      <c r="C344" s="143" t="s">
        <v>3973</v>
      </c>
      <c r="D344" s="142" t="s">
        <v>3974</v>
      </c>
    </row>
    <row r="345">
      <c r="A345" s="143" t="s">
        <v>481</v>
      </c>
      <c r="B345" s="143" t="s">
        <v>3693</v>
      </c>
      <c r="C345" s="143" t="s">
        <v>3975</v>
      </c>
      <c r="D345" s="142" t="s">
        <v>3976</v>
      </c>
    </row>
    <row r="346">
      <c r="A346" s="143" t="s">
        <v>481</v>
      </c>
      <c r="B346" s="143" t="s">
        <v>3693</v>
      </c>
      <c r="C346" s="143" t="s">
        <v>3977</v>
      </c>
      <c r="D346" s="142" t="s">
        <v>3978</v>
      </c>
    </row>
    <row r="347">
      <c r="A347" s="143" t="s">
        <v>293</v>
      </c>
      <c r="B347" s="143" t="s">
        <v>1283</v>
      </c>
      <c r="C347" s="143" t="s">
        <v>3979</v>
      </c>
      <c r="D347" s="142" t="s">
        <v>3980</v>
      </c>
    </row>
    <row r="348">
      <c r="A348" s="143" t="s">
        <v>293</v>
      </c>
      <c r="B348" s="143" t="s">
        <v>1283</v>
      </c>
      <c r="C348" s="143" t="s">
        <v>1284</v>
      </c>
      <c r="D348" s="142" t="s">
        <v>1285</v>
      </c>
    </row>
    <row r="349">
      <c r="A349" s="143" t="s">
        <v>293</v>
      </c>
      <c r="B349" s="143" t="s">
        <v>1283</v>
      </c>
      <c r="C349" s="143" t="s">
        <v>3981</v>
      </c>
      <c r="D349" s="142" t="s">
        <v>3982</v>
      </c>
    </row>
    <row r="350">
      <c r="A350" s="143" t="s">
        <v>293</v>
      </c>
      <c r="B350" s="143" t="s">
        <v>1283</v>
      </c>
      <c r="C350" s="143" t="s">
        <v>3983</v>
      </c>
      <c r="D350" s="142" t="s">
        <v>3984</v>
      </c>
    </row>
    <row r="351">
      <c r="A351" s="143" t="s">
        <v>293</v>
      </c>
      <c r="B351" s="143" t="s">
        <v>1283</v>
      </c>
      <c r="C351" s="143" t="s">
        <v>3985</v>
      </c>
      <c r="D351" s="142" t="s">
        <v>3986</v>
      </c>
    </row>
    <row r="352">
      <c r="A352" s="143" t="s">
        <v>293</v>
      </c>
      <c r="B352" s="143" t="s">
        <v>1283</v>
      </c>
      <c r="C352" s="143" t="s">
        <v>2300</v>
      </c>
      <c r="D352" s="142" t="s">
        <v>2301</v>
      </c>
    </row>
    <row r="353">
      <c r="A353" s="143" t="s">
        <v>293</v>
      </c>
      <c r="B353" s="143" t="s">
        <v>1283</v>
      </c>
      <c r="C353" s="143" t="s">
        <v>1375</v>
      </c>
      <c r="D353" s="142" t="s">
        <v>1376</v>
      </c>
    </row>
    <row r="354">
      <c r="A354" s="143" t="s">
        <v>293</v>
      </c>
      <c r="B354" s="143" t="s">
        <v>1283</v>
      </c>
      <c r="C354" s="143" t="s">
        <v>1795</v>
      </c>
      <c r="D354" s="142" t="s">
        <v>1796</v>
      </c>
    </row>
    <row r="355">
      <c r="A355" s="143" t="s">
        <v>293</v>
      </c>
      <c r="B355" s="143" t="s">
        <v>1283</v>
      </c>
      <c r="C355" s="143" t="s">
        <v>3987</v>
      </c>
      <c r="D355" s="142" t="s">
        <v>3988</v>
      </c>
    </row>
    <row r="356">
      <c r="A356" s="143" t="s">
        <v>293</v>
      </c>
      <c r="B356" s="143" t="s">
        <v>1283</v>
      </c>
      <c r="C356" s="143" t="s">
        <v>1979</v>
      </c>
      <c r="D356" s="142" t="s">
        <v>1980</v>
      </c>
    </row>
    <row r="357">
      <c r="A357" s="143" t="s">
        <v>293</v>
      </c>
      <c r="B357" s="143" t="s">
        <v>1283</v>
      </c>
      <c r="C357" s="143" t="s">
        <v>3989</v>
      </c>
      <c r="D357" s="142" t="s">
        <v>3990</v>
      </c>
    </row>
    <row r="358">
      <c r="A358" s="143" t="s">
        <v>293</v>
      </c>
      <c r="B358" s="143" t="s">
        <v>1283</v>
      </c>
      <c r="C358" s="143" t="s">
        <v>3991</v>
      </c>
      <c r="D358" s="142" t="s">
        <v>3992</v>
      </c>
    </row>
    <row r="359">
      <c r="A359" s="143" t="s">
        <v>293</v>
      </c>
      <c r="B359" s="143" t="s">
        <v>3993</v>
      </c>
      <c r="C359" s="143" t="s">
        <v>3994</v>
      </c>
      <c r="D359" s="142" t="s">
        <v>3995</v>
      </c>
    </row>
    <row r="360">
      <c r="A360" s="143" t="s">
        <v>293</v>
      </c>
      <c r="B360" s="143" t="s">
        <v>3993</v>
      </c>
      <c r="C360" s="143" t="s">
        <v>3996</v>
      </c>
      <c r="D360" s="142" t="s">
        <v>3997</v>
      </c>
    </row>
    <row r="361">
      <c r="A361" s="143" t="s">
        <v>293</v>
      </c>
      <c r="B361" s="143" t="s">
        <v>3993</v>
      </c>
      <c r="C361" s="143" t="s">
        <v>3998</v>
      </c>
      <c r="D361" s="142" t="s">
        <v>3999</v>
      </c>
    </row>
    <row r="362">
      <c r="A362" s="143" t="s">
        <v>293</v>
      </c>
      <c r="B362" s="143" t="s">
        <v>3993</v>
      </c>
      <c r="C362" s="143" t="s">
        <v>4000</v>
      </c>
      <c r="D362" s="142" t="s">
        <v>4001</v>
      </c>
    </row>
    <row r="363">
      <c r="A363" s="143" t="s">
        <v>293</v>
      </c>
      <c r="B363" s="143" t="s">
        <v>3993</v>
      </c>
      <c r="C363" s="143" t="s">
        <v>3993</v>
      </c>
      <c r="D363" s="142" t="s">
        <v>4002</v>
      </c>
    </row>
    <row r="364">
      <c r="A364" s="143" t="s">
        <v>293</v>
      </c>
      <c r="B364" s="143" t="s">
        <v>3993</v>
      </c>
      <c r="C364" s="143" t="s">
        <v>4003</v>
      </c>
      <c r="D364" s="142" t="s">
        <v>4004</v>
      </c>
    </row>
    <row r="365">
      <c r="A365" s="143" t="s">
        <v>293</v>
      </c>
      <c r="B365" s="143" t="s">
        <v>3993</v>
      </c>
      <c r="C365" s="143" t="s">
        <v>4005</v>
      </c>
      <c r="D365" s="142" t="s">
        <v>4006</v>
      </c>
    </row>
    <row r="366">
      <c r="A366" s="143" t="s">
        <v>293</v>
      </c>
      <c r="B366" s="143" t="s">
        <v>3993</v>
      </c>
      <c r="C366" s="143" t="s">
        <v>4007</v>
      </c>
      <c r="D366" s="142" t="s">
        <v>4008</v>
      </c>
    </row>
    <row r="367">
      <c r="A367" s="143" t="s">
        <v>293</v>
      </c>
      <c r="B367" s="143" t="s">
        <v>3993</v>
      </c>
      <c r="C367" s="143" t="s">
        <v>4009</v>
      </c>
      <c r="D367" s="142" t="s">
        <v>4010</v>
      </c>
    </row>
    <row r="368">
      <c r="A368" s="143" t="s">
        <v>293</v>
      </c>
      <c r="B368" s="143" t="s">
        <v>3993</v>
      </c>
      <c r="C368" s="143" t="s">
        <v>4011</v>
      </c>
      <c r="D368" s="142" t="s">
        <v>4012</v>
      </c>
    </row>
    <row r="369">
      <c r="A369" s="143" t="s">
        <v>293</v>
      </c>
      <c r="B369" s="143" t="s">
        <v>3993</v>
      </c>
      <c r="C369" s="143" t="s">
        <v>4013</v>
      </c>
      <c r="D369" s="142" t="s">
        <v>4014</v>
      </c>
    </row>
    <row r="370">
      <c r="A370" s="143" t="s">
        <v>293</v>
      </c>
      <c r="B370" s="143" t="s">
        <v>3993</v>
      </c>
      <c r="C370" s="143" t="s">
        <v>4015</v>
      </c>
      <c r="D370" s="142" t="s">
        <v>4016</v>
      </c>
    </row>
    <row r="371">
      <c r="A371" s="143" t="s">
        <v>293</v>
      </c>
      <c r="B371" s="143" t="s">
        <v>3993</v>
      </c>
      <c r="C371" s="143" t="s">
        <v>4017</v>
      </c>
      <c r="D371" s="142" t="s">
        <v>4018</v>
      </c>
    </row>
    <row r="372">
      <c r="A372" s="143" t="s">
        <v>293</v>
      </c>
      <c r="B372" s="143" t="s">
        <v>3993</v>
      </c>
      <c r="C372" s="143" t="s">
        <v>4019</v>
      </c>
      <c r="D372" s="142" t="s">
        <v>4020</v>
      </c>
    </row>
    <row r="373">
      <c r="A373" s="143" t="s">
        <v>293</v>
      </c>
      <c r="B373" s="143" t="s">
        <v>3993</v>
      </c>
      <c r="C373" s="143" t="s">
        <v>4021</v>
      </c>
      <c r="D373" s="142" t="s">
        <v>4022</v>
      </c>
    </row>
    <row r="374">
      <c r="A374" s="143" t="s">
        <v>293</v>
      </c>
      <c r="B374" s="143" t="s">
        <v>3993</v>
      </c>
      <c r="C374" s="143" t="s">
        <v>4023</v>
      </c>
      <c r="D374" s="142" t="s">
        <v>4024</v>
      </c>
    </row>
    <row r="375">
      <c r="A375" s="143" t="s">
        <v>293</v>
      </c>
      <c r="B375" s="143" t="s">
        <v>3993</v>
      </c>
      <c r="C375" s="143" t="s">
        <v>518</v>
      </c>
      <c r="D375" s="142" t="s">
        <v>4025</v>
      </c>
    </row>
    <row r="376">
      <c r="A376" s="143" t="s">
        <v>293</v>
      </c>
      <c r="B376" s="143" t="s">
        <v>3993</v>
      </c>
      <c r="C376" s="143" t="s">
        <v>4026</v>
      </c>
      <c r="D376" s="142" t="s">
        <v>4027</v>
      </c>
    </row>
    <row r="377">
      <c r="A377" s="143" t="s">
        <v>293</v>
      </c>
      <c r="B377" s="143" t="s">
        <v>3993</v>
      </c>
      <c r="C377" s="143" t="s">
        <v>3700</v>
      </c>
      <c r="D377" s="142" t="s">
        <v>4028</v>
      </c>
    </row>
    <row r="378">
      <c r="A378" s="143" t="s">
        <v>293</v>
      </c>
      <c r="B378" s="143" t="s">
        <v>3993</v>
      </c>
      <c r="C378" s="143" t="s">
        <v>4029</v>
      </c>
      <c r="D378" s="142" t="s">
        <v>4030</v>
      </c>
    </row>
    <row r="379">
      <c r="A379" s="143" t="s">
        <v>293</v>
      </c>
      <c r="B379" s="143" t="s">
        <v>3993</v>
      </c>
      <c r="C379" s="143" t="s">
        <v>4031</v>
      </c>
      <c r="D379" s="142" t="s">
        <v>4032</v>
      </c>
    </row>
    <row r="380">
      <c r="A380" s="143" t="s">
        <v>293</v>
      </c>
      <c r="B380" s="143" t="s">
        <v>3993</v>
      </c>
      <c r="C380" s="143" t="s">
        <v>4033</v>
      </c>
      <c r="D380" s="142" t="s">
        <v>4034</v>
      </c>
    </row>
    <row r="381">
      <c r="A381" s="143" t="s">
        <v>293</v>
      </c>
      <c r="B381" s="143" t="s">
        <v>3993</v>
      </c>
      <c r="C381" s="143" t="s">
        <v>3710</v>
      </c>
      <c r="D381" s="142" t="s">
        <v>4035</v>
      </c>
    </row>
    <row r="382">
      <c r="A382" s="143" t="s">
        <v>293</v>
      </c>
      <c r="B382" s="143" t="s">
        <v>3993</v>
      </c>
      <c r="C382" s="143" t="s">
        <v>4036</v>
      </c>
      <c r="D382" s="142" t="s">
        <v>4037</v>
      </c>
    </row>
    <row r="383">
      <c r="A383" s="143" t="s">
        <v>293</v>
      </c>
      <c r="B383" s="143" t="s">
        <v>4038</v>
      </c>
      <c r="C383" s="143" t="s">
        <v>4039</v>
      </c>
      <c r="D383" s="142" t="s">
        <v>4040</v>
      </c>
    </row>
    <row r="384">
      <c r="A384" s="143" t="s">
        <v>293</v>
      </c>
      <c r="B384" s="143" t="s">
        <v>4038</v>
      </c>
      <c r="C384" s="143" t="s">
        <v>4041</v>
      </c>
      <c r="D384" s="142" t="s">
        <v>4042</v>
      </c>
    </row>
    <row r="385">
      <c r="A385" s="143" t="s">
        <v>293</v>
      </c>
      <c r="B385" s="143" t="s">
        <v>4038</v>
      </c>
      <c r="C385" s="143" t="s">
        <v>4043</v>
      </c>
      <c r="D385" s="142" t="s">
        <v>4044</v>
      </c>
    </row>
    <row r="386">
      <c r="A386" s="143" t="s">
        <v>293</v>
      </c>
      <c r="B386" s="143" t="s">
        <v>4038</v>
      </c>
      <c r="C386" s="143" t="s">
        <v>4045</v>
      </c>
      <c r="D386" s="142" t="s">
        <v>4046</v>
      </c>
    </row>
    <row r="387">
      <c r="A387" s="143" t="s">
        <v>293</v>
      </c>
      <c r="B387" s="143" t="s">
        <v>4038</v>
      </c>
      <c r="C387" s="143" t="s">
        <v>4047</v>
      </c>
      <c r="D387" s="142" t="s">
        <v>4048</v>
      </c>
    </row>
    <row r="388">
      <c r="A388" s="143" t="s">
        <v>293</v>
      </c>
      <c r="B388" s="143" t="s">
        <v>4038</v>
      </c>
      <c r="C388" s="143" t="s">
        <v>4049</v>
      </c>
      <c r="D388" s="142" t="s">
        <v>4050</v>
      </c>
    </row>
    <row r="389">
      <c r="A389" s="143" t="s">
        <v>293</v>
      </c>
      <c r="B389" s="143" t="s">
        <v>4038</v>
      </c>
      <c r="C389" s="143" t="s">
        <v>4051</v>
      </c>
      <c r="D389" s="142" t="s">
        <v>4052</v>
      </c>
    </row>
    <row r="390">
      <c r="A390" s="143" t="s">
        <v>293</v>
      </c>
      <c r="B390" s="143" t="s">
        <v>4038</v>
      </c>
      <c r="C390" s="143" t="s">
        <v>4053</v>
      </c>
      <c r="D390" s="142" t="s">
        <v>4054</v>
      </c>
    </row>
    <row r="391">
      <c r="A391" s="143" t="s">
        <v>293</v>
      </c>
      <c r="B391" s="143" t="s">
        <v>4038</v>
      </c>
      <c r="C391" s="143" t="s">
        <v>4055</v>
      </c>
      <c r="D391" s="142" t="s">
        <v>4056</v>
      </c>
    </row>
    <row r="392">
      <c r="A392" s="143" t="s">
        <v>293</v>
      </c>
      <c r="B392" s="143" t="s">
        <v>4038</v>
      </c>
      <c r="C392" s="143" t="s">
        <v>4057</v>
      </c>
      <c r="D392" s="142" t="s">
        <v>4058</v>
      </c>
    </row>
    <row r="393">
      <c r="A393" s="143" t="s">
        <v>293</v>
      </c>
      <c r="B393" s="143" t="s">
        <v>4038</v>
      </c>
      <c r="C393" s="143" t="s">
        <v>4059</v>
      </c>
      <c r="D393" s="142" t="s">
        <v>4060</v>
      </c>
    </row>
    <row r="394">
      <c r="A394" s="143" t="s">
        <v>293</v>
      </c>
      <c r="B394" s="143" t="s">
        <v>4038</v>
      </c>
      <c r="C394" s="143" t="s">
        <v>4061</v>
      </c>
      <c r="D394" s="142" t="s">
        <v>4062</v>
      </c>
    </row>
    <row r="395">
      <c r="A395" s="143" t="s">
        <v>293</v>
      </c>
      <c r="B395" s="143" t="s">
        <v>4038</v>
      </c>
      <c r="C395" s="143" t="s">
        <v>4063</v>
      </c>
      <c r="D395" s="142" t="s">
        <v>4064</v>
      </c>
    </row>
    <row r="396">
      <c r="A396" s="143" t="s">
        <v>293</v>
      </c>
      <c r="B396" s="143" t="s">
        <v>4038</v>
      </c>
      <c r="C396" s="143" t="s">
        <v>4065</v>
      </c>
      <c r="D396" s="142" t="s">
        <v>4066</v>
      </c>
    </row>
    <row r="397">
      <c r="A397" s="143" t="s">
        <v>293</v>
      </c>
      <c r="B397" s="143" t="s">
        <v>4038</v>
      </c>
      <c r="C397" s="143" t="s">
        <v>4067</v>
      </c>
      <c r="D397" s="142" t="s">
        <v>4068</v>
      </c>
    </row>
    <row r="398">
      <c r="A398" s="143" t="s">
        <v>293</v>
      </c>
      <c r="B398" s="143" t="s">
        <v>4038</v>
      </c>
      <c r="C398" s="143" t="s">
        <v>4069</v>
      </c>
      <c r="D398" s="142" t="s">
        <v>4070</v>
      </c>
    </row>
    <row r="399">
      <c r="A399" s="143" t="s">
        <v>293</v>
      </c>
      <c r="B399" s="143" t="s">
        <v>4038</v>
      </c>
      <c r="C399" s="143" t="s">
        <v>4071</v>
      </c>
      <c r="D399" s="142" t="s">
        <v>4072</v>
      </c>
    </row>
    <row r="400">
      <c r="A400" s="143" t="s">
        <v>293</v>
      </c>
      <c r="B400" s="143" t="s">
        <v>4038</v>
      </c>
      <c r="C400" s="143" t="s">
        <v>4073</v>
      </c>
      <c r="D400" s="142" t="s">
        <v>4074</v>
      </c>
    </row>
    <row r="401">
      <c r="A401" s="143" t="s">
        <v>293</v>
      </c>
      <c r="B401" s="143" t="s">
        <v>4038</v>
      </c>
      <c r="C401" s="143" t="s">
        <v>4075</v>
      </c>
      <c r="D401" s="142" t="s">
        <v>4076</v>
      </c>
    </row>
    <row r="402">
      <c r="A402" s="143" t="s">
        <v>293</v>
      </c>
      <c r="B402" s="143" t="s">
        <v>4038</v>
      </c>
      <c r="C402" s="143" t="s">
        <v>4077</v>
      </c>
      <c r="D402" s="142" t="s">
        <v>4078</v>
      </c>
    </row>
    <row r="403">
      <c r="A403" s="143" t="s">
        <v>293</v>
      </c>
      <c r="B403" s="143" t="s">
        <v>4038</v>
      </c>
      <c r="C403" s="143" t="s">
        <v>4079</v>
      </c>
      <c r="D403" s="142" t="s">
        <v>4080</v>
      </c>
    </row>
    <row r="404">
      <c r="A404" s="143" t="s">
        <v>293</v>
      </c>
      <c r="B404" s="143" t="s">
        <v>4038</v>
      </c>
      <c r="C404" s="143" t="s">
        <v>497</v>
      </c>
      <c r="D404" s="142" t="s">
        <v>4081</v>
      </c>
    </row>
    <row r="405">
      <c r="A405" s="143" t="s">
        <v>293</v>
      </c>
      <c r="B405" s="143" t="s">
        <v>4038</v>
      </c>
      <c r="C405" s="143" t="s">
        <v>3856</v>
      </c>
      <c r="D405" s="142" t="s">
        <v>4082</v>
      </c>
    </row>
    <row r="406">
      <c r="A406" s="143" t="s">
        <v>293</v>
      </c>
      <c r="B406" s="143" t="s">
        <v>4038</v>
      </c>
      <c r="C406" s="143" t="s">
        <v>3070</v>
      </c>
      <c r="D406" s="142" t="s">
        <v>4083</v>
      </c>
    </row>
    <row r="407">
      <c r="A407" s="143" t="s">
        <v>293</v>
      </c>
      <c r="B407" s="143" t="s">
        <v>4038</v>
      </c>
      <c r="C407" s="143" t="s">
        <v>3178</v>
      </c>
      <c r="D407" s="142" t="s">
        <v>4084</v>
      </c>
    </row>
    <row r="408">
      <c r="A408" s="143" t="s">
        <v>293</v>
      </c>
      <c r="B408" s="143" t="s">
        <v>4038</v>
      </c>
      <c r="C408" s="143" t="s">
        <v>4085</v>
      </c>
      <c r="D408" s="142" t="s">
        <v>4086</v>
      </c>
    </row>
    <row r="409">
      <c r="A409" s="143" t="s">
        <v>293</v>
      </c>
      <c r="B409" s="143" t="s">
        <v>4038</v>
      </c>
      <c r="C409" s="143" t="s">
        <v>4087</v>
      </c>
      <c r="D409" s="142" t="s">
        <v>4088</v>
      </c>
    </row>
    <row r="410">
      <c r="A410" s="143" t="s">
        <v>293</v>
      </c>
      <c r="B410" s="143" t="s">
        <v>4038</v>
      </c>
      <c r="C410" s="143" t="s">
        <v>4089</v>
      </c>
      <c r="D410" s="142" t="s">
        <v>4090</v>
      </c>
    </row>
    <row r="411">
      <c r="A411" s="143" t="s">
        <v>293</v>
      </c>
      <c r="B411" s="143" t="s">
        <v>4038</v>
      </c>
      <c r="C411" s="143" t="s">
        <v>894</v>
      </c>
      <c r="D411" s="142" t="s">
        <v>4091</v>
      </c>
    </row>
    <row r="412">
      <c r="A412" s="143" t="s">
        <v>293</v>
      </c>
      <c r="B412" s="143" t="s">
        <v>4038</v>
      </c>
      <c r="C412" s="143" t="s">
        <v>4092</v>
      </c>
      <c r="D412" s="142" t="s">
        <v>4093</v>
      </c>
    </row>
    <row r="413">
      <c r="A413" s="143" t="s">
        <v>293</v>
      </c>
      <c r="B413" s="143" t="s">
        <v>4038</v>
      </c>
      <c r="C413" s="143" t="s">
        <v>4094</v>
      </c>
      <c r="D413" s="142" t="s">
        <v>4095</v>
      </c>
    </row>
    <row r="414">
      <c r="A414" s="143" t="s">
        <v>293</v>
      </c>
      <c r="B414" s="143" t="s">
        <v>4038</v>
      </c>
      <c r="C414" s="143" t="s">
        <v>4096</v>
      </c>
      <c r="D414" s="142" t="s">
        <v>4097</v>
      </c>
    </row>
    <row r="415">
      <c r="A415" s="143" t="s">
        <v>293</v>
      </c>
      <c r="B415" s="143" t="s">
        <v>4098</v>
      </c>
      <c r="C415" s="143" t="s">
        <v>4099</v>
      </c>
      <c r="D415" s="142" t="s">
        <v>4100</v>
      </c>
    </row>
    <row r="416">
      <c r="A416" s="143" t="s">
        <v>293</v>
      </c>
      <c r="B416" s="143" t="s">
        <v>4098</v>
      </c>
      <c r="C416" s="143" t="s">
        <v>4101</v>
      </c>
      <c r="D416" s="142" t="s">
        <v>4102</v>
      </c>
    </row>
    <row r="417">
      <c r="A417" s="143" t="s">
        <v>293</v>
      </c>
      <c r="B417" s="143" t="s">
        <v>4098</v>
      </c>
      <c r="C417" s="143" t="s">
        <v>4103</v>
      </c>
      <c r="D417" s="142" t="s">
        <v>4104</v>
      </c>
    </row>
    <row r="418">
      <c r="A418" s="143" t="s">
        <v>293</v>
      </c>
      <c r="B418" s="143" t="s">
        <v>4098</v>
      </c>
      <c r="C418" s="143" t="s">
        <v>4105</v>
      </c>
      <c r="D418" s="142" t="s">
        <v>4106</v>
      </c>
    </row>
    <row r="419">
      <c r="A419" s="143" t="s">
        <v>293</v>
      </c>
      <c r="B419" s="143" t="s">
        <v>4098</v>
      </c>
      <c r="C419" s="143" t="s">
        <v>4107</v>
      </c>
      <c r="D419" s="142" t="s">
        <v>4108</v>
      </c>
    </row>
    <row r="420">
      <c r="A420" s="143" t="s">
        <v>293</v>
      </c>
      <c r="B420" s="143" t="s">
        <v>4098</v>
      </c>
      <c r="C420" s="143" t="s">
        <v>4109</v>
      </c>
      <c r="D420" s="142" t="s">
        <v>4110</v>
      </c>
    </row>
    <row r="421">
      <c r="A421" s="143" t="s">
        <v>293</v>
      </c>
      <c r="B421" s="143" t="s">
        <v>4098</v>
      </c>
      <c r="C421" s="143" t="s">
        <v>4111</v>
      </c>
      <c r="D421" s="142" t="s">
        <v>4112</v>
      </c>
    </row>
    <row r="422">
      <c r="A422" s="143" t="s">
        <v>293</v>
      </c>
      <c r="B422" s="143" t="s">
        <v>4098</v>
      </c>
      <c r="C422" s="143" t="s">
        <v>4113</v>
      </c>
      <c r="D422" s="142" t="s">
        <v>4114</v>
      </c>
    </row>
    <row r="423">
      <c r="A423" s="143" t="s">
        <v>293</v>
      </c>
      <c r="B423" s="143" t="s">
        <v>4098</v>
      </c>
      <c r="C423" s="143" t="s">
        <v>4115</v>
      </c>
      <c r="D423" s="142" t="s">
        <v>4116</v>
      </c>
    </row>
    <row r="424">
      <c r="A424" s="143" t="s">
        <v>293</v>
      </c>
      <c r="B424" s="143" t="s">
        <v>4098</v>
      </c>
      <c r="C424" s="143" t="s">
        <v>4117</v>
      </c>
      <c r="D424" s="142" t="s">
        <v>4118</v>
      </c>
    </row>
    <row r="425">
      <c r="A425" s="143" t="s">
        <v>293</v>
      </c>
      <c r="B425" s="143" t="s">
        <v>4098</v>
      </c>
      <c r="C425" s="143" t="s">
        <v>4119</v>
      </c>
      <c r="D425" s="142" t="s">
        <v>4120</v>
      </c>
    </row>
    <row r="426">
      <c r="A426" s="143" t="s">
        <v>293</v>
      </c>
      <c r="B426" s="143" t="s">
        <v>4098</v>
      </c>
      <c r="C426" s="143" t="s">
        <v>4121</v>
      </c>
      <c r="D426" s="142" t="s">
        <v>4122</v>
      </c>
    </row>
    <row r="427">
      <c r="A427" s="143" t="s">
        <v>293</v>
      </c>
      <c r="B427" s="143" t="s">
        <v>4098</v>
      </c>
      <c r="C427" s="143" t="s">
        <v>4123</v>
      </c>
      <c r="D427" s="142" t="s">
        <v>4124</v>
      </c>
    </row>
    <row r="428">
      <c r="A428" s="143" t="s">
        <v>293</v>
      </c>
      <c r="B428" s="143" t="s">
        <v>4098</v>
      </c>
      <c r="C428" s="143" t="s">
        <v>4125</v>
      </c>
      <c r="D428" s="142" t="s">
        <v>4126</v>
      </c>
    </row>
    <row r="429">
      <c r="A429" s="143" t="s">
        <v>293</v>
      </c>
      <c r="B429" s="143" t="s">
        <v>4098</v>
      </c>
      <c r="C429" s="143" t="s">
        <v>4127</v>
      </c>
      <c r="D429" s="142" t="s">
        <v>4128</v>
      </c>
    </row>
    <row r="430">
      <c r="A430" s="143" t="s">
        <v>293</v>
      </c>
      <c r="B430" s="143" t="s">
        <v>4098</v>
      </c>
      <c r="C430" s="143" t="s">
        <v>2033</v>
      </c>
      <c r="D430" s="142" t="s">
        <v>4129</v>
      </c>
    </row>
    <row r="431">
      <c r="A431" s="143" t="s">
        <v>293</v>
      </c>
      <c r="B431" s="143" t="s">
        <v>4098</v>
      </c>
      <c r="C431" s="143" t="s">
        <v>4130</v>
      </c>
      <c r="D431" s="142" t="s">
        <v>4131</v>
      </c>
    </row>
    <row r="432">
      <c r="A432" s="143" t="s">
        <v>293</v>
      </c>
      <c r="B432" s="143" t="s">
        <v>4098</v>
      </c>
      <c r="C432" s="143" t="s">
        <v>4132</v>
      </c>
      <c r="D432" s="142" t="s">
        <v>4133</v>
      </c>
    </row>
    <row r="433">
      <c r="A433" s="143" t="s">
        <v>293</v>
      </c>
      <c r="B433" s="143" t="s">
        <v>4098</v>
      </c>
      <c r="C433" s="143" t="s">
        <v>483</v>
      </c>
      <c r="D433" s="142" t="s">
        <v>4134</v>
      </c>
    </row>
    <row r="434">
      <c r="A434" s="143" t="s">
        <v>293</v>
      </c>
      <c r="B434" s="143" t="s">
        <v>4098</v>
      </c>
      <c r="C434" s="143" t="s">
        <v>4135</v>
      </c>
      <c r="D434" s="142" t="s">
        <v>4136</v>
      </c>
    </row>
    <row r="435">
      <c r="A435" s="143" t="s">
        <v>293</v>
      </c>
      <c r="B435" s="143" t="s">
        <v>4098</v>
      </c>
      <c r="C435" s="143" t="s">
        <v>4137</v>
      </c>
      <c r="D435" s="142" t="s">
        <v>4138</v>
      </c>
    </row>
    <row r="436">
      <c r="A436" s="143" t="s">
        <v>293</v>
      </c>
      <c r="B436" s="143" t="s">
        <v>4098</v>
      </c>
      <c r="C436" s="143" t="s">
        <v>4139</v>
      </c>
      <c r="D436" s="142" t="s">
        <v>4140</v>
      </c>
    </row>
    <row r="437">
      <c r="A437" s="143" t="s">
        <v>293</v>
      </c>
      <c r="B437" s="143" t="s">
        <v>4141</v>
      </c>
      <c r="C437" s="143" t="s">
        <v>4142</v>
      </c>
      <c r="D437" s="142" t="s">
        <v>4143</v>
      </c>
    </row>
    <row r="438">
      <c r="A438" s="143" t="s">
        <v>293</v>
      </c>
      <c r="B438" s="143" t="s">
        <v>4141</v>
      </c>
      <c r="C438" s="143" t="s">
        <v>4144</v>
      </c>
      <c r="D438" s="142" t="s">
        <v>4145</v>
      </c>
    </row>
    <row r="439">
      <c r="A439" s="143" t="s">
        <v>293</v>
      </c>
      <c r="B439" s="143" t="s">
        <v>4141</v>
      </c>
      <c r="C439" s="143" t="s">
        <v>4146</v>
      </c>
      <c r="D439" s="142" t="s">
        <v>4147</v>
      </c>
    </row>
    <row r="440">
      <c r="A440" s="143" t="s">
        <v>293</v>
      </c>
      <c r="B440" s="143" t="s">
        <v>4141</v>
      </c>
      <c r="C440" s="143" t="s">
        <v>4148</v>
      </c>
      <c r="D440" s="142" t="s">
        <v>4149</v>
      </c>
    </row>
    <row r="441">
      <c r="A441" s="143" t="s">
        <v>293</v>
      </c>
      <c r="B441" s="143" t="s">
        <v>4141</v>
      </c>
      <c r="C441" s="143" t="s">
        <v>2066</v>
      </c>
      <c r="D441" s="142" t="s">
        <v>4150</v>
      </c>
    </row>
    <row r="442">
      <c r="A442" s="143" t="s">
        <v>293</v>
      </c>
      <c r="B442" s="143" t="s">
        <v>4141</v>
      </c>
      <c r="C442" s="143" t="s">
        <v>4151</v>
      </c>
      <c r="D442" s="142" t="s">
        <v>4152</v>
      </c>
    </row>
    <row r="443">
      <c r="A443" s="143" t="s">
        <v>293</v>
      </c>
      <c r="B443" s="143" t="s">
        <v>4141</v>
      </c>
      <c r="C443" s="143" t="s">
        <v>4153</v>
      </c>
      <c r="D443" s="142" t="s">
        <v>4154</v>
      </c>
    </row>
    <row r="444">
      <c r="A444" s="143" t="s">
        <v>293</v>
      </c>
      <c r="B444" s="143" t="s">
        <v>4141</v>
      </c>
      <c r="C444" s="143" t="s">
        <v>4155</v>
      </c>
      <c r="D444" s="142" t="s">
        <v>4156</v>
      </c>
    </row>
    <row r="445">
      <c r="A445" s="143" t="s">
        <v>293</v>
      </c>
      <c r="B445" s="143" t="s">
        <v>4141</v>
      </c>
      <c r="C445" s="143" t="s">
        <v>4157</v>
      </c>
      <c r="D445" s="142" t="s">
        <v>4158</v>
      </c>
    </row>
    <row r="446">
      <c r="A446" s="143" t="s">
        <v>293</v>
      </c>
      <c r="B446" s="143" t="s">
        <v>4141</v>
      </c>
      <c r="C446" s="143" t="s">
        <v>4159</v>
      </c>
      <c r="D446" s="142" t="s">
        <v>4160</v>
      </c>
    </row>
    <row r="447">
      <c r="A447" s="143" t="s">
        <v>293</v>
      </c>
      <c r="B447" s="143" t="s">
        <v>4141</v>
      </c>
      <c r="C447" s="143" t="s">
        <v>4161</v>
      </c>
      <c r="D447" s="142" t="s">
        <v>4162</v>
      </c>
    </row>
    <row r="448">
      <c r="A448" s="143" t="s">
        <v>293</v>
      </c>
      <c r="B448" s="143" t="s">
        <v>4141</v>
      </c>
      <c r="C448" s="143" t="s">
        <v>4163</v>
      </c>
      <c r="D448" s="142" t="s">
        <v>4164</v>
      </c>
    </row>
    <row r="449">
      <c r="A449" s="143" t="s">
        <v>293</v>
      </c>
      <c r="B449" s="143" t="s">
        <v>4141</v>
      </c>
      <c r="C449" s="143" t="s">
        <v>4165</v>
      </c>
      <c r="D449" s="142" t="s">
        <v>4166</v>
      </c>
    </row>
    <row r="450">
      <c r="A450" s="143" t="s">
        <v>293</v>
      </c>
      <c r="B450" s="143" t="s">
        <v>4141</v>
      </c>
      <c r="C450" s="143" t="s">
        <v>3781</v>
      </c>
      <c r="D450" s="142" t="s">
        <v>4167</v>
      </c>
    </row>
    <row r="451">
      <c r="A451" s="143" t="s">
        <v>293</v>
      </c>
      <c r="B451" s="143" t="s">
        <v>4141</v>
      </c>
      <c r="C451" s="143" t="s">
        <v>4168</v>
      </c>
      <c r="D451" s="142" t="s">
        <v>4169</v>
      </c>
    </row>
    <row r="452">
      <c r="A452" s="143" t="s">
        <v>293</v>
      </c>
      <c r="B452" s="143" t="s">
        <v>4141</v>
      </c>
      <c r="C452" s="143" t="s">
        <v>4170</v>
      </c>
      <c r="D452" s="142" t="s">
        <v>4171</v>
      </c>
    </row>
    <row r="453">
      <c r="A453" s="143" t="s">
        <v>293</v>
      </c>
      <c r="B453" s="143" t="s">
        <v>4141</v>
      </c>
      <c r="C453" s="143" t="s">
        <v>4172</v>
      </c>
      <c r="D453" s="142" t="s">
        <v>4173</v>
      </c>
    </row>
    <row r="454">
      <c r="A454" s="143" t="s">
        <v>293</v>
      </c>
      <c r="B454" s="143" t="s">
        <v>4141</v>
      </c>
      <c r="C454" s="143" t="s">
        <v>1667</v>
      </c>
      <c r="D454" s="142" t="s">
        <v>4174</v>
      </c>
    </row>
    <row r="455">
      <c r="A455" s="143" t="s">
        <v>293</v>
      </c>
      <c r="B455" s="143" t="s">
        <v>294</v>
      </c>
      <c r="C455" s="143" t="s">
        <v>2602</v>
      </c>
      <c r="D455" s="142" t="s">
        <v>2603</v>
      </c>
    </row>
    <row r="456">
      <c r="A456" s="143" t="s">
        <v>293</v>
      </c>
      <c r="B456" s="143" t="s">
        <v>294</v>
      </c>
      <c r="C456" s="143" t="s">
        <v>4175</v>
      </c>
      <c r="D456" s="142" t="s">
        <v>4176</v>
      </c>
    </row>
    <row r="457">
      <c r="A457" s="143" t="s">
        <v>293</v>
      </c>
      <c r="B457" s="143" t="s">
        <v>294</v>
      </c>
      <c r="C457" s="143" t="s">
        <v>486</v>
      </c>
      <c r="D457" s="142" t="s">
        <v>487</v>
      </c>
    </row>
    <row r="458">
      <c r="A458" s="143" t="s">
        <v>293</v>
      </c>
      <c r="B458" s="143" t="s">
        <v>294</v>
      </c>
      <c r="C458" s="143" t="s">
        <v>4177</v>
      </c>
      <c r="D458" s="142" t="s">
        <v>4178</v>
      </c>
    </row>
    <row r="459">
      <c r="A459" s="143" t="s">
        <v>293</v>
      </c>
      <c r="B459" s="143" t="s">
        <v>294</v>
      </c>
      <c r="C459" s="143" t="s">
        <v>295</v>
      </c>
      <c r="D459" s="142" t="s">
        <v>296</v>
      </c>
    </row>
    <row r="460">
      <c r="A460" s="143" t="s">
        <v>293</v>
      </c>
      <c r="B460" s="143" t="s">
        <v>294</v>
      </c>
      <c r="C460" s="143" t="s">
        <v>950</v>
      </c>
      <c r="D460" s="142" t="s">
        <v>951</v>
      </c>
    </row>
    <row r="461">
      <c r="A461" s="143" t="s">
        <v>293</v>
      </c>
      <c r="B461" s="143" t="s">
        <v>294</v>
      </c>
      <c r="C461" s="143" t="s">
        <v>4179</v>
      </c>
      <c r="D461" s="142" t="s">
        <v>4180</v>
      </c>
    </row>
    <row r="462">
      <c r="A462" s="143" t="s">
        <v>293</v>
      </c>
      <c r="B462" s="143" t="s">
        <v>294</v>
      </c>
      <c r="C462" s="143" t="s">
        <v>4181</v>
      </c>
      <c r="D462" s="142" t="s">
        <v>4182</v>
      </c>
    </row>
    <row r="463">
      <c r="A463" s="143" t="s">
        <v>293</v>
      </c>
      <c r="B463" s="143" t="s">
        <v>294</v>
      </c>
      <c r="C463" s="143" t="s">
        <v>3070</v>
      </c>
      <c r="D463" s="142" t="s">
        <v>3071</v>
      </c>
    </row>
    <row r="464">
      <c r="A464" s="143" t="s">
        <v>293</v>
      </c>
      <c r="B464" s="143" t="s">
        <v>294</v>
      </c>
      <c r="C464" s="143" t="s">
        <v>4183</v>
      </c>
      <c r="D464" s="142" t="s">
        <v>4184</v>
      </c>
    </row>
    <row r="465">
      <c r="A465" s="143" t="s">
        <v>293</v>
      </c>
      <c r="B465" s="143" t="s">
        <v>294</v>
      </c>
      <c r="C465" s="143" t="s">
        <v>4185</v>
      </c>
      <c r="D465" s="142" t="s">
        <v>4186</v>
      </c>
    </row>
    <row r="466">
      <c r="A466" s="143" t="s">
        <v>293</v>
      </c>
      <c r="B466" s="143" t="s">
        <v>294</v>
      </c>
      <c r="C466" s="143" t="s">
        <v>4187</v>
      </c>
      <c r="D466" s="142" t="s">
        <v>4188</v>
      </c>
    </row>
    <row r="467">
      <c r="A467" s="143" t="s">
        <v>293</v>
      </c>
      <c r="B467" s="143" t="s">
        <v>294</v>
      </c>
      <c r="C467" s="143" t="s">
        <v>420</v>
      </c>
      <c r="D467" s="142" t="s">
        <v>708</v>
      </c>
    </row>
    <row r="468">
      <c r="A468" s="143" t="s">
        <v>293</v>
      </c>
      <c r="B468" s="143" t="s">
        <v>294</v>
      </c>
      <c r="C468" s="143" t="s">
        <v>1291</v>
      </c>
      <c r="D468" s="142" t="s">
        <v>1292</v>
      </c>
    </row>
    <row r="469">
      <c r="A469" s="143" t="s">
        <v>293</v>
      </c>
      <c r="B469" s="143" t="s">
        <v>1208</v>
      </c>
      <c r="C469" s="143" t="s">
        <v>1209</v>
      </c>
      <c r="D469" s="142" t="s">
        <v>1210</v>
      </c>
    </row>
    <row r="470">
      <c r="A470" s="143" t="s">
        <v>293</v>
      </c>
      <c r="B470" s="143" t="s">
        <v>1208</v>
      </c>
      <c r="C470" s="143" t="s">
        <v>554</v>
      </c>
      <c r="D470" s="142" t="s">
        <v>4189</v>
      </c>
    </row>
    <row r="471">
      <c r="A471" s="143" t="s">
        <v>293</v>
      </c>
      <c r="B471" s="143" t="s">
        <v>1208</v>
      </c>
      <c r="C471" s="143" t="s">
        <v>4190</v>
      </c>
      <c r="D471" s="142" t="s">
        <v>4191</v>
      </c>
    </row>
    <row r="472">
      <c r="A472" s="143" t="s">
        <v>293</v>
      </c>
      <c r="B472" s="143" t="s">
        <v>1208</v>
      </c>
      <c r="C472" s="143" t="s">
        <v>4192</v>
      </c>
      <c r="D472" s="142" t="s">
        <v>4193</v>
      </c>
    </row>
    <row r="473">
      <c r="A473" s="143" t="s">
        <v>293</v>
      </c>
      <c r="B473" s="143" t="s">
        <v>1208</v>
      </c>
      <c r="C473" s="143" t="s">
        <v>4194</v>
      </c>
      <c r="D473" s="142" t="s">
        <v>4195</v>
      </c>
    </row>
    <row r="474">
      <c r="A474" s="143" t="s">
        <v>293</v>
      </c>
      <c r="B474" s="143" t="s">
        <v>1208</v>
      </c>
      <c r="C474" s="143" t="s">
        <v>4196</v>
      </c>
      <c r="D474" s="142" t="s">
        <v>4197</v>
      </c>
    </row>
    <row r="475">
      <c r="A475" s="143" t="s">
        <v>293</v>
      </c>
      <c r="B475" s="143" t="s">
        <v>1208</v>
      </c>
      <c r="C475" s="143" t="s">
        <v>4198</v>
      </c>
      <c r="D475" s="142" t="s">
        <v>4199</v>
      </c>
    </row>
    <row r="476">
      <c r="A476" s="143" t="s">
        <v>293</v>
      </c>
      <c r="B476" s="143" t="s">
        <v>1208</v>
      </c>
      <c r="C476" s="143" t="s">
        <v>4130</v>
      </c>
      <c r="D476" s="142" t="s">
        <v>4200</v>
      </c>
    </row>
    <row r="477">
      <c r="A477" s="143" t="s">
        <v>257</v>
      </c>
      <c r="B477" s="143" t="s">
        <v>258</v>
      </c>
      <c r="C477" s="143" t="s">
        <v>4201</v>
      </c>
      <c r="D477" s="142" t="s">
        <v>4202</v>
      </c>
    </row>
    <row r="478">
      <c r="A478" s="143" t="s">
        <v>257</v>
      </c>
      <c r="B478" s="143" t="s">
        <v>258</v>
      </c>
      <c r="C478" s="143" t="s">
        <v>4203</v>
      </c>
      <c r="D478" s="142" t="s">
        <v>4204</v>
      </c>
    </row>
    <row r="479">
      <c r="A479" s="143" t="s">
        <v>257</v>
      </c>
      <c r="B479" s="143" t="s">
        <v>258</v>
      </c>
      <c r="C479" s="143" t="s">
        <v>3075</v>
      </c>
      <c r="D479" s="142" t="s">
        <v>3076</v>
      </c>
    </row>
    <row r="480">
      <c r="A480" s="143" t="s">
        <v>257</v>
      </c>
      <c r="B480" s="143" t="s">
        <v>258</v>
      </c>
      <c r="C480" s="143" t="s">
        <v>4205</v>
      </c>
      <c r="D480" s="142" t="s">
        <v>4206</v>
      </c>
    </row>
    <row r="481">
      <c r="A481" s="143" t="s">
        <v>257</v>
      </c>
      <c r="B481" s="143" t="s">
        <v>258</v>
      </c>
      <c r="C481" s="143" t="s">
        <v>2424</v>
      </c>
      <c r="D481" s="142" t="s">
        <v>2425</v>
      </c>
    </row>
    <row r="482">
      <c r="A482" s="143" t="s">
        <v>257</v>
      </c>
      <c r="B482" s="143" t="s">
        <v>258</v>
      </c>
      <c r="C482" s="143" t="s">
        <v>2609</v>
      </c>
      <c r="D482" s="142" t="s">
        <v>2610</v>
      </c>
    </row>
    <row r="483">
      <c r="A483" s="143" t="s">
        <v>257</v>
      </c>
      <c r="B483" s="143" t="s">
        <v>258</v>
      </c>
      <c r="C483" s="143" t="s">
        <v>2309</v>
      </c>
      <c r="D483" s="142" t="s">
        <v>2310</v>
      </c>
    </row>
    <row r="484">
      <c r="A484" s="143" t="s">
        <v>257</v>
      </c>
      <c r="B484" s="143" t="s">
        <v>258</v>
      </c>
      <c r="C484" s="143" t="s">
        <v>1752</v>
      </c>
      <c r="D484" s="142" t="s">
        <v>1753</v>
      </c>
    </row>
    <row r="485">
      <c r="A485" s="143" t="s">
        <v>257</v>
      </c>
      <c r="B485" s="143" t="s">
        <v>258</v>
      </c>
      <c r="C485" s="143" t="s">
        <v>4207</v>
      </c>
      <c r="D485" s="142" t="s">
        <v>4208</v>
      </c>
    </row>
    <row r="486">
      <c r="A486" s="143" t="s">
        <v>257</v>
      </c>
      <c r="B486" s="143" t="s">
        <v>258</v>
      </c>
      <c r="C486" s="143" t="s">
        <v>4209</v>
      </c>
      <c r="D486" s="142" t="s">
        <v>4210</v>
      </c>
    </row>
    <row r="487">
      <c r="A487" s="143" t="s">
        <v>257</v>
      </c>
      <c r="B487" s="143" t="s">
        <v>258</v>
      </c>
      <c r="C487" s="143" t="s">
        <v>4211</v>
      </c>
      <c r="D487" s="142" t="s">
        <v>4212</v>
      </c>
    </row>
    <row r="488">
      <c r="A488" s="143" t="s">
        <v>257</v>
      </c>
      <c r="B488" s="143" t="s">
        <v>258</v>
      </c>
      <c r="C488" s="143" t="s">
        <v>4213</v>
      </c>
      <c r="D488" s="142" t="s">
        <v>4214</v>
      </c>
    </row>
    <row r="489">
      <c r="A489" s="143" t="s">
        <v>257</v>
      </c>
      <c r="B489" s="143" t="s">
        <v>258</v>
      </c>
      <c r="C489" s="143" t="s">
        <v>1890</v>
      </c>
      <c r="D489" s="142" t="s">
        <v>1891</v>
      </c>
    </row>
    <row r="490">
      <c r="A490" s="143" t="s">
        <v>257</v>
      </c>
      <c r="B490" s="143" t="s">
        <v>258</v>
      </c>
      <c r="C490" s="143" t="s">
        <v>4215</v>
      </c>
      <c r="D490" s="142" t="s">
        <v>4216</v>
      </c>
    </row>
    <row r="491">
      <c r="A491" s="143" t="s">
        <v>257</v>
      </c>
      <c r="B491" s="143" t="s">
        <v>258</v>
      </c>
      <c r="C491" s="143" t="s">
        <v>1958</v>
      </c>
      <c r="D491" s="142" t="s">
        <v>1959</v>
      </c>
    </row>
    <row r="492">
      <c r="A492" s="143" t="s">
        <v>257</v>
      </c>
      <c r="B492" s="143" t="s">
        <v>258</v>
      </c>
      <c r="C492" s="143" t="s">
        <v>1255</v>
      </c>
      <c r="D492" s="142" t="s">
        <v>1256</v>
      </c>
    </row>
    <row r="493">
      <c r="A493" s="143" t="s">
        <v>257</v>
      </c>
      <c r="B493" s="143" t="s">
        <v>258</v>
      </c>
      <c r="C493" s="143" t="s">
        <v>4217</v>
      </c>
      <c r="D493" s="142" t="s">
        <v>4218</v>
      </c>
    </row>
    <row r="494">
      <c r="A494" s="143" t="s">
        <v>257</v>
      </c>
      <c r="B494" s="143" t="s">
        <v>258</v>
      </c>
      <c r="C494" s="143" t="s">
        <v>4219</v>
      </c>
      <c r="D494" s="142" t="s">
        <v>4220</v>
      </c>
    </row>
    <row r="495">
      <c r="A495" s="143" t="s">
        <v>257</v>
      </c>
      <c r="B495" s="143" t="s">
        <v>258</v>
      </c>
      <c r="C495" s="143" t="s">
        <v>259</v>
      </c>
      <c r="D495" s="142" t="s">
        <v>260</v>
      </c>
    </row>
    <row r="496">
      <c r="A496" s="143" t="s">
        <v>257</v>
      </c>
      <c r="B496" s="143" t="s">
        <v>258</v>
      </c>
      <c r="C496" s="143" t="s">
        <v>4221</v>
      </c>
      <c r="D496" s="142" t="s">
        <v>4222</v>
      </c>
    </row>
    <row r="497">
      <c r="A497" s="143" t="s">
        <v>257</v>
      </c>
      <c r="B497" s="143" t="s">
        <v>258</v>
      </c>
      <c r="C497" s="143" t="s">
        <v>447</v>
      </c>
      <c r="D497" s="142" t="s">
        <v>4223</v>
      </c>
    </row>
    <row r="498">
      <c r="A498" s="143" t="s">
        <v>257</v>
      </c>
      <c r="B498" s="143" t="s">
        <v>258</v>
      </c>
      <c r="C498" s="143" t="s">
        <v>1667</v>
      </c>
      <c r="D498" s="142" t="s">
        <v>3010</v>
      </c>
    </row>
    <row r="499">
      <c r="A499" s="143" t="s">
        <v>257</v>
      </c>
      <c r="B499" s="143" t="s">
        <v>258</v>
      </c>
      <c r="C499" s="143" t="s">
        <v>491</v>
      </c>
      <c r="D499" s="142" t="s">
        <v>492</v>
      </c>
    </row>
    <row r="500">
      <c r="A500" s="143" t="s">
        <v>257</v>
      </c>
      <c r="B500" s="143" t="s">
        <v>258</v>
      </c>
      <c r="C500" s="143" t="s">
        <v>4130</v>
      </c>
      <c r="D500" s="142" t="s">
        <v>4224</v>
      </c>
    </row>
    <row r="501">
      <c r="A501" s="143" t="s">
        <v>257</v>
      </c>
      <c r="B501" s="143" t="s">
        <v>258</v>
      </c>
      <c r="C501" s="143" t="s">
        <v>3663</v>
      </c>
      <c r="D501" s="142" t="s">
        <v>4225</v>
      </c>
    </row>
    <row r="502">
      <c r="A502" s="143" t="s">
        <v>257</v>
      </c>
      <c r="B502" s="143" t="s">
        <v>258</v>
      </c>
      <c r="C502" s="143" t="s">
        <v>4226</v>
      </c>
      <c r="D502" s="142" t="s">
        <v>4227</v>
      </c>
    </row>
    <row r="503">
      <c r="A503" s="143" t="s">
        <v>257</v>
      </c>
      <c r="B503" s="143" t="s">
        <v>258</v>
      </c>
      <c r="C503" s="143" t="s">
        <v>3862</v>
      </c>
      <c r="D503" s="142" t="s">
        <v>4228</v>
      </c>
    </row>
    <row r="504">
      <c r="A504" s="143" t="s">
        <v>257</v>
      </c>
      <c r="B504" s="143" t="s">
        <v>258</v>
      </c>
      <c r="C504" s="143" t="s">
        <v>4229</v>
      </c>
      <c r="D504" s="142" t="s">
        <v>4230</v>
      </c>
    </row>
    <row r="505">
      <c r="A505" s="143" t="s">
        <v>257</v>
      </c>
      <c r="B505" s="143" t="s">
        <v>258</v>
      </c>
      <c r="C505" s="143" t="s">
        <v>4231</v>
      </c>
      <c r="D505" s="142" t="s">
        <v>4232</v>
      </c>
    </row>
    <row r="506">
      <c r="A506" s="143" t="s">
        <v>257</v>
      </c>
      <c r="B506" s="143" t="s">
        <v>258</v>
      </c>
      <c r="C506" s="143" t="s">
        <v>4233</v>
      </c>
      <c r="D506" s="142" t="s">
        <v>4234</v>
      </c>
    </row>
    <row r="507">
      <c r="A507" s="143" t="s">
        <v>257</v>
      </c>
      <c r="B507" s="143" t="s">
        <v>258</v>
      </c>
      <c r="C507" s="143" t="s">
        <v>4235</v>
      </c>
      <c r="D507" s="142" t="s">
        <v>4236</v>
      </c>
    </row>
    <row r="508">
      <c r="A508" s="143" t="s">
        <v>257</v>
      </c>
      <c r="B508" s="143" t="s">
        <v>258</v>
      </c>
      <c r="C508" s="143" t="s">
        <v>4237</v>
      </c>
      <c r="D508" s="142" t="s">
        <v>4238</v>
      </c>
    </row>
    <row r="509">
      <c r="A509" s="143" t="s">
        <v>257</v>
      </c>
      <c r="B509" s="143" t="s">
        <v>258</v>
      </c>
      <c r="C509" s="143" t="s">
        <v>2047</v>
      </c>
      <c r="D509" s="142" t="s">
        <v>2048</v>
      </c>
    </row>
    <row r="510">
      <c r="A510" s="143" t="s">
        <v>257</v>
      </c>
      <c r="B510" s="143" t="s">
        <v>258</v>
      </c>
      <c r="C510" s="143" t="s">
        <v>4239</v>
      </c>
      <c r="D510" s="142" t="s">
        <v>4240</v>
      </c>
    </row>
    <row r="511">
      <c r="A511" s="143" t="s">
        <v>257</v>
      </c>
      <c r="B511" s="143" t="s">
        <v>1387</v>
      </c>
      <c r="C511" s="143" t="s">
        <v>4241</v>
      </c>
      <c r="D511" s="142" t="s">
        <v>4242</v>
      </c>
    </row>
    <row r="512">
      <c r="A512" s="143" t="s">
        <v>257</v>
      </c>
      <c r="B512" s="143" t="s">
        <v>1387</v>
      </c>
      <c r="C512" s="143" t="s">
        <v>4243</v>
      </c>
      <c r="D512" s="142" t="s">
        <v>4244</v>
      </c>
    </row>
    <row r="513">
      <c r="A513" s="143" t="s">
        <v>257</v>
      </c>
      <c r="B513" s="143" t="s">
        <v>1387</v>
      </c>
      <c r="C513" s="143" t="s">
        <v>4245</v>
      </c>
      <c r="D513" s="142" t="s">
        <v>4246</v>
      </c>
    </row>
    <row r="514">
      <c r="A514" s="143" t="s">
        <v>257</v>
      </c>
      <c r="B514" s="143" t="s">
        <v>1387</v>
      </c>
      <c r="C514" s="143" t="s">
        <v>4247</v>
      </c>
      <c r="D514" s="142" t="s">
        <v>4248</v>
      </c>
    </row>
    <row r="515">
      <c r="A515" s="143" t="s">
        <v>257</v>
      </c>
      <c r="B515" s="143" t="s">
        <v>1387</v>
      </c>
      <c r="C515" s="143" t="s">
        <v>4249</v>
      </c>
      <c r="D515" s="142" t="s">
        <v>4250</v>
      </c>
    </row>
    <row r="516">
      <c r="A516" s="143" t="s">
        <v>257</v>
      </c>
      <c r="B516" s="143" t="s">
        <v>1387</v>
      </c>
      <c r="C516" s="143" t="s">
        <v>4251</v>
      </c>
      <c r="D516" s="142" t="s">
        <v>4252</v>
      </c>
    </row>
    <row r="517">
      <c r="A517" s="143" t="s">
        <v>257</v>
      </c>
      <c r="B517" s="143" t="s">
        <v>1387</v>
      </c>
      <c r="C517" s="143" t="s">
        <v>4253</v>
      </c>
      <c r="D517" s="142" t="s">
        <v>4254</v>
      </c>
    </row>
    <row r="518">
      <c r="A518" s="143" t="s">
        <v>257</v>
      </c>
      <c r="B518" s="143" t="s">
        <v>1387</v>
      </c>
      <c r="C518" s="143" t="s">
        <v>4255</v>
      </c>
      <c r="D518" s="142" t="s">
        <v>4256</v>
      </c>
    </row>
    <row r="519">
      <c r="A519" s="143" t="s">
        <v>257</v>
      </c>
      <c r="B519" s="143" t="s">
        <v>1387</v>
      </c>
      <c r="C519" s="143" t="s">
        <v>4257</v>
      </c>
      <c r="D519" s="142" t="s">
        <v>4258</v>
      </c>
    </row>
    <row r="520">
      <c r="A520" s="143" t="s">
        <v>257</v>
      </c>
      <c r="B520" s="143" t="s">
        <v>1387</v>
      </c>
      <c r="C520" s="143" t="s">
        <v>4259</v>
      </c>
      <c r="D520" s="142" t="s">
        <v>4260</v>
      </c>
    </row>
    <row r="521">
      <c r="A521" s="143" t="s">
        <v>257</v>
      </c>
      <c r="B521" s="143" t="s">
        <v>1387</v>
      </c>
      <c r="C521" s="143" t="s">
        <v>4261</v>
      </c>
      <c r="D521" s="142" t="s">
        <v>4262</v>
      </c>
    </row>
    <row r="522">
      <c r="A522" s="143" t="s">
        <v>257</v>
      </c>
      <c r="B522" s="143" t="s">
        <v>1387</v>
      </c>
      <c r="C522" s="143" t="s">
        <v>4263</v>
      </c>
      <c r="D522" s="142" t="s">
        <v>4264</v>
      </c>
    </row>
    <row r="523">
      <c r="A523" s="143" t="s">
        <v>257</v>
      </c>
      <c r="B523" s="143" t="s">
        <v>1387</v>
      </c>
      <c r="C523" s="143" t="s">
        <v>1388</v>
      </c>
      <c r="D523" s="142" t="s">
        <v>1389</v>
      </c>
    </row>
    <row r="524">
      <c r="A524" s="143" t="s">
        <v>257</v>
      </c>
      <c r="B524" s="143" t="s">
        <v>1387</v>
      </c>
      <c r="C524" s="143" t="s">
        <v>4265</v>
      </c>
      <c r="D524" s="142" t="s">
        <v>4266</v>
      </c>
    </row>
    <row r="525">
      <c r="A525" s="143" t="s">
        <v>257</v>
      </c>
      <c r="B525" s="143" t="s">
        <v>1387</v>
      </c>
      <c r="C525" s="143" t="s">
        <v>4267</v>
      </c>
      <c r="D525" s="142" t="s">
        <v>4268</v>
      </c>
    </row>
    <row r="526">
      <c r="A526" s="143" t="s">
        <v>257</v>
      </c>
      <c r="B526" s="143" t="s">
        <v>1387</v>
      </c>
      <c r="C526" s="143" t="s">
        <v>4269</v>
      </c>
      <c r="D526" s="142" t="s">
        <v>4270</v>
      </c>
    </row>
    <row r="527">
      <c r="A527" s="143" t="s">
        <v>257</v>
      </c>
      <c r="B527" s="143" t="s">
        <v>1387</v>
      </c>
      <c r="C527" s="143" t="s">
        <v>447</v>
      </c>
      <c r="D527" s="142" t="s">
        <v>1930</v>
      </c>
    </row>
    <row r="528">
      <c r="A528" s="143" t="s">
        <v>257</v>
      </c>
      <c r="B528" s="143" t="s">
        <v>1387</v>
      </c>
      <c r="C528" s="143" t="s">
        <v>4271</v>
      </c>
      <c r="D528" s="142" t="s">
        <v>4272</v>
      </c>
    </row>
    <row r="529">
      <c r="A529" s="143" t="s">
        <v>257</v>
      </c>
      <c r="B529" s="143" t="s">
        <v>1387</v>
      </c>
      <c r="C529" s="143" t="s">
        <v>4273</v>
      </c>
      <c r="D529" s="142" t="s">
        <v>4274</v>
      </c>
    </row>
    <row r="530">
      <c r="A530" s="143" t="s">
        <v>257</v>
      </c>
      <c r="B530" s="143" t="s">
        <v>1387</v>
      </c>
      <c r="C530" s="143" t="s">
        <v>4275</v>
      </c>
      <c r="D530" s="142" t="s">
        <v>4276</v>
      </c>
    </row>
    <row r="531">
      <c r="A531" s="143" t="s">
        <v>257</v>
      </c>
      <c r="B531" s="143" t="s">
        <v>1387</v>
      </c>
      <c r="C531" s="143" t="s">
        <v>4277</v>
      </c>
      <c r="D531" s="142" t="s">
        <v>4278</v>
      </c>
    </row>
    <row r="532">
      <c r="A532" s="143" t="s">
        <v>257</v>
      </c>
      <c r="B532" s="143" t="s">
        <v>1387</v>
      </c>
      <c r="C532" s="143" t="s">
        <v>4279</v>
      </c>
      <c r="D532" s="142" t="s">
        <v>4280</v>
      </c>
    </row>
    <row r="533">
      <c r="A533" s="143" t="s">
        <v>257</v>
      </c>
      <c r="B533" s="143" t="s">
        <v>1387</v>
      </c>
      <c r="C533" s="143" t="s">
        <v>4281</v>
      </c>
      <c r="D533" s="142" t="s">
        <v>4282</v>
      </c>
    </row>
    <row r="534">
      <c r="A534" s="143" t="s">
        <v>257</v>
      </c>
      <c r="B534" s="143" t="s">
        <v>4283</v>
      </c>
      <c r="C534" s="143" t="s">
        <v>4284</v>
      </c>
      <c r="D534" s="142" t="s">
        <v>4285</v>
      </c>
    </row>
    <row r="535">
      <c r="A535" s="143" t="s">
        <v>257</v>
      </c>
      <c r="B535" s="143" t="s">
        <v>4283</v>
      </c>
      <c r="C535" s="143" t="s">
        <v>4286</v>
      </c>
      <c r="D535" s="142" t="s">
        <v>4287</v>
      </c>
    </row>
    <row r="536">
      <c r="A536" s="143" t="s">
        <v>257</v>
      </c>
      <c r="B536" s="143" t="s">
        <v>4283</v>
      </c>
      <c r="C536" s="143" t="s">
        <v>4288</v>
      </c>
      <c r="D536" s="142" t="s">
        <v>4289</v>
      </c>
    </row>
    <row r="537">
      <c r="A537" s="143" t="s">
        <v>257</v>
      </c>
      <c r="B537" s="143" t="s">
        <v>4283</v>
      </c>
      <c r="C537" s="143" t="s">
        <v>4290</v>
      </c>
      <c r="D537" s="142" t="s">
        <v>4291</v>
      </c>
    </row>
    <row r="538">
      <c r="A538" s="143" t="s">
        <v>257</v>
      </c>
      <c r="B538" s="143" t="s">
        <v>4283</v>
      </c>
      <c r="C538" s="143" t="s">
        <v>4292</v>
      </c>
      <c r="D538" s="142" t="s">
        <v>4293</v>
      </c>
    </row>
    <row r="539">
      <c r="A539" s="143" t="s">
        <v>257</v>
      </c>
      <c r="B539" s="143" t="s">
        <v>4283</v>
      </c>
      <c r="C539" s="143" t="s">
        <v>4294</v>
      </c>
      <c r="D539" s="142" t="s">
        <v>4295</v>
      </c>
    </row>
    <row r="540">
      <c r="A540" s="143" t="s">
        <v>257</v>
      </c>
      <c r="B540" s="143" t="s">
        <v>4283</v>
      </c>
      <c r="C540" s="143" t="s">
        <v>4296</v>
      </c>
      <c r="D540" s="142" t="s">
        <v>4297</v>
      </c>
    </row>
    <row r="541">
      <c r="A541" s="143" t="s">
        <v>257</v>
      </c>
      <c r="B541" s="143" t="s">
        <v>4283</v>
      </c>
      <c r="C541" s="143" t="s">
        <v>4298</v>
      </c>
      <c r="D541" s="142" t="s">
        <v>4299</v>
      </c>
    </row>
    <row r="542">
      <c r="A542" s="143" t="s">
        <v>257</v>
      </c>
      <c r="B542" s="143" t="s">
        <v>4283</v>
      </c>
      <c r="C542" s="143" t="s">
        <v>4300</v>
      </c>
      <c r="D542" s="142" t="s">
        <v>4301</v>
      </c>
    </row>
    <row r="543">
      <c r="A543" s="143" t="s">
        <v>257</v>
      </c>
      <c r="B543" s="143" t="s">
        <v>4283</v>
      </c>
      <c r="C543" s="143" t="s">
        <v>4302</v>
      </c>
      <c r="D543" s="142" t="s">
        <v>4303</v>
      </c>
    </row>
    <row r="544">
      <c r="A544" s="143" t="s">
        <v>257</v>
      </c>
      <c r="B544" s="143" t="s">
        <v>4283</v>
      </c>
      <c r="C544" s="143" t="s">
        <v>4304</v>
      </c>
      <c r="D544" s="142" t="s">
        <v>4305</v>
      </c>
    </row>
    <row r="545">
      <c r="A545" s="143" t="s">
        <v>257</v>
      </c>
      <c r="B545" s="143" t="s">
        <v>4283</v>
      </c>
      <c r="C545" s="143" t="s">
        <v>4306</v>
      </c>
      <c r="D545" s="142" t="s">
        <v>4307</v>
      </c>
    </row>
    <row r="546">
      <c r="A546" s="143" t="s">
        <v>257</v>
      </c>
      <c r="B546" s="143" t="s">
        <v>4283</v>
      </c>
      <c r="C546" s="143" t="s">
        <v>4308</v>
      </c>
      <c r="D546" s="142" t="s">
        <v>4309</v>
      </c>
    </row>
    <row r="547">
      <c r="A547" s="143" t="s">
        <v>257</v>
      </c>
      <c r="B547" s="143" t="s">
        <v>4283</v>
      </c>
      <c r="C547" s="143" t="s">
        <v>4310</v>
      </c>
      <c r="D547" s="142" t="s">
        <v>4311</v>
      </c>
    </row>
    <row r="548">
      <c r="A548" s="143" t="s">
        <v>257</v>
      </c>
      <c r="B548" s="143" t="s">
        <v>4283</v>
      </c>
      <c r="C548" s="143" t="s">
        <v>4312</v>
      </c>
      <c r="D548" s="142" t="s">
        <v>4313</v>
      </c>
    </row>
    <row r="549">
      <c r="A549" s="143" t="s">
        <v>257</v>
      </c>
      <c r="B549" s="143" t="s">
        <v>4283</v>
      </c>
      <c r="C549" s="143" t="s">
        <v>4314</v>
      </c>
      <c r="D549" s="142" t="s">
        <v>4315</v>
      </c>
    </row>
    <row r="550">
      <c r="A550" s="143" t="s">
        <v>257</v>
      </c>
      <c r="B550" s="143" t="s">
        <v>4283</v>
      </c>
      <c r="C550" s="143" t="s">
        <v>4316</v>
      </c>
      <c r="D550" s="142" t="s">
        <v>4317</v>
      </c>
    </row>
    <row r="551">
      <c r="A551" s="143" t="s">
        <v>257</v>
      </c>
      <c r="B551" s="143" t="s">
        <v>4283</v>
      </c>
      <c r="C551" s="143" t="s">
        <v>4318</v>
      </c>
      <c r="D551" s="142" t="s">
        <v>4319</v>
      </c>
    </row>
    <row r="552">
      <c r="A552" s="143" t="s">
        <v>257</v>
      </c>
      <c r="B552" s="143" t="s">
        <v>4283</v>
      </c>
      <c r="C552" s="143" t="s">
        <v>4320</v>
      </c>
      <c r="D552" s="142" t="s">
        <v>4321</v>
      </c>
    </row>
    <row r="553">
      <c r="A553" s="143" t="s">
        <v>257</v>
      </c>
      <c r="B553" s="143" t="s">
        <v>4283</v>
      </c>
      <c r="C553" s="143" t="s">
        <v>4322</v>
      </c>
      <c r="D553" s="142" t="s">
        <v>4323</v>
      </c>
    </row>
    <row r="554">
      <c r="A554" s="143" t="s">
        <v>257</v>
      </c>
      <c r="B554" s="143" t="s">
        <v>4283</v>
      </c>
      <c r="C554" s="143" t="s">
        <v>4324</v>
      </c>
      <c r="D554" s="142" t="s">
        <v>4325</v>
      </c>
    </row>
    <row r="555">
      <c r="A555" s="143" t="s">
        <v>257</v>
      </c>
      <c r="B555" s="143" t="s">
        <v>4283</v>
      </c>
      <c r="C555" s="143" t="s">
        <v>4326</v>
      </c>
      <c r="D555" s="142" t="s">
        <v>4327</v>
      </c>
    </row>
    <row r="556">
      <c r="A556" s="143" t="s">
        <v>257</v>
      </c>
      <c r="B556" s="143" t="s">
        <v>4283</v>
      </c>
      <c r="C556" s="143" t="s">
        <v>3856</v>
      </c>
      <c r="D556" s="142" t="s">
        <v>4328</v>
      </c>
    </row>
    <row r="557">
      <c r="A557" s="143" t="s">
        <v>257</v>
      </c>
      <c r="B557" s="143" t="s">
        <v>4283</v>
      </c>
      <c r="C557" s="143" t="s">
        <v>4329</v>
      </c>
      <c r="D557" s="142" t="s">
        <v>4330</v>
      </c>
    </row>
    <row r="558">
      <c r="A558" s="143" t="s">
        <v>257</v>
      </c>
      <c r="B558" s="143" t="s">
        <v>4283</v>
      </c>
      <c r="C558" s="143" t="s">
        <v>4331</v>
      </c>
      <c r="D558" s="142" t="s">
        <v>4332</v>
      </c>
    </row>
    <row r="559">
      <c r="A559" s="143" t="s">
        <v>257</v>
      </c>
      <c r="B559" s="143" t="s">
        <v>4283</v>
      </c>
      <c r="C559" s="143" t="s">
        <v>420</v>
      </c>
      <c r="D559" s="142" t="s">
        <v>4333</v>
      </c>
    </row>
    <row r="560">
      <c r="A560" s="143" t="s">
        <v>257</v>
      </c>
      <c r="B560" s="143" t="s">
        <v>4283</v>
      </c>
      <c r="C560" s="143" t="s">
        <v>3710</v>
      </c>
      <c r="D560" s="142" t="s">
        <v>4334</v>
      </c>
    </row>
    <row r="561">
      <c r="A561" s="143" t="s">
        <v>257</v>
      </c>
      <c r="B561" s="143" t="s">
        <v>4283</v>
      </c>
      <c r="C561" s="143" t="s">
        <v>4335</v>
      </c>
      <c r="D561" s="142" t="s">
        <v>4336</v>
      </c>
    </row>
    <row r="562">
      <c r="A562" s="143" t="s">
        <v>257</v>
      </c>
      <c r="B562" s="143" t="s">
        <v>4283</v>
      </c>
      <c r="C562" s="143" t="s">
        <v>4337</v>
      </c>
      <c r="D562" s="142" t="s">
        <v>4338</v>
      </c>
    </row>
    <row r="563">
      <c r="A563" s="143" t="s">
        <v>257</v>
      </c>
      <c r="B563" s="143" t="s">
        <v>4283</v>
      </c>
      <c r="C563" s="143" t="s">
        <v>4172</v>
      </c>
      <c r="D563" s="142" t="s">
        <v>4339</v>
      </c>
    </row>
    <row r="564">
      <c r="A564" s="143" t="s">
        <v>257</v>
      </c>
      <c r="B564" s="143" t="s">
        <v>497</v>
      </c>
      <c r="C564" s="143" t="s">
        <v>1391</v>
      </c>
      <c r="D564" s="142" t="s">
        <v>1392</v>
      </c>
    </row>
    <row r="565">
      <c r="A565" s="143" t="s">
        <v>257</v>
      </c>
      <c r="B565" s="143" t="s">
        <v>497</v>
      </c>
      <c r="C565" s="143" t="s">
        <v>953</v>
      </c>
      <c r="D565" s="142" t="s">
        <v>954</v>
      </c>
    </row>
    <row r="566">
      <c r="A566" s="143" t="s">
        <v>257</v>
      </c>
      <c r="B566" s="143" t="s">
        <v>497</v>
      </c>
      <c r="C566" s="143" t="s">
        <v>498</v>
      </c>
      <c r="D566" s="142" t="s">
        <v>499</v>
      </c>
    </row>
    <row r="567">
      <c r="A567" s="143" t="s">
        <v>257</v>
      </c>
      <c r="B567" s="143" t="s">
        <v>497</v>
      </c>
      <c r="C567" s="143" t="s">
        <v>1172</v>
      </c>
      <c r="D567" s="142" t="s">
        <v>4340</v>
      </c>
    </row>
    <row r="568">
      <c r="A568" s="143" t="s">
        <v>257</v>
      </c>
      <c r="B568" s="143" t="s">
        <v>497</v>
      </c>
      <c r="C568" s="143" t="s">
        <v>4341</v>
      </c>
      <c r="D568" s="142" t="s">
        <v>4342</v>
      </c>
    </row>
    <row r="569">
      <c r="A569" s="143" t="s">
        <v>257</v>
      </c>
      <c r="B569" s="143" t="s">
        <v>497</v>
      </c>
      <c r="C569" s="143" t="s">
        <v>505</v>
      </c>
      <c r="D569" s="142" t="s">
        <v>506</v>
      </c>
    </row>
    <row r="570">
      <c r="A570" s="143" t="s">
        <v>257</v>
      </c>
      <c r="B570" s="143" t="s">
        <v>497</v>
      </c>
      <c r="C570" s="143" t="s">
        <v>486</v>
      </c>
      <c r="D570" s="142" t="s">
        <v>4343</v>
      </c>
    </row>
    <row r="571">
      <c r="A571" s="143" t="s">
        <v>257</v>
      </c>
      <c r="B571" s="143" t="s">
        <v>497</v>
      </c>
      <c r="C571" s="143" t="s">
        <v>4344</v>
      </c>
      <c r="D571" s="142" t="s">
        <v>4345</v>
      </c>
    </row>
    <row r="572">
      <c r="A572" s="143" t="s">
        <v>257</v>
      </c>
      <c r="B572" s="143" t="s">
        <v>497</v>
      </c>
      <c r="C572" s="143" t="s">
        <v>4346</v>
      </c>
      <c r="D572" s="142" t="s">
        <v>4347</v>
      </c>
    </row>
    <row r="573">
      <c r="A573" s="143" t="s">
        <v>257</v>
      </c>
      <c r="B573" s="143" t="s">
        <v>497</v>
      </c>
      <c r="C573" s="143" t="s">
        <v>1406</v>
      </c>
      <c r="D573" s="142" t="s">
        <v>1407</v>
      </c>
    </row>
    <row r="574">
      <c r="A574" s="143" t="s">
        <v>257</v>
      </c>
      <c r="B574" s="143" t="s">
        <v>497</v>
      </c>
      <c r="C574" s="143" t="s">
        <v>4348</v>
      </c>
      <c r="D574" s="142" t="s">
        <v>4349</v>
      </c>
    </row>
    <row r="575">
      <c r="A575" s="143" t="s">
        <v>257</v>
      </c>
      <c r="B575" s="143" t="s">
        <v>497</v>
      </c>
      <c r="C575" s="143" t="s">
        <v>4350</v>
      </c>
      <c r="D575" s="142" t="s">
        <v>4351</v>
      </c>
    </row>
    <row r="576">
      <c r="A576" s="143" t="s">
        <v>257</v>
      </c>
      <c r="B576" s="143" t="s">
        <v>497</v>
      </c>
      <c r="C576" s="143" t="s">
        <v>510</v>
      </c>
      <c r="D576" s="142" t="s">
        <v>511</v>
      </c>
    </row>
    <row r="577">
      <c r="A577" s="143" t="s">
        <v>257</v>
      </c>
      <c r="B577" s="143" t="s">
        <v>497</v>
      </c>
      <c r="C577" s="143" t="s">
        <v>472</v>
      </c>
      <c r="D577" s="142" t="s">
        <v>956</v>
      </c>
    </row>
    <row r="578">
      <c r="A578" s="143" t="s">
        <v>257</v>
      </c>
      <c r="B578" s="143" t="s">
        <v>497</v>
      </c>
      <c r="C578" s="143" t="s">
        <v>4352</v>
      </c>
      <c r="D578" s="142" t="s">
        <v>4353</v>
      </c>
    </row>
    <row r="579">
      <c r="A579" s="143" t="s">
        <v>257</v>
      </c>
      <c r="B579" s="143" t="s">
        <v>497</v>
      </c>
      <c r="C579" s="143" t="s">
        <v>514</v>
      </c>
      <c r="D579" s="142" t="s">
        <v>515</v>
      </c>
    </row>
    <row r="580">
      <c r="A580" s="143" t="s">
        <v>257</v>
      </c>
      <c r="B580" s="143" t="s">
        <v>497</v>
      </c>
      <c r="C580" s="143" t="s">
        <v>4354</v>
      </c>
      <c r="D580" s="142" t="s">
        <v>4355</v>
      </c>
    </row>
    <row r="581">
      <c r="A581" s="143" t="s">
        <v>257</v>
      </c>
      <c r="B581" s="143" t="s">
        <v>497</v>
      </c>
      <c r="C581" s="143" t="s">
        <v>1415</v>
      </c>
      <c r="D581" s="142" t="s">
        <v>1416</v>
      </c>
    </row>
    <row r="582">
      <c r="A582" s="143" t="s">
        <v>257</v>
      </c>
      <c r="B582" s="143" t="s">
        <v>497</v>
      </c>
      <c r="C582" s="143" t="s">
        <v>4356</v>
      </c>
      <c r="D582" s="142" t="s">
        <v>4357</v>
      </c>
    </row>
    <row r="583">
      <c r="A583" s="143" t="s">
        <v>257</v>
      </c>
      <c r="B583" s="143" t="s">
        <v>497</v>
      </c>
      <c r="C583" s="143" t="s">
        <v>4358</v>
      </c>
      <c r="D583" s="142" t="s">
        <v>4359</v>
      </c>
    </row>
    <row r="584">
      <c r="A584" s="143" t="s">
        <v>257</v>
      </c>
      <c r="B584" s="143" t="s">
        <v>497</v>
      </c>
      <c r="C584" s="143" t="s">
        <v>1272</v>
      </c>
      <c r="D584" s="142" t="s">
        <v>4360</v>
      </c>
    </row>
    <row r="585">
      <c r="A585" s="143" t="s">
        <v>257</v>
      </c>
      <c r="B585" s="143" t="s">
        <v>497</v>
      </c>
      <c r="C585" s="143" t="s">
        <v>4361</v>
      </c>
      <c r="D585" s="142" t="s">
        <v>4362</v>
      </c>
    </row>
    <row r="586">
      <c r="A586" s="143" t="s">
        <v>257</v>
      </c>
      <c r="B586" s="143" t="s">
        <v>497</v>
      </c>
      <c r="C586" s="143" t="s">
        <v>4363</v>
      </c>
      <c r="D586" s="142" t="s">
        <v>4364</v>
      </c>
    </row>
    <row r="587">
      <c r="A587" s="143" t="s">
        <v>257</v>
      </c>
      <c r="B587" s="143" t="s">
        <v>497</v>
      </c>
      <c r="C587" s="143" t="s">
        <v>4365</v>
      </c>
      <c r="D587" s="142" t="s">
        <v>4366</v>
      </c>
    </row>
    <row r="588">
      <c r="A588" s="143" t="s">
        <v>257</v>
      </c>
      <c r="B588" s="143" t="s">
        <v>497</v>
      </c>
      <c r="C588" s="143" t="s">
        <v>1418</v>
      </c>
      <c r="D588" s="142" t="s">
        <v>1419</v>
      </c>
    </row>
    <row r="589">
      <c r="A589" s="143" t="s">
        <v>257</v>
      </c>
      <c r="B589" s="143" t="s">
        <v>497</v>
      </c>
      <c r="C589" s="143" t="s">
        <v>1428</v>
      </c>
      <c r="D589" s="142" t="s">
        <v>1429</v>
      </c>
    </row>
    <row r="590">
      <c r="A590" s="143" t="s">
        <v>257</v>
      </c>
      <c r="B590" s="143" t="s">
        <v>497</v>
      </c>
      <c r="C590" s="143" t="s">
        <v>518</v>
      </c>
      <c r="D590" s="142" t="s">
        <v>519</v>
      </c>
    </row>
    <row r="591">
      <c r="A591" s="143" t="s">
        <v>257</v>
      </c>
      <c r="B591" s="143" t="s">
        <v>497</v>
      </c>
      <c r="C591" s="143" t="s">
        <v>4367</v>
      </c>
      <c r="D591" s="142" t="s">
        <v>4368</v>
      </c>
    </row>
    <row r="592">
      <c r="A592" s="143" t="s">
        <v>257</v>
      </c>
      <c r="B592" s="143" t="s">
        <v>497</v>
      </c>
      <c r="C592" s="143" t="s">
        <v>497</v>
      </c>
      <c r="D592" s="142" t="s">
        <v>1431</v>
      </c>
    </row>
    <row r="593">
      <c r="A593" s="143" t="s">
        <v>257</v>
      </c>
      <c r="B593" s="143" t="s">
        <v>497</v>
      </c>
      <c r="C593" s="143" t="s">
        <v>4369</v>
      </c>
      <c r="D593" s="142" t="s">
        <v>4370</v>
      </c>
    </row>
    <row r="594">
      <c r="A594" s="143" t="s">
        <v>257</v>
      </c>
      <c r="B594" s="143" t="s">
        <v>497</v>
      </c>
      <c r="C594" s="143" t="s">
        <v>4371</v>
      </c>
      <c r="D594" s="142" t="s">
        <v>4372</v>
      </c>
    </row>
    <row r="595">
      <c r="A595" s="143" t="s">
        <v>257</v>
      </c>
      <c r="B595" s="143" t="s">
        <v>497</v>
      </c>
      <c r="C595" s="143" t="s">
        <v>1460</v>
      </c>
      <c r="D595" s="142" t="s">
        <v>4373</v>
      </c>
    </row>
    <row r="596">
      <c r="A596" s="143" t="s">
        <v>257</v>
      </c>
      <c r="B596" s="143" t="s">
        <v>497</v>
      </c>
      <c r="C596" s="143" t="s">
        <v>3070</v>
      </c>
      <c r="D596" s="142" t="s">
        <v>4374</v>
      </c>
    </row>
    <row r="597">
      <c r="A597" s="143" t="s">
        <v>257</v>
      </c>
      <c r="B597" s="143" t="s">
        <v>497</v>
      </c>
      <c r="C597" s="143" t="s">
        <v>969</v>
      </c>
      <c r="D597" s="142" t="s">
        <v>4375</v>
      </c>
    </row>
    <row r="598">
      <c r="A598" s="143" t="s">
        <v>257</v>
      </c>
      <c r="B598" s="143" t="s">
        <v>497</v>
      </c>
      <c r="C598" s="143" t="s">
        <v>4187</v>
      </c>
      <c r="D598" s="142" t="s">
        <v>4376</v>
      </c>
    </row>
    <row r="599">
      <c r="A599" s="143" t="s">
        <v>257</v>
      </c>
      <c r="B599" s="143" t="s">
        <v>497</v>
      </c>
      <c r="C599" s="143" t="s">
        <v>4377</v>
      </c>
      <c r="D599" s="142" t="s">
        <v>4378</v>
      </c>
    </row>
    <row r="600">
      <c r="A600" s="143" t="s">
        <v>257</v>
      </c>
      <c r="B600" s="143" t="s">
        <v>497</v>
      </c>
      <c r="C600" s="143" t="s">
        <v>1436</v>
      </c>
      <c r="D600" s="142" t="s">
        <v>1437</v>
      </c>
    </row>
    <row r="601">
      <c r="A601" s="143" t="s">
        <v>257</v>
      </c>
      <c r="B601" s="143" t="s">
        <v>497</v>
      </c>
      <c r="C601" s="143" t="s">
        <v>4379</v>
      </c>
      <c r="D601" s="142" t="s">
        <v>4380</v>
      </c>
    </row>
    <row r="602">
      <c r="A602" s="143" t="s">
        <v>257</v>
      </c>
      <c r="B602" s="143" t="s">
        <v>497</v>
      </c>
      <c r="C602" s="143" t="s">
        <v>4381</v>
      </c>
      <c r="D602" s="142" t="s">
        <v>4382</v>
      </c>
    </row>
    <row r="603">
      <c r="A603" s="143" t="s">
        <v>257</v>
      </c>
      <c r="B603" s="143" t="s">
        <v>497</v>
      </c>
      <c r="C603" s="143" t="s">
        <v>1439</v>
      </c>
      <c r="D603" s="142" t="s">
        <v>1440</v>
      </c>
    </row>
    <row r="604">
      <c r="A604" s="143" t="s">
        <v>257</v>
      </c>
      <c r="B604" s="143" t="s">
        <v>497</v>
      </c>
      <c r="C604" s="143" t="s">
        <v>3856</v>
      </c>
      <c r="D604" s="142" t="s">
        <v>4383</v>
      </c>
    </row>
    <row r="605">
      <c r="A605" s="143" t="s">
        <v>257</v>
      </c>
      <c r="B605" s="143" t="s">
        <v>497</v>
      </c>
      <c r="C605" s="143" t="s">
        <v>4384</v>
      </c>
      <c r="D605" s="142" t="s">
        <v>4385</v>
      </c>
    </row>
    <row r="606">
      <c r="A606" s="143" t="s">
        <v>257</v>
      </c>
      <c r="B606" s="143" t="s">
        <v>497</v>
      </c>
      <c r="C606" s="143" t="s">
        <v>4386</v>
      </c>
      <c r="D606" s="142" t="s">
        <v>4387</v>
      </c>
    </row>
    <row r="607">
      <c r="A607" s="143" t="s">
        <v>257</v>
      </c>
      <c r="B607" s="143" t="s">
        <v>497</v>
      </c>
      <c r="C607" s="143" t="s">
        <v>4388</v>
      </c>
      <c r="D607" s="142" t="s">
        <v>4389</v>
      </c>
    </row>
    <row r="608">
      <c r="A608" s="143" t="s">
        <v>257</v>
      </c>
      <c r="B608" s="143" t="s">
        <v>497</v>
      </c>
      <c r="C608" s="143" t="s">
        <v>4390</v>
      </c>
      <c r="D608" s="142" t="s">
        <v>4391</v>
      </c>
    </row>
    <row r="609">
      <c r="A609" s="143" t="s">
        <v>257</v>
      </c>
      <c r="B609" s="143" t="s">
        <v>497</v>
      </c>
      <c r="C609" s="143" t="s">
        <v>4392</v>
      </c>
      <c r="D609" s="142" t="s">
        <v>4393</v>
      </c>
    </row>
    <row r="610">
      <c r="A610" s="143" t="s">
        <v>257</v>
      </c>
      <c r="B610" s="143" t="s">
        <v>497</v>
      </c>
      <c r="C610" s="143" t="s">
        <v>4394</v>
      </c>
      <c r="D610" s="142" t="s">
        <v>4395</v>
      </c>
    </row>
    <row r="611">
      <c r="A611" s="143" t="s">
        <v>257</v>
      </c>
      <c r="B611" s="143" t="s">
        <v>497</v>
      </c>
      <c r="C611" s="143" t="s">
        <v>4396</v>
      </c>
      <c r="D611" s="142" t="s">
        <v>4397</v>
      </c>
    </row>
    <row r="612">
      <c r="A612" s="143" t="s">
        <v>257</v>
      </c>
      <c r="B612" s="143" t="s">
        <v>497</v>
      </c>
      <c r="C612" s="143" t="s">
        <v>4398</v>
      </c>
      <c r="D612" s="142" t="s">
        <v>4399</v>
      </c>
    </row>
    <row r="613">
      <c r="A613" s="143" t="s">
        <v>257</v>
      </c>
      <c r="B613" s="143" t="s">
        <v>497</v>
      </c>
      <c r="C613" s="143" t="s">
        <v>1795</v>
      </c>
      <c r="D613" s="142" t="s">
        <v>4400</v>
      </c>
    </row>
    <row r="614">
      <c r="A614" s="143" t="s">
        <v>257</v>
      </c>
      <c r="B614" s="143" t="s">
        <v>497</v>
      </c>
      <c r="C614" s="143" t="s">
        <v>4401</v>
      </c>
      <c r="D614" s="142" t="s">
        <v>4402</v>
      </c>
    </row>
    <row r="615">
      <c r="A615" s="143" t="s">
        <v>257</v>
      </c>
      <c r="B615" s="143" t="s">
        <v>497</v>
      </c>
      <c r="C615" s="143" t="s">
        <v>3927</v>
      </c>
      <c r="D615" s="142" t="s">
        <v>4403</v>
      </c>
    </row>
    <row r="616">
      <c r="A616" s="143" t="s">
        <v>257</v>
      </c>
      <c r="B616" s="143" t="s">
        <v>497</v>
      </c>
      <c r="C616" s="143" t="s">
        <v>4404</v>
      </c>
      <c r="D616" s="142" t="s">
        <v>4405</v>
      </c>
    </row>
    <row r="617">
      <c r="A617" s="143" t="s">
        <v>257</v>
      </c>
      <c r="B617" s="143" t="s">
        <v>497</v>
      </c>
      <c r="C617" s="143" t="s">
        <v>2114</v>
      </c>
      <c r="D617" s="142" t="s">
        <v>4406</v>
      </c>
    </row>
    <row r="618">
      <c r="A618" s="143" t="s">
        <v>257</v>
      </c>
      <c r="B618" s="143" t="s">
        <v>497</v>
      </c>
      <c r="C618" s="143" t="s">
        <v>4407</v>
      </c>
      <c r="D618" s="142" t="s">
        <v>4408</v>
      </c>
    </row>
    <row r="619">
      <c r="A619" s="143" t="s">
        <v>257</v>
      </c>
      <c r="B619" s="143" t="s">
        <v>497</v>
      </c>
      <c r="C619" s="143" t="s">
        <v>1409</v>
      </c>
      <c r="D619" s="142" t="s">
        <v>1410</v>
      </c>
    </row>
    <row r="620">
      <c r="A620" s="143" t="s">
        <v>522</v>
      </c>
      <c r="B620" s="143" t="s">
        <v>802</v>
      </c>
      <c r="C620" s="143" t="s">
        <v>4409</v>
      </c>
      <c r="D620" s="142" t="s">
        <v>4410</v>
      </c>
    </row>
    <row r="621">
      <c r="A621" s="143" t="s">
        <v>522</v>
      </c>
      <c r="B621" s="143" t="s">
        <v>802</v>
      </c>
      <c r="C621" s="143" t="s">
        <v>1172</v>
      </c>
      <c r="D621" s="142" t="s">
        <v>1173</v>
      </c>
    </row>
    <row r="622">
      <c r="A622" s="143" t="s">
        <v>522</v>
      </c>
      <c r="B622" s="143" t="s">
        <v>802</v>
      </c>
      <c r="C622" s="143" t="s">
        <v>4411</v>
      </c>
      <c r="D622" s="142" t="s">
        <v>4412</v>
      </c>
    </row>
    <row r="623">
      <c r="A623" s="143" t="s">
        <v>522</v>
      </c>
      <c r="B623" s="143" t="s">
        <v>802</v>
      </c>
      <c r="C623" s="143" t="s">
        <v>4413</v>
      </c>
      <c r="D623" s="142" t="s">
        <v>4414</v>
      </c>
    </row>
    <row r="624">
      <c r="A624" s="143" t="s">
        <v>522</v>
      </c>
      <c r="B624" s="143" t="s">
        <v>802</v>
      </c>
      <c r="C624" s="143" t="s">
        <v>420</v>
      </c>
      <c r="D624" s="142" t="s">
        <v>803</v>
      </c>
    </row>
    <row r="625">
      <c r="A625" s="143" t="s">
        <v>522</v>
      </c>
      <c r="B625" s="143" t="s">
        <v>802</v>
      </c>
      <c r="C625" s="143" t="s">
        <v>1187</v>
      </c>
      <c r="D625" s="142" t="s">
        <v>1188</v>
      </c>
    </row>
    <row r="626">
      <c r="A626" s="143" t="s">
        <v>522</v>
      </c>
      <c r="B626" s="143" t="s">
        <v>2618</v>
      </c>
      <c r="C626" s="143" t="s">
        <v>4415</v>
      </c>
      <c r="D626" s="142" t="s">
        <v>4416</v>
      </c>
    </row>
    <row r="627">
      <c r="A627" s="143" t="s">
        <v>522</v>
      </c>
      <c r="B627" s="143" t="s">
        <v>2618</v>
      </c>
      <c r="C627" s="143" t="s">
        <v>4417</v>
      </c>
      <c r="D627" s="142" t="s">
        <v>4418</v>
      </c>
    </row>
    <row r="628">
      <c r="A628" s="143" t="s">
        <v>522</v>
      </c>
      <c r="B628" s="143" t="s">
        <v>2618</v>
      </c>
      <c r="C628" s="143" t="s">
        <v>4419</v>
      </c>
      <c r="D628" s="142" t="s">
        <v>4420</v>
      </c>
    </row>
    <row r="629">
      <c r="A629" s="143" t="s">
        <v>522</v>
      </c>
      <c r="B629" s="143" t="s">
        <v>2618</v>
      </c>
      <c r="C629" s="143" t="s">
        <v>2619</v>
      </c>
      <c r="D629" s="142" t="s">
        <v>2620</v>
      </c>
    </row>
    <row r="630">
      <c r="A630" s="143" t="s">
        <v>522</v>
      </c>
      <c r="B630" s="143" t="s">
        <v>2618</v>
      </c>
      <c r="C630" s="143" t="s">
        <v>4421</v>
      </c>
      <c r="D630" s="142" t="s">
        <v>4422</v>
      </c>
    </row>
    <row r="631">
      <c r="A631" s="143" t="s">
        <v>522</v>
      </c>
      <c r="B631" s="143" t="s">
        <v>2618</v>
      </c>
      <c r="C631" s="143" t="s">
        <v>4423</v>
      </c>
      <c r="D631" s="142" t="s">
        <v>4424</v>
      </c>
    </row>
    <row r="632">
      <c r="A632" s="143" t="s">
        <v>522</v>
      </c>
      <c r="B632" s="143" t="s">
        <v>2618</v>
      </c>
      <c r="C632" s="143" t="s">
        <v>4425</v>
      </c>
      <c r="D632" s="142" t="s">
        <v>4426</v>
      </c>
    </row>
    <row r="633">
      <c r="A633" s="143" t="s">
        <v>522</v>
      </c>
      <c r="B633" s="143" t="s">
        <v>2618</v>
      </c>
      <c r="C633" s="143" t="s">
        <v>3856</v>
      </c>
      <c r="D633" s="142" t="s">
        <v>4427</v>
      </c>
    </row>
    <row r="634">
      <c r="A634" s="143" t="s">
        <v>522</v>
      </c>
      <c r="B634" s="143" t="s">
        <v>2618</v>
      </c>
      <c r="C634" s="143" t="s">
        <v>4428</v>
      </c>
      <c r="D634" s="142" t="s">
        <v>4429</v>
      </c>
    </row>
    <row r="635">
      <c r="A635" s="143" t="s">
        <v>522</v>
      </c>
      <c r="B635" s="143" t="s">
        <v>2618</v>
      </c>
      <c r="C635" s="143" t="s">
        <v>1667</v>
      </c>
      <c r="D635" s="142" t="s">
        <v>4430</v>
      </c>
    </row>
    <row r="636">
      <c r="A636" s="143" t="s">
        <v>522</v>
      </c>
      <c r="B636" s="143" t="s">
        <v>2618</v>
      </c>
      <c r="C636" s="143" t="s">
        <v>420</v>
      </c>
      <c r="D636" s="142" t="s">
        <v>4431</v>
      </c>
    </row>
    <row r="637">
      <c r="A637" s="143" t="s">
        <v>522</v>
      </c>
      <c r="B637" s="143" t="s">
        <v>1947</v>
      </c>
      <c r="C637" s="143" t="s">
        <v>4432</v>
      </c>
      <c r="D637" s="142" t="s">
        <v>4433</v>
      </c>
    </row>
    <row r="638">
      <c r="A638" s="143" t="s">
        <v>522</v>
      </c>
      <c r="B638" s="143" t="s">
        <v>1947</v>
      </c>
      <c r="C638" s="143" t="s">
        <v>4434</v>
      </c>
      <c r="D638" s="142" t="s">
        <v>4435</v>
      </c>
    </row>
    <row r="639">
      <c r="A639" s="143" t="s">
        <v>522</v>
      </c>
      <c r="B639" s="143" t="s">
        <v>1947</v>
      </c>
      <c r="C639" s="143" t="s">
        <v>4436</v>
      </c>
      <c r="D639" s="142" t="s">
        <v>4437</v>
      </c>
    </row>
    <row r="640">
      <c r="A640" s="143" t="s">
        <v>522</v>
      </c>
      <c r="B640" s="143" t="s">
        <v>1947</v>
      </c>
      <c r="C640" s="143" t="s">
        <v>4438</v>
      </c>
      <c r="D640" s="142" t="s">
        <v>4439</v>
      </c>
    </row>
    <row r="641">
      <c r="A641" s="143" t="s">
        <v>522</v>
      </c>
      <c r="B641" s="143" t="s">
        <v>1947</v>
      </c>
      <c r="C641" s="143" t="s">
        <v>4440</v>
      </c>
      <c r="D641" s="142" t="s">
        <v>4441</v>
      </c>
    </row>
    <row r="642">
      <c r="A642" s="143" t="s">
        <v>522</v>
      </c>
      <c r="B642" s="143" t="s">
        <v>1947</v>
      </c>
      <c r="C642" s="143" t="s">
        <v>4442</v>
      </c>
      <c r="D642" s="142" t="s">
        <v>4443</v>
      </c>
    </row>
    <row r="643">
      <c r="A643" s="143" t="s">
        <v>522</v>
      </c>
      <c r="B643" s="143" t="s">
        <v>1947</v>
      </c>
      <c r="C643" s="143" t="s">
        <v>4444</v>
      </c>
      <c r="D643" s="142" t="s">
        <v>4445</v>
      </c>
    </row>
    <row r="644">
      <c r="A644" s="143" t="s">
        <v>522</v>
      </c>
      <c r="B644" s="143" t="s">
        <v>1947</v>
      </c>
      <c r="C644" s="143" t="s">
        <v>4446</v>
      </c>
      <c r="D644" s="142" t="s">
        <v>4447</v>
      </c>
    </row>
    <row r="645">
      <c r="A645" s="143" t="s">
        <v>522</v>
      </c>
      <c r="B645" s="143" t="s">
        <v>1947</v>
      </c>
      <c r="C645" s="143" t="s">
        <v>4448</v>
      </c>
      <c r="D645" s="142" t="s">
        <v>4449</v>
      </c>
    </row>
    <row r="646">
      <c r="A646" s="143" t="s">
        <v>522</v>
      </c>
      <c r="B646" s="143" t="s">
        <v>1947</v>
      </c>
      <c r="C646" s="143" t="s">
        <v>4450</v>
      </c>
      <c r="D646" s="142" t="s">
        <v>4451</v>
      </c>
    </row>
    <row r="647">
      <c r="A647" s="143" t="s">
        <v>522</v>
      </c>
      <c r="B647" s="143" t="s">
        <v>1947</v>
      </c>
      <c r="C647" s="143" t="s">
        <v>1948</v>
      </c>
      <c r="D647" s="142" t="s">
        <v>1949</v>
      </c>
    </row>
    <row r="648">
      <c r="A648" s="143" t="s">
        <v>522</v>
      </c>
      <c r="B648" s="143" t="s">
        <v>1947</v>
      </c>
      <c r="C648" s="143" t="s">
        <v>3917</v>
      </c>
      <c r="D648" s="142" t="s">
        <v>4452</v>
      </c>
    </row>
    <row r="649">
      <c r="A649" s="143" t="s">
        <v>522</v>
      </c>
      <c r="B649" s="143" t="s">
        <v>1947</v>
      </c>
      <c r="C649" s="143" t="s">
        <v>4453</v>
      </c>
      <c r="D649" s="142" t="s">
        <v>4454</v>
      </c>
    </row>
    <row r="650">
      <c r="A650" s="143" t="s">
        <v>522</v>
      </c>
      <c r="B650" s="143" t="s">
        <v>1947</v>
      </c>
      <c r="C650" s="143" t="s">
        <v>4455</v>
      </c>
      <c r="D650" s="142" t="s">
        <v>4456</v>
      </c>
    </row>
    <row r="651">
      <c r="A651" s="143" t="s">
        <v>522</v>
      </c>
      <c r="B651" s="143" t="s">
        <v>1947</v>
      </c>
      <c r="C651" s="143" t="s">
        <v>4172</v>
      </c>
      <c r="D651" s="142" t="s">
        <v>4457</v>
      </c>
    </row>
    <row r="652">
      <c r="A652" s="143" t="s">
        <v>522</v>
      </c>
      <c r="B652" s="143" t="s">
        <v>523</v>
      </c>
      <c r="C652" s="143" t="s">
        <v>922</v>
      </c>
      <c r="D652" s="142" t="s">
        <v>923</v>
      </c>
    </row>
    <row r="653">
      <c r="A653" s="143" t="s">
        <v>522</v>
      </c>
      <c r="B653" s="143" t="s">
        <v>523</v>
      </c>
      <c r="C653" s="143" t="s">
        <v>4458</v>
      </c>
      <c r="D653" s="142" t="s">
        <v>4459</v>
      </c>
    </row>
    <row r="654">
      <c r="A654" s="143" t="s">
        <v>522</v>
      </c>
      <c r="B654" s="143" t="s">
        <v>523</v>
      </c>
      <c r="C654" s="143" t="s">
        <v>4460</v>
      </c>
      <c r="D654" s="142" t="s">
        <v>4461</v>
      </c>
    </row>
    <row r="655">
      <c r="A655" s="143" t="s">
        <v>522</v>
      </c>
      <c r="B655" s="143" t="s">
        <v>523</v>
      </c>
      <c r="C655" s="143" t="s">
        <v>4462</v>
      </c>
      <c r="D655" s="142" t="s">
        <v>4463</v>
      </c>
    </row>
    <row r="656">
      <c r="A656" s="143" t="s">
        <v>522</v>
      </c>
      <c r="B656" s="143" t="s">
        <v>523</v>
      </c>
      <c r="C656" s="143" t="s">
        <v>4464</v>
      </c>
      <c r="D656" s="142" t="s">
        <v>4465</v>
      </c>
    </row>
    <row r="657">
      <c r="A657" s="143" t="s">
        <v>522</v>
      </c>
      <c r="B657" s="143" t="s">
        <v>523</v>
      </c>
      <c r="C657" s="143" t="s">
        <v>4466</v>
      </c>
      <c r="D657" s="142" t="s">
        <v>4467</v>
      </c>
    </row>
    <row r="658">
      <c r="A658" s="143" t="s">
        <v>522</v>
      </c>
      <c r="B658" s="143" t="s">
        <v>523</v>
      </c>
      <c r="C658" s="143" t="s">
        <v>4468</v>
      </c>
      <c r="D658" s="142" t="s">
        <v>4469</v>
      </c>
    </row>
    <row r="659">
      <c r="A659" s="143" t="s">
        <v>522</v>
      </c>
      <c r="B659" s="143" t="s">
        <v>523</v>
      </c>
      <c r="C659" s="143" t="s">
        <v>4470</v>
      </c>
      <c r="D659" s="142" t="s">
        <v>4471</v>
      </c>
    </row>
    <row r="660">
      <c r="A660" s="143" t="s">
        <v>522</v>
      </c>
      <c r="B660" s="143" t="s">
        <v>523</v>
      </c>
      <c r="C660" s="143" t="s">
        <v>4472</v>
      </c>
      <c r="D660" s="142" t="s">
        <v>4473</v>
      </c>
    </row>
    <row r="661">
      <c r="A661" s="143" t="s">
        <v>522</v>
      </c>
      <c r="B661" s="143" t="s">
        <v>523</v>
      </c>
      <c r="C661" s="143" t="s">
        <v>4474</v>
      </c>
      <c r="D661" s="142" t="s">
        <v>4475</v>
      </c>
    </row>
    <row r="662">
      <c r="A662" s="143" t="s">
        <v>522</v>
      </c>
      <c r="B662" s="143" t="s">
        <v>523</v>
      </c>
      <c r="C662" s="143" t="s">
        <v>4476</v>
      </c>
      <c r="D662" s="142" t="s">
        <v>4477</v>
      </c>
    </row>
    <row r="663">
      <c r="A663" s="143" t="s">
        <v>522</v>
      </c>
      <c r="B663" s="143" t="s">
        <v>523</v>
      </c>
      <c r="C663" s="143" t="s">
        <v>2278</v>
      </c>
      <c r="D663" s="142" t="s">
        <v>2279</v>
      </c>
    </row>
    <row r="664">
      <c r="A664" s="143" t="s">
        <v>522</v>
      </c>
      <c r="B664" s="143" t="s">
        <v>523</v>
      </c>
      <c r="C664" s="143" t="s">
        <v>4478</v>
      </c>
      <c r="D664" s="142" t="s">
        <v>4479</v>
      </c>
    </row>
    <row r="665">
      <c r="A665" s="143" t="s">
        <v>522</v>
      </c>
      <c r="B665" s="143" t="s">
        <v>523</v>
      </c>
      <c r="C665" s="143" t="s">
        <v>4421</v>
      </c>
      <c r="D665" s="142" t="s">
        <v>4480</v>
      </c>
    </row>
    <row r="666">
      <c r="A666" s="143" t="s">
        <v>522</v>
      </c>
      <c r="B666" s="143" t="s">
        <v>523</v>
      </c>
      <c r="C666" s="143" t="s">
        <v>4481</v>
      </c>
      <c r="D666" s="142" t="s">
        <v>4482</v>
      </c>
    </row>
    <row r="667">
      <c r="A667" s="143" t="s">
        <v>522</v>
      </c>
      <c r="B667" s="143" t="s">
        <v>523</v>
      </c>
      <c r="C667" s="143" t="s">
        <v>524</v>
      </c>
      <c r="D667" s="142" t="s">
        <v>525</v>
      </c>
    </row>
    <row r="668">
      <c r="A668" s="143" t="s">
        <v>522</v>
      </c>
      <c r="B668" s="143" t="s">
        <v>523</v>
      </c>
      <c r="C668" s="143" t="s">
        <v>497</v>
      </c>
      <c r="D668" s="142" t="s">
        <v>4483</v>
      </c>
    </row>
    <row r="669">
      <c r="A669" s="143" t="s">
        <v>522</v>
      </c>
      <c r="B669" s="143" t="s">
        <v>523</v>
      </c>
      <c r="C669" s="143" t="s">
        <v>3917</v>
      </c>
      <c r="D669" s="142" t="s">
        <v>4484</v>
      </c>
    </row>
    <row r="670">
      <c r="A670" s="143" t="s">
        <v>522</v>
      </c>
      <c r="B670" s="143" t="s">
        <v>523</v>
      </c>
      <c r="C670" s="143" t="s">
        <v>1964</v>
      </c>
      <c r="D670" s="142" t="s">
        <v>1965</v>
      </c>
    </row>
    <row r="671">
      <c r="A671" s="143" t="s">
        <v>522</v>
      </c>
      <c r="B671" s="143" t="s">
        <v>523</v>
      </c>
      <c r="C671" s="143" t="s">
        <v>2114</v>
      </c>
      <c r="D671" s="142" t="s">
        <v>2115</v>
      </c>
    </row>
    <row r="672">
      <c r="A672" s="143" t="s">
        <v>522</v>
      </c>
      <c r="B672" s="143" t="s">
        <v>523</v>
      </c>
      <c r="C672" s="143" t="s">
        <v>4300</v>
      </c>
      <c r="D672" s="142" t="s">
        <v>4485</v>
      </c>
    </row>
    <row r="673">
      <c r="A673" s="143" t="s">
        <v>522</v>
      </c>
      <c r="B673" s="143" t="s">
        <v>523</v>
      </c>
      <c r="C673" s="143" t="s">
        <v>4486</v>
      </c>
      <c r="D673" s="142" t="s">
        <v>4487</v>
      </c>
    </row>
    <row r="674">
      <c r="A674" s="143" t="s">
        <v>522</v>
      </c>
      <c r="B674" s="143" t="s">
        <v>523</v>
      </c>
      <c r="C674" s="143" t="s">
        <v>4488</v>
      </c>
      <c r="D674" s="142" t="s">
        <v>4489</v>
      </c>
    </row>
    <row r="675">
      <c r="A675" s="143" t="s">
        <v>522</v>
      </c>
      <c r="B675" s="143" t="s">
        <v>523</v>
      </c>
      <c r="C675" s="143" t="s">
        <v>4490</v>
      </c>
      <c r="D675" s="142" t="s">
        <v>4491</v>
      </c>
    </row>
    <row r="676">
      <c r="A676" s="143" t="s">
        <v>522</v>
      </c>
      <c r="B676" s="143" t="s">
        <v>529</v>
      </c>
      <c r="C676" s="143" t="s">
        <v>4492</v>
      </c>
      <c r="D676" s="142" t="s">
        <v>4493</v>
      </c>
    </row>
    <row r="677">
      <c r="A677" s="143" t="s">
        <v>522</v>
      </c>
      <c r="B677" s="143" t="s">
        <v>529</v>
      </c>
      <c r="C677" s="143" t="s">
        <v>4494</v>
      </c>
      <c r="D677" s="142" t="s">
        <v>4495</v>
      </c>
    </row>
    <row r="678">
      <c r="A678" s="143" t="s">
        <v>522</v>
      </c>
      <c r="B678" s="143" t="s">
        <v>529</v>
      </c>
      <c r="C678" s="143" t="s">
        <v>4496</v>
      </c>
      <c r="D678" s="142" t="s">
        <v>4497</v>
      </c>
    </row>
    <row r="679">
      <c r="A679" s="143" t="s">
        <v>522</v>
      </c>
      <c r="B679" s="143" t="s">
        <v>529</v>
      </c>
      <c r="C679" s="143" t="s">
        <v>4498</v>
      </c>
      <c r="D679" s="142" t="s">
        <v>4499</v>
      </c>
    </row>
    <row r="680">
      <c r="A680" s="143" t="s">
        <v>522</v>
      </c>
      <c r="B680" s="143" t="s">
        <v>529</v>
      </c>
      <c r="C680" s="143" t="s">
        <v>2066</v>
      </c>
      <c r="D680" s="142" t="s">
        <v>4500</v>
      </c>
    </row>
    <row r="681">
      <c r="A681" s="143" t="s">
        <v>522</v>
      </c>
      <c r="B681" s="143" t="s">
        <v>529</v>
      </c>
      <c r="C681" s="143" t="s">
        <v>4501</v>
      </c>
      <c r="D681" s="142" t="s">
        <v>4502</v>
      </c>
    </row>
    <row r="682">
      <c r="A682" s="143" t="s">
        <v>522</v>
      </c>
      <c r="B682" s="143" t="s">
        <v>529</v>
      </c>
      <c r="C682" s="143" t="s">
        <v>4419</v>
      </c>
      <c r="D682" s="142" t="s">
        <v>4503</v>
      </c>
    </row>
    <row r="683">
      <c r="A683" s="143" t="s">
        <v>522</v>
      </c>
      <c r="B683" s="143" t="s">
        <v>529</v>
      </c>
      <c r="C683" s="143" t="s">
        <v>4504</v>
      </c>
      <c r="D683" s="142" t="s">
        <v>4505</v>
      </c>
    </row>
    <row r="684">
      <c r="A684" s="143" t="s">
        <v>522</v>
      </c>
      <c r="B684" s="143" t="s">
        <v>529</v>
      </c>
      <c r="C684" s="143" t="s">
        <v>530</v>
      </c>
      <c r="D684" s="142" t="s">
        <v>531</v>
      </c>
    </row>
    <row r="685">
      <c r="A685" s="143" t="s">
        <v>522</v>
      </c>
      <c r="B685" s="143" t="s">
        <v>529</v>
      </c>
      <c r="C685" s="143" t="s">
        <v>529</v>
      </c>
      <c r="D685" s="142" t="s">
        <v>4506</v>
      </c>
    </row>
    <row r="686">
      <c r="A686" s="143" t="s">
        <v>522</v>
      </c>
      <c r="B686" s="143" t="s">
        <v>529</v>
      </c>
      <c r="C686" s="143" t="s">
        <v>3919</v>
      </c>
      <c r="D686" s="142" t="s">
        <v>4507</v>
      </c>
    </row>
    <row r="687">
      <c r="A687" s="143" t="s">
        <v>522</v>
      </c>
      <c r="B687" s="143" t="s">
        <v>529</v>
      </c>
      <c r="C687" s="143" t="s">
        <v>1460</v>
      </c>
      <c r="D687" s="142" t="s">
        <v>4508</v>
      </c>
    </row>
    <row r="688">
      <c r="A688" s="143" t="s">
        <v>522</v>
      </c>
      <c r="B688" s="143" t="s">
        <v>529</v>
      </c>
      <c r="C688" s="143" t="s">
        <v>1120</v>
      </c>
      <c r="D688" s="142" t="s">
        <v>1121</v>
      </c>
    </row>
    <row r="689">
      <c r="A689" s="143" t="s">
        <v>522</v>
      </c>
      <c r="B689" s="143" t="s">
        <v>529</v>
      </c>
      <c r="C689" s="143" t="s">
        <v>1667</v>
      </c>
      <c r="D689" s="142" t="s">
        <v>4509</v>
      </c>
    </row>
    <row r="690">
      <c r="A690" s="143" t="s">
        <v>522</v>
      </c>
      <c r="B690" s="143" t="s">
        <v>529</v>
      </c>
      <c r="C690" s="143" t="s">
        <v>3959</v>
      </c>
      <c r="D690" s="142" t="s">
        <v>4510</v>
      </c>
    </row>
    <row r="691">
      <c r="A691" s="143" t="s">
        <v>522</v>
      </c>
      <c r="B691" s="143" t="s">
        <v>529</v>
      </c>
      <c r="C691" s="143" t="s">
        <v>4511</v>
      </c>
      <c r="D691" s="142" t="s">
        <v>4512</v>
      </c>
    </row>
    <row r="692">
      <c r="A692" s="143" t="s">
        <v>522</v>
      </c>
      <c r="B692" s="143" t="s">
        <v>529</v>
      </c>
      <c r="C692" s="143" t="s">
        <v>3710</v>
      </c>
      <c r="D692" s="142" t="s">
        <v>4513</v>
      </c>
    </row>
    <row r="693">
      <c r="A693" s="143" t="s">
        <v>535</v>
      </c>
      <c r="B693" s="143" t="s">
        <v>893</v>
      </c>
      <c r="C693" s="143" t="s">
        <v>1622</v>
      </c>
      <c r="D693" s="142" t="s">
        <v>1623</v>
      </c>
    </row>
    <row r="694">
      <c r="A694" s="143" t="s">
        <v>535</v>
      </c>
      <c r="B694" s="143" t="s">
        <v>893</v>
      </c>
      <c r="C694" s="143" t="s">
        <v>4514</v>
      </c>
      <c r="D694" s="142" t="s">
        <v>4515</v>
      </c>
    </row>
    <row r="695">
      <c r="A695" s="143" t="s">
        <v>535</v>
      </c>
      <c r="B695" s="143" t="s">
        <v>893</v>
      </c>
      <c r="C695" s="143" t="s">
        <v>4516</v>
      </c>
      <c r="D695" s="142" t="s">
        <v>4517</v>
      </c>
    </row>
    <row r="696">
      <c r="A696" s="143" t="s">
        <v>535</v>
      </c>
      <c r="B696" s="143" t="s">
        <v>893</v>
      </c>
      <c r="C696" s="143" t="s">
        <v>4518</v>
      </c>
      <c r="D696" s="142" t="s">
        <v>4519</v>
      </c>
    </row>
    <row r="697">
      <c r="A697" s="143" t="s">
        <v>535</v>
      </c>
      <c r="B697" s="143" t="s">
        <v>893</v>
      </c>
      <c r="C697" s="143" t="s">
        <v>4520</v>
      </c>
      <c r="D697" s="142" t="s">
        <v>4521</v>
      </c>
    </row>
    <row r="698">
      <c r="A698" s="143" t="s">
        <v>535</v>
      </c>
      <c r="B698" s="143" t="s">
        <v>893</v>
      </c>
      <c r="C698" s="143" t="s">
        <v>1875</v>
      </c>
      <c r="D698" s="142" t="s">
        <v>1876</v>
      </c>
    </row>
    <row r="699">
      <c r="A699" s="143" t="s">
        <v>535</v>
      </c>
      <c r="B699" s="143" t="s">
        <v>893</v>
      </c>
      <c r="C699" s="143" t="s">
        <v>4522</v>
      </c>
      <c r="D699" s="142" t="s">
        <v>4523</v>
      </c>
    </row>
    <row r="700">
      <c r="A700" s="143" t="s">
        <v>535</v>
      </c>
      <c r="B700" s="143" t="s">
        <v>893</v>
      </c>
      <c r="C700" s="143" t="s">
        <v>4524</v>
      </c>
      <c r="D700" s="142" t="s">
        <v>4525</v>
      </c>
    </row>
    <row r="701">
      <c r="A701" s="143" t="s">
        <v>535</v>
      </c>
      <c r="B701" s="143" t="s">
        <v>893</v>
      </c>
      <c r="C701" s="143" t="s">
        <v>4526</v>
      </c>
      <c r="D701" s="142" t="s">
        <v>4527</v>
      </c>
    </row>
    <row r="702">
      <c r="A702" s="143" t="s">
        <v>535</v>
      </c>
      <c r="B702" s="143" t="s">
        <v>893</v>
      </c>
      <c r="C702" s="143" t="s">
        <v>2450</v>
      </c>
      <c r="D702" s="142" t="s">
        <v>2451</v>
      </c>
    </row>
    <row r="703">
      <c r="A703" s="143" t="s">
        <v>535</v>
      </c>
      <c r="B703" s="143" t="s">
        <v>893</v>
      </c>
      <c r="C703" s="143" t="s">
        <v>4528</v>
      </c>
      <c r="D703" s="142" t="s">
        <v>4529</v>
      </c>
    </row>
    <row r="704">
      <c r="A704" s="143" t="s">
        <v>535</v>
      </c>
      <c r="B704" s="143" t="s">
        <v>893</v>
      </c>
      <c r="C704" s="143" t="s">
        <v>4530</v>
      </c>
      <c r="D704" s="142" t="s">
        <v>4531</v>
      </c>
    </row>
    <row r="705">
      <c r="A705" s="143" t="s">
        <v>535</v>
      </c>
      <c r="B705" s="143" t="s">
        <v>893</v>
      </c>
      <c r="C705" s="143" t="s">
        <v>2797</v>
      </c>
      <c r="D705" s="142" t="s">
        <v>2798</v>
      </c>
    </row>
    <row r="706">
      <c r="A706" s="143" t="s">
        <v>535</v>
      </c>
      <c r="B706" s="143" t="s">
        <v>893</v>
      </c>
      <c r="C706" s="143" t="s">
        <v>4532</v>
      </c>
      <c r="D706" s="142" t="s">
        <v>4533</v>
      </c>
    </row>
    <row r="707">
      <c r="A707" s="143" t="s">
        <v>535</v>
      </c>
      <c r="B707" s="143" t="s">
        <v>893</v>
      </c>
      <c r="C707" s="143" t="s">
        <v>4534</v>
      </c>
      <c r="D707" s="142" t="s">
        <v>4535</v>
      </c>
    </row>
    <row r="708">
      <c r="A708" s="143" t="s">
        <v>535</v>
      </c>
      <c r="B708" s="143" t="s">
        <v>893</v>
      </c>
      <c r="C708" s="143" t="s">
        <v>894</v>
      </c>
      <c r="D708" s="142" t="s">
        <v>895</v>
      </c>
    </row>
    <row r="709">
      <c r="A709" s="143" t="s">
        <v>535</v>
      </c>
      <c r="B709" s="143" t="s">
        <v>893</v>
      </c>
      <c r="C709" s="143" t="s">
        <v>1151</v>
      </c>
      <c r="D709" s="142" t="s">
        <v>1152</v>
      </c>
    </row>
    <row r="710">
      <c r="A710" s="143" t="s">
        <v>535</v>
      </c>
      <c r="B710" s="143" t="s">
        <v>893</v>
      </c>
      <c r="C710" s="143" t="s">
        <v>1442</v>
      </c>
      <c r="D710" s="142" t="s">
        <v>1443</v>
      </c>
    </row>
    <row r="711">
      <c r="A711" s="143" t="s">
        <v>535</v>
      </c>
      <c r="B711" s="143" t="s">
        <v>1445</v>
      </c>
      <c r="C711" s="143" t="s">
        <v>4536</v>
      </c>
      <c r="D711" s="142" t="s">
        <v>4537</v>
      </c>
    </row>
    <row r="712">
      <c r="A712" s="143" t="s">
        <v>535</v>
      </c>
      <c r="B712" s="143" t="s">
        <v>1445</v>
      </c>
      <c r="C712" s="143" t="s">
        <v>4538</v>
      </c>
      <c r="D712" s="142" t="s">
        <v>4539</v>
      </c>
    </row>
    <row r="713">
      <c r="A713" s="143" t="s">
        <v>535</v>
      </c>
      <c r="B713" s="143" t="s">
        <v>1445</v>
      </c>
      <c r="C713" s="143" t="s">
        <v>4540</v>
      </c>
      <c r="D713" s="142" t="s">
        <v>4541</v>
      </c>
    </row>
    <row r="714">
      <c r="A714" s="143" t="s">
        <v>535</v>
      </c>
      <c r="B714" s="143" t="s">
        <v>1445</v>
      </c>
      <c r="C714" s="143" t="s">
        <v>4542</v>
      </c>
      <c r="D714" s="142" t="s">
        <v>4543</v>
      </c>
    </row>
    <row r="715">
      <c r="A715" s="143" t="s">
        <v>535</v>
      </c>
      <c r="B715" s="143" t="s">
        <v>1445</v>
      </c>
      <c r="C715" s="143" t="s">
        <v>2406</v>
      </c>
      <c r="D715" s="142" t="s">
        <v>2407</v>
      </c>
    </row>
    <row r="716">
      <c r="A716" s="143" t="s">
        <v>535</v>
      </c>
      <c r="B716" s="143" t="s">
        <v>1445</v>
      </c>
      <c r="C716" s="143" t="s">
        <v>4544</v>
      </c>
      <c r="D716" s="142" t="s">
        <v>4545</v>
      </c>
    </row>
    <row r="717">
      <c r="A717" s="143" t="s">
        <v>535</v>
      </c>
      <c r="B717" s="143" t="s">
        <v>1445</v>
      </c>
      <c r="C717" s="143" t="s">
        <v>1446</v>
      </c>
      <c r="D717" s="142" t="s">
        <v>1447</v>
      </c>
    </row>
    <row r="718">
      <c r="A718" s="143" t="s">
        <v>535</v>
      </c>
      <c r="B718" s="143" t="s">
        <v>1445</v>
      </c>
      <c r="C718" s="143" t="s">
        <v>4546</v>
      </c>
      <c r="D718" s="142" t="s">
        <v>4547</v>
      </c>
    </row>
    <row r="719">
      <c r="A719" s="143" t="s">
        <v>535</v>
      </c>
      <c r="B719" s="143" t="s">
        <v>1445</v>
      </c>
      <c r="C719" s="143" t="s">
        <v>1964</v>
      </c>
      <c r="D719" s="142" t="s">
        <v>4548</v>
      </c>
    </row>
    <row r="720">
      <c r="A720" s="143" t="s">
        <v>535</v>
      </c>
      <c r="B720" s="143" t="s">
        <v>1445</v>
      </c>
      <c r="C720" s="143" t="s">
        <v>4549</v>
      </c>
      <c r="D720" s="142" t="s">
        <v>4550</v>
      </c>
    </row>
    <row r="721">
      <c r="A721" s="143" t="s">
        <v>535</v>
      </c>
      <c r="B721" s="143" t="s">
        <v>1445</v>
      </c>
      <c r="C721" s="143" t="s">
        <v>4233</v>
      </c>
      <c r="D721" s="142" t="s">
        <v>4551</v>
      </c>
    </row>
    <row r="722">
      <c r="A722" s="143" t="s">
        <v>535</v>
      </c>
      <c r="B722" s="143" t="s">
        <v>1445</v>
      </c>
      <c r="C722" s="143" t="s">
        <v>4552</v>
      </c>
      <c r="D722" s="142" t="s">
        <v>4553</v>
      </c>
    </row>
    <row r="723">
      <c r="A723" s="143" t="s">
        <v>535</v>
      </c>
      <c r="B723" s="143" t="s">
        <v>1089</v>
      </c>
      <c r="C723" s="143" t="s">
        <v>4554</v>
      </c>
      <c r="D723" s="142" t="s">
        <v>4555</v>
      </c>
    </row>
    <row r="724">
      <c r="A724" s="143" t="s">
        <v>535</v>
      </c>
      <c r="B724" s="143" t="s">
        <v>1089</v>
      </c>
      <c r="C724" s="143" t="s">
        <v>2511</v>
      </c>
      <c r="D724" s="142" t="s">
        <v>2512</v>
      </c>
    </row>
    <row r="725">
      <c r="A725" s="143" t="s">
        <v>535</v>
      </c>
      <c r="B725" s="143" t="s">
        <v>1089</v>
      </c>
      <c r="C725" s="143" t="s">
        <v>2805</v>
      </c>
      <c r="D725" s="142" t="s">
        <v>4556</v>
      </c>
    </row>
    <row r="726">
      <c r="A726" s="143" t="s">
        <v>535</v>
      </c>
      <c r="B726" s="143" t="s">
        <v>1089</v>
      </c>
      <c r="C726" s="143" t="s">
        <v>4557</v>
      </c>
      <c r="D726" s="142" t="s">
        <v>4558</v>
      </c>
    </row>
    <row r="727">
      <c r="A727" s="143" t="s">
        <v>535</v>
      </c>
      <c r="B727" s="143" t="s">
        <v>1089</v>
      </c>
      <c r="C727" s="143" t="s">
        <v>4559</v>
      </c>
      <c r="D727" s="142" t="s">
        <v>4560</v>
      </c>
    </row>
    <row r="728">
      <c r="A728" s="143" t="s">
        <v>535</v>
      </c>
      <c r="B728" s="143" t="s">
        <v>1089</v>
      </c>
      <c r="C728" s="143" t="s">
        <v>4561</v>
      </c>
      <c r="D728" s="142" t="s">
        <v>4562</v>
      </c>
    </row>
    <row r="729">
      <c r="A729" s="143" t="s">
        <v>535</v>
      </c>
      <c r="B729" s="143" t="s">
        <v>1089</v>
      </c>
      <c r="C729" s="143" t="s">
        <v>4563</v>
      </c>
      <c r="D729" s="142" t="s">
        <v>4564</v>
      </c>
    </row>
    <row r="730">
      <c r="A730" s="143" t="s">
        <v>535</v>
      </c>
      <c r="B730" s="143" t="s">
        <v>1089</v>
      </c>
      <c r="C730" s="143" t="s">
        <v>4565</v>
      </c>
      <c r="D730" s="142" t="s">
        <v>4566</v>
      </c>
    </row>
    <row r="731">
      <c r="A731" s="143" t="s">
        <v>535</v>
      </c>
      <c r="B731" s="143" t="s">
        <v>1089</v>
      </c>
      <c r="C731" s="143" t="s">
        <v>4567</v>
      </c>
      <c r="D731" s="142" t="s">
        <v>4568</v>
      </c>
    </row>
    <row r="732">
      <c r="A732" s="143" t="s">
        <v>535</v>
      </c>
      <c r="B732" s="143" t="s">
        <v>1089</v>
      </c>
      <c r="C732" s="143" t="s">
        <v>4569</v>
      </c>
      <c r="D732" s="142" t="s">
        <v>4570</v>
      </c>
    </row>
    <row r="733">
      <c r="A733" s="143" t="s">
        <v>535</v>
      </c>
      <c r="B733" s="143" t="s">
        <v>1089</v>
      </c>
      <c r="C733" s="143" t="s">
        <v>3081</v>
      </c>
      <c r="D733" s="142" t="s">
        <v>3082</v>
      </c>
    </row>
    <row r="734">
      <c r="A734" s="143" t="s">
        <v>535</v>
      </c>
      <c r="B734" s="143" t="s">
        <v>1089</v>
      </c>
      <c r="C734" s="143" t="s">
        <v>1090</v>
      </c>
      <c r="D734" s="142" t="s">
        <v>1091</v>
      </c>
    </row>
    <row r="735">
      <c r="A735" s="143" t="s">
        <v>535</v>
      </c>
      <c r="B735" s="143" t="s">
        <v>1089</v>
      </c>
      <c r="C735" s="143" t="s">
        <v>4571</v>
      </c>
      <c r="D735" s="142" t="s">
        <v>4572</v>
      </c>
    </row>
    <row r="736">
      <c r="A736" s="143" t="s">
        <v>535</v>
      </c>
      <c r="B736" s="143" t="s">
        <v>1089</v>
      </c>
      <c r="C736" s="143" t="s">
        <v>4573</v>
      </c>
      <c r="D736" s="142" t="s">
        <v>4574</v>
      </c>
    </row>
    <row r="737">
      <c r="A737" s="143" t="s">
        <v>535</v>
      </c>
      <c r="B737" s="143" t="s">
        <v>1089</v>
      </c>
      <c r="C737" s="143" t="s">
        <v>4575</v>
      </c>
      <c r="D737" s="142" t="s">
        <v>4576</v>
      </c>
    </row>
    <row r="738">
      <c r="A738" s="143" t="s">
        <v>535</v>
      </c>
      <c r="B738" s="143" t="s">
        <v>1089</v>
      </c>
      <c r="C738" s="143" t="s">
        <v>4577</v>
      </c>
      <c r="D738" s="142" t="s">
        <v>4578</v>
      </c>
    </row>
    <row r="739">
      <c r="A739" s="143" t="s">
        <v>535</v>
      </c>
      <c r="B739" s="143" t="s">
        <v>1089</v>
      </c>
      <c r="C739" s="143" t="s">
        <v>4579</v>
      </c>
      <c r="D739" s="142" t="s">
        <v>4580</v>
      </c>
    </row>
    <row r="740">
      <c r="A740" s="143" t="s">
        <v>535</v>
      </c>
      <c r="B740" s="143" t="s">
        <v>1089</v>
      </c>
      <c r="C740" s="143" t="s">
        <v>4581</v>
      </c>
      <c r="D740" s="142" t="s">
        <v>4582</v>
      </c>
    </row>
    <row r="741">
      <c r="A741" s="143" t="s">
        <v>535</v>
      </c>
      <c r="B741" s="143" t="s">
        <v>1089</v>
      </c>
      <c r="C741" s="143" t="s">
        <v>4583</v>
      </c>
      <c r="D741" s="142" t="s">
        <v>4584</v>
      </c>
    </row>
    <row r="742">
      <c r="A742" s="143" t="s">
        <v>535</v>
      </c>
      <c r="B742" s="143" t="s">
        <v>1089</v>
      </c>
      <c r="C742" s="143" t="s">
        <v>4585</v>
      </c>
      <c r="D742" s="142" t="s">
        <v>4586</v>
      </c>
    </row>
    <row r="743">
      <c r="A743" s="143" t="s">
        <v>535</v>
      </c>
      <c r="B743" s="143" t="s">
        <v>1089</v>
      </c>
      <c r="C743" s="143" t="s">
        <v>4587</v>
      </c>
      <c r="D743" s="142" t="s">
        <v>4588</v>
      </c>
    </row>
    <row r="744">
      <c r="A744" s="143" t="s">
        <v>535</v>
      </c>
      <c r="B744" s="143" t="s">
        <v>1089</v>
      </c>
      <c r="C744" s="143" t="s">
        <v>4589</v>
      </c>
      <c r="D744" s="142" t="s">
        <v>4590</v>
      </c>
    </row>
    <row r="745">
      <c r="A745" s="143" t="s">
        <v>535</v>
      </c>
      <c r="B745" s="143" t="s">
        <v>1089</v>
      </c>
      <c r="C745" s="143" t="s">
        <v>4591</v>
      </c>
      <c r="D745" s="142" t="s">
        <v>4592</v>
      </c>
    </row>
    <row r="746">
      <c r="A746" s="143" t="s">
        <v>535</v>
      </c>
      <c r="B746" s="143" t="s">
        <v>1089</v>
      </c>
      <c r="C746" s="143" t="s">
        <v>2313</v>
      </c>
      <c r="D746" s="142" t="s">
        <v>4593</v>
      </c>
    </row>
    <row r="747">
      <c r="A747" s="143" t="s">
        <v>535</v>
      </c>
      <c r="B747" s="143" t="s">
        <v>1089</v>
      </c>
      <c r="C747" s="143" t="s">
        <v>4594</v>
      </c>
      <c r="D747" s="142" t="s">
        <v>4595</v>
      </c>
    </row>
    <row r="748">
      <c r="A748" s="143" t="s">
        <v>535</v>
      </c>
      <c r="B748" s="143" t="s">
        <v>1089</v>
      </c>
      <c r="C748" s="143" t="s">
        <v>3850</v>
      </c>
      <c r="D748" s="142" t="s">
        <v>4596</v>
      </c>
    </row>
    <row r="749">
      <c r="A749" s="143" t="s">
        <v>535</v>
      </c>
      <c r="B749" s="143" t="s">
        <v>1089</v>
      </c>
      <c r="C749" s="143" t="s">
        <v>1324</v>
      </c>
      <c r="D749" s="142" t="s">
        <v>1325</v>
      </c>
    </row>
    <row r="750">
      <c r="A750" s="143" t="s">
        <v>535</v>
      </c>
      <c r="B750" s="143" t="s">
        <v>1089</v>
      </c>
      <c r="C750" s="143" t="s">
        <v>4597</v>
      </c>
      <c r="D750" s="142" t="s">
        <v>4598</v>
      </c>
    </row>
    <row r="751">
      <c r="A751" s="143" t="s">
        <v>535</v>
      </c>
      <c r="B751" s="143" t="s">
        <v>1089</v>
      </c>
      <c r="C751" s="143" t="s">
        <v>2457</v>
      </c>
      <c r="D751" s="142" t="s">
        <v>2458</v>
      </c>
    </row>
    <row r="752">
      <c r="A752" s="143" t="s">
        <v>535</v>
      </c>
      <c r="B752" s="143" t="s">
        <v>1089</v>
      </c>
      <c r="C752" s="143" t="s">
        <v>4599</v>
      </c>
      <c r="D752" s="142" t="s">
        <v>4600</v>
      </c>
    </row>
    <row r="753">
      <c r="A753" s="143" t="s">
        <v>535</v>
      </c>
      <c r="B753" s="143" t="s">
        <v>1089</v>
      </c>
      <c r="C753" s="143" t="s">
        <v>1451</v>
      </c>
      <c r="D753" s="142" t="s">
        <v>1452</v>
      </c>
    </row>
    <row r="754">
      <c r="A754" s="143" t="s">
        <v>535</v>
      </c>
      <c r="B754" s="143" t="s">
        <v>1089</v>
      </c>
      <c r="C754" s="143" t="s">
        <v>1120</v>
      </c>
      <c r="D754" s="142" t="s">
        <v>4601</v>
      </c>
    </row>
    <row r="755">
      <c r="A755" s="143" t="s">
        <v>535</v>
      </c>
      <c r="B755" s="143" t="s">
        <v>1089</v>
      </c>
      <c r="C755" s="143" t="s">
        <v>1667</v>
      </c>
      <c r="D755" s="142" t="s">
        <v>1668</v>
      </c>
    </row>
    <row r="756">
      <c r="A756" s="143" t="s">
        <v>535</v>
      </c>
      <c r="B756" s="143" t="s">
        <v>1089</v>
      </c>
      <c r="C756" s="143" t="s">
        <v>4602</v>
      </c>
      <c r="D756" s="142" t="s">
        <v>4603</v>
      </c>
    </row>
    <row r="757">
      <c r="A757" s="143" t="s">
        <v>535</v>
      </c>
      <c r="B757" s="143" t="s">
        <v>1089</v>
      </c>
      <c r="C757" s="143" t="s">
        <v>1455</v>
      </c>
      <c r="D757" s="142" t="s">
        <v>1456</v>
      </c>
    </row>
    <row r="758">
      <c r="A758" s="143" t="s">
        <v>535</v>
      </c>
      <c r="B758" s="143" t="s">
        <v>1089</v>
      </c>
      <c r="C758" s="143" t="s">
        <v>4604</v>
      </c>
      <c r="D758" s="142" t="s">
        <v>4605</v>
      </c>
    </row>
    <row r="759">
      <c r="A759" s="143" t="s">
        <v>535</v>
      </c>
      <c r="B759" s="143" t="s">
        <v>1089</v>
      </c>
      <c r="C759" s="143" t="s">
        <v>4606</v>
      </c>
      <c r="D759" s="142" t="s">
        <v>4607</v>
      </c>
    </row>
    <row r="760">
      <c r="A760" s="143" t="s">
        <v>535</v>
      </c>
      <c r="B760" s="143" t="s">
        <v>1459</v>
      </c>
      <c r="C760" s="143" t="s">
        <v>4608</v>
      </c>
      <c r="D760" s="142" t="s">
        <v>4609</v>
      </c>
    </row>
    <row r="761">
      <c r="A761" s="143" t="s">
        <v>535</v>
      </c>
      <c r="B761" s="143" t="s">
        <v>1459</v>
      </c>
      <c r="C761" s="143" t="s">
        <v>4388</v>
      </c>
      <c r="D761" s="142" t="s">
        <v>4610</v>
      </c>
    </row>
    <row r="762">
      <c r="A762" s="143" t="s">
        <v>535</v>
      </c>
      <c r="B762" s="143" t="s">
        <v>1459</v>
      </c>
      <c r="C762" s="143" t="s">
        <v>2805</v>
      </c>
      <c r="D762" s="142" t="s">
        <v>4611</v>
      </c>
    </row>
    <row r="763">
      <c r="A763" s="143" t="s">
        <v>535</v>
      </c>
      <c r="B763" s="143" t="s">
        <v>1459</v>
      </c>
      <c r="C763" s="143" t="s">
        <v>4612</v>
      </c>
      <c r="D763" s="142" t="s">
        <v>4613</v>
      </c>
    </row>
    <row r="764">
      <c r="A764" s="143" t="s">
        <v>535</v>
      </c>
      <c r="B764" s="143" t="s">
        <v>1459</v>
      </c>
      <c r="C764" s="143" t="s">
        <v>4614</v>
      </c>
      <c r="D764" s="142" t="s">
        <v>4615</v>
      </c>
    </row>
    <row r="765">
      <c r="A765" s="143" t="s">
        <v>535</v>
      </c>
      <c r="B765" s="143" t="s">
        <v>1459</v>
      </c>
      <c r="C765" s="143" t="s">
        <v>4616</v>
      </c>
      <c r="D765" s="142" t="s">
        <v>4617</v>
      </c>
    </row>
    <row r="766">
      <c r="A766" s="143" t="s">
        <v>535</v>
      </c>
      <c r="B766" s="143" t="s">
        <v>1459</v>
      </c>
      <c r="C766" s="143" t="s">
        <v>4618</v>
      </c>
      <c r="D766" s="142" t="s">
        <v>4619</v>
      </c>
    </row>
    <row r="767">
      <c r="A767" s="143" t="s">
        <v>535</v>
      </c>
      <c r="B767" s="143" t="s">
        <v>1459</v>
      </c>
      <c r="C767" s="143" t="s">
        <v>1460</v>
      </c>
      <c r="D767" s="142" t="s">
        <v>1461</v>
      </c>
    </row>
    <row r="768">
      <c r="A768" s="143" t="s">
        <v>535</v>
      </c>
      <c r="B768" s="143" t="s">
        <v>1459</v>
      </c>
      <c r="C768" s="143" t="s">
        <v>4031</v>
      </c>
      <c r="D768" s="142" t="s">
        <v>4620</v>
      </c>
    </row>
    <row r="769">
      <c r="A769" s="143" t="s">
        <v>535</v>
      </c>
      <c r="B769" s="143" t="s">
        <v>1459</v>
      </c>
      <c r="C769" s="143" t="s">
        <v>4621</v>
      </c>
      <c r="D769" s="142" t="s">
        <v>4622</v>
      </c>
    </row>
    <row r="770">
      <c r="A770" s="143" t="s">
        <v>535</v>
      </c>
      <c r="B770" s="143" t="s">
        <v>1459</v>
      </c>
      <c r="C770" s="143" t="s">
        <v>2464</v>
      </c>
      <c r="D770" s="142" t="s">
        <v>2465</v>
      </c>
    </row>
    <row r="771">
      <c r="A771" s="143" t="s">
        <v>535</v>
      </c>
      <c r="B771" s="143" t="s">
        <v>1191</v>
      </c>
      <c r="C771" s="143" t="s">
        <v>1816</v>
      </c>
      <c r="D771" s="142" t="s">
        <v>1817</v>
      </c>
    </row>
    <row r="772">
      <c r="A772" s="143" t="s">
        <v>535</v>
      </c>
      <c r="B772" s="143" t="s">
        <v>1191</v>
      </c>
      <c r="C772" s="143" t="s">
        <v>4623</v>
      </c>
      <c r="D772" s="142" t="s">
        <v>4624</v>
      </c>
    </row>
    <row r="773">
      <c r="A773" s="143" t="s">
        <v>535</v>
      </c>
      <c r="B773" s="143" t="s">
        <v>1191</v>
      </c>
      <c r="C773" s="143" t="s">
        <v>4625</v>
      </c>
      <c r="D773" s="142" t="s">
        <v>4626</v>
      </c>
    </row>
    <row r="774">
      <c r="A774" s="143" t="s">
        <v>535</v>
      </c>
      <c r="B774" s="143" t="s">
        <v>1191</v>
      </c>
      <c r="C774" s="143" t="s">
        <v>4627</v>
      </c>
      <c r="D774" s="142" t="s">
        <v>4628</v>
      </c>
    </row>
    <row r="775">
      <c r="A775" s="143" t="s">
        <v>535</v>
      </c>
      <c r="B775" s="143" t="s">
        <v>1191</v>
      </c>
      <c r="C775" s="143" t="s">
        <v>4629</v>
      </c>
      <c r="D775" s="142" t="s">
        <v>4630</v>
      </c>
    </row>
    <row r="776">
      <c r="A776" s="143" t="s">
        <v>535</v>
      </c>
      <c r="B776" s="143" t="s">
        <v>1191</v>
      </c>
      <c r="C776" s="143" t="s">
        <v>4631</v>
      </c>
      <c r="D776" s="142" t="s">
        <v>4632</v>
      </c>
    </row>
    <row r="777">
      <c r="A777" s="143" t="s">
        <v>535</v>
      </c>
      <c r="B777" s="143" t="s">
        <v>1191</v>
      </c>
      <c r="C777" s="143" t="s">
        <v>3836</v>
      </c>
      <c r="D777" s="142" t="s">
        <v>4633</v>
      </c>
    </row>
    <row r="778">
      <c r="A778" s="143" t="s">
        <v>535</v>
      </c>
      <c r="B778" s="143" t="s">
        <v>1191</v>
      </c>
      <c r="C778" s="143" t="s">
        <v>4634</v>
      </c>
      <c r="D778" s="142" t="s">
        <v>4635</v>
      </c>
    </row>
    <row r="779">
      <c r="A779" s="143" t="s">
        <v>535</v>
      </c>
      <c r="B779" s="143" t="s">
        <v>1191</v>
      </c>
      <c r="C779" s="143" t="s">
        <v>4636</v>
      </c>
      <c r="D779" s="142" t="s">
        <v>4637</v>
      </c>
    </row>
    <row r="780">
      <c r="A780" s="143" t="s">
        <v>535</v>
      </c>
      <c r="B780" s="143" t="s">
        <v>1191</v>
      </c>
      <c r="C780" s="143" t="s">
        <v>4638</v>
      </c>
      <c r="D780" s="142" t="s">
        <v>4639</v>
      </c>
    </row>
    <row r="781">
      <c r="A781" s="143" t="s">
        <v>535</v>
      </c>
      <c r="B781" s="143" t="s">
        <v>1191</v>
      </c>
      <c r="C781" s="143" t="s">
        <v>2828</v>
      </c>
      <c r="D781" s="142" t="s">
        <v>2829</v>
      </c>
    </row>
    <row r="782">
      <c r="A782" s="143" t="s">
        <v>535</v>
      </c>
      <c r="B782" s="143" t="s">
        <v>1191</v>
      </c>
      <c r="C782" s="143" t="s">
        <v>4640</v>
      </c>
      <c r="D782" s="142" t="s">
        <v>4641</v>
      </c>
    </row>
    <row r="783">
      <c r="A783" s="143" t="s">
        <v>535</v>
      </c>
      <c r="B783" s="143" t="s">
        <v>1191</v>
      </c>
      <c r="C783" s="143" t="s">
        <v>4642</v>
      </c>
      <c r="D783" s="142" t="s">
        <v>4643</v>
      </c>
    </row>
    <row r="784">
      <c r="A784" s="143" t="s">
        <v>535</v>
      </c>
      <c r="B784" s="143" t="s">
        <v>1191</v>
      </c>
      <c r="C784" s="143" t="s">
        <v>4644</v>
      </c>
      <c r="D784" s="142" t="s">
        <v>4645</v>
      </c>
    </row>
    <row r="785">
      <c r="A785" s="143" t="s">
        <v>535</v>
      </c>
      <c r="B785" s="143" t="s">
        <v>1191</v>
      </c>
      <c r="C785" s="143" t="s">
        <v>4646</v>
      </c>
      <c r="D785" s="142" t="s">
        <v>4647</v>
      </c>
    </row>
    <row r="786">
      <c r="A786" s="143" t="s">
        <v>535</v>
      </c>
      <c r="B786" s="143" t="s">
        <v>1191</v>
      </c>
      <c r="C786" s="143" t="s">
        <v>4648</v>
      </c>
      <c r="D786" s="142" t="s">
        <v>4649</v>
      </c>
    </row>
    <row r="787">
      <c r="A787" s="143" t="s">
        <v>535</v>
      </c>
      <c r="B787" s="143" t="s">
        <v>1191</v>
      </c>
      <c r="C787" s="143" t="s">
        <v>4650</v>
      </c>
      <c r="D787" s="142" t="s">
        <v>4651</v>
      </c>
    </row>
    <row r="788">
      <c r="A788" s="143" t="s">
        <v>535</v>
      </c>
      <c r="B788" s="143" t="s">
        <v>1191</v>
      </c>
      <c r="C788" s="143" t="s">
        <v>1120</v>
      </c>
      <c r="D788" s="142" t="s">
        <v>1192</v>
      </c>
    </row>
    <row r="789">
      <c r="A789" s="143" t="s">
        <v>535</v>
      </c>
      <c r="B789" s="143" t="s">
        <v>1191</v>
      </c>
      <c r="C789" s="143" t="s">
        <v>1987</v>
      </c>
      <c r="D789" s="142" t="s">
        <v>1988</v>
      </c>
    </row>
    <row r="790">
      <c r="A790" s="143" t="s">
        <v>535</v>
      </c>
      <c r="B790" s="143" t="s">
        <v>1191</v>
      </c>
      <c r="C790" s="143" t="s">
        <v>4226</v>
      </c>
      <c r="D790" s="142" t="s">
        <v>4652</v>
      </c>
    </row>
    <row r="791">
      <c r="A791" s="143" t="s">
        <v>535</v>
      </c>
      <c r="B791" s="143" t="s">
        <v>1191</v>
      </c>
      <c r="C791" s="143" t="s">
        <v>4653</v>
      </c>
      <c r="D791" s="142" t="s">
        <v>4654</v>
      </c>
    </row>
    <row r="792">
      <c r="A792" s="143" t="s">
        <v>535</v>
      </c>
      <c r="B792" s="143" t="s">
        <v>536</v>
      </c>
      <c r="C792" s="143" t="s">
        <v>4655</v>
      </c>
      <c r="D792" s="142" t="s">
        <v>4656</v>
      </c>
    </row>
    <row r="793">
      <c r="A793" s="143" t="s">
        <v>535</v>
      </c>
      <c r="B793" s="143" t="s">
        <v>536</v>
      </c>
      <c r="C793" s="143" t="s">
        <v>4657</v>
      </c>
      <c r="D793" s="142" t="s">
        <v>4658</v>
      </c>
    </row>
    <row r="794">
      <c r="A794" s="143" t="s">
        <v>535</v>
      </c>
      <c r="B794" s="143" t="s">
        <v>536</v>
      </c>
      <c r="C794" s="143" t="s">
        <v>4659</v>
      </c>
      <c r="D794" s="142" t="s">
        <v>4660</v>
      </c>
    </row>
    <row r="795">
      <c r="A795" s="143" t="s">
        <v>535</v>
      </c>
      <c r="B795" s="143" t="s">
        <v>536</v>
      </c>
      <c r="C795" s="143" t="s">
        <v>554</v>
      </c>
      <c r="D795" s="142" t="s">
        <v>555</v>
      </c>
    </row>
    <row r="796">
      <c r="A796" s="143" t="s">
        <v>535</v>
      </c>
      <c r="B796" s="143" t="s">
        <v>536</v>
      </c>
      <c r="C796" s="143" t="s">
        <v>4661</v>
      </c>
      <c r="D796" s="142" t="s">
        <v>4662</v>
      </c>
    </row>
    <row r="797">
      <c r="A797" s="143" t="s">
        <v>535</v>
      </c>
      <c r="B797" s="143" t="s">
        <v>536</v>
      </c>
      <c r="C797" s="143" t="s">
        <v>4663</v>
      </c>
      <c r="D797" s="142" t="s">
        <v>4664</v>
      </c>
    </row>
    <row r="798">
      <c r="A798" s="143" t="s">
        <v>535</v>
      </c>
      <c r="B798" s="143" t="s">
        <v>536</v>
      </c>
      <c r="C798" s="143" t="s">
        <v>4665</v>
      </c>
      <c r="D798" s="142" t="s">
        <v>4666</v>
      </c>
    </row>
    <row r="799">
      <c r="A799" s="143" t="s">
        <v>535</v>
      </c>
      <c r="B799" s="143" t="s">
        <v>536</v>
      </c>
      <c r="C799" s="143" t="s">
        <v>4667</v>
      </c>
      <c r="D799" s="142" t="s">
        <v>4668</v>
      </c>
    </row>
    <row r="800">
      <c r="A800" s="143" t="s">
        <v>535</v>
      </c>
      <c r="B800" s="143" t="s">
        <v>536</v>
      </c>
      <c r="C800" s="143" t="s">
        <v>4669</v>
      </c>
      <c r="D800" s="142" t="s">
        <v>4670</v>
      </c>
    </row>
    <row r="801">
      <c r="A801" s="143" t="s">
        <v>535</v>
      </c>
      <c r="B801" s="143" t="s">
        <v>536</v>
      </c>
      <c r="C801" s="143" t="s">
        <v>4263</v>
      </c>
      <c r="D801" s="142" t="s">
        <v>4671</v>
      </c>
    </row>
    <row r="802">
      <c r="A802" s="143" t="s">
        <v>535</v>
      </c>
      <c r="B802" s="143" t="s">
        <v>536</v>
      </c>
      <c r="C802" s="143" t="s">
        <v>4672</v>
      </c>
      <c r="D802" s="142" t="s">
        <v>4673</v>
      </c>
    </row>
    <row r="803">
      <c r="A803" s="143" t="s">
        <v>535</v>
      </c>
      <c r="B803" s="143" t="s">
        <v>536</v>
      </c>
      <c r="C803" s="143" t="s">
        <v>3989</v>
      </c>
      <c r="D803" s="142" t="s">
        <v>4674</v>
      </c>
    </row>
    <row r="804">
      <c r="A804" s="143" t="s">
        <v>535</v>
      </c>
      <c r="B804" s="143" t="s">
        <v>536</v>
      </c>
      <c r="C804" s="143" t="s">
        <v>4675</v>
      </c>
      <c r="D804" s="142" t="s">
        <v>4676</v>
      </c>
    </row>
    <row r="805">
      <c r="A805" s="143" t="s">
        <v>535</v>
      </c>
      <c r="B805" s="143" t="s">
        <v>536</v>
      </c>
      <c r="C805" s="143" t="s">
        <v>4677</v>
      </c>
      <c r="D805" s="142" t="s">
        <v>4678</v>
      </c>
    </row>
    <row r="806">
      <c r="A806" s="143" t="s">
        <v>535</v>
      </c>
      <c r="B806" s="143" t="s">
        <v>536</v>
      </c>
      <c r="C806" s="143" t="s">
        <v>537</v>
      </c>
      <c r="D806" s="142" t="s">
        <v>538</v>
      </c>
    </row>
    <row r="807">
      <c r="A807" s="143" t="s">
        <v>314</v>
      </c>
      <c r="B807" s="143" t="s">
        <v>315</v>
      </c>
      <c r="C807" s="143" t="s">
        <v>4679</v>
      </c>
      <c r="D807" s="142" t="s">
        <v>4680</v>
      </c>
    </row>
    <row r="808">
      <c r="A808" s="143" t="s">
        <v>314</v>
      </c>
      <c r="B808" s="143" t="s">
        <v>315</v>
      </c>
      <c r="C808" s="143" t="s">
        <v>4205</v>
      </c>
      <c r="D808" s="142" t="s">
        <v>4681</v>
      </c>
    </row>
    <row r="809">
      <c r="A809" s="143" t="s">
        <v>314</v>
      </c>
      <c r="B809" s="143" t="s">
        <v>315</v>
      </c>
      <c r="C809" s="143" t="s">
        <v>4682</v>
      </c>
      <c r="D809" s="142" t="s">
        <v>4683</v>
      </c>
    </row>
    <row r="810">
      <c r="A810" s="143" t="s">
        <v>314</v>
      </c>
      <c r="B810" s="143" t="s">
        <v>315</v>
      </c>
      <c r="C810" s="143" t="s">
        <v>3090</v>
      </c>
      <c r="D810" s="142" t="s">
        <v>3091</v>
      </c>
    </row>
    <row r="811">
      <c r="A811" s="143" t="s">
        <v>314</v>
      </c>
      <c r="B811" s="143" t="s">
        <v>315</v>
      </c>
      <c r="C811" s="143" t="s">
        <v>4684</v>
      </c>
      <c r="D811" s="142" t="s">
        <v>4685</v>
      </c>
    </row>
    <row r="812">
      <c r="A812" s="143" t="s">
        <v>314</v>
      </c>
      <c r="B812" s="143" t="s">
        <v>315</v>
      </c>
      <c r="C812" s="143" t="s">
        <v>747</v>
      </c>
      <c r="D812" s="142" t="s">
        <v>748</v>
      </c>
    </row>
    <row r="813">
      <c r="A813" s="143" t="s">
        <v>314</v>
      </c>
      <c r="B813" s="143" t="s">
        <v>315</v>
      </c>
      <c r="C813" s="143" t="s">
        <v>3096</v>
      </c>
      <c r="D813" s="142" t="s">
        <v>3097</v>
      </c>
    </row>
    <row r="814">
      <c r="A814" s="143" t="s">
        <v>314</v>
      </c>
      <c r="B814" s="143" t="s">
        <v>315</v>
      </c>
      <c r="C814" s="143" t="s">
        <v>4686</v>
      </c>
      <c r="D814" s="142" t="s">
        <v>4687</v>
      </c>
    </row>
    <row r="815">
      <c r="A815" s="143" t="s">
        <v>314</v>
      </c>
      <c r="B815" s="143" t="s">
        <v>315</v>
      </c>
      <c r="C815" s="143" t="s">
        <v>4688</v>
      </c>
      <c r="D815" s="142" t="s">
        <v>4689</v>
      </c>
    </row>
    <row r="816">
      <c r="A816" s="143" t="s">
        <v>314</v>
      </c>
      <c r="B816" s="143" t="s">
        <v>315</v>
      </c>
      <c r="C816" s="143" t="s">
        <v>4690</v>
      </c>
      <c r="D816" s="142" t="s">
        <v>4691</v>
      </c>
    </row>
    <row r="817">
      <c r="A817" s="143" t="s">
        <v>314</v>
      </c>
      <c r="B817" s="143" t="s">
        <v>315</v>
      </c>
      <c r="C817" s="143" t="s">
        <v>4692</v>
      </c>
      <c r="D817" s="142" t="s">
        <v>4693</v>
      </c>
    </row>
    <row r="818">
      <c r="A818" s="143" t="s">
        <v>314</v>
      </c>
      <c r="B818" s="143" t="s">
        <v>315</v>
      </c>
      <c r="C818" s="143" t="s">
        <v>316</v>
      </c>
      <c r="D818" s="142" t="s">
        <v>317</v>
      </c>
    </row>
    <row r="819">
      <c r="A819" s="143" t="s">
        <v>314</v>
      </c>
      <c r="B819" s="143" t="s">
        <v>315</v>
      </c>
      <c r="C819" s="143" t="s">
        <v>2450</v>
      </c>
      <c r="D819" s="142" t="s">
        <v>4694</v>
      </c>
    </row>
    <row r="820">
      <c r="A820" s="143" t="s">
        <v>314</v>
      </c>
      <c r="B820" s="143" t="s">
        <v>315</v>
      </c>
      <c r="C820" s="143" t="s">
        <v>3108</v>
      </c>
      <c r="D820" s="142" t="s">
        <v>3109</v>
      </c>
    </row>
    <row r="821">
      <c r="A821" s="143" t="s">
        <v>314</v>
      </c>
      <c r="B821" s="143" t="s">
        <v>315</v>
      </c>
      <c r="C821" s="143" t="s">
        <v>3111</v>
      </c>
      <c r="D821" s="142" t="s">
        <v>3112</v>
      </c>
    </row>
    <row r="822">
      <c r="A822" s="143" t="s">
        <v>314</v>
      </c>
      <c r="B822" s="143" t="s">
        <v>315</v>
      </c>
      <c r="C822" s="143" t="s">
        <v>3115</v>
      </c>
      <c r="D822" s="142" t="s">
        <v>3116</v>
      </c>
    </row>
    <row r="823">
      <c r="A823" s="143" t="s">
        <v>314</v>
      </c>
      <c r="B823" s="143" t="s">
        <v>315</v>
      </c>
      <c r="C823" s="143" t="s">
        <v>1199</v>
      </c>
      <c r="D823" s="142" t="s">
        <v>1200</v>
      </c>
    </row>
    <row r="824">
      <c r="A824" s="143" t="s">
        <v>314</v>
      </c>
      <c r="B824" s="143" t="s">
        <v>858</v>
      </c>
      <c r="C824" s="143" t="s">
        <v>4695</v>
      </c>
      <c r="D824" s="142" t="s">
        <v>1297</v>
      </c>
    </row>
    <row r="825">
      <c r="A825" s="143" t="s">
        <v>314</v>
      </c>
      <c r="B825" s="143" t="s">
        <v>858</v>
      </c>
      <c r="C825" s="143" t="s">
        <v>3122</v>
      </c>
      <c r="D825" s="142" t="s">
        <v>3123</v>
      </c>
    </row>
    <row r="826">
      <c r="A826" s="143" t="s">
        <v>314</v>
      </c>
      <c r="B826" s="143" t="s">
        <v>858</v>
      </c>
      <c r="C826" s="143" t="s">
        <v>4696</v>
      </c>
      <c r="D826" s="142" t="s">
        <v>4697</v>
      </c>
    </row>
    <row r="827">
      <c r="A827" s="143" t="s">
        <v>314</v>
      </c>
      <c r="B827" s="143" t="s">
        <v>858</v>
      </c>
      <c r="C827" s="143" t="s">
        <v>4698</v>
      </c>
      <c r="D827" s="142" t="s">
        <v>4699</v>
      </c>
    </row>
    <row r="828">
      <c r="A828" s="143" t="s">
        <v>314</v>
      </c>
      <c r="B828" s="143" t="s">
        <v>858</v>
      </c>
      <c r="C828" s="143" t="s">
        <v>2660</v>
      </c>
      <c r="D828" s="142" t="s">
        <v>2661</v>
      </c>
    </row>
    <row r="829">
      <c r="A829" s="143" t="s">
        <v>314</v>
      </c>
      <c r="B829" s="143" t="s">
        <v>858</v>
      </c>
      <c r="C829" s="143" t="s">
        <v>859</v>
      </c>
      <c r="D829" s="142" t="s">
        <v>860</v>
      </c>
    </row>
    <row r="830">
      <c r="A830" s="143" t="s">
        <v>314</v>
      </c>
      <c r="B830" s="143" t="s">
        <v>858</v>
      </c>
      <c r="C830" s="143" t="s">
        <v>4700</v>
      </c>
      <c r="D830" s="142" t="s">
        <v>4701</v>
      </c>
    </row>
    <row r="831">
      <c r="A831" s="143" t="s">
        <v>314</v>
      </c>
      <c r="B831" s="143" t="s">
        <v>858</v>
      </c>
      <c r="C831" s="143" t="s">
        <v>4702</v>
      </c>
      <c r="D831" s="142" t="s">
        <v>4703</v>
      </c>
    </row>
    <row r="832">
      <c r="A832" s="143" t="s">
        <v>314</v>
      </c>
      <c r="B832" s="143" t="s">
        <v>858</v>
      </c>
      <c r="C832" s="143" t="s">
        <v>4704</v>
      </c>
      <c r="D832" s="142" t="s">
        <v>4705</v>
      </c>
    </row>
    <row r="833">
      <c r="A833" s="143" t="s">
        <v>314</v>
      </c>
      <c r="B833" s="143" t="s">
        <v>858</v>
      </c>
      <c r="C833" s="143" t="s">
        <v>4706</v>
      </c>
      <c r="D833" s="142" t="s">
        <v>4707</v>
      </c>
    </row>
    <row r="834">
      <c r="A834" s="143" t="s">
        <v>314</v>
      </c>
      <c r="B834" s="143" t="s">
        <v>858</v>
      </c>
      <c r="C834" s="143" t="s">
        <v>4616</v>
      </c>
      <c r="D834" s="142" t="s">
        <v>4708</v>
      </c>
    </row>
    <row r="835">
      <c r="A835" s="143" t="s">
        <v>314</v>
      </c>
      <c r="B835" s="143" t="s">
        <v>858</v>
      </c>
      <c r="C835" s="143" t="s">
        <v>4709</v>
      </c>
      <c r="D835" s="142" t="s">
        <v>4710</v>
      </c>
    </row>
    <row r="836">
      <c r="A836" s="143" t="s">
        <v>314</v>
      </c>
      <c r="B836" s="143" t="s">
        <v>858</v>
      </c>
      <c r="C836" s="143" t="s">
        <v>1667</v>
      </c>
      <c r="D836" s="142" t="s">
        <v>4711</v>
      </c>
    </row>
    <row r="837">
      <c r="A837" s="143" t="s">
        <v>314</v>
      </c>
      <c r="B837" s="143" t="s">
        <v>858</v>
      </c>
      <c r="C837" s="143" t="s">
        <v>4712</v>
      </c>
      <c r="D837" s="142" t="s">
        <v>4713</v>
      </c>
    </row>
    <row r="838">
      <c r="A838" s="143" t="s">
        <v>314</v>
      </c>
      <c r="B838" s="143" t="s">
        <v>858</v>
      </c>
      <c r="C838" s="143" t="s">
        <v>4714</v>
      </c>
      <c r="D838" s="143" t="s">
        <v>4715</v>
      </c>
    </row>
    <row r="839">
      <c r="A839" s="143" t="s">
        <v>314</v>
      </c>
      <c r="B839" s="143" t="s">
        <v>858</v>
      </c>
      <c r="C839" s="143" t="s">
        <v>4716</v>
      </c>
      <c r="D839" s="143" t="s">
        <v>4717</v>
      </c>
    </row>
    <row r="840">
      <c r="A840" s="143" t="s">
        <v>314</v>
      </c>
      <c r="B840" s="143" t="s">
        <v>858</v>
      </c>
      <c r="C840" s="143" t="s">
        <v>4718</v>
      </c>
      <c r="D840" s="143" t="s">
        <v>4719</v>
      </c>
    </row>
    <row r="841">
      <c r="A841" s="143" t="s">
        <v>314</v>
      </c>
      <c r="B841" s="143" t="s">
        <v>858</v>
      </c>
      <c r="C841" s="143" t="s">
        <v>4720</v>
      </c>
      <c r="D841" s="143" t="s">
        <v>4721</v>
      </c>
    </row>
    <row r="842">
      <c r="A842" s="143" t="s">
        <v>314</v>
      </c>
      <c r="B842" s="143" t="s">
        <v>1364</v>
      </c>
      <c r="C842" s="143" t="s">
        <v>4722</v>
      </c>
      <c r="D842" s="143" t="s">
        <v>4723</v>
      </c>
    </row>
    <row r="843">
      <c r="A843" s="143" t="s">
        <v>314</v>
      </c>
      <c r="B843" s="143" t="s">
        <v>1364</v>
      </c>
      <c r="C843" s="143" t="s">
        <v>4724</v>
      </c>
      <c r="D843" s="143" t="s">
        <v>4725</v>
      </c>
    </row>
    <row r="844">
      <c r="A844" s="143" t="s">
        <v>314</v>
      </c>
      <c r="B844" s="143" t="s">
        <v>1364</v>
      </c>
      <c r="C844" s="143" t="s">
        <v>4726</v>
      </c>
      <c r="D844" s="143" t="s">
        <v>4727</v>
      </c>
    </row>
    <row r="845">
      <c r="A845" s="143" t="s">
        <v>314</v>
      </c>
      <c r="B845" s="143" t="s">
        <v>1364</v>
      </c>
      <c r="C845" s="143" t="s">
        <v>4728</v>
      </c>
      <c r="D845" s="143" t="s">
        <v>4729</v>
      </c>
    </row>
    <row r="846">
      <c r="A846" s="143" t="s">
        <v>314</v>
      </c>
      <c r="B846" s="143" t="s">
        <v>1364</v>
      </c>
      <c r="C846" s="143" t="s">
        <v>4730</v>
      </c>
      <c r="D846" s="143" t="s">
        <v>4731</v>
      </c>
    </row>
    <row r="847">
      <c r="A847" s="143" t="s">
        <v>314</v>
      </c>
      <c r="B847" s="143" t="s">
        <v>1364</v>
      </c>
      <c r="C847" s="143" t="s">
        <v>4732</v>
      </c>
      <c r="D847" s="143" t="s">
        <v>4733</v>
      </c>
    </row>
    <row r="848">
      <c r="A848" s="143" t="s">
        <v>314</v>
      </c>
      <c r="B848" s="143" t="s">
        <v>1364</v>
      </c>
      <c r="C848" s="143" t="s">
        <v>4734</v>
      </c>
      <c r="D848" s="143" t="s">
        <v>4735</v>
      </c>
    </row>
    <row r="849">
      <c r="A849" s="143" t="s">
        <v>314</v>
      </c>
      <c r="B849" s="143" t="s">
        <v>1364</v>
      </c>
      <c r="C849" s="143" t="s">
        <v>4736</v>
      </c>
      <c r="D849" s="143" t="s">
        <v>4737</v>
      </c>
    </row>
    <row r="850">
      <c r="A850" s="143" t="s">
        <v>314</v>
      </c>
      <c r="B850" s="143" t="s">
        <v>1364</v>
      </c>
      <c r="C850" s="143" t="s">
        <v>4738</v>
      </c>
      <c r="D850" s="143" t="s">
        <v>4739</v>
      </c>
    </row>
    <row r="851">
      <c r="A851" s="143" t="s">
        <v>314</v>
      </c>
      <c r="B851" s="143" t="s">
        <v>1364</v>
      </c>
      <c r="C851" s="143" t="s">
        <v>4740</v>
      </c>
      <c r="D851" s="143" t="s">
        <v>4741</v>
      </c>
    </row>
    <row r="852">
      <c r="A852" s="143" t="s">
        <v>314</v>
      </c>
      <c r="B852" s="143" t="s">
        <v>1364</v>
      </c>
      <c r="C852" s="143" t="s">
        <v>3989</v>
      </c>
      <c r="D852" s="143" t="s">
        <v>4742</v>
      </c>
    </row>
    <row r="853">
      <c r="A853" s="143" t="s">
        <v>314</v>
      </c>
      <c r="B853" s="143" t="s">
        <v>1364</v>
      </c>
      <c r="C853" s="143" t="s">
        <v>4743</v>
      </c>
      <c r="D853" s="143" t="s">
        <v>4744</v>
      </c>
    </row>
    <row r="854">
      <c r="A854" s="143" t="s">
        <v>314</v>
      </c>
      <c r="B854" s="143" t="s">
        <v>1364</v>
      </c>
      <c r="C854" s="143" t="s">
        <v>4745</v>
      </c>
      <c r="D854" s="143" t="s">
        <v>4746</v>
      </c>
    </row>
    <row r="855">
      <c r="A855" s="143" t="s">
        <v>314</v>
      </c>
      <c r="B855" s="143" t="s">
        <v>1364</v>
      </c>
      <c r="C855" s="143" t="s">
        <v>3130</v>
      </c>
      <c r="D855" s="143" t="s">
        <v>3131</v>
      </c>
    </row>
    <row r="856">
      <c r="A856" s="143" t="s">
        <v>314</v>
      </c>
      <c r="B856" s="143" t="s">
        <v>1364</v>
      </c>
      <c r="C856" s="143" t="s">
        <v>1365</v>
      </c>
      <c r="D856" s="143" t="s">
        <v>1366</v>
      </c>
    </row>
    <row r="857">
      <c r="A857" s="143" t="s">
        <v>314</v>
      </c>
      <c r="B857" s="143" t="s">
        <v>1364</v>
      </c>
      <c r="C857" s="143" t="s">
        <v>4747</v>
      </c>
      <c r="D857" s="143" t="s">
        <v>4748</v>
      </c>
    </row>
    <row r="858">
      <c r="A858" s="143" t="s">
        <v>314</v>
      </c>
      <c r="B858" s="143" t="s">
        <v>1364</v>
      </c>
      <c r="C858" s="143" t="s">
        <v>4749</v>
      </c>
      <c r="D858" s="143" t="s">
        <v>4750</v>
      </c>
    </row>
    <row r="859">
      <c r="A859" s="143" t="s">
        <v>314</v>
      </c>
      <c r="B859" s="143" t="s">
        <v>558</v>
      </c>
      <c r="C859" s="143" t="s">
        <v>1604</v>
      </c>
      <c r="D859" s="143" t="s">
        <v>1605</v>
      </c>
    </row>
    <row r="860">
      <c r="A860" s="143" t="s">
        <v>314</v>
      </c>
      <c r="B860" s="143" t="s">
        <v>558</v>
      </c>
      <c r="C860" s="143" t="s">
        <v>4751</v>
      </c>
      <c r="D860" s="143" t="s">
        <v>4752</v>
      </c>
    </row>
    <row r="861">
      <c r="A861" s="143" t="s">
        <v>314</v>
      </c>
      <c r="B861" s="143" t="s">
        <v>558</v>
      </c>
      <c r="C861" s="143" t="s">
        <v>4753</v>
      </c>
      <c r="D861" s="143" t="s">
        <v>4754</v>
      </c>
    </row>
    <row r="862">
      <c r="A862" s="143" t="s">
        <v>314</v>
      </c>
      <c r="B862" s="143" t="s">
        <v>558</v>
      </c>
      <c r="C862" s="143" t="s">
        <v>4755</v>
      </c>
      <c r="D862" s="143" t="s">
        <v>4756</v>
      </c>
    </row>
    <row r="863">
      <c r="A863" s="143" t="s">
        <v>314</v>
      </c>
      <c r="B863" s="143" t="s">
        <v>558</v>
      </c>
      <c r="C863" s="143" t="s">
        <v>4757</v>
      </c>
      <c r="D863" s="143" t="s">
        <v>4758</v>
      </c>
    </row>
    <row r="864">
      <c r="A864" s="143" t="s">
        <v>314</v>
      </c>
      <c r="B864" s="143" t="s">
        <v>558</v>
      </c>
      <c r="C864" s="143" t="s">
        <v>4759</v>
      </c>
      <c r="D864" s="143" t="s">
        <v>4760</v>
      </c>
    </row>
    <row r="865">
      <c r="A865" s="143" t="s">
        <v>314</v>
      </c>
      <c r="B865" s="143" t="s">
        <v>558</v>
      </c>
      <c r="C865" s="143" t="s">
        <v>4761</v>
      </c>
      <c r="D865" s="143" t="s">
        <v>4762</v>
      </c>
    </row>
    <row r="866">
      <c r="A866" s="143" t="s">
        <v>314</v>
      </c>
      <c r="B866" s="143" t="s">
        <v>558</v>
      </c>
      <c r="C866" s="143" t="s">
        <v>1616</v>
      </c>
      <c r="D866" s="143" t="s">
        <v>1617</v>
      </c>
    </row>
    <row r="867">
      <c r="A867" s="143" t="s">
        <v>314</v>
      </c>
      <c r="B867" s="143" t="s">
        <v>558</v>
      </c>
      <c r="C867" s="143" t="s">
        <v>3137</v>
      </c>
      <c r="D867" s="143" t="s">
        <v>3138</v>
      </c>
    </row>
    <row r="868">
      <c r="A868" s="143" t="s">
        <v>314</v>
      </c>
      <c r="B868" s="143" t="s">
        <v>558</v>
      </c>
      <c r="C868" s="143" t="s">
        <v>4763</v>
      </c>
      <c r="D868" s="143" t="s">
        <v>4764</v>
      </c>
    </row>
    <row r="869">
      <c r="A869" s="143" t="s">
        <v>314</v>
      </c>
      <c r="B869" s="143" t="s">
        <v>558</v>
      </c>
      <c r="C869" s="143" t="s">
        <v>3883</v>
      </c>
      <c r="D869" s="143" t="s">
        <v>4765</v>
      </c>
    </row>
    <row r="870">
      <c r="A870" s="143" t="s">
        <v>314</v>
      </c>
      <c r="B870" s="143" t="s">
        <v>558</v>
      </c>
      <c r="C870" s="143" t="s">
        <v>4766</v>
      </c>
      <c r="D870" s="143" t="s">
        <v>4767</v>
      </c>
    </row>
    <row r="871">
      <c r="A871" s="143" t="s">
        <v>314</v>
      </c>
      <c r="B871" s="143" t="s">
        <v>558</v>
      </c>
      <c r="C871" s="143" t="s">
        <v>786</v>
      </c>
      <c r="D871" s="143" t="s">
        <v>787</v>
      </c>
    </row>
    <row r="872">
      <c r="A872" s="143" t="s">
        <v>314</v>
      </c>
      <c r="B872" s="143" t="s">
        <v>558</v>
      </c>
      <c r="C872" s="143" t="s">
        <v>2066</v>
      </c>
      <c r="D872" s="143" t="s">
        <v>2067</v>
      </c>
    </row>
    <row r="873">
      <c r="A873" s="143" t="s">
        <v>314</v>
      </c>
      <c r="B873" s="143" t="s">
        <v>558</v>
      </c>
      <c r="C873" s="143" t="s">
        <v>4768</v>
      </c>
      <c r="D873" s="143" t="s">
        <v>4769</v>
      </c>
    </row>
    <row r="874">
      <c r="A874" s="143" t="s">
        <v>314</v>
      </c>
      <c r="B874" s="143" t="s">
        <v>558</v>
      </c>
      <c r="C874" s="143" t="s">
        <v>4770</v>
      </c>
      <c r="D874" s="143" t="s">
        <v>4771</v>
      </c>
    </row>
    <row r="875">
      <c r="A875" s="143" t="s">
        <v>314</v>
      </c>
      <c r="B875" s="143" t="s">
        <v>558</v>
      </c>
      <c r="C875" s="143" t="s">
        <v>4772</v>
      </c>
      <c r="D875" s="143" t="s">
        <v>4773</v>
      </c>
    </row>
    <row r="876">
      <c r="A876" s="143" t="s">
        <v>314</v>
      </c>
      <c r="B876" s="143" t="s">
        <v>558</v>
      </c>
      <c r="C876" s="143" t="s">
        <v>3143</v>
      </c>
      <c r="D876" s="143" t="s">
        <v>3144</v>
      </c>
    </row>
    <row r="877">
      <c r="A877" s="143" t="s">
        <v>314</v>
      </c>
      <c r="B877" s="143" t="s">
        <v>558</v>
      </c>
      <c r="C877" s="143" t="s">
        <v>559</v>
      </c>
      <c r="D877" s="143" t="s">
        <v>560</v>
      </c>
    </row>
    <row r="878">
      <c r="A878" s="143" t="s">
        <v>314</v>
      </c>
      <c r="B878" s="143" t="s">
        <v>558</v>
      </c>
      <c r="C878" s="143" t="s">
        <v>4774</v>
      </c>
      <c r="D878" s="143" t="s">
        <v>4775</v>
      </c>
    </row>
    <row r="879">
      <c r="A879" s="143" t="s">
        <v>314</v>
      </c>
      <c r="B879" s="143" t="s">
        <v>558</v>
      </c>
      <c r="C879" s="143" t="s">
        <v>4776</v>
      </c>
      <c r="D879" s="143" t="s">
        <v>4777</v>
      </c>
    </row>
    <row r="880">
      <c r="A880" s="143" t="s">
        <v>314</v>
      </c>
      <c r="B880" s="143" t="s">
        <v>558</v>
      </c>
      <c r="C880" s="143" t="s">
        <v>4778</v>
      </c>
      <c r="D880" s="143" t="s">
        <v>4779</v>
      </c>
    </row>
    <row r="881">
      <c r="A881" s="143" t="s">
        <v>314</v>
      </c>
      <c r="B881" s="143" t="s">
        <v>558</v>
      </c>
      <c r="C881" s="143" t="s">
        <v>4780</v>
      </c>
      <c r="D881" s="143" t="s">
        <v>4781</v>
      </c>
    </row>
    <row r="882">
      <c r="A882" s="143" t="s">
        <v>314</v>
      </c>
      <c r="B882" s="143" t="s">
        <v>558</v>
      </c>
      <c r="C882" s="143" t="s">
        <v>4782</v>
      </c>
      <c r="D882" s="143" t="s">
        <v>4783</v>
      </c>
    </row>
    <row r="883">
      <c r="A883" s="143" t="s">
        <v>314</v>
      </c>
      <c r="B883" s="143" t="s">
        <v>558</v>
      </c>
      <c r="C883" s="143" t="s">
        <v>4213</v>
      </c>
      <c r="D883" s="143" t="s">
        <v>4784</v>
      </c>
    </row>
    <row r="884">
      <c r="A884" s="143" t="s">
        <v>314</v>
      </c>
      <c r="B884" s="143" t="s">
        <v>558</v>
      </c>
      <c r="C884" s="143" t="s">
        <v>4785</v>
      </c>
      <c r="D884" s="143" t="s">
        <v>4786</v>
      </c>
    </row>
    <row r="885">
      <c r="A885" s="143" t="s">
        <v>314</v>
      </c>
      <c r="B885" s="143" t="s">
        <v>558</v>
      </c>
      <c r="C885" s="143" t="s">
        <v>4787</v>
      </c>
      <c r="D885" s="143" t="s">
        <v>4788</v>
      </c>
    </row>
    <row r="886">
      <c r="A886" s="143" t="s">
        <v>314</v>
      </c>
      <c r="B886" s="143" t="s">
        <v>558</v>
      </c>
      <c r="C886" s="143" t="s">
        <v>4789</v>
      </c>
      <c r="D886" s="143" t="s">
        <v>4790</v>
      </c>
    </row>
    <row r="887">
      <c r="A887" s="143" t="s">
        <v>314</v>
      </c>
      <c r="B887" s="143" t="s">
        <v>558</v>
      </c>
      <c r="C887" s="143" t="s">
        <v>4791</v>
      </c>
      <c r="D887" s="143" t="s">
        <v>4792</v>
      </c>
    </row>
    <row r="888">
      <c r="A888" s="143" t="s">
        <v>314</v>
      </c>
      <c r="B888" s="143" t="s">
        <v>558</v>
      </c>
      <c r="C888" s="143" t="s">
        <v>4793</v>
      </c>
      <c r="D888" s="143" t="s">
        <v>4794</v>
      </c>
    </row>
    <row r="889">
      <c r="A889" s="143" t="s">
        <v>314</v>
      </c>
      <c r="B889" s="143" t="s">
        <v>558</v>
      </c>
      <c r="C889" s="143" t="s">
        <v>2553</v>
      </c>
      <c r="D889" s="143" t="s">
        <v>2554</v>
      </c>
    </row>
    <row r="890">
      <c r="A890" s="143" t="s">
        <v>314</v>
      </c>
      <c r="B890" s="143" t="s">
        <v>558</v>
      </c>
      <c r="C890" s="143" t="s">
        <v>4795</v>
      </c>
      <c r="D890" s="143" t="s">
        <v>4796</v>
      </c>
    </row>
    <row r="891">
      <c r="A891" s="143" t="s">
        <v>314</v>
      </c>
      <c r="B891" s="143" t="s">
        <v>558</v>
      </c>
      <c r="C891" s="143" t="s">
        <v>4797</v>
      </c>
      <c r="D891" s="143" t="s">
        <v>4798</v>
      </c>
    </row>
    <row r="892">
      <c r="A892" s="143" t="s">
        <v>314</v>
      </c>
      <c r="B892" s="143" t="s">
        <v>558</v>
      </c>
      <c r="C892" s="143" t="s">
        <v>4799</v>
      </c>
      <c r="D892" s="143" t="s">
        <v>4800</v>
      </c>
    </row>
    <row r="893">
      <c r="A893" s="143" t="s">
        <v>314</v>
      </c>
      <c r="B893" s="143" t="s">
        <v>558</v>
      </c>
      <c r="C893" s="143" t="s">
        <v>4801</v>
      </c>
      <c r="D893" s="143" t="s">
        <v>4802</v>
      </c>
    </row>
    <row r="894">
      <c r="A894" s="143" t="s">
        <v>314</v>
      </c>
      <c r="B894" s="143" t="s">
        <v>558</v>
      </c>
      <c r="C894" s="143" t="s">
        <v>4803</v>
      </c>
      <c r="D894" s="143" t="s">
        <v>4804</v>
      </c>
    </row>
    <row r="895">
      <c r="A895" s="143" t="s">
        <v>314</v>
      </c>
      <c r="B895" s="143" t="s">
        <v>558</v>
      </c>
      <c r="C895" s="143" t="s">
        <v>4805</v>
      </c>
      <c r="D895" s="143" t="s">
        <v>4806</v>
      </c>
    </row>
    <row r="896">
      <c r="A896" s="143" t="s">
        <v>314</v>
      </c>
      <c r="B896" s="143" t="s">
        <v>558</v>
      </c>
      <c r="C896" s="143" t="s">
        <v>4031</v>
      </c>
      <c r="D896" s="143" t="s">
        <v>4807</v>
      </c>
    </row>
    <row r="897">
      <c r="A897" s="143" t="s">
        <v>314</v>
      </c>
      <c r="B897" s="143" t="s">
        <v>558</v>
      </c>
      <c r="C897" s="143" t="s">
        <v>4033</v>
      </c>
      <c r="D897" s="143" t="s">
        <v>4808</v>
      </c>
    </row>
    <row r="898">
      <c r="A898" s="143" t="s">
        <v>314</v>
      </c>
      <c r="B898" s="143" t="s">
        <v>558</v>
      </c>
      <c r="C898" s="143" t="s">
        <v>3786</v>
      </c>
      <c r="D898" s="143" t="s">
        <v>4809</v>
      </c>
    </row>
    <row r="899">
      <c r="A899" s="143" t="s">
        <v>314</v>
      </c>
      <c r="B899" s="143" t="s">
        <v>558</v>
      </c>
      <c r="C899" s="143" t="s">
        <v>4810</v>
      </c>
      <c r="D899" s="143" t="s">
        <v>4811</v>
      </c>
    </row>
    <row r="900">
      <c r="A900" s="143" t="s">
        <v>314</v>
      </c>
      <c r="B900" s="143" t="s">
        <v>558</v>
      </c>
      <c r="C900" s="143" t="s">
        <v>959</v>
      </c>
      <c r="D900" s="143" t="s">
        <v>960</v>
      </c>
    </row>
    <row r="901">
      <c r="A901" s="143" t="s">
        <v>314</v>
      </c>
      <c r="B901" s="143" t="s">
        <v>558</v>
      </c>
      <c r="C901" s="143" t="s">
        <v>4812</v>
      </c>
      <c r="D901" s="143" t="s">
        <v>4813</v>
      </c>
    </row>
    <row r="902">
      <c r="A902" s="143" t="s">
        <v>314</v>
      </c>
      <c r="B902" s="143" t="s">
        <v>558</v>
      </c>
      <c r="C902" s="143" t="s">
        <v>4814</v>
      </c>
      <c r="D902" s="143" t="s">
        <v>4815</v>
      </c>
    </row>
    <row r="903">
      <c r="A903" s="143" t="s">
        <v>314</v>
      </c>
      <c r="B903" s="143" t="s">
        <v>4816</v>
      </c>
      <c r="C903" s="143" t="s">
        <v>1172</v>
      </c>
      <c r="D903" s="143" t="s">
        <v>4817</v>
      </c>
    </row>
    <row r="904">
      <c r="A904" s="143" t="s">
        <v>314</v>
      </c>
      <c r="B904" s="143" t="s">
        <v>4816</v>
      </c>
      <c r="C904" s="143" t="s">
        <v>4818</v>
      </c>
      <c r="D904" s="143" t="s">
        <v>4819</v>
      </c>
    </row>
    <row r="905">
      <c r="A905" s="143" t="s">
        <v>314</v>
      </c>
      <c r="B905" s="143" t="s">
        <v>4816</v>
      </c>
      <c r="C905" s="143" t="s">
        <v>4820</v>
      </c>
      <c r="D905" s="143" t="s">
        <v>4821</v>
      </c>
    </row>
    <row r="906">
      <c r="A906" s="143" t="s">
        <v>314</v>
      </c>
      <c r="B906" s="143" t="s">
        <v>4816</v>
      </c>
      <c r="C906" s="143" t="s">
        <v>4822</v>
      </c>
      <c r="D906" s="143" t="s">
        <v>4823</v>
      </c>
    </row>
    <row r="907">
      <c r="A907" s="143" t="s">
        <v>314</v>
      </c>
      <c r="B907" s="143" t="s">
        <v>4816</v>
      </c>
      <c r="C907" s="143" t="s">
        <v>4824</v>
      </c>
      <c r="D907" s="143" t="s">
        <v>4825</v>
      </c>
    </row>
    <row r="908">
      <c r="A908" s="143" t="s">
        <v>625</v>
      </c>
      <c r="B908" s="143" t="s">
        <v>626</v>
      </c>
      <c r="C908" s="143" t="s">
        <v>627</v>
      </c>
      <c r="D908" s="143" t="s">
        <v>628</v>
      </c>
    </row>
    <row r="909">
      <c r="A909" s="143" t="s">
        <v>625</v>
      </c>
      <c r="B909" s="143" t="s">
        <v>626</v>
      </c>
      <c r="C909" s="143" t="s">
        <v>4826</v>
      </c>
      <c r="D909" s="143" t="s">
        <v>4827</v>
      </c>
    </row>
    <row r="910">
      <c r="A910" s="143" t="s">
        <v>625</v>
      </c>
      <c r="B910" s="143" t="s">
        <v>626</v>
      </c>
      <c r="C910" s="143" t="s">
        <v>4828</v>
      </c>
      <c r="D910" s="143" t="s">
        <v>4829</v>
      </c>
    </row>
    <row r="911">
      <c r="A911" s="143" t="s">
        <v>625</v>
      </c>
      <c r="B911" s="143" t="s">
        <v>626</v>
      </c>
      <c r="C911" s="143" t="s">
        <v>4830</v>
      </c>
      <c r="D911" s="143" t="s">
        <v>4831</v>
      </c>
    </row>
    <row r="912">
      <c r="A912" s="143" t="s">
        <v>625</v>
      </c>
      <c r="B912" s="143" t="s">
        <v>626</v>
      </c>
      <c r="C912" s="143" t="s">
        <v>4498</v>
      </c>
      <c r="D912" s="143" t="s">
        <v>4832</v>
      </c>
    </row>
    <row r="913">
      <c r="A913" s="143" t="s">
        <v>625</v>
      </c>
      <c r="B913" s="143" t="s">
        <v>626</v>
      </c>
      <c r="C913" s="143" t="s">
        <v>4833</v>
      </c>
      <c r="D913" s="143" t="s">
        <v>4834</v>
      </c>
    </row>
    <row r="914">
      <c r="A914" s="143" t="s">
        <v>625</v>
      </c>
      <c r="B914" s="143" t="s">
        <v>626</v>
      </c>
      <c r="C914" s="143" t="s">
        <v>983</v>
      </c>
      <c r="D914" s="143" t="s">
        <v>984</v>
      </c>
    </row>
    <row r="915">
      <c r="A915" s="143" t="s">
        <v>625</v>
      </c>
      <c r="B915" s="143" t="s">
        <v>626</v>
      </c>
      <c r="C915" s="143" t="s">
        <v>4835</v>
      </c>
      <c r="D915" s="143" t="s">
        <v>4836</v>
      </c>
    </row>
    <row r="916">
      <c r="A916" s="143" t="s">
        <v>625</v>
      </c>
      <c r="B916" s="143" t="s">
        <v>626</v>
      </c>
      <c r="C916" s="143" t="s">
        <v>4837</v>
      </c>
      <c r="D916" s="143" t="s">
        <v>4838</v>
      </c>
    </row>
    <row r="917">
      <c r="A917" s="143" t="s">
        <v>625</v>
      </c>
      <c r="B917" s="143" t="s">
        <v>626</v>
      </c>
      <c r="C917" s="143" t="s">
        <v>4839</v>
      </c>
      <c r="D917" s="143" t="s">
        <v>4840</v>
      </c>
    </row>
    <row r="918">
      <c r="A918" s="143" t="s">
        <v>625</v>
      </c>
      <c r="B918" s="143" t="s">
        <v>626</v>
      </c>
      <c r="C918" s="143" t="s">
        <v>4841</v>
      </c>
      <c r="D918" s="143" t="s">
        <v>4842</v>
      </c>
    </row>
    <row r="919">
      <c r="A919" s="143" t="s">
        <v>625</v>
      </c>
      <c r="B919" s="143" t="s">
        <v>626</v>
      </c>
      <c r="C919" s="143" t="s">
        <v>4843</v>
      </c>
      <c r="D919" s="143" t="s">
        <v>4844</v>
      </c>
    </row>
    <row r="920">
      <c r="A920" s="143" t="s">
        <v>625</v>
      </c>
      <c r="B920" s="143" t="s">
        <v>626</v>
      </c>
      <c r="C920" s="143" t="s">
        <v>4845</v>
      </c>
      <c r="D920" s="143" t="s">
        <v>4846</v>
      </c>
    </row>
    <row r="921">
      <c r="A921" s="143" t="s">
        <v>625</v>
      </c>
      <c r="B921" s="143" t="s">
        <v>626</v>
      </c>
      <c r="C921" s="143" t="s">
        <v>3872</v>
      </c>
      <c r="D921" s="143" t="s">
        <v>4847</v>
      </c>
    </row>
    <row r="922">
      <c r="A922" s="143" t="s">
        <v>625</v>
      </c>
      <c r="B922" s="143" t="s">
        <v>626</v>
      </c>
      <c r="C922" s="143" t="s">
        <v>4848</v>
      </c>
      <c r="D922" s="143" t="s">
        <v>4849</v>
      </c>
    </row>
    <row r="923">
      <c r="A923" s="143" t="s">
        <v>625</v>
      </c>
      <c r="B923" s="143" t="s">
        <v>626</v>
      </c>
      <c r="C923" s="143" t="s">
        <v>4850</v>
      </c>
      <c r="D923" s="143" t="s">
        <v>4851</v>
      </c>
    </row>
    <row r="924">
      <c r="A924" s="143" t="s">
        <v>625</v>
      </c>
      <c r="B924" s="143" t="s">
        <v>626</v>
      </c>
      <c r="C924" s="143" t="s">
        <v>4852</v>
      </c>
      <c r="D924" s="143" t="s">
        <v>4853</v>
      </c>
    </row>
    <row r="925">
      <c r="A925" s="143" t="s">
        <v>625</v>
      </c>
      <c r="B925" s="143" t="s">
        <v>626</v>
      </c>
      <c r="C925" s="143" t="s">
        <v>4854</v>
      </c>
      <c r="D925" s="143" t="s">
        <v>4855</v>
      </c>
    </row>
    <row r="926">
      <c r="A926" s="143" t="s">
        <v>625</v>
      </c>
      <c r="B926" s="143" t="s">
        <v>626</v>
      </c>
      <c r="C926" s="143" t="s">
        <v>4856</v>
      </c>
      <c r="D926" s="143" t="s">
        <v>4857</v>
      </c>
    </row>
    <row r="927">
      <c r="A927" s="143" t="s">
        <v>625</v>
      </c>
      <c r="B927" s="143" t="s">
        <v>626</v>
      </c>
      <c r="C927" s="143" t="s">
        <v>4858</v>
      </c>
      <c r="D927" s="143" t="s">
        <v>4859</v>
      </c>
    </row>
    <row r="928">
      <c r="A928" s="143" t="s">
        <v>625</v>
      </c>
      <c r="B928" s="143" t="s">
        <v>626</v>
      </c>
      <c r="C928" s="143" t="s">
        <v>4743</v>
      </c>
      <c r="D928" s="143" t="s">
        <v>4860</v>
      </c>
    </row>
    <row r="929">
      <c r="A929" s="143" t="s">
        <v>625</v>
      </c>
      <c r="B929" s="143" t="s">
        <v>626</v>
      </c>
      <c r="C929" s="143" t="s">
        <v>4861</v>
      </c>
      <c r="D929" s="143" t="s">
        <v>4862</v>
      </c>
    </row>
    <row r="930">
      <c r="A930" s="143" t="s">
        <v>625</v>
      </c>
      <c r="B930" s="143" t="s">
        <v>626</v>
      </c>
      <c r="C930" s="143" t="s">
        <v>1671</v>
      </c>
      <c r="D930" s="143" t="s">
        <v>1672</v>
      </c>
    </row>
    <row r="931">
      <c r="A931" s="143" t="s">
        <v>625</v>
      </c>
      <c r="B931" s="143" t="s">
        <v>626</v>
      </c>
      <c r="C931" s="143" t="s">
        <v>3778</v>
      </c>
      <c r="D931" s="143" t="s">
        <v>4863</v>
      </c>
    </row>
    <row r="932">
      <c r="A932" s="143" t="s">
        <v>625</v>
      </c>
      <c r="B932" s="143" t="s">
        <v>626</v>
      </c>
      <c r="C932" s="143" t="s">
        <v>4803</v>
      </c>
      <c r="D932" s="143" t="s">
        <v>4864</v>
      </c>
    </row>
    <row r="933">
      <c r="A933" s="143" t="s">
        <v>625</v>
      </c>
      <c r="B933" s="143" t="s">
        <v>626</v>
      </c>
      <c r="C933" s="143" t="s">
        <v>4865</v>
      </c>
      <c r="D933" s="143" t="s">
        <v>4866</v>
      </c>
    </row>
    <row r="934">
      <c r="A934" s="143" t="s">
        <v>625</v>
      </c>
      <c r="B934" s="143" t="s">
        <v>626</v>
      </c>
      <c r="C934" s="143" t="s">
        <v>4867</v>
      </c>
      <c r="D934" s="143" t="s">
        <v>4868</v>
      </c>
    </row>
    <row r="935">
      <c r="A935" s="143" t="s">
        <v>625</v>
      </c>
      <c r="B935" s="143" t="s">
        <v>626</v>
      </c>
      <c r="C935" s="143" t="s">
        <v>4869</v>
      </c>
      <c r="D935" s="143" t="s">
        <v>4870</v>
      </c>
    </row>
    <row r="936">
      <c r="A936" s="143" t="s">
        <v>625</v>
      </c>
      <c r="B936" s="143" t="s">
        <v>626</v>
      </c>
      <c r="C936" s="143" t="s">
        <v>4871</v>
      </c>
      <c r="D936" s="143" t="s">
        <v>4872</v>
      </c>
    </row>
    <row r="937">
      <c r="A937" s="143" t="s">
        <v>625</v>
      </c>
      <c r="B937" s="143" t="s">
        <v>626</v>
      </c>
      <c r="C937" s="143" t="s">
        <v>4873</v>
      </c>
      <c r="D937" s="143" t="s">
        <v>4874</v>
      </c>
    </row>
    <row r="938">
      <c r="A938" s="143" t="s">
        <v>625</v>
      </c>
      <c r="B938" s="143" t="s">
        <v>626</v>
      </c>
      <c r="C938" s="143" t="s">
        <v>4875</v>
      </c>
      <c r="D938" s="143" t="s">
        <v>4876</v>
      </c>
    </row>
    <row r="939">
      <c r="A939" s="143" t="s">
        <v>625</v>
      </c>
      <c r="B939" s="143" t="s">
        <v>626</v>
      </c>
      <c r="C939" s="143" t="s">
        <v>4877</v>
      </c>
      <c r="D939" s="143" t="s">
        <v>4878</v>
      </c>
    </row>
    <row r="940">
      <c r="A940" s="143" t="s">
        <v>625</v>
      </c>
      <c r="B940" s="143" t="s">
        <v>632</v>
      </c>
      <c r="C940" s="143" t="s">
        <v>2678</v>
      </c>
      <c r="D940" s="143" t="s">
        <v>2679</v>
      </c>
    </row>
    <row r="941">
      <c r="A941" s="143" t="s">
        <v>625</v>
      </c>
      <c r="B941" s="143" t="s">
        <v>632</v>
      </c>
      <c r="C941" s="143" t="s">
        <v>2193</v>
      </c>
      <c r="D941" s="143" t="s">
        <v>2194</v>
      </c>
    </row>
    <row r="942">
      <c r="A942" s="143" t="s">
        <v>625</v>
      </c>
      <c r="B942" s="143" t="s">
        <v>632</v>
      </c>
      <c r="C942" s="143" t="s">
        <v>2687</v>
      </c>
      <c r="D942" s="143" t="s">
        <v>2688</v>
      </c>
    </row>
    <row r="943">
      <c r="A943" s="143" t="s">
        <v>625</v>
      </c>
      <c r="B943" s="143" t="s">
        <v>632</v>
      </c>
      <c r="C943" s="143" t="s">
        <v>4879</v>
      </c>
      <c r="D943" s="143" t="s">
        <v>4880</v>
      </c>
    </row>
    <row r="944">
      <c r="A944" s="143" t="s">
        <v>625</v>
      </c>
      <c r="B944" s="143" t="s">
        <v>632</v>
      </c>
      <c r="C944" s="143" t="s">
        <v>4881</v>
      </c>
      <c r="D944" s="143" t="s">
        <v>4882</v>
      </c>
    </row>
    <row r="945">
      <c r="A945" s="143" t="s">
        <v>625</v>
      </c>
      <c r="B945" s="143" t="s">
        <v>632</v>
      </c>
      <c r="C945" s="143" t="s">
        <v>4883</v>
      </c>
      <c r="D945" s="143" t="s">
        <v>4884</v>
      </c>
    </row>
    <row r="946">
      <c r="A946" s="143" t="s">
        <v>625</v>
      </c>
      <c r="B946" s="143" t="s">
        <v>632</v>
      </c>
      <c r="C946" s="143" t="s">
        <v>2198</v>
      </c>
      <c r="D946" s="143" t="s">
        <v>2199</v>
      </c>
    </row>
    <row r="947">
      <c r="A947" s="143" t="s">
        <v>625</v>
      </c>
      <c r="B947" s="143" t="s">
        <v>632</v>
      </c>
      <c r="C947" s="143" t="s">
        <v>4885</v>
      </c>
      <c r="D947" s="143" t="s">
        <v>4886</v>
      </c>
    </row>
    <row r="948">
      <c r="A948" s="143" t="s">
        <v>625</v>
      </c>
      <c r="B948" s="143" t="s">
        <v>632</v>
      </c>
      <c r="C948" s="143" t="s">
        <v>847</v>
      </c>
      <c r="D948" s="143" t="s">
        <v>848</v>
      </c>
    </row>
    <row r="949">
      <c r="A949" s="143" t="s">
        <v>625</v>
      </c>
      <c r="B949" s="143" t="s">
        <v>632</v>
      </c>
      <c r="C949" s="143" t="s">
        <v>986</v>
      </c>
      <c r="D949" s="143" t="s">
        <v>987</v>
      </c>
    </row>
    <row r="950">
      <c r="A950" s="143" t="s">
        <v>625</v>
      </c>
      <c r="B950" s="143" t="s">
        <v>632</v>
      </c>
      <c r="C950" s="143" t="s">
        <v>4887</v>
      </c>
      <c r="D950" s="143" t="s">
        <v>4888</v>
      </c>
    </row>
    <row r="951">
      <c r="A951" s="143" t="s">
        <v>625</v>
      </c>
      <c r="B951" s="143" t="s">
        <v>632</v>
      </c>
      <c r="C951" s="143" t="s">
        <v>2697</v>
      </c>
      <c r="D951" s="143" t="s">
        <v>2698</v>
      </c>
    </row>
    <row r="952">
      <c r="A952" s="143" t="s">
        <v>625</v>
      </c>
      <c r="B952" s="143" t="s">
        <v>632</v>
      </c>
      <c r="C952" s="143" t="s">
        <v>4889</v>
      </c>
      <c r="D952" s="143" t="s">
        <v>4890</v>
      </c>
    </row>
    <row r="953">
      <c r="A953" s="143" t="s">
        <v>625</v>
      </c>
      <c r="B953" s="143" t="s">
        <v>632</v>
      </c>
      <c r="C953" s="143" t="s">
        <v>4891</v>
      </c>
      <c r="D953" s="143" t="s">
        <v>4892</v>
      </c>
    </row>
    <row r="954">
      <c r="A954" s="143" t="s">
        <v>625</v>
      </c>
      <c r="B954" s="143" t="s">
        <v>632</v>
      </c>
      <c r="C954" s="143" t="s">
        <v>2202</v>
      </c>
      <c r="D954" s="143" t="s">
        <v>2203</v>
      </c>
    </row>
    <row r="955">
      <c r="A955" s="143" t="s">
        <v>625</v>
      </c>
      <c r="B955" s="143" t="s">
        <v>632</v>
      </c>
      <c r="C955" s="143" t="s">
        <v>3850</v>
      </c>
      <c r="D955" s="143" t="s">
        <v>4893</v>
      </c>
    </row>
    <row r="956">
      <c r="A956" s="143" t="s">
        <v>625</v>
      </c>
      <c r="B956" s="143" t="s">
        <v>632</v>
      </c>
      <c r="C956" s="143" t="s">
        <v>1667</v>
      </c>
      <c r="D956" s="143" t="s">
        <v>2703</v>
      </c>
    </row>
    <row r="957">
      <c r="A957" s="143" t="s">
        <v>625</v>
      </c>
      <c r="B957" s="143" t="s">
        <v>632</v>
      </c>
      <c r="C957" s="143" t="s">
        <v>3706</v>
      </c>
      <c r="D957" s="143" t="s">
        <v>4894</v>
      </c>
    </row>
    <row r="958">
      <c r="A958" s="143" t="s">
        <v>625</v>
      </c>
      <c r="B958" s="143" t="s">
        <v>632</v>
      </c>
      <c r="C958" s="143" t="s">
        <v>633</v>
      </c>
      <c r="D958" s="143" t="s">
        <v>634</v>
      </c>
    </row>
    <row r="959">
      <c r="A959" s="143" t="s">
        <v>625</v>
      </c>
      <c r="B959" s="143" t="s">
        <v>632</v>
      </c>
      <c r="C959" s="143" t="s">
        <v>4895</v>
      </c>
      <c r="D959" s="143" t="s">
        <v>4896</v>
      </c>
    </row>
    <row r="960">
      <c r="A960" s="143" t="s">
        <v>625</v>
      </c>
      <c r="B960" s="143" t="s">
        <v>632</v>
      </c>
      <c r="C960" s="143" t="s">
        <v>4897</v>
      </c>
      <c r="D960" s="143" t="s">
        <v>4898</v>
      </c>
    </row>
    <row r="961">
      <c r="A961" s="143" t="s">
        <v>625</v>
      </c>
      <c r="B961" s="143" t="s">
        <v>632</v>
      </c>
      <c r="C961" s="143" t="s">
        <v>2206</v>
      </c>
      <c r="D961" s="143" t="s">
        <v>2207</v>
      </c>
    </row>
    <row r="962">
      <c r="A962" s="143" t="s">
        <v>625</v>
      </c>
      <c r="B962" s="143" t="s">
        <v>632</v>
      </c>
      <c r="C962" s="143" t="s">
        <v>4899</v>
      </c>
      <c r="D962" s="143" t="s">
        <v>4900</v>
      </c>
    </row>
    <row r="963">
      <c r="A963" s="143" t="s">
        <v>625</v>
      </c>
      <c r="B963" s="143" t="s">
        <v>632</v>
      </c>
      <c r="C963" s="143" t="s">
        <v>4901</v>
      </c>
      <c r="D963" s="143" t="s">
        <v>4902</v>
      </c>
    </row>
    <row r="964">
      <c r="A964" s="143" t="s">
        <v>625</v>
      </c>
      <c r="B964" s="143" t="s">
        <v>632</v>
      </c>
      <c r="C964" s="143" t="s">
        <v>637</v>
      </c>
      <c r="D964" s="143" t="s">
        <v>638</v>
      </c>
    </row>
    <row r="965">
      <c r="A965" s="143" t="s">
        <v>625</v>
      </c>
      <c r="B965" s="143" t="s">
        <v>826</v>
      </c>
      <c r="C965" s="143" t="s">
        <v>4903</v>
      </c>
      <c r="D965" s="143" t="s">
        <v>4904</v>
      </c>
    </row>
    <row r="966">
      <c r="A966" s="143" t="s">
        <v>625</v>
      </c>
      <c r="B966" s="143" t="s">
        <v>826</v>
      </c>
      <c r="C966" s="143" t="s">
        <v>4905</v>
      </c>
      <c r="D966" s="143" t="s">
        <v>4906</v>
      </c>
    </row>
    <row r="967">
      <c r="A967" s="143" t="s">
        <v>625</v>
      </c>
      <c r="B967" s="143" t="s">
        <v>826</v>
      </c>
      <c r="C967" s="143" t="s">
        <v>2210</v>
      </c>
      <c r="D967" s="143" t="s">
        <v>2211</v>
      </c>
    </row>
    <row r="968">
      <c r="A968" s="143" t="s">
        <v>625</v>
      </c>
      <c r="B968" s="143" t="s">
        <v>826</v>
      </c>
      <c r="C968" s="143" t="s">
        <v>827</v>
      </c>
      <c r="D968" s="143" t="s">
        <v>828</v>
      </c>
    </row>
    <row r="969">
      <c r="A969" s="143" t="s">
        <v>625</v>
      </c>
      <c r="B969" s="143" t="s">
        <v>826</v>
      </c>
      <c r="C969" s="143" t="s">
        <v>491</v>
      </c>
      <c r="D969" s="143" t="s">
        <v>4907</v>
      </c>
    </row>
    <row r="970">
      <c r="A970" s="143" t="s">
        <v>625</v>
      </c>
      <c r="B970" s="143" t="s">
        <v>826</v>
      </c>
      <c r="C970" s="143" t="s">
        <v>826</v>
      </c>
      <c r="D970" s="143" t="s">
        <v>4908</v>
      </c>
    </row>
    <row r="971">
      <c r="A971" s="143" t="s">
        <v>193</v>
      </c>
      <c r="B971" s="143" t="s">
        <v>563</v>
      </c>
      <c r="C971" s="143" t="s">
        <v>2151</v>
      </c>
      <c r="D971" s="143" t="s">
        <v>2152</v>
      </c>
    </row>
    <row r="972">
      <c r="A972" s="143" t="s">
        <v>193</v>
      </c>
      <c r="B972" s="143" t="s">
        <v>563</v>
      </c>
      <c r="C972" s="143" t="s">
        <v>3873</v>
      </c>
      <c r="D972" s="143" t="s">
        <v>4909</v>
      </c>
    </row>
    <row r="973">
      <c r="A973" s="143" t="s">
        <v>193</v>
      </c>
      <c r="B973" s="143" t="s">
        <v>563</v>
      </c>
      <c r="C973" s="143" t="s">
        <v>230</v>
      </c>
      <c r="D973" s="143" t="s">
        <v>1713</v>
      </c>
    </row>
    <row r="974">
      <c r="A974" s="143" t="s">
        <v>193</v>
      </c>
      <c r="B974" s="143" t="s">
        <v>563</v>
      </c>
      <c r="C974" s="143" t="s">
        <v>4910</v>
      </c>
      <c r="D974" s="143" t="s">
        <v>4911</v>
      </c>
    </row>
    <row r="975">
      <c r="A975" s="143" t="s">
        <v>193</v>
      </c>
      <c r="B975" s="143" t="s">
        <v>563</v>
      </c>
      <c r="C975" s="143" t="s">
        <v>4912</v>
      </c>
      <c r="D975" s="143" t="s">
        <v>4913</v>
      </c>
    </row>
    <row r="976">
      <c r="A976" s="143" t="s">
        <v>193</v>
      </c>
      <c r="B976" s="143" t="s">
        <v>563</v>
      </c>
      <c r="C976" s="143" t="s">
        <v>4914</v>
      </c>
      <c r="D976" s="143" t="s">
        <v>4915</v>
      </c>
    </row>
    <row r="977">
      <c r="A977" s="143" t="s">
        <v>193</v>
      </c>
      <c r="B977" s="143" t="s">
        <v>563</v>
      </c>
      <c r="C977" s="143" t="s">
        <v>4627</v>
      </c>
      <c r="D977" s="143" t="s">
        <v>4916</v>
      </c>
    </row>
    <row r="978">
      <c r="A978" s="143" t="s">
        <v>193</v>
      </c>
      <c r="B978" s="143" t="s">
        <v>563</v>
      </c>
      <c r="C978" s="143" t="s">
        <v>4917</v>
      </c>
      <c r="D978" s="143" t="s">
        <v>4918</v>
      </c>
    </row>
    <row r="979">
      <c r="A979" s="143" t="s">
        <v>193</v>
      </c>
      <c r="B979" s="143" t="s">
        <v>563</v>
      </c>
      <c r="C979" s="143" t="s">
        <v>1172</v>
      </c>
      <c r="D979" s="143" t="s">
        <v>4919</v>
      </c>
    </row>
    <row r="980">
      <c r="A980" s="143" t="s">
        <v>193</v>
      </c>
      <c r="B980" s="143" t="s">
        <v>563</v>
      </c>
      <c r="C980" s="143" t="s">
        <v>962</v>
      </c>
      <c r="D980" s="143" t="s">
        <v>963</v>
      </c>
    </row>
    <row r="981">
      <c r="A981" s="143" t="s">
        <v>193</v>
      </c>
      <c r="B981" s="143" t="s">
        <v>563</v>
      </c>
      <c r="C981" s="143" t="s">
        <v>564</v>
      </c>
      <c r="D981" s="143" t="s">
        <v>565</v>
      </c>
    </row>
    <row r="982">
      <c r="A982" s="143" t="s">
        <v>193</v>
      </c>
      <c r="B982" s="143" t="s">
        <v>563</v>
      </c>
      <c r="C982" s="143" t="s">
        <v>2503</v>
      </c>
      <c r="D982" s="143" t="s">
        <v>4920</v>
      </c>
    </row>
    <row r="983">
      <c r="A983" s="143" t="s">
        <v>193</v>
      </c>
      <c r="B983" s="143" t="s">
        <v>563</v>
      </c>
      <c r="C983" s="143" t="s">
        <v>4921</v>
      </c>
      <c r="D983" s="143" t="s">
        <v>4922</v>
      </c>
    </row>
    <row r="984">
      <c r="A984" s="143" t="s">
        <v>193</v>
      </c>
      <c r="B984" s="143" t="s">
        <v>563</v>
      </c>
      <c r="C984" s="143" t="s">
        <v>1502</v>
      </c>
      <c r="D984" s="143" t="s">
        <v>4923</v>
      </c>
    </row>
    <row r="985">
      <c r="A985" s="143" t="s">
        <v>193</v>
      </c>
      <c r="B985" s="143" t="s">
        <v>563</v>
      </c>
      <c r="C985" s="143" t="s">
        <v>4924</v>
      </c>
      <c r="D985" s="143" t="s">
        <v>4925</v>
      </c>
    </row>
    <row r="986">
      <c r="A986" s="143" t="s">
        <v>193</v>
      </c>
      <c r="B986" s="143" t="s">
        <v>563</v>
      </c>
      <c r="C986" s="143" t="s">
        <v>3205</v>
      </c>
      <c r="D986" s="143" t="s">
        <v>4926</v>
      </c>
    </row>
    <row r="987">
      <c r="A987" s="143" t="s">
        <v>193</v>
      </c>
      <c r="B987" s="143" t="s">
        <v>563</v>
      </c>
      <c r="C987" s="143" t="s">
        <v>4927</v>
      </c>
      <c r="D987" s="143" t="s">
        <v>4928</v>
      </c>
    </row>
    <row r="988">
      <c r="A988" s="143" t="s">
        <v>193</v>
      </c>
      <c r="B988" s="143" t="s">
        <v>563</v>
      </c>
      <c r="C988" s="143" t="s">
        <v>4929</v>
      </c>
      <c r="D988" s="143" t="s">
        <v>4930</v>
      </c>
    </row>
    <row r="989">
      <c r="A989" s="143" t="s">
        <v>193</v>
      </c>
      <c r="B989" s="143" t="s">
        <v>563</v>
      </c>
      <c r="C989" s="143" t="s">
        <v>4931</v>
      </c>
      <c r="D989" s="143" t="s">
        <v>4932</v>
      </c>
    </row>
    <row r="990">
      <c r="A990" s="143" t="s">
        <v>193</v>
      </c>
      <c r="B990" s="143" t="s">
        <v>563</v>
      </c>
      <c r="C990" s="143" t="s">
        <v>4933</v>
      </c>
      <c r="D990" s="143" t="s">
        <v>4934</v>
      </c>
    </row>
    <row r="991">
      <c r="A991" s="143" t="s">
        <v>193</v>
      </c>
      <c r="B991" s="143" t="s">
        <v>563</v>
      </c>
      <c r="C991" s="143" t="s">
        <v>4935</v>
      </c>
      <c r="D991" s="143" t="s">
        <v>4936</v>
      </c>
    </row>
    <row r="992">
      <c r="A992" s="143" t="s">
        <v>193</v>
      </c>
      <c r="B992" s="143" t="s">
        <v>563</v>
      </c>
      <c r="C992" s="143" t="s">
        <v>4937</v>
      </c>
      <c r="D992" s="143" t="s">
        <v>4938</v>
      </c>
    </row>
    <row r="993">
      <c r="A993" s="143" t="s">
        <v>193</v>
      </c>
      <c r="B993" s="143" t="s">
        <v>563</v>
      </c>
      <c r="C993" s="143" t="s">
        <v>4939</v>
      </c>
      <c r="D993" s="143" t="s">
        <v>4940</v>
      </c>
    </row>
    <row r="994">
      <c r="A994" s="143" t="s">
        <v>193</v>
      </c>
      <c r="B994" s="143" t="s">
        <v>563</v>
      </c>
      <c r="C994" s="143" t="s">
        <v>4941</v>
      </c>
      <c r="D994" s="143" t="s">
        <v>4942</v>
      </c>
    </row>
    <row r="995">
      <c r="A995" s="143" t="s">
        <v>193</v>
      </c>
      <c r="B995" s="143" t="s">
        <v>563</v>
      </c>
      <c r="C995" s="143" t="s">
        <v>4943</v>
      </c>
      <c r="D995" s="143" t="s">
        <v>4944</v>
      </c>
    </row>
    <row r="996">
      <c r="A996" s="143" t="s">
        <v>193</v>
      </c>
      <c r="B996" s="143" t="s">
        <v>563</v>
      </c>
      <c r="C996" s="143" t="s">
        <v>4945</v>
      </c>
      <c r="D996" s="143" t="s">
        <v>4946</v>
      </c>
    </row>
    <row r="997">
      <c r="A997" s="143" t="s">
        <v>193</v>
      </c>
      <c r="B997" s="143" t="s">
        <v>563</v>
      </c>
      <c r="C997" s="143" t="s">
        <v>4947</v>
      </c>
      <c r="D997" s="143" t="s">
        <v>4948</v>
      </c>
    </row>
    <row r="998">
      <c r="A998" s="143" t="s">
        <v>193</v>
      </c>
      <c r="B998" s="143" t="s">
        <v>563</v>
      </c>
      <c r="C998" s="143" t="s">
        <v>2164</v>
      </c>
      <c r="D998" s="143" t="s">
        <v>2165</v>
      </c>
    </row>
    <row r="999">
      <c r="A999" s="143" t="s">
        <v>193</v>
      </c>
      <c r="B999" s="143" t="s">
        <v>563</v>
      </c>
      <c r="C999" s="143" t="s">
        <v>4949</v>
      </c>
      <c r="D999" s="143" t="s">
        <v>4950</v>
      </c>
    </row>
    <row r="1000">
      <c r="A1000" s="143" t="s">
        <v>193</v>
      </c>
      <c r="B1000" s="143" t="s">
        <v>563</v>
      </c>
      <c r="C1000" s="143" t="s">
        <v>4951</v>
      </c>
      <c r="D1000" s="143" t="s">
        <v>4952</v>
      </c>
    </row>
    <row r="1001">
      <c r="A1001" s="143" t="s">
        <v>193</v>
      </c>
      <c r="B1001" s="143" t="s">
        <v>563</v>
      </c>
      <c r="C1001" s="143" t="s">
        <v>1255</v>
      </c>
      <c r="D1001" s="143" t="s">
        <v>4953</v>
      </c>
    </row>
    <row r="1002">
      <c r="A1002" s="143" t="s">
        <v>193</v>
      </c>
      <c r="B1002" s="143" t="s">
        <v>563</v>
      </c>
      <c r="C1002" s="143" t="s">
        <v>4954</v>
      </c>
      <c r="D1002" s="143" t="s">
        <v>4955</v>
      </c>
    </row>
    <row r="1003">
      <c r="A1003" s="143" t="s">
        <v>193</v>
      </c>
      <c r="B1003" s="143" t="s">
        <v>563</v>
      </c>
      <c r="C1003" s="143" t="s">
        <v>1108</v>
      </c>
      <c r="D1003" s="143" t="s">
        <v>1109</v>
      </c>
    </row>
    <row r="1004">
      <c r="A1004" s="143" t="s">
        <v>193</v>
      </c>
      <c r="B1004" s="143" t="s">
        <v>563</v>
      </c>
      <c r="C1004" s="143" t="s">
        <v>3989</v>
      </c>
      <c r="D1004" s="143" t="s">
        <v>4956</v>
      </c>
    </row>
    <row r="1005">
      <c r="A1005" s="143" t="s">
        <v>193</v>
      </c>
      <c r="B1005" s="143" t="s">
        <v>563</v>
      </c>
      <c r="C1005" s="143" t="s">
        <v>2101</v>
      </c>
      <c r="D1005" s="143" t="s">
        <v>2102</v>
      </c>
    </row>
    <row r="1006">
      <c r="A1006" s="143" t="s">
        <v>193</v>
      </c>
      <c r="B1006" s="143" t="s">
        <v>563</v>
      </c>
      <c r="C1006" s="143" t="s">
        <v>4957</v>
      </c>
      <c r="D1006" s="143" t="s">
        <v>4958</v>
      </c>
    </row>
    <row r="1007">
      <c r="A1007" s="143" t="s">
        <v>193</v>
      </c>
      <c r="B1007" s="143" t="s">
        <v>563</v>
      </c>
      <c r="C1007" s="143" t="s">
        <v>3178</v>
      </c>
      <c r="D1007" s="143" t="s">
        <v>4959</v>
      </c>
    </row>
    <row r="1008">
      <c r="A1008" s="143" t="s">
        <v>193</v>
      </c>
      <c r="B1008" s="143" t="s">
        <v>563</v>
      </c>
      <c r="C1008" s="143" t="s">
        <v>4031</v>
      </c>
      <c r="D1008" s="143" t="s">
        <v>4960</v>
      </c>
    </row>
    <row r="1009">
      <c r="A1009" s="143" t="s">
        <v>193</v>
      </c>
      <c r="B1009" s="143" t="s">
        <v>563</v>
      </c>
      <c r="C1009" s="143" t="s">
        <v>4961</v>
      </c>
      <c r="D1009" s="143" t="s">
        <v>4962</v>
      </c>
    </row>
    <row r="1010">
      <c r="A1010" s="143" t="s">
        <v>193</v>
      </c>
      <c r="B1010" s="143" t="s">
        <v>563</v>
      </c>
      <c r="C1010" s="143" t="s">
        <v>4963</v>
      </c>
      <c r="D1010" s="143" t="s">
        <v>4964</v>
      </c>
    </row>
    <row r="1011">
      <c r="A1011" s="143" t="s">
        <v>193</v>
      </c>
      <c r="B1011" s="143" t="s">
        <v>563</v>
      </c>
      <c r="C1011" s="143" t="s">
        <v>4965</v>
      </c>
      <c r="D1011" s="143" t="s">
        <v>4966</v>
      </c>
    </row>
    <row r="1012">
      <c r="A1012" s="143" t="s">
        <v>193</v>
      </c>
      <c r="B1012" s="143" t="s">
        <v>563</v>
      </c>
      <c r="C1012" s="143" t="s">
        <v>2875</v>
      </c>
      <c r="D1012" s="143" t="s">
        <v>2876</v>
      </c>
    </row>
    <row r="1013">
      <c r="A1013" s="143" t="s">
        <v>193</v>
      </c>
      <c r="B1013" s="143" t="s">
        <v>563</v>
      </c>
      <c r="C1013" s="143" t="s">
        <v>2172</v>
      </c>
      <c r="D1013" s="143" t="s">
        <v>2173</v>
      </c>
    </row>
    <row r="1014">
      <c r="A1014" s="143" t="s">
        <v>193</v>
      </c>
      <c r="B1014" s="143" t="s">
        <v>563</v>
      </c>
      <c r="C1014" s="143" t="s">
        <v>4967</v>
      </c>
      <c r="D1014" s="143" t="s">
        <v>4968</v>
      </c>
    </row>
    <row r="1015">
      <c r="A1015" s="143" t="s">
        <v>193</v>
      </c>
      <c r="B1015" s="143" t="s">
        <v>563</v>
      </c>
      <c r="C1015" s="143" t="s">
        <v>4969</v>
      </c>
      <c r="D1015" s="143" t="s">
        <v>4970</v>
      </c>
    </row>
    <row r="1016">
      <c r="A1016" s="143" t="s">
        <v>193</v>
      </c>
      <c r="B1016" s="143" t="s">
        <v>563</v>
      </c>
      <c r="C1016" s="143" t="s">
        <v>4971</v>
      </c>
      <c r="D1016" s="143" t="s">
        <v>4972</v>
      </c>
    </row>
    <row r="1017">
      <c r="A1017" s="143" t="s">
        <v>193</v>
      </c>
      <c r="B1017" s="143" t="s">
        <v>563</v>
      </c>
      <c r="C1017" s="143" t="s">
        <v>4899</v>
      </c>
      <c r="D1017" s="143" t="s">
        <v>4973</v>
      </c>
    </row>
    <row r="1018">
      <c r="A1018" s="143" t="s">
        <v>193</v>
      </c>
      <c r="B1018" s="143" t="s">
        <v>563</v>
      </c>
      <c r="C1018" s="143" t="s">
        <v>4974</v>
      </c>
      <c r="D1018" s="143" t="s">
        <v>4975</v>
      </c>
    </row>
    <row r="1019">
      <c r="A1019" s="143" t="s">
        <v>193</v>
      </c>
      <c r="B1019" s="143" t="s">
        <v>194</v>
      </c>
      <c r="C1019" s="143" t="s">
        <v>4492</v>
      </c>
      <c r="D1019" s="143" t="s">
        <v>4976</v>
      </c>
    </row>
    <row r="1020">
      <c r="A1020" s="143" t="s">
        <v>193</v>
      </c>
      <c r="B1020" s="143" t="s">
        <v>194</v>
      </c>
      <c r="C1020" s="143" t="s">
        <v>965</v>
      </c>
      <c r="D1020" s="143" t="s">
        <v>966</v>
      </c>
    </row>
    <row r="1021">
      <c r="A1021" s="143" t="s">
        <v>193</v>
      </c>
      <c r="B1021" s="143" t="s">
        <v>194</v>
      </c>
      <c r="C1021" s="143" t="s">
        <v>1530</v>
      </c>
      <c r="D1021" s="143" t="s">
        <v>1531</v>
      </c>
    </row>
    <row r="1022">
      <c r="A1022" s="143" t="s">
        <v>193</v>
      </c>
      <c r="B1022" s="143" t="s">
        <v>194</v>
      </c>
      <c r="C1022" s="143" t="s">
        <v>2181</v>
      </c>
      <c r="D1022" s="143" t="s">
        <v>2182</v>
      </c>
    </row>
    <row r="1023">
      <c r="A1023" s="143" t="s">
        <v>193</v>
      </c>
      <c r="B1023" s="143" t="s">
        <v>194</v>
      </c>
      <c r="C1023" s="143" t="s">
        <v>4977</v>
      </c>
      <c r="D1023" s="143" t="s">
        <v>4978</v>
      </c>
    </row>
    <row r="1024">
      <c r="A1024" s="143" t="s">
        <v>193</v>
      </c>
      <c r="B1024" s="143" t="s">
        <v>194</v>
      </c>
      <c r="C1024" s="143" t="s">
        <v>2176</v>
      </c>
      <c r="D1024" s="143" t="s">
        <v>2177</v>
      </c>
    </row>
    <row r="1025">
      <c r="A1025" s="143" t="s">
        <v>193</v>
      </c>
      <c r="B1025" s="143" t="s">
        <v>194</v>
      </c>
      <c r="C1025" s="143" t="s">
        <v>814</v>
      </c>
      <c r="D1025" s="143" t="s">
        <v>815</v>
      </c>
    </row>
    <row r="1026">
      <c r="A1026" s="143" t="s">
        <v>193</v>
      </c>
      <c r="B1026" s="143" t="s">
        <v>194</v>
      </c>
      <c r="C1026" s="143" t="s">
        <v>4979</v>
      </c>
      <c r="D1026" s="143" t="s">
        <v>4980</v>
      </c>
    </row>
    <row r="1027">
      <c r="A1027" s="143" t="s">
        <v>193</v>
      </c>
      <c r="B1027" s="143" t="s">
        <v>194</v>
      </c>
      <c r="C1027" s="143" t="s">
        <v>4981</v>
      </c>
      <c r="D1027" s="143" t="s">
        <v>4982</v>
      </c>
    </row>
    <row r="1028">
      <c r="A1028" s="143" t="s">
        <v>193</v>
      </c>
      <c r="B1028" s="143" t="s">
        <v>194</v>
      </c>
      <c r="C1028" s="143" t="s">
        <v>2185</v>
      </c>
      <c r="D1028" s="143" t="s">
        <v>2186</v>
      </c>
    </row>
    <row r="1029">
      <c r="A1029" s="143" t="s">
        <v>193</v>
      </c>
      <c r="B1029" s="143" t="s">
        <v>194</v>
      </c>
      <c r="C1029" s="143" t="s">
        <v>4983</v>
      </c>
      <c r="D1029" s="143" t="s">
        <v>4984</v>
      </c>
    </row>
    <row r="1030">
      <c r="A1030" s="143" t="s">
        <v>193</v>
      </c>
      <c r="B1030" s="143" t="s">
        <v>194</v>
      </c>
      <c r="C1030" s="143" t="s">
        <v>4985</v>
      </c>
      <c r="D1030" s="143" t="s">
        <v>4986</v>
      </c>
    </row>
    <row r="1031">
      <c r="A1031" s="143" t="s">
        <v>193</v>
      </c>
      <c r="B1031" s="143" t="s">
        <v>194</v>
      </c>
      <c r="C1031" s="143" t="s">
        <v>4987</v>
      </c>
      <c r="D1031" s="143" t="s">
        <v>4988</v>
      </c>
    </row>
    <row r="1032">
      <c r="A1032" s="143" t="s">
        <v>193</v>
      </c>
      <c r="B1032" s="143" t="s">
        <v>194</v>
      </c>
      <c r="C1032" s="143" t="s">
        <v>4989</v>
      </c>
      <c r="D1032" s="143" t="s">
        <v>4990</v>
      </c>
    </row>
    <row r="1033">
      <c r="A1033" s="143" t="s">
        <v>193</v>
      </c>
      <c r="B1033" s="143" t="s">
        <v>194</v>
      </c>
      <c r="C1033" s="143" t="s">
        <v>2503</v>
      </c>
      <c r="D1033" s="143" t="s">
        <v>4991</v>
      </c>
    </row>
    <row r="1034">
      <c r="A1034" s="143" t="s">
        <v>193</v>
      </c>
      <c r="B1034" s="143" t="s">
        <v>194</v>
      </c>
      <c r="C1034" s="143" t="s">
        <v>4992</v>
      </c>
      <c r="D1034" s="143" t="s">
        <v>4993</v>
      </c>
    </row>
    <row r="1035">
      <c r="A1035" s="143" t="s">
        <v>193</v>
      </c>
      <c r="B1035" s="143" t="s">
        <v>194</v>
      </c>
      <c r="C1035" s="143" t="s">
        <v>4994</v>
      </c>
      <c r="D1035" s="143" t="s">
        <v>4995</v>
      </c>
    </row>
    <row r="1036">
      <c r="A1036" s="143" t="s">
        <v>193</v>
      </c>
      <c r="B1036" s="143" t="s">
        <v>194</v>
      </c>
      <c r="C1036" s="143" t="s">
        <v>4996</v>
      </c>
      <c r="D1036" s="143" t="s">
        <v>4997</v>
      </c>
    </row>
    <row r="1037">
      <c r="A1037" s="143" t="s">
        <v>193</v>
      </c>
      <c r="B1037" s="143" t="s">
        <v>194</v>
      </c>
      <c r="C1037" s="143" t="s">
        <v>195</v>
      </c>
      <c r="D1037" s="143" t="s">
        <v>196</v>
      </c>
    </row>
    <row r="1038">
      <c r="A1038" s="143" t="s">
        <v>193</v>
      </c>
      <c r="B1038" s="143" t="s">
        <v>194</v>
      </c>
      <c r="C1038" s="143" t="s">
        <v>2222</v>
      </c>
      <c r="D1038" s="143" t="s">
        <v>2223</v>
      </c>
    </row>
    <row r="1039">
      <c r="A1039" s="143" t="s">
        <v>193</v>
      </c>
      <c r="B1039" s="143" t="s">
        <v>194</v>
      </c>
      <c r="C1039" s="143" t="s">
        <v>4998</v>
      </c>
      <c r="D1039" s="143" t="s">
        <v>4999</v>
      </c>
    </row>
    <row r="1040">
      <c r="A1040" s="143" t="s">
        <v>193</v>
      </c>
      <c r="B1040" s="143" t="s">
        <v>194</v>
      </c>
      <c r="C1040" s="143" t="s">
        <v>5000</v>
      </c>
      <c r="D1040" s="143" t="s">
        <v>5001</v>
      </c>
    </row>
    <row r="1041">
      <c r="A1041" s="143" t="s">
        <v>193</v>
      </c>
      <c r="B1041" s="143" t="s">
        <v>194</v>
      </c>
      <c r="C1041" s="143" t="s">
        <v>5002</v>
      </c>
      <c r="D1041" s="143" t="s">
        <v>5003</v>
      </c>
    </row>
    <row r="1042">
      <c r="A1042" s="143" t="s">
        <v>193</v>
      </c>
      <c r="B1042" s="143" t="s">
        <v>194</v>
      </c>
      <c r="C1042" s="143" t="s">
        <v>5004</v>
      </c>
      <c r="D1042" s="143" t="s">
        <v>5005</v>
      </c>
    </row>
    <row r="1043">
      <c r="A1043" s="143" t="s">
        <v>193</v>
      </c>
      <c r="B1043" s="143" t="s">
        <v>194</v>
      </c>
      <c r="C1043" s="143" t="s">
        <v>5006</v>
      </c>
      <c r="D1043" s="143" t="s">
        <v>5007</v>
      </c>
    </row>
    <row r="1044">
      <c r="A1044" s="143" t="s">
        <v>193</v>
      </c>
      <c r="B1044" s="143" t="s">
        <v>194</v>
      </c>
      <c r="C1044" s="143" t="s">
        <v>5008</v>
      </c>
      <c r="D1044" s="143" t="s">
        <v>5009</v>
      </c>
    </row>
    <row r="1045">
      <c r="A1045" s="143" t="s">
        <v>193</v>
      </c>
      <c r="B1045" s="143" t="s">
        <v>194</v>
      </c>
      <c r="C1045" s="143" t="s">
        <v>5010</v>
      </c>
      <c r="D1045" s="143" t="s">
        <v>5011</v>
      </c>
    </row>
    <row r="1046">
      <c r="A1046" s="143" t="s">
        <v>193</v>
      </c>
      <c r="B1046" s="143" t="s">
        <v>194</v>
      </c>
      <c r="C1046" s="143" t="s">
        <v>5012</v>
      </c>
      <c r="D1046" s="143" t="s">
        <v>5013</v>
      </c>
    </row>
    <row r="1047">
      <c r="A1047" s="143" t="s">
        <v>193</v>
      </c>
      <c r="B1047" s="143" t="s">
        <v>194</v>
      </c>
      <c r="C1047" s="143" t="s">
        <v>568</v>
      </c>
      <c r="D1047" s="143" t="s">
        <v>569</v>
      </c>
    </row>
    <row r="1048">
      <c r="A1048" s="143" t="s">
        <v>193</v>
      </c>
      <c r="B1048" s="143" t="s">
        <v>194</v>
      </c>
      <c r="C1048" s="143" t="s">
        <v>5014</v>
      </c>
      <c r="D1048" s="143" t="s">
        <v>5015</v>
      </c>
    </row>
    <row r="1049">
      <c r="A1049" s="143" t="s">
        <v>193</v>
      </c>
      <c r="B1049" s="143" t="s">
        <v>194</v>
      </c>
      <c r="C1049" s="143" t="s">
        <v>2313</v>
      </c>
      <c r="D1049" s="143" t="s">
        <v>2314</v>
      </c>
    </row>
    <row r="1050">
      <c r="A1050" s="143" t="s">
        <v>193</v>
      </c>
      <c r="B1050" s="143" t="s">
        <v>194</v>
      </c>
      <c r="C1050" s="143" t="s">
        <v>1587</v>
      </c>
      <c r="D1050" s="143" t="s">
        <v>1588</v>
      </c>
    </row>
    <row r="1051">
      <c r="A1051" s="143" t="s">
        <v>193</v>
      </c>
      <c r="B1051" s="143" t="s">
        <v>194</v>
      </c>
      <c r="C1051" s="143" t="s">
        <v>3989</v>
      </c>
      <c r="D1051" s="143" t="s">
        <v>5016</v>
      </c>
    </row>
    <row r="1052">
      <c r="A1052" s="143" t="s">
        <v>193</v>
      </c>
      <c r="B1052" s="143" t="s">
        <v>194</v>
      </c>
      <c r="C1052" s="143" t="s">
        <v>5017</v>
      </c>
      <c r="D1052" s="143" t="s">
        <v>5018</v>
      </c>
    </row>
    <row r="1053">
      <c r="A1053" s="143" t="s">
        <v>193</v>
      </c>
      <c r="B1053" s="143" t="s">
        <v>194</v>
      </c>
      <c r="C1053" s="143" t="s">
        <v>5019</v>
      </c>
      <c r="D1053" s="143" t="s">
        <v>5020</v>
      </c>
    </row>
    <row r="1054">
      <c r="A1054" s="143" t="s">
        <v>193</v>
      </c>
      <c r="B1054" s="143" t="s">
        <v>194</v>
      </c>
      <c r="C1054" s="143" t="s">
        <v>5021</v>
      </c>
      <c r="D1054" s="143" t="s">
        <v>5022</v>
      </c>
    </row>
    <row r="1055">
      <c r="A1055" s="143" t="s">
        <v>193</v>
      </c>
      <c r="B1055" s="143" t="s">
        <v>194</v>
      </c>
      <c r="C1055" s="143" t="s">
        <v>5023</v>
      </c>
      <c r="D1055" s="143" t="s">
        <v>5024</v>
      </c>
    </row>
    <row r="1056">
      <c r="A1056" s="143" t="s">
        <v>193</v>
      </c>
      <c r="B1056" s="143" t="s">
        <v>194</v>
      </c>
      <c r="C1056" s="143" t="s">
        <v>1120</v>
      </c>
      <c r="D1056" s="143" t="s">
        <v>5025</v>
      </c>
    </row>
    <row r="1057">
      <c r="A1057" s="143" t="s">
        <v>193</v>
      </c>
      <c r="B1057" s="143" t="s">
        <v>194</v>
      </c>
      <c r="C1057" s="143" t="s">
        <v>969</v>
      </c>
      <c r="D1057" s="143" t="s">
        <v>970</v>
      </c>
    </row>
    <row r="1058">
      <c r="A1058" s="143" t="s">
        <v>193</v>
      </c>
      <c r="B1058" s="143" t="s">
        <v>194</v>
      </c>
      <c r="C1058" s="143" t="s">
        <v>4712</v>
      </c>
      <c r="D1058" s="143" t="s">
        <v>5026</v>
      </c>
    </row>
    <row r="1059">
      <c r="A1059" s="143" t="s">
        <v>193</v>
      </c>
      <c r="B1059" s="143" t="s">
        <v>194</v>
      </c>
      <c r="C1059" s="143" t="s">
        <v>3959</v>
      </c>
      <c r="D1059" s="143" t="s">
        <v>5027</v>
      </c>
    </row>
    <row r="1060">
      <c r="A1060" s="143" t="s">
        <v>193</v>
      </c>
      <c r="B1060" s="143" t="s">
        <v>194</v>
      </c>
      <c r="C1060" s="143" t="s">
        <v>5028</v>
      </c>
      <c r="D1060" s="143" t="s">
        <v>5029</v>
      </c>
    </row>
    <row r="1061">
      <c r="A1061" s="143" t="s">
        <v>193</v>
      </c>
      <c r="B1061" s="143" t="s">
        <v>194</v>
      </c>
      <c r="C1061" s="143" t="s">
        <v>5030</v>
      </c>
      <c r="D1061" s="143" t="s">
        <v>5031</v>
      </c>
    </row>
    <row r="1062">
      <c r="A1062" s="143" t="s">
        <v>193</v>
      </c>
      <c r="B1062" s="143" t="s">
        <v>194</v>
      </c>
      <c r="C1062" s="143" t="s">
        <v>1494</v>
      </c>
      <c r="D1062" s="143" t="s">
        <v>5032</v>
      </c>
    </row>
    <row r="1063">
      <c r="A1063" s="143" t="s">
        <v>193</v>
      </c>
      <c r="B1063" s="143" t="s">
        <v>194</v>
      </c>
      <c r="C1063" s="143" t="s">
        <v>5033</v>
      </c>
      <c r="D1063" s="143" t="s">
        <v>5034</v>
      </c>
    </row>
    <row r="1064">
      <c r="A1064" s="143" t="s">
        <v>193</v>
      </c>
      <c r="B1064" s="143" t="s">
        <v>194</v>
      </c>
      <c r="C1064" s="143" t="s">
        <v>573</v>
      </c>
      <c r="D1064" s="143" t="s">
        <v>574</v>
      </c>
    </row>
    <row r="1065">
      <c r="A1065" s="143" t="s">
        <v>193</v>
      </c>
      <c r="B1065" s="143" t="s">
        <v>194</v>
      </c>
      <c r="C1065" s="143" t="s">
        <v>4869</v>
      </c>
      <c r="D1065" s="143" t="s">
        <v>5035</v>
      </c>
    </row>
    <row r="1066">
      <c r="A1066" s="143" t="s">
        <v>193</v>
      </c>
      <c r="B1066" s="143" t="s">
        <v>194</v>
      </c>
      <c r="C1066" s="143" t="s">
        <v>5036</v>
      </c>
      <c r="D1066" s="143" t="s">
        <v>5037</v>
      </c>
    </row>
    <row r="1067">
      <c r="A1067" s="143" t="s">
        <v>193</v>
      </c>
      <c r="B1067" s="143" t="s">
        <v>194</v>
      </c>
      <c r="C1067" s="143" t="s">
        <v>2189</v>
      </c>
      <c r="D1067" s="143" t="s">
        <v>2190</v>
      </c>
    </row>
    <row r="1068">
      <c r="A1068" s="143" t="s">
        <v>193</v>
      </c>
      <c r="B1068" s="143" t="s">
        <v>194</v>
      </c>
      <c r="C1068" s="143" t="s">
        <v>5038</v>
      </c>
      <c r="D1068" s="143" t="s">
        <v>5039</v>
      </c>
    </row>
    <row r="1069">
      <c r="A1069" s="143" t="s">
        <v>193</v>
      </c>
      <c r="B1069" s="143" t="s">
        <v>194</v>
      </c>
      <c r="C1069" s="143" t="s">
        <v>5040</v>
      </c>
      <c r="D1069" s="143" t="s">
        <v>5041</v>
      </c>
    </row>
    <row r="1070">
      <c r="A1070" s="143" t="s">
        <v>193</v>
      </c>
      <c r="B1070" s="143" t="s">
        <v>194</v>
      </c>
      <c r="C1070" s="143" t="s">
        <v>216</v>
      </c>
      <c r="D1070" s="143" t="s">
        <v>217</v>
      </c>
    </row>
    <row r="1071">
      <c r="A1071" s="143" t="s">
        <v>193</v>
      </c>
      <c r="B1071" s="143" t="s">
        <v>194</v>
      </c>
      <c r="C1071" s="143" t="s">
        <v>5042</v>
      </c>
      <c r="D1071" s="143" t="s">
        <v>5043</v>
      </c>
    </row>
    <row r="1072">
      <c r="A1072" s="143" t="s">
        <v>579</v>
      </c>
      <c r="B1072" s="143" t="s">
        <v>580</v>
      </c>
      <c r="C1072" s="143" t="s">
        <v>5044</v>
      </c>
      <c r="D1072" s="143" t="s">
        <v>5045</v>
      </c>
    </row>
    <row r="1073">
      <c r="A1073" s="143" t="s">
        <v>579</v>
      </c>
      <c r="B1073" s="143" t="s">
        <v>580</v>
      </c>
      <c r="C1073" s="143" t="s">
        <v>5046</v>
      </c>
      <c r="D1073" s="143" t="s">
        <v>5047</v>
      </c>
    </row>
    <row r="1074">
      <c r="A1074" s="143" t="s">
        <v>579</v>
      </c>
      <c r="B1074" s="143" t="s">
        <v>580</v>
      </c>
      <c r="C1074" s="143" t="s">
        <v>5048</v>
      </c>
      <c r="D1074" s="143" t="s">
        <v>5049</v>
      </c>
    </row>
    <row r="1075">
      <c r="A1075" s="143" t="s">
        <v>579</v>
      </c>
      <c r="B1075" s="143" t="s">
        <v>580</v>
      </c>
      <c r="C1075" s="143" t="s">
        <v>581</v>
      </c>
      <c r="D1075" s="143" t="s">
        <v>582</v>
      </c>
    </row>
    <row r="1076">
      <c r="A1076" s="143" t="s">
        <v>579</v>
      </c>
      <c r="B1076" s="143" t="s">
        <v>580</v>
      </c>
      <c r="C1076" s="143" t="s">
        <v>5050</v>
      </c>
      <c r="D1076" s="143" t="s">
        <v>5051</v>
      </c>
    </row>
    <row r="1077">
      <c r="A1077" s="143" t="s">
        <v>579</v>
      </c>
      <c r="B1077" s="143" t="s">
        <v>580</v>
      </c>
      <c r="C1077" s="143" t="s">
        <v>4346</v>
      </c>
      <c r="D1077" s="143" t="s">
        <v>5052</v>
      </c>
    </row>
    <row r="1078">
      <c r="A1078" s="143" t="s">
        <v>579</v>
      </c>
      <c r="B1078" s="143" t="s">
        <v>580</v>
      </c>
      <c r="C1078" s="143" t="s">
        <v>5053</v>
      </c>
      <c r="D1078" s="143" t="s">
        <v>5054</v>
      </c>
    </row>
    <row r="1079">
      <c r="A1079" s="143" t="s">
        <v>579</v>
      </c>
      <c r="B1079" s="143" t="s">
        <v>580</v>
      </c>
      <c r="C1079" s="143" t="s">
        <v>5055</v>
      </c>
      <c r="D1079" s="143" t="s">
        <v>5056</v>
      </c>
    </row>
    <row r="1080">
      <c r="A1080" s="143" t="s">
        <v>579</v>
      </c>
      <c r="B1080" s="143" t="s">
        <v>580</v>
      </c>
      <c r="C1080" s="143" t="s">
        <v>1540</v>
      </c>
      <c r="D1080" s="143" t="s">
        <v>1541</v>
      </c>
    </row>
    <row r="1081">
      <c r="A1081" s="143" t="s">
        <v>579</v>
      </c>
      <c r="B1081" s="143" t="s">
        <v>580</v>
      </c>
      <c r="C1081" s="143" t="s">
        <v>5057</v>
      </c>
      <c r="D1081" s="143" t="s">
        <v>5058</v>
      </c>
    </row>
    <row r="1082">
      <c r="A1082" s="143" t="s">
        <v>579</v>
      </c>
      <c r="B1082" s="143" t="s">
        <v>580</v>
      </c>
      <c r="C1082" s="143" t="s">
        <v>5059</v>
      </c>
      <c r="D1082" s="143" t="s">
        <v>5060</v>
      </c>
    </row>
    <row r="1083">
      <c r="A1083" s="143" t="s">
        <v>579</v>
      </c>
      <c r="B1083" s="143" t="s">
        <v>580</v>
      </c>
      <c r="C1083" s="143" t="s">
        <v>973</v>
      </c>
      <c r="D1083" s="143" t="s">
        <v>974</v>
      </c>
    </row>
    <row r="1084">
      <c r="A1084" s="143" t="s">
        <v>579</v>
      </c>
      <c r="B1084" s="143" t="s">
        <v>580</v>
      </c>
      <c r="C1084" s="143" t="s">
        <v>5061</v>
      </c>
      <c r="D1084" s="143" t="s">
        <v>5062</v>
      </c>
    </row>
    <row r="1085">
      <c r="A1085" s="143" t="s">
        <v>579</v>
      </c>
      <c r="B1085" s="143" t="s">
        <v>580</v>
      </c>
      <c r="C1085" s="143" t="s">
        <v>5063</v>
      </c>
      <c r="D1085" s="143" t="s">
        <v>5064</v>
      </c>
    </row>
    <row r="1086">
      <c r="A1086" s="143" t="s">
        <v>579</v>
      </c>
      <c r="B1086" s="143" t="s">
        <v>580</v>
      </c>
      <c r="C1086" s="143" t="s">
        <v>5065</v>
      </c>
      <c r="D1086" s="143" t="s">
        <v>5066</v>
      </c>
    </row>
    <row r="1087">
      <c r="A1087" s="143" t="s">
        <v>579</v>
      </c>
      <c r="B1087" s="143" t="s">
        <v>580</v>
      </c>
      <c r="C1087" s="143" t="s">
        <v>1446</v>
      </c>
      <c r="D1087" s="143" t="s">
        <v>5067</v>
      </c>
    </row>
    <row r="1088">
      <c r="A1088" s="143" t="s">
        <v>579</v>
      </c>
      <c r="B1088" s="143" t="s">
        <v>580</v>
      </c>
      <c r="C1088" s="143" t="s">
        <v>5068</v>
      </c>
      <c r="D1088" s="143" t="s">
        <v>5069</v>
      </c>
    </row>
    <row r="1089">
      <c r="A1089" s="143" t="s">
        <v>579</v>
      </c>
      <c r="B1089" s="143" t="s">
        <v>580</v>
      </c>
      <c r="C1089" s="143" t="s">
        <v>3026</v>
      </c>
      <c r="D1089" s="143" t="s">
        <v>3027</v>
      </c>
    </row>
    <row r="1090">
      <c r="A1090" s="143" t="s">
        <v>579</v>
      </c>
      <c r="B1090" s="143" t="s">
        <v>580</v>
      </c>
      <c r="C1090" s="143" t="s">
        <v>3155</v>
      </c>
      <c r="D1090" s="143" t="s">
        <v>3156</v>
      </c>
    </row>
    <row r="1091">
      <c r="A1091" s="143" t="s">
        <v>579</v>
      </c>
      <c r="B1091" s="143" t="s">
        <v>580</v>
      </c>
      <c r="C1091" s="143" t="s">
        <v>2821</v>
      </c>
      <c r="D1091" s="143" t="s">
        <v>2822</v>
      </c>
    </row>
    <row r="1092">
      <c r="A1092" s="143" t="s">
        <v>579</v>
      </c>
      <c r="B1092" s="143" t="s">
        <v>580</v>
      </c>
      <c r="C1092" s="143" t="s">
        <v>5070</v>
      </c>
      <c r="D1092" s="143" t="s">
        <v>5071</v>
      </c>
    </row>
    <row r="1093">
      <c r="A1093" s="143" t="s">
        <v>579</v>
      </c>
      <c r="B1093" s="143" t="s">
        <v>580</v>
      </c>
      <c r="C1093" s="143" t="s">
        <v>5072</v>
      </c>
      <c r="D1093" s="143" t="s">
        <v>5073</v>
      </c>
    </row>
    <row r="1094">
      <c r="A1094" s="143" t="s">
        <v>579</v>
      </c>
      <c r="B1094" s="143" t="s">
        <v>580</v>
      </c>
      <c r="C1094" s="143" t="s">
        <v>5074</v>
      </c>
      <c r="D1094" s="143" t="s">
        <v>5075</v>
      </c>
    </row>
    <row r="1095">
      <c r="A1095" s="143" t="s">
        <v>579</v>
      </c>
      <c r="B1095" s="143" t="s">
        <v>585</v>
      </c>
      <c r="C1095" s="143" t="s">
        <v>5076</v>
      </c>
      <c r="D1095" s="143" t="s">
        <v>5077</v>
      </c>
    </row>
    <row r="1096">
      <c r="A1096" s="143" t="s">
        <v>579</v>
      </c>
      <c r="B1096" s="143" t="s">
        <v>585</v>
      </c>
      <c r="C1096" s="143" t="s">
        <v>5078</v>
      </c>
      <c r="D1096" s="143" t="s">
        <v>5079</v>
      </c>
    </row>
    <row r="1097">
      <c r="A1097" s="143" t="s">
        <v>579</v>
      </c>
      <c r="B1097" s="143" t="s">
        <v>585</v>
      </c>
      <c r="C1097" s="143" t="s">
        <v>1464</v>
      </c>
      <c r="D1097" s="143" t="s">
        <v>1465</v>
      </c>
    </row>
    <row r="1098">
      <c r="A1098" s="143" t="s">
        <v>579</v>
      </c>
      <c r="B1098" s="143" t="s">
        <v>585</v>
      </c>
      <c r="C1098" s="143" t="s">
        <v>1467</v>
      </c>
      <c r="D1098" s="143" t="s">
        <v>1468</v>
      </c>
    </row>
    <row r="1099">
      <c r="A1099" s="143" t="s">
        <v>579</v>
      </c>
      <c r="B1099" s="143" t="s">
        <v>585</v>
      </c>
      <c r="C1099" s="143" t="s">
        <v>5080</v>
      </c>
      <c r="D1099" s="143" t="s">
        <v>5081</v>
      </c>
    </row>
    <row r="1100">
      <c r="A1100" s="143" t="s">
        <v>579</v>
      </c>
      <c r="B1100" s="143" t="s">
        <v>585</v>
      </c>
      <c r="C1100" s="143" t="s">
        <v>2805</v>
      </c>
      <c r="D1100" s="143" t="s">
        <v>2806</v>
      </c>
    </row>
    <row r="1101">
      <c r="A1101" s="143" t="s">
        <v>579</v>
      </c>
      <c r="B1101" s="143" t="s">
        <v>585</v>
      </c>
      <c r="C1101" s="143" t="s">
        <v>5082</v>
      </c>
      <c r="D1101" s="143" t="s">
        <v>5083</v>
      </c>
    </row>
    <row r="1102">
      <c r="A1102" s="143" t="s">
        <v>579</v>
      </c>
      <c r="B1102" s="143" t="s">
        <v>585</v>
      </c>
      <c r="C1102" s="143" t="s">
        <v>5084</v>
      </c>
      <c r="D1102" s="143" t="s">
        <v>5085</v>
      </c>
    </row>
    <row r="1103">
      <c r="A1103" s="143" t="s">
        <v>579</v>
      </c>
      <c r="B1103" s="143" t="s">
        <v>585</v>
      </c>
      <c r="C1103" s="143" t="s">
        <v>5086</v>
      </c>
      <c r="D1103" s="143" t="s">
        <v>5087</v>
      </c>
    </row>
    <row r="1104">
      <c r="A1104" s="143" t="s">
        <v>579</v>
      </c>
      <c r="B1104" s="143" t="s">
        <v>585</v>
      </c>
      <c r="C1104" s="143" t="s">
        <v>1472</v>
      </c>
      <c r="D1104" s="143" t="s">
        <v>1473</v>
      </c>
    </row>
    <row r="1105">
      <c r="A1105" s="143" t="s">
        <v>579</v>
      </c>
      <c r="B1105" s="143" t="s">
        <v>585</v>
      </c>
      <c r="C1105" s="143" t="s">
        <v>586</v>
      </c>
      <c r="D1105" s="143" t="s">
        <v>587</v>
      </c>
    </row>
    <row r="1106">
      <c r="A1106" s="143" t="s">
        <v>579</v>
      </c>
      <c r="B1106" s="143" t="s">
        <v>585</v>
      </c>
      <c r="C1106" s="143" t="s">
        <v>5088</v>
      </c>
      <c r="D1106" s="143" t="s">
        <v>5089</v>
      </c>
    </row>
    <row r="1107">
      <c r="A1107" s="143" t="s">
        <v>579</v>
      </c>
      <c r="B1107" s="143" t="s">
        <v>585</v>
      </c>
      <c r="C1107" s="143" t="s">
        <v>5090</v>
      </c>
      <c r="D1107" s="143" t="s">
        <v>5091</v>
      </c>
    </row>
    <row r="1108">
      <c r="A1108" s="143" t="s">
        <v>579</v>
      </c>
      <c r="B1108" s="143" t="s">
        <v>585</v>
      </c>
      <c r="C1108" s="143" t="s">
        <v>5092</v>
      </c>
      <c r="D1108" s="143" t="s">
        <v>5093</v>
      </c>
    </row>
    <row r="1109">
      <c r="A1109" s="143" t="s">
        <v>579</v>
      </c>
      <c r="B1109" s="143" t="s">
        <v>585</v>
      </c>
      <c r="C1109" s="143" t="s">
        <v>5094</v>
      </c>
      <c r="D1109" s="143" t="s">
        <v>5095</v>
      </c>
    </row>
    <row r="1110">
      <c r="A1110" s="143" t="s">
        <v>579</v>
      </c>
      <c r="B1110" s="143" t="s">
        <v>585</v>
      </c>
      <c r="C1110" s="143" t="s">
        <v>5096</v>
      </c>
      <c r="D1110" s="143" t="s">
        <v>5097</v>
      </c>
    </row>
    <row r="1111">
      <c r="A1111" s="143" t="s">
        <v>579</v>
      </c>
      <c r="B1111" s="143" t="s">
        <v>585</v>
      </c>
      <c r="C1111" s="143" t="s">
        <v>5098</v>
      </c>
      <c r="D1111" s="143" t="s">
        <v>5099</v>
      </c>
    </row>
    <row r="1112">
      <c r="A1112" s="143" t="s">
        <v>579</v>
      </c>
      <c r="B1112" s="143" t="s">
        <v>585</v>
      </c>
      <c r="C1112" s="143" t="s">
        <v>5100</v>
      </c>
      <c r="D1112" s="143" t="s">
        <v>5101</v>
      </c>
    </row>
    <row r="1113">
      <c r="A1113" s="143" t="s">
        <v>579</v>
      </c>
      <c r="B1113" s="143" t="s">
        <v>585</v>
      </c>
      <c r="C1113" s="143" t="s">
        <v>5102</v>
      </c>
      <c r="D1113" s="143" t="s">
        <v>5103</v>
      </c>
    </row>
    <row r="1114">
      <c r="A1114" s="143" t="s">
        <v>579</v>
      </c>
      <c r="B1114" s="143" t="s">
        <v>585</v>
      </c>
      <c r="C1114" s="143" t="s">
        <v>5104</v>
      </c>
      <c r="D1114" s="143" t="s">
        <v>5105</v>
      </c>
    </row>
    <row r="1115">
      <c r="A1115" s="143" t="s">
        <v>579</v>
      </c>
      <c r="B1115" s="143" t="s">
        <v>585</v>
      </c>
      <c r="C1115" s="143" t="s">
        <v>5106</v>
      </c>
      <c r="D1115" s="143" t="s">
        <v>5107</v>
      </c>
    </row>
    <row r="1116">
      <c r="A1116" s="143" t="s">
        <v>579</v>
      </c>
      <c r="B1116" s="143" t="s">
        <v>585</v>
      </c>
      <c r="C1116" s="143" t="s">
        <v>4153</v>
      </c>
      <c r="D1116" s="143" t="s">
        <v>5108</v>
      </c>
    </row>
    <row r="1117">
      <c r="A1117" s="143" t="s">
        <v>579</v>
      </c>
      <c r="B1117" s="143" t="s">
        <v>585</v>
      </c>
      <c r="C1117" s="143" t="s">
        <v>585</v>
      </c>
      <c r="D1117" s="143" t="s">
        <v>1480</v>
      </c>
    </row>
    <row r="1118">
      <c r="A1118" s="143" t="s">
        <v>579</v>
      </c>
      <c r="B1118" s="143" t="s">
        <v>585</v>
      </c>
      <c r="C1118" s="143" t="s">
        <v>5109</v>
      </c>
      <c r="D1118" s="143" t="s">
        <v>5110</v>
      </c>
    </row>
    <row r="1119">
      <c r="A1119" s="143" t="s">
        <v>579</v>
      </c>
      <c r="B1119" s="143" t="s">
        <v>585</v>
      </c>
      <c r="C1119" s="143" t="s">
        <v>5111</v>
      </c>
      <c r="D1119" s="143" t="s">
        <v>5112</v>
      </c>
    </row>
    <row r="1120">
      <c r="A1120" s="143" t="s">
        <v>579</v>
      </c>
      <c r="B1120" s="143" t="s">
        <v>585</v>
      </c>
      <c r="C1120" s="143" t="s">
        <v>5113</v>
      </c>
      <c r="D1120" s="143" t="s">
        <v>5114</v>
      </c>
    </row>
    <row r="1121">
      <c r="A1121" s="143" t="s">
        <v>579</v>
      </c>
      <c r="B1121" s="143" t="s">
        <v>585</v>
      </c>
      <c r="C1121" s="143" t="s">
        <v>5115</v>
      </c>
      <c r="D1121" s="143" t="s">
        <v>5116</v>
      </c>
    </row>
    <row r="1122">
      <c r="A1122" s="143" t="s">
        <v>579</v>
      </c>
      <c r="B1122" s="143" t="s">
        <v>585</v>
      </c>
      <c r="C1122" s="143" t="s">
        <v>5117</v>
      </c>
      <c r="D1122" s="143" t="s">
        <v>5118</v>
      </c>
    </row>
    <row r="1123">
      <c r="A1123" s="143" t="s">
        <v>579</v>
      </c>
      <c r="B1123" s="143" t="s">
        <v>585</v>
      </c>
      <c r="C1123" s="143" t="s">
        <v>5119</v>
      </c>
      <c r="D1123" s="143" t="s">
        <v>5120</v>
      </c>
    </row>
    <row r="1124">
      <c r="A1124" s="143" t="s">
        <v>579</v>
      </c>
      <c r="B1124" s="143" t="s">
        <v>585</v>
      </c>
      <c r="C1124" s="143" t="s">
        <v>1483</v>
      </c>
      <c r="D1124" s="143" t="s">
        <v>1484</v>
      </c>
    </row>
    <row r="1125">
      <c r="A1125" s="143" t="s">
        <v>579</v>
      </c>
      <c r="B1125" s="143" t="s">
        <v>585</v>
      </c>
      <c r="C1125" s="143" t="s">
        <v>1487</v>
      </c>
      <c r="D1125" s="143" t="s">
        <v>1488</v>
      </c>
    </row>
    <row r="1126">
      <c r="A1126" s="143" t="s">
        <v>579</v>
      </c>
      <c r="B1126" s="143" t="s">
        <v>585</v>
      </c>
      <c r="C1126" s="143" t="s">
        <v>5121</v>
      </c>
      <c r="D1126" s="143" t="s">
        <v>5122</v>
      </c>
    </row>
    <row r="1127">
      <c r="A1127" s="143" t="s">
        <v>579</v>
      </c>
      <c r="B1127" s="143" t="s">
        <v>585</v>
      </c>
      <c r="C1127" s="143" t="s">
        <v>5123</v>
      </c>
      <c r="D1127" s="143" t="s">
        <v>5124</v>
      </c>
    </row>
    <row r="1128">
      <c r="A1128" s="143" t="s">
        <v>579</v>
      </c>
      <c r="B1128" s="143" t="s">
        <v>585</v>
      </c>
      <c r="C1128" s="143" t="s">
        <v>3178</v>
      </c>
      <c r="D1128" s="143" t="s">
        <v>5125</v>
      </c>
    </row>
    <row r="1129">
      <c r="A1129" s="143" t="s">
        <v>579</v>
      </c>
      <c r="B1129" s="143" t="s">
        <v>585</v>
      </c>
      <c r="C1129" s="143" t="s">
        <v>4031</v>
      </c>
      <c r="D1129" s="143" t="s">
        <v>5126</v>
      </c>
    </row>
    <row r="1130">
      <c r="A1130" s="143" t="s">
        <v>579</v>
      </c>
      <c r="B1130" s="143" t="s">
        <v>585</v>
      </c>
      <c r="C1130" s="143" t="s">
        <v>3959</v>
      </c>
      <c r="D1130" s="143" t="s">
        <v>5127</v>
      </c>
    </row>
    <row r="1131">
      <c r="A1131" s="143" t="s">
        <v>579</v>
      </c>
      <c r="B1131" s="143" t="s">
        <v>585</v>
      </c>
      <c r="C1131" s="143" t="s">
        <v>5128</v>
      </c>
      <c r="D1131" s="143" t="s">
        <v>5129</v>
      </c>
    </row>
    <row r="1132">
      <c r="A1132" s="143" t="s">
        <v>579</v>
      </c>
      <c r="B1132" s="143" t="s">
        <v>585</v>
      </c>
      <c r="C1132" s="143" t="s">
        <v>5130</v>
      </c>
      <c r="D1132" s="143" t="s">
        <v>5131</v>
      </c>
    </row>
    <row r="1133">
      <c r="A1133" s="143" t="s">
        <v>579</v>
      </c>
      <c r="B1133" s="143" t="s">
        <v>585</v>
      </c>
      <c r="C1133" s="143" t="s">
        <v>1491</v>
      </c>
      <c r="D1133" s="143" t="s">
        <v>1492</v>
      </c>
    </row>
    <row r="1134">
      <c r="A1134" s="143" t="s">
        <v>579</v>
      </c>
      <c r="B1134" s="143" t="s">
        <v>585</v>
      </c>
      <c r="C1134" s="143" t="s">
        <v>5132</v>
      </c>
      <c r="D1134" s="143" t="s">
        <v>5133</v>
      </c>
    </row>
    <row r="1135">
      <c r="A1135" s="143" t="s">
        <v>579</v>
      </c>
      <c r="B1135" s="143" t="s">
        <v>585</v>
      </c>
      <c r="C1135" s="143" t="s">
        <v>5134</v>
      </c>
      <c r="D1135" s="143" t="s">
        <v>5135</v>
      </c>
    </row>
    <row r="1136">
      <c r="A1136" s="143" t="s">
        <v>579</v>
      </c>
      <c r="B1136" s="143" t="s">
        <v>585</v>
      </c>
      <c r="C1136" s="143" t="s">
        <v>5136</v>
      </c>
      <c r="D1136" s="143" t="s">
        <v>5137</v>
      </c>
    </row>
    <row r="1137">
      <c r="A1137" s="143" t="s">
        <v>579</v>
      </c>
      <c r="B1137" s="143" t="s">
        <v>585</v>
      </c>
      <c r="C1137" s="143" t="s">
        <v>5138</v>
      </c>
      <c r="D1137" s="143" t="s">
        <v>5139</v>
      </c>
    </row>
    <row r="1138">
      <c r="A1138" s="143" t="s">
        <v>579</v>
      </c>
      <c r="B1138" s="143" t="s">
        <v>714</v>
      </c>
      <c r="C1138" s="143" t="s">
        <v>5140</v>
      </c>
      <c r="D1138" s="143" t="s">
        <v>5141</v>
      </c>
    </row>
    <row r="1139">
      <c r="A1139" s="143" t="s">
        <v>579</v>
      </c>
      <c r="B1139" s="143" t="s">
        <v>714</v>
      </c>
      <c r="C1139" s="143" t="s">
        <v>715</v>
      </c>
      <c r="D1139" s="143" t="s">
        <v>716</v>
      </c>
    </row>
    <row r="1140">
      <c r="A1140" s="143" t="s">
        <v>579</v>
      </c>
      <c r="B1140" s="143" t="s">
        <v>714</v>
      </c>
      <c r="C1140" s="143" t="s">
        <v>5142</v>
      </c>
      <c r="D1140" s="143" t="s">
        <v>5143</v>
      </c>
    </row>
    <row r="1141">
      <c r="A1141" s="143" t="s">
        <v>579</v>
      </c>
      <c r="B1141" s="143" t="s">
        <v>714</v>
      </c>
      <c r="C1141" s="143" t="s">
        <v>5144</v>
      </c>
      <c r="D1141" s="143" t="s">
        <v>5145</v>
      </c>
    </row>
    <row r="1142">
      <c r="A1142" s="143" t="s">
        <v>579</v>
      </c>
      <c r="B1142" s="143" t="s">
        <v>714</v>
      </c>
      <c r="C1142" s="143" t="s">
        <v>5146</v>
      </c>
      <c r="D1142" s="143" t="s">
        <v>5147</v>
      </c>
    </row>
    <row r="1143">
      <c r="A1143" s="143" t="s">
        <v>579</v>
      </c>
      <c r="B1143" s="143" t="s">
        <v>714</v>
      </c>
      <c r="C1143" s="143" t="s">
        <v>5148</v>
      </c>
      <c r="D1143" s="143" t="s">
        <v>5149</v>
      </c>
    </row>
    <row r="1144">
      <c r="A1144" s="143" t="s">
        <v>579</v>
      </c>
      <c r="B1144" s="143" t="s">
        <v>714</v>
      </c>
      <c r="C1144" s="143" t="s">
        <v>5150</v>
      </c>
      <c r="D1144" s="143" t="s">
        <v>5151</v>
      </c>
    </row>
    <row r="1145">
      <c r="A1145" s="143" t="s">
        <v>579</v>
      </c>
      <c r="B1145" s="143" t="s">
        <v>714</v>
      </c>
      <c r="C1145" s="143" t="s">
        <v>5152</v>
      </c>
      <c r="D1145" s="143" t="s">
        <v>5153</v>
      </c>
    </row>
    <row r="1146">
      <c r="A1146" s="143" t="s">
        <v>579</v>
      </c>
      <c r="B1146" s="143" t="s">
        <v>714</v>
      </c>
      <c r="C1146" s="143" t="s">
        <v>5154</v>
      </c>
      <c r="D1146" s="143" t="s">
        <v>5155</v>
      </c>
    </row>
    <row r="1147">
      <c r="A1147" s="143" t="s">
        <v>579</v>
      </c>
      <c r="B1147" s="143" t="s">
        <v>714</v>
      </c>
      <c r="C1147" s="143" t="s">
        <v>5156</v>
      </c>
      <c r="D1147" s="143" t="s">
        <v>5157</v>
      </c>
    </row>
    <row r="1148">
      <c r="A1148" s="143" t="s">
        <v>579</v>
      </c>
      <c r="B1148" s="143" t="s">
        <v>714</v>
      </c>
      <c r="C1148" s="143" t="s">
        <v>5158</v>
      </c>
      <c r="D1148" s="143" t="s">
        <v>5159</v>
      </c>
    </row>
    <row r="1149">
      <c r="A1149" s="143" t="s">
        <v>579</v>
      </c>
      <c r="B1149" s="143" t="s">
        <v>714</v>
      </c>
      <c r="C1149" s="143" t="s">
        <v>5160</v>
      </c>
      <c r="D1149" s="143" t="s">
        <v>5161</v>
      </c>
    </row>
    <row r="1150">
      <c r="A1150" s="143" t="s">
        <v>579</v>
      </c>
      <c r="B1150" s="143" t="s">
        <v>714</v>
      </c>
      <c r="C1150" s="143" t="s">
        <v>5162</v>
      </c>
      <c r="D1150" s="143" t="s">
        <v>5163</v>
      </c>
    </row>
    <row r="1151">
      <c r="A1151" s="143" t="s">
        <v>579</v>
      </c>
      <c r="B1151" s="143" t="s">
        <v>714</v>
      </c>
      <c r="C1151" s="143" t="s">
        <v>5164</v>
      </c>
      <c r="D1151" s="143" t="s">
        <v>5165</v>
      </c>
    </row>
    <row r="1152">
      <c r="A1152" s="143" t="s">
        <v>579</v>
      </c>
      <c r="B1152" s="143" t="s">
        <v>714</v>
      </c>
      <c r="C1152" s="143" t="s">
        <v>5166</v>
      </c>
      <c r="D1152" s="143" t="s">
        <v>5167</v>
      </c>
    </row>
    <row r="1153">
      <c r="A1153" s="143" t="s">
        <v>579</v>
      </c>
      <c r="B1153" s="143" t="s">
        <v>714</v>
      </c>
      <c r="C1153" s="143" t="s">
        <v>447</v>
      </c>
      <c r="D1153" s="143" t="s">
        <v>5168</v>
      </c>
    </row>
    <row r="1154">
      <c r="A1154" s="143" t="s">
        <v>579</v>
      </c>
      <c r="B1154" s="143" t="s">
        <v>714</v>
      </c>
      <c r="C1154" s="143" t="s">
        <v>3070</v>
      </c>
      <c r="D1154" s="143" t="s">
        <v>5169</v>
      </c>
    </row>
    <row r="1155">
      <c r="A1155" s="143" t="s">
        <v>579</v>
      </c>
      <c r="B1155" s="143" t="s">
        <v>714</v>
      </c>
      <c r="C1155" s="143" t="s">
        <v>3178</v>
      </c>
      <c r="D1155" s="143" t="s">
        <v>5170</v>
      </c>
    </row>
    <row r="1156">
      <c r="A1156" s="143" t="s">
        <v>579</v>
      </c>
      <c r="B1156" s="143" t="s">
        <v>714</v>
      </c>
      <c r="C1156" s="143" t="s">
        <v>1667</v>
      </c>
      <c r="D1156" s="143" t="s">
        <v>5171</v>
      </c>
    </row>
    <row r="1157">
      <c r="A1157" s="143" t="s">
        <v>579</v>
      </c>
      <c r="B1157" s="143" t="s">
        <v>714</v>
      </c>
      <c r="C1157" s="143" t="s">
        <v>5172</v>
      </c>
      <c r="D1157" s="143" t="s">
        <v>5173</v>
      </c>
    </row>
    <row r="1158">
      <c r="A1158" s="143" t="s">
        <v>579</v>
      </c>
      <c r="B1158" s="143" t="s">
        <v>714</v>
      </c>
      <c r="C1158" s="143" t="s">
        <v>1964</v>
      </c>
      <c r="D1158" s="143" t="s">
        <v>5174</v>
      </c>
    </row>
    <row r="1159">
      <c r="A1159" s="143" t="s">
        <v>579</v>
      </c>
      <c r="B1159" s="143" t="s">
        <v>714</v>
      </c>
      <c r="C1159" s="143" t="s">
        <v>5175</v>
      </c>
      <c r="D1159" s="143" t="s">
        <v>5176</v>
      </c>
    </row>
    <row r="1160">
      <c r="A1160" s="143" t="s">
        <v>579</v>
      </c>
      <c r="B1160" s="143" t="s">
        <v>714</v>
      </c>
      <c r="C1160" s="143" t="s">
        <v>4172</v>
      </c>
      <c r="D1160" s="143" t="s">
        <v>5177</v>
      </c>
    </row>
    <row r="1161">
      <c r="A1161" s="143" t="s">
        <v>579</v>
      </c>
      <c r="B1161" s="143" t="s">
        <v>714</v>
      </c>
      <c r="C1161" s="143" t="s">
        <v>5178</v>
      </c>
      <c r="D1161" s="143" t="s">
        <v>5179</v>
      </c>
    </row>
    <row r="1162">
      <c r="A1162" s="143" t="s">
        <v>579</v>
      </c>
      <c r="B1162" s="143" t="s">
        <v>5180</v>
      </c>
      <c r="C1162" s="143" t="s">
        <v>5181</v>
      </c>
      <c r="D1162" s="143" t="s">
        <v>5182</v>
      </c>
    </row>
    <row r="1163">
      <c r="A1163" s="143" t="s">
        <v>579</v>
      </c>
      <c r="B1163" s="143" t="s">
        <v>5180</v>
      </c>
      <c r="C1163" s="143" t="s">
        <v>5183</v>
      </c>
      <c r="D1163" s="143" t="s">
        <v>5184</v>
      </c>
    </row>
    <row r="1164">
      <c r="A1164" s="143" t="s">
        <v>579</v>
      </c>
      <c r="B1164" s="143" t="s">
        <v>5180</v>
      </c>
      <c r="C1164" s="143" t="s">
        <v>5185</v>
      </c>
      <c r="D1164" s="143" t="s">
        <v>5186</v>
      </c>
    </row>
    <row r="1165">
      <c r="A1165" s="143" t="s">
        <v>579</v>
      </c>
      <c r="B1165" s="143" t="s">
        <v>5180</v>
      </c>
      <c r="C1165" s="143" t="s">
        <v>5187</v>
      </c>
      <c r="D1165" s="143" t="s">
        <v>5188</v>
      </c>
    </row>
    <row r="1166">
      <c r="A1166" s="143" t="s">
        <v>579</v>
      </c>
      <c r="B1166" s="143" t="s">
        <v>5180</v>
      </c>
      <c r="C1166" s="143" t="s">
        <v>5189</v>
      </c>
      <c r="D1166" s="143" t="s">
        <v>5190</v>
      </c>
    </row>
    <row r="1167">
      <c r="A1167" s="143" t="s">
        <v>579</v>
      </c>
      <c r="B1167" s="143" t="s">
        <v>5180</v>
      </c>
      <c r="C1167" s="143" t="s">
        <v>5191</v>
      </c>
      <c r="D1167" s="143" t="s">
        <v>5192</v>
      </c>
    </row>
    <row r="1168">
      <c r="A1168" s="143" t="s">
        <v>579</v>
      </c>
      <c r="B1168" s="143" t="s">
        <v>5180</v>
      </c>
      <c r="C1168" s="143" t="s">
        <v>5193</v>
      </c>
      <c r="D1168" s="143" t="s">
        <v>5194</v>
      </c>
    </row>
    <row r="1169">
      <c r="A1169" s="143" t="s">
        <v>579</v>
      </c>
      <c r="B1169" s="143" t="s">
        <v>5180</v>
      </c>
      <c r="C1169" s="143" t="s">
        <v>5195</v>
      </c>
      <c r="D1169" s="143" t="s">
        <v>5196</v>
      </c>
    </row>
    <row r="1170">
      <c r="A1170" s="143" t="s">
        <v>579</v>
      </c>
      <c r="B1170" s="143" t="s">
        <v>5180</v>
      </c>
      <c r="C1170" s="143" t="s">
        <v>5197</v>
      </c>
      <c r="D1170" s="143" t="s">
        <v>5198</v>
      </c>
    </row>
    <row r="1171">
      <c r="A1171" s="143" t="s">
        <v>579</v>
      </c>
      <c r="B1171" s="143" t="s">
        <v>5180</v>
      </c>
      <c r="C1171" s="143" t="s">
        <v>5199</v>
      </c>
      <c r="D1171" s="143" t="s">
        <v>5200</v>
      </c>
    </row>
    <row r="1172">
      <c r="A1172" s="143" t="s">
        <v>579</v>
      </c>
      <c r="B1172" s="143" t="s">
        <v>5180</v>
      </c>
      <c r="C1172" s="143" t="s">
        <v>5201</v>
      </c>
      <c r="D1172" s="143" t="s">
        <v>5202</v>
      </c>
    </row>
    <row r="1173">
      <c r="A1173" s="143" t="s">
        <v>579</v>
      </c>
      <c r="B1173" s="143" t="s">
        <v>5180</v>
      </c>
      <c r="C1173" s="143" t="s">
        <v>5203</v>
      </c>
      <c r="D1173" s="143" t="s">
        <v>5204</v>
      </c>
    </row>
    <row r="1174">
      <c r="A1174" s="143" t="s">
        <v>579</v>
      </c>
      <c r="B1174" s="143" t="s">
        <v>5180</v>
      </c>
      <c r="C1174" s="143" t="s">
        <v>5205</v>
      </c>
      <c r="D1174" s="143" t="s">
        <v>5206</v>
      </c>
    </row>
    <row r="1175">
      <c r="A1175" s="143" t="s">
        <v>579</v>
      </c>
      <c r="B1175" s="143" t="s">
        <v>5180</v>
      </c>
      <c r="C1175" s="143" t="s">
        <v>5207</v>
      </c>
      <c r="D1175" s="143" t="s">
        <v>5208</v>
      </c>
    </row>
    <row r="1176">
      <c r="A1176" s="143" t="s">
        <v>579</v>
      </c>
      <c r="B1176" s="143" t="s">
        <v>5180</v>
      </c>
      <c r="C1176" s="143" t="s">
        <v>5209</v>
      </c>
      <c r="D1176" s="143" t="s">
        <v>5210</v>
      </c>
    </row>
    <row r="1177">
      <c r="A1177" s="143" t="s">
        <v>579</v>
      </c>
      <c r="B1177" s="143" t="s">
        <v>5180</v>
      </c>
      <c r="C1177" s="143" t="s">
        <v>5211</v>
      </c>
      <c r="D1177" s="143" t="s">
        <v>5212</v>
      </c>
    </row>
    <row r="1178">
      <c r="A1178" s="143" t="s">
        <v>579</v>
      </c>
      <c r="B1178" s="143" t="s">
        <v>5180</v>
      </c>
      <c r="C1178" s="143" t="s">
        <v>4135</v>
      </c>
      <c r="D1178" s="143" t="s">
        <v>5213</v>
      </c>
    </row>
    <row r="1179">
      <c r="A1179" s="143" t="s">
        <v>579</v>
      </c>
      <c r="B1179" s="143" t="s">
        <v>5180</v>
      </c>
      <c r="C1179" s="143" t="s">
        <v>3864</v>
      </c>
      <c r="D1179" s="143" t="s">
        <v>5214</v>
      </c>
    </row>
    <row r="1180">
      <c r="A1180" s="143" t="s">
        <v>579</v>
      </c>
      <c r="B1180" s="143" t="s">
        <v>5180</v>
      </c>
      <c r="C1180" s="143" t="s">
        <v>5215</v>
      </c>
      <c r="D1180" s="143" t="s">
        <v>5216</v>
      </c>
    </row>
    <row r="1181">
      <c r="A1181" s="143" t="s">
        <v>579</v>
      </c>
      <c r="B1181" s="143" t="s">
        <v>5180</v>
      </c>
      <c r="C1181" s="143" t="s">
        <v>5217</v>
      </c>
      <c r="D1181" s="143" t="s">
        <v>5218</v>
      </c>
    </row>
    <row r="1182">
      <c r="A1182" s="143" t="s">
        <v>579</v>
      </c>
      <c r="B1182" s="143" t="s">
        <v>5180</v>
      </c>
      <c r="C1182" s="143" t="s">
        <v>5219</v>
      </c>
      <c r="D1182" s="143" t="s">
        <v>5220</v>
      </c>
    </row>
    <row r="1183">
      <c r="A1183" s="143" t="s">
        <v>579</v>
      </c>
      <c r="B1183" s="143" t="s">
        <v>5180</v>
      </c>
      <c r="C1183" s="143" t="s">
        <v>5221</v>
      </c>
      <c r="D1183" s="143" t="s">
        <v>5222</v>
      </c>
    </row>
    <row r="1184">
      <c r="A1184" s="143" t="s">
        <v>579</v>
      </c>
      <c r="B1184" s="143" t="s">
        <v>5180</v>
      </c>
      <c r="C1184" s="143" t="s">
        <v>5223</v>
      </c>
      <c r="D1184" s="143" t="s">
        <v>5224</v>
      </c>
    </row>
    <row r="1185">
      <c r="A1185" s="143" t="s">
        <v>579</v>
      </c>
      <c r="B1185" s="143" t="s">
        <v>5180</v>
      </c>
      <c r="C1185" s="143" t="s">
        <v>5225</v>
      </c>
      <c r="D1185" s="143" t="s">
        <v>5226</v>
      </c>
    </row>
    <row r="1186">
      <c r="A1186" s="143" t="s">
        <v>579</v>
      </c>
      <c r="B1186" s="143" t="s">
        <v>5180</v>
      </c>
      <c r="C1186" s="143" t="s">
        <v>5227</v>
      </c>
      <c r="D1186" s="143" t="s">
        <v>5228</v>
      </c>
    </row>
    <row r="1187">
      <c r="A1187" s="143" t="s">
        <v>579</v>
      </c>
      <c r="B1187" s="143" t="s">
        <v>5180</v>
      </c>
      <c r="C1187" s="143" t="s">
        <v>5229</v>
      </c>
      <c r="D1187" s="143" t="s">
        <v>5230</v>
      </c>
    </row>
    <row r="1188">
      <c r="A1188" s="143" t="s">
        <v>579</v>
      </c>
      <c r="B1188" s="143" t="s">
        <v>1271</v>
      </c>
      <c r="C1188" s="143" t="s">
        <v>5231</v>
      </c>
      <c r="D1188" s="143" t="s">
        <v>5232</v>
      </c>
    </row>
    <row r="1189">
      <c r="A1189" s="143" t="s">
        <v>579</v>
      </c>
      <c r="B1189" s="143" t="s">
        <v>1271</v>
      </c>
      <c r="C1189" s="143" t="s">
        <v>2812</v>
      </c>
      <c r="D1189" s="143" t="s">
        <v>2813</v>
      </c>
    </row>
    <row r="1190">
      <c r="A1190" s="143" t="s">
        <v>579</v>
      </c>
      <c r="B1190" s="143" t="s">
        <v>1271</v>
      </c>
      <c r="C1190" s="143" t="s">
        <v>5233</v>
      </c>
      <c r="D1190" s="143" t="s">
        <v>5234</v>
      </c>
    </row>
    <row r="1191">
      <c r="A1191" s="143" t="s">
        <v>579</v>
      </c>
      <c r="B1191" s="143" t="s">
        <v>1271</v>
      </c>
      <c r="C1191" s="143" t="s">
        <v>5235</v>
      </c>
      <c r="D1191" s="143" t="s">
        <v>5236</v>
      </c>
    </row>
    <row r="1192">
      <c r="A1192" s="143" t="s">
        <v>579</v>
      </c>
      <c r="B1192" s="143" t="s">
        <v>1271</v>
      </c>
      <c r="C1192" s="143" t="s">
        <v>5237</v>
      </c>
      <c r="D1192" s="143" t="s">
        <v>5238</v>
      </c>
    </row>
    <row r="1193">
      <c r="A1193" s="143" t="s">
        <v>579</v>
      </c>
      <c r="B1193" s="143" t="s">
        <v>1271</v>
      </c>
      <c r="C1193" s="143" t="s">
        <v>5006</v>
      </c>
      <c r="D1193" s="143" t="s">
        <v>5239</v>
      </c>
    </row>
    <row r="1194">
      <c r="A1194" s="143" t="s">
        <v>579</v>
      </c>
      <c r="B1194" s="143" t="s">
        <v>1271</v>
      </c>
      <c r="C1194" s="143" t="s">
        <v>5240</v>
      </c>
      <c r="D1194" s="143" t="s">
        <v>5241</v>
      </c>
    </row>
    <row r="1195">
      <c r="A1195" s="143" t="s">
        <v>579</v>
      </c>
      <c r="B1195" s="143" t="s">
        <v>1271</v>
      </c>
      <c r="C1195" s="143" t="s">
        <v>5242</v>
      </c>
      <c r="D1195" s="143" t="s">
        <v>5243</v>
      </c>
    </row>
    <row r="1196">
      <c r="A1196" s="143" t="s">
        <v>579</v>
      </c>
      <c r="B1196" s="143" t="s">
        <v>1271</v>
      </c>
      <c r="C1196" s="143" t="s">
        <v>3161</v>
      </c>
      <c r="D1196" s="143" t="s">
        <v>3162</v>
      </c>
    </row>
    <row r="1197">
      <c r="A1197" s="143" t="s">
        <v>579</v>
      </c>
      <c r="B1197" s="143" t="s">
        <v>1271</v>
      </c>
      <c r="C1197" s="143" t="s">
        <v>1272</v>
      </c>
      <c r="D1197" s="143" t="s">
        <v>1273</v>
      </c>
    </row>
    <row r="1198">
      <c r="A1198" s="143" t="s">
        <v>579</v>
      </c>
      <c r="B1198" s="143" t="s">
        <v>1271</v>
      </c>
      <c r="C1198" s="143" t="s">
        <v>5244</v>
      </c>
      <c r="D1198" s="143" t="s">
        <v>5245</v>
      </c>
    </row>
    <row r="1199">
      <c r="A1199" s="143" t="s">
        <v>579</v>
      </c>
      <c r="B1199" s="143" t="s">
        <v>1271</v>
      </c>
      <c r="C1199" s="143" t="s">
        <v>5246</v>
      </c>
      <c r="D1199" s="143" t="s">
        <v>5247</v>
      </c>
    </row>
    <row r="1200">
      <c r="A1200" s="143" t="s">
        <v>579</v>
      </c>
      <c r="B1200" s="143" t="s">
        <v>1271</v>
      </c>
      <c r="C1200" s="143" t="s">
        <v>969</v>
      </c>
      <c r="D1200" s="143" t="s">
        <v>5248</v>
      </c>
    </row>
    <row r="1201">
      <c r="A1201" s="143" t="s">
        <v>579</v>
      </c>
      <c r="B1201" s="143" t="s">
        <v>1271</v>
      </c>
      <c r="C1201" s="143" t="s">
        <v>491</v>
      </c>
      <c r="D1201" s="143" t="s">
        <v>5249</v>
      </c>
    </row>
    <row r="1202">
      <c r="A1202" s="143" t="s">
        <v>579</v>
      </c>
      <c r="B1202" s="143" t="s">
        <v>1271</v>
      </c>
      <c r="C1202" s="143" t="s">
        <v>5250</v>
      </c>
      <c r="D1202" s="143" t="s">
        <v>5251</v>
      </c>
    </row>
    <row r="1203">
      <c r="A1203" s="143" t="s">
        <v>579</v>
      </c>
      <c r="B1203" s="143" t="s">
        <v>1271</v>
      </c>
      <c r="C1203" s="143" t="s">
        <v>1763</v>
      </c>
      <c r="D1203" s="143" t="s">
        <v>1764</v>
      </c>
    </row>
    <row r="1204">
      <c r="A1204" s="143" t="s">
        <v>579</v>
      </c>
      <c r="B1204" s="143" t="s">
        <v>1271</v>
      </c>
      <c r="C1204" s="143" t="s">
        <v>1494</v>
      </c>
      <c r="D1204" s="143" t="s">
        <v>1495</v>
      </c>
    </row>
    <row r="1205">
      <c r="A1205" s="143" t="s">
        <v>579</v>
      </c>
      <c r="B1205" s="143" t="s">
        <v>1271</v>
      </c>
      <c r="C1205" s="143" t="s">
        <v>2648</v>
      </c>
      <c r="D1205" s="143" t="s">
        <v>2649</v>
      </c>
    </row>
    <row r="1206">
      <c r="A1206" s="143" t="s">
        <v>579</v>
      </c>
      <c r="B1206" s="143" t="s">
        <v>1271</v>
      </c>
      <c r="C1206" s="143" t="s">
        <v>5252</v>
      </c>
      <c r="D1206" s="143" t="s">
        <v>5253</v>
      </c>
    </row>
    <row r="1207">
      <c r="A1207" s="143" t="s">
        <v>579</v>
      </c>
      <c r="B1207" s="143" t="s">
        <v>5254</v>
      </c>
      <c r="C1207" s="143" t="s">
        <v>5255</v>
      </c>
      <c r="D1207" s="143" t="s">
        <v>5256</v>
      </c>
    </row>
    <row r="1208">
      <c r="A1208" s="143" t="s">
        <v>579</v>
      </c>
      <c r="B1208" s="143" t="s">
        <v>5254</v>
      </c>
      <c r="C1208" s="143" t="s">
        <v>5254</v>
      </c>
      <c r="D1208" s="143" t="s">
        <v>5257</v>
      </c>
    </row>
    <row r="1209">
      <c r="A1209" s="143" t="s">
        <v>579</v>
      </c>
      <c r="B1209" s="143" t="s">
        <v>5254</v>
      </c>
      <c r="C1209" s="143" t="s">
        <v>5258</v>
      </c>
      <c r="D1209" s="143" t="s">
        <v>5259</v>
      </c>
    </row>
    <row r="1210">
      <c r="A1210" s="143" t="s">
        <v>579</v>
      </c>
      <c r="B1210" s="143" t="s">
        <v>5254</v>
      </c>
      <c r="C1210" s="143" t="s">
        <v>5260</v>
      </c>
      <c r="D1210" s="143" t="s">
        <v>5261</v>
      </c>
    </row>
    <row r="1211">
      <c r="A1211" s="143" t="s">
        <v>579</v>
      </c>
      <c r="B1211" s="143" t="s">
        <v>5254</v>
      </c>
      <c r="C1211" s="143" t="s">
        <v>5262</v>
      </c>
      <c r="D1211" s="143" t="s">
        <v>5263</v>
      </c>
    </row>
    <row r="1212">
      <c r="A1212" s="143" t="s">
        <v>579</v>
      </c>
      <c r="B1212" s="143" t="s">
        <v>5254</v>
      </c>
      <c r="C1212" s="143" t="s">
        <v>5264</v>
      </c>
      <c r="D1212" s="143" t="s">
        <v>5265</v>
      </c>
    </row>
    <row r="1213">
      <c r="A1213" s="143" t="s">
        <v>579</v>
      </c>
      <c r="B1213" s="143" t="s">
        <v>5254</v>
      </c>
      <c r="C1213" s="143" t="s">
        <v>5266</v>
      </c>
      <c r="D1213" s="143" t="s">
        <v>5267</v>
      </c>
    </row>
    <row r="1214">
      <c r="A1214" s="143" t="s">
        <v>579</v>
      </c>
      <c r="B1214" s="143" t="s">
        <v>5254</v>
      </c>
      <c r="C1214" s="143" t="s">
        <v>5268</v>
      </c>
      <c r="D1214" s="143" t="s">
        <v>5269</v>
      </c>
    </row>
    <row r="1215">
      <c r="A1215" s="143" t="s">
        <v>590</v>
      </c>
      <c r="B1215" s="143" t="s">
        <v>591</v>
      </c>
      <c r="C1215" s="143" t="s">
        <v>592</v>
      </c>
      <c r="D1215" s="143" t="s">
        <v>593</v>
      </c>
    </row>
    <row r="1216">
      <c r="A1216" s="143" t="s">
        <v>590</v>
      </c>
      <c r="B1216" s="143" t="s">
        <v>591</v>
      </c>
      <c r="C1216" s="143" t="s">
        <v>5270</v>
      </c>
      <c r="D1216" s="143" t="s">
        <v>5271</v>
      </c>
    </row>
    <row r="1217">
      <c r="A1217" s="143" t="s">
        <v>590</v>
      </c>
      <c r="B1217" s="143" t="s">
        <v>591</v>
      </c>
      <c r="C1217" s="143" t="s">
        <v>5272</v>
      </c>
      <c r="D1217" s="143" t="s">
        <v>5273</v>
      </c>
    </row>
    <row r="1218">
      <c r="A1218" s="143" t="s">
        <v>590</v>
      </c>
      <c r="B1218" s="143" t="s">
        <v>591</v>
      </c>
      <c r="C1218" s="143" t="s">
        <v>4889</v>
      </c>
      <c r="D1218" s="143" t="s">
        <v>5274</v>
      </c>
    </row>
    <row r="1219">
      <c r="A1219" s="143" t="s">
        <v>590</v>
      </c>
      <c r="B1219" s="143" t="s">
        <v>591</v>
      </c>
      <c r="C1219" s="143" t="s">
        <v>5275</v>
      </c>
      <c r="D1219" s="143" t="s">
        <v>5276</v>
      </c>
    </row>
    <row r="1220">
      <c r="A1220" s="143" t="s">
        <v>590</v>
      </c>
      <c r="B1220" s="143" t="s">
        <v>591</v>
      </c>
      <c r="C1220" s="143" t="s">
        <v>5277</v>
      </c>
      <c r="D1220" s="143" t="s">
        <v>5278</v>
      </c>
    </row>
    <row r="1221">
      <c r="A1221" s="143" t="s">
        <v>590</v>
      </c>
      <c r="B1221" s="143" t="s">
        <v>591</v>
      </c>
      <c r="C1221" s="143" t="s">
        <v>5279</v>
      </c>
      <c r="D1221" s="143" t="s">
        <v>5280</v>
      </c>
    </row>
    <row r="1222">
      <c r="A1222" s="143" t="s">
        <v>590</v>
      </c>
      <c r="B1222" s="143" t="s">
        <v>591</v>
      </c>
      <c r="C1222" s="143" t="s">
        <v>5281</v>
      </c>
      <c r="D1222" s="143" t="s">
        <v>5282</v>
      </c>
    </row>
    <row r="1223">
      <c r="A1223" s="143" t="s">
        <v>590</v>
      </c>
      <c r="B1223" s="143" t="s">
        <v>591</v>
      </c>
      <c r="C1223" s="143" t="s">
        <v>5283</v>
      </c>
      <c r="D1223" s="143" t="s">
        <v>5284</v>
      </c>
    </row>
    <row r="1224">
      <c r="A1224" s="143" t="s">
        <v>590</v>
      </c>
      <c r="B1224" s="143" t="s">
        <v>591</v>
      </c>
      <c r="C1224" s="143" t="s">
        <v>5285</v>
      </c>
      <c r="D1224" s="143" t="s">
        <v>5286</v>
      </c>
    </row>
    <row r="1225">
      <c r="A1225" s="143" t="s">
        <v>590</v>
      </c>
      <c r="B1225" s="143" t="s">
        <v>591</v>
      </c>
      <c r="C1225" s="143" t="s">
        <v>5287</v>
      </c>
      <c r="D1225" s="143" t="s">
        <v>5288</v>
      </c>
    </row>
    <row r="1226">
      <c r="A1226" s="143" t="s">
        <v>590</v>
      </c>
      <c r="B1226" s="143" t="s">
        <v>591</v>
      </c>
      <c r="C1226" s="143" t="s">
        <v>3856</v>
      </c>
      <c r="D1226" s="143" t="s">
        <v>5289</v>
      </c>
    </row>
    <row r="1227">
      <c r="A1227" s="143" t="s">
        <v>590</v>
      </c>
      <c r="B1227" s="143" t="s">
        <v>591</v>
      </c>
      <c r="C1227" s="143" t="s">
        <v>5290</v>
      </c>
      <c r="D1227" s="143" t="s">
        <v>5291</v>
      </c>
    </row>
    <row r="1228">
      <c r="A1228" s="143" t="s">
        <v>590</v>
      </c>
      <c r="B1228" s="143" t="s">
        <v>591</v>
      </c>
      <c r="C1228" s="143" t="s">
        <v>5292</v>
      </c>
      <c r="D1228" s="143" t="s">
        <v>5293</v>
      </c>
    </row>
    <row r="1229">
      <c r="A1229" s="143" t="s">
        <v>590</v>
      </c>
      <c r="B1229" s="143" t="s">
        <v>591</v>
      </c>
      <c r="C1229" s="143" t="s">
        <v>5294</v>
      </c>
      <c r="D1229" s="143" t="s">
        <v>5295</v>
      </c>
    </row>
    <row r="1230">
      <c r="A1230" s="143" t="s">
        <v>590</v>
      </c>
      <c r="B1230" s="143" t="s">
        <v>591</v>
      </c>
      <c r="C1230" s="143" t="s">
        <v>5296</v>
      </c>
      <c r="D1230" s="143" t="s">
        <v>5297</v>
      </c>
    </row>
    <row r="1231">
      <c r="A1231" s="143" t="s">
        <v>590</v>
      </c>
      <c r="B1231" s="143" t="s">
        <v>591</v>
      </c>
      <c r="C1231" s="143" t="s">
        <v>5298</v>
      </c>
      <c r="D1231" s="143" t="s">
        <v>5299</v>
      </c>
    </row>
    <row r="1232">
      <c r="A1232" s="143" t="s">
        <v>590</v>
      </c>
      <c r="B1232" s="143" t="s">
        <v>591</v>
      </c>
      <c r="C1232" s="143" t="s">
        <v>5300</v>
      </c>
      <c r="D1232" s="143" t="s">
        <v>5301</v>
      </c>
    </row>
    <row r="1233">
      <c r="A1233" s="143" t="s">
        <v>590</v>
      </c>
      <c r="B1233" s="143" t="s">
        <v>591</v>
      </c>
      <c r="C1233" s="143" t="s">
        <v>5302</v>
      </c>
      <c r="D1233" s="143" t="s">
        <v>5303</v>
      </c>
    </row>
    <row r="1234">
      <c r="A1234" s="143" t="s">
        <v>590</v>
      </c>
      <c r="B1234" s="143" t="s">
        <v>591</v>
      </c>
      <c r="C1234" s="143" t="s">
        <v>5304</v>
      </c>
      <c r="D1234" s="143" t="s">
        <v>5305</v>
      </c>
    </row>
    <row r="1235">
      <c r="A1235" s="143" t="s">
        <v>590</v>
      </c>
      <c r="B1235" s="143" t="s">
        <v>591</v>
      </c>
      <c r="C1235" s="143" t="s">
        <v>5306</v>
      </c>
      <c r="D1235" s="143" t="s">
        <v>5307</v>
      </c>
    </row>
    <row r="1236">
      <c r="A1236" s="143" t="s">
        <v>590</v>
      </c>
      <c r="B1236" s="143" t="s">
        <v>591</v>
      </c>
      <c r="C1236" s="143" t="s">
        <v>5308</v>
      </c>
      <c r="D1236" s="143" t="s">
        <v>5309</v>
      </c>
    </row>
    <row r="1237">
      <c r="A1237" s="143" t="s">
        <v>590</v>
      </c>
      <c r="B1237" s="143" t="s">
        <v>591</v>
      </c>
      <c r="C1237" s="143" t="s">
        <v>5310</v>
      </c>
      <c r="D1237" s="143" t="s">
        <v>5311</v>
      </c>
    </row>
    <row r="1238">
      <c r="A1238" s="143" t="s">
        <v>590</v>
      </c>
      <c r="B1238" s="143" t="s">
        <v>591</v>
      </c>
      <c r="C1238" s="143" t="s">
        <v>5312</v>
      </c>
      <c r="D1238" s="143" t="s">
        <v>5313</v>
      </c>
    </row>
    <row r="1239">
      <c r="A1239" s="143" t="s">
        <v>590</v>
      </c>
      <c r="B1239" s="143" t="s">
        <v>591</v>
      </c>
      <c r="C1239" s="143" t="s">
        <v>5314</v>
      </c>
      <c r="D1239" s="143" t="s">
        <v>5315</v>
      </c>
    </row>
    <row r="1240">
      <c r="A1240" s="143" t="s">
        <v>590</v>
      </c>
      <c r="B1240" s="143" t="s">
        <v>591</v>
      </c>
      <c r="C1240" s="143" t="s">
        <v>5316</v>
      </c>
      <c r="D1240" s="143" t="s">
        <v>5317</v>
      </c>
    </row>
    <row r="1241">
      <c r="A1241" s="143" t="s">
        <v>590</v>
      </c>
      <c r="B1241" s="143" t="s">
        <v>591</v>
      </c>
      <c r="C1241" s="143" t="s">
        <v>5318</v>
      </c>
      <c r="D1241" s="143" t="s">
        <v>5319</v>
      </c>
    </row>
    <row r="1242">
      <c r="A1242" s="143" t="s">
        <v>590</v>
      </c>
      <c r="B1242" s="143" t="s">
        <v>769</v>
      </c>
      <c r="C1242" s="143" t="s">
        <v>1208</v>
      </c>
      <c r="D1242" s="143" t="s">
        <v>5320</v>
      </c>
    </row>
    <row r="1243">
      <c r="A1243" s="143" t="s">
        <v>590</v>
      </c>
      <c r="B1243" s="143" t="s">
        <v>769</v>
      </c>
      <c r="C1243" s="143" t="s">
        <v>5321</v>
      </c>
      <c r="D1243" s="143" t="s">
        <v>5322</v>
      </c>
    </row>
    <row r="1244">
      <c r="A1244" s="143" t="s">
        <v>590</v>
      </c>
      <c r="B1244" s="143" t="s">
        <v>769</v>
      </c>
      <c r="C1244" s="143" t="s">
        <v>5323</v>
      </c>
      <c r="D1244" s="143" t="s">
        <v>5324</v>
      </c>
    </row>
    <row r="1245">
      <c r="A1245" s="143" t="s">
        <v>590</v>
      </c>
      <c r="B1245" s="143" t="s">
        <v>769</v>
      </c>
      <c r="C1245" s="143" t="s">
        <v>5325</v>
      </c>
      <c r="D1245" s="143" t="s">
        <v>5326</v>
      </c>
    </row>
    <row r="1246">
      <c r="A1246" s="143" t="s">
        <v>590</v>
      </c>
      <c r="B1246" s="143" t="s">
        <v>769</v>
      </c>
      <c r="C1246" s="143" t="s">
        <v>5327</v>
      </c>
      <c r="D1246" s="143" t="s">
        <v>5328</v>
      </c>
    </row>
    <row r="1247">
      <c r="A1247" s="143" t="s">
        <v>590</v>
      </c>
      <c r="B1247" s="143" t="s">
        <v>769</v>
      </c>
      <c r="C1247" s="143" t="s">
        <v>5329</v>
      </c>
      <c r="D1247" s="143" t="s">
        <v>5330</v>
      </c>
    </row>
    <row r="1248">
      <c r="A1248" s="143" t="s">
        <v>590</v>
      </c>
      <c r="B1248" s="143" t="s">
        <v>769</v>
      </c>
      <c r="C1248" s="143" t="s">
        <v>5331</v>
      </c>
      <c r="D1248" s="143" t="s">
        <v>5332</v>
      </c>
    </row>
    <row r="1249">
      <c r="A1249" s="143" t="s">
        <v>590</v>
      </c>
      <c r="B1249" s="143" t="s">
        <v>769</v>
      </c>
      <c r="C1249" s="143" t="s">
        <v>5333</v>
      </c>
      <c r="D1249" s="143" t="s">
        <v>5334</v>
      </c>
    </row>
    <row r="1250">
      <c r="A1250" s="143" t="s">
        <v>590</v>
      </c>
      <c r="B1250" s="143" t="s">
        <v>769</v>
      </c>
      <c r="C1250" s="143" t="s">
        <v>5335</v>
      </c>
      <c r="D1250" s="143" t="s">
        <v>5336</v>
      </c>
    </row>
    <row r="1251">
      <c r="A1251" s="143" t="s">
        <v>590</v>
      </c>
      <c r="B1251" s="143" t="s">
        <v>769</v>
      </c>
      <c r="C1251" s="143" t="s">
        <v>5337</v>
      </c>
      <c r="D1251" s="143" t="s">
        <v>5338</v>
      </c>
    </row>
    <row r="1252">
      <c r="A1252" s="143" t="s">
        <v>590</v>
      </c>
      <c r="B1252" s="143" t="s">
        <v>769</v>
      </c>
      <c r="C1252" s="143" t="s">
        <v>5339</v>
      </c>
      <c r="D1252" s="143" t="s">
        <v>5340</v>
      </c>
    </row>
    <row r="1253">
      <c r="A1253" s="143" t="s">
        <v>590</v>
      </c>
      <c r="B1253" s="143" t="s">
        <v>769</v>
      </c>
      <c r="C1253" s="143" t="s">
        <v>5341</v>
      </c>
      <c r="D1253" s="143" t="s">
        <v>5342</v>
      </c>
    </row>
    <row r="1254">
      <c r="A1254" s="143" t="s">
        <v>590</v>
      </c>
      <c r="B1254" s="143" t="s">
        <v>769</v>
      </c>
      <c r="C1254" s="143" t="s">
        <v>5343</v>
      </c>
      <c r="D1254" s="143" t="s">
        <v>5344</v>
      </c>
    </row>
    <row r="1255">
      <c r="A1255" s="143" t="s">
        <v>590</v>
      </c>
      <c r="B1255" s="143" t="s">
        <v>769</v>
      </c>
      <c r="C1255" s="143" t="s">
        <v>770</v>
      </c>
      <c r="D1255" s="143" t="s">
        <v>771</v>
      </c>
    </row>
    <row r="1256">
      <c r="A1256" s="143" t="s">
        <v>590</v>
      </c>
      <c r="B1256" s="143" t="s">
        <v>769</v>
      </c>
      <c r="C1256" s="143" t="s">
        <v>5345</v>
      </c>
      <c r="D1256" s="143" t="s">
        <v>5346</v>
      </c>
    </row>
    <row r="1257">
      <c r="A1257" s="143" t="s">
        <v>590</v>
      </c>
      <c r="B1257" s="143" t="s">
        <v>769</v>
      </c>
      <c r="C1257" s="143" t="s">
        <v>4031</v>
      </c>
      <c r="D1257" s="143" t="s">
        <v>5347</v>
      </c>
    </row>
    <row r="1258">
      <c r="A1258" s="143" t="s">
        <v>590</v>
      </c>
      <c r="B1258" s="143" t="s">
        <v>769</v>
      </c>
      <c r="C1258" s="143" t="s">
        <v>3929</v>
      </c>
      <c r="D1258" s="143" t="s">
        <v>5348</v>
      </c>
    </row>
    <row r="1259">
      <c r="A1259" s="143" t="s">
        <v>590</v>
      </c>
      <c r="B1259" s="143" t="s">
        <v>769</v>
      </c>
      <c r="C1259" s="143" t="s">
        <v>5349</v>
      </c>
      <c r="D1259" s="143" t="s">
        <v>5350</v>
      </c>
    </row>
    <row r="1260">
      <c r="A1260" s="143" t="s">
        <v>590</v>
      </c>
      <c r="B1260" s="143" t="s">
        <v>769</v>
      </c>
      <c r="C1260" s="143" t="s">
        <v>5351</v>
      </c>
      <c r="D1260" s="143" t="s">
        <v>5352</v>
      </c>
    </row>
    <row r="1261">
      <c r="A1261" s="143" t="s">
        <v>590</v>
      </c>
      <c r="B1261" s="143" t="s">
        <v>769</v>
      </c>
      <c r="C1261" s="143" t="s">
        <v>5353</v>
      </c>
      <c r="D1261" s="143" t="s">
        <v>5354</v>
      </c>
    </row>
    <row r="1262">
      <c r="A1262" s="143" t="s">
        <v>590</v>
      </c>
      <c r="B1262" s="143" t="s">
        <v>769</v>
      </c>
      <c r="C1262" s="143" t="s">
        <v>1517</v>
      </c>
      <c r="D1262" s="143" t="s">
        <v>1518</v>
      </c>
    </row>
    <row r="1263">
      <c r="A1263" s="143" t="s">
        <v>590</v>
      </c>
      <c r="B1263" s="143" t="s">
        <v>769</v>
      </c>
      <c r="C1263" s="143" t="s">
        <v>5355</v>
      </c>
      <c r="D1263" s="143" t="s">
        <v>5356</v>
      </c>
    </row>
    <row r="1264">
      <c r="A1264" s="143" t="s">
        <v>590</v>
      </c>
      <c r="B1264" s="143" t="s">
        <v>769</v>
      </c>
      <c r="C1264" s="143" t="s">
        <v>5357</v>
      </c>
      <c r="D1264" s="143" t="s">
        <v>5358</v>
      </c>
    </row>
    <row r="1265">
      <c r="A1265" s="143" t="s">
        <v>590</v>
      </c>
      <c r="B1265" s="143" t="s">
        <v>769</v>
      </c>
      <c r="C1265" s="143" t="s">
        <v>1428</v>
      </c>
      <c r="D1265" s="143" t="s">
        <v>5359</v>
      </c>
    </row>
    <row r="1266">
      <c r="A1266" s="143" t="s">
        <v>590</v>
      </c>
      <c r="B1266" s="143" t="s">
        <v>769</v>
      </c>
      <c r="C1266" s="143" t="s">
        <v>5360</v>
      </c>
      <c r="D1266" s="143" t="s">
        <v>5361</v>
      </c>
    </row>
    <row r="1267">
      <c r="A1267" s="143" t="s">
        <v>590</v>
      </c>
      <c r="B1267" s="143" t="s">
        <v>769</v>
      </c>
      <c r="C1267" s="143" t="s">
        <v>5362</v>
      </c>
      <c r="D1267" s="143" t="s">
        <v>5363</v>
      </c>
    </row>
    <row r="1268">
      <c r="A1268" s="143" t="s">
        <v>590</v>
      </c>
      <c r="B1268" s="143" t="s">
        <v>769</v>
      </c>
      <c r="C1268" s="143" t="s">
        <v>5364</v>
      </c>
      <c r="D1268" s="143" t="s">
        <v>5365</v>
      </c>
    </row>
    <row r="1269">
      <c r="A1269" s="143" t="s">
        <v>590</v>
      </c>
      <c r="B1269" s="143" t="s">
        <v>769</v>
      </c>
      <c r="C1269" s="143" t="s">
        <v>5366</v>
      </c>
      <c r="D1269" s="143" t="s">
        <v>5367</v>
      </c>
    </row>
    <row r="1270">
      <c r="A1270" s="143" t="s">
        <v>590</v>
      </c>
      <c r="B1270" s="143" t="s">
        <v>5368</v>
      </c>
      <c r="C1270" s="143" t="s">
        <v>3873</v>
      </c>
      <c r="D1270" s="143" t="s">
        <v>5369</v>
      </c>
    </row>
    <row r="1271">
      <c r="A1271" s="143" t="s">
        <v>590</v>
      </c>
      <c r="B1271" s="143" t="s">
        <v>5368</v>
      </c>
      <c r="C1271" s="143" t="s">
        <v>5370</v>
      </c>
      <c r="D1271" s="143" t="s">
        <v>5371</v>
      </c>
    </row>
    <row r="1272">
      <c r="A1272" s="143" t="s">
        <v>590</v>
      </c>
      <c r="B1272" s="143" t="s">
        <v>5368</v>
      </c>
      <c r="C1272" s="143" t="s">
        <v>5372</v>
      </c>
      <c r="D1272" s="143" t="s">
        <v>5373</v>
      </c>
    </row>
    <row r="1273">
      <c r="A1273" s="143" t="s">
        <v>590</v>
      </c>
      <c r="B1273" s="143" t="s">
        <v>5368</v>
      </c>
      <c r="C1273" s="143" t="s">
        <v>5374</v>
      </c>
      <c r="D1273" s="143" t="s">
        <v>5375</v>
      </c>
    </row>
    <row r="1274">
      <c r="A1274" s="143" t="s">
        <v>590</v>
      </c>
      <c r="B1274" s="143" t="s">
        <v>5368</v>
      </c>
      <c r="C1274" s="143" t="s">
        <v>5376</v>
      </c>
      <c r="D1274" s="143" t="s">
        <v>5377</v>
      </c>
    </row>
    <row r="1275">
      <c r="A1275" s="143" t="s">
        <v>590</v>
      </c>
      <c r="B1275" s="143" t="s">
        <v>5368</v>
      </c>
      <c r="C1275" s="143" t="s">
        <v>5378</v>
      </c>
      <c r="D1275" s="143" t="s">
        <v>5379</v>
      </c>
    </row>
    <row r="1276">
      <c r="A1276" s="143" t="s">
        <v>590</v>
      </c>
      <c r="B1276" s="143" t="s">
        <v>5368</v>
      </c>
      <c r="C1276" s="143" t="s">
        <v>5380</v>
      </c>
      <c r="D1276" s="143" t="s">
        <v>5381</v>
      </c>
    </row>
    <row r="1277">
      <c r="A1277" s="143" t="s">
        <v>590</v>
      </c>
      <c r="B1277" s="143" t="s">
        <v>5368</v>
      </c>
      <c r="C1277" s="143" t="s">
        <v>5382</v>
      </c>
      <c r="D1277" s="143" t="s">
        <v>5383</v>
      </c>
    </row>
    <row r="1278">
      <c r="A1278" s="143" t="s">
        <v>590</v>
      </c>
      <c r="B1278" s="143" t="s">
        <v>5368</v>
      </c>
      <c r="C1278" s="143" t="s">
        <v>5384</v>
      </c>
      <c r="D1278" s="143" t="s">
        <v>5385</v>
      </c>
    </row>
    <row r="1279">
      <c r="A1279" s="143" t="s">
        <v>590</v>
      </c>
      <c r="B1279" s="143" t="s">
        <v>5368</v>
      </c>
      <c r="C1279" s="143" t="s">
        <v>5386</v>
      </c>
      <c r="D1279" s="143" t="s">
        <v>5387</v>
      </c>
    </row>
    <row r="1280">
      <c r="A1280" s="143" t="s">
        <v>590</v>
      </c>
      <c r="B1280" s="143" t="s">
        <v>5368</v>
      </c>
      <c r="C1280" s="143" t="s">
        <v>5388</v>
      </c>
      <c r="D1280" s="143" t="s">
        <v>5389</v>
      </c>
    </row>
    <row r="1281">
      <c r="A1281" s="143" t="s">
        <v>590</v>
      </c>
      <c r="B1281" s="143" t="s">
        <v>5368</v>
      </c>
      <c r="C1281" s="143" t="s">
        <v>5390</v>
      </c>
      <c r="D1281" s="143" t="s">
        <v>5391</v>
      </c>
    </row>
    <row r="1282">
      <c r="A1282" s="143" t="s">
        <v>590</v>
      </c>
      <c r="B1282" s="143" t="s">
        <v>5368</v>
      </c>
      <c r="C1282" s="143" t="s">
        <v>5392</v>
      </c>
      <c r="D1282" s="143" t="s">
        <v>5393</v>
      </c>
    </row>
    <row r="1283">
      <c r="A1283" s="143" t="s">
        <v>590</v>
      </c>
      <c r="B1283" s="143" t="s">
        <v>5368</v>
      </c>
      <c r="C1283" s="143" t="s">
        <v>5394</v>
      </c>
      <c r="D1283" s="143" t="s">
        <v>5395</v>
      </c>
    </row>
    <row r="1284">
      <c r="A1284" s="143" t="s">
        <v>590</v>
      </c>
      <c r="B1284" s="143" t="s">
        <v>5368</v>
      </c>
      <c r="C1284" s="143" t="s">
        <v>5396</v>
      </c>
      <c r="D1284" s="143" t="s">
        <v>5397</v>
      </c>
    </row>
    <row r="1285">
      <c r="A1285" s="143" t="s">
        <v>590</v>
      </c>
      <c r="B1285" s="143" t="s">
        <v>5368</v>
      </c>
      <c r="C1285" s="143" t="s">
        <v>5398</v>
      </c>
      <c r="D1285" s="143" t="s">
        <v>5399</v>
      </c>
    </row>
    <row r="1286">
      <c r="A1286" s="143" t="s">
        <v>590</v>
      </c>
      <c r="B1286" s="144" t="s">
        <v>1333</v>
      </c>
      <c r="C1286" s="143" t="s">
        <v>5400</v>
      </c>
      <c r="D1286" s="143" t="s">
        <v>5401</v>
      </c>
    </row>
    <row r="1287">
      <c r="A1287" s="143" t="s">
        <v>171</v>
      </c>
      <c r="B1287" s="143" t="s">
        <v>5402</v>
      </c>
      <c r="C1287" s="143" t="s">
        <v>5403</v>
      </c>
      <c r="D1287" s="143" t="s">
        <v>5404</v>
      </c>
    </row>
    <row r="1288">
      <c r="A1288" s="143" t="s">
        <v>171</v>
      </c>
      <c r="B1288" s="143" t="s">
        <v>5402</v>
      </c>
      <c r="C1288" s="143" t="s">
        <v>5405</v>
      </c>
      <c r="D1288" s="143" t="s">
        <v>5406</v>
      </c>
    </row>
    <row r="1289">
      <c r="A1289" s="143" t="s">
        <v>171</v>
      </c>
      <c r="B1289" s="143" t="s">
        <v>5402</v>
      </c>
      <c r="C1289" s="143" t="s">
        <v>5407</v>
      </c>
      <c r="D1289" s="143" t="s">
        <v>5408</v>
      </c>
    </row>
    <row r="1290">
      <c r="A1290" s="143" t="s">
        <v>171</v>
      </c>
      <c r="B1290" s="143" t="s">
        <v>5402</v>
      </c>
      <c r="C1290" s="143" t="s">
        <v>5409</v>
      </c>
      <c r="D1290" s="143" t="s">
        <v>5410</v>
      </c>
    </row>
    <row r="1291">
      <c r="A1291" s="143" t="s">
        <v>171</v>
      </c>
      <c r="B1291" s="143" t="s">
        <v>5402</v>
      </c>
      <c r="C1291" s="143" t="s">
        <v>5411</v>
      </c>
      <c r="D1291" s="143" t="s">
        <v>5412</v>
      </c>
    </row>
    <row r="1292">
      <c r="A1292" s="143" t="s">
        <v>171</v>
      </c>
      <c r="B1292" s="143" t="s">
        <v>5402</v>
      </c>
      <c r="C1292" s="143" t="s">
        <v>5413</v>
      </c>
      <c r="D1292" s="143" t="s">
        <v>5414</v>
      </c>
    </row>
    <row r="1293">
      <c r="A1293" s="143" t="s">
        <v>171</v>
      </c>
      <c r="B1293" s="143" t="s">
        <v>5402</v>
      </c>
      <c r="C1293" s="143" t="s">
        <v>5415</v>
      </c>
      <c r="D1293" s="143" t="s">
        <v>5416</v>
      </c>
    </row>
    <row r="1294">
      <c r="A1294" s="143" t="s">
        <v>171</v>
      </c>
      <c r="B1294" s="143" t="s">
        <v>5402</v>
      </c>
      <c r="C1294" s="143" t="s">
        <v>5417</v>
      </c>
      <c r="D1294" s="143" t="s">
        <v>5418</v>
      </c>
    </row>
    <row r="1295">
      <c r="A1295" s="143" t="s">
        <v>171</v>
      </c>
      <c r="B1295" s="143" t="s">
        <v>5402</v>
      </c>
      <c r="C1295" s="143" t="s">
        <v>5419</v>
      </c>
      <c r="D1295" s="143" t="s">
        <v>5420</v>
      </c>
    </row>
    <row r="1296">
      <c r="A1296" s="143" t="s">
        <v>171</v>
      </c>
      <c r="B1296" s="143" t="s">
        <v>5402</v>
      </c>
      <c r="C1296" s="143" t="s">
        <v>5421</v>
      </c>
      <c r="D1296" s="143" t="s">
        <v>5422</v>
      </c>
    </row>
    <row r="1297">
      <c r="A1297" s="143" t="s">
        <v>171</v>
      </c>
      <c r="B1297" s="143" t="s">
        <v>5402</v>
      </c>
      <c r="C1297" s="143" t="s">
        <v>5423</v>
      </c>
      <c r="D1297" s="143" t="s">
        <v>5424</v>
      </c>
    </row>
    <row r="1298">
      <c r="A1298" s="143" t="s">
        <v>171</v>
      </c>
      <c r="B1298" s="143" t="s">
        <v>5402</v>
      </c>
      <c r="C1298" s="143" t="s">
        <v>5425</v>
      </c>
      <c r="D1298" s="143" t="s">
        <v>5426</v>
      </c>
    </row>
    <row r="1299">
      <c r="A1299" s="143" t="s">
        <v>171</v>
      </c>
      <c r="B1299" s="143" t="s">
        <v>5402</v>
      </c>
      <c r="C1299" s="143" t="s">
        <v>3161</v>
      </c>
      <c r="D1299" s="143" t="s">
        <v>5427</v>
      </c>
    </row>
    <row r="1300">
      <c r="A1300" s="143" t="s">
        <v>171</v>
      </c>
      <c r="B1300" s="143" t="s">
        <v>5402</v>
      </c>
      <c r="C1300" s="143" t="s">
        <v>5428</v>
      </c>
      <c r="D1300" s="143" t="s">
        <v>5429</v>
      </c>
    </row>
    <row r="1301">
      <c r="A1301" s="143" t="s">
        <v>171</v>
      </c>
      <c r="B1301" s="143" t="s">
        <v>5402</v>
      </c>
      <c r="C1301" s="143" t="s">
        <v>5430</v>
      </c>
      <c r="D1301" s="143" t="s">
        <v>5431</v>
      </c>
    </row>
    <row r="1302">
      <c r="A1302" s="143" t="s">
        <v>171</v>
      </c>
      <c r="B1302" s="143" t="s">
        <v>5402</v>
      </c>
      <c r="C1302" s="143" t="s">
        <v>5432</v>
      </c>
      <c r="D1302" s="143" t="s">
        <v>5433</v>
      </c>
    </row>
    <row r="1303">
      <c r="A1303" s="143" t="s">
        <v>171</v>
      </c>
      <c r="B1303" s="143" t="s">
        <v>5402</v>
      </c>
      <c r="C1303" s="143" t="s">
        <v>497</v>
      </c>
      <c r="D1303" s="143" t="s">
        <v>5434</v>
      </c>
    </row>
    <row r="1304">
      <c r="A1304" s="143" t="s">
        <v>171</v>
      </c>
      <c r="B1304" s="143" t="s">
        <v>5402</v>
      </c>
      <c r="C1304" s="143" t="s">
        <v>1120</v>
      </c>
      <c r="D1304" s="143" t="s">
        <v>5435</v>
      </c>
    </row>
    <row r="1305">
      <c r="A1305" s="143" t="s">
        <v>171</v>
      </c>
      <c r="B1305" s="143" t="s">
        <v>5402</v>
      </c>
      <c r="C1305" s="143" t="s">
        <v>5436</v>
      </c>
      <c r="D1305" s="143" t="s">
        <v>5437</v>
      </c>
    </row>
    <row r="1306">
      <c r="A1306" s="143" t="s">
        <v>171</v>
      </c>
      <c r="B1306" s="143" t="s">
        <v>5402</v>
      </c>
      <c r="C1306" s="143" t="s">
        <v>5438</v>
      </c>
      <c r="D1306" s="143" t="s">
        <v>5439</v>
      </c>
    </row>
    <row r="1307">
      <c r="A1307" s="143" t="s">
        <v>171</v>
      </c>
      <c r="B1307" s="143" t="s">
        <v>5402</v>
      </c>
      <c r="C1307" s="143" t="s">
        <v>5440</v>
      </c>
      <c r="D1307" s="143" t="s">
        <v>5441</v>
      </c>
    </row>
    <row r="1308">
      <c r="A1308" s="143" t="s">
        <v>171</v>
      </c>
      <c r="B1308" s="143" t="s">
        <v>5402</v>
      </c>
      <c r="C1308" s="143" t="s">
        <v>5442</v>
      </c>
      <c r="D1308" s="143" t="s">
        <v>5443</v>
      </c>
    </row>
    <row r="1309">
      <c r="A1309" s="143" t="s">
        <v>171</v>
      </c>
      <c r="B1309" s="143" t="s">
        <v>1725</v>
      </c>
      <c r="C1309" s="143" t="s">
        <v>5146</v>
      </c>
      <c r="D1309" s="143" t="s">
        <v>5444</v>
      </c>
    </row>
    <row r="1310">
      <c r="A1310" s="143" t="s">
        <v>171</v>
      </c>
      <c r="B1310" s="143" t="s">
        <v>1725</v>
      </c>
      <c r="C1310" s="143" t="s">
        <v>1726</v>
      </c>
      <c r="D1310" s="143" t="s">
        <v>1727</v>
      </c>
    </row>
    <row r="1311">
      <c r="A1311" s="143" t="s">
        <v>171</v>
      </c>
      <c r="B1311" s="143" t="s">
        <v>1725</v>
      </c>
      <c r="C1311" s="143" t="s">
        <v>1806</v>
      </c>
      <c r="D1311" s="143" t="s">
        <v>1807</v>
      </c>
    </row>
    <row r="1312">
      <c r="A1312" s="143" t="s">
        <v>171</v>
      </c>
      <c r="B1312" s="143" t="s">
        <v>1725</v>
      </c>
      <c r="C1312" s="143" t="s">
        <v>1783</v>
      </c>
      <c r="D1312" s="143" t="s">
        <v>1784</v>
      </c>
    </row>
    <row r="1313">
      <c r="A1313" s="143" t="s">
        <v>171</v>
      </c>
      <c r="B1313" s="143" t="s">
        <v>1725</v>
      </c>
      <c r="C1313" s="143" t="s">
        <v>5445</v>
      </c>
      <c r="D1313" s="143" t="s">
        <v>5446</v>
      </c>
    </row>
    <row r="1314">
      <c r="A1314" s="143" t="s">
        <v>171</v>
      </c>
      <c r="B1314" s="143" t="s">
        <v>600</v>
      </c>
      <c r="C1314" s="143" t="s">
        <v>5447</v>
      </c>
      <c r="D1314" s="143" t="s">
        <v>5448</v>
      </c>
    </row>
    <row r="1315">
      <c r="A1315" s="143" t="s">
        <v>171</v>
      </c>
      <c r="B1315" s="143" t="s">
        <v>600</v>
      </c>
      <c r="C1315" s="143" t="s">
        <v>5449</v>
      </c>
      <c r="D1315" s="143" t="s">
        <v>5450</v>
      </c>
    </row>
    <row r="1316">
      <c r="A1316" s="143" t="s">
        <v>171</v>
      </c>
      <c r="B1316" s="143" t="s">
        <v>600</v>
      </c>
      <c r="C1316" s="143" t="s">
        <v>5451</v>
      </c>
      <c r="D1316" s="143" t="s">
        <v>5452</v>
      </c>
    </row>
    <row r="1317">
      <c r="A1317" s="143" t="s">
        <v>171</v>
      </c>
      <c r="B1317" s="143" t="s">
        <v>600</v>
      </c>
      <c r="C1317" s="143" t="s">
        <v>5453</v>
      </c>
      <c r="D1317" s="143" t="s">
        <v>5454</v>
      </c>
    </row>
    <row r="1318">
      <c r="A1318" s="143" t="s">
        <v>171</v>
      </c>
      <c r="B1318" s="143" t="s">
        <v>600</v>
      </c>
      <c r="C1318" s="143" t="s">
        <v>3504</v>
      </c>
      <c r="D1318" s="143" t="s">
        <v>5455</v>
      </c>
    </row>
    <row r="1319">
      <c r="A1319" s="143" t="s">
        <v>171</v>
      </c>
      <c r="B1319" s="143" t="s">
        <v>600</v>
      </c>
      <c r="C1319" s="143" t="s">
        <v>5456</v>
      </c>
      <c r="D1319" s="143" t="s">
        <v>5457</v>
      </c>
    </row>
    <row r="1320">
      <c r="A1320" s="143" t="s">
        <v>171</v>
      </c>
      <c r="B1320" s="143" t="s">
        <v>600</v>
      </c>
      <c r="C1320" s="143" t="s">
        <v>601</v>
      </c>
      <c r="D1320" s="143" t="s">
        <v>602</v>
      </c>
    </row>
    <row r="1321">
      <c r="A1321" s="143" t="s">
        <v>171</v>
      </c>
      <c r="B1321" s="143" t="s">
        <v>600</v>
      </c>
      <c r="C1321" s="143" t="s">
        <v>5458</v>
      </c>
      <c r="D1321" s="143" t="s">
        <v>5459</v>
      </c>
    </row>
    <row r="1322">
      <c r="A1322" s="143" t="s">
        <v>171</v>
      </c>
      <c r="B1322" s="143" t="s">
        <v>600</v>
      </c>
      <c r="C1322" s="143" t="s">
        <v>5460</v>
      </c>
      <c r="D1322" s="143" t="s">
        <v>5461</v>
      </c>
    </row>
    <row r="1323">
      <c r="A1323" s="143" t="s">
        <v>171</v>
      </c>
      <c r="B1323" s="143" t="s">
        <v>600</v>
      </c>
      <c r="C1323" s="143" t="s">
        <v>2252</v>
      </c>
      <c r="D1323" s="143" t="s">
        <v>2253</v>
      </c>
    </row>
    <row r="1324">
      <c r="A1324" s="143" t="s">
        <v>171</v>
      </c>
      <c r="B1324" s="143" t="s">
        <v>600</v>
      </c>
      <c r="C1324" s="143" t="s">
        <v>4421</v>
      </c>
      <c r="D1324" s="143" t="s">
        <v>5462</v>
      </c>
    </row>
    <row r="1325">
      <c r="A1325" s="143" t="s">
        <v>171</v>
      </c>
      <c r="B1325" s="143" t="s">
        <v>600</v>
      </c>
      <c r="C1325" s="143" t="s">
        <v>1497</v>
      </c>
      <c r="D1325" s="143" t="s">
        <v>1498</v>
      </c>
    </row>
    <row r="1326">
      <c r="A1326" s="143" t="s">
        <v>171</v>
      </c>
      <c r="B1326" s="143" t="s">
        <v>600</v>
      </c>
      <c r="C1326" s="143" t="s">
        <v>5463</v>
      </c>
      <c r="D1326" s="143" t="s">
        <v>5464</v>
      </c>
    </row>
    <row r="1327">
      <c r="A1327" s="143" t="s">
        <v>171</v>
      </c>
      <c r="B1327" s="143" t="s">
        <v>600</v>
      </c>
      <c r="C1327" s="143" t="s">
        <v>5465</v>
      </c>
      <c r="D1327" s="143" t="s">
        <v>5466</v>
      </c>
    </row>
    <row r="1328">
      <c r="A1328" s="143" t="s">
        <v>171</v>
      </c>
      <c r="B1328" s="143" t="s">
        <v>600</v>
      </c>
      <c r="C1328" s="143" t="s">
        <v>5467</v>
      </c>
      <c r="D1328" s="143" t="s">
        <v>5468</v>
      </c>
    </row>
    <row r="1329">
      <c r="A1329" s="143" t="s">
        <v>171</v>
      </c>
      <c r="B1329" s="143" t="s">
        <v>600</v>
      </c>
      <c r="C1329" s="143" t="s">
        <v>5469</v>
      </c>
      <c r="D1329" s="143" t="s">
        <v>5470</v>
      </c>
    </row>
    <row r="1330">
      <c r="A1330" s="143" t="s">
        <v>171</v>
      </c>
      <c r="B1330" s="143" t="s">
        <v>600</v>
      </c>
      <c r="C1330" s="143" t="s">
        <v>5471</v>
      </c>
      <c r="D1330" s="143" t="s">
        <v>5472</v>
      </c>
    </row>
    <row r="1331">
      <c r="A1331" s="143" t="s">
        <v>171</v>
      </c>
      <c r="B1331" s="143" t="s">
        <v>600</v>
      </c>
      <c r="C1331" s="143" t="s">
        <v>5473</v>
      </c>
      <c r="D1331" s="143" t="s">
        <v>5474</v>
      </c>
    </row>
    <row r="1332">
      <c r="A1332" s="143" t="s">
        <v>171</v>
      </c>
      <c r="B1332" s="143" t="s">
        <v>600</v>
      </c>
      <c r="C1332" s="143" t="s">
        <v>5475</v>
      </c>
      <c r="D1332" s="143" t="s">
        <v>5476</v>
      </c>
    </row>
    <row r="1333">
      <c r="A1333" s="143" t="s">
        <v>171</v>
      </c>
      <c r="B1333" s="143" t="s">
        <v>600</v>
      </c>
      <c r="C1333" s="143" t="s">
        <v>5477</v>
      </c>
      <c r="D1333" s="143" t="s">
        <v>5478</v>
      </c>
    </row>
    <row r="1334">
      <c r="A1334" s="143" t="s">
        <v>171</v>
      </c>
      <c r="B1334" s="143" t="s">
        <v>600</v>
      </c>
      <c r="C1334" s="143" t="s">
        <v>5479</v>
      </c>
      <c r="D1334" s="143" t="s">
        <v>5480</v>
      </c>
    </row>
    <row r="1335">
      <c r="A1335" s="143" t="s">
        <v>171</v>
      </c>
      <c r="B1335" s="143" t="s">
        <v>600</v>
      </c>
      <c r="C1335" s="143" t="s">
        <v>5481</v>
      </c>
      <c r="D1335" s="143" t="s">
        <v>5482</v>
      </c>
    </row>
    <row r="1336">
      <c r="A1336" s="143" t="s">
        <v>171</v>
      </c>
      <c r="B1336" s="143" t="s">
        <v>600</v>
      </c>
      <c r="C1336" s="143" t="s">
        <v>5483</v>
      </c>
      <c r="D1336" s="143" t="s">
        <v>5484</v>
      </c>
    </row>
    <row r="1337">
      <c r="A1337" s="143" t="s">
        <v>171</v>
      </c>
      <c r="B1337" s="143" t="s">
        <v>976</v>
      </c>
      <c r="C1337" s="143" t="s">
        <v>5485</v>
      </c>
      <c r="D1337" s="143" t="s">
        <v>5486</v>
      </c>
    </row>
    <row r="1338">
      <c r="A1338" s="143" t="s">
        <v>171</v>
      </c>
      <c r="B1338" s="143" t="s">
        <v>976</v>
      </c>
      <c r="C1338" s="143" t="s">
        <v>5487</v>
      </c>
      <c r="D1338" s="143" t="s">
        <v>5488</v>
      </c>
    </row>
    <row r="1339">
      <c r="A1339" s="143" t="s">
        <v>171</v>
      </c>
      <c r="B1339" s="143" t="s">
        <v>976</v>
      </c>
      <c r="C1339" s="143" t="s">
        <v>5489</v>
      </c>
      <c r="D1339" s="143" t="s">
        <v>5490</v>
      </c>
    </row>
    <row r="1340">
      <c r="A1340" s="143" t="s">
        <v>171</v>
      </c>
      <c r="B1340" s="143" t="s">
        <v>976</v>
      </c>
      <c r="C1340" s="143" t="s">
        <v>5491</v>
      </c>
      <c r="D1340" s="143" t="s">
        <v>5492</v>
      </c>
    </row>
    <row r="1341">
      <c r="A1341" s="143" t="s">
        <v>171</v>
      </c>
      <c r="B1341" s="143" t="s">
        <v>976</v>
      </c>
      <c r="C1341" s="143" t="s">
        <v>1502</v>
      </c>
      <c r="D1341" s="143" t="s">
        <v>1503</v>
      </c>
    </row>
    <row r="1342">
      <c r="A1342" s="143" t="s">
        <v>171</v>
      </c>
      <c r="B1342" s="143" t="s">
        <v>976</v>
      </c>
      <c r="C1342" s="143" t="s">
        <v>2066</v>
      </c>
      <c r="D1342" s="143" t="s">
        <v>5493</v>
      </c>
    </row>
    <row r="1343">
      <c r="A1343" s="143" t="s">
        <v>171</v>
      </c>
      <c r="B1343" s="143" t="s">
        <v>976</v>
      </c>
      <c r="C1343" s="143" t="s">
        <v>5494</v>
      </c>
      <c r="D1343" s="143" t="s">
        <v>5495</v>
      </c>
    </row>
    <row r="1344">
      <c r="A1344" s="143" t="s">
        <v>171</v>
      </c>
      <c r="B1344" s="143" t="s">
        <v>976</v>
      </c>
      <c r="C1344" s="143" t="s">
        <v>5496</v>
      </c>
      <c r="D1344" s="143" t="s">
        <v>5497</v>
      </c>
    </row>
    <row r="1345">
      <c r="A1345" s="143" t="s">
        <v>171</v>
      </c>
      <c r="B1345" s="143" t="s">
        <v>976</v>
      </c>
      <c r="C1345" s="143" t="s">
        <v>5498</v>
      </c>
      <c r="D1345" s="143" t="s">
        <v>5499</v>
      </c>
    </row>
    <row r="1346">
      <c r="A1346" s="143" t="s">
        <v>171</v>
      </c>
      <c r="B1346" s="143" t="s">
        <v>976</v>
      </c>
      <c r="C1346" s="143" t="s">
        <v>1505</v>
      </c>
      <c r="D1346" s="143" t="s">
        <v>1506</v>
      </c>
    </row>
    <row r="1347">
      <c r="A1347" s="143" t="s">
        <v>171</v>
      </c>
      <c r="B1347" s="143" t="s">
        <v>976</v>
      </c>
      <c r="C1347" s="143" t="s">
        <v>2488</v>
      </c>
      <c r="D1347" s="143" t="s">
        <v>2489</v>
      </c>
    </row>
    <row r="1348">
      <c r="A1348" s="143" t="s">
        <v>171</v>
      </c>
      <c r="B1348" s="143" t="s">
        <v>976</v>
      </c>
      <c r="C1348" s="143" t="s">
        <v>518</v>
      </c>
      <c r="D1348" s="143" t="s">
        <v>5500</v>
      </c>
    </row>
    <row r="1349">
      <c r="A1349" s="143" t="s">
        <v>171</v>
      </c>
      <c r="B1349" s="143" t="s">
        <v>976</v>
      </c>
      <c r="C1349" s="143" t="s">
        <v>5501</v>
      </c>
      <c r="D1349" s="143" t="s">
        <v>5502</v>
      </c>
    </row>
    <row r="1350">
      <c r="A1350" s="143" t="s">
        <v>171</v>
      </c>
      <c r="B1350" s="143" t="s">
        <v>976</v>
      </c>
      <c r="C1350" s="143" t="s">
        <v>977</v>
      </c>
      <c r="D1350" s="143" t="s">
        <v>978</v>
      </c>
    </row>
    <row r="1351">
      <c r="A1351" s="143" t="s">
        <v>171</v>
      </c>
      <c r="B1351" s="143" t="s">
        <v>976</v>
      </c>
      <c r="C1351" s="143" t="s">
        <v>5503</v>
      </c>
      <c r="D1351" s="143" t="s">
        <v>5504</v>
      </c>
    </row>
    <row r="1352">
      <c r="A1352" s="143" t="s">
        <v>171</v>
      </c>
      <c r="B1352" s="143" t="s">
        <v>976</v>
      </c>
      <c r="C1352" s="143" t="s">
        <v>5038</v>
      </c>
      <c r="D1352" s="143" t="s">
        <v>5505</v>
      </c>
    </row>
    <row r="1353">
      <c r="A1353" s="143" t="s">
        <v>171</v>
      </c>
      <c r="B1353" s="143" t="s">
        <v>976</v>
      </c>
      <c r="C1353" s="143" t="s">
        <v>5506</v>
      </c>
      <c r="D1353" s="143" t="s">
        <v>5507</v>
      </c>
    </row>
    <row r="1354">
      <c r="A1354" s="143" t="s">
        <v>171</v>
      </c>
      <c r="B1354" s="143" t="s">
        <v>172</v>
      </c>
      <c r="C1354" s="143" t="s">
        <v>5508</v>
      </c>
      <c r="D1354" s="143" t="s">
        <v>5509</v>
      </c>
    </row>
    <row r="1355">
      <c r="A1355" s="143" t="s">
        <v>171</v>
      </c>
      <c r="B1355" s="143" t="s">
        <v>172</v>
      </c>
      <c r="C1355" s="143" t="s">
        <v>5510</v>
      </c>
      <c r="D1355" s="143" t="s">
        <v>5511</v>
      </c>
    </row>
    <row r="1356">
      <c r="A1356" s="143" t="s">
        <v>171</v>
      </c>
      <c r="B1356" s="143" t="s">
        <v>172</v>
      </c>
      <c r="C1356" s="143" t="s">
        <v>2128</v>
      </c>
      <c r="D1356" s="143" t="s">
        <v>2129</v>
      </c>
    </row>
    <row r="1357">
      <c r="A1357" s="143" t="s">
        <v>171</v>
      </c>
      <c r="B1357" s="143" t="s">
        <v>172</v>
      </c>
      <c r="C1357" s="143" t="s">
        <v>5512</v>
      </c>
      <c r="D1357" s="143" t="s">
        <v>5513</v>
      </c>
    </row>
    <row r="1358">
      <c r="A1358" s="143" t="s">
        <v>171</v>
      </c>
      <c r="B1358" s="143" t="s">
        <v>172</v>
      </c>
      <c r="C1358" s="143" t="s">
        <v>1551</v>
      </c>
      <c r="D1358" s="143" t="s">
        <v>1552</v>
      </c>
    </row>
    <row r="1359">
      <c r="A1359" s="143" t="s">
        <v>171</v>
      </c>
      <c r="B1359" s="143" t="s">
        <v>172</v>
      </c>
      <c r="C1359" s="143" t="s">
        <v>3836</v>
      </c>
      <c r="D1359" s="143" t="s">
        <v>5514</v>
      </c>
    </row>
    <row r="1360">
      <c r="A1360" s="143" t="s">
        <v>171</v>
      </c>
      <c r="B1360" s="143" t="s">
        <v>172</v>
      </c>
      <c r="C1360" s="143" t="s">
        <v>5515</v>
      </c>
      <c r="D1360" s="143" t="s">
        <v>5516</v>
      </c>
    </row>
    <row r="1361">
      <c r="A1361" s="143" t="s">
        <v>171</v>
      </c>
      <c r="B1361" s="143" t="s">
        <v>172</v>
      </c>
      <c r="C1361" s="143" t="s">
        <v>5517</v>
      </c>
      <c r="D1361" s="143" t="s">
        <v>5518</v>
      </c>
    </row>
    <row r="1362">
      <c r="A1362" s="143" t="s">
        <v>171</v>
      </c>
      <c r="B1362" s="143" t="s">
        <v>172</v>
      </c>
      <c r="C1362" s="143" t="s">
        <v>5519</v>
      </c>
      <c r="D1362" s="143" t="s">
        <v>5520</v>
      </c>
    </row>
    <row r="1363">
      <c r="A1363" s="143" t="s">
        <v>171</v>
      </c>
      <c r="B1363" s="143" t="s">
        <v>172</v>
      </c>
      <c r="C1363" s="143" t="s">
        <v>611</v>
      </c>
      <c r="D1363" s="143" t="s">
        <v>612</v>
      </c>
    </row>
    <row r="1364">
      <c r="A1364" s="143" t="s">
        <v>171</v>
      </c>
      <c r="B1364" s="143" t="s">
        <v>172</v>
      </c>
      <c r="C1364" s="143" t="s">
        <v>277</v>
      </c>
      <c r="D1364" s="143" t="s">
        <v>278</v>
      </c>
    </row>
    <row r="1365">
      <c r="A1365" s="143" t="s">
        <v>171</v>
      </c>
      <c r="B1365" s="143" t="s">
        <v>172</v>
      </c>
      <c r="C1365" s="143" t="s">
        <v>5521</v>
      </c>
      <c r="D1365" s="143" t="s">
        <v>5522</v>
      </c>
    </row>
    <row r="1366">
      <c r="A1366" s="143" t="s">
        <v>171</v>
      </c>
      <c r="B1366" s="143" t="s">
        <v>172</v>
      </c>
      <c r="C1366" s="143" t="s">
        <v>5523</v>
      </c>
      <c r="D1366" s="143" t="s">
        <v>5524</v>
      </c>
    </row>
    <row r="1367">
      <c r="A1367" s="143" t="s">
        <v>171</v>
      </c>
      <c r="B1367" s="143" t="s">
        <v>172</v>
      </c>
      <c r="C1367" s="143" t="s">
        <v>2642</v>
      </c>
      <c r="D1367" s="143" t="s">
        <v>2643</v>
      </c>
    </row>
    <row r="1368">
      <c r="A1368" s="143" t="s">
        <v>171</v>
      </c>
      <c r="B1368" s="143" t="s">
        <v>172</v>
      </c>
      <c r="C1368" s="143" t="s">
        <v>4706</v>
      </c>
      <c r="D1368" s="143" t="s">
        <v>5525</v>
      </c>
    </row>
    <row r="1369">
      <c r="A1369" s="143" t="s">
        <v>171</v>
      </c>
      <c r="B1369" s="143" t="s">
        <v>172</v>
      </c>
      <c r="C1369" s="143" t="s">
        <v>5526</v>
      </c>
      <c r="D1369" s="143" t="s">
        <v>5527</v>
      </c>
    </row>
    <row r="1370">
      <c r="A1370" s="143" t="s">
        <v>171</v>
      </c>
      <c r="B1370" s="143" t="s">
        <v>172</v>
      </c>
      <c r="C1370" s="143" t="s">
        <v>4421</v>
      </c>
      <c r="D1370" s="143" t="s">
        <v>5528</v>
      </c>
    </row>
    <row r="1371">
      <c r="A1371" s="143" t="s">
        <v>171</v>
      </c>
      <c r="B1371" s="143" t="s">
        <v>172</v>
      </c>
      <c r="C1371" s="143" t="s">
        <v>5529</v>
      </c>
      <c r="D1371" s="143" t="s">
        <v>5530</v>
      </c>
    </row>
    <row r="1372">
      <c r="A1372" s="143" t="s">
        <v>171</v>
      </c>
      <c r="B1372" s="143" t="s">
        <v>172</v>
      </c>
      <c r="C1372" s="143" t="s">
        <v>173</v>
      </c>
      <c r="D1372" s="143" t="s">
        <v>174</v>
      </c>
    </row>
    <row r="1373">
      <c r="A1373" s="143" t="s">
        <v>171</v>
      </c>
      <c r="B1373" s="143" t="s">
        <v>172</v>
      </c>
      <c r="C1373" s="143" t="s">
        <v>5531</v>
      </c>
      <c r="D1373" s="143" t="s">
        <v>5532</v>
      </c>
    </row>
    <row r="1374">
      <c r="A1374" s="143" t="s">
        <v>171</v>
      </c>
      <c r="B1374" s="143" t="s">
        <v>172</v>
      </c>
      <c r="C1374" s="143" t="s">
        <v>3173</v>
      </c>
      <c r="D1374" s="143" t="s">
        <v>3174</v>
      </c>
    </row>
    <row r="1375">
      <c r="A1375" s="143" t="s">
        <v>171</v>
      </c>
      <c r="B1375" s="143" t="s">
        <v>172</v>
      </c>
      <c r="C1375" s="143" t="s">
        <v>5533</v>
      </c>
      <c r="D1375" s="143" t="s">
        <v>5534</v>
      </c>
    </row>
    <row r="1376">
      <c r="A1376" s="143" t="s">
        <v>171</v>
      </c>
      <c r="B1376" s="143" t="s">
        <v>172</v>
      </c>
      <c r="C1376" s="143" t="s">
        <v>5535</v>
      </c>
      <c r="D1376" s="143" t="s">
        <v>5536</v>
      </c>
    </row>
    <row r="1377">
      <c r="A1377" s="143" t="s">
        <v>171</v>
      </c>
      <c r="B1377" s="143" t="s">
        <v>172</v>
      </c>
      <c r="C1377" s="143" t="s">
        <v>5477</v>
      </c>
      <c r="D1377" s="143" t="s">
        <v>5537</v>
      </c>
    </row>
    <row r="1378">
      <c r="A1378" s="143" t="s">
        <v>171</v>
      </c>
      <c r="B1378" s="143" t="s">
        <v>172</v>
      </c>
      <c r="C1378" s="143" t="s">
        <v>5538</v>
      </c>
      <c r="D1378" s="143" t="s">
        <v>5539</v>
      </c>
    </row>
    <row r="1379">
      <c r="A1379" s="143" t="s">
        <v>171</v>
      </c>
      <c r="B1379" s="143" t="s">
        <v>172</v>
      </c>
      <c r="C1379" s="143" t="s">
        <v>2021</v>
      </c>
      <c r="D1379" s="143" t="s">
        <v>2022</v>
      </c>
    </row>
    <row r="1380">
      <c r="A1380" s="143" t="s">
        <v>330</v>
      </c>
      <c r="B1380" s="143" t="s">
        <v>331</v>
      </c>
      <c r="C1380" s="143" t="s">
        <v>5540</v>
      </c>
      <c r="D1380" s="143" t="s">
        <v>5541</v>
      </c>
    </row>
    <row r="1381">
      <c r="A1381" s="143" t="s">
        <v>330</v>
      </c>
      <c r="B1381" s="143" t="s">
        <v>331</v>
      </c>
      <c r="C1381" s="143" t="s">
        <v>2503</v>
      </c>
      <c r="D1381" s="143" t="s">
        <v>5542</v>
      </c>
    </row>
    <row r="1382">
      <c r="A1382" s="143" t="s">
        <v>330</v>
      </c>
      <c r="B1382" s="143" t="s">
        <v>331</v>
      </c>
      <c r="C1382" s="143" t="s">
        <v>5543</v>
      </c>
      <c r="D1382" s="143" t="s">
        <v>5544</v>
      </c>
    </row>
    <row r="1383">
      <c r="A1383" s="143" t="s">
        <v>330</v>
      </c>
      <c r="B1383" s="143" t="s">
        <v>331</v>
      </c>
      <c r="C1383" s="143" t="s">
        <v>5545</v>
      </c>
      <c r="D1383" s="143" t="s">
        <v>5546</v>
      </c>
    </row>
    <row r="1384">
      <c r="A1384" s="143" t="s">
        <v>330</v>
      </c>
      <c r="B1384" s="143" t="s">
        <v>331</v>
      </c>
      <c r="C1384" s="143" t="s">
        <v>5547</v>
      </c>
      <c r="D1384" s="143" t="s">
        <v>5548</v>
      </c>
    </row>
    <row r="1385">
      <c r="A1385" s="143" t="s">
        <v>330</v>
      </c>
      <c r="B1385" s="143" t="s">
        <v>331</v>
      </c>
      <c r="C1385" s="143" t="s">
        <v>980</v>
      </c>
      <c r="D1385" s="143" t="s">
        <v>981</v>
      </c>
    </row>
    <row r="1386">
      <c r="A1386" s="143" t="s">
        <v>330</v>
      </c>
      <c r="B1386" s="143" t="s">
        <v>331</v>
      </c>
      <c r="C1386" s="143" t="s">
        <v>2850</v>
      </c>
      <c r="D1386" s="143" t="s">
        <v>5549</v>
      </c>
    </row>
    <row r="1387">
      <c r="A1387" s="143" t="s">
        <v>330</v>
      </c>
      <c r="B1387" s="143" t="s">
        <v>331</v>
      </c>
      <c r="C1387" s="143" t="s">
        <v>332</v>
      </c>
      <c r="D1387" s="143" t="s">
        <v>333</v>
      </c>
    </row>
    <row r="1388">
      <c r="A1388" s="143" t="s">
        <v>330</v>
      </c>
      <c r="B1388" s="143" t="s">
        <v>331</v>
      </c>
      <c r="C1388" s="143" t="s">
        <v>5550</v>
      </c>
      <c r="D1388" s="143" t="s">
        <v>5551</v>
      </c>
    </row>
    <row r="1389">
      <c r="A1389" s="143" t="s">
        <v>330</v>
      </c>
      <c r="B1389" s="143" t="s">
        <v>331</v>
      </c>
      <c r="C1389" s="143" t="s">
        <v>5552</v>
      </c>
      <c r="D1389" s="143" t="s">
        <v>5553</v>
      </c>
    </row>
    <row r="1390">
      <c r="A1390" s="143" t="s">
        <v>330</v>
      </c>
      <c r="B1390" s="143" t="s">
        <v>331</v>
      </c>
      <c r="C1390" s="143" t="s">
        <v>3178</v>
      </c>
      <c r="D1390" s="143" t="s">
        <v>5554</v>
      </c>
    </row>
    <row r="1391">
      <c r="A1391" s="143" t="s">
        <v>330</v>
      </c>
      <c r="B1391" s="143" t="s">
        <v>615</v>
      </c>
      <c r="C1391" s="143" t="s">
        <v>5555</v>
      </c>
      <c r="D1391" s="143" t="s">
        <v>5556</v>
      </c>
    </row>
    <row r="1392">
      <c r="A1392" s="143" t="s">
        <v>330</v>
      </c>
      <c r="B1392" s="143" t="s">
        <v>615</v>
      </c>
      <c r="C1392" s="143" t="s">
        <v>616</v>
      </c>
      <c r="D1392" s="143" t="s">
        <v>617</v>
      </c>
    </row>
    <row r="1393">
      <c r="A1393" s="143" t="s">
        <v>330</v>
      </c>
      <c r="B1393" s="143" t="s">
        <v>615</v>
      </c>
      <c r="C1393" s="143" t="s">
        <v>5557</v>
      </c>
      <c r="D1393" s="143" t="s">
        <v>5558</v>
      </c>
    </row>
    <row r="1394">
      <c r="A1394" s="143" t="s">
        <v>330</v>
      </c>
      <c r="B1394" s="143" t="s">
        <v>615</v>
      </c>
      <c r="C1394" s="143" t="s">
        <v>4009</v>
      </c>
      <c r="D1394" s="143" t="s">
        <v>5559</v>
      </c>
    </row>
    <row r="1395">
      <c r="A1395" s="143" t="s">
        <v>330</v>
      </c>
      <c r="B1395" s="143" t="s">
        <v>615</v>
      </c>
      <c r="C1395" s="143" t="s">
        <v>5560</v>
      </c>
      <c r="D1395" s="143" t="s">
        <v>5561</v>
      </c>
    </row>
    <row r="1396">
      <c r="A1396" s="143" t="s">
        <v>330</v>
      </c>
      <c r="B1396" s="143" t="s">
        <v>615</v>
      </c>
      <c r="C1396" s="143" t="s">
        <v>4421</v>
      </c>
      <c r="D1396" s="143" t="s">
        <v>5562</v>
      </c>
    </row>
    <row r="1397">
      <c r="A1397" s="143" t="s">
        <v>330</v>
      </c>
      <c r="B1397" s="143" t="s">
        <v>615</v>
      </c>
      <c r="C1397" s="143" t="s">
        <v>5563</v>
      </c>
      <c r="D1397" s="143" t="s">
        <v>5564</v>
      </c>
    </row>
    <row r="1398">
      <c r="A1398" s="143" t="s">
        <v>330</v>
      </c>
      <c r="B1398" s="143" t="s">
        <v>615</v>
      </c>
      <c r="C1398" s="143" t="s">
        <v>5565</v>
      </c>
      <c r="D1398" s="143" t="s">
        <v>5566</v>
      </c>
    </row>
    <row r="1399">
      <c r="A1399" s="143" t="s">
        <v>330</v>
      </c>
      <c r="B1399" s="143" t="s">
        <v>615</v>
      </c>
      <c r="C1399" s="143" t="s">
        <v>5567</v>
      </c>
      <c r="D1399" s="143" t="s">
        <v>5568</v>
      </c>
    </row>
    <row r="1400">
      <c r="A1400" s="143" t="s">
        <v>330</v>
      </c>
      <c r="B1400" s="143" t="s">
        <v>615</v>
      </c>
      <c r="C1400" s="143" t="s">
        <v>420</v>
      </c>
      <c r="D1400" s="143" t="s">
        <v>5569</v>
      </c>
    </row>
    <row r="1401">
      <c r="A1401" s="143" t="s">
        <v>330</v>
      </c>
      <c r="B1401" s="143" t="s">
        <v>615</v>
      </c>
      <c r="C1401" s="143" t="s">
        <v>5570</v>
      </c>
      <c r="D1401" s="143" t="s">
        <v>5571</v>
      </c>
    </row>
    <row r="1402">
      <c r="A1402" s="143" t="s">
        <v>330</v>
      </c>
      <c r="B1402" s="143" t="s">
        <v>999</v>
      </c>
      <c r="C1402" s="143" t="s">
        <v>5572</v>
      </c>
      <c r="D1402" s="143" t="s">
        <v>5573</v>
      </c>
    </row>
    <row r="1403">
      <c r="A1403" s="143" t="s">
        <v>330</v>
      </c>
      <c r="B1403" s="143" t="s">
        <v>999</v>
      </c>
      <c r="C1403" s="143" t="s">
        <v>5574</v>
      </c>
      <c r="D1403" s="143" t="s">
        <v>5575</v>
      </c>
    </row>
    <row r="1404">
      <c r="A1404" s="143" t="s">
        <v>330</v>
      </c>
      <c r="B1404" s="143" t="s">
        <v>999</v>
      </c>
      <c r="C1404" s="143" t="s">
        <v>5576</v>
      </c>
      <c r="D1404" s="143" t="s">
        <v>5577</v>
      </c>
    </row>
    <row r="1405">
      <c r="A1405" s="143" t="s">
        <v>330</v>
      </c>
      <c r="B1405" s="143" t="s">
        <v>999</v>
      </c>
      <c r="C1405" s="143" t="s">
        <v>5578</v>
      </c>
      <c r="D1405" s="143" t="s">
        <v>5579</v>
      </c>
    </row>
    <row r="1406">
      <c r="A1406" s="143" t="s">
        <v>330</v>
      </c>
      <c r="B1406" s="143" t="s">
        <v>999</v>
      </c>
      <c r="C1406" s="143" t="s">
        <v>5580</v>
      </c>
      <c r="D1406" s="143" t="s">
        <v>5581</v>
      </c>
    </row>
    <row r="1407">
      <c r="A1407" s="143" t="s">
        <v>330</v>
      </c>
      <c r="B1407" s="143" t="s">
        <v>999</v>
      </c>
      <c r="C1407" s="143" t="s">
        <v>5582</v>
      </c>
      <c r="D1407" s="143" t="s">
        <v>5583</v>
      </c>
    </row>
    <row r="1408">
      <c r="A1408" s="143" t="s">
        <v>330</v>
      </c>
      <c r="B1408" s="143" t="s">
        <v>999</v>
      </c>
      <c r="C1408" s="143" t="s">
        <v>5584</v>
      </c>
      <c r="D1408" s="143" t="s">
        <v>5585</v>
      </c>
    </row>
    <row r="1409">
      <c r="A1409" s="143" t="s">
        <v>330</v>
      </c>
      <c r="B1409" s="143" t="s">
        <v>999</v>
      </c>
      <c r="C1409" s="143" t="s">
        <v>5586</v>
      </c>
      <c r="D1409" s="143" t="s">
        <v>5587</v>
      </c>
    </row>
    <row r="1410">
      <c r="A1410" s="143" t="s">
        <v>330</v>
      </c>
      <c r="B1410" s="143" t="s">
        <v>999</v>
      </c>
      <c r="C1410" s="143" t="s">
        <v>1000</v>
      </c>
      <c r="D1410" s="143" t="s">
        <v>1001</v>
      </c>
    </row>
    <row r="1411">
      <c r="A1411" s="143" t="s">
        <v>330</v>
      </c>
      <c r="B1411" s="143" t="s">
        <v>999</v>
      </c>
      <c r="C1411" s="143" t="s">
        <v>3178</v>
      </c>
      <c r="D1411" s="143" t="s">
        <v>3179</v>
      </c>
    </row>
    <row r="1412">
      <c r="A1412" s="143" t="s">
        <v>330</v>
      </c>
      <c r="B1412" s="143" t="s">
        <v>999</v>
      </c>
      <c r="C1412" s="143" t="s">
        <v>5588</v>
      </c>
      <c r="D1412" s="143" t="s">
        <v>5589</v>
      </c>
    </row>
    <row r="1413">
      <c r="A1413" s="143" t="s">
        <v>330</v>
      </c>
      <c r="B1413" s="143" t="s">
        <v>2265</v>
      </c>
      <c r="C1413" s="143" t="s">
        <v>4994</v>
      </c>
      <c r="D1413" s="143" t="s">
        <v>5590</v>
      </c>
    </row>
    <row r="1414">
      <c r="A1414" s="143" t="s">
        <v>330</v>
      </c>
      <c r="B1414" s="143" t="s">
        <v>2265</v>
      </c>
      <c r="C1414" s="143" t="s">
        <v>5591</v>
      </c>
      <c r="D1414" s="143" t="s">
        <v>5592</v>
      </c>
    </row>
    <row r="1415">
      <c r="A1415" s="143" t="s">
        <v>330</v>
      </c>
      <c r="B1415" s="143" t="s">
        <v>2265</v>
      </c>
      <c r="C1415" s="143" t="s">
        <v>1255</v>
      </c>
      <c r="D1415" s="143" t="s">
        <v>2266</v>
      </c>
    </row>
    <row r="1416">
      <c r="A1416" s="143" t="s">
        <v>330</v>
      </c>
      <c r="B1416" s="143" t="s">
        <v>2265</v>
      </c>
      <c r="C1416" s="143" t="s">
        <v>5593</v>
      </c>
      <c r="D1416" s="143" t="s">
        <v>5594</v>
      </c>
    </row>
    <row r="1417">
      <c r="A1417" s="143" t="s">
        <v>330</v>
      </c>
      <c r="B1417" s="143" t="s">
        <v>2265</v>
      </c>
      <c r="C1417" s="143" t="s">
        <v>5595</v>
      </c>
      <c r="D1417" s="143" t="s">
        <v>5596</v>
      </c>
    </row>
    <row r="1418">
      <c r="A1418" s="143" t="s">
        <v>330</v>
      </c>
      <c r="B1418" s="143" t="s">
        <v>2265</v>
      </c>
      <c r="C1418" s="143" t="s">
        <v>5597</v>
      </c>
      <c r="D1418" s="143" t="s">
        <v>5598</v>
      </c>
    </row>
    <row r="1419">
      <c r="A1419" s="143" t="s">
        <v>330</v>
      </c>
      <c r="B1419" s="143" t="s">
        <v>2265</v>
      </c>
      <c r="C1419" s="143" t="s">
        <v>5599</v>
      </c>
      <c r="D1419" s="143" t="s">
        <v>5600</v>
      </c>
    </row>
    <row r="1420">
      <c r="A1420" s="143" t="s">
        <v>330</v>
      </c>
      <c r="B1420" s="143" t="s">
        <v>2265</v>
      </c>
      <c r="C1420" s="143" t="s">
        <v>5601</v>
      </c>
      <c r="D1420" s="143" t="s">
        <v>5602</v>
      </c>
    </row>
    <row r="1421">
      <c r="A1421" s="143" t="s">
        <v>330</v>
      </c>
      <c r="B1421" s="143" t="s">
        <v>2265</v>
      </c>
      <c r="C1421" s="143" t="s">
        <v>5603</v>
      </c>
      <c r="D1421" s="143" t="s">
        <v>5604</v>
      </c>
    </row>
    <row r="1422">
      <c r="A1422" s="143" t="s">
        <v>330</v>
      </c>
      <c r="B1422" s="143" t="s">
        <v>2265</v>
      </c>
      <c r="C1422" s="143" t="s">
        <v>5605</v>
      </c>
      <c r="D1422" s="143" t="s">
        <v>5606</v>
      </c>
    </row>
    <row r="1423">
      <c r="A1423" s="143" t="s">
        <v>330</v>
      </c>
      <c r="B1423" s="143" t="s">
        <v>2265</v>
      </c>
      <c r="C1423" s="143" t="s">
        <v>5607</v>
      </c>
      <c r="D1423" s="143" t="s">
        <v>5608</v>
      </c>
    </row>
    <row r="1424">
      <c r="A1424" s="143" t="s">
        <v>330</v>
      </c>
      <c r="B1424" s="143" t="s">
        <v>5609</v>
      </c>
      <c r="C1424" s="143" t="s">
        <v>5610</v>
      </c>
      <c r="D1424" s="143" t="s">
        <v>5611</v>
      </c>
    </row>
    <row r="1425">
      <c r="A1425" s="143" t="s">
        <v>330</v>
      </c>
      <c r="B1425" s="143" t="s">
        <v>5609</v>
      </c>
      <c r="C1425" s="143" t="s">
        <v>5612</v>
      </c>
      <c r="D1425" s="143" t="s">
        <v>5613</v>
      </c>
    </row>
    <row r="1426">
      <c r="A1426" s="143" t="s">
        <v>330</v>
      </c>
      <c r="B1426" s="143" t="s">
        <v>5609</v>
      </c>
      <c r="C1426" s="143" t="s">
        <v>5614</v>
      </c>
      <c r="D1426" s="143" t="s">
        <v>5615</v>
      </c>
    </row>
    <row r="1427">
      <c r="A1427" s="143" t="s">
        <v>330</v>
      </c>
      <c r="B1427" s="143" t="s">
        <v>5609</v>
      </c>
      <c r="C1427" s="143" t="s">
        <v>3710</v>
      </c>
      <c r="D1427" s="143" t="s">
        <v>5616</v>
      </c>
    </row>
    <row r="1428">
      <c r="A1428" s="143" t="s">
        <v>330</v>
      </c>
      <c r="B1428" s="143" t="s">
        <v>5609</v>
      </c>
      <c r="C1428" s="143" t="s">
        <v>357</v>
      </c>
      <c r="D1428" s="143" t="s">
        <v>5617</v>
      </c>
    </row>
    <row r="1429">
      <c r="A1429" s="143" t="s">
        <v>356</v>
      </c>
      <c r="B1429" s="143" t="s">
        <v>5618</v>
      </c>
      <c r="C1429" s="143" t="s">
        <v>5619</v>
      </c>
      <c r="D1429" s="143" t="s">
        <v>5620</v>
      </c>
    </row>
    <row r="1430">
      <c r="A1430" s="143" t="s">
        <v>356</v>
      </c>
      <c r="B1430" s="143" t="s">
        <v>5618</v>
      </c>
      <c r="C1430" s="143" t="s">
        <v>2503</v>
      </c>
      <c r="D1430" s="143" t="s">
        <v>5621</v>
      </c>
    </row>
    <row r="1431">
      <c r="A1431" s="143" t="s">
        <v>356</v>
      </c>
      <c r="B1431" s="143" t="s">
        <v>5618</v>
      </c>
      <c r="C1431" s="143" t="s">
        <v>5622</v>
      </c>
      <c r="D1431" s="143" t="s">
        <v>5623</v>
      </c>
    </row>
    <row r="1432">
      <c r="A1432" s="143" t="s">
        <v>356</v>
      </c>
      <c r="B1432" s="143" t="s">
        <v>5618</v>
      </c>
      <c r="C1432" s="143" t="s">
        <v>5624</v>
      </c>
      <c r="D1432" s="143" t="s">
        <v>5625</v>
      </c>
    </row>
    <row r="1433">
      <c r="A1433" s="143" t="s">
        <v>356</v>
      </c>
      <c r="B1433" s="143" t="s">
        <v>5618</v>
      </c>
      <c r="C1433" s="143" t="s">
        <v>5626</v>
      </c>
      <c r="D1433" s="143" t="s">
        <v>5627</v>
      </c>
    </row>
    <row r="1434">
      <c r="A1434" s="143" t="s">
        <v>356</v>
      </c>
      <c r="B1434" s="143" t="s">
        <v>5618</v>
      </c>
      <c r="C1434" s="143" t="s">
        <v>5628</v>
      </c>
      <c r="D1434" s="143" t="s">
        <v>5629</v>
      </c>
    </row>
    <row r="1435">
      <c r="A1435" s="143" t="s">
        <v>356</v>
      </c>
      <c r="B1435" s="143" t="s">
        <v>5618</v>
      </c>
      <c r="C1435" s="143" t="s">
        <v>5630</v>
      </c>
      <c r="D1435" s="143" t="s">
        <v>5631</v>
      </c>
    </row>
    <row r="1436">
      <c r="A1436" s="143" t="s">
        <v>356</v>
      </c>
      <c r="B1436" s="143" t="s">
        <v>5618</v>
      </c>
      <c r="C1436" s="143" t="s">
        <v>5632</v>
      </c>
      <c r="D1436" s="143" t="s">
        <v>5633</v>
      </c>
    </row>
    <row r="1437">
      <c r="A1437" s="143" t="s">
        <v>356</v>
      </c>
      <c r="B1437" s="143" t="s">
        <v>5618</v>
      </c>
      <c r="C1437" s="143" t="s">
        <v>5634</v>
      </c>
      <c r="D1437" s="143" t="s">
        <v>5635</v>
      </c>
    </row>
    <row r="1438">
      <c r="A1438" s="143" t="s">
        <v>356</v>
      </c>
      <c r="B1438" s="143" t="s">
        <v>5618</v>
      </c>
      <c r="C1438" s="143" t="s">
        <v>5636</v>
      </c>
      <c r="D1438" s="143" t="s">
        <v>5637</v>
      </c>
    </row>
    <row r="1439">
      <c r="A1439" s="143" t="s">
        <v>356</v>
      </c>
      <c r="B1439" s="143" t="s">
        <v>5618</v>
      </c>
      <c r="C1439" s="143" t="s">
        <v>5638</v>
      </c>
      <c r="D1439" s="143" t="s">
        <v>5639</v>
      </c>
    </row>
    <row r="1440">
      <c r="A1440" s="143" t="s">
        <v>356</v>
      </c>
      <c r="B1440" s="143" t="s">
        <v>5618</v>
      </c>
      <c r="C1440" s="143" t="s">
        <v>5640</v>
      </c>
      <c r="D1440" s="143" t="s">
        <v>5641</v>
      </c>
    </row>
    <row r="1441">
      <c r="A1441" s="143" t="s">
        <v>356</v>
      </c>
      <c r="B1441" s="143" t="s">
        <v>5618</v>
      </c>
      <c r="C1441" s="143" t="s">
        <v>4745</v>
      </c>
      <c r="D1441" s="143" t="s">
        <v>5642</v>
      </c>
    </row>
    <row r="1442">
      <c r="A1442" s="143" t="s">
        <v>356</v>
      </c>
      <c r="B1442" s="143" t="s">
        <v>5618</v>
      </c>
      <c r="C1442" s="143" t="s">
        <v>5643</v>
      </c>
      <c r="D1442" s="143" t="s">
        <v>5644</v>
      </c>
    </row>
    <row r="1443">
      <c r="A1443" s="143" t="s">
        <v>356</v>
      </c>
      <c r="B1443" s="143" t="s">
        <v>5618</v>
      </c>
      <c r="C1443" s="143" t="s">
        <v>5645</v>
      </c>
      <c r="D1443" s="143" t="s">
        <v>5646</v>
      </c>
    </row>
    <row r="1444">
      <c r="A1444" s="143" t="s">
        <v>356</v>
      </c>
      <c r="B1444" s="143" t="s">
        <v>5618</v>
      </c>
      <c r="C1444" s="143" t="s">
        <v>5647</v>
      </c>
      <c r="D1444" s="143" t="s">
        <v>5648</v>
      </c>
    </row>
    <row r="1445">
      <c r="A1445" s="143" t="s">
        <v>356</v>
      </c>
      <c r="B1445" s="143" t="s">
        <v>5618</v>
      </c>
      <c r="C1445" s="143" t="s">
        <v>5649</v>
      </c>
      <c r="D1445" s="143" t="s">
        <v>5650</v>
      </c>
    </row>
    <row r="1446">
      <c r="A1446" s="143" t="s">
        <v>356</v>
      </c>
      <c r="B1446" s="143" t="s">
        <v>5618</v>
      </c>
      <c r="C1446" s="143" t="s">
        <v>5651</v>
      </c>
      <c r="D1446" s="143" t="s">
        <v>5652</v>
      </c>
    </row>
    <row r="1447">
      <c r="A1447" s="143" t="s">
        <v>356</v>
      </c>
      <c r="B1447" s="143" t="s">
        <v>1997</v>
      </c>
      <c r="C1447" s="143" t="s">
        <v>4682</v>
      </c>
      <c r="D1447" s="143" t="s">
        <v>5653</v>
      </c>
    </row>
    <row r="1448">
      <c r="A1448" s="143" t="s">
        <v>356</v>
      </c>
      <c r="B1448" s="143" t="s">
        <v>1997</v>
      </c>
      <c r="C1448" s="143" t="s">
        <v>1998</v>
      </c>
      <c r="D1448" s="143" t="s">
        <v>1999</v>
      </c>
    </row>
    <row r="1449">
      <c r="A1449" s="143" t="s">
        <v>356</v>
      </c>
      <c r="B1449" s="143" t="s">
        <v>1997</v>
      </c>
      <c r="C1449" s="143" t="s">
        <v>5654</v>
      </c>
      <c r="D1449" s="143" t="s">
        <v>5655</v>
      </c>
    </row>
    <row r="1450">
      <c r="A1450" s="143" t="s">
        <v>356</v>
      </c>
      <c r="B1450" s="143" t="s">
        <v>1997</v>
      </c>
      <c r="C1450" s="143" t="s">
        <v>5656</v>
      </c>
      <c r="D1450" s="143" t="s">
        <v>5657</v>
      </c>
    </row>
    <row r="1451">
      <c r="A1451" s="143" t="s">
        <v>356</v>
      </c>
      <c r="B1451" s="143" t="s">
        <v>1997</v>
      </c>
      <c r="C1451" s="143" t="s">
        <v>5658</v>
      </c>
      <c r="D1451" s="143" t="s">
        <v>5659</v>
      </c>
    </row>
    <row r="1452">
      <c r="A1452" s="143" t="s">
        <v>356</v>
      </c>
      <c r="B1452" s="143" t="s">
        <v>1997</v>
      </c>
      <c r="C1452" s="143" t="s">
        <v>5660</v>
      </c>
      <c r="D1452" s="143" t="s">
        <v>5661</v>
      </c>
    </row>
    <row r="1453">
      <c r="A1453" s="143" t="s">
        <v>356</v>
      </c>
      <c r="B1453" s="143" t="s">
        <v>1997</v>
      </c>
      <c r="C1453" s="143" t="s">
        <v>5662</v>
      </c>
      <c r="D1453" s="143" t="s">
        <v>5663</v>
      </c>
    </row>
    <row r="1454">
      <c r="A1454" s="143" t="s">
        <v>356</v>
      </c>
      <c r="B1454" s="143" t="s">
        <v>1997</v>
      </c>
      <c r="C1454" s="143" t="s">
        <v>5664</v>
      </c>
      <c r="D1454" s="143" t="s">
        <v>5665</v>
      </c>
    </row>
    <row r="1455">
      <c r="A1455" s="143" t="s">
        <v>356</v>
      </c>
      <c r="B1455" s="143" t="s">
        <v>1997</v>
      </c>
      <c r="C1455" s="143" t="s">
        <v>5666</v>
      </c>
      <c r="D1455" s="143" t="s">
        <v>5667</v>
      </c>
    </row>
    <row r="1456">
      <c r="A1456" s="143" t="s">
        <v>356</v>
      </c>
      <c r="B1456" s="143" t="s">
        <v>1997</v>
      </c>
      <c r="C1456" s="143" t="s">
        <v>5668</v>
      </c>
      <c r="D1456" s="143" t="s">
        <v>5669</v>
      </c>
    </row>
    <row r="1457">
      <c r="A1457" s="143" t="s">
        <v>356</v>
      </c>
      <c r="B1457" s="143" t="s">
        <v>1997</v>
      </c>
      <c r="C1457" s="143" t="s">
        <v>3864</v>
      </c>
      <c r="D1457" s="143" t="s">
        <v>5670</v>
      </c>
    </row>
    <row r="1458">
      <c r="A1458" s="143" t="s">
        <v>356</v>
      </c>
      <c r="B1458" s="143" t="s">
        <v>1997</v>
      </c>
      <c r="C1458" s="143" t="s">
        <v>5671</v>
      </c>
      <c r="D1458" s="143" t="s">
        <v>5672</v>
      </c>
    </row>
    <row r="1459">
      <c r="A1459" s="143" t="s">
        <v>356</v>
      </c>
      <c r="B1459" s="143" t="s">
        <v>3569</v>
      </c>
      <c r="C1459" s="143" t="s">
        <v>5673</v>
      </c>
      <c r="D1459" s="143" t="s">
        <v>5674</v>
      </c>
    </row>
    <row r="1460">
      <c r="A1460" s="143" t="s">
        <v>356</v>
      </c>
      <c r="B1460" s="143" t="s">
        <v>3569</v>
      </c>
      <c r="C1460" s="143" t="s">
        <v>5675</v>
      </c>
      <c r="D1460" s="143" t="s">
        <v>5676</v>
      </c>
    </row>
    <row r="1461">
      <c r="A1461" s="143" t="s">
        <v>356</v>
      </c>
      <c r="B1461" s="143" t="s">
        <v>3569</v>
      </c>
      <c r="C1461" s="143" t="s">
        <v>4636</v>
      </c>
      <c r="D1461" s="143" t="s">
        <v>5677</v>
      </c>
    </row>
    <row r="1462">
      <c r="A1462" s="143" t="s">
        <v>356</v>
      </c>
      <c r="B1462" s="143" t="s">
        <v>3569</v>
      </c>
      <c r="C1462" s="143" t="s">
        <v>5678</v>
      </c>
      <c r="D1462" s="143" t="s">
        <v>5679</v>
      </c>
    </row>
    <row r="1463">
      <c r="A1463" s="143" t="s">
        <v>356</v>
      </c>
      <c r="B1463" s="143" t="s">
        <v>3569</v>
      </c>
      <c r="C1463" s="143" t="s">
        <v>5680</v>
      </c>
      <c r="D1463" s="143" t="s">
        <v>5681</v>
      </c>
    </row>
    <row r="1464">
      <c r="A1464" s="143" t="s">
        <v>356</v>
      </c>
      <c r="B1464" s="143" t="s">
        <v>3569</v>
      </c>
      <c r="C1464" s="143" t="s">
        <v>5682</v>
      </c>
      <c r="D1464" s="143" t="s">
        <v>5683</v>
      </c>
    </row>
    <row r="1465">
      <c r="A1465" s="143" t="s">
        <v>356</v>
      </c>
      <c r="B1465" s="143" t="s">
        <v>3569</v>
      </c>
      <c r="C1465" s="143" t="s">
        <v>5684</v>
      </c>
      <c r="D1465" s="143" t="s">
        <v>5685</v>
      </c>
    </row>
    <row r="1466">
      <c r="A1466" s="143" t="s">
        <v>356</v>
      </c>
      <c r="B1466" s="143" t="s">
        <v>3569</v>
      </c>
      <c r="C1466" s="143" t="s">
        <v>5686</v>
      </c>
      <c r="D1466" s="143" t="s">
        <v>5687</v>
      </c>
    </row>
    <row r="1467">
      <c r="A1467" s="143" t="s">
        <v>356</v>
      </c>
      <c r="B1467" s="143" t="s">
        <v>3569</v>
      </c>
      <c r="C1467" s="143" t="s">
        <v>5688</v>
      </c>
      <c r="D1467" s="143" t="s">
        <v>5689</v>
      </c>
    </row>
    <row r="1468">
      <c r="A1468" s="143" t="s">
        <v>356</v>
      </c>
      <c r="B1468" s="143" t="s">
        <v>3569</v>
      </c>
      <c r="C1468" s="143" t="s">
        <v>5690</v>
      </c>
      <c r="D1468" s="143" t="s">
        <v>5691</v>
      </c>
    </row>
    <row r="1469">
      <c r="A1469" s="143" t="s">
        <v>356</v>
      </c>
      <c r="B1469" s="143" t="s">
        <v>3569</v>
      </c>
      <c r="C1469" s="143" t="s">
        <v>5692</v>
      </c>
      <c r="D1469" s="143" t="s">
        <v>5693</v>
      </c>
    </row>
    <row r="1470">
      <c r="A1470" s="143" t="s">
        <v>356</v>
      </c>
      <c r="B1470" s="143" t="s">
        <v>3569</v>
      </c>
      <c r="C1470" s="143" t="s">
        <v>5694</v>
      </c>
      <c r="D1470" s="143" t="s">
        <v>5695</v>
      </c>
    </row>
    <row r="1471">
      <c r="A1471" s="143" t="s">
        <v>356</v>
      </c>
      <c r="B1471" s="143" t="s">
        <v>357</v>
      </c>
      <c r="C1471" s="143" t="s">
        <v>2011</v>
      </c>
      <c r="D1471" s="143" t="s">
        <v>2012</v>
      </c>
    </row>
    <row r="1472">
      <c r="A1472" s="143" t="s">
        <v>356</v>
      </c>
      <c r="B1472" s="143" t="s">
        <v>357</v>
      </c>
      <c r="C1472" s="143" t="s">
        <v>3186</v>
      </c>
      <c r="D1472" s="143" t="s">
        <v>3187</v>
      </c>
    </row>
    <row r="1473">
      <c r="A1473" s="143" t="s">
        <v>356</v>
      </c>
      <c r="B1473" s="143" t="s">
        <v>357</v>
      </c>
      <c r="C1473" s="143" t="s">
        <v>1689</v>
      </c>
      <c r="D1473" s="143" t="s">
        <v>1690</v>
      </c>
    </row>
    <row r="1474">
      <c r="A1474" s="143" t="s">
        <v>356</v>
      </c>
      <c r="B1474" s="143" t="s">
        <v>357</v>
      </c>
      <c r="C1474" s="143" t="s">
        <v>358</v>
      </c>
      <c r="D1474" s="143" t="s">
        <v>359</v>
      </c>
    </row>
    <row r="1475">
      <c r="A1475" s="143" t="s">
        <v>356</v>
      </c>
      <c r="B1475" s="143" t="s">
        <v>357</v>
      </c>
      <c r="C1475" s="143" t="s">
        <v>5696</v>
      </c>
      <c r="D1475" s="143" t="s">
        <v>5697</v>
      </c>
    </row>
    <row r="1476">
      <c r="A1476" s="143" t="s">
        <v>356</v>
      </c>
      <c r="B1476" s="143" t="s">
        <v>357</v>
      </c>
      <c r="C1476" s="143" t="s">
        <v>375</v>
      </c>
      <c r="D1476" s="143" t="s">
        <v>376</v>
      </c>
    </row>
    <row r="1477">
      <c r="A1477" s="143" t="s">
        <v>356</v>
      </c>
      <c r="B1477" s="143" t="s">
        <v>357</v>
      </c>
      <c r="C1477" s="143" t="s">
        <v>5698</v>
      </c>
      <c r="D1477" s="143" t="s">
        <v>5699</v>
      </c>
    </row>
    <row r="1478">
      <c r="A1478" s="143" t="s">
        <v>345</v>
      </c>
      <c r="B1478" s="143" t="s">
        <v>649</v>
      </c>
      <c r="C1478" s="143" t="s">
        <v>1172</v>
      </c>
      <c r="D1478" s="143" t="s">
        <v>1969</v>
      </c>
    </row>
    <row r="1479">
      <c r="A1479" s="143" t="s">
        <v>345</v>
      </c>
      <c r="B1479" s="143" t="s">
        <v>649</v>
      </c>
      <c r="C1479" s="143" t="s">
        <v>2739</v>
      </c>
      <c r="D1479" s="143" t="s">
        <v>2740</v>
      </c>
    </row>
    <row r="1480">
      <c r="A1480" s="143" t="s">
        <v>345</v>
      </c>
      <c r="B1480" s="143" t="s">
        <v>649</v>
      </c>
      <c r="C1480" s="143" t="s">
        <v>650</v>
      </c>
      <c r="D1480" s="143" t="s">
        <v>651</v>
      </c>
    </row>
    <row r="1481">
      <c r="A1481" s="143" t="s">
        <v>345</v>
      </c>
      <c r="B1481" s="143" t="s">
        <v>649</v>
      </c>
      <c r="C1481" s="143" t="s">
        <v>2503</v>
      </c>
      <c r="D1481" s="143" t="s">
        <v>2504</v>
      </c>
    </row>
    <row r="1482">
      <c r="A1482" s="143" t="s">
        <v>345</v>
      </c>
      <c r="B1482" s="143" t="s">
        <v>649</v>
      </c>
      <c r="C1482" s="143" t="s">
        <v>5700</v>
      </c>
      <c r="D1482" s="143" t="s">
        <v>5701</v>
      </c>
    </row>
    <row r="1483">
      <c r="A1483" s="143" t="s">
        <v>345</v>
      </c>
      <c r="B1483" s="143" t="s">
        <v>649</v>
      </c>
      <c r="C1483" s="143" t="s">
        <v>5702</v>
      </c>
      <c r="D1483" s="143" t="s">
        <v>5703</v>
      </c>
    </row>
    <row r="1484">
      <c r="A1484" s="143" t="s">
        <v>345</v>
      </c>
      <c r="B1484" s="143" t="s">
        <v>649</v>
      </c>
      <c r="C1484" s="143" t="s">
        <v>5704</v>
      </c>
      <c r="D1484" s="143" t="s">
        <v>5705</v>
      </c>
    </row>
    <row r="1485">
      <c r="A1485" s="143" t="s">
        <v>345</v>
      </c>
      <c r="B1485" s="143" t="s">
        <v>649</v>
      </c>
      <c r="C1485" s="143" t="s">
        <v>4263</v>
      </c>
      <c r="D1485" s="143" t="s">
        <v>5706</v>
      </c>
    </row>
    <row r="1486">
      <c r="A1486" s="143" t="s">
        <v>345</v>
      </c>
      <c r="B1486" s="143" t="s">
        <v>649</v>
      </c>
      <c r="C1486" s="143" t="s">
        <v>5707</v>
      </c>
      <c r="D1486" s="143" t="s">
        <v>5708</v>
      </c>
    </row>
    <row r="1487">
      <c r="A1487" s="143" t="s">
        <v>345</v>
      </c>
      <c r="B1487" s="143" t="s">
        <v>649</v>
      </c>
      <c r="C1487" s="143" t="s">
        <v>3052</v>
      </c>
      <c r="D1487" s="143" t="s">
        <v>5709</v>
      </c>
    </row>
    <row r="1488">
      <c r="A1488" s="143" t="s">
        <v>345</v>
      </c>
      <c r="B1488" s="143" t="s">
        <v>649</v>
      </c>
      <c r="C1488" s="143" t="s">
        <v>5710</v>
      </c>
      <c r="D1488" s="143" t="s">
        <v>5711</v>
      </c>
    </row>
    <row r="1489">
      <c r="A1489" s="143" t="s">
        <v>345</v>
      </c>
      <c r="B1489" s="143" t="s">
        <v>649</v>
      </c>
      <c r="C1489" s="143" t="s">
        <v>5712</v>
      </c>
      <c r="D1489" s="143" t="s">
        <v>5713</v>
      </c>
    </row>
    <row r="1490">
      <c r="A1490" s="143" t="s">
        <v>345</v>
      </c>
      <c r="B1490" s="143" t="s">
        <v>5714</v>
      </c>
      <c r="C1490" s="143" t="s">
        <v>5715</v>
      </c>
      <c r="D1490" s="143" t="s">
        <v>5716</v>
      </c>
    </row>
    <row r="1491">
      <c r="A1491" s="143" t="s">
        <v>345</v>
      </c>
      <c r="B1491" s="143" t="s">
        <v>5714</v>
      </c>
      <c r="C1491" s="143" t="s">
        <v>5717</v>
      </c>
      <c r="D1491" s="143" t="s">
        <v>5718</v>
      </c>
    </row>
    <row r="1492">
      <c r="A1492" s="143" t="s">
        <v>345</v>
      </c>
      <c r="B1492" s="143" t="s">
        <v>5714</v>
      </c>
      <c r="C1492" s="143" t="s">
        <v>4636</v>
      </c>
      <c r="D1492" s="143" t="s">
        <v>5719</v>
      </c>
    </row>
    <row r="1493">
      <c r="A1493" s="143" t="s">
        <v>345</v>
      </c>
      <c r="B1493" s="143" t="s">
        <v>5714</v>
      </c>
      <c r="C1493" s="143" t="s">
        <v>4153</v>
      </c>
      <c r="D1493" s="143" t="s">
        <v>5720</v>
      </c>
    </row>
    <row r="1494">
      <c r="A1494" s="143" t="s">
        <v>345</v>
      </c>
      <c r="B1494" s="143" t="s">
        <v>5714</v>
      </c>
      <c r="C1494" s="143" t="s">
        <v>5721</v>
      </c>
      <c r="D1494" s="143" t="s">
        <v>5722</v>
      </c>
    </row>
    <row r="1495">
      <c r="A1495" s="143" t="s">
        <v>345</v>
      </c>
      <c r="B1495" s="143" t="s">
        <v>5714</v>
      </c>
      <c r="C1495" s="143" t="s">
        <v>5723</v>
      </c>
      <c r="D1495" s="143" t="s">
        <v>5724</v>
      </c>
    </row>
    <row r="1496">
      <c r="A1496" s="143" t="s">
        <v>345</v>
      </c>
      <c r="B1496" s="143" t="s">
        <v>5714</v>
      </c>
      <c r="C1496" s="143" t="s">
        <v>447</v>
      </c>
      <c r="D1496" s="143" t="s">
        <v>5725</v>
      </c>
    </row>
    <row r="1497">
      <c r="A1497" s="143" t="s">
        <v>345</v>
      </c>
      <c r="B1497" s="143" t="s">
        <v>5714</v>
      </c>
      <c r="C1497" s="143" t="s">
        <v>969</v>
      </c>
      <c r="D1497" s="143" t="s">
        <v>5726</v>
      </c>
    </row>
    <row r="1498">
      <c r="A1498" s="143" t="s">
        <v>345</v>
      </c>
      <c r="B1498" s="143" t="s">
        <v>5714</v>
      </c>
      <c r="C1498" s="143" t="s">
        <v>4130</v>
      </c>
      <c r="D1498" s="143" t="s">
        <v>5727</v>
      </c>
    </row>
    <row r="1499">
      <c r="A1499" s="143" t="s">
        <v>345</v>
      </c>
      <c r="B1499" s="143" t="s">
        <v>5714</v>
      </c>
      <c r="C1499" s="143" t="s">
        <v>5728</v>
      </c>
      <c r="D1499" s="143" t="s">
        <v>5729</v>
      </c>
    </row>
    <row r="1500">
      <c r="A1500" s="143" t="s">
        <v>345</v>
      </c>
      <c r="B1500" s="143" t="s">
        <v>5714</v>
      </c>
      <c r="C1500" s="143" t="s">
        <v>5730</v>
      </c>
      <c r="D1500" s="143" t="s">
        <v>5731</v>
      </c>
    </row>
    <row r="1501">
      <c r="A1501" s="143" t="s">
        <v>345</v>
      </c>
      <c r="B1501" s="143" t="s">
        <v>5714</v>
      </c>
      <c r="C1501" s="143" t="s">
        <v>5732</v>
      </c>
      <c r="D1501" s="143" t="s">
        <v>5733</v>
      </c>
    </row>
    <row r="1502">
      <c r="A1502" s="143" t="s">
        <v>345</v>
      </c>
      <c r="B1502" s="143" t="s">
        <v>5714</v>
      </c>
      <c r="C1502" s="143" t="s">
        <v>5734</v>
      </c>
      <c r="D1502" s="143" t="s">
        <v>5735</v>
      </c>
    </row>
    <row r="1503">
      <c r="A1503" s="143" t="s">
        <v>345</v>
      </c>
      <c r="B1503" s="143" t="s">
        <v>5714</v>
      </c>
      <c r="C1503" s="143" t="s">
        <v>5736</v>
      </c>
      <c r="D1503" s="143" t="s">
        <v>5737</v>
      </c>
    </row>
    <row r="1504">
      <c r="A1504" s="143" t="s">
        <v>345</v>
      </c>
      <c r="B1504" s="143" t="s">
        <v>346</v>
      </c>
      <c r="C1504" s="143" t="s">
        <v>1530</v>
      </c>
      <c r="D1504" s="143" t="s">
        <v>5738</v>
      </c>
    </row>
    <row r="1505">
      <c r="A1505" s="143" t="s">
        <v>345</v>
      </c>
      <c r="B1505" s="143" t="s">
        <v>346</v>
      </c>
      <c r="C1505" s="143" t="s">
        <v>5739</v>
      </c>
      <c r="D1505" s="143" t="s">
        <v>5740</v>
      </c>
    </row>
    <row r="1506">
      <c r="A1506" s="143" t="s">
        <v>345</v>
      </c>
      <c r="B1506" s="143" t="s">
        <v>346</v>
      </c>
      <c r="C1506" s="143" t="s">
        <v>3643</v>
      </c>
      <c r="D1506" s="143" t="s">
        <v>5741</v>
      </c>
    </row>
    <row r="1507">
      <c r="A1507" s="143" t="s">
        <v>345</v>
      </c>
      <c r="B1507" s="143" t="s">
        <v>346</v>
      </c>
      <c r="C1507" s="143" t="s">
        <v>2291</v>
      </c>
      <c r="D1507" s="143" t="s">
        <v>2292</v>
      </c>
    </row>
    <row r="1508">
      <c r="A1508" s="143" t="s">
        <v>345</v>
      </c>
      <c r="B1508" s="143" t="s">
        <v>346</v>
      </c>
      <c r="C1508" s="143" t="s">
        <v>5742</v>
      </c>
      <c r="D1508" s="143" t="s">
        <v>5743</v>
      </c>
    </row>
    <row r="1509">
      <c r="A1509" s="143" t="s">
        <v>345</v>
      </c>
      <c r="B1509" s="143" t="s">
        <v>346</v>
      </c>
      <c r="C1509" s="143" t="s">
        <v>3193</v>
      </c>
      <c r="D1509" s="143" t="s">
        <v>3194</v>
      </c>
    </row>
    <row r="1510">
      <c r="A1510" s="143" t="s">
        <v>345</v>
      </c>
      <c r="B1510" s="143" t="s">
        <v>346</v>
      </c>
      <c r="C1510" s="143" t="s">
        <v>1406</v>
      </c>
      <c r="D1510" s="143" t="s">
        <v>5744</v>
      </c>
    </row>
    <row r="1511">
      <c r="A1511" s="143" t="s">
        <v>345</v>
      </c>
      <c r="B1511" s="143" t="s">
        <v>346</v>
      </c>
      <c r="C1511" s="143" t="s">
        <v>5745</v>
      </c>
      <c r="D1511" s="143" t="s">
        <v>5746</v>
      </c>
    </row>
    <row r="1512">
      <c r="A1512" s="143" t="s">
        <v>345</v>
      </c>
      <c r="B1512" s="143" t="s">
        <v>346</v>
      </c>
      <c r="C1512" s="143" t="s">
        <v>5747</v>
      </c>
      <c r="D1512" s="143" t="s">
        <v>5748</v>
      </c>
    </row>
    <row r="1513">
      <c r="A1513" s="143" t="s">
        <v>345</v>
      </c>
      <c r="B1513" s="143" t="s">
        <v>346</v>
      </c>
      <c r="C1513" s="143" t="s">
        <v>3198</v>
      </c>
      <c r="D1513" s="143" t="s">
        <v>3199</v>
      </c>
    </row>
    <row r="1514">
      <c r="A1514" s="143" t="s">
        <v>345</v>
      </c>
      <c r="B1514" s="143" t="s">
        <v>346</v>
      </c>
      <c r="C1514" s="143" t="s">
        <v>3989</v>
      </c>
      <c r="D1514" s="143" t="s">
        <v>5749</v>
      </c>
    </row>
    <row r="1515">
      <c r="A1515" s="143" t="s">
        <v>345</v>
      </c>
      <c r="B1515" s="143" t="s">
        <v>346</v>
      </c>
      <c r="C1515" s="143" t="s">
        <v>4650</v>
      </c>
      <c r="D1515" s="143" t="s">
        <v>5750</v>
      </c>
    </row>
    <row r="1516">
      <c r="A1516" s="143" t="s">
        <v>345</v>
      </c>
      <c r="B1516" s="143" t="s">
        <v>346</v>
      </c>
      <c r="C1516" s="143" t="s">
        <v>5751</v>
      </c>
      <c r="D1516" s="143" t="s">
        <v>5752</v>
      </c>
    </row>
    <row r="1517">
      <c r="A1517" s="143" t="s">
        <v>345</v>
      </c>
      <c r="B1517" s="143" t="s">
        <v>346</v>
      </c>
      <c r="C1517" s="143" t="s">
        <v>969</v>
      </c>
      <c r="D1517" s="143" t="s">
        <v>5753</v>
      </c>
    </row>
    <row r="1518">
      <c r="A1518" s="143" t="s">
        <v>345</v>
      </c>
      <c r="B1518" s="143" t="s">
        <v>346</v>
      </c>
      <c r="C1518" s="143" t="s">
        <v>3178</v>
      </c>
      <c r="D1518" s="143" t="s">
        <v>5754</v>
      </c>
    </row>
    <row r="1519">
      <c r="A1519" s="143" t="s">
        <v>345</v>
      </c>
      <c r="B1519" s="143" t="s">
        <v>346</v>
      </c>
      <c r="C1519" s="143" t="s">
        <v>5755</v>
      </c>
      <c r="D1519" s="143" t="s">
        <v>5756</v>
      </c>
    </row>
    <row r="1520">
      <c r="A1520" s="143" t="s">
        <v>345</v>
      </c>
      <c r="B1520" s="143" t="s">
        <v>346</v>
      </c>
      <c r="C1520" s="143" t="s">
        <v>3790</v>
      </c>
      <c r="D1520" s="143" t="s">
        <v>5757</v>
      </c>
    </row>
    <row r="1521">
      <c r="A1521" s="143" t="s">
        <v>345</v>
      </c>
      <c r="B1521" s="143" t="s">
        <v>346</v>
      </c>
      <c r="C1521" s="143" t="s">
        <v>4455</v>
      </c>
      <c r="D1521" s="143" t="s">
        <v>5758</v>
      </c>
    </row>
    <row r="1522">
      <c r="A1522" s="143" t="s">
        <v>345</v>
      </c>
      <c r="B1522" s="143" t="s">
        <v>346</v>
      </c>
      <c r="C1522" s="143" t="s">
        <v>347</v>
      </c>
      <c r="D1522" s="143" t="s">
        <v>348</v>
      </c>
    </row>
    <row r="1523">
      <c r="A1523" s="143" t="s">
        <v>345</v>
      </c>
      <c r="B1523" s="143" t="s">
        <v>346</v>
      </c>
      <c r="C1523" s="143" t="s">
        <v>5759</v>
      </c>
      <c r="D1523" s="143" t="s">
        <v>2376</v>
      </c>
    </row>
    <row r="1524">
      <c r="A1524" s="143" t="s">
        <v>345</v>
      </c>
      <c r="B1524" s="143" t="s">
        <v>346</v>
      </c>
      <c r="C1524" s="143" t="s">
        <v>5481</v>
      </c>
      <c r="D1524" s="143" t="s">
        <v>5760</v>
      </c>
    </row>
    <row r="1525">
      <c r="A1525" s="143" t="s">
        <v>345</v>
      </c>
      <c r="B1525" s="143" t="s">
        <v>3204</v>
      </c>
      <c r="C1525" s="143" t="s">
        <v>5761</v>
      </c>
      <c r="D1525" s="143" t="s">
        <v>5762</v>
      </c>
    </row>
    <row r="1526">
      <c r="A1526" s="143" t="s">
        <v>345</v>
      </c>
      <c r="B1526" s="143" t="s">
        <v>3204</v>
      </c>
      <c r="C1526" s="143" t="s">
        <v>5763</v>
      </c>
      <c r="D1526" s="143" t="s">
        <v>5764</v>
      </c>
    </row>
    <row r="1527">
      <c r="A1527" s="143" t="s">
        <v>345</v>
      </c>
      <c r="B1527" s="143" t="s">
        <v>3204</v>
      </c>
      <c r="C1527" s="143" t="s">
        <v>5765</v>
      </c>
      <c r="D1527" s="143" t="s">
        <v>5766</v>
      </c>
    </row>
    <row r="1528">
      <c r="A1528" s="143" t="s">
        <v>345</v>
      </c>
      <c r="B1528" s="143" t="s">
        <v>3204</v>
      </c>
      <c r="C1528" s="143" t="s">
        <v>5767</v>
      </c>
      <c r="D1528" s="143" t="s">
        <v>5768</v>
      </c>
    </row>
    <row r="1529">
      <c r="A1529" s="143" t="s">
        <v>345</v>
      </c>
      <c r="B1529" s="143" t="s">
        <v>3204</v>
      </c>
      <c r="C1529" s="143" t="s">
        <v>5769</v>
      </c>
      <c r="D1529" s="143" t="s">
        <v>5770</v>
      </c>
    </row>
    <row r="1530">
      <c r="A1530" s="143" t="s">
        <v>345</v>
      </c>
      <c r="B1530" s="143" t="s">
        <v>3204</v>
      </c>
      <c r="C1530" s="143" t="s">
        <v>2503</v>
      </c>
      <c r="D1530" s="143" t="s">
        <v>5771</v>
      </c>
    </row>
    <row r="1531">
      <c r="A1531" s="143" t="s">
        <v>345</v>
      </c>
      <c r="B1531" s="143" t="s">
        <v>3204</v>
      </c>
      <c r="C1531" s="143" t="s">
        <v>5772</v>
      </c>
      <c r="D1531" s="143" t="s">
        <v>5773</v>
      </c>
    </row>
    <row r="1532">
      <c r="A1532" s="143" t="s">
        <v>345</v>
      </c>
      <c r="B1532" s="143" t="s">
        <v>3204</v>
      </c>
      <c r="C1532" s="143" t="s">
        <v>3205</v>
      </c>
      <c r="D1532" s="143" t="s">
        <v>3206</v>
      </c>
    </row>
    <row r="1533">
      <c r="A1533" s="143" t="s">
        <v>345</v>
      </c>
      <c r="B1533" s="143" t="s">
        <v>3204</v>
      </c>
      <c r="C1533" s="143" t="s">
        <v>5774</v>
      </c>
      <c r="D1533" s="143" t="s">
        <v>5775</v>
      </c>
    </row>
    <row r="1534">
      <c r="A1534" s="143" t="s">
        <v>345</v>
      </c>
      <c r="B1534" s="143" t="s">
        <v>3204</v>
      </c>
      <c r="C1534" s="143" t="s">
        <v>5776</v>
      </c>
      <c r="D1534" s="143" t="s">
        <v>5777</v>
      </c>
    </row>
    <row r="1535">
      <c r="A1535" s="143" t="s">
        <v>345</v>
      </c>
      <c r="B1535" s="143" t="s">
        <v>3204</v>
      </c>
      <c r="C1535" s="143" t="s">
        <v>5778</v>
      </c>
      <c r="D1535" s="143" t="s">
        <v>5779</v>
      </c>
    </row>
    <row r="1536">
      <c r="A1536" s="143" t="s">
        <v>345</v>
      </c>
      <c r="B1536" s="143" t="s">
        <v>3204</v>
      </c>
      <c r="C1536" s="143" t="s">
        <v>5780</v>
      </c>
      <c r="D1536" s="143" t="s">
        <v>5781</v>
      </c>
    </row>
    <row r="1537">
      <c r="A1537" s="143" t="s">
        <v>345</v>
      </c>
      <c r="B1537" s="143" t="s">
        <v>3204</v>
      </c>
      <c r="C1537" s="143" t="s">
        <v>5782</v>
      </c>
      <c r="D1537" s="143" t="s">
        <v>5783</v>
      </c>
    </row>
    <row r="1538">
      <c r="A1538" s="143" t="s">
        <v>345</v>
      </c>
      <c r="B1538" s="143" t="s">
        <v>3204</v>
      </c>
      <c r="C1538" s="143" t="s">
        <v>5784</v>
      </c>
      <c r="D1538" s="143" t="s">
        <v>5785</v>
      </c>
    </row>
    <row r="1539">
      <c r="A1539" s="143" t="s">
        <v>345</v>
      </c>
      <c r="B1539" s="143" t="s">
        <v>3204</v>
      </c>
      <c r="C1539" s="143" t="s">
        <v>3919</v>
      </c>
      <c r="D1539" s="143" t="s">
        <v>5786</v>
      </c>
    </row>
    <row r="1540">
      <c r="A1540" s="143" t="s">
        <v>345</v>
      </c>
      <c r="B1540" s="143" t="s">
        <v>3204</v>
      </c>
      <c r="C1540" s="143" t="s">
        <v>4031</v>
      </c>
      <c r="D1540" s="143" t="s">
        <v>5787</v>
      </c>
    </row>
    <row r="1541">
      <c r="A1541" s="143" t="s">
        <v>345</v>
      </c>
      <c r="B1541" s="143" t="s">
        <v>3204</v>
      </c>
      <c r="C1541" s="143" t="s">
        <v>5788</v>
      </c>
      <c r="D1541" s="143" t="s">
        <v>5789</v>
      </c>
    </row>
    <row r="1542">
      <c r="A1542" s="143" t="s">
        <v>345</v>
      </c>
      <c r="B1542" s="143" t="s">
        <v>3204</v>
      </c>
      <c r="C1542" s="143" t="s">
        <v>5790</v>
      </c>
      <c r="D1542" s="143" t="s">
        <v>5791</v>
      </c>
    </row>
    <row r="1543">
      <c r="A1543" s="143" t="s">
        <v>345</v>
      </c>
      <c r="B1543" s="143" t="s">
        <v>3204</v>
      </c>
      <c r="C1543" s="143" t="s">
        <v>5792</v>
      </c>
      <c r="D1543" s="143" t="s">
        <v>5793</v>
      </c>
    </row>
    <row r="1544">
      <c r="A1544" s="143" t="s">
        <v>345</v>
      </c>
      <c r="B1544" s="143" t="s">
        <v>1910</v>
      </c>
      <c r="C1544" s="143" t="s">
        <v>5794</v>
      </c>
      <c r="D1544" s="143" t="s">
        <v>5795</v>
      </c>
    </row>
    <row r="1545">
      <c r="A1545" s="143" t="s">
        <v>345</v>
      </c>
      <c r="B1545" s="143" t="s">
        <v>1910</v>
      </c>
      <c r="C1545" s="143" t="s">
        <v>1911</v>
      </c>
      <c r="D1545" s="143" t="s">
        <v>1912</v>
      </c>
    </row>
    <row r="1546">
      <c r="A1546" s="143" t="s">
        <v>345</v>
      </c>
      <c r="B1546" s="143" t="s">
        <v>1910</v>
      </c>
      <c r="C1546" s="143" t="s">
        <v>5796</v>
      </c>
      <c r="D1546" s="143" t="s">
        <v>5797</v>
      </c>
    </row>
    <row r="1547">
      <c r="A1547" s="143" t="s">
        <v>345</v>
      </c>
      <c r="B1547" s="143" t="s">
        <v>1910</v>
      </c>
      <c r="C1547" s="143" t="s">
        <v>5798</v>
      </c>
      <c r="D1547" s="143" t="s">
        <v>5799</v>
      </c>
    </row>
    <row r="1548">
      <c r="A1548" s="143" t="s">
        <v>345</v>
      </c>
      <c r="B1548" s="143" t="s">
        <v>1910</v>
      </c>
      <c r="C1548" s="143" t="s">
        <v>5721</v>
      </c>
      <c r="D1548" s="143" t="s">
        <v>5800</v>
      </c>
    </row>
    <row r="1549">
      <c r="A1549" s="143" t="s">
        <v>345</v>
      </c>
      <c r="B1549" s="143" t="s">
        <v>1910</v>
      </c>
      <c r="C1549" s="143" t="s">
        <v>1667</v>
      </c>
      <c r="D1549" s="143" t="s">
        <v>5801</v>
      </c>
    </row>
    <row r="1550">
      <c r="A1550" s="143" t="s">
        <v>345</v>
      </c>
      <c r="B1550" s="143" t="s">
        <v>1910</v>
      </c>
      <c r="C1550" s="143" t="s">
        <v>5802</v>
      </c>
      <c r="D1550" s="143" t="s">
        <v>5803</v>
      </c>
    </row>
    <row r="1551">
      <c r="A1551" s="143" t="s">
        <v>619</v>
      </c>
      <c r="B1551" s="143" t="s">
        <v>620</v>
      </c>
      <c r="C1551" s="143" t="s">
        <v>5804</v>
      </c>
      <c r="D1551" s="143" t="s">
        <v>5805</v>
      </c>
    </row>
    <row r="1552">
      <c r="A1552" s="143" t="s">
        <v>619</v>
      </c>
      <c r="B1552" s="143" t="s">
        <v>620</v>
      </c>
      <c r="C1552" s="143" t="s">
        <v>5806</v>
      </c>
      <c r="D1552" s="143" t="s">
        <v>5807</v>
      </c>
    </row>
    <row r="1553">
      <c r="A1553" s="143" t="s">
        <v>619</v>
      </c>
      <c r="B1553" s="143" t="s">
        <v>620</v>
      </c>
      <c r="C1553" s="143" t="s">
        <v>5808</v>
      </c>
      <c r="D1553" s="143" t="s">
        <v>5809</v>
      </c>
    </row>
    <row r="1554">
      <c r="A1554" s="143" t="s">
        <v>619</v>
      </c>
      <c r="B1554" s="143" t="s">
        <v>620</v>
      </c>
      <c r="C1554" s="143" t="s">
        <v>5810</v>
      </c>
      <c r="D1554" s="143" t="s">
        <v>5811</v>
      </c>
    </row>
    <row r="1555">
      <c r="A1555" s="143" t="s">
        <v>619</v>
      </c>
      <c r="B1555" s="143" t="s">
        <v>620</v>
      </c>
      <c r="C1555" s="143" t="s">
        <v>5812</v>
      </c>
      <c r="D1555" s="143" t="s">
        <v>5813</v>
      </c>
    </row>
    <row r="1556">
      <c r="A1556" s="143" t="s">
        <v>619</v>
      </c>
      <c r="B1556" s="143" t="s">
        <v>620</v>
      </c>
      <c r="C1556" s="143" t="s">
        <v>621</v>
      </c>
      <c r="D1556" s="143" t="s">
        <v>622</v>
      </c>
    </row>
    <row r="1557">
      <c r="A1557" s="143" t="s">
        <v>619</v>
      </c>
      <c r="B1557" s="143" t="s">
        <v>620</v>
      </c>
      <c r="C1557" s="143" t="s">
        <v>5814</v>
      </c>
      <c r="D1557" s="143" t="s">
        <v>5815</v>
      </c>
    </row>
    <row r="1558">
      <c r="A1558" s="143" t="s">
        <v>619</v>
      </c>
      <c r="B1558" s="143" t="s">
        <v>620</v>
      </c>
      <c r="C1558" s="143" t="s">
        <v>5816</v>
      </c>
      <c r="D1558" s="143" t="s">
        <v>5817</v>
      </c>
    </row>
    <row r="1559">
      <c r="A1559" s="143" t="s">
        <v>619</v>
      </c>
      <c r="B1559" s="143" t="s">
        <v>620</v>
      </c>
      <c r="C1559" s="143" t="s">
        <v>5818</v>
      </c>
      <c r="D1559" s="143" t="s">
        <v>5819</v>
      </c>
    </row>
    <row r="1560">
      <c r="A1560" s="143" t="s">
        <v>619</v>
      </c>
      <c r="B1560" s="143" t="s">
        <v>620</v>
      </c>
      <c r="C1560" s="143" t="s">
        <v>5820</v>
      </c>
      <c r="D1560" s="143" t="s">
        <v>5821</v>
      </c>
    </row>
    <row r="1561">
      <c r="A1561" s="143" t="s">
        <v>619</v>
      </c>
      <c r="B1561" s="143" t="s">
        <v>620</v>
      </c>
      <c r="C1561" s="143" t="s">
        <v>5822</v>
      </c>
      <c r="D1561" s="143" t="s">
        <v>5823</v>
      </c>
    </row>
    <row r="1562">
      <c r="A1562" s="143" t="s">
        <v>619</v>
      </c>
      <c r="B1562" s="143" t="s">
        <v>620</v>
      </c>
      <c r="C1562" s="143" t="s">
        <v>5824</v>
      </c>
      <c r="D1562" s="143" t="s">
        <v>5825</v>
      </c>
    </row>
    <row r="1563">
      <c r="A1563" s="143" t="s">
        <v>619</v>
      </c>
      <c r="B1563" s="143" t="s">
        <v>620</v>
      </c>
      <c r="C1563" s="143" t="s">
        <v>5826</v>
      </c>
      <c r="D1563" s="143" t="s">
        <v>5827</v>
      </c>
    </row>
    <row r="1564">
      <c r="A1564" s="143" t="s">
        <v>619</v>
      </c>
      <c r="B1564" s="143" t="s">
        <v>620</v>
      </c>
      <c r="C1564" s="143" t="s">
        <v>5828</v>
      </c>
      <c r="D1564" s="143" t="s">
        <v>5829</v>
      </c>
    </row>
    <row r="1565">
      <c r="A1565" s="143" t="s">
        <v>619</v>
      </c>
      <c r="B1565" s="143" t="s">
        <v>620</v>
      </c>
      <c r="C1565" s="143" t="s">
        <v>5830</v>
      </c>
      <c r="D1565" s="143" t="s">
        <v>5831</v>
      </c>
    </row>
    <row r="1566">
      <c r="A1566" s="143" t="s">
        <v>619</v>
      </c>
      <c r="B1566" s="143" t="s">
        <v>620</v>
      </c>
      <c r="C1566" s="143" t="s">
        <v>5832</v>
      </c>
      <c r="D1566" s="143" t="s">
        <v>5833</v>
      </c>
    </row>
    <row r="1567">
      <c r="A1567" s="143" t="s">
        <v>619</v>
      </c>
      <c r="B1567" s="143" t="s">
        <v>620</v>
      </c>
      <c r="C1567" s="143" t="s">
        <v>5834</v>
      </c>
      <c r="D1567" s="143" t="s">
        <v>5835</v>
      </c>
    </row>
    <row r="1568">
      <c r="A1568" s="143" t="s">
        <v>5836</v>
      </c>
      <c r="B1568" s="143" t="s">
        <v>5837</v>
      </c>
      <c r="C1568" s="143" t="s">
        <v>5838</v>
      </c>
      <c r="D1568" s="143" t="s">
        <v>5839</v>
      </c>
    </row>
    <row r="1569">
      <c r="A1569" s="143" t="s">
        <v>5836</v>
      </c>
      <c r="B1569" s="143" t="s">
        <v>5837</v>
      </c>
      <c r="C1569" s="143" t="s">
        <v>5840</v>
      </c>
      <c r="D1569" s="143" t="s">
        <v>5841</v>
      </c>
    </row>
    <row r="1570">
      <c r="A1570" s="143" t="s">
        <v>5836</v>
      </c>
      <c r="B1570" s="143" t="s">
        <v>5837</v>
      </c>
      <c r="C1570" s="143" t="s">
        <v>5842</v>
      </c>
      <c r="D1570" s="143" t="s">
        <v>5843</v>
      </c>
    </row>
    <row r="1571">
      <c r="A1571" s="143" t="s">
        <v>5836</v>
      </c>
      <c r="B1571" s="143" t="s">
        <v>5837</v>
      </c>
      <c r="C1571" s="143" t="s">
        <v>5844</v>
      </c>
      <c r="D1571" s="143" t="s">
        <v>5845</v>
      </c>
    </row>
    <row r="1572">
      <c r="A1572" s="143" t="s">
        <v>5836</v>
      </c>
      <c r="B1572" s="143" t="s">
        <v>5837</v>
      </c>
      <c r="C1572" s="143" t="s">
        <v>5846</v>
      </c>
      <c r="D1572" s="143" t="s">
        <v>5847</v>
      </c>
    </row>
    <row r="1573">
      <c r="A1573" s="143" t="s">
        <v>5836</v>
      </c>
      <c r="B1573" s="143" t="s">
        <v>5837</v>
      </c>
      <c r="C1573" s="143" t="s">
        <v>5848</v>
      </c>
      <c r="D1573" s="143" t="s">
        <v>5849</v>
      </c>
    </row>
    <row r="1574">
      <c r="A1574" s="143" t="s">
        <v>5836</v>
      </c>
      <c r="B1574" s="143" t="s">
        <v>5837</v>
      </c>
      <c r="C1574" s="143" t="s">
        <v>4346</v>
      </c>
      <c r="D1574" s="143" t="s">
        <v>5850</v>
      </c>
    </row>
    <row r="1575">
      <c r="A1575" s="143" t="s">
        <v>5836</v>
      </c>
      <c r="B1575" s="143" t="s">
        <v>5837</v>
      </c>
      <c r="C1575" s="143" t="s">
        <v>4153</v>
      </c>
      <c r="D1575" s="143" t="s">
        <v>5851</v>
      </c>
    </row>
    <row r="1576">
      <c r="A1576" s="143" t="s">
        <v>5836</v>
      </c>
      <c r="B1576" s="143" t="s">
        <v>5837</v>
      </c>
      <c r="C1576" s="143" t="s">
        <v>5852</v>
      </c>
      <c r="D1576" s="143" t="s">
        <v>5853</v>
      </c>
    </row>
    <row r="1577">
      <c r="A1577" s="143" t="s">
        <v>5836</v>
      </c>
      <c r="B1577" s="143" t="s">
        <v>5837</v>
      </c>
      <c r="C1577" s="143" t="s">
        <v>5854</v>
      </c>
      <c r="D1577" s="143" t="s">
        <v>5855</v>
      </c>
    </row>
    <row r="1578">
      <c r="A1578" s="143" t="s">
        <v>5836</v>
      </c>
      <c r="B1578" s="143" t="s">
        <v>5837</v>
      </c>
      <c r="C1578" s="143" t="s">
        <v>5856</v>
      </c>
      <c r="D1578" s="143" t="s">
        <v>5857</v>
      </c>
    </row>
    <row r="1579">
      <c r="A1579" s="143" t="s">
        <v>5836</v>
      </c>
      <c r="B1579" s="143" t="s">
        <v>5837</v>
      </c>
      <c r="C1579" s="143" t="s">
        <v>5858</v>
      </c>
      <c r="D1579" s="143" t="s">
        <v>5859</v>
      </c>
    </row>
    <row r="1580">
      <c r="A1580" s="143" t="s">
        <v>5836</v>
      </c>
      <c r="B1580" s="143" t="s">
        <v>5837</v>
      </c>
      <c r="C1580" s="143" t="s">
        <v>5860</v>
      </c>
      <c r="D1580" s="143" t="s">
        <v>5861</v>
      </c>
    </row>
    <row r="1581">
      <c r="A1581" s="143" t="s">
        <v>5836</v>
      </c>
      <c r="B1581" s="143" t="s">
        <v>5837</v>
      </c>
      <c r="C1581" s="143" t="s">
        <v>5862</v>
      </c>
      <c r="D1581" s="143" t="s">
        <v>5863</v>
      </c>
    </row>
    <row r="1582">
      <c r="A1582" s="143" t="s">
        <v>5836</v>
      </c>
      <c r="B1582" s="143" t="s">
        <v>5837</v>
      </c>
      <c r="C1582" s="143" t="s">
        <v>5864</v>
      </c>
      <c r="D1582" s="143" t="s">
        <v>5865</v>
      </c>
    </row>
    <row r="1583">
      <c r="A1583" s="143" t="s">
        <v>5836</v>
      </c>
      <c r="B1583" s="143" t="s">
        <v>5837</v>
      </c>
      <c r="C1583" s="143" t="s">
        <v>5866</v>
      </c>
      <c r="D1583" s="143" t="s">
        <v>5867</v>
      </c>
    </row>
    <row r="1584">
      <c r="A1584" s="143" t="s">
        <v>5836</v>
      </c>
      <c r="B1584" s="143" t="s">
        <v>5837</v>
      </c>
      <c r="C1584" s="143" t="s">
        <v>5868</v>
      </c>
      <c r="D1584" s="143" t="s">
        <v>5869</v>
      </c>
    </row>
    <row r="1585">
      <c r="A1585" s="143" t="s">
        <v>5836</v>
      </c>
      <c r="B1585" s="143" t="s">
        <v>5837</v>
      </c>
      <c r="C1585" s="143" t="s">
        <v>5870</v>
      </c>
      <c r="D1585" s="143" t="s">
        <v>5871</v>
      </c>
    </row>
    <row r="1586">
      <c r="A1586" s="143" t="s">
        <v>5836</v>
      </c>
      <c r="B1586" s="143" t="s">
        <v>5837</v>
      </c>
      <c r="C1586" s="143" t="s">
        <v>3989</v>
      </c>
      <c r="D1586" s="143" t="s">
        <v>5872</v>
      </c>
    </row>
    <row r="1587">
      <c r="A1587" s="143" t="s">
        <v>5836</v>
      </c>
      <c r="B1587" s="143" t="s">
        <v>5837</v>
      </c>
      <c r="C1587" s="143" t="s">
        <v>5873</v>
      </c>
      <c r="D1587" s="143" t="s">
        <v>5874</v>
      </c>
    </row>
    <row r="1588">
      <c r="A1588" s="143" t="s">
        <v>5836</v>
      </c>
      <c r="B1588" s="143" t="s">
        <v>5837</v>
      </c>
      <c r="C1588" s="143" t="s">
        <v>3178</v>
      </c>
      <c r="D1588" s="143" t="s">
        <v>5875</v>
      </c>
    </row>
    <row r="1589">
      <c r="A1589" s="143" t="s">
        <v>5836</v>
      </c>
      <c r="B1589" s="143" t="s">
        <v>5837</v>
      </c>
      <c r="C1589" s="143" t="s">
        <v>491</v>
      </c>
      <c r="D1589" s="143" t="s">
        <v>5876</v>
      </c>
    </row>
    <row r="1590">
      <c r="A1590" s="143" t="s">
        <v>5836</v>
      </c>
      <c r="B1590" s="143" t="s">
        <v>5837</v>
      </c>
      <c r="C1590" s="143" t="s">
        <v>3784</v>
      </c>
      <c r="D1590" s="143" t="s">
        <v>5877</v>
      </c>
    </row>
    <row r="1591">
      <c r="A1591" s="143" t="s">
        <v>5836</v>
      </c>
      <c r="B1591" s="143" t="s">
        <v>5837</v>
      </c>
      <c r="C1591" s="143" t="s">
        <v>5878</v>
      </c>
      <c r="D1591" s="143" t="s">
        <v>5879</v>
      </c>
    </row>
    <row r="1592">
      <c r="A1592" s="143" t="s">
        <v>5836</v>
      </c>
      <c r="B1592" s="143" t="s">
        <v>5837</v>
      </c>
      <c r="C1592" s="143" t="s">
        <v>5880</v>
      </c>
      <c r="D1592" s="143" t="s">
        <v>5881</v>
      </c>
    </row>
    <row r="1593">
      <c r="A1593" s="143" t="s">
        <v>5836</v>
      </c>
      <c r="B1593" s="143" t="s">
        <v>5837</v>
      </c>
      <c r="C1593" s="143" t="s">
        <v>5882</v>
      </c>
      <c r="D1593" s="143" t="s">
        <v>5883</v>
      </c>
    </row>
    <row r="1594">
      <c r="A1594" s="143" t="s">
        <v>5836</v>
      </c>
      <c r="B1594" s="143" t="s">
        <v>5837</v>
      </c>
      <c r="C1594" s="143" t="s">
        <v>5884</v>
      </c>
      <c r="D1594" s="143" t="s">
        <v>5885</v>
      </c>
    </row>
    <row r="1595">
      <c r="A1595" s="143" t="s">
        <v>5836</v>
      </c>
      <c r="B1595" s="143" t="s">
        <v>5886</v>
      </c>
      <c r="C1595" s="143" t="s">
        <v>5887</v>
      </c>
      <c r="D1595" s="143" t="s">
        <v>5888</v>
      </c>
    </row>
    <row r="1596">
      <c r="A1596" s="143" t="s">
        <v>5836</v>
      </c>
      <c r="B1596" s="143" t="s">
        <v>5886</v>
      </c>
      <c r="C1596" s="143" t="s">
        <v>5889</v>
      </c>
      <c r="D1596" s="143" t="s">
        <v>5890</v>
      </c>
    </row>
    <row r="1597">
      <c r="A1597" s="143" t="s">
        <v>5836</v>
      </c>
      <c r="B1597" s="143" t="s">
        <v>5886</v>
      </c>
      <c r="C1597" s="143" t="s">
        <v>5891</v>
      </c>
      <c r="D1597" s="143" t="s">
        <v>5892</v>
      </c>
    </row>
    <row r="1598">
      <c r="A1598" s="143" t="s">
        <v>5836</v>
      </c>
      <c r="B1598" s="143" t="s">
        <v>5886</v>
      </c>
      <c r="C1598" s="143" t="s">
        <v>5893</v>
      </c>
      <c r="D1598" s="143" t="s">
        <v>5894</v>
      </c>
    </row>
    <row r="1599">
      <c r="A1599" s="143" t="s">
        <v>5836</v>
      </c>
      <c r="B1599" s="143" t="s">
        <v>5886</v>
      </c>
      <c r="C1599" s="143" t="s">
        <v>5895</v>
      </c>
      <c r="D1599" s="143" t="s">
        <v>5896</v>
      </c>
    </row>
    <row r="1600">
      <c r="A1600" s="143" t="s">
        <v>5836</v>
      </c>
      <c r="B1600" s="143" t="s">
        <v>5886</v>
      </c>
      <c r="C1600" s="143" t="s">
        <v>5897</v>
      </c>
      <c r="D1600" s="143" t="s">
        <v>5898</v>
      </c>
    </row>
    <row r="1601">
      <c r="A1601" s="143" t="s">
        <v>5836</v>
      </c>
      <c r="B1601" s="143" t="s">
        <v>5886</v>
      </c>
      <c r="C1601" s="143" t="s">
        <v>5899</v>
      </c>
      <c r="D1601" s="143" t="s">
        <v>5900</v>
      </c>
    </row>
    <row r="1602">
      <c r="A1602" s="143" t="s">
        <v>5836</v>
      </c>
      <c r="B1602" s="143" t="s">
        <v>5886</v>
      </c>
      <c r="C1602" s="143" t="s">
        <v>5901</v>
      </c>
      <c r="D1602" s="143" t="s">
        <v>5902</v>
      </c>
    </row>
    <row r="1603">
      <c r="A1603" s="143" t="s">
        <v>5836</v>
      </c>
      <c r="B1603" s="143" t="s">
        <v>5886</v>
      </c>
      <c r="C1603" s="143" t="s">
        <v>5903</v>
      </c>
      <c r="D1603" s="143" t="s">
        <v>5904</v>
      </c>
    </row>
    <row r="1604">
      <c r="A1604" s="143" t="s">
        <v>5836</v>
      </c>
      <c r="B1604" s="143" t="s">
        <v>5886</v>
      </c>
      <c r="C1604" s="143" t="s">
        <v>5905</v>
      </c>
      <c r="D1604" s="143" t="s">
        <v>5906</v>
      </c>
    </row>
    <row r="1605">
      <c r="A1605" s="143" t="s">
        <v>5836</v>
      </c>
      <c r="B1605" s="143" t="s">
        <v>5886</v>
      </c>
      <c r="C1605" s="143" t="s">
        <v>5907</v>
      </c>
      <c r="D1605" s="143" t="s">
        <v>5908</v>
      </c>
    </row>
    <row r="1606">
      <c r="A1606" s="143" t="s">
        <v>5836</v>
      </c>
      <c r="B1606" s="143" t="s">
        <v>5886</v>
      </c>
      <c r="C1606" s="143" t="s">
        <v>5909</v>
      </c>
      <c r="D1606" s="143" t="s">
        <v>5910</v>
      </c>
    </row>
    <row r="1607">
      <c r="A1607" s="143" t="s">
        <v>5836</v>
      </c>
      <c r="B1607" s="143" t="s">
        <v>5886</v>
      </c>
      <c r="C1607" s="143" t="s">
        <v>5911</v>
      </c>
      <c r="D1607" s="143" t="s">
        <v>5912</v>
      </c>
    </row>
    <row r="1608">
      <c r="A1608" s="143" t="s">
        <v>5836</v>
      </c>
      <c r="B1608" s="143" t="s">
        <v>5886</v>
      </c>
      <c r="C1608" s="143" t="s">
        <v>5913</v>
      </c>
      <c r="D1608" s="143" t="s">
        <v>5914</v>
      </c>
    </row>
    <row r="1609">
      <c r="A1609" s="143" t="s">
        <v>5836</v>
      </c>
      <c r="B1609" s="143" t="s">
        <v>5915</v>
      </c>
      <c r="C1609" s="143" t="s">
        <v>5916</v>
      </c>
      <c r="D1609" s="143" t="s">
        <v>5917</v>
      </c>
    </row>
    <row r="1610">
      <c r="A1610" s="143" t="s">
        <v>5836</v>
      </c>
      <c r="B1610" s="143" t="s">
        <v>5915</v>
      </c>
      <c r="C1610" s="143" t="s">
        <v>5918</v>
      </c>
      <c r="D1610" s="143" t="s">
        <v>5919</v>
      </c>
    </row>
    <row r="1611">
      <c r="A1611" s="143" t="s">
        <v>5836</v>
      </c>
      <c r="B1611" s="143" t="s">
        <v>5915</v>
      </c>
      <c r="C1611" s="143" t="s">
        <v>5920</v>
      </c>
      <c r="D1611" s="143" t="s">
        <v>5921</v>
      </c>
    </row>
    <row r="1612">
      <c r="A1612" s="143" t="s">
        <v>5836</v>
      </c>
      <c r="B1612" s="143" t="s">
        <v>5915</v>
      </c>
      <c r="C1612" s="143" t="s">
        <v>5922</v>
      </c>
      <c r="D1612" s="143" t="s">
        <v>5923</v>
      </c>
    </row>
    <row r="1613">
      <c r="A1613" s="143" t="s">
        <v>5836</v>
      </c>
      <c r="B1613" s="143" t="s">
        <v>5915</v>
      </c>
      <c r="C1613" s="143" t="s">
        <v>5924</v>
      </c>
      <c r="D1613" s="143" t="s">
        <v>5925</v>
      </c>
    </row>
    <row r="1614">
      <c r="A1614" s="143" t="s">
        <v>5836</v>
      </c>
      <c r="B1614" s="143" t="s">
        <v>5915</v>
      </c>
      <c r="C1614" s="143" t="s">
        <v>5926</v>
      </c>
      <c r="D1614" s="143" t="s">
        <v>5927</v>
      </c>
    </row>
    <row r="1615">
      <c r="A1615" s="143" t="s">
        <v>5836</v>
      </c>
      <c r="B1615" s="143" t="s">
        <v>5915</v>
      </c>
      <c r="C1615" s="143" t="s">
        <v>5928</v>
      </c>
      <c r="D1615" s="143" t="s">
        <v>5929</v>
      </c>
    </row>
    <row r="1616">
      <c r="A1616" s="143" t="s">
        <v>5836</v>
      </c>
      <c r="B1616" s="143" t="s">
        <v>5915</v>
      </c>
      <c r="C1616" s="143" t="s">
        <v>5930</v>
      </c>
      <c r="D1616" s="143" t="s">
        <v>5931</v>
      </c>
    </row>
    <row r="1617">
      <c r="A1617" s="143" t="s">
        <v>5836</v>
      </c>
      <c r="B1617" s="143" t="s">
        <v>5915</v>
      </c>
      <c r="C1617" s="143" t="s">
        <v>5932</v>
      </c>
      <c r="D1617" s="143" t="s">
        <v>5933</v>
      </c>
    </row>
    <row r="1618">
      <c r="A1618" s="143" t="s">
        <v>5836</v>
      </c>
      <c r="B1618" s="143" t="s">
        <v>5915</v>
      </c>
      <c r="C1618" s="143" t="s">
        <v>5934</v>
      </c>
      <c r="D1618" s="143" t="s">
        <v>5935</v>
      </c>
    </row>
    <row r="1619">
      <c r="A1619" s="143" t="s">
        <v>5836</v>
      </c>
      <c r="B1619" s="143" t="s">
        <v>5915</v>
      </c>
      <c r="C1619" s="143" t="s">
        <v>5936</v>
      </c>
      <c r="D1619" s="143" t="s">
        <v>5937</v>
      </c>
    </row>
    <row r="1620">
      <c r="A1620" s="143" t="s">
        <v>5836</v>
      </c>
      <c r="B1620" s="143" t="s">
        <v>5938</v>
      </c>
      <c r="C1620" s="143" t="s">
        <v>5939</v>
      </c>
      <c r="D1620" s="143" t="s">
        <v>5940</v>
      </c>
    </row>
    <row r="1621">
      <c r="A1621" s="143" t="s">
        <v>5836</v>
      </c>
      <c r="B1621" s="143" t="s">
        <v>5938</v>
      </c>
      <c r="C1621" s="143" t="s">
        <v>5941</v>
      </c>
      <c r="D1621" s="143" t="s">
        <v>5942</v>
      </c>
    </row>
    <row r="1622">
      <c r="A1622" s="143" t="s">
        <v>5836</v>
      </c>
      <c r="B1622" s="143" t="s">
        <v>5938</v>
      </c>
      <c r="C1622" s="143" t="s">
        <v>5943</v>
      </c>
      <c r="D1622" s="143" t="s">
        <v>5944</v>
      </c>
    </row>
    <row r="1623">
      <c r="A1623" s="143" t="s">
        <v>5836</v>
      </c>
      <c r="B1623" s="143" t="s">
        <v>5938</v>
      </c>
      <c r="C1623" s="143" t="s">
        <v>5945</v>
      </c>
      <c r="D1623" s="143" t="s">
        <v>5946</v>
      </c>
    </row>
    <row r="1624">
      <c r="A1624" s="143" t="s">
        <v>5836</v>
      </c>
      <c r="B1624" s="143" t="s">
        <v>5938</v>
      </c>
      <c r="C1624" s="143" t="s">
        <v>3856</v>
      </c>
      <c r="D1624" s="143" t="s">
        <v>5947</v>
      </c>
    </row>
    <row r="1625">
      <c r="A1625" s="143" t="s">
        <v>5836</v>
      </c>
      <c r="B1625" s="143" t="s">
        <v>5938</v>
      </c>
      <c r="C1625" s="143" t="s">
        <v>5948</v>
      </c>
      <c r="D1625" s="143" t="s">
        <v>5949</v>
      </c>
    </row>
    <row r="1626">
      <c r="A1626" s="143" t="s">
        <v>5836</v>
      </c>
      <c r="B1626" s="143" t="s">
        <v>5938</v>
      </c>
      <c r="C1626" s="143" t="s">
        <v>5950</v>
      </c>
      <c r="D1626" s="143" t="s">
        <v>5951</v>
      </c>
    </row>
    <row r="1627">
      <c r="A1627" s="143" t="s">
        <v>5836</v>
      </c>
      <c r="B1627" s="143" t="s">
        <v>5938</v>
      </c>
      <c r="C1627" s="143" t="s">
        <v>5952</v>
      </c>
      <c r="D1627" s="143" t="s">
        <v>5953</v>
      </c>
    </row>
    <row r="1628">
      <c r="A1628" s="143" t="s">
        <v>5836</v>
      </c>
      <c r="B1628" s="143" t="s">
        <v>5954</v>
      </c>
      <c r="C1628" s="143" t="s">
        <v>5955</v>
      </c>
      <c r="D1628" s="143" t="s">
        <v>5956</v>
      </c>
    </row>
    <row r="1629">
      <c r="A1629" s="143" t="s">
        <v>5836</v>
      </c>
      <c r="B1629" s="143" t="s">
        <v>5954</v>
      </c>
      <c r="C1629" s="143" t="s">
        <v>5957</v>
      </c>
      <c r="D1629" s="143" t="s">
        <v>5958</v>
      </c>
    </row>
    <row r="1630">
      <c r="A1630" s="143" t="s">
        <v>5836</v>
      </c>
      <c r="B1630" s="143" t="s">
        <v>5954</v>
      </c>
      <c r="C1630" s="143" t="s">
        <v>5959</v>
      </c>
      <c r="D1630" s="143" t="s">
        <v>5960</v>
      </c>
    </row>
    <row r="1631">
      <c r="A1631" s="143" t="s">
        <v>5836</v>
      </c>
      <c r="B1631" s="143" t="s">
        <v>5954</v>
      </c>
      <c r="C1631" s="143" t="s">
        <v>2812</v>
      </c>
      <c r="D1631" s="143" t="s">
        <v>5961</v>
      </c>
    </row>
    <row r="1632">
      <c r="A1632" s="143" t="s">
        <v>5836</v>
      </c>
      <c r="B1632" s="143" t="s">
        <v>5954</v>
      </c>
      <c r="C1632" s="143" t="s">
        <v>5962</v>
      </c>
      <c r="D1632" s="143" t="s">
        <v>5963</v>
      </c>
    </row>
    <row r="1633">
      <c r="A1633" s="143" t="s">
        <v>5836</v>
      </c>
      <c r="B1633" s="143" t="s">
        <v>5954</v>
      </c>
      <c r="C1633" s="143" t="s">
        <v>5964</v>
      </c>
      <c r="D1633" s="143" t="s">
        <v>5965</v>
      </c>
    </row>
    <row r="1634">
      <c r="A1634" s="143" t="s">
        <v>5836</v>
      </c>
      <c r="B1634" s="143" t="s">
        <v>5954</v>
      </c>
      <c r="C1634" s="143" t="s">
        <v>5966</v>
      </c>
      <c r="D1634" s="143" t="s">
        <v>5967</v>
      </c>
    </row>
    <row r="1635">
      <c r="A1635" s="143" t="s">
        <v>5836</v>
      </c>
      <c r="B1635" s="143" t="s">
        <v>5954</v>
      </c>
      <c r="C1635" s="143" t="s">
        <v>5968</v>
      </c>
      <c r="D1635" s="143" t="s">
        <v>5969</v>
      </c>
    </row>
    <row r="1636">
      <c r="A1636" s="143" t="s">
        <v>5836</v>
      </c>
      <c r="B1636" s="143" t="s">
        <v>5954</v>
      </c>
      <c r="C1636" s="143" t="s">
        <v>5970</v>
      </c>
      <c r="D1636" s="143" t="s">
        <v>5971</v>
      </c>
    </row>
    <row r="1637">
      <c r="A1637" s="143" t="s">
        <v>5836</v>
      </c>
      <c r="B1637" s="143" t="s">
        <v>5954</v>
      </c>
      <c r="C1637" s="143" t="s">
        <v>5972</v>
      </c>
      <c r="D1637" s="143" t="s">
        <v>5973</v>
      </c>
    </row>
    <row r="1638">
      <c r="A1638" s="143" t="s">
        <v>5836</v>
      </c>
      <c r="B1638" s="143" t="s">
        <v>5974</v>
      </c>
      <c r="C1638" s="143" t="s">
        <v>5975</v>
      </c>
      <c r="D1638" s="143" t="s">
        <v>5976</v>
      </c>
    </row>
    <row r="1639">
      <c r="A1639" s="143" t="s">
        <v>5836</v>
      </c>
      <c r="B1639" s="143" t="s">
        <v>5974</v>
      </c>
      <c r="C1639" s="143" t="s">
        <v>5977</v>
      </c>
      <c r="D1639" s="143" t="s">
        <v>5978</v>
      </c>
    </row>
    <row r="1640">
      <c r="A1640" s="143" t="s">
        <v>5836</v>
      </c>
      <c r="B1640" s="143" t="s">
        <v>5974</v>
      </c>
      <c r="C1640" s="143" t="s">
        <v>5979</v>
      </c>
      <c r="D1640" s="143" t="s">
        <v>5980</v>
      </c>
    </row>
    <row r="1641">
      <c r="A1641" s="143" t="s">
        <v>5836</v>
      </c>
      <c r="B1641" s="143" t="s">
        <v>5974</v>
      </c>
      <c r="C1641" s="143" t="s">
        <v>5981</v>
      </c>
      <c r="D1641" s="143" t="s">
        <v>5982</v>
      </c>
    </row>
    <row r="1642">
      <c r="A1642" s="143" t="s">
        <v>5836</v>
      </c>
      <c r="B1642" s="143" t="s">
        <v>5974</v>
      </c>
      <c r="C1642" s="143" t="s">
        <v>2538</v>
      </c>
      <c r="D1642" s="143" t="s">
        <v>5983</v>
      </c>
    </row>
    <row r="1643">
      <c r="A1643" s="143" t="s">
        <v>5836</v>
      </c>
      <c r="B1643" s="143" t="s">
        <v>5974</v>
      </c>
      <c r="C1643" s="143" t="s">
        <v>5984</v>
      </c>
      <c r="D1643" s="143" t="s">
        <v>5985</v>
      </c>
    </row>
    <row r="1644">
      <c r="A1644" s="143" t="s">
        <v>5836</v>
      </c>
      <c r="B1644" s="143" t="s">
        <v>5974</v>
      </c>
      <c r="C1644" s="143" t="s">
        <v>5986</v>
      </c>
      <c r="D1644" s="143" t="s">
        <v>5987</v>
      </c>
    </row>
    <row r="1645">
      <c r="A1645" s="142"/>
      <c r="B1645" s="142"/>
      <c r="C1645" s="142"/>
      <c r="D1645" s="142"/>
    </row>
    <row r="1646">
      <c r="A1646" s="142"/>
      <c r="B1646" s="142"/>
      <c r="C1646" s="142"/>
      <c r="D1646" s="142"/>
    </row>
    <row r="1647">
      <c r="A1647" s="142"/>
      <c r="B1647" s="142"/>
      <c r="C1647" s="142"/>
      <c r="D1647" s="142"/>
    </row>
    <row r="1648">
      <c r="A1648" s="142"/>
      <c r="B1648" s="142"/>
      <c r="C1648" s="142"/>
      <c r="D1648" s="142"/>
    </row>
    <row r="1649">
      <c r="A1649" s="142"/>
      <c r="B1649" s="142"/>
      <c r="C1649" s="142"/>
      <c r="D1649" s="142"/>
    </row>
    <row r="1650">
      <c r="A1650" s="142"/>
      <c r="B1650" s="142"/>
      <c r="C1650" s="142"/>
      <c r="D1650" s="142"/>
    </row>
    <row r="1651">
      <c r="A1651" s="142"/>
      <c r="B1651" s="142"/>
      <c r="C1651" s="142"/>
      <c r="D1651" s="142"/>
    </row>
    <row r="1652">
      <c r="A1652" s="142"/>
      <c r="B1652" s="142"/>
      <c r="C1652" s="142"/>
      <c r="D1652" s="142"/>
    </row>
    <row r="1653">
      <c r="A1653" s="142"/>
      <c r="B1653" s="142"/>
      <c r="C1653" s="142"/>
      <c r="D1653" s="142"/>
    </row>
    <row r="1654">
      <c r="A1654" s="142"/>
      <c r="B1654" s="142"/>
      <c r="C1654" s="142"/>
      <c r="D1654" s="142"/>
    </row>
    <row r="1655">
      <c r="A1655" s="142"/>
      <c r="B1655" s="142"/>
      <c r="C1655" s="142"/>
      <c r="D1655" s="142"/>
    </row>
    <row r="1656">
      <c r="A1656" s="142"/>
      <c r="B1656" s="142"/>
      <c r="C1656" s="142"/>
      <c r="D1656" s="142"/>
    </row>
    <row r="1657">
      <c r="A1657" s="142"/>
      <c r="B1657" s="142"/>
      <c r="C1657" s="142"/>
      <c r="D1657" s="142"/>
    </row>
    <row r="1658">
      <c r="A1658" s="142"/>
      <c r="B1658" s="142"/>
      <c r="C1658" s="142"/>
      <c r="D1658" s="142"/>
    </row>
    <row r="1659">
      <c r="A1659" s="142"/>
      <c r="B1659" s="142"/>
      <c r="C1659" s="142"/>
      <c r="D1659" s="142"/>
    </row>
    <row r="1660">
      <c r="A1660" s="142"/>
      <c r="B1660" s="142"/>
      <c r="C1660" s="142"/>
      <c r="D1660" s="142"/>
    </row>
    <row r="1661">
      <c r="A1661" s="142"/>
      <c r="B1661" s="142"/>
      <c r="C1661" s="142"/>
      <c r="D1661" s="142"/>
    </row>
    <row r="1662">
      <c r="A1662" s="142"/>
      <c r="B1662" s="142"/>
      <c r="C1662" s="142"/>
      <c r="D1662" s="142"/>
    </row>
    <row r="1663">
      <c r="A1663" s="142"/>
      <c r="B1663" s="142"/>
      <c r="C1663" s="142"/>
      <c r="D1663" s="142"/>
    </row>
    <row r="1664">
      <c r="A1664" s="142"/>
      <c r="B1664" s="142"/>
      <c r="C1664" s="142"/>
      <c r="D1664" s="142"/>
    </row>
    <row r="1665">
      <c r="A1665" s="142"/>
      <c r="B1665" s="142"/>
      <c r="C1665" s="142"/>
      <c r="D1665" s="142"/>
    </row>
    <row r="1666">
      <c r="A1666" s="142"/>
      <c r="B1666" s="142"/>
      <c r="C1666" s="142"/>
      <c r="D1666" s="142"/>
    </row>
    <row r="1667">
      <c r="A1667" s="142"/>
      <c r="B1667" s="142"/>
      <c r="C1667" s="142"/>
      <c r="D1667" s="142"/>
    </row>
    <row r="1668">
      <c r="A1668" s="142"/>
      <c r="B1668" s="142"/>
      <c r="C1668" s="142"/>
      <c r="D1668" s="142"/>
    </row>
    <row r="1669">
      <c r="A1669" s="142"/>
      <c r="B1669" s="142"/>
      <c r="C1669" s="142"/>
      <c r="D1669" s="142"/>
    </row>
    <row r="1670">
      <c r="A1670" s="142"/>
      <c r="B1670" s="142"/>
      <c r="C1670" s="142"/>
      <c r="D1670" s="142"/>
    </row>
    <row r="1671">
      <c r="A1671" s="142"/>
      <c r="B1671" s="142"/>
      <c r="C1671" s="142"/>
      <c r="D1671" s="142"/>
    </row>
    <row r="1672">
      <c r="A1672" s="142"/>
      <c r="B1672" s="142"/>
      <c r="C1672" s="142"/>
      <c r="D1672" s="142"/>
    </row>
    <row r="1673">
      <c r="A1673" s="142"/>
      <c r="B1673" s="142"/>
      <c r="C1673" s="142"/>
      <c r="D1673" s="142"/>
    </row>
    <row r="1674">
      <c r="A1674" s="142"/>
      <c r="B1674" s="142"/>
      <c r="C1674" s="142"/>
      <c r="D1674" s="142"/>
    </row>
    <row r="1675">
      <c r="A1675" s="142"/>
      <c r="B1675" s="142"/>
      <c r="C1675" s="142"/>
      <c r="D1675" s="142"/>
    </row>
    <row r="1676">
      <c r="A1676" s="142"/>
      <c r="B1676" s="142"/>
      <c r="C1676" s="142"/>
      <c r="D1676" s="142"/>
    </row>
    <row r="1677">
      <c r="A1677" s="142"/>
      <c r="B1677" s="142"/>
      <c r="C1677" s="142"/>
      <c r="D1677" s="142"/>
    </row>
    <row r="1678">
      <c r="A1678" s="142"/>
      <c r="B1678" s="142"/>
      <c r="C1678" s="142"/>
      <c r="D1678" s="142"/>
    </row>
    <row r="1679">
      <c r="A1679" s="142"/>
      <c r="B1679" s="142"/>
      <c r="C1679" s="142"/>
      <c r="D1679" s="142"/>
    </row>
    <row r="1680">
      <c r="A1680" s="142"/>
      <c r="B1680" s="142"/>
      <c r="C1680" s="142"/>
      <c r="D1680" s="142"/>
    </row>
    <row r="1681">
      <c r="A1681" s="142"/>
      <c r="B1681" s="142"/>
      <c r="C1681" s="142"/>
      <c r="D1681" s="142"/>
    </row>
    <row r="1682">
      <c r="A1682" s="142"/>
      <c r="B1682" s="142"/>
      <c r="C1682" s="142"/>
      <c r="D1682" s="142"/>
    </row>
    <row r="1683">
      <c r="A1683" s="142"/>
      <c r="B1683" s="142"/>
      <c r="C1683" s="142"/>
      <c r="D1683" s="142"/>
    </row>
    <row r="1684">
      <c r="A1684" s="142"/>
      <c r="B1684" s="142"/>
      <c r="C1684" s="142"/>
      <c r="D1684" s="142"/>
    </row>
    <row r="1685">
      <c r="A1685" s="142"/>
      <c r="B1685" s="142"/>
      <c r="C1685" s="142"/>
      <c r="D1685" s="142"/>
    </row>
    <row r="1686">
      <c r="A1686" s="142"/>
      <c r="B1686" s="142"/>
      <c r="C1686" s="142"/>
      <c r="D1686" s="142"/>
    </row>
    <row r="1687">
      <c r="A1687" s="142"/>
      <c r="B1687" s="142"/>
      <c r="C1687" s="142"/>
      <c r="D1687" s="142"/>
    </row>
    <row r="1688">
      <c r="A1688" s="142"/>
      <c r="B1688" s="142"/>
      <c r="C1688" s="142"/>
      <c r="D1688" s="142"/>
    </row>
    <row r="1689">
      <c r="A1689" s="142"/>
      <c r="B1689" s="142"/>
      <c r="C1689" s="142"/>
      <c r="D1689" s="142"/>
    </row>
    <row r="1690">
      <c r="A1690" s="142"/>
      <c r="B1690" s="142"/>
      <c r="C1690" s="142"/>
      <c r="D1690" s="142"/>
    </row>
    <row r="1691">
      <c r="A1691" s="142"/>
      <c r="B1691" s="142"/>
      <c r="C1691" s="142"/>
      <c r="D1691" s="142"/>
    </row>
    <row r="1692">
      <c r="A1692" s="142"/>
      <c r="B1692" s="142"/>
      <c r="C1692" s="142"/>
      <c r="D1692" s="142"/>
    </row>
    <row r="1693">
      <c r="A1693" s="142"/>
      <c r="B1693" s="142"/>
      <c r="C1693" s="142"/>
      <c r="D1693" s="142"/>
    </row>
    <row r="1694">
      <c r="A1694" s="142"/>
      <c r="B1694" s="142"/>
      <c r="C1694" s="142"/>
      <c r="D1694" s="142"/>
    </row>
    <row r="1695">
      <c r="A1695" s="142"/>
      <c r="B1695" s="142"/>
      <c r="C1695" s="142"/>
      <c r="D1695" s="142"/>
    </row>
    <row r="1696">
      <c r="A1696" s="142"/>
      <c r="B1696" s="142"/>
      <c r="C1696" s="142"/>
      <c r="D1696" s="142"/>
    </row>
    <row r="1697">
      <c r="A1697" s="142"/>
      <c r="B1697" s="142"/>
      <c r="C1697" s="142"/>
      <c r="D1697" s="142"/>
    </row>
    <row r="1698">
      <c r="A1698" s="142"/>
      <c r="B1698" s="142"/>
      <c r="C1698" s="142"/>
      <c r="D1698" s="142"/>
    </row>
    <row r="1699">
      <c r="A1699" s="142"/>
      <c r="B1699" s="142"/>
      <c r="C1699" s="142"/>
      <c r="D1699" s="142"/>
    </row>
    <row r="1700">
      <c r="A1700" s="142"/>
      <c r="B1700" s="142"/>
      <c r="C1700" s="142"/>
      <c r="D1700" s="142"/>
    </row>
    <row r="1701">
      <c r="A1701" s="142"/>
      <c r="B1701" s="142"/>
      <c r="C1701" s="142"/>
      <c r="D1701" s="142"/>
    </row>
    <row r="1702">
      <c r="A1702" s="142"/>
      <c r="B1702" s="142"/>
      <c r="C1702" s="142"/>
      <c r="D1702" s="142"/>
    </row>
    <row r="1703">
      <c r="A1703" s="142"/>
      <c r="B1703" s="142"/>
      <c r="C1703" s="142"/>
      <c r="D1703" s="142"/>
    </row>
    <row r="1704">
      <c r="A1704" s="142"/>
      <c r="B1704" s="142"/>
      <c r="C1704" s="142"/>
      <c r="D1704" s="142"/>
    </row>
    <row r="1705">
      <c r="A1705" s="142"/>
      <c r="B1705" s="142"/>
      <c r="C1705" s="142"/>
      <c r="D1705" s="142"/>
    </row>
    <row r="1706">
      <c r="A1706" s="142"/>
      <c r="B1706" s="142"/>
      <c r="C1706" s="142"/>
      <c r="D1706" s="142"/>
    </row>
    <row r="1707">
      <c r="A1707" s="142"/>
      <c r="B1707" s="142"/>
      <c r="C1707" s="142"/>
      <c r="D1707" s="142"/>
    </row>
    <row r="1708">
      <c r="A1708" s="142"/>
      <c r="B1708" s="142"/>
      <c r="C1708" s="142"/>
      <c r="D1708" s="142"/>
    </row>
    <row r="1709">
      <c r="A1709" s="142"/>
      <c r="B1709" s="142"/>
      <c r="C1709" s="142"/>
      <c r="D1709" s="142"/>
    </row>
    <row r="1710">
      <c r="A1710" s="142"/>
      <c r="B1710" s="142"/>
      <c r="C1710" s="142"/>
      <c r="D1710" s="142"/>
    </row>
    <row r="1711">
      <c r="A1711" s="142"/>
      <c r="B1711" s="142"/>
      <c r="C1711" s="142"/>
      <c r="D1711" s="142"/>
    </row>
    <row r="1712">
      <c r="A1712" s="142"/>
      <c r="B1712" s="142"/>
      <c r="C1712" s="142"/>
      <c r="D1712" s="142"/>
    </row>
    <row r="1713">
      <c r="A1713" s="142"/>
      <c r="B1713" s="142"/>
      <c r="C1713" s="142"/>
      <c r="D1713" s="142"/>
    </row>
    <row r="1714">
      <c r="A1714" s="142"/>
      <c r="B1714" s="142"/>
      <c r="C1714" s="142"/>
      <c r="D1714" s="142"/>
    </row>
    <row r="1715">
      <c r="A1715" s="142"/>
      <c r="B1715" s="142"/>
      <c r="C1715" s="142"/>
      <c r="D1715" s="142"/>
    </row>
    <row r="1716">
      <c r="A1716" s="142"/>
      <c r="B1716" s="142"/>
      <c r="C1716" s="142"/>
      <c r="D1716" s="142"/>
    </row>
    <row r="1717">
      <c r="A1717" s="142"/>
      <c r="B1717" s="142"/>
      <c r="C1717" s="142"/>
      <c r="D1717" s="142"/>
    </row>
    <row r="1718">
      <c r="A1718" s="142"/>
      <c r="B1718" s="142"/>
      <c r="C1718" s="142"/>
      <c r="D1718" s="142"/>
    </row>
    <row r="1719">
      <c r="A1719" s="142"/>
      <c r="B1719" s="142"/>
      <c r="C1719" s="142"/>
      <c r="D1719" s="142"/>
    </row>
    <row r="1720">
      <c r="A1720" s="142"/>
      <c r="B1720" s="142"/>
      <c r="C1720" s="142"/>
      <c r="D1720" s="142"/>
    </row>
    <row r="1721">
      <c r="A1721" s="142"/>
      <c r="B1721" s="142"/>
      <c r="C1721" s="142"/>
      <c r="D1721" s="142"/>
    </row>
    <row r="1722">
      <c r="A1722" s="142"/>
      <c r="B1722" s="142"/>
      <c r="C1722" s="142"/>
      <c r="D1722" s="142"/>
    </row>
    <row r="1723">
      <c r="A1723" s="142"/>
      <c r="B1723" s="142"/>
      <c r="C1723" s="142"/>
      <c r="D1723" s="142"/>
    </row>
    <row r="1724">
      <c r="A1724" s="142"/>
      <c r="B1724" s="142"/>
      <c r="C1724" s="142"/>
      <c r="D1724" s="142"/>
    </row>
    <row r="1725">
      <c r="A1725" s="142"/>
      <c r="B1725" s="142"/>
      <c r="C1725" s="142"/>
      <c r="D1725" s="142"/>
    </row>
    <row r="1726">
      <c r="A1726" s="142"/>
      <c r="B1726" s="142"/>
      <c r="C1726" s="142"/>
      <c r="D1726" s="142"/>
    </row>
    <row r="1727">
      <c r="A1727" s="142"/>
      <c r="B1727" s="142"/>
      <c r="C1727" s="142"/>
      <c r="D1727" s="142"/>
    </row>
    <row r="1728">
      <c r="A1728" s="142"/>
      <c r="B1728" s="142"/>
      <c r="C1728" s="142"/>
      <c r="D1728" s="142"/>
    </row>
    <row r="1729">
      <c r="A1729" s="142"/>
      <c r="B1729" s="142"/>
      <c r="C1729" s="142"/>
      <c r="D1729" s="142"/>
    </row>
    <row r="1730">
      <c r="A1730" s="142"/>
      <c r="B1730" s="142"/>
      <c r="C1730" s="142"/>
      <c r="D1730" s="142"/>
    </row>
    <row r="1731">
      <c r="A1731" s="142"/>
      <c r="B1731" s="142"/>
      <c r="C1731" s="142"/>
      <c r="D1731" s="142"/>
    </row>
    <row r="1732">
      <c r="A1732" s="142"/>
      <c r="B1732" s="142"/>
      <c r="C1732" s="142"/>
      <c r="D1732" s="142"/>
    </row>
    <row r="1733">
      <c r="A1733" s="142"/>
      <c r="B1733" s="142"/>
      <c r="C1733" s="142"/>
      <c r="D1733" s="142"/>
    </row>
    <row r="1734">
      <c r="A1734" s="142"/>
      <c r="B1734" s="142"/>
      <c r="C1734" s="142"/>
      <c r="D1734" s="142"/>
    </row>
    <row r="1735">
      <c r="A1735" s="142"/>
      <c r="B1735" s="142"/>
      <c r="C1735" s="142"/>
      <c r="D1735" s="142"/>
    </row>
    <row r="1736">
      <c r="A1736" s="142"/>
      <c r="B1736" s="142"/>
      <c r="C1736" s="142"/>
      <c r="D1736" s="142"/>
    </row>
    <row r="1737">
      <c r="A1737" s="142"/>
      <c r="B1737" s="142"/>
      <c r="C1737" s="142"/>
      <c r="D1737" s="142"/>
    </row>
    <row r="1738">
      <c r="A1738" s="142"/>
      <c r="B1738" s="142"/>
      <c r="C1738" s="142"/>
      <c r="D1738" s="142"/>
    </row>
    <row r="1739">
      <c r="A1739" s="142"/>
      <c r="B1739" s="142"/>
      <c r="C1739" s="142"/>
      <c r="D1739" s="142"/>
    </row>
    <row r="1740">
      <c r="A1740" s="142"/>
      <c r="B1740" s="142"/>
      <c r="C1740" s="142"/>
      <c r="D1740" s="142"/>
    </row>
    <row r="1741">
      <c r="A1741" s="142"/>
      <c r="B1741" s="142"/>
      <c r="C1741" s="142"/>
      <c r="D1741" s="142"/>
    </row>
    <row r="1742">
      <c r="A1742" s="142"/>
      <c r="B1742" s="142"/>
      <c r="C1742" s="142"/>
      <c r="D1742" s="142"/>
    </row>
    <row r="1743">
      <c r="A1743" s="142"/>
      <c r="B1743" s="142"/>
      <c r="C1743" s="142"/>
      <c r="D1743" s="142"/>
    </row>
    <row r="1744">
      <c r="A1744" s="142"/>
      <c r="B1744" s="142"/>
      <c r="C1744" s="142"/>
      <c r="D1744" s="142"/>
    </row>
    <row r="1745">
      <c r="A1745" s="142"/>
      <c r="B1745" s="142"/>
      <c r="C1745" s="142"/>
      <c r="D1745" s="142"/>
    </row>
    <row r="1746">
      <c r="A1746" s="142"/>
      <c r="B1746" s="142"/>
      <c r="C1746" s="142"/>
      <c r="D1746" s="142"/>
    </row>
    <row r="1747">
      <c r="A1747" s="142"/>
      <c r="B1747" s="142"/>
      <c r="C1747" s="142"/>
      <c r="D1747" s="142"/>
    </row>
    <row r="1748">
      <c r="A1748" s="142"/>
      <c r="B1748" s="142"/>
      <c r="C1748" s="142"/>
      <c r="D1748" s="142"/>
    </row>
    <row r="1749">
      <c r="A1749" s="142"/>
      <c r="B1749" s="142"/>
      <c r="C1749" s="142"/>
      <c r="D1749" s="142"/>
    </row>
    <row r="1750">
      <c r="A1750" s="142"/>
      <c r="B1750" s="142"/>
      <c r="C1750" s="142"/>
      <c r="D1750" s="142"/>
    </row>
    <row r="1751">
      <c r="A1751" s="142"/>
      <c r="B1751" s="142"/>
      <c r="C1751" s="142"/>
      <c r="D1751" s="142"/>
    </row>
    <row r="1752">
      <c r="A1752" s="142"/>
      <c r="B1752" s="142"/>
      <c r="C1752" s="142"/>
      <c r="D1752" s="142"/>
    </row>
    <row r="1753">
      <c r="A1753" s="142"/>
      <c r="B1753" s="142"/>
      <c r="C1753" s="142"/>
      <c r="D1753" s="142"/>
    </row>
    <row r="1754">
      <c r="A1754" s="142"/>
      <c r="B1754" s="142"/>
      <c r="C1754" s="142"/>
      <c r="D1754" s="142"/>
    </row>
    <row r="1755">
      <c r="A1755" s="142"/>
      <c r="B1755" s="142"/>
      <c r="C1755" s="142"/>
      <c r="D1755" s="142"/>
    </row>
    <row r="1756">
      <c r="A1756" s="142"/>
      <c r="B1756" s="142"/>
      <c r="C1756" s="142"/>
      <c r="D1756" s="142"/>
    </row>
    <row r="1757">
      <c r="A1757" s="142"/>
      <c r="B1757" s="142"/>
      <c r="C1757" s="142"/>
      <c r="D1757" s="142"/>
    </row>
    <row r="1758">
      <c r="A1758" s="142"/>
      <c r="B1758" s="142"/>
      <c r="C1758" s="142"/>
      <c r="D1758" s="142"/>
    </row>
    <row r="1759">
      <c r="A1759" s="142"/>
      <c r="B1759" s="142"/>
      <c r="C1759" s="142"/>
      <c r="D1759" s="142"/>
    </row>
    <row r="1760">
      <c r="A1760" s="142"/>
      <c r="B1760" s="142"/>
      <c r="C1760" s="142"/>
      <c r="D1760" s="142"/>
    </row>
    <row r="1761">
      <c r="A1761" s="142"/>
      <c r="B1761" s="142"/>
      <c r="C1761" s="142"/>
      <c r="D1761" s="142"/>
    </row>
    <row r="1762">
      <c r="A1762" s="142"/>
      <c r="B1762" s="142"/>
      <c r="C1762" s="142"/>
      <c r="D1762" s="142"/>
    </row>
    <row r="1763">
      <c r="A1763" s="142"/>
      <c r="B1763" s="142"/>
      <c r="C1763" s="142"/>
      <c r="D1763" s="142"/>
    </row>
    <row r="1764">
      <c r="A1764" s="142"/>
      <c r="B1764" s="142"/>
      <c r="C1764" s="142"/>
      <c r="D1764" s="142"/>
    </row>
    <row r="1765">
      <c r="A1765" s="142"/>
      <c r="B1765" s="142"/>
      <c r="C1765" s="142"/>
      <c r="D1765" s="142"/>
    </row>
    <row r="1766">
      <c r="A1766" s="142"/>
      <c r="B1766" s="142"/>
      <c r="C1766" s="142"/>
      <c r="D1766" s="142"/>
    </row>
    <row r="1767">
      <c r="A1767" s="142"/>
      <c r="B1767" s="142"/>
      <c r="C1767" s="142"/>
      <c r="D1767" s="142"/>
    </row>
    <row r="1768">
      <c r="A1768" s="142"/>
      <c r="B1768" s="142"/>
      <c r="C1768" s="142"/>
      <c r="D1768" s="142"/>
    </row>
    <row r="1769">
      <c r="A1769" s="142"/>
      <c r="B1769" s="142"/>
      <c r="C1769" s="142"/>
      <c r="D1769" s="142"/>
    </row>
    <row r="1770">
      <c r="A1770" s="142"/>
      <c r="B1770" s="142"/>
      <c r="C1770" s="142"/>
      <c r="D1770" s="142"/>
    </row>
    <row r="1771">
      <c r="A1771" s="142"/>
      <c r="B1771" s="142"/>
      <c r="C1771" s="142"/>
      <c r="D1771" s="142"/>
    </row>
    <row r="1772">
      <c r="A1772" s="142"/>
      <c r="B1772" s="142"/>
      <c r="C1772" s="142"/>
      <c r="D1772" s="142"/>
    </row>
    <row r="1773">
      <c r="A1773" s="142"/>
      <c r="B1773" s="142"/>
      <c r="C1773" s="142"/>
      <c r="D1773" s="142"/>
    </row>
    <row r="1774">
      <c r="A1774" s="142"/>
      <c r="B1774" s="142"/>
      <c r="C1774" s="142"/>
      <c r="D1774" s="14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3.11"/>
    <col customWidth="1" min="2" max="2" width="25.56"/>
    <col customWidth="1" min="3" max="3" width="21.44"/>
  </cols>
  <sheetData>
    <row r="1">
      <c r="A1" s="1" t="s">
        <v>5988</v>
      </c>
      <c r="B1" s="1" t="s">
        <v>5989</v>
      </c>
      <c r="C1" s="1" t="s">
        <v>5990</v>
      </c>
      <c r="G1" s="1"/>
      <c r="H1" s="1"/>
    </row>
    <row r="2">
      <c r="A2" s="3" t="s">
        <v>177</v>
      </c>
      <c r="B2" s="3" t="s">
        <v>178</v>
      </c>
      <c r="C2" s="3" t="s">
        <v>154</v>
      </c>
    </row>
    <row r="3">
      <c r="A3" s="3" t="s">
        <v>177</v>
      </c>
      <c r="B3" s="3" t="s">
        <v>319</v>
      </c>
      <c r="C3" s="3" t="s">
        <v>154</v>
      </c>
    </row>
    <row r="4">
      <c r="A4" s="3" t="s">
        <v>177</v>
      </c>
      <c r="B4" s="3" t="s">
        <v>2481</v>
      </c>
      <c r="C4" s="3" t="s">
        <v>154</v>
      </c>
    </row>
    <row r="5">
      <c r="A5" s="3" t="s">
        <v>199</v>
      </c>
      <c r="B5" s="3" t="s">
        <v>200</v>
      </c>
      <c r="C5" s="3" t="s">
        <v>154</v>
      </c>
    </row>
    <row r="6">
      <c r="A6" s="3" t="s">
        <v>150</v>
      </c>
      <c r="B6" s="3" t="s">
        <v>151</v>
      </c>
      <c r="C6" s="87" t="s">
        <v>152</v>
      </c>
    </row>
    <row r="7">
      <c r="A7" s="3" t="s">
        <v>150</v>
      </c>
      <c r="B7" s="3" t="s">
        <v>151</v>
      </c>
      <c r="C7" s="87" t="s">
        <v>386</v>
      </c>
    </row>
    <row r="8">
      <c r="A8" s="3" t="s">
        <v>150</v>
      </c>
      <c r="B8" s="3" t="s">
        <v>151</v>
      </c>
      <c r="C8" s="87" t="s">
        <v>604</v>
      </c>
    </row>
    <row r="9">
      <c r="A9" s="3" t="s">
        <v>150</v>
      </c>
      <c r="B9" s="3" t="s">
        <v>151</v>
      </c>
      <c r="C9" s="133" t="s">
        <v>1555</v>
      </c>
    </row>
    <row r="10">
      <c r="A10" s="3" t="s">
        <v>150</v>
      </c>
      <c r="B10" s="3" t="s">
        <v>151</v>
      </c>
      <c r="C10" s="87" t="s">
        <v>336</v>
      </c>
    </row>
    <row r="11">
      <c r="A11" s="3" t="s">
        <v>150</v>
      </c>
      <c r="B11" s="3" t="s">
        <v>151</v>
      </c>
      <c r="C11" s="87" t="s">
        <v>1733</v>
      </c>
    </row>
    <row r="12">
      <c r="A12" s="3" t="s">
        <v>150</v>
      </c>
      <c r="B12" s="3" t="s">
        <v>151</v>
      </c>
      <c r="C12" s="87" t="s">
        <v>281</v>
      </c>
    </row>
    <row r="13">
      <c r="A13" s="3" t="s">
        <v>150</v>
      </c>
      <c r="B13" s="3" t="s">
        <v>2898</v>
      </c>
      <c r="C13" s="3" t="s">
        <v>154</v>
      </c>
    </row>
    <row r="14">
      <c r="A14" s="3" t="s">
        <v>150</v>
      </c>
      <c r="B14" s="3" t="s">
        <v>5991</v>
      </c>
      <c r="C14" s="3" t="s">
        <v>154</v>
      </c>
    </row>
    <row r="15">
      <c r="A15" s="3" t="s">
        <v>150</v>
      </c>
      <c r="B15" s="3" t="s">
        <v>5992</v>
      </c>
      <c r="C15" s="3" t="s">
        <v>154</v>
      </c>
    </row>
    <row r="17">
      <c r="A17" s="8" t="s">
        <v>263</v>
      </c>
      <c r="B17" s="3" t="s">
        <v>178</v>
      </c>
      <c r="C17" s="3" t="s">
        <v>154</v>
      </c>
    </row>
    <row r="18">
      <c r="A18" s="8" t="s">
        <v>263</v>
      </c>
      <c r="B18" s="3" t="s">
        <v>319</v>
      </c>
      <c r="C18" s="3" t="s">
        <v>154</v>
      </c>
    </row>
    <row r="19">
      <c r="A19" s="8" t="s">
        <v>263</v>
      </c>
      <c r="B19" s="3" t="s">
        <v>2481</v>
      </c>
      <c r="C19" s="3" t="s">
        <v>154</v>
      </c>
    </row>
    <row r="20">
      <c r="A20" s="8" t="s">
        <v>263</v>
      </c>
      <c r="B20" s="3" t="s">
        <v>151</v>
      </c>
      <c r="C20" s="87" t="s">
        <v>152</v>
      </c>
    </row>
    <row r="21">
      <c r="A21" s="8" t="s">
        <v>263</v>
      </c>
      <c r="B21" s="3" t="s">
        <v>151</v>
      </c>
      <c r="C21" s="87" t="s">
        <v>386</v>
      </c>
    </row>
    <row r="22">
      <c r="A22" s="8" t="s">
        <v>263</v>
      </c>
      <c r="B22" s="3" t="s">
        <v>151</v>
      </c>
      <c r="C22" s="87" t="s">
        <v>604</v>
      </c>
    </row>
    <row r="23">
      <c r="A23" s="8" t="s">
        <v>263</v>
      </c>
      <c r="B23" s="3" t="s">
        <v>151</v>
      </c>
      <c r="C23" s="133" t="s">
        <v>1555</v>
      </c>
    </row>
    <row r="24">
      <c r="A24" s="8" t="s">
        <v>263</v>
      </c>
      <c r="B24" s="3" t="s">
        <v>151</v>
      </c>
      <c r="C24" s="87" t="s">
        <v>336</v>
      </c>
    </row>
    <row r="25">
      <c r="A25" s="8" t="s">
        <v>263</v>
      </c>
      <c r="B25" s="3" t="s">
        <v>151</v>
      </c>
      <c r="C25" s="87" t="s">
        <v>1733</v>
      </c>
    </row>
    <row r="26">
      <c r="A26" s="8" t="s">
        <v>263</v>
      </c>
      <c r="B26" s="3" t="s">
        <v>151</v>
      </c>
      <c r="C26" s="87" t="s">
        <v>281</v>
      </c>
    </row>
    <row r="27">
      <c r="A27" s="8" t="s">
        <v>263</v>
      </c>
      <c r="B27" s="3" t="s">
        <v>2898</v>
      </c>
      <c r="C27" s="3" t="s">
        <v>154</v>
      </c>
    </row>
    <row r="28">
      <c r="A28" s="8" t="s">
        <v>263</v>
      </c>
      <c r="B28" s="3" t="s">
        <v>5991</v>
      </c>
      <c r="C28" s="3" t="s">
        <v>154</v>
      </c>
    </row>
    <row r="29">
      <c r="A29" s="8" t="s">
        <v>263</v>
      </c>
      <c r="B29" s="3" t="s">
        <v>5992</v>
      </c>
      <c r="C29" s="3" t="s">
        <v>154</v>
      </c>
    </row>
    <row r="31">
      <c r="A31" s="3" t="s">
        <v>298</v>
      </c>
      <c r="B31" s="3" t="s">
        <v>178</v>
      </c>
      <c r="C31" s="3" t="s">
        <v>154</v>
      </c>
    </row>
    <row r="32">
      <c r="A32" s="3" t="s">
        <v>298</v>
      </c>
      <c r="B32" s="3" t="s">
        <v>319</v>
      </c>
      <c r="C32" s="3" t="s">
        <v>154</v>
      </c>
    </row>
    <row r="33">
      <c r="A33" s="3" t="s">
        <v>298</v>
      </c>
      <c r="B33" s="3" t="s">
        <v>2481</v>
      </c>
      <c r="C33" s="3" t="s">
        <v>154</v>
      </c>
    </row>
    <row r="34">
      <c r="A34" s="3" t="s">
        <v>298</v>
      </c>
      <c r="B34" s="3" t="s">
        <v>200</v>
      </c>
      <c r="C34" s="3" t="s">
        <v>154</v>
      </c>
    </row>
    <row r="36">
      <c r="A36" s="8" t="s">
        <v>2989</v>
      </c>
      <c r="B36" s="3" t="s">
        <v>200</v>
      </c>
      <c r="C36" s="3" t="s">
        <v>154</v>
      </c>
    </row>
    <row r="37">
      <c r="A37" s="8" t="s">
        <v>2989</v>
      </c>
      <c r="B37" s="3" t="s">
        <v>151</v>
      </c>
      <c r="C37" s="87" t="s">
        <v>152</v>
      </c>
    </row>
    <row r="38">
      <c r="A38" s="8" t="s">
        <v>2989</v>
      </c>
      <c r="B38" s="3" t="s">
        <v>151</v>
      </c>
      <c r="C38" s="87" t="s">
        <v>386</v>
      </c>
    </row>
    <row r="39">
      <c r="A39" s="8" t="s">
        <v>2989</v>
      </c>
      <c r="B39" s="3" t="s">
        <v>151</v>
      </c>
      <c r="C39" s="87" t="s">
        <v>604</v>
      </c>
    </row>
    <row r="40">
      <c r="A40" s="8" t="s">
        <v>2989</v>
      </c>
      <c r="B40" s="3" t="s">
        <v>151</v>
      </c>
      <c r="C40" s="133" t="s">
        <v>1555</v>
      </c>
    </row>
    <row r="41">
      <c r="A41" s="8" t="s">
        <v>2989</v>
      </c>
      <c r="B41" s="3" t="s">
        <v>151</v>
      </c>
      <c r="C41" s="87" t="s">
        <v>336</v>
      </c>
    </row>
    <row r="42">
      <c r="A42" s="8" t="s">
        <v>2989</v>
      </c>
      <c r="B42" s="3" t="s">
        <v>151</v>
      </c>
      <c r="C42" s="87" t="s">
        <v>1733</v>
      </c>
    </row>
    <row r="43">
      <c r="A43" s="8" t="s">
        <v>2989</v>
      </c>
      <c r="B43" s="3" t="s">
        <v>151</v>
      </c>
      <c r="C43" s="87" t="s">
        <v>281</v>
      </c>
    </row>
    <row r="44">
      <c r="A44" s="8" t="s">
        <v>2989</v>
      </c>
      <c r="B44" s="3" t="s">
        <v>2898</v>
      </c>
      <c r="C44" s="3" t="s">
        <v>154</v>
      </c>
    </row>
    <row r="45">
      <c r="A45" s="8" t="s">
        <v>2989</v>
      </c>
      <c r="B45" s="3" t="s">
        <v>5991</v>
      </c>
      <c r="C45" s="3" t="s">
        <v>154</v>
      </c>
    </row>
    <row r="46">
      <c r="A46" s="8" t="s">
        <v>2989</v>
      </c>
      <c r="B46" s="3" t="s">
        <v>5992</v>
      </c>
      <c r="C46" s="3" t="s">
        <v>154</v>
      </c>
    </row>
    <row r="48">
      <c r="A48" s="3" t="s">
        <v>5993</v>
      </c>
      <c r="B48" s="3" t="s">
        <v>178</v>
      </c>
      <c r="C48" s="3" t="s">
        <v>154</v>
      </c>
    </row>
    <row r="49">
      <c r="A49" s="3" t="s">
        <v>5993</v>
      </c>
      <c r="B49" s="3" t="s">
        <v>319</v>
      </c>
      <c r="C49" s="3" t="s">
        <v>154</v>
      </c>
    </row>
    <row r="50">
      <c r="A50" s="3" t="s">
        <v>5993</v>
      </c>
      <c r="B50" s="3" t="s">
        <v>2481</v>
      </c>
      <c r="C50" s="3" t="s">
        <v>154</v>
      </c>
    </row>
    <row r="51">
      <c r="A51" s="3" t="s">
        <v>5993</v>
      </c>
      <c r="B51" s="3" t="s">
        <v>200</v>
      </c>
      <c r="C51" s="3" t="s">
        <v>154</v>
      </c>
    </row>
    <row r="52">
      <c r="A52" s="3" t="s">
        <v>5993</v>
      </c>
      <c r="B52" s="3" t="s">
        <v>151</v>
      </c>
      <c r="C52" s="87" t="s">
        <v>152</v>
      </c>
    </row>
    <row r="53">
      <c r="A53" s="3" t="s">
        <v>5993</v>
      </c>
      <c r="B53" s="3" t="s">
        <v>151</v>
      </c>
      <c r="C53" s="87" t="s">
        <v>386</v>
      </c>
    </row>
    <row r="54">
      <c r="A54" s="3" t="s">
        <v>5993</v>
      </c>
      <c r="B54" s="3" t="s">
        <v>151</v>
      </c>
      <c r="C54" s="87" t="s">
        <v>604</v>
      </c>
    </row>
    <row r="55">
      <c r="A55" s="3" t="s">
        <v>5993</v>
      </c>
      <c r="B55" s="3" t="s">
        <v>151</v>
      </c>
      <c r="C55" s="133" t="s">
        <v>1555</v>
      </c>
    </row>
    <row r="56">
      <c r="A56" s="3" t="s">
        <v>5993</v>
      </c>
      <c r="B56" s="3" t="s">
        <v>151</v>
      </c>
      <c r="C56" s="87" t="s">
        <v>336</v>
      </c>
    </row>
    <row r="57">
      <c r="A57" s="3" t="s">
        <v>5993</v>
      </c>
      <c r="B57" s="3" t="s">
        <v>151</v>
      </c>
      <c r="C57" s="87" t="s">
        <v>1733</v>
      </c>
    </row>
    <row r="58">
      <c r="A58" s="3" t="s">
        <v>5993</v>
      </c>
      <c r="B58" s="3" t="s">
        <v>151</v>
      </c>
      <c r="C58" s="87" t="s">
        <v>281</v>
      </c>
    </row>
    <row r="59">
      <c r="A59" s="3" t="s">
        <v>5993</v>
      </c>
      <c r="B59" s="3" t="s">
        <v>2898</v>
      </c>
      <c r="C59" s="3" t="s">
        <v>154</v>
      </c>
    </row>
    <row r="60">
      <c r="A60" s="3" t="s">
        <v>5993</v>
      </c>
      <c r="B60" s="3" t="s">
        <v>5991</v>
      </c>
      <c r="C60" s="3" t="s">
        <v>154</v>
      </c>
    </row>
    <row r="61">
      <c r="A61" s="3" t="s">
        <v>5993</v>
      </c>
      <c r="B61" s="3" t="s">
        <v>5992</v>
      </c>
      <c r="C61" s="3" t="s">
        <v>154</v>
      </c>
    </row>
    <row r="63">
      <c r="A63" s="3" t="s">
        <v>149</v>
      </c>
      <c r="B63" s="3" t="s">
        <v>149</v>
      </c>
      <c r="C63" s="3" t="s">
        <v>149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7.67"/>
  </cols>
  <sheetData>
    <row r="1">
      <c r="A1" s="8" t="str">
        <f t="array" ref="A1:A470">'CRR 2025'!P2:P1000</f>
        <v>Substrate Enhancement</v>
      </c>
      <c r="B1" s="8" t="str">
        <f>IFERROR(__xludf.DUMMYFUNCTION("byrow(A1:A1000, lambda(A, transpose(UNIQUE(filter(Interventions!B2:B1000,Interventions!A2:A1000=A)))))"),"Artificial Reef")</f>
        <v>Artificial Reef</v>
      </c>
      <c r="C1" s="8" t="str">
        <f>IFERROR(__xludf.DUMMYFUNCTION("""COMPUTED_VALUE"""),"Mineral Accretion")</f>
        <v>Mineral Accretion</v>
      </c>
      <c r="D1" s="8" t="str">
        <f>IFERROR(__xludf.DUMMYFUNCTION("""COMPUTED_VALUE"""),"Rubble Stabilisation")</f>
        <v>Rubble Stabilisation</v>
      </c>
      <c r="E1" s="8" t="str">
        <f>IFERROR(__xludf.DUMMYFUNCTION("""COMPUTED_VALUE"""),"Algal Removal")</f>
        <v>Algal Removal</v>
      </c>
      <c r="F1" s="8"/>
      <c r="G1" s="8"/>
      <c r="H1" s="8"/>
    </row>
    <row r="2">
      <c r="A2" s="8" t="s">
        <v>177</v>
      </c>
      <c r="B2" s="8" t="str">
        <f>IFERROR(__xludf.DUMMYFUNCTION("""COMPUTED_VALUE"""),"Direct Transplantation")</f>
        <v>Direct Transplantation</v>
      </c>
      <c r="C2" s="8" t="str">
        <f>IFERROR(__xludf.DUMMYFUNCTION("""COMPUTED_VALUE"""),"Coral Gardening")</f>
        <v>Coral Gardening</v>
      </c>
      <c r="D2" s="8" t="str">
        <f>IFERROR(__xludf.DUMMYFUNCTION("""COMPUTED_VALUE"""),"Microfragmentation")</f>
        <v>Microfragmentation</v>
      </c>
      <c r="E2" s="8"/>
      <c r="F2" s="8"/>
      <c r="G2" s="8"/>
      <c r="H2" s="8"/>
    </row>
    <row r="3">
      <c r="A3" s="8" t="s">
        <v>199</v>
      </c>
      <c r="B3" s="8" t="str">
        <f>IFERROR(__xludf.DUMMYFUNCTION("""COMPUTED_VALUE"""),"Larval Enhancement")</f>
        <v>Larval Enhancement</v>
      </c>
      <c r="C3" s="8"/>
      <c r="D3" s="8"/>
      <c r="E3" s="8"/>
      <c r="F3" s="8"/>
      <c r="G3" s="8"/>
      <c r="H3" s="8"/>
    </row>
    <row r="4">
      <c r="A4" s="8" t="s">
        <v>199</v>
      </c>
      <c r="B4" s="8" t="str">
        <f>IFERROR(__xludf.DUMMYFUNCTION("""COMPUTED_VALUE"""),"Larval Enhancement")</f>
        <v>Larval Enhancement</v>
      </c>
      <c r="C4" s="8"/>
      <c r="D4" s="8"/>
      <c r="E4" s="8"/>
      <c r="F4" s="8"/>
      <c r="G4" s="8"/>
      <c r="H4" s="8"/>
    </row>
    <row r="5">
      <c r="A5" s="8" t="s">
        <v>199</v>
      </c>
      <c r="B5" s="8" t="str">
        <f>IFERROR(__xludf.DUMMYFUNCTION("""COMPUTED_VALUE"""),"Larval Enhancement")</f>
        <v>Larval Enhancement</v>
      </c>
      <c r="C5" s="8"/>
      <c r="D5" s="8"/>
      <c r="E5" s="8"/>
      <c r="F5" s="8"/>
      <c r="G5" s="8"/>
      <c r="H5" s="8"/>
    </row>
    <row r="6">
      <c r="A6" s="8" t="s">
        <v>199</v>
      </c>
      <c r="B6" s="8" t="str">
        <f>IFERROR(__xludf.DUMMYFUNCTION("""COMPUTED_VALUE"""),"Larval Enhancement")</f>
        <v>Larval Enhancement</v>
      </c>
      <c r="C6" s="8"/>
      <c r="D6" s="8"/>
      <c r="E6" s="8"/>
      <c r="F6" s="8"/>
      <c r="G6" s="8"/>
      <c r="H6" s="8"/>
    </row>
    <row r="7">
      <c r="A7" s="8" t="s">
        <v>199</v>
      </c>
      <c r="B7" s="8" t="str">
        <f>IFERROR(__xludf.DUMMYFUNCTION("""COMPUTED_VALUE"""),"Larval Enhancement")</f>
        <v>Larval Enhancement</v>
      </c>
      <c r="C7" s="8"/>
      <c r="D7" s="8"/>
      <c r="E7" s="8"/>
      <c r="F7" s="8"/>
      <c r="G7" s="8"/>
      <c r="H7" s="8"/>
    </row>
    <row r="8">
      <c r="A8" s="8" t="s">
        <v>199</v>
      </c>
      <c r="B8" s="8" t="str">
        <f>IFERROR(__xludf.DUMMYFUNCTION("""COMPUTED_VALUE"""),"Larval Enhancement")</f>
        <v>Larval Enhancement</v>
      </c>
      <c r="C8" s="8"/>
      <c r="D8" s="8"/>
      <c r="E8" s="8"/>
      <c r="F8" s="8"/>
      <c r="G8" s="8"/>
      <c r="H8" s="8"/>
    </row>
    <row r="9">
      <c r="A9" s="8" t="s">
        <v>199</v>
      </c>
      <c r="B9" s="8" t="str">
        <f>IFERROR(__xludf.DUMMYFUNCTION("""COMPUTED_VALUE"""),"Larval Enhancement")</f>
        <v>Larval Enhancement</v>
      </c>
      <c r="C9" s="8"/>
      <c r="D9" s="8"/>
      <c r="E9" s="8"/>
      <c r="F9" s="8"/>
      <c r="G9" s="8"/>
      <c r="H9" s="8"/>
    </row>
    <row r="10">
      <c r="A10" s="8" t="s">
        <v>263</v>
      </c>
      <c r="B10" s="8" t="str">
        <f>IFERROR(__xludf.DUMMYFUNCTION("""COMPUTED_VALUE"""),"Direct Transplantation")</f>
        <v>Direct Transplantation</v>
      </c>
      <c r="C10" s="8" t="str">
        <f>IFERROR(__xludf.DUMMYFUNCTION("""COMPUTED_VALUE"""),"Coral Gardening")</f>
        <v>Coral Gardening</v>
      </c>
      <c r="D10" s="8" t="str">
        <f>IFERROR(__xludf.DUMMYFUNCTION("""COMPUTED_VALUE"""),"Microfragmentation")</f>
        <v>Microfragmentation</v>
      </c>
      <c r="E10" s="8" t="str">
        <f>IFERROR(__xludf.DUMMYFUNCTION("""COMPUTED_VALUE"""),"Artificial Reef")</f>
        <v>Artificial Reef</v>
      </c>
      <c r="F10" s="8" t="str">
        <f>IFERROR(__xludf.DUMMYFUNCTION("""COMPUTED_VALUE"""),"Mineral Accretion")</f>
        <v>Mineral Accretion</v>
      </c>
      <c r="G10" s="8" t="str">
        <f>IFERROR(__xludf.DUMMYFUNCTION("""COMPUTED_VALUE"""),"Rubble Stabilisation")</f>
        <v>Rubble Stabilisation</v>
      </c>
      <c r="H10" s="8" t="str">
        <f>IFERROR(__xludf.DUMMYFUNCTION("""COMPUTED_VALUE"""),"Algal Removal")</f>
        <v>Algal Removal</v>
      </c>
    </row>
    <row r="11">
      <c r="A11" s="8" t="s">
        <v>150</v>
      </c>
      <c r="B11" s="8" t="str">
        <f>IFERROR(__xludf.DUMMYFUNCTION("""COMPUTED_VALUE"""),"Artificial Reef")</f>
        <v>Artificial Reef</v>
      </c>
      <c r="C11" s="8" t="str">
        <f>IFERROR(__xludf.DUMMYFUNCTION("""COMPUTED_VALUE"""),"Mineral Accretion")</f>
        <v>Mineral Accretion</v>
      </c>
      <c r="D11" s="8" t="str">
        <f>IFERROR(__xludf.DUMMYFUNCTION("""COMPUTED_VALUE"""),"Rubble Stabilisation")</f>
        <v>Rubble Stabilisation</v>
      </c>
      <c r="E11" s="8" t="str">
        <f>IFERROR(__xludf.DUMMYFUNCTION("""COMPUTED_VALUE"""),"Algal Removal")</f>
        <v>Algal Removal</v>
      </c>
      <c r="F11" s="8"/>
      <c r="G11" s="8"/>
      <c r="H11" s="8"/>
    </row>
    <row r="12">
      <c r="A12" s="8" t="s">
        <v>298</v>
      </c>
      <c r="B12" s="8" t="str">
        <f>IFERROR(__xludf.DUMMYFUNCTION("""COMPUTED_VALUE"""),"Direct Transplantation")</f>
        <v>Direct Transplantation</v>
      </c>
      <c r="C12" s="8" t="str">
        <f>IFERROR(__xludf.DUMMYFUNCTION("""COMPUTED_VALUE"""),"Coral Gardening")</f>
        <v>Coral Gardening</v>
      </c>
      <c r="D12" s="8" t="str">
        <f>IFERROR(__xludf.DUMMYFUNCTION("""COMPUTED_VALUE"""),"Microfragmentation")</f>
        <v>Microfragmentation</v>
      </c>
      <c r="E12" s="8" t="str">
        <f>IFERROR(__xludf.DUMMYFUNCTION("""COMPUTED_VALUE"""),"Larval Enhancement")</f>
        <v>Larval Enhancement</v>
      </c>
      <c r="F12" s="8"/>
      <c r="G12" s="8"/>
      <c r="H12" s="8"/>
    </row>
    <row r="13">
      <c r="A13" s="8" t="s">
        <v>177</v>
      </c>
      <c r="B13" s="8" t="str">
        <f>IFERROR(__xludf.DUMMYFUNCTION("""COMPUTED_VALUE"""),"Direct Transplantation")</f>
        <v>Direct Transplantation</v>
      </c>
      <c r="C13" s="8" t="str">
        <f>IFERROR(__xludf.DUMMYFUNCTION("""COMPUTED_VALUE"""),"Coral Gardening")</f>
        <v>Coral Gardening</v>
      </c>
      <c r="D13" s="8" t="str">
        <f>IFERROR(__xludf.DUMMYFUNCTION("""COMPUTED_VALUE"""),"Microfragmentation")</f>
        <v>Microfragmentation</v>
      </c>
      <c r="E13" s="8"/>
      <c r="F13" s="8"/>
      <c r="G13" s="8"/>
      <c r="H13" s="8"/>
    </row>
    <row r="14">
      <c r="A14" s="8" t="s">
        <v>150</v>
      </c>
      <c r="B14" s="8" t="str">
        <f>IFERROR(__xludf.DUMMYFUNCTION("""COMPUTED_VALUE"""),"Artificial Reef")</f>
        <v>Artificial Reef</v>
      </c>
      <c r="C14" s="8" t="str">
        <f>IFERROR(__xludf.DUMMYFUNCTION("""COMPUTED_VALUE"""),"Mineral Accretion")</f>
        <v>Mineral Accretion</v>
      </c>
      <c r="D14" s="8" t="str">
        <f>IFERROR(__xludf.DUMMYFUNCTION("""COMPUTED_VALUE"""),"Rubble Stabilisation")</f>
        <v>Rubble Stabilisation</v>
      </c>
      <c r="E14" s="8" t="str">
        <f>IFERROR(__xludf.DUMMYFUNCTION("""COMPUTED_VALUE"""),"Algal Removal")</f>
        <v>Algal Removal</v>
      </c>
      <c r="F14" s="8"/>
      <c r="G14" s="8"/>
      <c r="H14" s="8"/>
    </row>
    <row r="15">
      <c r="A15" s="8" t="s">
        <v>150</v>
      </c>
      <c r="B15" s="8" t="str">
        <f>IFERROR(__xludf.DUMMYFUNCTION("""COMPUTED_VALUE"""),"Artificial Reef")</f>
        <v>Artificial Reef</v>
      </c>
      <c r="C15" s="8" t="str">
        <f>IFERROR(__xludf.DUMMYFUNCTION("""COMPUTED_VALUE"""),"Mineral Accretion")</f>
        <v>Mineral Accretion</v>
      </c>
      <c r="D15" s="8" t="str">
        <f>IFERROR(__xludf.DUMMYFUNCTION("""COMPUTED_VALUE"""),"Rubble Stabilisation")</f>
        <v>Rubble Stabilisation</v>
      </c>
      <c r="E15" s="8" t="str">
        <f>IFERROR(__xludf.DUMMYFUNCTION("""COMPUTED_VALUE"""),"Algal Removal")</f>
        <v>Algal Removal</v>
      </c>
      <c r="F15" s="8"/>
      <c r="G15" s="8"/>
      <c r="H15" s="8"/>
    </row>
    <row r="16">
      <c r="A16" s="8" t="s">
        <v>150</v>
      </c>
      <c r="B16" s="8" t="str">
        <f>IFERROR(__xludf.DUMMYFUNCTION("""COMPUTED_VALUE"""),"Artificial Reef")</f>
        <v>Artificial Reef</v>
      </c>
      <c r="C16" s="8" t="str">
        <f>IFERROR(__xludf.DUMMYFUNCTION("""COMPUTED_VALUE"""),"Mineral Accretion")</f>
        <v>Mineral Accretion</v>
      </c>
      <c r="D16" s="8" t="str">
        <f>IFERROR(__xludf.DUMMYFUNCTION("""COMPUTED_VALUE"""),"Rubble Stabilisation")</f>
        <v>Rubble Stabilisation</v>
      </c>
      <c r="E16" s="8" t="str">
        <f>IFERROR(__xludf.DUMMYFUNCTION("""COMPUTED_VALUE"""),"Algal Removal")</f>
        <v>Algal Removal</v>
      </c>
      <c r="F16" s="8"/>
      <c r="G16" s="8"/>
      <c r="H16" s="8"/>
    </row>
    <row r="17">
      <c r="A17" s="8" t="s">
        <v>150</v>
      </c>
      <c r="B17" s="8" t="str">
        <f>IFERROR(__xludf.DUMMYFUNCTION("""COMPUTED_VALUE"""),"Artificial Reef")</f>
        <v>Artificial Reef</v>
      </c>
      <c r="C17" s="8" t="str">
        <f>IFERROR(__xludf.DUMMYFUNCTION("""COMPUTED_VALUE"""),"Mineral Accretion")</f>
        <v>Mineral Accretion</v>
      </c>
      <c r="D17" s="8" t="str">
        <f>IFERROR(__xludf.DUMMYFUNCTION("""COMPUTED_VALUE"""),"Rubble Stabilisation")</f>
        <v>Rubble Stabilisation</v>
      </c>
      <c r="E17" s="8" t="str">
        <f>IFERROR(__xludf.DUMMYFUNCTION("""COMPUTED_VALUE"""),"Algal Removal")</f>
        <v>Algal Removal</v>
      </c>
      <c r="F17" s="8"/>
      <c r="G17" s="8"/>
      <c r="H17" s="8"/>
    </row>
    <row r="18">
      <c r="A18" s="8" t="s">
        <v>150</v>
      </c>
      <c r="B18" s="8" t="str">
        <f>IFERROR(__xludf.DUMMYFUNCTION("""COMPUTED_VALUE"""),"Artificial Reef")</f>
        <v>Artificial Reef</v>
      </c>
      <c r="C18" s="8" t="str">
        <f>IFERROR(__xludf.DUMMYFUNCTION("""COMPUTED_VALUE"""),"Mineral Accretion")</f>
        <v>Mineral Accretion</v>
      </c>
      <c r="D18" s="8" t="str">
        <f>IFERROR(__xludf.DUMMYFUNCTION("""COMPUTED_VALUE"""),"Rubble Stabilisation")</f>
        <v>Rubble Stabilisation</v>
      </c>
      <c r="E18" s="8" t="str">
        <f>IFERROR(__xludf.DUMMYFUNCTION("""COMPUTED_VALUE"""),"Algal Removal")</f>
        <v>Algal Removal</v>
      </c>
      <c r="F18" s="8"/>
      <c r="G18" s="8"/>
      <c r="H18" s="8"/>
    </row>
    <row r="19">
      <c r="A19" s="8" t="s">
        <v>150</v>
      </c>
      <c r="B19" s="8" t="str">
        <f>IFERROR(__xludf.DUMMYFUNCTION("""COMPUTED_VALUE"""),"Artificial Reef")</f>
        <v>Artificial Reef</v>
      </c>
      <c r="C19" s="8" t="str">
        <f>IFERROR(__xludf.DUMMYFUNCTION("""COMPUTED_VALUE"""),"Mineral Accretion")</f>
        <v>Mineral Accretion</v>
      </c>
      <c r="D19" s="8" t="str">
        <f>IFERROR(__xludf.DUMMYFUNCTION("""COMPUTED_VALUE"""),"Rubble Stabilisation")</f>
        <v>Rubble Stabilisation</v>
      </c>
      <c r="E19" s="8" t="str">
        <f>IFERROR(__xludf.DUMMYFUNCTION("""COMPUTED_VALUE"""),"Algal Removal")</f>
        <v>Algal Removal</v>
      </c>
      <c r="F19" s="8"/>
      <c r="G19" s="8"/>
      <c r="H19" s="8"/>
    </row>
    <row r="20">
      <c r="A20" s="8" t="s">
        <v>150</v>
      </c>
      <c r="B20" s="8" t="str">
        <f>IFERROR(__xludf.DUMMYFUNCTION("""COMPUTED_VALUE"""),"Artificial Reef")</f>
        <v>Artificial Reef</v>
      </c>
      <c r="C20" s="8" t="str">
        <f>IFERROR(__xludf.DUMMYFUNCTION("""COMPUTED_VALUE"""),"Mineral Accretion")</f>
        <v>Mineral Accretion</v>
      </c>
      <c r="D20" s="8" t="str">
        <f>IFERROR(__xludf.DUMMYFUNCTION("""COMPUTED_VALUE"""),"Rubble Stabilisation")</f>
        <v>Rubble Stabilisation</v>
      </c>
      <c r="E20" s="8" t="str">
        <f>IFERROR(__xludf.DUMMYFUNCTION("""COMPUTED_VALUE"""),"Algal Removal")</f>
        <v>Algal Removal</v>
      </c>
      <c r="F20" s="8"/>
      <c r="G20" s="8"/>
      <c r="H20" s="8"/>
    </row>
    <row r="21">
      <c r="A21" s="8" t="s">
        <v>150</v>
      </c>
      <c r="B21" s="8" t="str">
        <f>IFERROR(__xludf.DUMMYFUNCTION("""COMPUTED_VALUE"""),"Artificial Reef")</f>
        <v>Artificial Reef</v>
      </c>
      <c r="C21" s="8" t="str">
        <f>IFERROR(__xludf.DUMMYFUNCTION("""COMPUTED_VALUE"""),"Mineral Accretion")</f>
        <v>Mineral Accretion</v>
      </c>
      <c r="D21" s="8" t="str">
        <f>IFERROR(__xludf.DUMMYFUNCTION("""COMPUTED_VALUE"""),"Rubble Stabilisation")</f>
        <v>Rubble Stabilisation</v>
      </c>
      <c r="E21" s="8" t="str">
        <f>IFERROR(__xludf.DUMMYFUNCTION("""COMPUTED_VALUE"""),"Algal Removal")</f>
        <v>Algal Removal</v>
      </c>
      <c r="F21" s="8"/>
      <c r="G21" s="8"/>
      <c r="H21" s="8"/>
    </row>
    <row r="22">
      <c r="A22" s="8" t="s">
        <v>150</v>
      </c>
      <c r="B22" s="8" t="str">
        <f>IFERROR(__xludf.DUMMYFUNCTION("""COMPUTED_VALUE"""),"Artificial Reef")</f>
        <v>Artificial Reef</v>
      </c>
      <c r="C22" s="8" t="str">
        <f>IFERROR(__xludf.DUMMYFUNCTION("""COMPUTED_VALUE"""),"Mineral Accretion")</f>
        <v>Mineral Accretion</v>
      </c>
      <c r="D22" s="8" t="str">
        <f>IFERROR(__xludf.DUMMYFUNCTION("""COMPUTED_VALUE"""),"Rubble Stabilisation")</f>
        <v>Rubble Stabilisation</v>
      </c>
      <c r="E22" s="8" t="str">
        <f>IFERROR(__xludf.DUMMYFUNCTION("""COMPUTED_VALUE"""),"Algal Removal")</f>
        <v>Algal Removal</v>
      </c>
      <c r="F22" s="8"/>
      <c r="G22" s="8"/>
      <c r="H22" s="8"/>
    </row>
    <row r="23">
      <c r="A23" s="8" t="s">
        <v>150</v>
      </c>
      <c r="B23" s="8" t="str">
        <f>IFERROR(__xludf.DUMMYFUNCTION("""COMPUTED_VALUE"""),"Artificial Reef")</f>
        <v>Artificial Reef</v>
      </c>
      <c r="C23" s="8" t="str">
        <f>IFERROR(__xludf.DUMMYFUNCTION("""COMPUTED_VALUE"""),"Mineral Accretion")</f>
        <v>Mineral Accretion</v>
      </c>
      <c r="D23" s="8" t="str">
        <f>IFERROR(__xludf.DUMMYFUNCTION("""COMPUTED_VALUE"""),"Rubble Stabilisation")</f>
        <v>Rubble Stabilisation</v>
      </c>
      <c r="E23" s="8" t="str">
        <f>IFERROR(__xludf.DUMMYFUNCTION("""COMPUTED_VALUE"""),"Algal Removal")</f>
        <v>Algal Removal</v>
      </c>
      <c r="F23" s="8"/>
      <c r="G23" s="8"/>
      <c r="H23" s="8"/>
    </row>
    <row r="24">
      <c r="A24" s="8" t="s">
        <v>150</v>
      </c>
      <c r="B24" s="8" t="str">
        <f>IFERROR(__xludf.DUMMYFUNCTION("""COMPUTED_VALUE"""),"Artificial Reef")</f>
        <v>Artificial Reef</v>
      </c>
      <c r="C24" s="8" t="str">
        <f>IFERROR(__xludf.DUMMYFUNCTION("""COMPUTED_VALUE"""),"Mineral Accretion")</f>
        <v>Mineral Accretion</v>
      </c>
      <c r="D24" s="8" t="str">
        <f>IFERROR(__xludf.DUMMYFUNCTION("""COMPUTED_VALUE"""),"Rubble Stabilisation")</f>
        <v>Rubble Stabilisation</v>
      </c>
      <c r="E24" s="8" t="str">
        <f>IFERROR(__xludf.DUMMYFUNCTION("""COMPUTED_VALUE"""),"Algal Removal")</f>
        <v>Algal Removal</v>
      </c>
      <c r="F24" s="8"/>
      <c r="G24" s="8"/>
      <c r="H24" s="8"/>
    </row>
    <row r="25">
      <c r="A25" s="8" t="s">
        <v>150</v>
      </c>
      <c r="B25" s="8" t="str">
        <f>IFERROR(__xludf.DUMMYFUNCTION("""COMPUTED_VALUE"""),"Artificial Reef")</f>
        <v>Artificial Reef</v>
      </c>
      <c r="C25" s="8" t="str">
        <f>IFERROR(__xludf.DUMMYFUNCTION("""COMPUTED_VALUE"""),"Mineral Accretion")</f>
        <v>Mineral Accretion</v>
      </c>
      <c r="D25" s="8" t="str">
        <f>IFERROR(__xludf.DUMMYFUNCTION("""COMPUTED_VALUE"""),"Rubble Stabilisation")</f>
        <v>Rubble Stabilisation</v>
      </c>
      <c r="E25" s="8" t="str">
        <f>IFERROR(__xludf.DUMMYFUNCTION("""COMPUTED_VALUE"""),"Algal Removal")</f>
        <v>Algal Removal</v>
      </c>
      <c r="F25" s="8"/>
      <c r="G25" s="8"/>
      <c r="H25" s="8"/>
    </row>
    <row r="26">
      <c r="A26" s="8" t="s">
        <v>150</v>
      </c>
      <c r="B26" s="8" t="str">
        <f>IFERROR(__xludf.DUMMYFUNCTION("""COMPUTED_VALUE"""),"Artificial Reef")</f>
        <v>Artificial Reef</v>
      </c>
      <c r="C26" s="8" t="str">
        <f>IFERROR(__xludf.DUMMYFUNCTION("""COMPUTED_VALUE"""),"Mineral Accretion")</f>
        <v>Mineral Accretion</v>
      </c>
      <c r="D26" s="8" t="str">
        <f>IFERROR(__xludf.DUMMYFUNCTION("""COMPUTED_VALUE"""),"Rubble Stabilisation")</f>
        <v>Rubble Stabilisation</v>
      </c>
      <c r="E26" s="8" t="str">
        <f>IFERROR(__xludf.DUMMYFUNCTION("""COMPUTED_VALUE"""),"Algal Removal")</f>
        <v>Algal Removal</v>
      </c>
      <c r="F26" s="8"/>
      <c r="G26" s="8"/>
      <c r="H26" s="8"/>
    </row>
    <row r="27">
      <c r="A27" s="8" t="s">
        <v>150</v>
      </c>
      <c r="B27" s="8" t="str">
        <f>IFERROR(__xludf.DUMMYFUNCTION("""COMPUTED_VALUE"""),"Artificial Reef")</f>
        <v>Artificial Reef</v>
      </c>
      <c r="C27" s="8" t="str">
        <f>IFERROR(__xludf.DUMMYFUNCTION("""COMPUTED_VALUE"""),"Mineral Accretion")</f>
        <v>Mineral Accretion</v>
      </c>
      <c r="D27" s="8" t="str">
        <f>IFERROR(__xludf.DUMMYFUNCTION("""COMPUTED_VALUE"""),"Rubble Stabilisation")</f>
        <v>Rubble Stabilisation</v>
      </c>
      <c r="E27" s="8" t="str">
        <f>IFERROR(__xludf.DUMMYFUNCTION("""COMPUTED_VALUE"""),"Algal Removal")</f>
        <v>Algal Removal</v>
      </c>
      <c r="F27" s="8"/>
      <c r="G27" s="8"/>
      <c r="H27" s="8"/>
    </row>
    <row r="28">
      <c r="A28" s="8" t="s">
        <v>150</v>
      </c>
      <c r="B28" s="8" t="str">
        <f>IFERROR(__xludf.DUMMYFUNCTION("""COMPUTED_VALUE"""),"Artificial Reef")</f>
        <v>Artificial Reef</v>
      </c>
      <c r="C28" s="8" t="str">
        <f>IFERROR(__xludf.DUMMYFUNCTION("""COMPUTED_VALUE"""),"Mineral Accretion")</f>
        <v>Mineral Accretion</v>
      </c>
      <c r="D28" s="8" t="str">
        <f>IFERROR(__xludf.DUMMYFUNCTION("""COMPUTED_VALUE"""),"Rubble Stabilisation")</f>
        <v>Rubble Stabilisation</v>
      </c>
      <c r="E28" s="8" t="str">
        <f>IFERROR(__xludf.DUMMYFUNCTION("""COMPUTED_VALUE"""),"Algal Removal")</f>
        <v>Algal Removal</v>
      </c>
      <c r="F28" s="8"/>
      <c r="G28" s="8"/>
      <c r="H28" s="8"/>
    </row>
    <row r="29">
      <c r="A29" s="8" t="s">
        <v>150</v>
      </c>
      <c r="B29" s="8" t="str">
        <f>IFERROR(__xludf.DUMMYFUNCTION("""COMPUTED_VALUE"""),"Artificial Reef")</f>
        <v>Artificial Reef</v>
      </c>
      <c r="C29" s="8" t="str">
        <f>IFERROR(__xludf.DUMMYFUNCTION("""COMPUTED_VALUE"""),"Mineral Accretion")</f>
        <v>Mineral Accretion</v>
      </c>
      <c r="D29" s="8" t="str">
        <f>IFERROR(__xludf.DUMMYFUNCTION("""COMPUTED_VALUE"""),"Rubble Stabilisation")</f>
        <v>Rubble Stabilisation</v>
      </c>
      <c r="E29" s="8" t="str">
        <f>IFERROR(__xludf.DUMMYFUNCTION("""COMPUTED_VALUE"""),"Algal Removal")</f>
        <v>Algal Removal</v>
      </c>
      <c r="F29" s="8"/>
      <c r="G29" s="8"/>
      <c r="H29" s="8"/>
    </row>
    <row r="30">
      <c r="A30" s="8" t="s">
        <v>150</v>
      </c>
      <c r="B30" s="8" t="str">
        <f>IFERROR(__xludf.DUMMYFUNCTION("""COMPUTED_VALUE"""),"Artificial Reef")</f>
        <v>Artificial Reef</v>
      </c>
      <c r="C30" s="8" t="str">
        <f>IFERROR(__xludf.DUMMYFUNCTION("""COMPUTED_VALUE"""),"Mineral Accretion")</f>
        <v>Mineral Accretion</v>
      </c>
      <c r="D30" s="8" t="str">
        <f>IFERROR(__xludf.DUMMYFUNCTION("""COMPUTED_VALUE"""),"Rubble Stabilisation")</f>
        <v>Rubble Stabilisation</v>
      </c>
      <c r="E30" s="8" t="str">
        <f>IFERROR(__xludf.DUMMYFUNCTION("""COMPUTED_VALUE"""),"Algal Removal")</f>
        <v>Algal Removal</v>
      </c>
      <c r="F30" s="8"/>
      <c r="G30" s="8"/>
      <c r="H30" s="8"/>
    </row>
    <row r="31">
      <c r="A31" s="8" t="s">
        <v>150</v>
      </c>
      <c r="B31" s="8" t="str">
        <f>IFERROR(__xludf.DUMMYFUNCTION("""COMPUTED_VALUE"""),"Artificial Reef")</f>
        <v>Artificial Reef</v>
      </c>
      <c r="C31" s="8" t="str">
        <f>IFERROR(__xludf.DUMMYFUNCTION("""COMPUTED_VALUE"""),"Mineral Accretion")</f>
        <v>Mineral Accretion</v>
      </c>
      <c r="D31" s="8" t="str">
        <f>IFERROR(__xludf.DUMMYFUNCTION("""COMPUTED_VALUE"""),"Rubble Stabilisation")</f>
        <v>Rubble Stabilisation</v>
      </c>
      <c r="E31" s="8" t="str">
        <f>IFERROR(__xludf.DUMMYFUNCTION("""COMPUTED_VALUE"""),"Algal Removal")</f>
        <v>Algal Removal</v>
      </c>
      <c r="F31" s="8"/>
      <c r="G31" s="8"/>
      <c r="H31" s="8"/>
    </row>
    <row r="32">
      <c r="A32" s="8" t="s">
        <v>150</v>
      </c>
      <c r="B32" s="8" t="str">
        <f>IFERROR(__xludf.DUMMYFUNCTION("""COMPUTED_VALUE"""),"Artificial Reef")</f>
        <v>Artificial Reef</v>
      </c>
      <c r="C32" s="8" t="str">
        <f>IFERROR(__xludf.DUMMYFUNCTION("""COMPUTED_VALUE"""),"Mineral Accretion")</f>
        <v>Mineral Accretion</v>
      </c>
      <c r="D32" s="8" t="str">
        <f>IFERROR(__xludf.DUMMYFUNCTION("""COMPUTED_VALUE"""),"Rubble Stabilisation")</f>
        <v>Rubble Stabilisation</v>
      </c>
      <c r="E32" s="8" t="str">
        <f>IFERROR(__xludf.DUMMYFUNCTION("""COMPUTED_VALUE"""),"Algal Removal")</f>
        <v>Algal Removal</v>
      </c>
      <c r="F32" s="8"/>
      <c r="G32" s="8"/>
      <c r="H32" s="8"/>
    </row>
    <row r="33">
      <c r="A33" s="8" t="s">
        <v>150</v>
      </c>
      <c r="B33" s="8" t="str">
        <f>IFERROR(__xludf.DUMMYFUNCTION("""COMPUTED_VALUE"""),"Artificial Reef")</f>
        <v>Artificial Reef</v>
      </c>
      <c r="C33" s="8" t="str">
        <f>IFERROR(__xludf.DUMMYFUNCTION("""COMPUTED_VALUE"""),"Mineral Accretion")</f>
        <v>Mineral Accretion</v>
      </c>
      <c r="D33" s="8" t="str">
        <f>IFERROR(__xludf.DUMMYFUNCTION("""COMPUTED_VALUE"""),"Rubble Stabilisation")</f>
        <v>Rubble Stabilisation</v>
      </c>
      <c r="E33" s="8" t="str">
        <f>IFERROR(__xludf.DUMMYFUNCTION("""COMPUTED_VALUE"""),"Algal Removal")</f>
        <v>Algal Removal</v>
      </c>
      <c r="F33" s="8"/>
      <c r="G33" s="8"/>
      <c r="H33" s="8"/>
    </row>
    <row r="34">
      <c r="A34" s="8" t="s">
        <v>150</v>
      </c>
      <c r="B34" s="8" t="str">
        <f>IFERROR(__xludf.DUMMYFUNCTION("""COMPUTED_VALUE"""),"Artificial Reef")</f>
        <v>Artificial Reef</v>
      </c>
      <c r="C34" s="8" t="str">
        <f>IFERROR(__xludf.DUMMYFUNCTION("""COMPUTED_VALUE"""),"Mineral Accretion")</f>
        <v>Mineral Accretion</v>
      </c>
      <c r="D34" s="8" t="str">
        <f>IFERROR(__xludf.DUMMYFUNCTION("""COMPUTED_VALUE"""),"Rubble Stabilisation")</f>
        <v>Rubble Stabilisation</v>
      </c>
      <c r="E34" s="8" t="str">
        <f>IFERROR(__xludf.DUMMYFUNCTION("""COMPUTED_VALUE"""),"Algal Removal")</f>
        <v>Algal Removal</v>
      </c>
      <c r="F34" s="8"/>
      <c r="G34" s="8"/>
      <c r="H34" s="8"/>
    </row>
    <row r="35">
      <c r="A35" s="8" t="s">
        <v>150</v>
      </c>
      <c r="B35" s="8" t="str">
        <f>IFERROR(__xludf.DUMMYFUNCTION("""COMPUTED_VALUE"""),"Artificial Reef")</f>
        <v>Artificial Reef</v>
      </c>
      <c r="C35" s="8" t="str">
        <f>IFERROR(__xludf.DUMMYFUNCTION("""COMPUTED_VALUE"""),"Mineral Accretion")</f>
        <v>Mineral Accretion</v>
      </c>
      <c r="D35" s="8" t="str">
        <f>IFERROR(__xludf.DUMMYFUNCTION("""COMPUTED_VALUE"""),"Rubble Stabilisation")</f>
        <v>Rubble Stabilisation</v>
      </c>
      <c r="E35" s="8" t="str">
        <f>IFERROR(__xludf.DUMMYFUNCTION("""COMPUTED_VALUE"""),"Algal Removal")</f>
        <v>Algal Removal</v>
      </c>
      <c r="F35" s="8"/>
      <c r="G35" s="8"/>
      <c r="H35" s="8"/>
    </row>
    <row r="36">
      <c r="A36" s="8" t="s">
        <v>150</v>
      </c>
      <c r="B36" s="8" t="str">
        <f>IFERROR(__xludf.DUMMYFUNCTION("""COMPUTED_VALUE"""),"Artificial Reef")</f>
        <v>Artificial Reef</v>
      </c>
      <c r="C36" s="8" t="str">
        <f>IFERROR(__xludf.DUMMYFUNCTION("""COMPUTED_VALUE"""),"Mineral Accretion")</f>
        <v>Mineral Accretion</v>
      </c>
      <c r="D36" s="8" t="str">
        <f>IFERROR(__xludf.DUMMYFUNCTION("""COMPUTED_VALUE"""),"Rubble Stabilisation")</f>
        <v>Rubble Stabilisation</v>
      </c>
      <c r="E36" s="8" t="str">
        <f>IFERROR(__xludf.DUMMYFUNCTION("""COMPUTED_VALUE"""),"Algal Removal")</f>
        <v>Algal Removal</v>
      </c>
      <c r="F36" s="8"/>
      <c r="G36" s="8"/>
      <c r="H36" s="8"/>
    </row>
    <row r="37">
      <c r="A37" s="8" t="s">
        <v>150</v>
      </c>
      <c r="B37" s="8" t="str">
        <f>IFERROR(__xludf.DUMMYFUNCTION("""COMPUTED_VALUE"""),"Artificial Reef")</f>
        <v>Artificial Reef</v>
      </c>
      <c r="C37" s="8" t="str">
        <f>IFERROR(__xludf.DUMMYFUNCTION("""COMPUTED_VALUE"""),"Mineral Accretion")</f>
        <v>Mineral Accretion</v>
      </c>
      <c r="D37" s="8" t="str">
        <f>IFERROR(__xludf.DUMMYFUNCTION("""COMPUTED_VALUE"""),"Rubble Stabilisation")</f>
        <v>Rubble Stabilisation</v>
      </c>
      <c r="E37" s="8" t="str">
        <f>IFERROR(__xludf.DUMMYFUNCTION("""COMPUTED_VALUE"""),"Algal Removal")</f>
        <v>Algal Removal</v>
      </c>
      <c r="F37" s="8"/>
      <c r="G37" s="8"/>
      <c r="H37" s="8"/>
    </row>
    <row r="38">
      <c r="A38" s="8" t="s">
        <v>150</v>
      </c>
      <c r="B38" s="8" t="str">
        <f>IFERROR(__xludf.DUMMYFUNCTION("""COMPUTED_VALUE"""),"Artificial Reef")</f>
        <v>Artificial Reef</v>
      </c>
      <c r="C38" s="8" t="str">
        <f>IFERROR(__xludf.DUMMYFUNCTION("""COMPUTED_VALUE"""),"Mineral Accretion")</f>
        <v>Mineral Accretion</v>
      </c>
      <c r="D38" s="8" t="str">
        <f>IFERROR(__xludf.DUMMYFUNCTION("""COMPUTED_VALUE"""),"Rubble Stabilisation")</f>
        <v>Rubble Stabilisation</v>
      </c>
      <c r="E38" s="8" t="str">
        <f>IFERROR(__xludf.DUMMYFUNCTION("""COMPUTED_VALUE"""),"Algal Removal")</f>
        <v>Algal Removal</v>
      </c>
      <c r="F38" s="8"/>
      <c r="G38" s="8"/>
      <c r="H38" s="8"/>
    </row>
    <row r="39">
      <c r="A39" s="8" t="s">
        <v>150</v>
      </c>
      <c r="B39" s="8" t="str">
        <f>IFERROR(__xludf.DUMMYFUNCTION("""COMPUTED_VALUE"""),"Artificial Reef")</f>
        <v>Artificial Reef</v>
      </c>
      <c r="C39" s="8" t="str">
        <f>IFERROR(__xludf.DUMMYFUNCTION("""COMPUTED_VALUE"""),"Mineral Accretion")</f>
        <v>Mineral Accretion</v>
      </c>
      <c r="D39" s="8" t="str">
        <f>IFERROR(__xludf.DUMMYFUNCTION("""COMPUTED_VALUE"""),"Rubble Stabilisation")</f>
        <v>Rubble Stabilisation</v>
      </c>
      <c r="E39" s="8" t="str">
        <f>IFERROR(__xludf.DUMMYFUNCTION("""COMPUTED_VALUE"""),"Algal Removal")</f>
        <v>Algal Removal</v>
      </c>
      <c r="F39" s="8"/>
      <c r="G39" s="8"/>
      <c r="H39" s="8"/>
    </row>
    <row r="40">
      <c r="A40" s="8" t="s">
        <v>150</v>
      </c>
      <c r="B40" s="8" t="str">
        <f>IFERROR(__xludf.DUMMYFUNCTION("""COMPUTED_VALUE"""),"Artificial Reef")</f>
        <v>Artificial Reef</v>
      </c>
      <c r="C40" s="8" t="str">
        <f>IFERROR(__xludf.DUMMYFUNCTION("""COMPUTED_VALUE"""),"Mineral Accretion")</f>
        <v>Mineral Accretion</v>
      </c>
      <c r="D40" s="8" t="str">
        <f>IFERROR(__xludf.DUMMYFUNCTION("""COMPUTED_VALUE"""),"Rubble Stabilisation")</f>
        <v>Rubble Stabilisation</v>
      </c>
      <c r="E40" s="8" t="str">
        <f>IFERROR(__xludf.DUMMYFUNCTION("""COMPUTED_VALUE"""),"Algal Removal")</f>
        <v>Algal Removal</v>
      </c>
      <c r="F40" s="8"/>
      <c r="G40" s="8"/>
      <c r="H40" s="8"/>
    </row>
    <row r="41">
      <c r="A41" s="8" t="s">
        <v>150</v>
      </c>
      <c r="B41" s="8" t="str">
        <f>IFERROR(__xludf.DUMMYFUNCTION("""COMPUTED_VALUE"""),"Artificial Reef")</f>
        <v>Artificial Reef</v>
      </c>
      <c r="C41" s="8" t="str">
        <f>IFERROR(__xludf.DUMMYFUNCTION("""COMPUTED_VALUE"""),"Mineral Accretion")</f>
        <v>Mineral Accretion</v>
      </c>
      <c r="D41" s="8" t="str">
        <f>IFERROR(__xludf.DUMMYFUNCTION("""COMPUTED_VALUE"""),"Rubble Stabilisation")</f>
        <v>Rubble Stabilisation</v>
      </c>
      <c r="E41" s="8" t="str">
        <f>IFERROR(__xludf.DUMMYFUNCTION("""COMPUTED_VALUE"""),"Algal Removal")</f>
        <v>Algal Removal</v>
      </c>
      <c r="F41" s="8"/>
      <c r="G41" s="8"/>
      <c r="H41" s="8"/>
    </row>
    <row r="42">
      <c r="A42" s="8" t="s">
        <v>150</v>
      </c>
      <c r="B42" s="8" t="str">
        <f>IFERROR(__xludf.DUMMYFUNCTION("""COMPUTED_VALUE"""),"Artificial Reef")</f>
        <v>Artificial Reef</v>
      </c>
      <c r="C42" s="8" t="str">
        <f>IFERROR(__xludf.DUMMYFUNCTION("""COMPUTED_VALUE"""),"Mineral Accretion")</f>
        <v>Mineral Accretion</v>
      </c>
      <c r="D42" s="8" t="str">
        <f>IFERROR(__xludf.DUMMYFUNCTION("""COMPUTED_VALUE"""),"Rubble Stabilisation")</f>
        <v>Rubble Stabilisation</v>
      </c>
      <c r="E42" s="8" t="str">
        <f>IFERROR(__xludf.DUMMYFUNCTION("""COMPUTED_VALUE"""),"Algal Removal")</f>
        <v>Algal Removal</v>
      </c>
      <c r="F42" s="8"/>
      <c r="G42" s="8"/>
      <c r="H42" s="8"/>
    </row>
    <row r="43">
      <c r="A43" s="8" t="s">
        <v>150</v>
      </c>
      <c r="B43" s="8" t="str">
        <f>IFERROR(__xludf.DUMMYFUNCTION("""COMPUTED_VALUE"""),"Artificial Reef")</f>
        <v>Artificial Reef</v>
      </c>
      <c r="C43" s="8" t="str">
        <f>IFERROR(__xludf.DUMMYFUNCTION("""COMPUTED_VALUE"""),"Mineral Accretion")</f>
        <v>Mineral Accretion</v>
      </c>
      <c r="D43" s="8" t="str">
        <f>IFERROR(__xludf.DUMMYFUNCTION("""COMPUTED_VALUE"""),"Rubble Stabilisation")</f>
        <v>Rubble Stabilisation</v>
      </c>
      <c r="E43" s="8" t="str">
        <f>IFERROR(__xludf.DUMMYFUNCTION("""COMPUTED_VALUE"""),"Algal Removal")</f>
        <v>Algal Removal</v>
      </c>
      <c r="F43" s="8"/>
      <c r="G43" s="8"/>
      <c r="H43" s="8"/>
    </row>
    <row r="44">
      <c r="A44" s="8" t="s">
        <v>150</v>
      </c>
      <c r="B44" s="8" t="str">
        <f>IFERROR(__xludf.DUMMYFUNCTION("""COMPUTED_VALUE"""),"Artificial Reef")</f>
        <v>Artificial Reef</v>
      </c>
      <c r="C44" s="8" t="str">
        <f>IFERROR(__xludf.DUMMYFUNCTION("""COMPUTED_VALUE"""),"Mineral Accretion")</f>
        <v>Mineral Accretion</v>
      </c>
      <c r="D44" s="8" t="str">
        <f>IFERROR(__xludf.DUMMYFUNCTION("""COMPUTED_VALUE"""),"Rubble Stabilisation")</f>
        <v>Rubble Stabilisation</v>
      </c>
      <c r="E44" s="8" t="str">
        <f>IFERROR(__xludf.DUMMYFUNCTION("""COMPUTED_VALUE"""),"Algal Removal")</f>
        <v>Algal Removal</v>
      </c>
      <c r="F44" s="8"/>
      <c r="G44" s="8"/>
      <c r="H44" s="8"/>
    </row>
    <row r="45">
      <c r="A45" s="8" t="s">
        <v>150</v>
      </c>
      <c r="B45" s="8" t="str">
        <f>IFERROR(__xludf.DUMMYFUNCTION("""COMPUTED_VALUE"""),"Artificial Reef")</f>
        <v>Artificial Reef</v>
      </c>
      <c r="C45" s="8" t="str">
        <f>IFERROR(__xludf.DUMMYFUNCTION("""COMPUTED_VALUE"""),"Mineral Accretion")</f>
        <v>Mineral Accretion</v>
      </c>
      <c r="D45" s="8" t="str">
        <f>IFERROR(__xludf.DUMMYFUNCTION("""COMPUTED_VALUE"""),"Rubble Stabilisation")</f>
        <v>Rubble Stabilisation</v>
      </c>
      <c r="E45" s="8" t="str">
        <f>IFERROR(__xludf.DUMMYFUNCTION("""COMPUTED_VALUE"""),"Algal Removal")</f>
        <v>Algal Removal</v>
      </c>
      <c r="F45" s="8"/>
      <c r="G45" s="8"/>
      <c r="H45" s="8"/>
    </row>
    <row r="46">
      <c r="A46" s="8" t="s">
        <v>150</v>
      </c>
      <c r="B46" s="8" t="str">
        <f>IFERROR(__xludf.DUMMYFUNCTION("""COMPUTED_VALUE"""),"Artificial Reef")</f>
        <v>Artificial Reef</v>
      </c>
      <c r="C46" s="8" t="str">
        <f>IFERROR(__xludf.DUMMYFUNCTION("""COMPUTED_VALUE"""),"Mineral Accretion")</f>
        <v>Mineral Accretion</v>
      </c>
      <c r="D46" s="8" t="str">
        <f>IFERROR(__xludf.DUMMYFUNCTION("""COMPUTED_VALUE"""),"Rubble Stabilisation")</f>
        <v>Rubble Stabilisation</v>
      </c>
      <c r="E46" s="8" t="str">
        <f>IFERROR(__xludf.DUMMYFUNCTION("""COMPUTED_VALUE"""),"Algal Removal")</f>
        <v>Algal Removal</v>
      </c>
      <c r="F46" s="8"/>
      <c r="G46" s="8"/>
      <c r="H46" s="8"/>
    </row>
    <row r="47">
      <c r="A47" s="8" t="s">
        <v>150</v>
      </c>
      <c r="B47" s="8" t="str">
        <f>IFERROR(__xludf.DUMMYFUNCTION("""COMPUTED_VALUE"""),"Artificial Reef")</f>
        <v>Artificial Reef</v>
      </c>
      <c r="C47" s="8" t="str">
        <f>IFERROR(__xludf.DUMMYFUNCTION("""COMPUTED_VALUE"""),"Mineral Accretion")</f>
        <v>Mineral Accretion</v>
      </c>
      <c r="D47" s="8" t="str">
        <f>IFERROR(__xludf.DUMMYFUNCTION("""COMPUTED_VALUE"""),"Rubble Stabilisation")</f>
        <v>Rubble Stabilisation</v>
      </c>
      <c r="E47" s="8" t="str">
        <f>IFERROR(__xludf.DUMMYFUNCTION("""COMPUTED_VALUE"""),"Algal Removal")</f>
        <v>Algal Removal</v>
      </c>
      <c r="F47" s="8"/>
      <c r="G47" s="8"/>
      <c r="H47" s="8"/>
    </row>
    <row r="48">
      <c r="A48" s="8" t="s">
        <v>150</v>
      </c>
      <c r="B48" s="8" t="str">
        <f>IFERROR(__xludf.DUMMYFUNCTION("""COMPUTED_VALUE"""),"Artificial Reef")</f>
        <v>Artificial Reef</v>
      </c>
      <c r="C48" s="8" t="str">
        <f>IFERROR(__xludf.DUMMYFUNCTION("""COMPUTED_VALUE"""),"Mineral Accretion")</f>
        <v>Mineral Accretion</v>
      </c>
      <c r="D48" s="8" t="str">
        <f>IFERROR(__xludf.DUMMYFUNCTION("""COMPUTED_VALUE"""),"Rubble Stabilisation")</f>
        <v>Rubble Stabilisation</v>
      </c>
      <c r="E48" s="8" t="str">
        <f>IFERROR(__xludf.DUMMYFUNCTION("""COMPUTED_VALUE"""),"Algal Removal")</f>
        <v>Algal Removal</v>
      </c>
      <c r="F48" s="8"/>
      <c r="G48" s="8"/>
      <c r="H48" s="8"/>
    </row>
    <row r="49">
      <c r="A49" s="8" t="s">
        <v>150</v>
      </c>
      <c r="B49" s="8" t="str">
        <f>IFERROR(__xludf.DUMMYFUNCTION("""COMPUTED_VALUE"""),"Artificial Reef")</f>
        <v>Artificial Reef</v>
      </c>
      <c r="C49" s="8" t="str">
        <f>IFERROR(__xludf.DUMMYFUNCTION("""COMPUTED_VALUE"""),"Mineral Accretion")</f>
        <v>Mineral Accretion</v>
      </c>
      <c r="D49" s="8" t="str">
        <f>IFERROR(__xludf.DUMMYFUNCTION("""COMPUTED_VALUE"""),"Rubble Stabilisation")</f>
        <v>Rubble Stabilisation</v>
      </c>
      <c r="E49" s="8" t="str">
        <f>IFERROR(__xludf.DUMMYFUNCTION("""COMPUTED_VALUE"""),"Algal Removal")</f>
        <v>Algal Removal</v>
      </c>
      <c r="F49" s="8"/>
      <c r="G49" s="8"/>
      <c r="H49" s="8"/>
    </row>
    <row r="50">
      <c r="A50" s="8" t="s">
        <v>150</v>
      </c>
      <c r="B50" s="8" t="str">
        <f>IFERROR(__xludf.DUMMYFUNCTION("""COMPUTED_VALUE"""),"Artificial Reef")</f>
        <v>Artificial Reef</v>
      </c>
      <c r="C50" s="8" t="str">
        <f>IFERROR(__xludf.DUMMYFUNCTION("""COMPUTED_VALUE"""),"Mineral Accretion")</f>
        <v>Mineral Accretion</v>
      </c>
      <c r="D50" s="8" t="str">
        <f>IFERROR(__xludf.DUMMYFUNCTION("""COMPUTED_VALUE"""),"Rubble Stabilisation")</f>
        <v>Rubble Stabilisation</v>
      </c>
      <c r="E50" s="8" t="str">
        <f>IFERROR(__xludf.DUMMYFUNCTION("""COMPUTED_VALUE"""),"Algal Removal")</f>
        <v>Algal Removal</v>
      </c>
      <c r="F50" s="8"/>
      <c r="G50" s="8"/>
      <c r="H50" s="8"/>
    </row>
    <row r="51">
      <c r="A51" s="8" t="s">
        <v>150</v>
      </c>
      <c r="B51" s="8" t="str">
        <f>IFERROR(__xludf.DUMMYFUNCTION("""COMPUTED_VALUE"""),"Artificial Reef")</f>
        <v>Artificial Reef</v>
      </c>
      <c r="C51" s="8" t="str">
        <f>IFERROR(__xludf.DUMMYFUNCTION("""COMPUTED_VALUE"""),"Mineral Accretion")</f>
        <v>Mineral Accretion</v>
      </c>
      <c r="D51" s="8" t="str">
        <f>IFERROR(__xludf.DUMMYFUNCTION("""COMPUTED_VALUE"""),"Rubble Stabilisation")</f>
        <v>Rubble Stabilisation</v>
      </c>
      <c r="E51" s="8" t="str">
        <f>IFERROR(__xludf.DUMMYFUNCTION("""COMPUTED_VALUE"""),"Algal Removal")</f>
        <v>Algal Removal</v>
      </c>
      <c r="F51" s="8"/>
      <c r="G51" s="8"/>
      <c r="H51" s="8"/>
    </row>
    <row r="52">
      <c r="A52" s="8" t="s">
        <v>150</v>
      </c>
      <c r="B52" s="8" t="str">
        <f>IFERROR(__xludf.DUMMYFUNCTION("""COMPUTED_VALUE"""),"Artificial Reef")</f>
        <v>Artificial Reef</v>
      </c>
      <c r="C52" s="8" t="str">
        <f>IFERROR(__xludf.DUMMYFUNCTION("""COMPUTED_VALUE"""),"Mineral Accretion")</f>
        <v>Mineral Accretion</v>
      </c>
      <c r="D52" s="8" t="str">
        <f>IFERROR(__xludf.DUMMYFUNCTION("""COMPUTED_VALUE"""),"Rubble Stabilisation")</f>
        <v>Rubble Stabilisation</v>
      </c>
      <c r="E52" s="8" t="str">
        <f>IFERROR(__xludf.DUMMYFUNCTION("""COMPUTED_VALUE"""),"Algal Removal")</f>
        <v>Algal Removal</v>
      </c>
      <c r="F52" s="8"/>
      <c r="G52" s="8"/>
      <c r="H52" s="8"/>
    </row>
    <row r="53">
      <c r="A53" s="8" t="s">
        <v>150</v>
      </c>
      <c r="B53" s="8" t="str">
        <f>IFERROR(__xludf.DUMMYFUNCTION("""COMPUTED_VALUE"""),"Artificial Reef")</f>
        <v>Artificial Reef</v>
      </c>
      <c r="C53" s="8" t="str">
        <f>IFERROR(__xludf.DUMMYFUNCTION("""COMPUTED_VALUE"""),"Mineral Accretion")</f>
        <v>Mineral Accretion</v>
      </c>
      <c r="D53" s="8" t="str">
        <f>IFERROR(__xludf.DUMMYFUNCTION("""COMPUTED_VALUE"""),"Rubble Stabilisation")</f>
        <v>Rubble Stabilisation</v>
      </c>
      <c r="E53" s="8" t="str">
        <f>IFERROR(__xludf.DUMMYFUNCTION("""COMPUTED_VALUE"""),"Algal Removal")</f>
        <v>Algal Removal</v>
      </c>
      <c r="F53" s="8"/>
      <c r="G53" s="8"/>
      <c r="H53" s="8"/>
    </row>
    <row r="54">
      <c r="A54" s="8" t="s">
        <v>150</v>
      </c>
      <c r="B54" s="8" t="str">
        <f>IFERROR(__xludf.DUMMYFUNCTION("""COMPUTED_VALUE"""),"Artificial Reef")</f>
        <v>Artificial Reef</v>
      </c>
      <c r="C54" s="8" t="str">
        <f>IFERROR(__xludf.DUMMYFUNCTION("""COMPUTED_VALUE"""),"Mineral Accretion")</f>
        <v>Mineral Accretion</v>
      </c>
      <c r="D54" s="8" t="str">
        <f>IFERROR(__xludf.DUMMYFUNCTION("""COMPUTED_VALUE"""),"Rubble Stabilisation")</f>
        <v>Rubble Stabilisation</v>
      </c>
      <c r="E54" s="8" t="str">
        <f>IFERROR(__xludf.DUMMYFUNCTION("""COMPUTED_VALUE"""),"Algal Removal")</f>
        <v>Algal Removal</v>
      </c>
      <c r="F54" s="8"/>
      <c r="G54" s="8"/>
      <c r="H54" s="8"/>
    </row>
    <row r="55">
      <c r="A55" s="8" t="s">
        <v>150</v>
      </c>
      <c r="B55" s="8" t="str">
        <f>IFERROR(__xludf.DUMMYFUNCTION("""COMPUTED_VALUE"""),"Artificial Reef")</f>
        <v>Artificial Reef</v>
      </c>
      <c r="C55" s="8" t="str">
        <f>IFERROR(__xludf.DUMMYFUNCTION("""COMPUTED_VALUE"""),"Mineral Accretion")</f>
        <v>Mineral Accretion</v>
      </c>
      <c r="D55" s="8" t="str">
        <f>IFERROR(__xludf.DUMMYFUNCTION("""COMPUTED_VALUE"""),"Rubble Stabilisation")</f>
        <v>Rubble Stabilisation</v>
      </c>
      <c r="E55" s="8" t="str">
        <f>IFERROR(__xludf.DUMMYFUNCTION("""COMPUTED_VALUE"""),"Algal Removal")</f>
        <v>Algal Removal</v>
      </c>
      <c r="F55" s="8"/>
      <c r="G55" s="8"/>
      <c r="H55" s="8"/>
    </row>
    <row r="56">
      <c r="A56" s="8" t="s">
        <v>150</v>
      </c>
      <c r="B56" s="8" t="str">
        <f>IFERROR(__xludf.DUMMYFUNCTION("""COMPUTED_VALUE"""),"Artificial Reef")</f>
        <v>Artificial Reef</v>
      </c>
      <c r="C56" s="8" t="str">
        <f>IFERROR(__xludf.DUMMYFUNCTION("""COMPUTED_VALUE"""),"Mineral Accretion")</f>
        <v>Mineral Accretion</v>
      </c>
      <c r="D56" s="8" t="str">
        <f>IFERROR(__xludf.DUMMYFUNCTION("""COMPUTED_VALUE"""),"Rubble Stabilisation")</f>
        <v>Rubble Stabilisation</v>
      </c>
      <c r="E56" s="8" t="str">
        <f>IFERROR(__xludf.DUMMYFUNCTION("""COMPUTED_VALUE"""),"Algal Removal")</f>
        <v>Algal Removal</v>
      </c>
      <c r="F56" s="8"/>
      <c r="G56" s="8"/>
      <c r="H56" s="8"/>
    </row>
    <row r="57">
      <c r="A57" s="8" t="s">
        <v>150</v>
      </c>
      <c r="B57" s="8" t="str">
        <f>IFERROR(__xludf.DUMMYFUNCTION("""COMPUTED_VALUE"""),"Artificial Reef")</f>
        <v>Artificial Reef</v>
      </c>
      <c r="C57" s="8" t="str">
        <f>IFERROR(__xludf.DUMMYFUNCTION("""COMPUTED_VALUE"""),"Mineral Accretion")</f>
        <v>Mineral Accretion</v>
      </c>
      <c r="D57" s="8" t="str">
        <f>IFERROR(__xludf.DUMMYFUNCTION("""COMPUTED_VALUE"""),"Rubble Stabilisation")</f>
        <v>Rubble Stabilisation</v>
      </c>
      <c r="E57" s="8" t="str">
        <f>IFERROR(__xludf.DUMMYFUNCTION("""COMPUTED_VALUE"""),"Algal Removal")</f>
        <v>Algal Removal</v>
      </c>
      <c r="F57" s="8"/>
      <c r="G57" s="8"/>
      <c r="H57" s="8"/>
    </row>
    <row r="58">
      <c r="A58" s="8" t="s">
        <v>150</v>
      </c>
      <c r="B58" s="8" t="str">
        <f>IFERROR(__xludf.DUMMYFUNCTION("""COMPUTED_VALUE"""),"Artificial Reef")</f>
        <v>Artificial Reef</v>
      </c>
      <c r="C58" s="8" t="str">
        <f>IFERROR(__xludf.DUMMYFUNCTION("""COMPUTED_VALUE"""),"Mineral Accretion")</f>
        <v>Mineral Accretion</v>
      </c>
      <c r="D58" s="8" t="str">
        <f>IFERROR(__xludf.DUMMYFUNCTION("""COMPUTED_VALUE"""),"Rubble Stabilisation")</f>
        <v>Rubble Stabilisation</v>
      </c>
      <c r="E58" s="8" t="str">
        <f>IFERROR(__xludf.DUMMYFUNCTION("""COMPUTED_VALUE"""),"Algal Removal")</f>
        <v>Algal Removal</v>
      </c>
      <c r="F58" s="8"/>
      <c r="G58" s="8"/>
      <c r="H58" s="8"/>
    </row>
    <row r="59">
      <c r="A59" s="8" t="s">
        <v>150</v>
      </c>
      <c r="B59" s="8" t="str">
        <f>IFERROR(__xludf.DUMMYFUNCTION("""COMPUTED_VALUE"""),"Artificial Reef")</f>
        <v>Artificial Reef</v>
      </c>
      <c r="C59" s="8" t="str">
        <f>IFERROR(__xludf.DUMMYFUNCTION("""COMPUTED_VALUE"""),"Mineral Accretion")</f>
        <v>Mineral Accretion</v>
      </c>
      <c r="D59" s="8" t="str">
        <f>IFERROR(__xludf.DUMMYFUNCTION("""COMPUTED_VALUE"""),"Rubble Stabilisation")</f>
        <v>Rubble Stabilisation</v>
      </c>
      <c r="E59" s="8" t="str">
        <f>IFERROR(__xludf.DUMMYFUNCTION("""COMPUTED_VALUE"""),"Algal Removal")</f>
        <v>Algal Removal</v>
      </c>
      <c r="F59" s="8"/>
      <c r="G59" s="8"/>
      <c r="H59" s="8"/>
    </row>
    <row r="60">
      <c r="A60" s="8" t="s">
        <v>150</v>
      </c>
      <c r="B60" s="8" t="str">
        <f>IFERROR(__xludf.DUMMYFUNCTION("""COMPUTED_VALUE"""),"Artificial Reef")</f>
        <v>Artificial Reef</v>
      </c>
      <c r="C60" s="8" t="str">
        <f>IFERROR(__xludf.DUMMYFUNCTION("""COMPUTED_VALUE"""),"Mineral Accretion")</f>
        <v>Mineral Accretion</v>
      </c>
      <c r="D60" s="8" t="str">
        <f>IFERROR(__xludf.DUMMYFUNCTION("""COMPUTED_VALUE"""),"Rubble Stabilisation")</f>
        <v>Rubble Stabilisation</v>
      </c>
      <c r="E60" s="8" t="str">
        <f>IFERROR(__xludf.DUMMYFUNCTION("""COMPUTED_VALUE"""),"Algal Removal")</f>
        <v>Algal Removal</v>
      </c>
      <c r="F60" s="8"/>
      <c r="G60" s="8"/>
      <c r="H60" s="8"/>
    </row>
    <row r="61">
      <c r="A61" s="8" t="s">
        <v>150</v>
      </c>
      <c r="B61" s="8" t="str">
        <f>IFERROR(__xludf.DUMMYFUNCTION("""COMPUTED_VALUE"""),"Artificial Reef")</f>
        <v>Artificial Reef</v>
      </c>
      <c r="C61" s="8" t="str">
        <f>IFERROR(__xludf.DUMMYFUNCTION("""COMPUTED_VALUE"""),"Mineral Accretion")</f>
        <v>Mineral Accretion</v>
      </c>
      <c r="D61" s="8" t="str">
        <f>IFERROR(__xludf.DUMMYFUNCTION("""COMPUTED_VALUE"""),"Rubble Stabilisation")</f>
        <v>Rubble Stabilisation</v>
      </c>
      <c r="E61" s="8" t="str">
        <f>IFERROR(__xludf.DUMMYFUNCTION("""COMPUTED_VALUE"""),"Algal Removal")</f>
        <v>Algal Removal</v>
      </c>
      <c r="F61" s="8"/>
      <c r="G61" s="8"/>
      <c r="H61" s="8"/>
    </row>
    <row r="62">
      <c r="A62" s="8" t="s">
        <v>150</v>
      </c>
      <c r="B62" s="8" t="str">
        <f>IFERROR(__xludf.DUMMYFUNCTION("""COMPUTED_VALUE"""),"Artificial Reef")</f>
        <v>Artificial Reef</v>
      </c>
      <c r="C62" s="8" t="str">
        <f>IFERROR(__xludf.DUMMYFUNCTION("""COMPUTED_VALUE"""),"Mineral Accretion")</f>
        <v>Mineral Accretion</v>
      </c>
      <c r="D62" s="8" t="str">
        <f>IFERROR(__xludf.DUMMYFUNCTION("""COMPUTED_VALUE"""),"Rubble Stabilisation")</f>
        <v>Rubble Stabilisation</v>
      </c>
      <c r="E62" s="8" t="str">
        <f>IFERROR(__xludf.DUMMYFUNCTION("""COMPUTED_VALUE"""),"Algal Removal")</f>
        <v>Algal Removal</v>
      </c>
      <c r="F62" s="8"/>
      <c r="G62" s="8"/>
      <c r="H62" s="8"/>
    </row>
    <row r="63">
      <c r="A63" s="8" t="s">
        <v>150</v>
      </c>
      <c r="B63" s="8" t="str">
        <f>IFERROR(__xludf.DUMMYFUNCTION("""COMPUTED_VALUE"""),"Artificial Reef")</f>
        <v>Artificial Reef</v>
      </c>
      <c r="C63" s="8" t="str">
        <f>IFERROR(__xludf.DUMMYFUNCTION("""COMPUTED_VALUE"""),"Mineral Accretion")</f>
        <v>Mineral Accretion</v>
      </c>
      <c r="D63" s="8" t="str">
        <f>IFERROR(__xludf.DUMMYFUNCTION("""COMPUTED_VALUE"""),"Rubble Stabilisation")</f>
        <v>Rubble Stabilisation</v>
      </c>
      <c r="E63" s="8" t="str">
        <f>IFERROR(__xludf.DUMMYFUNCTION("""COMPUTED_VALUE"""),"Algal Removal")</f>
        <v>Algal Removal</v>
      </c>
      <c r="F63" s="8"/>
      <c r="G63" s="8"/>
      <c r="H63" s="8"/>
    </row>
    <row r="64">
      <c r="A64" s="8" t="s">
        <v>150</v>
      </c>
      <c r="B64" s="8" t="str">
        <f>IFERROR(__xludf.DUMMYFUNCTION("""COMPUTED_VALUE"""),"Artificial Reef")</f>
        <v>Artificial Reef</v>
      </c>
      <c r="C64" s="8" t="str">
        <f>IFERROR(__xludf.DUMMYFUNCTION("""COMPUTED_VALUE"""),"Mineral Accretion")</f>
        <v>Mineral Accretion</v>
      </c>
      <c r="D64" s="8" t="str">
        <f>IFERROR(__xludf.DUMMYFUNCTION("""COMPUTED_VALUE"""),"Rubble Stabilisation")</f>
        <v>Rubble Stabilisation</v>
      </c>
      <c r="E64" s="8" t="str">
        <f>IFERROR(__xludf.DUMMYFUNCTION("""COMPUTED_VALUE"""),"Algal Removal")</f>
        <v>Algal Removal</v>
      </c>
      <c r="F64" s="8"/>
      <c r="G64" s="8"/>
      <c r="H64" s="8"/>
    </row>
    <row r="65">
      <c r="A65" s="8" t="s">
        <v>150</v>
      </c>
      <c r="B65" s="8" t="str">
        <f>IFERROR(__xludf.DUMMYFUNCTION("""COMPUTED_VALUE"""),"Artificial Reef")</f>
        <v>Artificial Reef</v>
      </c>
      <c r="C65" s="8" t="str">
        <f>IFERROR(__xludf.DUMMYFUNCTION("""COMPUTED_VALUE"""),"Mineral Accretion")</f>
        <v>Mineral Accretion</v>
      </c>
      <c r="D65" s="8" t="str">
        <f>IFERROR(__xludf.DUMMYFUNCTION("""COMPUTED_VALUE"""),"Rubble Stabilisation")</f>
        <v>Rubble Stabilisation</v>
      </c>
      <c r="E65" s="8" t="str">
        <f>IFERROR(__xludf.DUMMYFUNCTION("""COMPUTED_VALUE"""),"Algal Removal")</f>
        <v>Algal Removal</v>
      </c>
      <c r="F65" s="8"/>
      <c r="G65" s="8"/>
      <c r="H65" s="8"/>
    </row>
    <row r="66">
      <c r="A66" s="8" t="s">
        <v>150</v>
      </c>
      <c r="B66" s="8" t="str">
        <f>IFERROR(__xludf.DUMMYFUNCTION("""COMPUTED_VALUE"""),"Artificial Reef")</f>
        <v>Artificial Reef</v>
      </c>
      <c r="C66" s="8" t="str">
        <f>IFERROR(__xludf.DUMMYFUNCTION("""COMPUTED_VALUE"""),"Mineral Accretion")</f>
        <v>Mineral Accretion</v>
      </c>
      <c r="D66" s="8" t="str">
        <f>IFERROR(__xludf.DUMMYFUNCTION("""COMPUTED_VALUE"""),"Rubble Stabilisation")</f>
        <v>Rubble Stabilisation</v>
      </c>
      <c r="E66" s="8" t="str">
        <f>IFERROR(__xludf.DUMMYFUNCTION("""COMPUTED_VALUE"""),"Algal Removal")</f>
        <v>Algal Removal</v>
      </c>
      <c r="F66" s="8"/>
      <c r="G66" s="8"/>
      <c r="H66" s="8"/>
    </row>
    <row r="67">
      <c r="A67" s="8" t="s">
        <v>150</v>
      </c>
      <c r="B67" s="8" t="str">
        <f>IFERROR(__xludf.DUMMYFUNCTION("""COMPUTED_VALUE"""),"Artificial Reef")</f>
        <v>Artificial Reef</v>
      </c>
      <c r="C67" s="8" t="str">
        <f>IFERROR(__xludf.DUMMYFUNCTION("""COMPUTED_VALUE"""),"Mineral Accretion")</f>
        <v>Mineral Accretion</v>
      </c>
      <c r="D67" s="8" t="str">
        <f>IFERROR(__xludf.DUMMYFUNCTION("""COMPUTED_VALUE"""),"Rubble Stabilisation")</f>
        <v>Rubble Stabilisation</v>
      </c>
      <c r="E67" s="8" t="str">
        <f>IFERROR(__xludf.DUMMYFUNCTION("""COMPUTED_VALUE"""),"Algal Removal")</f>
        <v>Algal Removal</v>
      </c>
      <c r="F67" s="8"/>
      <c r="G67" s="8"/>
      <c r="H67" s="8"/>
    </row>
    <row r="68">
      <c r="A68" s="8" t="s">
        <v>150</v>
      </c>
      <c r="B68" s="8" t="str">
        <f>IFERROR(__xludf.DUMMYFUNCTION("""COMPUTED_VALUE"""),"Artificial Reef")</f>
        <v>Artificial Reef</v>
      </c>
      <c r="C68" s="8" t="str">
        <f>IFERROR(__xludf.DUMMYFUNCTION("""COMPUTED_VALUE"""),"Mineral Accretion")</f>
        <v>Mineral Accretion</v>
      </c>
      <c r="D68" s="8" t="str">
        <f>IFERROR(__xludf.DUMMYFUNCTION("""COMPUTED_VALUE"""),"Rubble Stabilisation")</f>
        <v>Rubble Stabilisation</v>
      </c>
      <c r="E68" s="8" t="str">
        <f>IFERROR(__xludf.DUMMYFUNCTION("""COMPUTED_VALUE"""),"Algal Removal")</f>
        <v>Algal Removal</v>
      </c>
      <c r="F68" s="8"/>
      <c r="G68" s="8"/>
      <c r="H68" s="8"/>
    </row>
    <row r="69">
      <c r="A69" s="8" t="s">
        <v>150</v>
      </c>
      <c r="B69" s="8" t="str">
        <f>IFERROR(__xludf.DUMMYFUNCTION("""COMPUTED_VALUE"""),"Artificial Reef")</f>
        <v>Artificial Reef</v>
      </c>
      <c r="C69" s="8" t="str">
        <f>IFERROR(__xludf.DUMMYFUNCTION("""COMPUTED_VALUE"""),"Mineral Accretion")</f>
        <v>Mineral Accretion</v>
      </c>
      <c r="D69" s="8" t="str">
        <f>IFERROR(__xludf.DUMMYFUNCTION("""COMPUTED_VALUE"""),"Rubble Stabilisation")</f>
        <v>Rubble Stabilisation</v>
      </c>
      <c r="E69" s="8" t="str">
        <f>IFERROR(__xludf.DUMMYFUNCTION("""COMPUTED_VALUE"""),"Algal Removal")</f>
        <v>Algal Removal</v>
      </c>
      <c r="F69" s="8"/>
      <c r="G69" s="8"/>
      <c r="H69" s="8"/>
    </row>
    <row r="70">
      <c r="A70" s="8" t="s">
        <v>150</v>
      </c>
      <c r="B70" s="8" t="str">
        <f>IFERROR(__xludf.DUMMYFUNCTION("""COMPUTED_VALUE"""),"Artificial Reef")</f>
        <v>Artificial Reef</v>
      </c>
      <c r="C70" s="8" t="str">
        <f>IFERROR(__xludf.DUMMYFUNCTION("""COMPUTED_VALUE"""),"Mineral Accretion")</f>
        <v>Mineral Accretion</v>
      </c>
      <c r="D70" s="8" t="str">
        <f>IFERROR(__xludf.DUMMYFUNCTION("""COMPUTED_VALUE"""),"Rubble Stabilisation")</f>
        <v>Rubble Stabilisation</v>
      </c>
      <c r="E70" s="8" t="str">
        <f>IFERROR(__xludf.DUMMYFUNCTION("""COMPUTED_VALUE"""),"Algal Removal")</f>
        <v>Algal Removal</v>
      </c>
      <c r="F70" s="8"/>
      <c r="G70" s="8"/>
      <c r="H70" s="8"/>
    </row>
    <row r="71">
      <c r="A71" s="8" t="s">
        <v>150</v>
      </c>
      <c r="B71" s="8" t="str">
        <f>IFERROR(__xludf.DUMMYFUNCTION("""COMPUTED_VALUE"""),"Artificial Reef")</f>
        <v>Artificial Reef</v>
      </c>
      <c r="C71" s="8" t="str">
        <f>IFERROR(__xludf.DUMMYFUNCTION("""COMPUTED_VALUE"""),"Mineral Accretion")</f>
        <v>Mineral Accretion</v>
      </c>
      <c r="D71" s="8" t="str">
        <f>IFERROR(__xludf.DUMMYFUNCTION("""COMPUTED_VALUE"""),"Rubble Stabilisation")</f>
        <v>Rubble Stabilisation</v>
      </c>
      <c r="E71" s="8" t="str">
        <f>IFERROR(__xludf.DUMMYFUNCTION("""COMPUTED_VALUE"""),"Algal Removal")</f>
        <v>Algal Removal</v>
      </c>
      <c r="F71" s="8"/>
      <c r="G71" s="8"/>
      <c r="H71" s="8"/>
    </row>
    <row r="72">
      <c r="A72" s="8" t="s">
        <v>150</v>
      </c>
      <c r="B72" s="8" t="str">
        <f>IFERROR(__xludf.DUMMYFUNCTION("""COMPUTED_VALUE"""),"Artificial Reef")</f>
        <v>Artificial Reef</v>
      </c>
      <c r="C72" s="8" t="str">
        <f>IFERROR(__xludf.DUMMYFUNCTION("""COMPUTED_VALUE"""),"Mineral Accretion")</f>
        <v>Mineral Accretion</v>
      </c>
      <c r="D72" s="8" t="str">
        <f>IFERROR(__xludf.DUMMYFUNCTION("""COMPUTED_VALUE"""),"Rubble Stabilisation")</f>
        <v>Rubble Stabilisation</v>
      </c>
      <c r="E72" s="8" t="str">
        <f>IFERROR(__xludf.DUMMYFUNCTION("""COMPUTED_VALUE"""),"Algal Removal")</f>
        <v>Algal Removal</v>
      </c>
      <c r="F72" s="8"/>
      <c r="G72" s="8"/>
      <c r="H72" s="8"/>
    </row>
    <row r="73">
      <c r="A73" s="8" t="s">
        <v>150</v>
      </c>
      <c r="B73" s="8" t="str">
        <f>IFERROR(__xludf.DUMMYFUNCTION("""COMPUTED_VALUE"""),"Artificial Reef")</f>
        <v>Artificial Reef</v>
      </c>
      <c r="C73" s="8" t="str">
        <f>IFERROR(__xludf.DUMMYFUNCTION("""COMPUTED_VALUE"""),"Mineral Accretion")</f>
        <v>Mineral Accretion</v>
      </c>
      <c r="D73" s="8" t="str">
        <f>IFERROR(__xludf.DUMMYFUNCTION("""COMPUTED_VALUE"""),"Rubble Stabilisation")</f>
        <v>Rubble Stabilisation</v>
      </c>
      <c r="E73" s="8" t="str">
        <f>IFERROR(__xludf.DUMMYFUNCTION("""COMPUTED_VALUE"""),"Algal Removal")</f>
        <v>Algal Removal</v>
      </c>
      <c r="F73" s="8"/>
      <c r="G73" s="8"/>
      <c r="H73" s="8"/>
    </row>
    <row r="74">
      <c r="A74" s="8" t="s">
        <v>150</v>
      </c>
      <c r="B74" s="8" t="str">
        <f>IFERROR(__xludf.DUMMYFUNCTION("""COMPUTED_VALUE"""),"Artificial Reef")</f>
        <v>Artificial Reef</v>
      </c>
      <c r="C74" s="8" t="str">
        <f>IFERROR(__xludf.DUMMYFUNCTION("""COMPUTED_VALUE"""),"Mineral Accretion")</f>
        <v>Mineral Accretion</v>
      </c>
      <c r="D74" s="8" t="str">
        <f>IFERROR(__xludf.DUMMYFUNCTION("""COMPUTED_VALUE"""),"Rubble Stabilisation")</f>
        <v>Rubble Stabilisation</v>
      </c>
      <c r="E74" s="8" t="str">
        <f>IFERROR(__xludf.DUMMYFUNCTION("""COMPUTED_VALUE"""),"Algal Removal")</f>
        <v>Algal Removal</v>
      </c>
      <c r="F74" s="8"/>
      <c r="G74" s="8"/>
      <c r="H74" s="8"/>
    </row>
    <row r="75">
      <c r="A75" s="8" t="s">
        <v>150</v>
      </c>
      <c r="B75" s="8" t="str">
        <f>IFERROR(__xludf.DUMMYFUNCTION("""COMPUTED_VALUE"""),"Artificial Reef")</f>
        <v>Artificial Reef</v>
      </c>
      <c r="C75" s="8" t="str">
        <f>IFERROR(__xludf.DUMMYFUNCTION("""COMPUTED_VALUE"""),"Mineral Accretion")</f>
        <v>Mineral Accretion</v>
      </c>
      <c r="D75" s="8" t="str">
        <f>IFERROR(__xludf.DUMMYFUNCTION("""COMPUTED_VALUE"""),"Rubble Stabilisation")</f>
        <v>Rubble Stabilisation</v>
      </c>
      <c r="E75" s="8" t="str">
        <f>IFERROR(__xludf.DUMMYFUNCTION("""COMPUTED_VALUE"""),"Algal Removal")</f>
        <v>Algal Removal</v>
      </c>
      <c r="F75" s="8"/>
      <c r="G75" s="8"/>
      <c r="H75" s="8"/>
    </row>
    <row r="76">
      <c r="A76" s="8" t="s">
        <v>150</v>
      </c>
      <c r="B76" s="8" t="str">
        <f>IFERROR(__xludf.DUMMYFUNCTION("""COMPUTED_VALUE"""),"Artificial Reef")</f>
        <v>Artificial Reef</v>
      </c>
      <c r="C76" s="8" t="str">
        <f>IFERROR(__xludf.DUMMYFUNCTION("""COMPUTED_VALUE"""),"Mineral Accretion")</f>
        <v>Mineral Accretion</v>
      </c>
      <c r="D76" s="8" t="str">
        <f>IFERROR(__xludf.DUMMYFUNCTION("""COMPUTED_VALUE"""),"Rubble Stabilisation")</f>
        <v>Rubble Stabilisation</v>
      </c>
      <c r="E76" s="8" t="str">
        <f>IFERROR(__xludf.DUMMYFUNCTION("""COMPUTED_VALUE"""),"Algal Removal")</f>
        <v>Algal Removal</v>
      </c>
      <c r="F76" s="8"/>
      <c r="G76" s="8"/>
      <c r="H76" s="8"/>
    </row>
    <row r="77">
      <c r="A77" s="8" t="s">
        <v>150</v>
      </c>
      <c r="B77" s="8" t="str">
        <f>IFERROR(__xludf.DUMMYFUNCTION("""COMPUTED_VALUE"""),"Artificial Reef")</f>
        <v>Artificial Reef</v>
      </c>
      <c r="C77" s="8" t="str">
        <f>IFERROR(__xludf.DUMMYFUNCTION("""COMPUTED_VALUE"""),"Mineral Accretion")</f>
        <v>Mineral Accretion</v>
      </c>
      <c r="D77" s="8" t="str">
        <f>IFERROR(__xludf.DUMMYFUNCTION("""COMPUTED_VALUE"""),"Rubble Stabilisation")</f>
        <v>Rubble Stabilisation</v>
      </c>
      <c r="E77" s="8" t="str">
        <f>IFERROR(__xludf.DUMMYFUNCTION("""COMPUTED_VALUE"""),"Algal Removal")</f>
        <v>Algal Removal</v>
      </c>
      <c r="F77" s="8"/>
      <c r="G77" s="8"/>
      <c r="H77" s="8"/>
    </row>
    <row r="78">
      <c r="A78" s="8" t="s">
        <v>150</v>
      </c>
      <c r="B78" s="8" t="str">
        <f>IFERROR(__xludf.DUMMYFUNCTION("""COMPUTED_VALUE"""),"Artificial Reef")</f>
        <v>Artificial Reef</v>
      </c>
      <c r="C78" s="8" t="str">
        <f>IFERROR(__xludf.DUMMYFUNCTION("""COMPUTED_VALUE"""),"Mineral Accretion")</f>
        <v>Mineral Accretion</v>
      </c>
      <c r="D78" s="8" t="str">
        <f>IFERROR(__xludf.DUMMYFUNCTION("""COMPUTED_VALUE"""),"Rubble Stabilisation")</f>
        <v>Rubble Stabilisation</v>
      </c>
      <c r="E78" s="8" t="str">
        <f>IFERROR(__xludf.DUMMYFUNCTION("""COMPUTED_VALUE"""),"Algal Removal")</f>
        <v>Algal Removal</v>
      </c>
      <c r="F78" s="8"/>
      <c r="G78" s="8"/>
      <c r="H78" s="8"/>
    </row>
    <row r="79">
      <c r="A79" s="8" t="s">
        <v>150</v>
      </c>
      <c r="B79" s="8" t="str">
        <f>IFERROR(__xludf.DUMMYFUNCTION("""COMPUTED_VALUE"""),"Artificial Reef")</f>
        <v>Artificial Reef</v>
      </c>
      <c r="C79" s="8" t="str">
        <f>IFERROR(__xludf.DUMMYFUNCTION("""COMPUTED_VALUE"""),"Mineral Accretion")</f>
        <v>Mineral Accretion</v>
      </c>
      <c r="D79" s="8" t="str">
        <f>IFERROR(__xludf.DUMMYFUNCTION("""COMPUTED_VALUE"""),"Rubble Stabilisation")</f>
        <v>Rubble Stabilisation</v>
      </c>
      <c r="E79" s="8" t="str">
        <f>IFERROR(__xludf.DUMMYFUNCTION("""COMPUTED_VALUE"""),"Algal Removal")</f>
        <v>Algal Removal</v>
      </c>
      <c r="F79" s="8"/>
      <c r="G79" s="8"/>
      <c r="H79" s="8"/>
    </row>
    <row r="80">
      <c r="A80" s="8" t="s">
        <v>150</v>
      </c>
      <c r="B80" s="8" t="str">
        <f>IFERROR(__xludf.DUMMYFUNCTION("""COMPUTED_VALUE"""),"Artificial Reef")</f>
        <v>Artificial Reef</v>
      </c>
      <c r="C80" s="8" t="str">
        <f>IFERROR(__xludf.DUMMYFUNCTION("""COMPUTED_VALUE"""),"Mineral Accretion")</f>
        <v>Mineral Accretion</v>
      </c>
      <c r="D80" s="8" t="str">
        <f>IFERROR(__xludf.DUMMYFUNCTION("""COMPUTED_VALUE"""),"Rubble Stabilisation")</f>
        <v>Rubble Stabilisation</v>
      </c>
      <c r="E80" s="8" t="str">
        <f>IFERROR(__xludf.DUMMYFUNCTION("""COMPUTED_VALUE"""),"Algal Removal")</f>
        <v>Algal Removal</v>
      </c>
      <c r="F80" s="8"/>
      <c r="G80" s="8"/>
      <c r="H80" s="8"/>
    </row>
    <row r="81">
      <c r="A81" s="8" t="s">
        <v>150</v>
      </c>
      <c r="B81" s="8" t="str">
        <f>IFERROR(__xludf.DUMMYFUNCTION("""COMPUTED_VALUE"""),"Artificial Reef")</f>
        <v>Artificial Reef</v>
      </c>
      <c r="C81" s="8" t="str">
        <f>IFERROR(__xludf.DUMMYFUNCTION("""COMPUTED_VALUE"""),"Mineral Accretion")</f>
        <v>Mineral Accretion</v>
      </c>
      <c r="D81" s="8" t="str">
        <f>IFERROR(__xludf.DUMMYFUNCTION("""COMPUTED_VALUE"""),"Rubble Stabilisation")</f>
        <v>Rubble Stabilisation</v>
      </c>
      <c r="E81" s="8" t="str">
        <f>IFERROR(__xludf.DUMMYFUNCTION("""COMPUTED_VALUE"""),"Algal Removal")</f>
        <v>Algal Removal</v>
      </c>
      <c r="F81" s="8"/>
      <c r="G81" s="8"/>
      <c r="H81" s="8"/>
    </row>
    <row r="82">
      <c r="A82" s="8" t="s">
        <v>150</v>
      </c>
      <c r="B82" s="8" t="str">
        <f>IFERROR(__xludf.DUMMYFUNCTION("""COMPUTED_VALUE"""),"Artificial Reef")</f>
        <v>Artificial Reef</v>
      </c>
      <c r="C82" s="8" t="str">
        <f>IFERROR(__xludf.DUMMYFUNCTION("""COMPUTED_VALUE"""),"Mineral Accretion")</f>
        <v>Mineral Accretion</v>
      </c>
      <c r="D82" s="8" t="str">
        <f>IFERROR(__xludf.DUMMYFUNCTION("""COMPUTED_VALUE"""),"Rubble Stabilisation")</f>
        <v>Rubble Stabilisation</v>
      </c>
      <c r="E82" s="8" t="str">
        <f>IFERROR(__xludf.DUMMYFUNCTION("""COMPUTED_VALUE"""),"Algal Removal")</f>
        <v>Algal Removal</v>
      </c>
      <c r="F82" s="8"/>
      <c r="G82" s="8"/>
      <c r="H82" s="8"/>
    </row>
    <row r="83">
      <c r="A83" s="8" t="s">
        <v>150</v>
      </c>
      <c r="B83" s="8" t="str">
        <f>IFERROR(__xludf.DUMMYFUNCTION("""COMPUTED_VALUE"""),"Artificial Reef")</f>
        <v>Artificial Reef</v>
      </c>
      <c r="C83" s="8" t="str">
        <f>IFERROR(__xludf.DUMMYFUNCTION("""COMPUTED_VALUE"""),"Mineral Accretion")</f>
        <v>Mineral Accretion</v>
      </c>
      <c r="D83" s="8" t="str">
        <f>IFERROR(__xludf.DUMMYFUNCTION("""COMPUTED_VALUE"""),"Rubble Stabilisation")</f>
        <v>Rubble Stabilisation</v>
      </c>
      <c r="E83" s="8" t="str">
        <f>IFERROR(__xludf.DUMMYFUNCTION("""COMPUTED_VALUE"""),"Algal Removal")</f>
        <v>Algal Removal</v>
      </c>
      <c r="F83" s="8"/>
      <c r="G83" s="8"/>
      <c r="H83" s="8"/>
    </row>
    <row r="84">
      <c r="A84" s="8" t="s">
        <v>177</v>
      </c>
      <c r="B84" s="8" t="str">
        <f>IFERROR(__xludf.DUMMYFUNCTION("""COMPUTED_VALUE"""),"Direct Transplantation")</f>
        <v>Direct Transplantation</v>
      </c>
      <c r="C84" s="8" t="str">
        <f>IFERROR(__xludf.DUMMYFUNCTION("""COMPUTED_VALUE"""),"Coral Gardening")</f>
        <v>Coral Gardening</v>
      </c>
      <c r="D84" s="8" t="str">
        <f>IFERROR(__xludf.DUMMYFUNCTION("""COMPUTED_VALUE"""),"Microfragmentation")</f>
        <v>Microfragmentation</v>
      </c>
      <c r="E84" s="8"/>
      <c r="F84" s="8"/>
      <c r="G84" s="8"/>
      <c r="H84" s="8"/>
    </row>
    <row r="85">
      <c r="A85" s="8" t="s">
        <v>177</v>
      </c>
      <c r="B85" s="8" t="str">
        <f>IFERROR(__xludf.DUMMYFUNCTION("""COMPUTED_VALUE"""),"Direct Transplantation")</f>
        <v>Direct Transplantation</v>
      </c>
      <c r="C85" s="8" t="str">
        <f>IFERROR(__xludf.DUMMYFUNCTION("""COMPUTED_VALUE"""),"Coral Gardening")</f>
        <v>Coral Gardening</v>
      </c>
      <c r="D85" s="8" t="str">
        <f>IFERROR(__xludf.DUMMYFUNCTION("""COMPUTED_VALUE"""),"Microfragmentation")</f>
        <v>Microfragmentation</v>
      </c>
      <c r="E85" s="8"/>
      <c r="F85" s="8"/>
      <c r="G85" s="8"/>
      <c r="H85" s="8"/>
    </row>
    <row r="86">
      <c r="A86" s="8" t="s">
        <v>150</v>
      </c>
      <c r="B86" s="8" t="str">
        <f>IFERROR(__xludf.DUMMYFUNCTION("""COMPUTED_VALUE"""),"Artificial Reef")</f>
        <v>Artificial Reef</v>
      </c>
      <c r="C86" s="8" t="str">
        <f>IFERROR(__xludf.DUMMYFUNCTION("""COMPUTED_VALUE"""),"Mineral Accretion")</f>
        <v>Mineral Accretion</v>
      </c>
      <c r="D86" s="8" t="str">
        <f>IFERROR(__xludf.DUMMYFUNCTION("""COMPUTED_VALUE"""),"Rubble Stabilisation")</f>
        <v>Rubble Stabilisation</v>
      </c>
      <c r="E86" s="8" t="str">
        <f>IFERROR(__xludf.DUMMYFUNCTION("""COMPUTED_VALUE"""),"Algal Removal")</f>
        <v>Algal Removal</v>
      </c>
      <c r="F86" s="8"/>
      <c r="G86" s="8"/>
      <c r="H86" s="8"/>
    </row>
    <row r="87">
      <c r="A87" s="8" t="s">
        <v>150</v>
      </c>
      <c r="B87" s="8" t="str">
        <f>IFERROR(__xludf.DUMMYFUNCTION("""COMPUTED_VALUE"""),"Artificial Reef")</f>
        <v>Artificial Reef</v>
      </c>
      <c r="C87" s="8" t="str">
        <f>IFERROR(__xludf.DUMMYFUNCTION("""COMPUTED_VALUE"""),"Mineral Accretion")</f>
        <v>Mineral Accretion</v>
      </c>
      <c r="D87" s="8" t="str">
        <f>IFERROR(__xludf.DUMMYFUNCTION("""COMPUTED_VALUE"""),"Rubble Stabilisation")</f>
        <v>Rubble Stabilisation</v>
      </c>
      <c r="E87" s="8" t="str">
        <f>IFERROR(__xludf.DUMMYFUNCTION("""COMPUTED_VALUE"""),"Algal Removal")</f>
        <v>Algal Removal</v>
      </c>
      <c r="F87" s="8"/>
      <c r="G87" s="8"/>
      <c r="H87" s="8"/>
    </row>
    <row r="88">
      <c r="A88" s="8" t="s">
        <v>150</v>
      </c>
      <c r="B88" s="8" t="str">
        <f>IFERROR(__xludf.DUMMYFUNCTION("""COMPUTED_VALUE"""),"Artificial Reef")</f>
        <v>Artificial Reef</v>
      </c>
      <c r="C88" s="8" t="str">
        <f>IFERROR(__xludf.DUMMYFUNCTION("""COMPUTED_VALUE"""),"Mineral Accretion")</f>
        <v>Mineral Accretion</v>
      </c>
      <c r="D88" s="8" t="str">
        <f>IFERROR(__xludf.DUMMYFUNCTION("""COMPUTED_VALUE"""),"Rubble Stabilisation")</f>
        <v>Rubble Stabilisation</v>
      </c>
      <c r="E88" s="8" t="str">
        <f>IFERROR(__xludf.DUMMYFUNCTION("""COMPUTED_VALUE"""),"Algal Removal")</f>
        <v>Algal Removal</v>
      </c>
      <c r="F88" s="8"/>
      <c r="G88" s="8"/>
      <c r="H88" s="8"/>
    </row>
    <row r="89">
      <c r="A89" s="8" t="s">
        <v>150</v>
      </c>
      <c r="B89" s="8" t="str">
        <f>IFERROR(__xludf.DUMMYFUNCTION("""COMPUTED_VALUE"""),"Artificial Reef")</f>
        <v>Artificial Reef</v>
      </c>
      <c r="C89" s="8" t="str">
        <f>IFERROR(__xludf.DUMMYFUNCTION("""COMPUTED_VALUE"""),"Mineral Accretion")</f>
        <v>Mineral Accretion</v>
      </c>
      <c r="D89" s="8" t="str">
        <f>IFERROR(__xludf.DUMMYFUNCTION("""COMPUTED_VALUE"""),"Rubble Stabilisation")</f>
        <v>Rubble Stabilisation</v>
      </c>
      <c r="E89" s="8" t="str">
        <f>IFERROR(__xludf.DUMMYFUNCTION("""COMPUTED_VALUE"""),"Algal Removal")</f>
        <v>Algal Removal</v>
      </c>
      <c r="F89" s="8"/>
      <c r="G89" s="8"/>
      <c r="H89" s="8"/>
    </row>
    <row r="90">
      <c r="A90" s="8" t="s">
        <v>150</v>
      </c>
      <c r="B90" s="8" t="str">
        <f>IFERROR(__xludf.DUMMYFUNCTION("""COMPUTED_VALUE"""),"Artificial Reef")</f>
        <v>Artificial Reef</v>
      </c>
      <c r="C90" s="8" t="str">
        <f>IFERROR(__xludf.DUMMYFUNCTION("""COMPUTED_VALUE"""),"Mineral Accretion")</f>
        <v>Mineral Accretion</v>
      </c>
      <c r="D90" s="8" t="str">
        <f>IFERROR(__xludf.DUMMYFUNCTION("""COMPUTED_VALUE"""),"Rubble Stabilisation")</f>
        <v>Rubble Stabilisation</v>
      </c>
      <c r="E90" s="8" t="str">
        <f>IFERROR(__xludf.DUMMYFUNCTION("""COMPUTED_VALUE"""),"Algal Removal")</f>
        <v>Algal Removal</v>
      </c>
      <c r="F90" s="8"/>
      <c r="G90" s="8"/>
      <c r="H90" s="8"/>
    </row>
    <row r="91">
      <c r="A91" s="8" t="s">
        <v>150</v>
      </c>
      <c r="B91" s="8" t="str">
        <f>IFERROR(__xludf.DUMMYFUNCTION("""COMPUTED_VALUE"""),"Artificial Reef")</f>
        <v>Artificial Reef</v>
      </c>
      <c r="C91" s="8" t="str">
        <f>IFERROR(__xludf.DUMMYFUNCTION("""COMPUTED_VALUE"""),"Mineral Accretion")</f>
        <v>Mineral Accretion</v>
      </c>
      <c r="D91" s="8" t="str">
        <f>IFERROR(__xludf.DUMMYFUNCTION("""COMPUTED_VALUE"""),"Rubble Stabilisation")</f>
        <v>Rubble Stabilisation</v>
      </c>
      <c r="E91" s="8" t="str">
        <f>IFERROR(__xludf.DUMMYFUNCTION("""COMPUTED_VALUE"""),"Algal Removal")</f>
        <v>Algal Removal</v>
      </c>
      <c r="F91" s="8"/>
      <c r="G91" s="8"/>
      <c r="H91" s="8"/>
    </row>
    <row r="92">
      <c r="A92" s="8" t="s">
        <v>150</v>
      </c>
      <c r="B92" s="8" t="str">
        <f>IFERROR(__xludf.DUMMYFUNCTION("""COMPUTED_VALUE"""),"Artificial Reef")</f>
        <v>Artificial Reef</v>
      </c>
      <c r="C92" s="8" t="str">
        <f>IFERROR(__xludf.DUMMYFUNCTION("""COMPUTED_VALUE"""),"Mineral Accretion")</f>
        <v>Mineral Accretion</v>
      </c>
      <c r="D92" s="8" t="str">
        <f>IFERROR(__xludf.DUMMYFUNCTION("""COMPUTED_VALUE"""),"Rubble Stabilisation")</f>
        <v>Rubble Stabilisation</v>
      </c>
      <c r="E92" s="8" t="str">
        <f>IFERROR(__xludf.DUMMYFUNCTION("""COMPUTED_VALUE"""),"Algal Removal")</f>
        <v>Algal Removal</v>
      </c>
      <c r="F92" s="8"/>
      <c r="G92" s="8"/>
      <c r="H92" s="8"/>
    </row>
    <row r="93">
      <c r="A93" s="8" t="s">
        <v>150</v>
      </c>
      <c r="B93" s="8" t="str">
        <f>IFERROR(__xludf.DUMMYFUNCTION("""COMPUTED_VALUE"""),"Artificial Reef")</f>
        <v>Artificial Reef</v>
      </c>
      <c r="C93" s="8" t="str">
        <f>IFERROR(__xludf.DUMMYFUNCTION("""COMPUTED_VALUE"""),"Mineral Accretion")</f>
        <v>Mineral Accretion</v>
      </c>
      <c r="D93" s="8" t="str">
        <f>IFERROR(__xludf.DUMMYFUNCTION("""COMPUTED_VALUE"""),"Rubble Stabilisation")</f>
        <v>Rubble Stabilisation</v>
      </c>
      <c r="E93" s="8" t="str">
        <f>IFERROR(__xludf.DUMMYFUNCTION("""COMPUTED_VALUE"""),"Algal Removal")</f>
        <v>Algal Removal</v>
      </c>
      <c r="F93" s="8"/>
      <c r="G93" s="8"/>
      <c r="H93" s="8"/>
    </row>
    <row r="94">
      <c r="A94" s="8" t="s">
        <v>150</v>
      </c>
      <c r="B94" s="8" t="str">
        <f>IFERROR(__xludf.DUMMYFUNCTION("""COMPUTED_VALUE"""),"Artificial Reef")</f>
        <v>Artificial Reef</v>
      </c>
      <c r="C94" s="8" t="str">
        <f>IFERROR(__xludf.DUMMYFUNCTION("""COMPUTED_VALUE"""),"Mineral Accretion")</f>
        <v>Mineral Accretion</v>
      </c>
      <c r="D94" s="8" t="str">
        <f>IFERROR(__xludf.DUMMYFUNCTION("""COMPUTED_VALUE"""),"Rubble Stabilisation")</f>
        <v>Rubble Stabilisation</v>
      </c>
      <c r="E94" s="8" t="str">
        <f>IFERROR(__xludf.DUMMYFUNCTION("""COMPUTED_VALUE"""),"Algal Removal")</f>
        <v>Algal Removal</v>
      </c>
      <c r="F94" s="8"/>
      <c r="G94" s="8"/>
      <c r="H94" s="8"/>
    </row>
    <row r="95">
      <c r="A95" s="8" t="s">
        <v>150</v>
      </c>
      <c r="B95" s="8" t="str">
        <f>IFERROR(__xludf.DUMMYFUNCTION("""COMPUTED_VALUE"""),"Artificial Reef")</f>
        <v>Artificial Reef</v>
      </c>
      <c r="C95" s="8" t="str">
        <f>IFERROR(__xludf.DUMMYFUNCTION("""COMPUTED_VALUE"""),"Mineral Accretion")</f>
        <v>Mineral Accretion</v>
      </c>
      <c r="D95" s="8" t="str">
        <f>IFERROR(__xludf.DUMMYFUNCTION("""COMPUTED_VALUE"""),"Rubble Stabilisation")</f>
        <v>Rubble Stabilisation</v>
      </c>
      <c r="E95" s="8" t="str">
        <f>IFERROR(__xludf.DUMMYFUNCTION("""COMPUTED_VALUE"""),"Algal Removal")</f>
        <v>Algal Removal</v>
      </c>
      <c r="F95" s="8"/>
      <c r="G95" s="8"/>
      <c r="H95" s="8"/>
    </row>
    <row r="96">
      <c r="A96" s="8" t="s">
        <v>150</v>
      </c>
      <c r="B96" s="8" t="str">
        <f>IFERROR(__xludf.DUMMYFUNCTION("""COMPUTED_VALUE"""),"Artificial Reef")</f>
        <v>Artificial Reef</v>
      </c>
      <c r="C96" s="8" t="str">
        <f>IFERROR(__xludf.DUMMYFUNCTION("""COMPUTED_VALUE"""),"Mineral Accretion")</f>
        <v>Mineral Accretion</v>
      </c>
      <c r="D96" s="8" t="str">
        <f>IFERROR(__xludf.DUMMYFUNCTION("""COMPUTED_VALUE"""),"Rubble Stabilisation")</f>
        <v>Rubble Stabilisation</v>
      </c>
      <c r="E96" s="8" t="str">
        <f>IFERROR(__xludf.DUMMYFUNCTION("""COMPUTED_VALUE"""),"Algal Removal")</f>
        <v>Algal Removal</v>
      </c>
      <c r="F96" s="8"/>
      <c r="G96" s="8"/>
      <c r="H96" s="8"/>
    </row>
    <row r="97">
      <c r="A97" s="8" t="s">
        <v>150</v>
      </c>
      <c r="B97" s="8" t="str">
        <f>IFERROR(__xludf.DUMMYFUNCTION("""COMPUTED_VALUE"""),"Artificial Reef")</f>
        <v>Artificial Reef</v>
      </c>
      <c r="C97" s="8" t="str">
        <f>IFERROR(__xludf.DUMMYFUNCTION("""COMPUTED_VALUE"""),"Mineral Accretion")</f>
        <v>Mineral Accretion</v>
      </c>
      <c r="D97" s="8" t="str">
        <f>IFERROR(__xludf.DUMMYFUNCTION("""COMPUTED_VALUE"""),"Rubble Stabilisation")</f>
        <v>Rubble Stabilisation</v>
      </c>
      <c r="E97" s="8" t="str">
        <f>IFERROR(__xludf.DUMMYFUNCTION("""COMPUTED_VALUE"""),"Algal Removal")</f>
        <v>Algal Removal</v>
      </c>
      <c r="F97" s="8"/>
      <c r="G97" s="8"/>
      <c r="H97" s="8"/>
    </row>
    <row r="98">
      <c r="A98" s="8" t="s">
        <v>150</v>
      </c>
      <c r="B98" s="8" t="str">
        <f>IFERROR(__xludf.DUMMYFUNCTION("""COMPUTED_VALUE"""),"Artificial Reef")</f>
        <v>Artificial Reef</v>
      </c>
      <c r="C98" s="8" t="str">
        <f>IFERROR(__xludf.DUMMYFUNCTION("""COMPUTED_VALUE"""),"Mineral Accretion")</f>
        <v>Mineral Accretion</v>
      </c>
      <c r="D98" s="8" t="str">
        <f>IFERROR(__xludf.DUMMYFUNCTION("""COMPUTED_VALUE"""),"Rubble Stabilisation")</f>
        <v>Rubble Stabilisation</v>
      </c>
      <c r="E98" s="8" t="str">
        <f>IFERROR(__xludf.DUMMYFUNCTION("""COMPUTED_VALUE"""),"Algal Removal")</f>
        <v>Algal Removal</v>
      </c>
      <c r="F98" s="8"/>
      <c r="G98" s="8"/>
      <c r="H98" s="8"/>
    </row>
    <row r="99">
      <c r="A99" s="8" t="s">
        <v>150</v>
      </c>
      <c r="B99" s="8" t="str">
        <f>IFERROR(__xludf.DUMMYFUNCTION("""COMPUTED_VALUE"""),"Artificial Reef")</f>
        <v>Artificial Reef</v>
      </c>
      <c r="C99" s="8" t="str">
        <f>IFERROR(__xludf.DUMMYFUNCTION("""COMPUTED_VALUE"""),"Mineral Accretion")</f>
        <v>Mineral Accretion</v>
      </c>
      <c r="D99" s="8" t="str">
        <f>IFERROR(__xludf.DUMMYFUNCTION("""COMPUTED_VALUE"""),"Rubble Stabilisation")</f>
        <v>Rubble Stabilisation</v>
      </c>
      <c r="E99" s="8" t="str">
        <f>IFERROR(__xludf.DUMMYFUNCTION("""COMPUTED_VALUE"""),"Algal Removal")</f>
        <v>Algal Removal</v>
      </c>
      <c r="F99" s="8"/>
      <c r="G99" s="8"/>
      <c r="H99" s="8"/>
    </row>
    <row r="100">
      <c r="A100" s="8" t="s">
        <v>150</v>
      </c>
      <c r="B100" s="8" t="str">
        <f>IFERROR(__xludf.DUMMYFUNCTION("""COMPUTED_VALUE"""),"Artificial Reef")</f>
        <v>Artificial Reef</v>
      </c>
      <c r="C100" s="8" t="str">
        <f>IFERROR(__xludf.DUMMYFUNCTION("""COMPUTED_VALUE"""),"Mineral Accretion")</f>
        <v>Mineral Accretion</v>
      </c>
      <c r="D100" s="8" t="str">
        <f>IFERROR(__xludf.DUMMYFUNCTION("""COMPUTED_VALUE"""),"Rubble Stabilisation")</f>
        <v>Rubble Stabilisation</v>
      </c>
      <c r="E100" s="8" t="str">
        <f>IFERROR(__xludf.DUMMYFUNCTION("""COMPUTED_VALUE"""),"Algal Removal")</f>
        <v>Algal Removal</v>
      </c>
      <c r="F100" s="8"/>
      <c r="G100" s="8"/>
      <c r="H100" s="8"/>
    </row>
    <row r="101">
      <c r="A101" s="8" t="s">
        <v>150</v>
      </c>
      <c r="B101" s="8" t="str">
        <f>IFERROR(__xludf.DUMMYFUNCTION("""COMPUTED_VALUE"""),"Artificial Reef")</f>
        <v>Artificial Reef</v>
      </c>
      <c r="C101" s="8" t="str">
        <f>IFERROR(__xludf.DUMMYFUNCTION("""COMPUTED_VALUE"""),"Mineral Accretion")</f>
        <v>Mineral Accretion</v>
      </c>
      <c r="D101" s="8" t="str">
        <f>IFERROR(__xludf.DUMMYFUNCTION("""COMPUTED_VALUE"""),"Rubble Stabilisation")</f>
        <v>Rubble Stabilisation</v>
      </c>
      <c r="E101" s="8" t="str">
        <f>IFERROR(__xludf.DUMMYFUNCTION("""COMPUTED_VALUE"""),"Algal Removal")</f>
        <v>Algal Removal</v>
      </c>
      <c r="F101" s="8"/>
      <c r="G101" s="8"/>
      <c r="H101" s="8"/>
    </row>
    <row r="102">
      <c r="A102" s="8" t="s">
        <v>150</v>
      </c>
      <c r="B102" s="8" t="str">
        <f>IFERROR(__xludf.DUMMYFUNCTION("""COMPUTED_VALUE"""),"Artificial Reef")</f>
        <v>Artificial Reef</v>
      </c>
      <c r="C102" s="8" t="str">
        <f>IFERROR(__xludf.DUMMYFUNCTION("""COMPUTED_VALUE"""),"Mineral Accretion")</f>
        <v>Mineral Accretion</v>
      </c>
      <c r="D102" s="8" t="str">
        <f>IFERROR(__xludf.DUMMYFUNCTION("""COMPUTED_VALUE"""),"Rubble Stabilisation")</f>
        <v>Rubble Stabilisation</v>
      </c>
      <c r="E102" s="8" t="str">
        <f>IFERROR(__xludf.DUMMYFUNCTION("""COMPUTED_VALUE"""),"Algal Removal")</f>
        <v>Algal Removal</v>
      </c>
      <c r="F102" s="8"/>
      <c r="G102" s="8"/>
      <c r="H102" s="8"/>
    </row>
    <row r="103">
      <c r="A103" s="8" t="s">
        <v>150</v>
      </c>
      <c r="B103" s="8" t="str">
        <f>IFERROR(__xludf.DUMMYFUNCTION("""COMPUTED_VALUE"""),"Artificial Reef")</f>
        <v>Artificial Reef</v>
      </c>
      <c r="C103" s="8" t="str">
        <f>IFERROR(__xludf.DUMMYFUNCTION("""COMPUTED_VALUE"""),"Mineral Accretion")</f>
        <v>Mineral Accretion</v>
      </c>
      <c r="D103" s="8" t="str">
        <f>IFERROR(__xludf.DUMMYFUNCTION("""COMPUTED_VALUE"""),"Rubble Stabilisation")</f>
        <v>Rubble Stabilisation</v>
      </c>
      <c r="E103" s="8" t="str">
        <f>IFERROR(__xludf.DUMMYFUNCTION("""COMPUTED_VALUE"""),"Algal Removal")</f>
        <v>Algal Removal</v>
      </c>
      <c r="F103" s="8"/>
      <c r="G103" s="8"/>
      <c r="H103" s="8"/>
    </row>
    <row r="104">
      <c r="A104" s="8" t="s">
        <v>150</v>
      </c>
      <c r="B104" s="8" t="str">
        <f>IFERROR(__xludf.DUMMYFUNCTION("""COMPUTED_VALUE"""),"Artificial Reef")</f>
        <v>Artificial Reef</v>
      </c>
      <c r="C104" s="8" t="str">
        <f>IFERROR(__xludf.DUMMYFUNCTION("""COMPUTED_VALUE"""),"Mineral Accretion")</f>
        <v>Mineral Accretion</v>
      </c>
      <c r="D104" s="8" t="str">
        <f>IFERROR(__xludf.DUMMYFUNCTION("""COMPUTED_VALUE"""),"Rubble Stabilisation")</f>
        <v>Rubble Stabilisation</v>
      </c>
      <c r="E104" s="8" t="str">
        <f>IFERROR(__xludf.DUMMYFUNCTION("""COMPUTED_VALUE"""),"Algal Removal")</f>
        <v>Algal Removal</v>
      </c>
      <c r="F104" s="8"/>
      <c r="G104" s="8"/>
      <c r="H104" s="8"/>
    </row>
    <row r="105">
      <c r="A105" s="8" t="s">
        <v>177</v>
      </c>
      <c r="B105" s="8" t="str">
        <f>IFERROR(__xludf.DUMMYFUNCTION("""COMPUTED_VALUE"""),"Direct Transplantation")</f>
        <v>Direct Transplantation</v>
      </c>
      <c r="C105" s="8" t="str">
        <f>IFERROR(__xludf.DUMMYFUNCTION("""COMPUTED_VALUE"""),"Coral Gardening")</f>
        <v>Coral Gardening</v>
      </c>
      <c r="D105" s="8" t="str">
        <f>IFERROR(__xludf.DUMMYFUNCTION("""COMPUTED_VALUE"""),"Microfragmentation")</f>
        <v>Microfragmentation</v>
      </c>
      <c r="E105" s="8"/>
      <c r="F105" s="8"/>
      <c r="G105" s="8"/>
      <c r="H105" s="8"/>
    </row>
    <row r="106">
      <c r="A106" s="8" t="s">
        <v>177</v>
      </c>
      <c r="B106" s="8" t="str">
        <f>IFERROR(__xludf.DUMMYFUNCTION("""COMPUTED_VALUE"""),"Direct Transplantation")</f>
        <v>Direct Transplantation</v>
      </c>
      <c r="C106" s="8" t="str">
        <f>IFERROR(__xludf.DUMMYFUNCTION("""COMPUTED_VALUE"""),"Coral Gardening")</f>
        <v>Coral Gardening</v>
      </c>
      <c r="D106" s="8" t="str">
        <f>IFERROR(__xludf.DUMMYFUNCTION("""COMPUTED_VALUE"""),"Microfragmentation")</f>
        <v>Microfragmentation</v>
      </c>
      <c r="E106" s="8"/>
      <c r="F106" s="8"/>
      <c r="G106" s="8"/>
      <c r="H106" s="8"/>
    </row>
    <row r="107">
      <c r="A107" s="8" t="s">
        <v>150</v>
      </c>
      <c r="B107" s="8" t="str">
        <f>IFERROR(__xludf.DUMMYFUNCTION("""COMPUTED_VALUE"""),"Artificial Reef")</f>
        <v>Artificial Reef</v>
      </c>
      <c r="C107" s="8" t="str">
        <f>IFERROR(__xludf.DUMMYFUNCTION("""COMPUTED_VALUE"""),"Mineral Accretion")</f>
        <v>Mineral Accretion</v>
      </c>
      <c r="D107" s="8" t="str">
        <f>IFERROR(__xludf.DUMMYFUNCTION("""COMPUTED_VALUE"""),"Rubble Stabilisation")</f>
        <v>Rubble Stabilisation</v>
      </c>
      <c r="E107" s="8" t="str">
        <f>IFERROR(__xludf.DUMMYFUNCTION("""COMPUTED_VALUE"""),"Algal Removal")</f>
        <v>Algal Removal</v>
      </c>
      <c r="F107" s="8"/>
      <c r="G107" s="8"/>
      <c r="H107" s="8"/>
    </row>
    <row r="108">
      <c r="A108" s="8" t="s">
        <v>150</v>
      </c>
      <c r="B108" s="8" t="str">
        <f>IFERROR(__xludf.DUMMYFUNCTION("""COMPUTED_VALUE"""),"Artificial Reef")</f>
        <v>Artificial Reef</v>
      </c>
      <c r="C108" s="8" t="str">
        <f>IFERROR(__xludf.DUMMYFUNCTION("""COMPUTED_VALUE"""),"Mineral Accretion")</f>
        <v>Mineral Accretion</v>
      </c>
      <c r="D108" s="8" t="str">
        <f>IFERROR(__xludf.DUMMYFUNCTION("""COMPUTED_VALUE"""),"Rubble Stabilisation")</f>
        <v>Rubble Stabilisation</v>
      </c>
      <c r="E108" s="8" t="str">
        <f>IFERROR(__xludf.DUMMYFUNCTION("""COMPUTED_VALUE"""),"Algal Removal")</f>
        <v>Algal Removal</v>
      </c>
      <c r="F108" s="8"/>
      <c r="G108" s="8"/>
      <c r="H108" s="8"/>
    </row>
    <row r="109">
      <c r="A109" s="8" t="s">
        <v>263</v>
      </c>
      <c r="B109" s="8" t="str">
        <f>IFERROR(__xludf.DUMMYFUNCTION("""COMPUTED_VALUE"""),"Direct Transplantation")</f>
        <v>Direct Transplantation</v>
      </c>
      <c r="C109" s="8" t="str">
        <f>IFERROR(__xludf.DUMMYFUNCTION("""COMPUTED_VALUE"""),"Coral Gardening")</f>
        <v>Coral Gardening</v>
      </c>
      <c r="D109" s="8" t="str">
        <f>IFERROR(__xludf.DUMMYFUNCTION("""COMPUTED_VALUE"""),"Microfragmentation")</f>
        <v>Microfragmentation</v>
      </c>
      <c r="E109" s="8" t="str">
        <f>IFERROR(__xludf.DUMMYFUNCTION("""COMPUTED_VALUE"""),"Artificial Reef")</f>
        <v>Artificial Reef</v>
      </c>
      <c r="F109" s="8" t="str">
        <f>IFERROR(__xludf.DUMMYFUNCTION("""COMPUTED_VALUE"""),"Mineral Accretion")</f>
        <v>Mineral Accretion</v>
      </c>
      <c r="G109" s="8" t="str">
        <f>IFERROR(__xludf.DUMMYFUNCTION("""COMPUTED_VALUE"""),"Rubble Stabilisation")</f>
        <v>Rubble Stabilisation</v>
      </c>
      <c r="H109" s="8" t="str">
        <f>IFERROR(__xludf.DUMMYFUNCTION("""COMPUTED_VALUE"""),"Algal Removal")</f>
        <v>Algal Removal</v>
      </c>
    </row>
    <row r="110">
      <c r="A110" s="8" t="s">
        <v>263</v>
      </c>
      <c r="B110" s="8" t="str">
        <f>IFERROR(__xludf.DUMMYFUNCTION("""COMPUTED_VALUE"""),"Direct Transplantation")</f>
        <v>Direct Transplantation</v>
      </c>
      <c r="C110" s="8" t="str">
        <f>IFERROR(__xludf.DUMMYFUNCTION("""COMPUTED_VALUE"""),"Coral Gardening")</f>
        <v>Coral Gardening</v>
      </c>
      <c r="D110" s="8" t="str">
        <f>IFERROR(__xludf.DUMMYFUNCTION("""COMPUTED_VALUE"""),"Microfragmentation")</f>
        <v>Microfragmentation</v>
      </c>
      <c r="E110" s="8" t="str">
        <f>IFERROR(__xludf.DUMMYFUNCTION("""COMPUTED_VALUE"""),"Artificial Reef")</f>
        <v>Artificial Reef</v>
      </c>
      <c r="F110" s="8" t="str">
        <f>IFERROR(__xludf.DUMMYFUNCTION("""COMPUTED_VALUE"""),"Mineral Accretion")</f>
        <v>Mineral Accretion</v>
      </c>
      <c r="G110" s="8" t="str">
        <f>IFERROR(__xludf.DUMMYFUNCTION("""COMPUTED_VALUE"""),"Rubble Stabilisation")</f>
        <v>Rubble Stabilisation</v>
      </c>
      <c r="H110" s="8" t="str">
        <f>IFERROR(__xludf.DUMMYFUNCTION("""COMPUTED_VALUE"""),"Algal Removal")</f>
        <v>Algal Removal</v>
      </c>
    </row>
    <row r="111">
      <c r="A111" s="8" t="s">
        <v>263</v>
      </c>
      <c r="B111" s="8" t="str">
        <f>IFERROR(__xludf.DUMMYFUNCTION("""COMPUTED_VALUE"""),"Direct Transplantation")</f>
        <v>Direct Transplantation</v>
      </c>
      <c r="C111" s="8" t="str">
        <f>IFERROR(__xludf.DUMMYFUNCTION("""COMPUTED_VALUE"""),"Coral Gardening")</f>
        <v>Coral Gardening</v>
      </c>
      <c r="D111" s="8" t="str">
        <f>IFERROR(__xludf.DUMMYFUNCTION("""COMPUTED_VALUE"""),"Microfragmentation")</f>
        <v>Microfragmentation</v>
      </c>
      <c r="E111" s="8" t="str">
        <f>IFERROR(__xludf.DUMMYFUNCTION("""COMPUTED_VALUE"""),"Artificial Reef")</f>
        <v>Artificial Reef</v>
      </c>
      <c r="F111" s="8" t="str">
        <f>IFERROR(__xludf.DUMMYFUNCTION("""COMPUTED_VALUE"""),"Mineral Accretion")</f>
        <v>Mineral Accretion</v>
      </c>
      <c r="G111" s="8" t="str">
        <f>IFERROR(__xludf.DUMMYFUNCTION("""COMPUTED_VALUE"""),"Rubble Stabilisation")</f>
        <v>Rubble Stabilisation</v>
      </c>
      <c r="H111" s="8" t="str">
        <f>IFERROR(__xludf.DUMMYFUNCTION("""COMPUTED_VALUE"""),"Algal Removal")</f>
        <v>Algal Removal</v>
      </c>
    </row>
    <row r="112">
      <c r="A112" s="8" t="s">
        <v>263</v>
      </c>
      <c r="B112" s="8" t="str">
        <f>IFERROR(__xludf.DUMMYFUNCTION("""COMPUTED_VALUE"""),"Direct Transplantation")</f>
        <v>Direct Transplantation</v>
      </c>
      <c r="C112" s="8" t="str">
        <f>IFERROR(__xludf.DUMMYFUNCTION("""COMPUTED_VALUE"""),"Coral Gardening")</f>
        <v>Coral Gardening</v>
      </c>
      <c r="D112" s="8" t="str">
        <f>IFERROR(__xludf.DUMMYFUNCTION("""COMPUTED_VALUE"""),"Microfragmentation")</f>
        <v>Microfragmentation</v>
      </c>
      <c r="E112" s="8" t="str">
        <f>IFERROR(__xludf.DUMMYFUNCTION("""COMPUTED_VALUE"""),"Artificial Reef")</f>
        <v>Artificial Reef</v>
      </c>
      <c r="F112" s="8" t="str">
        <f>IFERROR(__xludf.DUMMYFUNCTION("""COMPUTED_VALUE"""),"Mineral Accretion")</f>
        <v>Mineral Accretion</v>
      </c>
      <c r="G112" s="8" t="str">
        <f>IFERROR(__xludf.DUMMYFUNCTION("""COMPUTED_VALUE"""),"Rubble Stabilisation")</f>
        <v>Rubble Stabilisation</v>
      </c>
      <c r="H112" s="8" t="str">
        <f>IFERROR(__xludf.DUMMYFUNCTION("""COMPUTED_VALUE"""),"Algal Removal")</f>
        <v>Algal Removal</v>
      </c>
    </row>
    <row r="113">
      <c r="A113" s="8" t="s">
        <v>263</v>
      </c>
      <c r="B113" s="8" t="str">
        <f>IFERROR(__xludf.DUMMYFUNCTION("""COMPUTED_VALUE"""),"Direct Transplantation")</f>
        <v>Direct Transplantation</v>
      </c>
      <c r="C113" s="8" t="str">
        <f>IFERROR(__xludf.DUMMYFUNCTION("""COMPUTED_VALUE"""),"Coral Gardening")</f>
        <v>Coral Gardening</v>
      </c>
      <c r="D113" s="8" t="str">
        <f>IFERROR(__xludf.DUMMYFUNCTION("""COMPUTED_VALUE"""),"Microfragmentation")</f>
        <v>Microfragmentation</v>
      </c>
      <c r="E113" s="8" t="str">
        <f>IFERROR(__xludf.DUMMYFUNCTION("""COMPUTED_VALUE"""),"Artificial Reef")</f>
        <v>Artificial Reef</v>
      </c>
      <c r="F113" s="8" t="str">
        <f>IFERROR(__xludf.DUMMYFUNCTION("""COMPUTED_VALUE"""),"Mineral Accretion")</f>
        <v>Mineral Accretion</v>
      </c>
      <c r="G113" s="8" t="str">
        <f>IFERROR(__xludf.DUMMYFUNCTION("""COMPUTED_VALUE"""),"Rubble Stabilisation")</f>
        <v>Rubble Stabilisation</v>
      </c>
      <c r="H113" s="8" t="str">
        <f>IFERROR(__xludf.DUMMYFUNCTION("""COMPUTED_VALUE"""),"Algal Removal")</f>
        <v>Algal Removal</v>
      </c>
    </row>
    <row r="114">
      <c r="A114" s="8" t="s">
        <v>263</v>
      </c>
      <c r="B114" s="8" t="str">
        <f>IFERROR(__xludf.DUMMYFUNCTION("""COMPUTED_VALUE"""),"Direct Transplantation")</f>
        <v>Direct Transplantation</v>
      </c>
      <c r="C114" s="8" t="str">
        <f>IFERROR(__xludf.DUMMYFUNCTION("""COMPUTED_VALUE"""),"Coral Gardening")</f>
        <v>Coral Gardening</v>
      </c>
      <c r="D114" s="8" t="str">
        <f>IFERROR(__xludf.DUMMYFUNCTION("""COMPUTED_VALUE"""),"Microfragmentation")</f>
        <v>Microfragmentation</v>
      </c>
      <c r="E114" s="8" t="str">
        <f>IFERROR(__xludf.DUMMYFUNCTION("""COMPUTED_VALUE"""),"Artificial Reef")</f>
        <v>Artificial Reef</v>
      </c>
      <c r="F114" s="8" t="str">
        <f>IFERROR(__xludf.DUMMYFUNCTION("""COMPUTED_VALUE"""),"Mineral Accretion")</f>
        <v>Mineral Accretion</v>
      </c>
      <c r="G114" s="8" t="str">
        <f>IFERROR(__xludf.DUMMYFUNCTION("""COMPUTED_VALUE"""),"Rubble Stabilisation")</f>
        <v>Rubble Stabilisation</v>
      </c>
      <c r="H114" s="8" t="str">
        <f>IFERROR(__xludf.DUMMYFUNCTION("""COMPUTED_VALUE"""),"Algal Removal")</f>
        <v>Algal Removal</v>
      </c>
    </row>
    <row r="115">
      <c r="A115" s="8" t="s">
        <v>263</v>
      </c>
      <c r="B115" s="8" t="str">
        <f>IFERROR(__xludf.DUMMYFUNCTION("""COMPUTED_VALUE"""),"Direct Transplantation")</f>
        <v>Direct Transplantation</v>
      </c>
      <c r="C115" s="8" t="str">
        <f>IFERROR(__xludf.DUMMYFUNCTION("""COMPUTED_VALUE"""),"Coral Gardening")</f>
        <v>Coral Gardening</v>
      </c>
      <c r="D115" s="8" t="str">
        <f>IFERROR(__xludf.DUMMYFUNCTION("""COMPUTED_VALUE"""),"Microfragmentation")</f>
        <v>Microfragmentation</v>
      </c>
      <c r="E115" s="8" t="str">
        <f>IFERROR(__xludf.DUMMYFUNCTION("""COMPUTED_VALUE"""),"Artificial Reef")</f>
        <v>Artificial Reef</v>
      </c>
      <c r="F115" s="8" t="str">
        <f>IFERROR(__xludf.DUMMYFUNCTION("""COMPUTED_VALUE"""),"Mineral Accretion")</f>
        <v>Mineral Accretion</v>
      </c>
      <c r="G115" s="8" t="str">
        <f>IFERROR(__xludf.DUMMYFUNCTION("""COMPUTED_VALUE"""),"Rubble Stabilisation")</f>
        <v>Rubble Stabilisation</v>
      </c>
      <c r="H115" s="8" t="str">
        <f>IFERROR(__xludf.DUMMYFUNCTION("""COMPUTED_VALUE"""),"Algal Removal")</f>
        <v>Algal Removal</v>
      </c>
    </row>
    <row r="116">
      <c r="A116" s="8" t="s">
        <v>263</v>
      </c>
      <c r="B116" s="8" t="str">
        <f>IFERROR(__xludf.DUMMYFUNCTION("""COMPUTED_VALUE"""),"Direct Transplantation")</f>
        <v>Direct Transplantation</v>
      </c>
      <c r="C116" s="8" t="str">
        <f>IFERROR(__xludf.DUMMYFUNCTION("""COMPUTED_VALUE"""),"Coral Gardening")</f>
        <v>Coral Gardening</v>
      </c>
      <c r="D116" s="8" t="str">
        <f>IFERROR(__xludf.DUMMYFUNCTION("""COMPUTED_VALUE"""),"Microfragmentation")</f>
        <v>Microfragmentation</v>
      </c>
      <c r="E116" s="8" t="str">
        <f>IFERROR(__xludf.DUMMYFUNCTION("""COMPUTED_VALUE"""),"Artificial Reef")</f>
        <v>Artificial Reef</v>
      </c>
      <c r="F116" s="8" t="str">
        <f>IFERROR(__xludf.DUMMYFUNCTION("""COMPUTED_VALUE"""),"Mineral Accretion")</f>
        <v>Mineral Accretion</v>
      </c>
      <c r="G116" s="8" t="str">
        <f>IFERROR(__xludf.DUMMYFUNCTION("""COMPUTED_VALUE"""),"Rubble Stabilisation")</f>
        <v>Rubble Stabilisation</v>
      </c>
      <c r="H116" s="8" t="str">
        <f>IFERROR(__xludf.DUMMYFUNCTION("""COMPUTED_VALUE"""),"Algal Removal")</f>
        <v>Algal Removal</v>
      </c>
    </row>
    <row r="117">
      <c r="A117" s="8" t="s">
        <v>263</v>
      </c>
      <c r="B117" s="8" t="str">
        <f>IFERROR(__xludf.DUMMYFUNCTION("""COMPUTED_VALUE"""),"Direct Transplantation")</f>
        <v>Direct Transplantation</v>
      </c>
      <c r="C117" s="8" t="str">
        <f>IFERROR(__xludf.DUMMYFUNCTION("""COMPUTED_VALUE"""),"Coral Gardening")</f>
        <v>Coral Gardening</v>
      </c>
      <c r="D117" s="8" t="str">
        <f>IFERROR(__xludf.DUMMYFUNCTION("""COMPUTED_VALUE"""),"Microfragmentation")</f>
        <v>Microfragmentation</v>
      </c>
      <c r="E117" s="8" t="str">
        <f>IFERROR(__xludf.DUMMYFUNCTION("""COMPUTED_VALUE"""),"Artificial Reef")</f>
        <v>Artificial Reef</v>
      </c>
      <c r="F117" s="8" t="str">
        <f>IFERROR(__xludf.DUMMYFUNCTION("""COMPUTED_VALUE"""),"Mineral Accretion")</f>
        <v>Mineral Accretion</v>
      </c>
      <c r="G117" s="8" t="str">
        <f>IFERROR(__xludf.DUMMYFUNCTION("""COMPUTED_VALUE"""),"Rubble Stabilisation")</f>
        <v>Rubble Stabilisation</v>
      </c>
      <c r="H117" s="8" t="str">
        <f>IFERROR(__xludf.DUMMYFUNCTION("""COMPUTED_VALUE"""),"Algal Removal")</f>
        <v>Algal Removal</v>
      </c>
    </row>
    <row r="118">
      <c r="A118" s="8" t="s">
        <v>263</v>
      </c>
      <c r="B118" s="8" t="str">
        <f>IFERROR(__xludf.DUMMYFUNCTION("""COMPUTED_VALUE"""),"Direct Transplantation")</f>
        <v>Direct Transplantation</v>
      </c>
      <c r="C118" s="8" t="str">
        <f>IFERROR(__xludf.DUMMYFUNCTION("""COMPUTED_VALUE"""),"Coral Gardening")</f>
        <v>Coral Gardening</v>
      </c>
      <c r="D118" s="8" t="str">
        <f>IFERROR(__xludf.DUMMYFUNCTION("""COMPUTED_VALUE"""),"Microfragmentation")</f>
        <v>Microfragmentation</v>
      </c>
      <c r="E118" s="8" t="str">
        <f>IFERROR(__xludf.DUMMYFUNCTION("""COMPUTED_VALUE"""),"Artificial Reef")</f>
        <v>Artificial Reef</v>
      </c>
      <c r="F118" s="8" t="str">
        <f>IFERROR(__xludf.DUMMYFUNCTION("""COMPUTED_VALUE"""),"Mineral Accretion")</f>
        <v>Mineral Accretion</v>
      </c>
      <c r="G118" s="8" t="str">
        <f>IFERROR(__xludf.DUMMYFUNCTION("""COMPUTED_VALUE"""),"Rubble Stabilisation")</f>
        <v>Rubble Stabilisation</v>
      </c>
      <c r="H118" s="8" t="str">
        <f>IFERROR(__xludf.DUMMYFUNCTION("""COMPUTED_VALUE"""),"Algal Removal")</f>
        <v>Algal Removal</v>
      </c>
    </row>
    <row r="119">
      <c r="A119" s="8" t="s">
        <v>263</v>
      </c>
      <c r="B119" s="8" t="str">
        <f>IFERROR(__xludf.DUMMYFUNCTION("""COMPUTED_VALUE"""),"Direct Transplantation")</f>
        <v>Direct Transplantation</v>
      </c>
      <c r="C119" s="8" t="str">
        <f>IFERROR(__xludf.DUMMYFUNCTION("""COMPUTED_VALUE"""),"Coral Gardening")</f>
        <v>Coral Gardening</v>
      </c>
      <c r="D119" s="8" t="str">
        <f>IFERROR(__xludf.DUMMYFUNCTION("""COMPUTED_VALUE"""),"Microfragmentation")</f>
        <v>Microfragmentation</v>
      </c>
      <c r="E119" s="8" t="str">
        <f>IFERROR(__xludf.DUMMYFUNCTION("""COMPUTED_VALUE"""),"Artificial Reef")</f>
        <v>Artificial Reef</v>
      </c>
      <c r="F119" s="8" t="str">
        <f>IFERROR(__xludf.DUMMYFUNCTION("""COMPUTED_VALUE"""),"Mineral Accretion")</f>
        <v>Mineral Accretion</v>
      </c>
      <c r="G119" s="8" t="str">
        <f>IFERROR(__xludf.DUMMYFUNCTION("""COMPUTED_VALUE"""),"Rubble Stabilisation")</f>
        <v>Rubble Stabilisation</v>
      </c>
      <c r="H119" s="8" t="str">
        <f>IFERROR(__xludf.DUMMYFUNCTION("""COMPUTED_VALUE"""),"Algal Removal")</f>
        <v>Algal Removal</v>
      </c>
    </row>
    <row r="120">
      <c r="A120" s="8" t="s">
        <v>263</v>
      </c>
      <c r="B120" s="8" t="str">
        <f>IFERROR(__xludf.DUMMYFUNCTION("""COMPUTED_VALUE"""),"Direct Transplantation")</f>
        <v>Direct Transplantation</v>
      </c>
      <c r="C120" s="8" t="str">
        <f>IFERROR(__xludf.DUMMYFUNCTION("""COMPUTED_VALUE"""),"Coral Gardening")</f>
        <v>Coral Gardening</v>
      </c>
      <c r="D120" s="8" t="str">
        <f>IFERROR(__xludf.DUMMYFUNCTION("""COMPUTED_VALUE"""),"Microfragmentation")</f>
        <v>Microfragmentation</v>
      </c>
      <c r="E120" s="8" t="str">
        <f>IFERROR(__xludf.DUMMYFUNCTION("""COMPUTED_VALUE"""),"Artificial Reef")</f>
        <v>Artificial Reef</v>
      </c>
      <c r="F120" s="8" t="str">
        <f>IFERROR(__xludf.DUMMYFUNCTION("""COMPUTED_VALUE"""),"Mineral Accretion")</f>
        <v>Mineral Accretion</v>
      </c>
      <c r="G120" s="8" t="str">
        <f>IFERROR(__xludf.DUMMYFUNCTION("""COMPUTED_VALUE"""),"Rubble Stabilisation")</f>
        <v>Rubble Stabilisation</v>
      </c>
      <c r="H120" s="8" t="str">
        <f>IFERROR(__xludf.DUMMYFUNCTION("""COMPUTED_VALUE"""),"Algal Removal")</f>
        <v>Algal Removal</v>
      </c>
    </row>
    <row r="121">
      <c r="A121" s="8" t="s">
        <v>263</v>
      </c>
      <c r="B121" s="8" t="str">
        <f>IFERROR(__xludf.DUMMYFUNCTION("""COMPUTED_VALUE"""),"Direct Transplantation")</f>
        <v>Direct Transplantation</v>
      </c>
      <c r="C121" s="8" t="str">
        <f>IFERROR(__xludf.DUMMYFUNCTION("""COMPUTED_VALUE"""),"Coral Gardening")</f>
        <v>Coral Gardening</v>
      </c>
      <c r="D121" s="8" t="str">
        <f>IFERROR(__xludf.DUMMYFUNCTION("""COMPUTED_VALUE"""),"Microfragmentation")</f>
        <v>Microfragmentation</v>
      </c>
      <c r="E121" s="8" t="str">
        <f>IFERROR(__xludf.DUMMYFUNCTION("""COMPUTED_VALUE"""),"Artificial Reef")</f>
        <v>Artificial Reef</v>
      </c>
      <c r="F121" s="8" t="str">
        <f>IFERROR(__xludf.DUMMYFUNCTION("""COMPUTED_VALUE"""),"Mineral Accretion")</f>
        <v>Mineral Accretion</v>
      </c>
      <c r="G121" s="8" t="str">
        <f>IFERROR(__xludf.DUMMYFUNCTION("""COMPUTED_VALUE"""),"Rubble Stabilisation")</f>
        <v>Rubble Stabilisation</v>
      </c>
      <c r="H121" s="8" t="str">
        <f>IFERROR(__xludf.DUMMYFUNCTION("""COMPUTED_VALUE"""),"Algal Removal")</f>
        <v>Algal Removal</v>
      </c>
    </row>
    <row r="122">
      <c r="A122" s="8" t="s">
        <v>263</v>
      </c>
      <c r="B122" s="8" t="str">
        <f>IFERROR(__xludf.DUMMYFUNCTION("""COMPUTED_VALUE"""),"Direct Transplantation")</f>
        <v>Direct Transplantation</v>
      </c>
      <c r="C122" s="8" t="str">
        <f>IFERROR(__xludf.DUMMYFUNCTION("""COMPUTED_VALUE"""),"Coral Gardening")</f>
        <v>Coral Gardening</v>
      </c>
      <c r="D122" s="8" t="str">
        <f>IFERROR(__xludf.DUMMYFUNCTION("""COMPUTED_VALUE"""),"Microfragmentation")</f>
        <v>Microfragmentation</v>
      </c>
      <c r="E122" s="8" t="str">
        <f>IFERROR(__xludf.DUMMYFUNCTION("""COMPUTED_VALUE"""),"Artificial Reef")</f>
        <v>Artificial Reef</v>
      </c>
      <c r="F122" s="8" t="str">
        <f>IFERROR(__xludf.DUMMYFUNCTION("""COMPUTED_VALUE"""),"Mineral Accretion")</f>
        <v>Mineral Accretion</v>
      </c>
      <c r="G122" s="8" t="str">
        <f>IFERROR(__xludf.DUMMYFUNCTION("""COMPUTED_VALUE"""),"Rubble Stabilisation")</f>
        <v>Rubble Stabilisation</v>
      </c>
      <c r="H122" s="8" t="str">
        <f>IFERROR(__xludf.DUMMYFUNCTION("""COMPUTED_VALUE"""),"Algal Removal")</f>
        <v>Algal Removal</v>
      </c>
    </row>
    <row r="123">
      <c r="A123" s="8" t="s">
        <v>263</v>
      </c>
      <c r="B123" s="8" t="str">
        <f>IFERROR(__xludf.DUMMYFUNCTION("""COMPUTED_VALUE"""),"Direct Transplantation")</f>
        <v>Direct Transplantation</v>
      </c>
      <c r="C123" s="8" t="str">
        <f>IFERROR(__xludf.DUMMYFUNCTION("""COMPUTED_VALUE"""),"Coral Gardening")</f>
        <v>Coral Gardening</v>
      </c>
      <c r="D123" s="8" t="str">
        <f>IFERROR(__xludf.DUMMYFUNCTION("""COMPUTED_VALUE"""),"Microfragmentation")</f>
        <v>Microfragmentation</v>
      </c>
      <c r="E123" s="8" t="str">
        <f>IFERROR(__xludf.DUMMYFUNCTION("""COMPUTED_VALUE"""),"Artificial Reef")</f>
        <v>Artificial Reef</v>
      </c>
      <c r="F123" s="8" t="str">
        <f>IFERROR(__xludf.DUMMYFUNCTION("""COMPUTED_VALUE"""),"Mineral Accretion")</f>
        <v>Mineral Accretion</v>
      </c>
      <c r="G123" s="8" t="str">
        <f>IFERROR(__xludf.DUMMYFUNCTION("""COMPUTED_VALUE"""),"Rubble Stabilisation")</f>
        <v>Rubble Stabilisation</v>
      </c>
      <c r="H123" s="8" t="str">
        <f>IFERROR(__xludf.DUMMYFUNCTION("""COMPUTED_VALUE"""),"Algal Removal")</f>
        <v>Algal Removal</v>
      </c>
    </row>
    <row r="124">
      <c r="A124" s="8" t="s">
        <v>263</v>
      </c>
      <c r="B124" s="8" t="str">
        <f>IFERROR(__xludf.DUMMYFUNCTION("""COMPUTED_VALUE"""),"Direct Transplantation")</f>
        <v>Direct Transplantation</v>
      </c>
      <c r="C124" s="8" t="str">
        <f>IFERROR(__xludf.DUMMYFUNCTION("""COMPUTED_VALUE"""),"Coral Gardening")</f>
        <v>Coral Gardening</v>
      </c>
      <c r="D124" s="8" t="str">
        <f>IFERROR(__xludf.DUMMYFUNCTION("""COMPUTED_VALUE"""),"Microfragmentation")</f>
        <v>Microfragmentation</v>
      </c>
      <c r="E124" s="8" t="str">
        <f>IFERROR(__xludf.DUMMYFUNCTION("""COMPUTED_VALUE"""),"Artificial Reef")</f>
        <v>Artificial Reef</v>
      </c>
      <c r="F124" s="8" t="str">
        <f>IFERROR(__xludf.DUMMYFUNCTION("""COMPUTED_VALUE"""),"Mineral Accretion")</f>
        <v>Mineral Accretion</v>
      </c>
      <c r="G124" s="8" t="str">
        <f>IFERROR(__xludf.DUMMYFUNCTION("""COMPUTED_VALUE"""),"Rubble Stabilisation")</f>
        <v>Rubble Stabilisation</v>
      </c>
      <c r="H124" s="8" t="str">
        <f>IFERROR(__xludf.DUMMYFUNCTION("""COMPUTED_VALUE"""),"Algal Removal")</f>
        <v>Algal Removal</v>
      </c>
    </row>
    <row r="125">
      <c r="A125" s="8" t="s">
        <v>150</v>
      </c>
      <c r="B125" s="8" t="str">
        <f>IFERROR(__xludf.DUMMYFUNCTION("""COMPUTED_VALUE"""),"Artificial Reef")</f>
        <v>Artificial Reef</v>
      </c>
      <c r="C125" s="8" t="str">
        <f>IFERROR(__xludf.DUMMYFUNCTION("""COMPUTED_VALUE"""),"Mineral Accretion")</f>
        <v>Mineral Accretion</v>
      </c>
      <c r="D125" s="8" t="str">
        <f>IFERROR(__xludf.DUMMYFUNCTION("""COMPUTED_VALUE"""),"Rubble Stabilisation")</f>
        <v>Rubble Stabilisation</v>
      </c>
      <c r="E125" s="8" t="str">
        <f>IFERROR(__xludf.DUMMYFUNCTION("""COMPUTED_VALUE"""),"Algal Removal")</f>
        <v>Algal Removal</v>
      </c>
      <c r="F125" s="8"/>
      <c r="G125" s="8"/>
      <c r="H125" s="8"/>
    </row>
    <row r="126">
      <c r="A126" s="8" t="s">
        <v>150</v>
      </c>
      <c r="B126" s="8" t="str">
        <f>IFERROR(__xludf.DUMMYFUNCTION("""COMPUTED_VALUE"""),"Artificial Reef")</f>
        <v>Artificial Reef</v>
      </c>
      <c r="C126" s="8" t="str">
        <f>IFERROR(__xludf.DUMMYFUNCTION("""COMPUTED_VALUE"""),"Mineral Accretion")</f>
        <v>Mineral Accretion</v>
      </c>
      <c r="D126" s="8" t="str">
        <f>IFERROR(__xludf.DUMMYFUNCTION("""COMPUTED_VALUE"""),"Rubble Stabilisation")</f>
        <v>Rubble Stabilisation</v>
      </c>
      <c r="E126" s="8" t="str">
        <f>IFERROR(__xludf.DUMMYFUNCTION("""COMPUTED_VALUE"""),"Algal Removal")</f>
        <v>Algal Removal</v>
      </c>
      <c r="F126" s="8"/>
      <c r="G126" s="8"/>
      <c r="H126" s="8"/>
    </row>
    <row r="127">
      <c r="A127" s="8" t="s">
        <v>177</v>
      </c>
      <c r="B127" s="8" t="str">
        <f>IFERROR(__xludf.DUMMYFUNCTION("""COMPUTED_VALUE"""),"Direct Transplantation")</f>
        <v>Direct Transplantation</v>
      </c>
      <c r="C127" s="8" t="str">
        <f>IFERROR(__xludf.DUMMYFUNCTION("""COMPUTED_VALUE"""),"Coral Gardening")</f>
        <v>Coral Gardening</v>
      </c>
      <c r="D127" s="8" t="str">
        <f>IFERROR(__xludf.DUMMYFUNCTION("""COMPUTED_VALUE"""),"Microfragmentation")</f>
        <v>Microfragmentation</v>
      </c>
      <c r="E127" s="8"/>
      <c r="F127" s="8"/>
      <c r="G127" s="8"/>
      <c r="H127" s="8"/>
    </row>
    <row r="128">
      <c r="A128" s="8" t="s">
        <v>177</v>
      </c>
      <c r="B128" s="8" t="str">
        <f>IFERROR(__xludf.DUMMYFUNCTION("""COMPUTED_VALUE"""),"Direct Transplantation")</f>
        <v>Direct Transplantation</v>
      </c>
      <c r="C128" s="8" t="str">
        <f>IFERROR(__xludf.DUMMYFUNCTION("""COMPUTED_VALUE"""),"Coral Gardening")</f>
        <v>Coral Gardening</v>
      </c>
      <c r="D128" s="8" t="str">
        <f>IFERROR(__xludf.DUMMYFUNCTION("""COMPUTED_VALUE"""),"Microfragmentation")</f>
        <v>Microfragmentation</v>
      </c>
      <c r="E128" s="8"/>
      <c r="F128" s="8"/>
      <c r="G128" s="8"/>
      <c r="H128" s="8"/>
    </row>
    <row r="129">
      <c r="A129" s="8" t="s">
        <v>177</v>
      </c>
      <c r="B129" s="8" t="str">
        <f>IFERROR(__xludf.DUMMYFUNCTION("""COMPUTED_VALUE"""),"Direct Transplantation")</f>
        <v>Direct Transplantation</v>
      </c>
      <c r="C129" s="8" t="str">
        <f>IFERROR(__xludf.DUMMYFUNCTION("""COMPUTED_VALUE"""),"Coral Gardening")</f>
        <v>Coral Gardening</v>
      </c>
      <c r="D129" s="8" t="str">
        <f>IFERROR(__xludf.DUMMYFUNCTION("""COMPUTED_VALUE"""),"Microfragmentation")</f>
        <v>Microfragmentation</v>
      </c>
      <c r="E129" s="8"/>
      <c r="F129" s="8"/>
      <c r="G129" s="8"/>
      <c r="H129" s="8"/>
    </row>
    <row r="130">
      <c r="A130" s="8" t="s">
        <v>177</v>
      </c>
      <c r="B130" s="8" t="str">
        <f>IFERROR(__xludf.DUMMYFUNCTION("""COMPUTED_VALUE"""),"Direct Transplantation")</f>
        <v>Direct Transplantation</v>
      </c>
      <c r="C130" s="8" t="str">
        <f>IFERROR(__xludf.DUMMYFUNCTION("""COMPUTED_VALUE"""),"Coral Gardening")</f>
        <v>Coral Gardening</v>
      </c>
      <c r="D130" s="8" t="str">
        <f>IFERROR(__xludf.DUMMYFUNCTION("""COMPUTED_VALUE"""),"Microfragmentation")</f>
        <v>Microfragmentation</v>
      </c>
      <c r="E130" s="8"/>
      <c r="F130" s="8"/>
      <c r="G130" s="8"/>
      <c r="H130" s="8"/>
    </row>
    <row r="131">
      <c r="A131" s="8" t="s">
        <v>199</v>
      </c>
      <c r="B131" s="8" t="str">
        <f>IFERROR(__xludf.DUMMYFUNCTION("""COMPUTED_VALUE"""),"Larval Enhancement")</f>
        <v>Larval Enhancement</v>
      </c>
      <c r="C131" s="8"/>
      <c r="D131" s="8"/>
      <c r="E131" s="8"/>
      <c r="F131" s="8"/>
      <c r="G131" s="8"/>
      <c r="H131" s="8"/>
    </row>
    <row r="132">
      <c r="A132" s="8" t="s">
        <v>177</v>
      </c>
      <c r="B132" s="8" t="str">
        <f>IFERROR(__xludf.DUMMYFUNCTION("""COMPUTED_VALUE"""),"Direct Transplantation")</f>
        <v>Direct Transplantation</v>
      </c>
      <c r="C132" s="8" t="str">
        <f>IFERROR(__xludf.DUMMYFUNCTION("""COMPUTED_VALUE"""),"Coral Gardening")</f>
        <v>Coral Gardening</v>
      </c>
      <c r="D132" s="8" t="str">
        <f>IFERROR(__xludf.DUMMYFUNCTION("""COMPUTED_VALUE"""),"Microfragmentation")</f>
        <v>Microfragmentation</v>
      </c>
      <c r="E132" s="8"/>
      <c r="F132" s="8"/>
      <c r="G132" s="8"/>
      <c r="H132" s="8"/>
    </row>
    <row r="133">
      <c r="A133" s="8" t="s">
        <v>298</v>
      </c>
      <c r="B133" s="8" t="str">
        <f>IFERROR(__xludf.DUMMYFUNCTION("""COMPUTED_VALUE"""),"Direct Transplantation")</f>
        <v>Direct Transplantation</v>
      </c>
      <c r="C133" s="8" t="str">
        <f>IFERROR(__xludf.DUMMYFUNCTION("""COMPUTED_VALUE"""),"Coral Gardening")</f>
        <v>Coral Gardening</v>
      </c>
      <c r="D133" s="8" t="str">
        <f>IFERROR(__xludf.DUMMYFUNCTION("""COMPUTED_VALUE"""),"Microfragmentation")</f>
        <v>Microfragmentation</v>
      </c>
      <c r="E133" s="8" t="str">
        <f>IFERROR(__xludf.DUMMYFUNCTION("""COMPUTED_VALUE"""),"Larval Enhancement")</f>
        <v>Larval Enhancement</v>
      </c>
      <c r="F133" s="8"/>
      <c r="G133" s="8"/>
      <c r="H133" s="8"/>
    </row>
    <row r="134">
      <c r="A134" s="8" t="s">
        <v>177</v>
      </c>
      <c r="B134" s="8" t="str">
        <f>IFERROR(__xludf.DUMMYFUNCTION("""COMPUTED_VALUE"""),"Direct Transplantation")</f>
        <v>Direct Transplantation</v>
      </c>
      <c r="C134" s="8" t="str">
        <f>IFERROR(__xludf.DUMMYFUNCTION("""COMPUTED_VALUE"""),"Coral Gardening")</f>
        <v>Coral Gardening</v>
      </c>
      <c r="D134" s="8" t="str">
        <f>IFERROR(__xludf.DUMMYFUNCTION("""COMPUTED_VALUE"""),"Microfragmentation")</f>
        <v>Microfragmentation</v>
      </c>
      <c r="E134" s="8"/>
      <c r="F134" s="8"/>
      <c r="G134" s="8"/>
      <c r="H134" s="8"/>
    </row>
    <row r="135">
      <c r="A135" s="8" t="s">
        <v>177</v>
      </c>
      <c r="B135" s="8" t="str">
        <f>IFERROR(__xludf.DUMMYFUNCTION("""COMPUTED_VALUE"""),"Direct Transplantation")</f>
        <v>Direct Transplantation</v>
      </c>
      <c r="C135" s="8" t="str">
        <f>IFERROR(__xludf.DUMMYFUNCTION("""COMPUTED_VALUE"""),"Coral Gardening")</f>
        <v>Coral Gardening</v>
      </c>
      <c r="D135" s="8" t="str">
        <f>IFERROR(__xludf.DUMMYFUNCTION("""COMPUTED_VALUE"""),"Microfragmentation")</f>
        <v>Microfragmentation</v>
      </c>
      <c r="E135" s="8"/>
      <c r="F135" s="8"/>
      <c r="G135" s="8"/>
      <c r="H135" s="8"/>
    </row>
    <row r="136">
      <c r="A136" s="8" t="s">
        <v>177</v>
      </c>
      <c r="B136" s="8" t="str">
        <f>IFERROR(__xludf.DUMMYFUNCTION("""COMPUTED_VALUE"""),"Direct Transplantation")</f>
        <v>Direct Transplantation</v>
      </c>
      <c r="C136" s="8" t="str">
        <f>IFERROR(__xludf.DUMMYFUNCTION("""COMPUTED_VALUE"""),"Coral Gardening")</f>
        <v>Coral Gardening</v>
      </c>
      <c r="D136" s="8" t="str">
        <f>IFERROR(__xludf.DUMMYFUNCTION("""COMPUTED_VALUE"""),"Microfragmentation")</f>
        <v>Microfragmentation</v>
      </c>
      <c r="E136" s="8"/>
      <c r="F136" s="8"/>
      <c r="G136" s="8"/>
      <c r="H136" s="8"/>
    </row>
    <row r="137">
      <c r="A137" s="8" t="s">
        <v>177</v>
      </c>
      <c r="B137" s="8" t="str">
        <f>IFERROR(__xludf.DUMMYFUNCTION("""COMPUTED_VALUE"""),"Direct Transplantation")</f>
        <v>Direct Transplantation</v>
      </c>
      <c r="C137" s="8" t="str">
        <f>IFERROR(__xludf.DUMMYFUNCTION("""COMPUTED_VALUE"""),"Coral Gardening")</f>
        <v>Coral Gardening</v>
      </c>
      <c r="D137" s="8" t="str">
        <f>IFERROR(__xludf.DUMMYFUNCTION("""COMPUTED_VALUE"""),"Microfragmentation")</f>
        <v>Microfragmentation</v>
      </c>
      <c r="E137" s="8"/>
      <c r="F137" s="8"/>
      <c r="G137" s="8"/>
      <c r="H137" s="8"/>
    </row>
    <row r="138">
      <c r="A138" s="8" t="s">
        <v>150</v>
      </c>
      <c r="B138" s="8" t="str">
        <f>IFERROR(__xludf.DUMMYFUNCTION("""COMPUTED_VALUE"""),"Artificial Reef")</f>
        <v>Artificial Reef</v>
      </c>
      <c r="C138" s="8" t="str">
        <f>IFERROR(__xludf.DUMMYFUNCTION("""COMPUTED_VALUE"""),"Mineral Accretion")</f>
        <v>Mineral Accretion</v>
      </c>
      <c r="D138" s="8" t="str">
        <f>IFERROR(__xludf.DUMMYFUNCTION("""COMPUTED_VALUE"""),"Rubble Stabilisation")</f>
        <v>Rubble Stabilisation</v>
      </c>
      <c r="E138" s="8" t="str">
        <f>IFERROR(__xludf.DUMMYFUNCTION("""COMPUTED_VALUE"""),"Algal Removal")</f>
        <v>Algal Removal</v>
      </c>
      <c r="F138" s="8"/>
      <c r="G138" s="8"/>
      <c r="H138" s="8"/>
    </row>
    <row r="139">
      <c r="A139" s="8" t="s">
        <v>263</v>
      </c>
      <c r="B139" s="8" t="str">
        <f>IFERROR(__xludf.DUMMYFUNCTION("""COMPUTED_VALUE"""),"Direct Transplantation")</f>
        <v>Direct Transplantation</v>
      </c>
      <c r="C139" s="8" t="str">
        <f>IFERROR(__xludf.DUMMYFUNCTION("""COMPUTED_VALUE"""),"Coral Gardening")</f>
        <v>Coral Gardening</v>
      </c>
      <c r="D139" s="8" t="str">
        <f>IFERROR(__xludf.DUMMYFUNCTION("""COMPUTED_VALUE"""),"Microfragmentation")</f>
        <v>Microfragmentation</v>
      </c>
      <c r="E139" s="8" t="str">
        <f>IFERROR(__xludf.DUMMYFUNCTION("""COMPUTED_VALUE"""),"Artificial Reef")</f>
        <v>Artificial Reef</v>
      </c>
      <c r="F139" s="8" t="str">
        <f>IFERROR(__xludf.DUMMYFUNCTION("""COMPUTED_VALUE"""),"Mineral Accretion")</f>
        <v>Mineral Accretion</v>
      </c>
      <c r="G139" s="8" t="str">
        <f>IFERROR(__xludf.DUMMYFUNCTION("""COMPUTED_VALUE"""),"Rubble Stabilisation")</f>
        <v>Rubble Stabilisation</v>
      </c>
      <c r="H139" s="8" t="str">
        <f>IFERROR(__xludf.DUMMYFUNCTION("""COMPUTED_VALUE"""),"Algal Removal")</f>
        <v>Algal Removal</v>
      </c>
    </row>
    <row r="140">
      <c r="A140" s="8" t="s">
        <v>150</v>
      </c>
      <c r="B140" s="8" t="str">
        <f>IFERROR(__xludf.DUMMYFUNCTION("""COMPUTED_VALUE"""),"Artificial Reef")</f>
        <v>Artificial Reef</v>
      </c>
      <c r="C140" s="8" t="str">
        <f>IFERROR(__xludf.DUMMYFUNCTION("""COMPUTED_VALUE"""),"Mineral Accretion")</f>
        <v>Mineral Accretion</v>
      </c>
      <c r="D140" s="8" t="str">
        <f>IFERROR(__xludf.DUMMYFUNCTION("""COMPUTED_VALUE"""),"Rubble Stabilisation")</f>
        <v>Rubble Stabilisation</v>
      </c>
      <c r="E140" s="8" t="str">
        <f>IFERROR(__xludf.DUMMYFUNCTION("""COMPUTED_VALUE"""),"Algal Removal")</f>
        <v>Algal Removal</v>
      </c>
      <c r="F140" s="8"/>
      <c r="G140" s="8"/>
      <c r="H140" s="8"/>
    </row>
    <row r="141">
      <c r="A141" s="8" t="s">
        <v>177</v>
      </c>
      <c r="B141" s="8" t="str">
        <f>IFERROR(__xludf.DUMMYFUNCTION("""COMPUTED_VALUE"""),"Direct Transplantation")</f>
        <v>Direct Transplantation</v>
      </c>
      <c r="C141" s="8" t="str">
        <f>IFERROR(__xludf.DUMMYFUNCTION("""COMPUTED_VALUE"""),"Coral Gardening")</f>
        <v>Coral Gardening</v>
      </c>
      <c r="D141" s="8" t="str">
        <f>IFERROR(__xludf.DUMMYFUNCTION("""COMPUTED_VALUE"""),"Microfragmentation")</f>
        <v>Microfragmentation</v>
      </c>
      <c r="E141" s="8"/>
      <c r="F141" s="8"/>
      <c r="G141" s="8"/>
      <c r="H141" s="8"/>
    </row>
    <row r="142">
      <c r="A142" s="8" t="s">
        <v>177</v>
      </c>
      <c r="B142" s="8" t="str">
        <f>IFERROR(__xludf.DUMMYFUNCTION("""COMPUTED_VALUE"""),"Direct Transplantation")</f>
        <v>Direct Transplantation</v>
      </c>
      <c r="C142" s="8" t="str">
        <f>IFERROR(__xludf.DUMMYFUNCTION("""COMPUTED_VALUE"""),"Coral Gardening")</f>
        <v>Coral Gardening</v>
      </c>
      <c r="D142" s="8" t="str">
        <f>IFERROR(__xludf.DUMMYFUNCTION("""COMPUTED_VALUE"""),"Microfragmentation")</f>
        <v>Microfragmentation</v>
      </c>
      <c r="E142" s="8"/>
      <c r="F142" s="8"/>
      <c r="G142" s="8"/>
      <c r="H142" s="8"/>
    </row>
    <row r="143">
      <c r="A143" s="8" t="s">
        <v>177</v>
      </c>
      <c r="B143" s="8" t="str">
        <f>IFERROR(__xludf.DUMMYFUNCTION("""COMPUTED_VALUE"""),"Direct Transplantation")</f>
        <v>Direct Transplantation</v>
      </c>
      <c r="C143" s="8" t="str">
        <f>IFERROR(__xludf.DUMMYFUNCTION("""COMPUTED_VALUE"""),"Coral Gardening")</f>
        <v>Coral Gardening</v>
      </c>
      <c r="D143" s="8" t="str">
        <f>IFERROR(__xludf.DUMMYFUNCTION("""COMPUTED_VALUE"""),"Microfragmentation")</f>
        <v>Microfragmentation</v>
      </c>
      <c r="E143" s="8"/>
      <c r="F143" s="8"/>
      <c r="G143" s="8"/>
      <c r="H143" s="8"/>
    </row>
    <row r="144">
      <c r="A144" s="8" t="s">
        <v>177</v>
      </c>
      <c r="B144" s="8" t="str">
        <f>IFERROR(__xludf.DUMMYFUNCTION("""COMPUTED_VALUE"""),"Direct Transplantation")</f>
        <v>Direct Transplantation</v>
      </c>
      <c r="C144" s="8" t="str">
        <f>IFERROR(__xludf.DUMMYFUNCTION("""COMPUTED_VALUE"""),"Coral Gardening")</f>
        <v>Coral Gardening</v>
      </c>
      <c r="D144" s="8" t="str">
        <f>IFERROR(__xludf.DUMMYFUNCTION("""COMPUTED_VALUE"""),"Microfragmentation")</f>
        <v>Microfragmentation</v>
      </c>
      <c r="E144" s="8"/>
      <c r="F144" s="8"/>
      <c r="G144" s="8"/>
      <c r="H144" s="8"/>
    </row>
    <row r="145">
      <c r="A145" s="8" t="s">
        <v>177</v>
      </c>
      <c r="B145" s="8" t="str">
        <f>IFERROR(__xludf.DUMMYFUNCTION("""COMPUTED_VALUE"""),"Direct Transplantation")</f>
        <v>Direct Transplantation</v>
      </c>
      <c r="C145" s="8" t="str">
        <f>IFERROR(__xludf.DUMMYFUNCTION("""COMPUTED_VALUE"""),"Coral Gardening")</f>
        <v>Coral Gardening</v>
      </c>
      <c r="D145" s="8" t="str">
        <f>IFERROR(__xludf.DUMMYFUNCTION("""COMPUTED_VALUE"""),"Microfragmentation")</f>
        <v>Microfragmentation</v>
      </c>
      <c r="E145" s="8"/>
      <c r="F145" s="8"/>
      <c r="G145" s="8"/>
      <c r="H145" s="8"/>
    </row>
    <row r="146">
      <c r="A146" s="8" t="s">
        <v>177</v>
      </c>
      <c r="B146" s="8" t="str">
        <f>IFERROR(__xludf.DUMMYFUNCTION("""COMPUTED_VALUE"""),"Direct Transplantation")</f>
        <v>Direct Transplantation</v>
      </c>
      <c r="C146" s="8" t="str">
        <f>IFERROR(__xludf.DUMMYFUNCTION("""COMPUTED_VALUE"""),"Coral Gardening")</f>
        <v>Coral Gardening</v>
      </c>
      <c r="D146" s="8" t="str">
        <f>IFERROR(__xludf.DUMMYFUNCTION("""COMPUTED_VALUE"""),"Microfragmentation")</f>
        <v>Microfragmentation</v>
      </c>
      <c r="E146" s="8"/>
      <c r="F146" s="8"/>
      <c r="G146" s="8"/>
      <c r="H146" s="8"/>
    </row>
    <row r="147">
      <c r="A147" s="8" t="s">
        <v>177</v>
      </c>
      <c r="B147" s="8" t="str">
        <f>IFERROR(__xludf.DUMMYFUNCTION("""COMPUTED_VALUE"""),"Direct Transplantation")</f>
        <v>Direct Transplantation</v>
      </c>
      <c r="C147" s="8" t="str">
        <f>IFERROR(__xludf.DUMMYFUNCTION("""COMPUTED_VALUE"""),"Coral Gardening")</f>
        <v>Coral Gardening</v>
      </c>
      <c r="D147" s="8" t="str">
        <f>IFERROR(__xludf.DUMMYFUNCTION("""COMPUTED_VALUE"""),"Microfragmentation")</f>
        <v>Microfragmentation</v>
      </c>
      <c r="E147" s="8"/>
      <c r="F147" s="8"/>
      <c r="G147" s="8"/>
      <c r="H147" s="8"/>
    </row>
    <row r="148">
      <c r="A148" s="8" t="s">
        <v>177</v>
      </c>
      <c r="B148" s="8" t="str">
        <f>IFERROR(__xludf.DUMMYFUNCTION("""COMPUTED_VALUE"""),"Direct Transplantation")</f>
        <v>Direct Transplantation</v>
      </c>
      <c r="C148" s="8" t="str">
        <f>IFERROR(__xludf.DUMMYFUNCTION("""COMPUTED_VALUE"""),"Coral Gardening")</f>
        <v>Coral Gardening</v>
      </c>
      <c r="D148" s="8" t="str">
        <f>IFERROR(__xludf.DUMMYFUNCTION("""COMPUTED_VALUE"""),"Microfragmentation")</f>
        <v>Microfragmentation</v>
      </c>
      <c r="E148" s="8"/>
      <c r="F148" s="8"/>
      <c r="G148" s="8"/>
      <c r="H148" s="8"/>
    </row>
    <row r="149">
      <c r="A149" s="8" t="s">
        <v>177</v>
      </c>
      <c r="B149" s="8" t="str">
        <f>IFERROR(__xludf.DUMMYFUNCTION("""COMPUTED_VALUE"""),"Direct Transplantation")</f>
        <v>Direct Transplantation</v>
      </c>
      <c r="C149" s="8" t="str">
        <f>IFERROR(__xludf.DUMMYFUNCTION("""COMPUTED_VALUE"""),"Coral Gardening")</f>
        <v>Coral Gardening</v>
      </c>
      <c r="D149" s="8" t="str">
        <f>IFERROR(__xludf.DUMMYFUNCTION("""COMPUTED_VALUE"""),"Microfragmentation")</f>
        <v>Microfragmentation</v>
      </c>
      <c r="E149" s="8"/>
      <c r="F149" s="8"/>
      <c r="G149" s="8"/>
      <c r="H149" s="8"/>
    </row>
    <row r="150">
      <c r="A150" s="8" t="s">
        <v>177</v>
      </c>
      <c r="B150" s="8" t="str">
        <f>IFERROR(__xludf.DUMMYFUNCTION("""COMPUTED_VALUE"""),"Direct Transplantation")</f>
        <v>Direct Transplantation</v>
      </c>
      <c r="C150" s="8" t="str">
        <f>IFERROR(__xludf.DUMMYFUNCTION("""COMPUTED_VALUE"""),"Coral Gardening")</f>
        <v>Coral Gardening</v>
      </c>
      <c r="D150" s="8" t="str">
        <f>IFERROR(__xludf.DUMMYFUNCTION("""COMPUTED_VALUE"""),"Microfragmentation")</f>
        <v>Microfragmentation</v>
      </c>
      <c r="E150" s="8"/>
      <c r="F150" s="8"/>
      <c r="G150" s="8"/>
      <c r="H150" s="8"/>
    </row>
    <row r="151">
      <c r="A151" s="8" t="s">
        <v>177</v>
      </c>
      <c r="B151" s="8" t="str">
        <f>IFERROR(__xludf.DUMMYFUNCTION("""COMPUTED_VALUE"""),"Direct Transplantation")</f>
        <v>Direct Transplantation</v>
      </c>
      <c r="C151" s="8" t="str">
        <f>IFERROR(__xludf.DUMMYFUNCTION("""COMPUTED_VALUE"""),"Coral Gardening")</f>
        <v>Coral Gardening</v>
      </c>
      <c r="D151" s="8" t="str">
        <f>IFERROR(__xludf.DUMMYFUNCTION("""COMPUTED_VALUE"""),"Microfragmentation")</f>
        <v>Microfragmentation</v>
      </c>
      <c r="E151" s="8"/>
      <c r="F151" s="8"/>
      <c r="G151" s="8"/>
      <c r="H151" s="8"/>
    </row>
    <row r="152">
      <c r="A152" s="8" t="s">
        <v>177</v>
      </c>
      <c r="B152" s="8" t="str">
        <f>IFERROR(__xludf.DUMMYFUNCTION("""COMPUTED_VALUE"""),"Direct Transplantation")</f>
        <v>Direct Transplantation</v>
      </c>
      <c r="C152" s="8" t="str">
        <f>IFERROR(__xludf.DUMMYFUNCTION("""COMPUTED_VALUE"""),"Coral Gardening")</f>
        <v>Coral Gardening</v>
      </c>
      <c r="D152" s="8" t="str">
        <f>IFERROR(__xludf.DUMMYFUNCTION("""COMPUTED_VALUE"""),"Microfragmentation")</f>
        <v>Microfragmentation</v>
      </c>
      <c r="E152" s="8"/>
      <c r="F152" s="8"/>
      <c r="G152" s="8"/>
      <c r="H152" s="8"/>
    </row>
    <row r="153">
      <c r="A153" s="8" t="s">
        <v>177</v>
      </c>
      <c r="B153" s="8" t="str">
        <f>IFERROR(__xludf.DUMMYFUNCTION("""COMPUTED_VALUE"""),"Direct Transplantation")</f>
        <v>Direct Transplantation</v>
      </c>
      <c r="C153" s="8" t="str">
        <f>IFERROR(__xludf.DUMMYFUNCTION("""COMPUTED_VALUE"""),"Coral Gardening")</f>
        <v>Coral Gardening</v>
      </c>
      <c r="D153" s="8" t="str">
        <f>IFERROR(__xludf.DUMMYFUNCTION("""COMPUTED_VALUE"""),"Microfragmentation")</f>
        <v>Microfragmentation</v>
      </c>
      <c r="E153" s="8"/>
      <c r="F153" s="8"/>
      <c r="G153" s="8"/>
      <c r="H153" s="8"/>
    </row>
    <row r="154">
      <c r="A154" s="8" t="s">
        <v>177</v>
      </c>
      <c r="B154" s="8" t="str">
        <f>IFERROR(__xludf.DUMMYFUNCTION("""COMPUTED_VALUE"""),"Direct Transplantation")</f>
        <v>Direct Transplantation</v>
      </c>
      <c r="C154" s="8" t="str">
        <f>IFERROR(__xludf.DUMMYFUNCTION("""COMPUTED_VALUE"""),"Coral Gardening")</f>
        <v>Coral Gardening</v>
      </c>
      <c r="D154" s="8" t="str">
        <f>IFERROR(__xludf.DUMMYFUNCTION("""COMPUTED_VALUE"""),"Microfragmentation")</f>
        <v>Microfragmentation</v>
      </c>
      <c r="E154" s="8"/>
      <c r="F154" s="8"/>
      <c r="G154" s="8"/>
      <c r="H154" s="8"/>
    </row>
    <row r="155">
      <c r="A155" s="8" t="s">
        <v>177</v>
      </c>
      <c r="B155" s="8" t="str">
        <f>IFERROR(__xludf.DUMMYFUNCTION("""COMPUTED_VALUE"""),"Direct Transplantation")</f>
        <v>Direct Transplantation</v>
      </c>
      <c r="C155" s="8" t="str">
        <f>IFERROR(__xludf.DUMMYFUNCTION("""COMPUTED_VALUE"""),"Coral Gardening")</f>
        <v>Coral Gardening</v>
      </c>
      <c r="D155" s="8" t="str">
        <f>IFERROR(__xludf.DUMMYFUNCTION("""COMPUTED_VALUE"""),"Microfragmentation")</f>
        <v>Microfragmentation</v>
      </c>
      <c r="E155" s="8"/>
      <c r="F155" s="8"/>
      <c r="G155" s="8"/>
      <c r="H155" s="8"/>
    </row>
    <row r="156">
      <c r="A156" s="8" t="s">
        <v>177</v>
      </c>
      <c r="B156" s="8" t="str">
        <f>IFERROR(__xludf.DUMMYFUNCTION("""COMPUTED_VALUE"""),"Direct Transplantation")</f>
        <v>Direct Transplantation</v>
      </c>
      <c r="C156" s="8" t="str">
        <f>IFERROR(__xludf.DUMMYFUNCTION("""COMPUTED_VALUE"""),"Coral Gardening")</f>
        <v>Coral Gardening</v>
      </c>
      <c r="D156" s="8" t="str">
        <f>IFERROR(__xludf.DUMMYFUNCTION("""COMPUTED_VALUE"""),"Microfragmentation")</f>
        <v>Microfragmentation</v>
      </c>
      <c r="E156" s="8"/>
      <c r="F156" s="8"/>
      <c r="G156" s="8"/>
      <c r="H156" s="8"/>
    </row>
    <row r="157">
      <c r="A157" s="8" t="s">
        <v>177</v>
      </c>
      <c r="B157" s="8" t="str">
        <f>IFERROR(__xludf.DUMMYFUNCTION("""COMPUTED_VALUE"""),"Direct Transplantation")</f>
        <v>Direct Transplantation</v>
      </c>
      <c r="C157" s="8" t="str">
        <f>IFERROR(__xludf.DUMMYFUNCTION("""COMPUTED_VALUE"""),"Coral Gardening")</f>
        <v>Coral Gardening</v>
      </c>
      <c r="D157" s="8" t="str">
        <f>IFERROR(__xludf.DUMMYFUNCTION("""COMPUTED_VALUE"""),"Microfragmentation")</f>
        <v>Microfragmentation</v>
      </c>
      <c r="E157" s="8"/>
      <c r="F157" s="8"/>
      <c r="G157" s="8"/>
      <c r="H157" s="8"/>
    </row>
    <row r="158">
      <c r="A158" s="8" t="s">
        <v>177</v>
      </c>
      <c r="B158" s="8" t="str">
        <f>IFERROR(__xludf.DUMMYFUNCTION("""COMPUTED_VALUE"""),"Direct Transplantation")</f>
        <v>Direct Transplantation</v>
      </c>
      <c r="C158" s="8" t="str">
        <f>IFERROR(__xludf.DUMMYFUNCTION("""COMPUTED_VALUE"""),"Coral Gardening")</f>
        <v>Coral Gardening</v>
      </c>
      <c r="D158" s="8" t="str">
        <f>IFERROR(__xludf.DUMMYFUNCTION("""COMPUTED_VALUE"""),"Microfragmentation")</f>
        <v>Microfragmentation</v>
      </c>
      <c r="E158" s="8"/>
      <c r="F158" s="8"/>
      <c r="G158" s="8"/>
      <c r="H158" s="8"/>
    </row>
    <row r="159">
      <c r="A159" s="8" t="s">
        <v>177</v>
      </c>
      <c r="B159" s="8" t="str">
        <f>IFERROR(__xludf.DUMMYFUNCTION("""COMPUTED_VALUE"""),"Direct Transplantation")</f>
        <v>Direct Transplantation</v>
      </c>
      <c r="C159" s="8" t="str">
        <f>IFERROR(__xludf.DUMMYFUNCTION("""COMPUTED_VALUE"""),"Coral Gardening")</f>
        <v>Coral Gardening</v>
      </c>
      <c r="D159" s="8" t="str">
        <f>IFERROR(__xludf.DUMMYFUNCTION("""COMPUTED_VALUE"""),"Microfragmentation")</f>
        <v>Microfragmentation</v>
      </c>
      <c r="E159" s="8"/>
      <c r="F159" s="8"/>
      <c r="G159" s="8"/>
      <c r="H159" s="8"/>
    </row>
    <row r="160">
      <c r="A160" s="8" t="s">
        <v>177</v>
      </c>
      <c r="B160" s="8" t="str">
        <f>IFERROR(__xludf.DUMMYFUNCTION("""COMPUTED_VALUE"""),"Direct Transplantation")</f>
        <v>Direct Transplantation</v>
      </c>
      <c r="C160" s="8" t="str">
        <f>IFERROR(__xludf.DUMMYFUNCTION("""COMPUTED_VALUE"""),"Coral Gardening")</f>
        <v>Coral Gardening</v>
      </c>
      <c r="D160" s="8" t="str">
        <f>IFERROR(__xludf.DUMMYFUNCTION("""COMPUTED_VALUE"""),"Microfragmentation")</f>
        <v>Microfragmentation</v>
      </c>
      <c r="E160" s="8"/>
      <c r="F160" s="8"/>
      <c r="G160" s="8"/>
      <c r="H160" s="8"/>
    </row>
    <row r="161">
      <c r="A161" s="8" t="s">
        <v>177</v>
      </c>
      <c r="B161" s="8" t="str">
        <f>IFERROR(__xludf.DUMMYFUNCTION("""COMPUTED_VALUE"""),"Direct Transplantation")</f>
        <v>Direct Transplantation</v>
      </c>
      <c r="C161" s="8" t="str">
        <f>IFERROR(__xludf.DUMMYFUNCTION("""COMPUTED_VALUE"""),"Coral Gardening")</f>
        <v>Coral Gardening</v>
      </c>
      <c r="D161" s="8" t="str">
        <f>IFERROR(__xludf.DUMMYFUNCTION("""COMPUTED_VALUE"""),"Microfragmentation")</f>
        <v>Microfragmentation</v>
      </c>
      <c r="E161" s="8"/>
      <c r="F161" s="8"/>
      <c r="G161" s="8"/>
      <c r="H161" s="8"/>
    </row>
    <row r="162">
      <c r="A162" s="8" t="s">
        <v>177</v>
      </c>
      <c r="B162" s="8" t="str">
        <f>IFERROR(__xludf.DUMMYFUNCTION("""COMPUTED_VALUE"""),"Direct Transplantation")</f>
        <v>Direct Transplantation</v>
      </c>
      <c r="C162" s="8" t="str">
        <f>IFERROR(__xludf.DUMMYFUNCTION("""COMPUTED_VALUE"""),"Coral Gardening")</f>
        <v>Coral Gardening</v>
      </c>
      <c r="D162" s="8" t="str">
        <f>IFERROR(__xludf.DUMMYFUNCTION("""COMPUTED_VALUE"""),"Microfragmentation")</f>
        <v>Microfragmentation</v>
      </c>
      <c r="E162" s="8"/>
      <c r="F162" s="8"/>
      <c r="G162" s="8"/>
      <c r="H162" s="8"/>
    </row>
    <row r="163">
      <c r="A163" s="8" t="s">
        <v>177</v>
      </c>
      <c r="B163" s="8" t="str">
        <f>IFERROR(__xludf.DUMMYFUNCTION("""COMPUTED_VALUE"""),"Direct Transplantation")</f>
        <v>Direct Transplantation</v>
      </c>
      <c r="C163" s="8" t="str">
        <f>IFERROR(__xludf.DUMMYFUNCTION("""COMPUTED_VALUE"""),"Coral Gardening")</f>
        <v>Coral Gardening</v>
      </c>
      <c r="D163" s="8" t="str">
        <f>IFERROR(__xludf.DUMMYFUNCTION("""COMPUTED_VALUE"""),"Microfragmentation")</f>
        <v>Microfragmentation</v>
      </c>
      <c r="E163" s="8"/>
      <c r="F163" s="8"/>
      <c r="G163" s="8"/>
      <c r="H163" s="8"/>
    </row>
    <row r="164">
      <c r="A164" s="8" t="s">
        <v>150</v>
      </c>
      <c r="B164" s="8" t="str">
        <f>IFERROR(__xludf.DUMMYFUNCTION("""COMPUTED_VALUE"""),"Artificial Reef")</f>
        <v>Artificial Reef</v>
      </c>
      <c r="C164" s="8" t="str">
        <f>IFERROR(__xludf.DUMMYFUNCTION("""COMPUTED_VALUE"""),"Mineral Accretion")</f>
        <v>Mineral Accretion</v>
      </c>
      <c r="D164" s="8" t="str">
        <f>IFERROR(__xludf.DUMMYFUNCTION("""COMPUTED_VALUE"""),"Rubble Stabilisation")</f>
        <v>Rubble Stabilisation</v>
      </c>
      <c r="E164" s="8" t="str">
        <f>IFERROR(__xludf.DUMMYFUNCTION("""COMPUTED_VALUE"""),"Algal Removal")</f>
        <v>Algal Removal</v>
      </c>
      <c r="F164" s="8"/>
      <c r="G164" s="8"/>
      <c r="H164" s="8"/>
    </row>
    <row r="165">
      <c r="A165" s="8" t="s">
        <v>150</v>
      </c>
      <c r="B165" s="8" t="str">
        <f>IFERROR(__xludf.DUMMYFUNCTION("""COMPUTED_VALUE"""),"Artificial Reef")</f>
        <v>Artificial Reef</v>
      </c>
      <c r="C165" s="8" t="str">
        <f>IFERROR(__xludf.DUMMYFUNCTION("""COMPUTED_VALUE"""),"Mineral Accretion")</f>
        <v>Mineral Accretion</v>
      </c>
      <c r="D165" s="8" t="str">
        <f>IFERROR(__xludf.DUMMYFUNCTION("""COMPUTED_VALUE"""),"Rubble Stabilisation")</f>
        <v>Rubble Stabilisation</v>
      </c>
      <c r="E165" s="8" t="str">
        <f>IFERROR(__xludf.DUMMYFUNCTION("""COMPUTED_VALUE"""),"Algal Removal")</f>
        <v>Algal Removal</v>
      </c>
      <c r="F165" s="8"/>
      <c r="G165" s="8"/>
      <c r="H165" s="8"/>
    </row>
    <row r="166">
      <c r="A166" s="8" t="s">
        <v>150</v>
      </c>
      <c r="B166" s="8" t="str">
        <f>IFERROR(__xludf.DUMMYFUNCTION("""COMPUTED_VALUE"""),"Artificial Reef")</f>
        <v>Artificial Reef</v>
      </c>
      <c r="C166" s="8" t="str">
        <f>IFERROR(__xludf.DUMMYFUNCTION("""COMPUTED_VALUE"""),"Mineral Accretion")</f>
        <v>Mineral Accretion</v>
      </c>
      <c r="D166" s="8" t="str">
        <f>IFERROR(__xludf.DUMMYFUNCTION("""COMPUTED_VALUE"""),"Rubble Stabilisation")</f>
        <v>Rubble Stabilisation</v>
      </c>
      <c r="E166" s="8" t="str">
        <f>IFERROR(__xludf.DUMMYFUNCTION("""COMPUTED_VALUE"""),"Algal Removal")</f>
        <v>Algal Removal</v>
      </c>
      <c r="F166" s="8"/>
      <c r="G166" s="8"/>
      <c r="H166" s="8"/>
    </row>
    <row r="167">
      <c r="A167" s="8" t="s">
        <v>150</v>
      </c>
      <c r="B167" s="8" t="str">
        <f>IFERROR(__xludf.DUMMYFUNCTION("""COMPUTED_VALUE"""),"Artificial Reef")</f>
        <v>Artificial Reef</v>
      </c>
      <c r="C167" s="8" t="str">
        <f>IFERROR(__xludf.DUMMYFUNCTION("""COMPUTED_VALUE"""),"Mineral Accretion")</f>
        <v>Mineral Accretion</v>
      </c>
      <c r="D167" s="8" t="str">
        <f>IFERROR(__xludf.DUMMYFUNCTION("""COMPUTED_VALUE"""),"Rubble Stabilisation")</f>
        <v>Rubble Stabilisation</v>
      </c>
      <c r="E167" s="8" t="str">
        <f>IFERROR(__xludf.DUMMYFUNCTION("""COMPUTED_VALUE"""),"Algal Removal")</f>
        <v>Algal Removal</v>
      </c>
      <c r="F167" s="8"/>
      <c r="G167" s="8"/>
      <c r="H167" s="8"/>
    </row>
    <row r="168">
      <c r="A168" s="8" t="s">
        <v>150</v>
      </c>
      <c r="B168" s="8" t="str">
        <f>IFERROR(__xludf.DUMMYFUNCTION("""COMPUTED_VALUE"""),"Artificial Reef")</f>
        <v>Artificial Reef</v>
      </c>
      <c r="C168" s="8" t="str">
        <f>IFERROR(__xludf.DUMMYFUNCTION("""COMPUTED_VALUE"""),"Mineral Accretion")</f>
        <v>Mineral Accretion</v>
      </c>
      <c r="D168" s="8" t="str">
        <f>IFERROR(__xludf.DUMMYFUNCTION("""COMPUTED_VALUE"""),"Rubble Stabilisation")</f>
        <v>Rubble Stabilisation</v>
      </c>
      <c r="E168" s="8" t="str">
        <f>IFERROR(__xludf.DUMMYFUNCTION("""COMPUTED_VALUE"""),"Algal Removal")</f>
        <v>Algal Removal</v>
      </c>
      <c r="F168" s="8"/>
      <c r="G168" s="8"/>
      <c r="H168" s="8"/>
    </row>
    <row r="169">
      <c r="A169" s="8" t="s">
        <v>150</v>
      </c>
      <c r="B169" s="8" t="str">
        <f>IFERROR(__xludf.DUMMYFUNCTION("""COMPUTED_VALUE"""),"Artificial Reef")</f>
        <v>Artificial Reef</v>
      </c>
      <c r="C169" s="8" t="str">
        <f>IFERROR(__xludf.DUMMYFUNCTION("""COMPUTED_VALUE"""),"Mineral Accretion")</f>
        <v>Mineral Accretion</v>
      </c>
      <c r="D169" s="8" t="str">
        <f>IFERROR(__xludf.DUMMYFUNCTION("""COMPUTED_VALUE"""),"Rubble Stabilisation")</f>
        <v>Rubble Stabilisation</v>
      </c>
      <c r="E169" s="8" t="str">
        <f>IFERROR(__xludf.DUMMYFUNCTION("""COMPUTED_VALUE"""),"Algal Removal")</f>
        <v>Algal Removal</v>
      </c>
      <c r="F169" s="8"/>
      <c r="G169" s="8"/>
      <c r="H169" s="8"/>
    </row>
    <row r="170">
      <c r="A170" s="8" t="s">
        <v>177</v>
      </c>
      <c r="B170" s="8" t="str">
        <f>IFERROR(__xludf.DUMMYFUNCTION("""COMPUTED_VALUE"""),"Direct Transplantation")</f>
        <v>Direct Transplantation</v>
      </c>
      <c r="C170" s="8" t="str">
        <f>IFERROR(__xludf.DUMMYFUNCTION("""COMPUTED_VALUE"""),"Coral Gardening")</f>
        <v>Coral Gardening</v>
      </c>
      <c r="D170" s="8" t="str">
        <f>IFERROR(__xludf.DUMMYFUNCTION("""COMPUTED_VALUE"""),"Microfragmentation")</f>
        <v>Microfragmentation</v>
      </c>
      <c r="E170" s="8"/>
      <c r="F170" s="8"/>
      <c r="G170" s="8"/>
      <c r="H170" s="8"/>
    </row>
    <row r="171">
      <c r="A171" s="8" t="s">
        <v>150</v>
      </c>
      <c r="B171" s="8" t="str">
        <f>IFERROR(__xludf.DUMMYFUNCTION("""COMPUTED_VALUE"""),"Artificial Reef")</f>
        <v>Artificial Reef</v>
      </c>
      <c r="C171" s="8" t="str">
        <f>IFERROR(__xludf.DUMMYFUNCTION("""COMPUTED_VALUE"""),"Mineral Accretion")</f>
        <v>Mineral Accretion</v>
      </c>
      <c r="D171" s="8" t="str">
        <f>IFERROR(__xludf.DUMMYFUNCTION("""COMPUTED_VALUE"""),"Rubble Stabilisation")</f>
        <v>Rubble Stabilisation</v>
      </c>
      <c r="E171" s="8" t="str">
        <f>IFERROR(__xludf.DUMMYFUNCTION("""COMPUTED_VALUE"""),"Algal Removal")</f>
        <v>Algal Removal</v>
      </c>
      <c r="F171" s="8"/>
      <c r="G171" s="8"/>
      <c r="H171" s="8"/>
    </row>
    <row r="172">
      <c r="A172" s="8" t="s">
        <v>150</v>
      </c>
      <c r="B172" s="8" t="str">
        <f>IFERROR(__xludf.DUMMYFUNCTION("""COMPUTED_VALUE"""),"Artificial Reef")</f>
        <v>Artificial Reef</v>
      </c>
      <c r="C172" s="8" t="str">
        <f>IFERROR(__xludf.DUMMYFUNCTION("""COMPUTED_VALUE"""),"Mineral Accretion")</f>
        <v>Mineral Accretion</v>
      </c>
      <c r="D172" s="8" t="str">
        <f>IFERROR(__xludf.DUMMYFUNCTION("""COMPUTED_VALUE"""),"Rubble Stabilisation")</f>
        <v>Rubble Stabilisation</v>
      </c>
      <c r="E172" s="8" t="str">
        <f>IFERROR(__xludf.DUMMYFUNCTION("""COMPUTED_VALUE"""),"Algal Removal")</f>
        <v>Algal Removal</v>
      </c>
      <c r="F172" s="8"/>
      <c r="G172" s="8"/>
      <c r="H172" s="8"/>
    </row>
    <row r="173">
      <c r="A173" s="8" t="s">
        <v>150</v>
      </c>
      <c r="B173" s="8" t="str">
        <f>IFERROR(__xludf.DUMMYFUNCTION("""COMPUTED_VALUE"""),"Artificial Reef")</f>
        <v>Artificial Reef</v>
      </c>
      <c r="C173" s="8" t="str">
        <f>IFERROR(__xludf.DUMMYFUNCTION("""COMPUTED_VALUE"""),"Mineral Accretion")</f>
        <v>Mineral Accretion</v>
      </c>
      <c r="D173" s="8" t="str">
        <f>IFERROR(__xludf.DUMMYFUNCTION("""COMPUTED_VALUE"""),"Rubble Stabilisation")</f>
        <v>Rubble Stabilisation</v>
      </c>
      <c r="E173" s="8" t="str">
        <f>IFERROR(__xludf.DUMMYFUNCTION("""COMPUTED_VALUE"""),"Algal Removal")</f>
        <v>Algal Removal</v>
      </c>
      <c r="F173" s="8"/>
      <c r="G173" s="8"/>
      <c r="H173" s="8"/>
    </row>
    <row r="174">
      <c r="A174" s="8" t="s">
        <v>150</v>
      </c>
      <c r="B174" s="8" t="str">
        <f>IFERROR(__xludf.DUMMYFUNCTION("""COMPUTED_VALUE"""),"Artificial Reef")</f>
        <v>Artificial Reef</v>
      </c>
      <c r="C174" s="8" t="str">
        <f>IFERROR(__xludf.DUMMYFUNCTION("""COMPUTED_VALUE"""),"Mineral Accretion")</f>
        <v>Mineral Accretion</v>
      </c>
      <c r="D174" s="8" t="str">
        <f>IFERROR(__xludf.DUMMYFUNCTION("""COMPUTED_VALUE"""),"Rubble Stabilisation")</f>
        <v>Rubble Stabilisation</v>
      </c>
      <c r="E174" s="8" t="str">
        <f>IFERROR(__xludf.DUMMYFUNCTION("""COMPUTED_VALUE"""),"Algal Removal")</f>
        <v>Algal Removal</v>
      </c>
      <c r="F174" s="8"/>
      <c r="G174" s="8"/>
      <c r="H174" s="8"/>
    </row>
    <row r="175">
      <c r="A175" s="8" t="s">
        <v>150</v>
      </c>
      <c r="B175" s="8" t="str">
        <f>IFERROR(__xludf.DUMMYFUNCTION("""COMPUTED_VALUE"""),"Artificial Reef")</f>
        <v>Artificial Reef</v>
      </c>
      <c r="C175" s="8" t="str">
        <f>IFERROR(__xludf.DUMMYFUNCTION("""COMPUTED_VALUE"""),"Mineral Accretion")</f>
        <v>Mineral Accretion</v>
      </c>
      <c r="D175" s="8" t="str">
        <f>IFERROR(__xludf.DUMMYFUNCTION("""COMPUTED_VALUE"""),"Rubble Stabilisation")</f>
        <v>Rubble Stabilisation</v>
      </c>
      <c r="E175" s="8" t="str">
        <f>IFERROR(__xludf.DUMMYFUNCTION("""COMPUTED_VALUE"""),"Algal Removal")</f>
        <v>Algal Removal</v>
      </c>
      <c r="F175" s="8"/>
      <c r="G175" s="8"/>
      <c r="H175" s="8"/>
    </row>
    <row r="176">
      <c r="A176" s="8" t="s">
        <v>150</v>
      </c>
      <c r="B176" s="8" t="str">
        <f>IFERROR(__xludf.DUMMYFUNCTION("""COMPUTED_VALUE"""),"Artificial Reef")</f>
        <v>Artificial Reef</v>
      </c>
      <c r="C176" s="8" t="str">
        <f>IFERROR(__xludf.DUMMYFUNCTION("""COMPUTED_VALUE"""),"Mineral Accretion")</f>
        <v>Mineral Accretion</v>
      </c>
      <c r="D176" s="8" t="str">
        <f>IFERROR(__xludf.DUMMYFUNCTION("""COMPUTED_VALUE"""),"Rubble Stabilisation")</f>
        <v>Rubble Stabilisation</v>
      </c>
      <c r="E176" s="8" t="str">
        <f>IFERROR(__xludf.DUMMYFUNCTION("""COMPUTED_VALUE"""),"Algal Removal")</f>
        <v>Algal Removal</v>
      </c>
      <c r="F176" s="8"/>
      <c r="G176" s="8"/>
      <c r="H176" s="8"/>
    </row>
    <row r="177">
      <c r="A177" s="8" t="s">
        <v>150</v>
      </c>
      <c r="B177" s="8" t="str">
        <f>IFERROR(__xludf.DUMMYFUNCTION("""COMPUTED_VALUE"""),"Artificial Reef")</f>
        <v>Artificial Reef</v>
      </c>
      <c r="C177" s="8" t="str">
        <f>IFERROR(__xludf.DUMMYFUNCTION("""COMPUTED_VALUE"""),"Mineral Accretion")</f>
        <v>Mineral Accretion</v>
      </c>
      <c r="D177" s="8" t="str">
        <f>IFERROR(__xludf.DUMMYFUNCTION("""COMPUTED_VALUE"""),"Rubble Stabilisation")</f>
        <v>Rubble Stabilisation</v>
      </c>
      <c r="E177" s="8" t="str">
        <f>IFERROR(__xludf.DUMMYFUNCTION("""COMPUTED_VALUE"""),"Algal Removal")</f>
        <v>Algal Removal</v>
      </c>
      <c r="F177" s="8"/>
      <c r="G177" s="8"/>
      <c r="H177" s="8"/>
    </row>
    <row r="178">
      <c r="A178" s="8" t="s">
        <v>150</v>
      </c>
      <c r="B178" s="8" t="str">
        <f>IFERROR(__xludf.DUMMYFUNCTION("""COMPUTED_VALUE"""),"Artificial Reef")</f>
        <v>Artificial Reef</v>
      </c>
      <c r="C178" s="8" t="str">
        <f>IFERROR(__xludf.DUMMYFUNCTION("""COMPUTED_VALUE"""),"Mineral Accretion")</f>
        <v>Mineral Accretion</v>
      </c>
      <c r="D178" s="8" t="str">
        <f>IFERROR(__xludf.DUMMYFUNCTION("""COMPUTED_VALUE"""),"Rubble Stabilisation")</f>
        <v>Rubble Stabilisation</v>
      </c>
      <c r="E178" s="8" t="str">
        <f>IFERROR(__xludf.DUMMYFUNCTION("""COMPUTED_VALUE"""),"Algal Removal")</f>
        <v>Algal Removal</v>
      </c>
      <c r="F178" s="8"/>
      <c r="G178" s="8"/>
      <c r="H178" s="8"/>
    </row>
    <row r="179">
      <c r="A179" s="8" t="s">
        <v>150</v>
      </c>
      <c r="B179" s="8" t="str">
        <f>IFERROR(__xludf.DUMMYFUNCTION("""COMPUTED_VALUE"""),"Artificial Reef")</f>
        <v>Artificial Reef</v>
      </c>
      <c r="C179" s="8" t="str">
        <f>IFERROR(__xludf.DUMMYFUNCTION("""COMPUTED_VALUE"""),"Mineral Accretion")</f>
        <v>Mineral Accretion</v>
      </c>
      <c r="D179" s="8" t="str">
        <f>IFERROR(__xludf.DUMMYFUNCTION("""COMPUTED_VALUE"""),"Rubble Stabilisation")</f>
        <v>Rubble Stabilisation</v>
      </c>
      <c r="E179" s="8" t="str">
        <f>IFERROR(__xludf.DUMMYFUNCTION("""COMPUTED_VALUE"""),"Algal Removal")</f>
        <v>Algal Removal</v>
      </c>
      <c r="F179" s="8"/>
      <c r="G179" s="8"/>
      <c r="H179" s="8"/>
    </row>
    <row r="180">
      <c r="A180" s="8" t="s">
        <v>150</v>
      </c>
      <c r="B180" s="8" t="str">
        <f>IFERROR(__xludf.DUMMYFUNCTION("""COMPUTED_VALUE"""),"Artificial Reef")</f>
        <v>Artificial Reef</v>
      </c>
      <c r="C180" s="8" t="str">
        <f>IFERROR(__xludf.DUMMYFUNCTION("""COMPUTED_VALUE"""),"Mineral Accretion")</f>
        <v>Mineral Accretion</v>
      </c>
      <c r="D180" s="8" t="str">
        <f>IFERROR(__xludf.DUMMYFUNCTION("""COMPUTED_VALUE"""),"Rubble Stabilisation")</f>
        <v>Rubble Stabilisation</v>
      </c>
      <c r="E180" s="8" t="str">
        <f>IFERROR(__xludf.DUMMYFUNCTION("""COMPUTED_VALUE"""),"Algal Removal")</f>
        <v>Algal Removal</v>
      </c>
      <c r="F180" s="8"/>
      <c r="G180" s="8"/>
      <c r="H180" s="8"/>
    </row>
    <row r="181">
      <c r="A181" s="8" t="s">
        <v>150</v>
      </c>
      <c r="B181" s="8" t="str">
        <f>IFERROR(__xludf.DUMMYFUNCTION("""COMPUTED_VALUE"""),"Artificial Reef")</f>
        <v>Artificial Reef</v>
      </c>
      <c r="C181" s="8" t="str">
        <f>IFERROR(__xludf.DUMMYFUNCTION("""COMPUTED_VALUE"""),"Mineral Accretion")</f>
        <v>Mineral Accretion</v>
      </c>
      <c r="D181" s="8" t="str">
        <f>IFERROR(__xludf.DUMMYFUNCTION("""COMPUTED_VALUE"""),"Rubble Stabilisation")</f>
        <v>Rubble Stabilisation</v>
      </c>
      <c r="E181" s="8" t="str">
        <f>IFERROR(__xludf.DUMMYFUNCTION("""COMPUTED_VALUE"""),"Algal Removal")</f>
        <v>Algal Removal</v>
      </c>
      <c r="F181" s="8"/>
      <c r="G181" s="8"/>
      <c r="H181" s="8"/>
    </row>
    <row r="182">
      <c r="A182" s="8" t="s">
        <v>150</v>
      </c>
      <c r="B182" s="8" t="str">
        <f>IFERROR(__xludf.DUMMYFUNCTION("""COMPUTED_VALUE"""),"Artificial Reef")</f>
        <v>Artificial Reef</v>
      </c>
      <c r="C182" s="8" t="str">
        <f>IFERROR(__xludf.DUMMYFUNCTION("""COMPUTED_VALUE"""),"Mineral Accretion")</f>
        <v>Mineral Accretion</v>
      </c>
      <c r="D182" s="8" t="str">
        <f>IFERROR(__xludf.DUMMYFUNCTION("""COMPUTED_VALUE"""),"Rubble Stabilisation")</f>
        <v>Rubble Stabilisation</v>
      </c>
      <c r="E182" s="8" t="str">
        <f>IFERROR(__xludf.DUMMYFUNCTION("""COMPUTED_VALUE"""),"Algal Removal")</f>
        <v>Algal Removal</v>
      </c>
      <c r="F182" s="8"/>
      <c r="G182" s="8"/>
      <c r="H182" s="8"/>
    </row>
    <row r="183">
      <c r="A183" s="8" t="s">
        <v>150</v>
      </c>
      <c r="B183" s="8" t="str">
        <f>IFERROR(__xludf.DUMMYFUNCTION("""COMPUTED_VALUE"""),"Artificial Reef")</f>
        <v>Artificial Reef</v>
      </c>
      <c r="C183" s="8" t="str">
        <f>IFERROR(__xludf.DUMMYFUNCTION("""COMPUTED_VALUE"""),"Mineral Accretion")</f>
        <v>Mineral Accretion</v>
      </c>
      <c r="D183" s="8" t="str">
        <f>IFERROR(__xludf.DUMMYFUNCTION("""COMPUTED_VALUE"""),"Rubble Stabilisation")</f>
        <v>Rubble Stabilisation</v>
      </c>
      <c r="E183" s="8" t="str">
        <f>IFERROR(__xludf.DUMMYFUNCTION("""COMPUTED_VALUE"""),"Algal Removal")</f>
        <v>Algal Removal</v>
      </c>
      <c r="F183" s="8"/>
      <c r="G183" s="8"/>
      <c r="H183" s="8"/>
    </row>
    <row r="184">
      <c r="A184" s="8" t="s">
        <v>150</v>
      </c>
      <c r="B184" s="8" t="str">
        <f>IFERROR(__xludf.DUMMYFUNCTION("""COMPUTED_VALUE"""),"Artificial Reef")</f>
        <v>Artificial Reef</v>
      </c>
      <c r="C184" s="8" t="str">
        <f>IFERROR(__xludf.DUMMYFUNCTION("""COMPUTED_VALUE"""),"Mineral Accretion")</f>
        <v>Mineral Accretion</v>
      </c>
      <c r="D184" s="8" t="str">
        <f>IFERROR(__xludf.DUMMYFUNCTION("""COMPUTED_VALUE"""),"Rubble Stabilisation")</f>
        <v>Rubble Stabilisation</v>
      </c>
      <c r="E184" s="8" t="str">
        <f>IFERROR(__xludf.DUMMYFUNCTION("""COMPUTED_VALUE"""),"Algal Removal")</f>
        <v>Algal Removal</v>
      </c>
      <c r="F184" s="8"/>
      <c r="G184" s="8"/>
      <c r="H184" s="8"/>
    </row>
    <row r="185">
      <c r="A185" s="8" t="s">
        <v>150</v>
      </c>
      <c r="B185" s="8" t="str">
        <f>IFERROR(__xludf.DUMMYFUNCTION("""COMPUTED_VALUE"""),"Artificial Reef")</f>
        <v>Artificial Reef</v>
      </c>
      <c r="C185" s="8" t="str">
        <f>IFERROR(__xludf.DUMMYFUNCTION("""COMPUTED_VALUE"""),"Mineral Accretion")</f>
        <v>Mineral Accretion</v>
      </c>
      <c r="D185" s="8" t="str">
        <f>IFERROR(__xludf.DUMMYFUNCTION("""COMPUTED_VALUE"""),"Rubble Stabilisation")</f>
        <v>Rubble Stabilisation</v>
      </c>
      <c r="E185" s="8" t="str">
        <f>IFERROR(__xludf.DUMMYFUNCTION("""COMPUTED_VALUE"""),"Algal Removal")</f>
        <v>Algal Removal</v>
      </c>
      <c r="F185" s="8"/>
      <c r="G185" s="8"/>
      <c r="H185" s="8"/>
    </row>
    <row r="186">
      <c r="A186" s="8" t="s">
        <v>150</v>
      </c>
      <c r="B186" s="8" t="str">
        <f>IFERROR(__xludf.DUMMYFUNCTION("""COMPUTED_VALUE"""),"Artificial Reef")</f>
        <v>Artificial Reef</v>
      </c>
      <c r="C186" s="8" t="str">
        <f>IFERROR(__xludf.DUMMYFUNCTION("""COMPUTED_VALUE"""),"Mineral Accretion")</f>
        <v>Mineral Accretion</v>
      </c>
      <c r="D186" s="8" t="str">
        <f>IFERROR(__xludf.DUMMYFUNCTION("""COMPUTED_VALUE"""),"Rubble Stabilisation")</f>
        <v>Rubble Stabilisation</v>
      </c>
      <c r="E186" s="8" t="str">
        <f>IFERROR(__xludf.DUMMYFUNCTION("""COMPUTED_VALUE"""),"Algal Removal")</f>
        <v>Algal Removal</v>
      </c>
      <c r="F186" s="8"/>
      <c r="G186" s="8"/>
      <c r="H186" s="8"/>
    </row>
    <row r="187">
      <c r="A187" s="8" t="s">
        <v>150</v>
      </c>
      <c r="B187" s="8" t="str">
        <f>IFERROR(__xludf.DUMMYFUNCTION("""COMPUTED_VALUE"""),"Artificial Reef")</f>
        <v>Artificial Reef</v>
      </c>
      <c r="C187" s="8" t="str">
        <f>IFERROR(__xludf.DUMMYFUNCTION("""COMPUTED_VALUE"""),"Mineral Accretion")</f>
        <v>Mineral Accretion</v>
      </c>
      <c r="D187" s="8" t="str">
        <f>IFERROR(__xludf.DUMMYFUNCTION("""COMPUTED_VALUE"""),"Rubble Stabilisation")</f>
        <v>Rubble Stabilisation</v>
      </c>
      <c r="E187" s="8" t="str">
        <f>IFERROR(__xludf.DUMMYFUNCTION("""COMPUTED_VALUE"""),"Algal Removal")</f>
        <v>Algal Removal</v>
      </c>
      <c r="F187" s="8"/>
      <c r="G187" s="8"/>
      <c r="H187" s="8"/>
    </row>
    <row r="188">
      <c r="A188" s="8" t="s">
        <v>150</v>
      </c>
      <c r="B188" s="8" t="str">
        <f>IFERROR(__xludf.DUMMYFUNCTION("""COMPUTED_VALUE"""),"Artificial Reef")</f>
        <v>Artificial Reef</v>
      </c>
      <c r="C188" s="8" t="str">
        <f>IFERROR(__xludf.DUMMYFUNCTION("""COMPUTED_VALUE"""),"Mineral Accretion")</f>
        <v>Mineral Accretion</v>
      </c>
      <c r="D188" s="8" t="str">
        <f>IFERROR(__xludf.DUMMYFUNCTION("""COMPUTED_VALUE"""),"Rubble Stabilisation")</f>
        <v>Rubble Stabilisation</v>
      </c>
      <c r="E188" s="8" t="str">
        <f>IFERROR(__xludf.DUMMYFUNCTION("""COMPUTED_VALUE"""),"Algal Removal")</f>
        <v>Algal Removal</v>
      </c>
      <c r="F188" s="8"/>
      <c r="G188" s="8"/>
      <c r="H188" s="8"/>
    </row>
    <row r="189">
      <c r="A189" s="8" t="s">
        <v>150</v>
      </c>
      <c r="B189" s="8" t="str">
        <f>IFERROR(__xludf.DUMMYFUNCTION("""COMPUTED_VALUE"""),"Artificial Reef")</f>
        <v>Artificial Reef</v>
      </c>
      <c r="C189" s="8" t="str">
        <f>IFERROR(__xludf.DUMMYFUNCTION("""COMPUTED_VALUE"""),"Mineral Accretion")</f>
        <v>Mineral Accretion</v>
      </c>
      <c r="D189" s="8" t="str">
        <f>IFERROR(__xludf.DUMMYFUNCTION("""COMPUTED_VALUE"""),"Rubble Stabilisation")</f>
        <v>Rubble Stabilisation</v>
      </c>
      <c r="E189" s="8" t="str">
        <f>IFERROR(__xludf.DUMMYFUNCTION("""COMPUTED_VALUE"""),"Algal Removal")</f>
        <v>Algal Removal</v>
      </c>
      <c r="F189" s="8"/>
      <c r="G189" s="8"/>
      <c r="H189" s="8"/>
    </row>
    <row r="190">
      <c r="A190" s="8" t="s">
        <v>150</v>
      </c>
      <c r="B190" s="8" t="str">
        <f>IFERROR(__xludf.DUMMYFUNCTION("""COMPUTED_VALUE"""),"Artificial Reef")</f>
        <v>Artificial Reef</v>
      </c>
      <c r="C190" s="8" t="str">
        <f>IFERROR(__xludf.DUMMYFUNCTION("""COMPUTED_VALUE"""),"Mineral Accretion")</f>
        <v>Mineral Accretion</v>
      </c>
      <c r="D190" s="8" t="str">
        <f>IFERROR(__xludf.DUMMYFUNCTION("""COMPUTED_VALUE"""),"Rubble Stabilisation")</f>
        <v>Rubble Stabilisation</v>
      </c>
      <c r="E190" s="8" t="str">
        <f>IFERROR(__xludf.DUMMYFUNCTION("""COMPUTED_VALUE"""),"Algal Removal")</f>
        <v>Algal Removal</v>
      </c>
      <c r="F190" s="8"/>
      <c r="G190" s="8"/>
      <c r="H190" s="8"/>
    </row>
    <row r="191">
      <c r="A191" s="8" t="s">
        <v>150</v>
      </c>
      <c r="B191" s="8" t="str">
        <f>IFERROR(__xludf.DUMMYFUNCTION("""COMPUTED_VALUE"""),"Artificial Reef")</f>
        <v>Artificial Reef</v>
      </c>
      <c r="C191" s="8" t="str">
        <f>IFERROR(__xludf.DUMMYFUNCTION("""COMPUTED_VALUE"""),"Mineral Accretion")</f>
        <v>Mineral Accretion</v>
      </c>
      <c r="D191" s="8" t="str">
        <f>IFERROR(__xludf.DUMMYFUNCTION("""COMPUTED_VALUE"""),"Rubble Stabilisation")</f>
        <v>Rubble Stabilisation</v>
      </c>
      <c r="E191" s="8" t="str">
        <f>IFERROR(__xludf.DUMMYFUNCTION("""COMPUTED_VALUE"""),"Algal Removal")</f>
        <v>Algal Removal</v>
      </c>
      <c r="F191" s="8"/>
      <c r="G191" s="8"/>
      <c r="H191" s="8"/>
    </row>
    <row r="192">
      <c r="A192" s="8" t="s">
        <v>150</v>
      </c>
      <c r="B192" s="8" t="str">
        <f>IFERROR(__xludf.DUMMYFUNCTION("""COMPUTED_VALUE"""),"Artificial Reef")</f>
        <v>Artificial Reef</v>
      </c>
      <c r="C192" s="8" t="str">
        <f>IFERROR(__xludf.DUMMYFUNCTION("""COMPUTED_VALUE"""),"Mineral Accretion")</f>
        <v>Mineral Accretion</v>
      </c>
      <c r="D192" s="8" t="str">
        <f>IFERROR(__xludf.DUMMYFUNCTION("""COMPUTED_VALUE"""),"Rubble Stabilisation")</f>
        <v>Rubble Stabilisation</v>
      </c>
      <c r="E192" s="8" t="str">
        <f>IFERROR(__xludf.DUMMYFUNCTION("""COMPUTED_VALUE"""),"Algal Removal")</f>
        <v>Algal Removal</v>
      </c>
      <c r="F192" s="8"/>
      <c r="G192" s="8"/>
      <c r="H192" s="8"/>
    </row>
    <row r="193">
      <c r="A193" s="8" t="s">
        <v>150</v>
      </c>
      <c r="B193" s="8" t="str">
        <f>IFERROR(__xludf.DUMMYFUNCTION("""COMPUTED_VALUE"""),"Artificial Reef")</f>
        <v>Artificial Reef</v>
      </c>
      <c r="C193" s="8" t="str">
        <f>IFERROR(__xludf.DUMMYFUNCTION("""COMPUTED_VALUE"""),"Mineral Accretion")</f>
        <v>Mineral Accretion</v>
      </c>
      <c r="D193" s="8" t="str">
        <f>IFERROR(__xludf.DUMMYFUNCTION("""COMPUTED_VALUE"""),"Rubble Stabilisation")</f>
        <v>Rubble Stabilisation</v>
      </c>
      <c r="E193" s="8" t="str">
        <f>IFERROR(__xludf.DUMMYFUNCTION("""COMPUTED_VALUE"""),"Algal Removal")</f>
        <v>Algal Removal</v>
      </c>
      <c r="F193" s="8"/>
      <c r="G193" s="8"/>
      <c r="H193" s="8"/>
    </row>
    <row r="194">
      <c r="A194" s="8" t="s">
        <v>150</v>
      </c>
      <c r="B194" s="8" t="str">
        <f>IFERROR(__xludf.DUMMYFUNCTION("""COMPUTED_VALUE"""),"Artificial Reef")</f>
        <v>Artificial Reef</v>
      </c>
      <c r="C194" s="8" t="str">
        <f>IFERROR(__xludf.DUMMYFUNCTION("""COMPUTED_VALUE"""),"Mineral Accretion")</f>
        <v>Mineral Accretion</v>
      </c>
      <c r="D194" s="8" t="str">
        <f>IFERROR(__xludf.DUMMYFUNCTION("""COMPUTED_VALUE"""),"Rubble Stabilisation")</f>
        <v>Rubble Stabilisation</v>
      </c>
      <c r="E194" s="8" t="str">
        <f>IFERROR(__xludf.DUMMYFUNCTION("""COMPUTED_VALUE"""),"Algal Removal")</f>
        <v>Algal Removal</v>
      </c>
      <c r="F194" s="8"/>
      <c r="G194" s="8"/>
      <c r="H194" s="8"/>
    </row>
    <row r="195">
      <c r="A195" s="8" t="s">
        <v>150</v>
      </c>
      <c r="B195" s="8" t="str">
        <f>IFERROR(__xludf.DUMMYFUNCTION("""COMPUTED_VALUE"""),"Artificial Reef")</f>
        <v>Artificial Reef</v>
      </c>
      <c r="C195" s="8" t="str">
        <f>IFERROR(__xludf.DUMMYFUNCTION("""COMPUTED_VALUE"""),"Mineral Accretion")</f>
        <v>Mineral Accretion</v>
      </c>
      <c r="D195" s="8" t="str">
        <f>IFERROR(__xludf.DUMMYFUNCTION("""COMPUTED_VALUE"""),"Rubble Stabilisation")</f>
        <v>Rubble Stabilisation</v>
      </c>
      <c r="E195" s="8" t="str">
        <f>IFERROR(__xludf.DUMMYFUNCTION("""COMPUTED_VALUE"""),"Algal Removal")</f>
        <v>Algal Removal</v>
      </c>
      <c r="F195" s="8"/>
      <c r="G195" s="8"/>
      <c r="H195" s="8"/>
    </row>
    <row r="196">
      <c r="A196" s="8" t="s">
        <v>150</v>
      </c>
      <c r="B196" s="8" t="str">
        <f>IFERROR(__xludf.DUMMYFUNCTION("""COMPUTED_VALUE"""),"Artificial Reef")</f>
        <v>Artificial Reef</v>
      </c>
      <c r="C196" s="8" t="str">
        <f>IFERROR(__xludf.DUMMYFUNCTION("""COMPUTED_VALUE"""),"Mineral Accretion")</f>
        <v>Mineral Accretion</v>
      </c>
      <c r="D196" s="8" t="str">
        <f>IFERROR(__xludf.DUMMYFUNCTION("""COMPUTED_VALUE"""),"Rubble Stabilisation")</f>
        <v>Rubble Stabilisation</v>
      </c>
      <c r="E196" s="8" t="str">
        <f>IFERROR(__xludf.DUMMYFUNCTION("""COMPUTED_VALUE"""),"Algal Removal")</f>
        <v>Algal Removal</v>
      </c>
      <c r="F196" s="8"/>
      <c r="G196" s="8"/>
      <c r="H196" s="8"/>
    </row>
    <row r="197">
      <c r="A197" s="8" t="s">
        <v>150</v>
      </c>
      <c r="B197" s="8" t="str">
        <f>IFERROR(__xludf.DUMMYFUNCTION("""COMPUTED_VALUE"""),"Artificial Reef")</f>
        <v>Artificial Reef</v>
      </c>
      <c r="C197" s="8" t="str">
        <f>IFERROR(__xludf.DUMMYFUNCTION("""COMPUTED_VALUE"""),"Mineral Accretion")</f>
        <v>Mineral Accretion</v>
      </c>
      <c r="D197" s="8" t="str">
        <f>IFERROR(__xludf.DUMMYFUNCTION("""COMPUTED_VALUE"""),"Rubble Stabilisation")</f>
        <v>Rubble Stabilisation</v>
      </c>
      <c r="E197" s="8" t="str">
        <f>IFERROR(__xludf.DUMMYFUNCTION("""COMPUTED_VALUE"""),"Algal Removal")</f>
        <v>Algal Removal</v>
      </c>
      <c r="F197" s="8"/>
      <c r="G197" s="8"/>
      <c r="H197" s="8"/>
    </row>
    <row r="198">
      <c r="A198" s="8" t="s">
        <v>150</v>
      </c>
      <c r="B198" s="8" t="str">
        <f>IFERROR(__xludf.DUMMYFUNCTION("""COMPUTED_VALUE"""),"Artificial Reef")</f>
        <v>Artificial Reef</v>
      </c>
      <c r="C198" s="8" t="str">
        <f>IFERROR(__xludf.DUMMYFUNCTION("""COMPUTED_VALUE"""),"Mineral Accretion")</f>
        <v>Mineral Accretion</v>
      </c>
      <c r="D198" s="8" t="str">
        <f>IFERROR(__xludf.DUMMYFUNCTION("""COMPUTED_VALUE"""),"Rubble Stabilisation")</f>
        <v>Rubble Stabilisation</v>
      </c>
      <c r="E198" s="8" t="str">
        <f>IFERROR(__xludf.DUMMYFUNCTION("""COMPUTED_VALUE"""),"Algal Removal")</f>
        <v>Algal Removal</v>
      </c>
      <c r="F198" s="8"/>
      <c r="G198" s="8"/>
      <c r="H198" s="8"/>
    </row>
    <row r="199">
      <c r="A199" s="8" t="s">
        <v>150</v>
      </c>
      <c r="B199" s="8" t="str">
        <f>IFERROR(__xludf.DUMMYFUNCTION("""COMPUTED_VALUE"""),"Artificial Reef")</f>
        <v>Artificial Reef</v>
      </c>
      <c r="C199" s="8" t="str">
        <f>IFERROR(__xludf.DUMMYFUNCTION("""COMPUTED_VALUE"""),"Mineral Accretion")</f>
        <v>Mineral Accretion</v>
      </c>
      <c r="D199" s="8" t="str">
        <f>IFERROR(__xludf.DUMMYFUNCTION("""COMPUTED_VALUE"""),"Rubble Stabilisation")</f>
        <v>Rubble Stabilisation</v>
      </c>
      <c r="E199" s="8" t="str">
        <f>IFERROR(__xludf.DUMMYFUNCTION("""COMPUTED_VALUE"""),"Algal Removal")</f>
        <v>Algal Removal</v>
      </c>
      <c r="F199" s="8"/>
      <c r="G199" s="8"/>
      <c r="H199" s="8"/>
    </row>
    <row r="200">
      <c r="A200" s="8" t="s">
        <v>150</v>
      </c>
      <c r="B200" s="8" t="str">
        <f>IFERROR(__xludf.DUMMYFUNCTION("""COMPUTED_VALUE"""),"Artificial Reef")</f>
        <v>Artificial Reef</v>
      </c>
      <c r="C200" s="8" t="str">
        <f>IFERROR(__xludf.DUMMYFUNCTION("""COMPUTED_VALUE"""),"Mineral Accretion")</f>
        <v>Mineral Accretion</v>
      </c>
      <c r="D200" s="8" t="str">
        <f>IFERROR(__xludf.DUMMYFUNCTION("""COMPUTED_VALUE"""),"Rubble Stabilisation")</f>
        <v>Rubble Stabilisation</v>
      </c>
      <c r="E200" s="8" t="str">
        <f>IFERROR(__xludf.DUMMYFUNCTION("""COMPUTED_VALUE"""),"Algal Removal")</f>
        <v>Algal Removal</v>
      </c>
      <c r="F200" s="8"/>
      <c r="G200" s="8"/>
      <c r="H200" s="8"/>
    </row>
    <row r="201">
      <c r="A201" s="8" t="s">
        <v>150</v>
      </c>
      <c r="B201" s="8" t="str">
        <f>IFERROR(__xludf.DUMMYFUNCTION("""COMPUTED_VALUE"""),"Artificial Reef")</f>
        <v>Artificial Reef</v>
      </c>
      <c r="C201" s="8" t="str">
        <f>IFERROR(__xludf.DUMMYFUNCTION("""COMPUTED_VALUE"""),"Mineral Accretion")</f>
        <v>Mineral Accretion</v>
      </c>
      <c r="D201" s="8" t="str">
        <f>IFERROR(__xludf.DUMMYFUNCTION("""COMPUTED_VALUE"""),"Rubble Stabilisation")</f>
        <v>Rubble Stabilisation</v>
      </c>
      <c r="E201" s="8" t="str">
        <f>IFERROR(__xludf.DUMMYFUNCTION("""COMPUTED_VALUE"""),"Algal Removal")</f>
        <v>Algal Removal</v>
      </c>
      <c r="F201" s="8"/>
      <c r="G201" s="8"/>
      <c r="H201" s="8"/>
    </row>
    <row r="202">
      <c r="A202" s="8" t="s">
        <v>150</v>
      </c>
      <c r="B202" s="8" t="str">
        <f>IFERROR(__xludf.DUMMYFUNCTION("""COMPUTED_VALUE"""),"Artificial Reef")</f>
        <v>Artificial Reef</v>
      </c>
      <c r="C202" s="8" t="str">
        <f>IFERROR(__xludf.DUMMYFUNCTION("""COMPUTED_VALUE"""),"Mineral Accretion")</f>
        <v>Mineral Accretion</v>
      </c>
      <c r="D202" s="8" t="str">
        <f>IFERROR(__xludf.DUMMYFUNCTION("""COMPUTED_VALUE"""),"Rubble Stabilisation")</f>
        <v>Rubble Stabilisation</v>
      </c>
      <c r="E202" s="8" t="str">
        <f>IFERROR(__xludf.DUMMYFUNCTION("""COMPUTED_VALUE"""),"Algal Removal")</f>
        <v>Algal Removal</v>
      </c>
      <c r="F202" s="8"/>
      <c r="G202" s="8"/>
      <c r="H202" s="8"/>
    </row>
    <row r="203">
      <c r="A203" s="8" t="s">
        <v>150</v>
      </c>
      <c r="B203" s="8" t="str">
        <f>IFERROR(__xludf.DUMMYFUNCTION("""COMPUTED_VALUE"""),"Artificial Reef")</f>
        <v>Artificial Reef</v>
      </c>
      <c r="C203" s="8" t="str">
        <f>IFERROR(__xludf.DUMMYFUNCTION("""COMPUTED_VALUE"""),"Mineral Accretion")</f>
        <v>Mineral Accretion</v>
      </c>
      <c r="D203" s="8" t="str">
        <f>IFERROR(__xludf.DUMMYFUNCTION("""COMPUTED_VALUE"""),"Rubble Stabilisation")</f>
        <v>Rubble Stabilisation</v>
      </c>
      <c r="E203" s="8" t="str">
        <f>IFERROR(__xludf.DUMMYFUNCTION("""COMPUTED_VALUE"""),"Algal Removal")</f>
        <v>Algal Removal</v>
      </c>
      <c r="F203" s="8"/>
      <c r="G203" s="8"/>
      <c r="H203" s="8"/>
    </row>
    <row r="204">
      <c r="A204" s="8" t="s">
        <v>150</v>
      </c>
      <c r="B204" s="8" t="str">
        <f>IFERROR(__xludf.DUMMYFUNCTION("""COMPUTED_VALUE"""),"Artificial Reef")</f>
        <v>Artificial Reef</v>
      </c>
      <c r="C204" s="8" t="str">
        <f>IFERROR(__xludf.DUMMYFUNCTION("""COMPUTED_VALUE"""),"Mineral Accretion")</f>
        <v>Mineral Accretion</v>
      </c>
      <c r="D204" s="8" t="str">
        <f>IFERROR(__xludf.DUMMYFUNCTION("""COMPUTED_VALUE"""),"Rubble Stabilisation")</f>
        <v>Rubble Stabilisation</v>
      </c>
      <c r="E204" s="8" t="str">
        <f>IFERROR(__xludf.DUMMYFUNCTION("""COMPUTED_VALUE"""),"Algal Removal")</f>
        <v>Algal Removal</v>
      </c>
      <c r="F204" s="8"/>
      <c r="G204" s="8"/>
      <c r="H204" s="8"/>
    </row>
    <row r="205">
      <c r="A205" s="8" t="s">
        <v>150</v>
      </c>
      <c r="B205" s="8" t="str">
        <f>IFERROR(__xludf.DUMMYFUNCTION("""COMPUTED_VALUE"""),"Artificial Reef")</f>
        <v>Artificial Reef</v>
      </c>
      <c r="C205" s="8" t="str">
        <f>IFERROR(__xludf.DUMMYFUNCTION("""COMPUTED_VALUE"""),"Mineral Accretion")</f>
        <v>Mineral Accretion</v>
      </c>
      <c r="D205" s="8" t="str">
        <f>IFERROR(__xludf.DUMMYFUNCTION("""COMPUTED_VALUE"""),"Rubble Stabilisation")</f>
        <v>Rubble Stabilisation</v>
      </c>
      <c r="E205" s="8" t="str">
        <f>IFERROR(__xludf.DUMMYFUNCTION("""COMPUTED_VALUE"""),"Algal Removal")</f>
        <v>Algal Removal</v>
      </c>
      <c r="F205" s="8"/>
      <c r="G205" s="8"/>
      <c r="H205" s="8"/>
    </row>
    <row r="206">
      <c r="A206" s="8" t="s">
        <v>150</v>
      </c>
      <c r="B206" s="8" t="str">
        <f>IFERROR(__xludf.DUMMYFUNCTION("""COMPUTED_VALUE"""),"Artificial Reef")</f>
        <v>Artificial Reef</v>
      </c>
      <c r="C206" s="8" t="str">
        <f>IFERROR(__xludf.DUMMYFUNCTION("""COMPUTED_VALUE"""),"Mineral Accretion")</f>
        <v>Mineral Accretion</v>
      </c>
      <c r="D206" s="8" t="str">
        <f>IFERROR(__xludf.DUMMYFUNCTION("""COMPUTED_VALUE"""),"Rubble Stabilisation")</f>
        <v>Rubble Stabilisation</v>
      </c>
      <c r="E206" s="8" t="str">
        <f>IFERROR(__xludf.DUMMYFUNCTION("""COMPUTED_VALUE"""),"Algal Removal")</f>
        <v>Algal Removal</v>
      </c>
      <c r="F206" s="8"/>
      <c r="G206" s="8"/>
      <c r="H206" s="8"/>
    </row>
    <row r="207">
      <c r="A207" s="8" t="s">
        <v>150</v>
      </c>
      <c r="B207" s="8" t="str">
        <f>IFERROR(__xludf.DUMMYFUNCTION("""COMPUTED_VALUE"""),"Artificial Reef")</f>
        <v>Artificial Reef</v>
      </c>
      <c r="C207" s="8" t="str">
        <f>IFERROR(__xludf.DUMMYFUNCTION("""COMPUTED_VALUE"""),"Mineral Accretion")</f>
        <v>Mineral Accretion</v>
      </c>
      <c r="D207" s="8" t="str">
        <f>IFERROR(__xludf.DUMMYFUNCTION("""COMPUTED_VALUE"""),"Rubble Stabilisation")</f>
        <v>Rubble Stabilisation</v>
      </c>
      <c r="E207" s="8" t="str">
        <f>IFERROR(__xludf.DUMMYFUNCTION("""COMPUTED_VALUE"""),"Algal Removal")</f>
        <v>Algal Removal</v>
      </c>
      <c r="F207" s="8"/>
      <c r="G207" s="8"/>
      <c r="H207" s="8"/>
    </row>
    <row r="208">
      <c r="A208" s="8" t="s">
        <v>150</v>
      </c>
      <c r="B208" s="8" t="str">
        <f>IFERROR(__xludf.DUMMYFUNCTION("""COMPUTED_VALUE"""),"Artificial Reef")</f>
        <v>Artificial Reef</v>
      </c>
      <c r="C208" s="8" t="str">
        <f>IFERROR(__xludf.DUMMYFUNCTION("""COMPUTED_VALUE"""),"Mineral Accretion")</f>
        <v>Mineral Accretion</v>
      </c>
      <c r="D208" s="8" t="str">
        <f>IFERROR(__xludf.DUMMYFUNCTION("""COMPUTED_VALUE"""),"Rubble Stabilisation")</f>
        <v>Rubble Stabilisation</v>
      </c>
      <c r="E208" s="8" t="str">
        <f>IFERROR(__xludf.DUMMYFUNCTION("""COMPUTED_VALUE"""),"Algal Removal")</f>
        <v>Algal Removal</v>
      </c>
      <c r="F208" s="8"/>
      <c r="G208" s="8"/>
      <c r="H208" s="8"/>
    </row>
    <row r="209">
      <c r="A209" s="8" t="s">
        <v>150</v>
      </c>
      <c r="B209" s="8" t="str">
        <f>IFERROR(__xludf.DUMMYFUNCTION("""COMPUTED_VALUE"""),"Artificial Reef")</f>
        <v>Artificial Reef</v>
      </c>
      <c r="C209" s="8" t="str">
        <f>IFERROR(__xludf.DUMMYFUNCTION("""COMPUTED_VALUE"""),"Mineral Accretion")</f>
        <v>Mineral Accretion</v>
      </c>
      <c r="D209" s="8" t="str">
        <f>IFERROR(__xludf.DUMMYFUNCTION("""COMPUTED_VALUE"""),"Rubble Stabilisation")</f>
        <v>Rubble Stabilisation</v>
      </c>
      <c r="E209" s="8" t="str">
        <f>IFERROR(__xludf.DUMMYFUNCTION("""COMPUTED_VALUE"""),"Algal Removal")</f>
        <v>Algal Removal</v>
      </c>
      <c r="F209" s="8"/>
      <c r="G209" s="8"/>
      <c r="H209" s="8"/>
    </row>
    <row r="210">
      <c r="A210" s="8" t="s">
        <v>150</v>
      </c>
      <c r="B210" s="8" t="str">
        <f>IFERROR(__xludf.DUMMYFUNCTION("""COMPUTED_VALUE"""),"Artificial Reef")</f>
        <v>Artificial Reef</v>
      </c>
      <c r="C210" s="8" t="str">
        <f>IFERROR(__xludf.DUMMYFUNCTION("""COMPUTED_VALUE"""),"Mineral Accretion")</f>
        <v>Mineral Accretion</v>
      </c>
      <c r="D210" s="8" t="str">
        <f>IFERROR(__xludf.DUMMYFUNCTION("""COMPUTED_VALUE"""),"Rubble Stabilisation")</f>
        <v>Rubble Stabilisation</v>
      </c>
      <c r="E210" s="8" t="str">
        <f>IFERROR(__xludf.DUMMYFUNCTION("""COMPUTED_VALUE"""),"Algal Removal")</f>
        <v>Algal Removal</v>
      </c>
      <c r="F210" s="8"/>
      <c r="G210" s="8"/>
      <c r="H210" s="8"/>
    </row>
    <row r="211">
      <c r="A211" s="8" t="s">
        <v>150</v>
      </c>
      <c r="B211" s="8" t="str">
        <f>IFERROR(__xludf.DUMMYFUNCTION("""COMPUTED_VALUE"""),"Artificial Reef")</f>
        <v>Artificial Reef</v>
      </c>
      <c r="C211" s="8" t="str">
        <f>IFERROR(__xludf.DUMMYFUNCTION("""COMPUTED_VALUE"""),"Mineral Accretion")</f>
        <v>Mineral Accretion</v>
      </c>
      <c r="D211" s="8" t="str">
        <f>IFERROR(__xludf.DUMMYFUNCTION("""COMPUTED_VALUE"""),"Rubble Stabilisation")</f>
        <v>Rubble Stabilisation</v>
      </c>
      <c r="E211" s="8" t="str">
        <f>IFERROR(__xludf.DUMMYFUNCTION("""COMPUTED_VALUE"""),"Algal Removal")</f>
        <v>Algal Removal</v>
      </c>
      <c r="F211" s="8"/>
      <c r="G211" s="8"/>
      <c r="H211" s="8"/>
    </row>
    <row r="212">
      <c r="A212" s="8" t="s">
        <v>150</v>
      </c>
      <c r="B212" s="8" t="str">
        <f>IFERROR(__xludf.DUMMYFUNCTION("""COMPUTED_VALUE"""),"Artificial Reef")</f>
        <v>Artificial Reef</v>
      </c>
      <c r="C212" s="8" t="str">
        <f>IFERROR(__xludf.DUMMYFUNCTION("""COMPUTED_VALUE"""),"Mineral Accretion")</f>
        <v>Mineral Accretion</v>
      </c>
      <c r="D212" s="8" t="str">
        <f>IFERROR(__xludf.DUMMYFUNCTION("""COMPUTED_VALUE"""),"Rubble Stabilisation")</f>
        <v>Rubble Stabilisation</v>
      </c>
      <c r="E212" s="8" t="str">
        <f>IFERROR(__xludf.DUMMYFUNCTION("""COMPUTED_VALUE"""),"Algal Removal")</f>
        <v>Algal Removal</v>
      </c>
      <c r="F212" s="8"/>
      <c r="G212" s="8"/>
      <c r="H212" s="8"/>
    </row>
    <row r="213">
      <c r="A213" s="8" t="s">
        <v>150</v>
      </c>
      <c r="B213" s="8" t="str">
        <f>IFERROR(__xludf.DUMMYFUNCTION("""COMPUTED_VALUE"""),"Artificial Reef")</f>
        <v>Artificial Reef</v>
      </c>
      <c r="C213" s="8" t="str">
        <f>IFERROR(__xludf.DUMMYFUNCTION("""COMPUTED_VALUE"""),"Mineral Accretion")</f>
        <v>Mineral Accretion</v>
      </c>
      <c r="D213" s="8" t="str">
        <f>IFERROR(__xludf.DUMMYFUNCTION("""COMPUTED_VALUE"""),"Rubble Stabilisation")</f>
        <v>Rubble Stabilisation</v>
      </c>
      <c r="E213" s="8" t="str">
        <f>IFERROR(__xludf.DUMMYFUNCTION("""COMPUTED_VALUE"""),"Algal Removal")</f>
        <v>Algal Removal</v>
      </c>
      <c r="F213" s="8"/>
      <c r="G213" s="8"/>
      <c r="H213" s="8"/>
    </row>
    <row r="214">
      <c r="A214" s="8" t="s">
        <v>150</v>
      </c>
      <c r="B214" s="8" t="str">
        <f>IFERROR(__xludf.DUMMYFUNCTION("""COMPUTED_VALUE"""),"Artificial Reef")</f>
        <v>Artificial Reef</v>
      </c>
      <c r="C214" s="8" t="str">
        <f>IFERROR(__xludf.DUMMYFUNCTION("""COMPUTED_VALUE"""),"Mineral Accretion")</f>
        <v>Mineral Accretion</v>
      </c>
      <c r="D214" s="8" t="str">
        <f>IFERROR(__xludf.DUMMYFUNCTION("""COMPUTED_VALUE"""),"Rubble Stabilisation")</f>
        <v>Rubble Stabilisation</v>
      </c>
      <c r="E214" s="8" t="str">
        <f>IFERROR(__xludf.DUMMYFUNCTION("""COMPUTED_VALUE"""),"Algal Removal")</f>
        <v>Algal Removal</v>
      </c>
      <c r="F214" s="8"/>
      <c r="G214" s="8"/>
      <c r="H214" s="8"/>
    </row>
    <row r="215">
      <c r="A215" s="8" t="s">
        <v>150</v>
      </c>
      <c r="B215" s="8" t="str">
        <f>IFERROR(__xludf.DUMMYFUNCTION("""COMPUTED_VALUE"""),"Artificial Reef")</f>
        <v>Artificial Reef</v>
      </c>
      <c r="C215" s="8" t="str">
        <f>IFERROR(__xludf.DUMMYFUNCTION("""COMPUTED_VALUE"""),"Mineral Accretion")</f>
        <v>Mineral Accretion</v>
      </c>
      <c r="D215" s="8" t="str">
        <f>IFERROR(__xludf.DUMMYFUNCTION("""COMPUTED_VALUE"""),"Rubble Stabilisation")</f>
        <v>Rubble Stabilisation</v>
      </c>
      <c r="E215" s="8" t="str">
        <f>IFERROR(__xludf.DUMMYFUNCTION("""COMPUTED_VALUE"""),"Algal Removal")</f>
        <v>Algal Removal</v>
      </c>
      <c r="F215" s="8"/>
      <c r="G215" s="8"/>
      <c r="H215" s="8"/>
    </row>
    <row r="216">
      <c r="A216" s="8" t="s">
        <v>150</v>
      </c>
      <c r="B216" s="8" t="str">
        <f>IFERROR(__xludf.DUMMYFUNCTION("""COMPUTED_VALUE"""),"Artificial Reef")</f>
        <v>Artificial Reef</v>
      </c>
      <c r="C216" s="8" t="str">
        <f>IFERROR(__xludf.DUMMYFUNCTION("""COMPUTED_VALUE"""),"Mineral Accretion")</f>
        <v>Mineral Accretion</v>
      </c>
      <c r="D216" s="8" t="str">
        <f>IFERROR(__xludf.DUMMYFUNCTION("""COMPUTED_VALUE"""),"Rubble Stabilisation")</f>
        <v>Rubble Stabilisation</v>
      </c>
      <c r="E216" s="8" t="str">
        <f>IFERROR(__xludf.DUMMYFUNCTION("""COMPUTED_VALUE"""),"Algal Removal")</f>
        <v>Algal Removal</v>
      </c>
      <c r="F216" s="8"/>
      <c r="G216" s="8"/>
      <c r="H216" s="8"/>
    </row>
    <row r="217">
      <c r="A217" s="8" t="s">
        <v>177</v>
      </c>
      <c r="B217" s="8" t="str">
        <f>IFERROR(__xludf.DUMMYFUNCTION("""COMPUTED_VALUE"""),"Direct Transplantation")</f>
        <v>Direct Transplantation</v>
      </c>
      <c r="C217" s="8" t="str">
        <f>IFERROR(__xludf.DUMMYFUNCTION("""COMPUTED_VALUE"""),"Coral Gardening")</f>
        <v>Coral Gardening</v>
      </c>
      <c r="D217" s="8" t="str">
        <f>IFERROR(__xludf.DUMMYFUNCTION("""COMPUTED_VALUE"""),"Microfragmentation")</f>
        <v>Microfragmentation</v>
      </c>
      <c r="E217" s="8"/>
      <c r="F217" s="8"/>
      <c r="G217" s="8"/>
      <c r="H217" s="8"/>
    </row>
    <row r="218">
      <c r="A218" s="8" t="s">
        <v>150</v>
      </c>
      <c r="B218" s="8" t="str">
        <f>IFERROR(__xludf.DUMMYFUNCTION("""COMPUTED_VALUE"""),"Artificial Reef")</f>
        <v>Artificial Reef</v>
      </c>
      <c r="C218" s="8" t="str">
        <f>IFERROR(__xludf.DUMMYFUNCTION("""COMPUTED_VALUE"""),"Mineral Accretion")</f>
        <v>Mineral Accretion</v>
      </c>
      <c r="D218" s="8" t="str">
        <f>IFERROR(__xludf.DUMMYFUNCTION("""COMPUTED_VALUE"""),"Rubble Stabilisation")</f>
        <v>Rubble Stabilisation</v>
      </c>
      <c r="E218" s="8" t="str">
        <f>IFERROR(__xludf.DUMMYFUNCTION("""COMPUTED_VALUE"""),"Algal Removal")</f>
        <v>Algal Removal</v>
      </c>
      <c r="F218" s="8"/>
      <c r="G218" s="8"/>
      <c r="H218" s="8"/>
    </row>
    <row r="219">
      <c r="A219" s="8" t="s">
        <v>150</v>
      </c>
      <c r="B219" s="8" t="str">
        <f>IFERROR(__xludf.DUMMYFUNCTION("""COMPUTED_VALUE"""),"Artificial Reef")</f>
        <v>Artificial Reef</v>
      </c>
      <c r="C219" s="8" t="str">
        <f>IFERROR(__xludf.DUMMYFUNCTION("""COMPUTED_VALUE"""),"Mineral Accretion")</f>
        <v>Mineral Accretion</v>
      </c>
      <c r="D219" s="8" t="str">
        <f>IFERROR(__xludf.DUMMYFUNCTION("""COMPUTED_VALUE"""),"Rubble Stabilisation")</f>
        <v>Rubble Stabilisation</v>
      </c>
      <c r="E219" s="8" t="str">
        <f>IFERROR(__xludf.DUMMYFUNCTION("""COMPUTED_VALUE"""),"Algal Removal")</f>
        <v>Algal Removal</v>
      </c>
      <c r="F219" s="8"/>
      <c r="G219" s="8"/>
      <c r="H219" s="8"/>
    </row>
    <row r="220">
      <c r="A220" s="8" t="s">
        <v>177</v>
      </c>
      <c r="B220" s="8" t="str">
        <f>IFERROR(__xludf.DUMMYFUNCTION("""COMPUTED_VALUE"""),"Direct Transplantation")</f>
        <v>Direct Transplantation</v>
      </c>
      <c r="C220" s="8" t="str">
        <f>IFERROR(__xludf.DUMMYFUNCTION("""COMPUTED_VALUE"""),"Coral Gardening")</f>
        <v>Coral Gardening</v>
      </c>
      <c r="D220" s="8" t="str">
        <f>IFERROR(__xludf.DUMMYFUNCTION("""COMPUTED_VALUE"""),"Microfragmentation")</f>
        <v>Microfragmentation</v>
      </c>
      <c r="E220" s="8"/>
      <c r="F220" s="8"/>
      <c r="G220" s="8"/>
      <c r="H220" s="8"/>
    </row>
    <row r="221">
      <c r="A221" s="8" t="s">
        <v>150</v>
      </c>
      <c r="B221" s="8" t="str">
        <f>IFERROR(__xludf.DUMMYFUNCTION("""COMPUTED_VALUE"""),"Artificial Reef")</f>
        <v>Artificial Reef</v>
      </c>
      <c r="C221" s="8" t="str">
        <f>IFERROR(__xludf.DUMMYFUNCTION("""COMPUTED_VALUE"""),"Mineral Accretion")</f>
        <v>Mineral Accretion</v>
      </c>
      <c r="D221" s="8" t="str">
        <f>IFERROR(__xludf.DUMMYFUNCTION("""COMPUTED_VALUE"""),"Rubble Stabilisation")</f>
        <v>Rubble Stabilisation</v>
      </c>
      <c r="E221" s="8" t="str">
        <f>IFERROR(__xludf.DUMMYFUNCTION("""COMPUTED_VALUE"""),"Algal Removal")</f>
        <v>Algal Removal</v>
      </c>
      <c r="F221" s="8"/>
      <c r="G221" s="8"/>
      <c r="H221" s="8"/>
    </row>
    <row r="222">
      <c r="A222" s="8" t="s">
        <v>150</v>
      </c>
      <c r="B222" s="8" t="str">
        <f>IFERROR(__xludf.DUMMYFUNCTION("""COMPUTED_VALUE"""),"Artificial Reef")</f>
        <v>Artificial Reef</v>
      </c>
      <c r="C222" s="8" t="str">
        <f>IFERROR(__xludf.DUMMYFUNCTION("""COMPUTED_VALUE"""),"Mineral Accretion")</f>
        <v>Mineral Accretion</v>
      </c>
      <c r="D222" s="8" t="str">
        <f>IFERROR(__xludf.DUMMYFUNCTION("""COMPUTED_VALUE"""),"Rubble Stabilisation")</f>
        <v>Rubble Stabilisation</v>
      </c>
      <c r="E222" s="8" t="str">
        <f>IFERROR(__xludf.DUMMYFUNCTION("""COMPUTED_VALUE"""),"Algal Removal")</f>
        <v>Algal Removal</v>
      </c>
      <c r="F222" s="8"/>
      <c r="G222" s="8"/>
      <c r="H222" s="8"/>
    </row>
    <row r="223">
      <c r="A223" s="8" t="s">
        <v>150</v>
      </c>
      <c r="B223" s="8" t="str">
        <f>IFERROR(__xludf.DUMMYFUNCTION("""COMPUTED_VALUE"""),"Artificial Reef")</f>
        <v>Artificial Reef</v>
      </c>
      <c r="C223" s="8" t="str">
        <f>IFERROR(__xludf.DUMMYFUNCTION("""COMPUTED_VALUE"""),"Mineral Accretion")</f>
        <v>Mineral Accretion</v>
      </c>
      <c r="D223" s="8" t="str">
        <f>IFERROR(__xludf.DUMMYFUNCTION("""COMPUTED_VALUE"""),"Rubble Stabilisation")</f>
        <v>Rubble Stabilisation</v>
      </c>
      <c r="E223" s="8" t="str">
        <f>IFERROR(__xludf.DUMMYFUNCTION("""COMPUTED_VALUE"""),"Algal Removal")</f>
        <v>Algal Removal</v>
      </c>
      <c r="F223" s="8"/>
      <c r="G223" s="8"/>
      <c r="H223" s="8"/>
    </row>
    <row r="224">
      <c r="A224" s="8" t="s">
        <v>150</v>
      </c>
      <c r="B224" s="8" t="str">
        <f>IFERROR(__xludf.DUMMYFUNCTION("""COMPUTED_VALUE"""),"Artificial Reef")</f>
        <v>Artificial Reef</v>
      </c>
      <c r="C224" s="8" t="str">
        <f>IFERROR(__xludf.DUMMYFUNCTION("""COMPUTED_VALUE"""),"Mineral Accretion")</f>
        <v>Mineral Accretion</v>
      </c>
      <c r="D224" s="8" t="str">
        <f>IFERROR(__xludf.DUMMYFUNCTION("""COMPUTED_VALUE"""),"Rubble Stabilisation")</f>
        <v>Rubble Stabilisation</v>
      </c>
      <c r="E224" s="8" t="str">
        <f>IFERROR(__xludf.DUMMYFUNCTION("""COMPUTED_VALUE"""),"Algal Removal")</f>
        <v>Algal Removal</v>
      </c>
      <c r="F224" s="8"/>
      <c r="G224" s="8"/>
      <c r="H224" s="8"/>
    </row>
    <row r="225">
      <c r="A225" s="8" t="s">
        <v>150</v>
      </c>
      <c r="B225" s="8" t="str">
        <f>IFERROR(__xludf.DUMMYFUNCTION("""COMPUTED_VALUE"""),"Artificial Reef")</f>
        <v>Artificial Reef</v>
      </c>
      <c r="C225" s="8" t="str">
        <f>IFERROR(__xludf.DUMMYFUNCTION("""COMPUTED_VALUE"""),"Mineral Accretion")</f>
        <v>Mineral Accretion</v>
      </c>
      <c r="D225" s="8" t="str">
        <f>IFERROR(__xludf.DUMMYFUNCTION("""COMPUTED_VALUE"""),"Rubble Stabilisation")</f>
        <v>Rubble Stabilisation</v>
      </c>
      <c r="E225" s="8" t="str">
        <f>IFERROR(__xludf.DUMMYFUNCTION("""COMPUTED_VALUE"""),"Algal Removal")</f>
        <v>Algal Removal</v>
      </c>
      <c r="F225" s="8"/>
      <c r="G225" s="8"/>
      <c r="H225" s="8"/>
    </row>
    <row r="226">
      <c r="A226" s="8" t="s">
        <v>150</v>
      </c>
      <c r="B226" s="8" t="str">
        <f>IFERROR(__xludf.DUMMYFUNCTION("""COMPUTED_VALUE"""),"Artificial Reef")</f>
        <v>Artificial Reef</v>
      </c>
      <c r="C226" s="8" t="str">
        <f>IFERROR(__xludf.DUMMYFUNCTION("""COMPUTED_VALUE"""),"Mineral Accretion")</f>
        <v>Mineral Accretion</v>
      </c>
      <c r="D226" s="8" t="str">
        <f>IFERROR(__xludf.DUMMYFUNCTION("""COMPUTED_VALUE"""),"Rubble Stabilisation")</f>
        <v>Rubble Stabilisation</v>
      </c>
      <c r="E226" s="8" t="str">
        <f>IFERROR(__xludf.DUMMYFUNCTION("""COMPUTED_VALUE"""),"Algal Removal")</f>
        <v>Algal Removal</v>
      </c>
      <c r="F226" s="8"/>
      <c r="G226" s="8"/>
      <c r="H226" s="8"/>
    </row>
    <row r="227">
      <c r="A227" s="8" t="s">
        <v>150</v>
      </c>
      <c r="B227" s="8" t="str">
        <f>IFERROR(__xludf.DUMMYFUNCTION("""COMPUTED_VALUE"""),"Artificial Reef")</f>
        <v>Artificial Reef</v>
      </c>
      <c r="C227" s="8" t="str">
        <f>IFERROR(__xludf.DUMMYFUNCTION("""COMPUTED_VALUE"""),"Mineral Accretion")</f>
        <v>Mineral Accretion</v>
      </c>
      <c r="D227" s="8" t="str">
        <f>IFERROR(__xludf.DUMMYFUNCTION("""COMPUTED_VALUE"""),"Rubble Stabilisation")</f>
        <v>Rubble Stabilisation</v>
      </c>
      <c r="E227" s="8" t="str">
        <f>IFERROR(__xludf.DUMMYFUNCTION("""COMPUTED_VALUE"""),"Algal Removal")</f>
        <v>Algal Removal</v>
      </c>
      <c r="F227" s="8"/>
      <c r="G227" s="8"/>
      <c r="H227" s="8"/>
    </row>
    <row r="228">
      <c r="A228" s="8" t="s">
        <v>177</v>
      </c>
      <c r="B228" s="8" t="str">
        <f>IFERROR(__xludf.DUMMYFUNCTION("""COMPUTED_VALUE"""),"Direct Transplantation")</f>
        <v>Direct Transplantation</v>
      </c>
      <c r="C228" s="8" t="str">
        <f>IFERROR(__xludf.DUMMYFUNCTION("""COMPUTED_VALUE"""),"Coral Gardening")</f>
        <v>Coral Gardening</v>
      </c>
      <c r="D228" s="8" t="str">
        <f>IFERROR(__xludf.DUMMYFUNCTION("""COMPUTED_VALUE"""),"Microfragmentation")</f>
        <v>Microfragmentation</v>
      </c>
      <c r="E228" s="8"/>
      <c r="F228" s="8"/>
      <c r="G228" s="8"/>
      <c r="H228" s="8"/>
    </row>
    <row r="229">
      <c r="A229" s="8" t="s">
        <v>150</v>
      </c>
      <c r="B229" s="8" t="str">
        <f>IFERROR(__xludf.DUMMYFUNCTION("""COMPUTED_VALUE"""),"Artificial Reef")</f>
        <v>Artificial Reef</v>
      </c>
      <c r="C229" s="8" t="str">
        <f>IFERROR(__xludf.DUMMYFUNCTION("""COMPUTED_VALUE"""),"Mineral Accretion")</f>
        <v>Mineral Accretion</v>
      </c>
      <c r="D229" s="8" t="str">
        <f>IFERROR(__xludf.DUMMYFUNCTION("""COMPUTED_VALUE"""),"Rubble Stabilisation")</f>
        <v>Rubble Stabilisation</v>
      </c>
      <c r="E229" s="8" t="str">
        <f>IFERROR(__xludf.DUMMYFUNCTION("""COMPUTED_VALUE"""),"Algal Removal")</f>
        <v>Algal Removal</v>
      </c>
      <c r="F229" s="8"/>
      <c r="G229" s="8"/>
      <c r="H229" s="8"/>
    </row>
    <row r="230">
      <c r="A230" s="8" t="s">
        <v>150</v>
      </c>
      <c r="B230" s="8" t="str">
        <f>IFERROR(__xludf.DUMMYFUNCTION("""COMPUTED_VALUE"""),"Artificial Reef")</f>
        <v>Artificial Reef</v>
      </c>
      <c r="C230" s="8" t="str">
        <f>IFERROR(__xludf.DUMMYFUNCTION("""COMPUTED_VALUE"""),"Mineral Accretion")</f>
        <v>Mineral Accretion</v>
      </c>
      <c r="D230" s="8" t="str">
        <f>IFERROR(__xludf.DUMMYFUNCTION("""COMPUTED_VALUE"""),"Rubble Stabilisation")</f>
        <v>Rubble Stabilisation</v>
      </c>
      <c r="E230" s="8" t="str">
        <f>IFERROR(__xludf.DUMMYFUNCTION("""COMPUTED_VALUE"""),"Algal Removal")</f>
        <v>Algal Removal</v>
      </c>
      <c r="F230" s="8"/>
      <c r="G230" s="8"/>
      <c r="H230" s="8"/>
    </row>
    <row r="231">
      <c r="A231" s="8" t="s">
        <v>150</v>
      </c>
      <c r="B231" s="8" t="str">
        <f>IFERROR(__xludf.DUMMYFUNCTION("""COMPUTED_VALUE"""),"Artificial Reef")</f>
        <v>Artificial Reef</v>
      </c>
      <c r="C231" s="8" t="str">
        <f>IFERROR(__xludf.DUMMYFUNCTION("""COMPUTED_VALUE"""),"Mineral Accretion")</f>
        <v>Mineral Accretion</v>
      </c>
      <c r="D231" s="8" t="str">
        <f>IFERROR(__xludf.DUMMYFUNCTION("""COMPUTED_VALUE"""),"Rubble Stabilisation")</f>
        <v>Rubble Stabilisation</v>
      </c>
      <c r="E231" s="8" t="str">
        <f>IFERROR(__xludf.DUMMYFUNCTION("""COMPUTED_VALUE"""),"Algal Removal")</f>
        <v>Algal Removal</v>
      </c>
      <c r="F231" s="8"/>
      <c r="G231" s="8"/>
      <c r="H231" s="8"/>
    </row>
    <row r="232">
      <c r="A232" s="8" t="s">
        <v>150</v>
      </c>
      <c r="B232" s="8" t="str">
        <f>IFERROR(__xludf.DUMMYFUNCTION("""COMPUTED_VALUE"""),"Artificial Reef")</f>
        <v>Artificial Reef</v>
      </c>
      <c r="C232" s="8" t="str">
        <f>IFERROR(__xludf.DUMMYFUNCTION("""COMPUTED_VALUE"""),"Mineral Accretion")</f>
        <v>Mineral Accretion</v>
      </c>
      <c r="D232" s="8" t="str">
        <f>IFERROR(__xludf.DUMMYFUNCTION("""COMPUTED_VALUE"""),"Rubble Stabilisation")</f>
        <v>Rubble Stabilisation</v>
      </c>
      <c r="E232" s="8" t="str">
        <f>IFERROR(__xludf.DUMMYFUNCTION("""COMPUTED_VALUE"""),"Algal Removal")</f>
        <v>Algal Removal</v>
      </c>
      <c r="F232" s="8"/>
      <c r="G232" s="8"/>
      <c r="H232" s="8"/>
    </row>
    <row r="233">
      <c r="A233" s="8" t="s">
        <v>150</v>
      </c>
      <c r="B233" s="8" t="str">
        <f>IFERROR(__xludf.DUMMYFUNCTION("""COMPUTED_VALUE"""),"Artificial Reef")</f>
        <v>Artificial Reef</v>
      </c>
      <c r="C233" s="8" t="str">
        <f>IFERROR(__xludf.DUMMYFUNCTION("""COMPUTED_VALUE"""),"Mineral Accretion")</f>
        <v>Mineral Accretion</v>
      </c>
      <c r="D233" s="8" t="str">
        <f>IFERROR(__xludf.DUMMYFUNCTION("""COMPUTED_VALUE"""),"Rubble Stabilisation")</f>
        <v>Rubble Stabilisation</v>
      </c>
      <c r="E233" s="8" t="str">
        <f>IFERROR(__xludf.DUMMYFUNCTION("""COMPUTED_VALUE"""),"Algal Removal")</f>
        <v>Algal Removal</v>
      </c>
      <c r="F233" s="8"/>
      <c r="G233" s="8"/>
      <c r="H233" s="8"/>
    </row>
    <row r="234">
      <c r="A234" s="8" t="s">
        <v>150</v>
      </c>
      <c r="B234" s="8" t="str">
        <f>IFERROR(__xludf.DUMMYFUNCTION("""COMPUTED_VALUE"""),"Artificial Reef")</f>
        <v>Artificial Reef</v>
      </c>
      <c r="C234" s="8" t="str">
        <f>IFERROR(__xludf.DUMMYFUNCTION("""COMPUTED_VALUE"""),"Mineral Accretion")</f>
        <v>Mineral Accretion</v>
      </c>
      <c r="D234" s="8" t="str">
        <f>IFERROR(__xludf.DUMMYFUNCTION("""COMPUTED_VALUE"""),"Rubble Stabilisation")</f>
        <v>Rubble Stabilisation</v>
      </c>
      <c r="E234" s="8" t="str">
        <f>IFERROR(__xludf.DUMMYFUNCTION("""COMPUTED_VALUE"""),"Algal Removal")</f>
        <v>Algal Removal</v>
      </c>
      <c r="F234" s="8"/>
      <c r="G234" s="8"/>
      <c r="H234" s="8"/>
    </row>
    <row r="235">
      <c r="A235" s="8" t="s">
        <v>150</v>
      </c>
      <c r="B235" s="8" t="str">
        <f>IFERROR(__xludf.DUMMYFUNCTION("""COMPUTED_VALUE"""),"Artificial Reef")</f>
        <v>Artificial Reef</v>
      </c>
      <c r="C235" s="8" t="str">
        <f>IFERROR(__xludf.DUMMYFUNCTION("""COMPUTED_VALUE"""),"Mineral Accretion")</f>
        <v>Mineral Accretion</v>
      </c>
      <c r="D235" s="8" t="str">
        <f>IFERROR(__xludf.DUMMYFUNCTION("""COMPUTED_VALUE"""),"Rubble Stabilisation")</f>
        <v>Rubble Stabilisation</v>
      </c>
      <c r="E235" s="8" t="str">
        <f>IFERROR(__xludf.DUMMYFUNCTION("""COMPUTED_VALUE"""),"Algal Removal")</f>
        <v>Algal Removal</v>
      </c>
      <c r="F235" s="8"/>
      <c r="G235" s="8"/>
      <c r="H235" s="8"/>
    </row>
    <row r="236">
      <c r="A236" s="8" t="s">
        <v>150</v>
      </c>
      <c r="B236" s="8" t="str">
        <f>IFERROR(__xludf.DUMMYFUNCTION("""COMPUTED_VALUE"""),"Artificial Reef")</f>
        <v>Artificial Reef</v>
      </c>
      <c r="C236" s="8" t="str">
        <f>IFERROR(__xludf.DUMMYFUNCTION("""COMPUTED_VALUE"""),"Mineral Accretion")</f>
        <v>Mineral Accretion</v>
      </c>
      <c r="D236" s="8" t="str">
        <f>IFERROR(__xludf.DUMMYFUNCTION("""COMPUTED_VALUE"""),"Rubble Stabilisation")</f>
        <v>Rubble Stabilisation</v>
      </c>
      <c r="E236" s="8" t="str">
        <f>IFERROR(__xludf.DUMMYFUNCTION("""COMPUTED_VALUE"""),"Algal Removal")</f>
        <v>Algal Removal</v>
      </c>
      <c r="F236" s="8"/>
      <c r="G236" s="8"/>
      <c r="H236" s="8"/>
    </row>
    <row r="237">
      <c r="A237" s="8" t="s">
        <v>177</v>
      </c>
      <c r="B237" s="8" t="str">
        <f>IFERROR(__xludf.DUMMYFUNCTION("""COMPUTED_VALUE"""),"Direct Transplantation")</f>
        <v>Direct Transplantation</v>
      </c>
      <c r="C237" s="8" t="str">
        <f>IFERROR(__xludf.DUMMYFUNCTION("""COMPUTED_VALUE"""),"Coral Gardening")</f>
        <v>Coral Gardening</v>
      </c>
      <c r="D237" s="8" t="str">
        <f>IFERROR(__xludf.DUMMYFUNCTION("""COMPUTED_VALUE"""),"Microfragmentation")</f>
        <v>Microfragmentation</v>
      </c>
      <c r="E237" s="8"/>
      <c r="F237" s="8"/>
      <c r="G237" s="8"/>
      <c r="H237" s="8"/>
    </row>
    <row r="238">
      <c r="A238" s="8" t="s">
        <v>177</v>
      </c>
      <c r="B238" s="8" t="str">
        <f>IFERROR(__xludf.DUMMYFUNCTION("""COMPUTED_VALUE"""),"Direct Transplantation")</f>
        <v>Direct Transplantation</v>
      </c>
      <c r="C238" s="8" t="str">
        <f>IFERROR(__xludf.DUMMYFUNCTION("""COMPUTED_VALUE"""),"Coral Gardening")</f>
        <v>Coral Gardening</v>
      </c>
      <c r="D238" s="8" t="str">
        <f>IFERROR(__xludf.DUMMYFUNCTION("""COMPUTED_VALUE"""),"Microfragmentation")</f>
        <v>Microfragmentation</v>
      </c>
      <c r="E238" s="8"/>
      <c r="F238" s="8"/>
      <c r="G238" s="8"/>
      <c r="H238" s="8"/>
    </row>
    <row r="239">
      <c r="A239" s="8" t="s">
        <v>177</v>
      </c>
      <c r="B239" s="8" t="str">
        <f>IFERROR(__xludf.DUMMYFUNCTION("""COMPUTED_VALUE"""),"Direct Transplantation")</f>
        <v>Direct Transplantation</v>
      </c>
      <c r="C239" s="8" t="str">
        <f>IFERROR(__xludf.DUMMYFUNCTION("""COMPUTED_VALUE"""),"Coral Gardening")</f>
        <v>Coral Gardening</v>
      </c>
      <c r="D239" s="8" t="str">
        <f>IFERROR(__xludf.DUMMYFUNCTION("""COMPUTED_VALUE"""),"Microfragmentation")</f>
        <v>Microfragmentation</v>
      </c>
      <c r="E239" s="8"/>
      <c r="F239" s="8"/>
      <c r="G239" s="8"/>
      <c r="H239" s="8"/>
    </row>
    <row r="240">
      <c r="A240" s="8" t="s">
        <v>177</v>
      </c>
      <c r="B240" s="8" t="str">
        <f>IFERROR(__xludf.DUMMYFUNCTION("""COMPUTED_VALUE"""),"Direct Transplantation")</f>
        <v>Direct Transplantation</v>
      </c>
      <c r="C240" s="8" t="str">
        <f>IFERROR(__xludf.DUMMYFUNCTION("""COMPUTED_VALUE"""),"Coral Gardening")</f>
        <v>Coral Gardening</v>
      </c>
      <c r="D240" s="8" t="str">
        <f>IFERROR(__xludf.DUMMYFUNCTION("""COMPUTED_VALUE"""),"Microfragmentation")</f>
        <v>Microfragmentation</v>
      </c>
      <c r="E240" s="8"/>
      <c r="F240" s="8"/>
      <c r="G240" s="8"/>
      <c r="H240" s="8"/>
    </row>
    <row r="241">
      <c r="A241" s="8" t="s">
        <v>177</v>
      </c>
      <c r="B241" s="8" t="str">
        <f>IFERROR(__xludf.DUMMYFUNCTION("""COMPUTED_VALUE"""),"Direct Transplantation")</f>
        <v>Direct Transplantation</v>
      </c>
      <c r="C241" s="8" t="str">
        <f>IFERROR(__xludf.DUMMYFUNCTION("""COMPUTED_VALUE"""),"Coral Gardening")</f>
        <v>Coral Gardening</v>
      </c>
      <c r="D241" s="8" t="str">
        <f>IFERROR(__xludf.DUMMYFUNCTION("""COMPUTED_VALUE"""),"Microfragmentation")</f>
        <v>Microfragmentation</v>
      </c>
      <c r="E241" s="8"/>
      <c r="F241" s="8"/>
      <c r="G241" s="8"/>
      <c r="H241" s="8"/>
    </row>
    <row r="242">
      <c r="A242" s="8" t="s">
        <v>177</v>
      </c>
      <c r="B242" s="8" t="str">
        <f>IFERROR(__xludf.DUMMYFUNCTION("""COMPUTED_VALUE"""),"Direct Transplantation")</f>
        <v>Direct Transplantation</v>
      </c>
      <c r="C242" s="8" t="str">
        <f>IFERROR(__xludf.DUMMYFUNCTION("""COMPUTED_VALUE"""),"Coral Gardening")</f>
        <v>Coral Gardening</v>
      </c>
      <c r="D242" s="8" t="str">
        <f>IFERROR(__xludf.DUMMYFUNCTION("""COMPUTED_VALUE"""),"Microfragmentation")</f>
        <v>Microfragmentation</v>
      </c>
      <c r="E242" s="8"/>
      <c r="F242" s="8"/>
      <c r="G242" s="8"/>
      <c r="H242" s="8"/>
    </row>
    <row r="243">
      <c r="A243" s="8" t="s">
        <v>177</v>
      </c>
      <c r="B243" s="8" t="str">
        <f>IFERROR(__xludf.DUMMYFUNCTION("""COMPUTED_VALUE"""),"Direct Transplantation")</f>
        <v>Direct Transplantation</v>
      </c>
      <c r="C243" s="8" t="str">
        <f>IFERROR(__xludf.DUMMYFUNCTION("""COMPUTED_VALUE"""),"Coral Gardening")</f>
        <v>Coral Gardening</v>
      </c>
      <c r="D243" s="8" t="str">
        <f>IFERROR(__xludf.DUMMYFUNCTION("""COMPUTED_VALUE"""),"Microfragmentation")</f>
        <v>Microfragmentation</v>
      </c>
      <c r="E243" s="8"/>
      <c r="F243" s="8"/>
      <c r="G243" s="8"/>
      <c r="H243" s="8"/>
    </row>
    <row r="244">
      <c r="A244" s="8" t="s">
        <v>177</v>
      </c>
      <c r="B244" s="8" t="str">
        <f>IFERROR(__xludf.DUMMYFUNCTION("""COMPUTED_VALUE"""),"Direct Transplantation")</f>
        <v>Direct Transplantation</v>
      </c>
      <c r="C244" s="8" t="str">
        <f>IFERROR(__xludf.DUMMYFUNCTION("""COMPUTED_VALUE"""),"Coral Gardening")</f>
        <v>Coral Gardening</v>
      </c>
      <c r="D244" s="8" t="str">
        <f>IFERROR(__xludf.DUMMYFUNCTION("""COMPUTED_VALUE"""),"Microfragmentation")</f>
        <v>Microfragmentation</v>
      </c>
      <c r="E244" s="8"/>
      <c r="F244" s="8"/>
      <c r="G244" s="8"/>
      <c r="H244" s="8"/>
    </row>
    <row r="245">
      <c r="A245" s="8" t="s">
        <v>177</v>
      </c>
      <c r="B245" s="8" t="str">
        <f>IFERROR(__xludf.DUMMYFUNCTION("""COMPUTED_VALUE"""),"Direct Transplantation")</f>
        <v>Direct Transplantation</v>
      </c>
      <c r="C245" s="8" t="str">
        <f>IFERROR(__xludf.DUMMYFUNCTION("""COMPUTED_VALUE"""),"Coral Gardening")</f>
        <v>Coral Gardening</v>
      </c>
      <c r="D245" s="8" t="str">
        <f>IFERROR(__xludf.DUMMYFUNCTION("""COMPUTED_VALUE"""),"Microfragmentation")</f>
        <v>Microfragmentation</v>
      </c>
      <c r="E245" s="8"/>
      <c r="F245" s="8"/>
      <c r="G245" s="8"/>
      <c r="H245" s="8"/>
    </row>
    <row r="246">
      <c r="A246" s="8" t="s">
        <v>150</v>
      </c>
      <c r="B246" s="8" t="str">
        <f>IFERROR(__xludf.DUMMYFUNCTION("""COMPUTED_VALUE"""),"Artificial Reef")</f>
        <v>Artificial Reef</v>
      </c>
      <c r="C246" s="8" t="str">
        <f>IFERROR(__xludf.DUMMYFUNCTION("""COMPUTED_VALUE"""),"Mineral Accretion")</f>
        <v>Mineral Accretion</v>
      </c>
      <c r="D246" s="8" t="str">
        <f>IFERROR(__xludf.DUMMYFUNCTION("""COMPUTED_VALUE"""),"Rubble Stabilisation")</f>
        <v>Rubble Stabilisation</v>
      </c>
      <c r="E246" s="8" t="str">
        <f>IFERROR(__xludf.DUMMYFUNCTION("""COMPUTED_VALUE"""),"Algal Removal")</f>
        <v>Algal Removal</v>
      </c>
      <c r="F246" s="8"/>
      <c r="G246" s="8"/>
      <c r="H246" s="8"/>
    </row>
    <row r="247">
      <c r="A247" s="8" t="s">
        <v>150</v>
      </c>
      <c r="B247" s="8" t="str">
        <f>IFERROR(__xludf.DUMMYFUNCTION("""COMPUTED_VALUE"""),"Artificial Reef")</f>
        <v>Artificial Reef</v>
      </c>
      <c r="C247" s="8" t="str">
        <f>IFERROR(__xludf.DUMMYFUNCTION("""COMPUTED_VALUE"""),"Mineral Accretion")</f>
        <v>Mineral Accretion</v>
      </c>
      <c r="D247" s="8" t="str">
        <f>IFERROR(__xludf.DUMMYFUNCTION("""COMPUTED_VALUE"""),"Rubble Stabilisation")</f>
        <v>Rubble Stabilisation</v>
      </c>
      <c r="E247" s="8" t="str">
        <f>IFERROR(__xludf.DUMMYFUNCTION("""COMPUTED_VALUE"""),"Algal Removal")</f>
        <v>Algal Removal</v>
      </c>
      <c r="F247" s="8"/>
      <c r="G247" s="8"/>
      <c r="H247" s="8"/>
    </row>
    <row r="248">
      <c r="A248" s="8" t="s">
        <v>150</v>
      </c>
      <c r="B248" s="8" t="str">
        <f>IFERROR(__xludf.DUMMYFUNCTION("""COMPUTED_VALUE"""),"Artificial Reef")</f>
        <v>Artificial Reef</v>
      </c>
      <c r="C248" s="8" t="str">
        <f>IFERROR(__xludf.DUMMYFUNCTION("""COMPUTED_VALUE"""),"Mineral Accretion")</f>
        <v>Mineral Accretion</v>
      </c>
      <c r="D248" s="8" t="str">
        <f>IFERROR(__xludf.DUMMYFUNCTION("""COMPUTED_VALUE"""),"Rubble Stabilisation")</f>
        <v>Rubble Stabilisation</v>
      </c>
      <c r="E248" s="8" t="str">
        <f>IFERROR(__xludf.DUMMYFUNCTION("""COMPUTED_VALUE"""),"Algal Removal")</f>
        <v>Algal Removal</v>
      </c>
      <c r="F248" s="8"/>
      <c r="G248" s="8"/>
      <c r="H248" s="8"/>
    </row>
    <row r="249">
      <c r="A249" s="8" t="s">
        <v>150</v>
      </c>
      <c r="B249" s="8" t="str">
        <f>IFERROR(__xludf.DUMMYFUNCTION("""COMPUTED_VALUE"""),"Artificial Reef")</f>
        <v>Artificial Reef</v>
      </c>
      <c r="C249" s="8" t="str">
        <f>IFERROR(__xludf.DUMMYFUNCTION("""COMPUTED_VALUE"""),"Mineral Accretion")</f>
        <v>Mineral Accretion</v>
      </c>
      <c r="D249" s="8" t="str">
        <f>IFERROR(__xludf.DUMMYFUNCTION("""COMPUTED_VALUE"""),"Rubble Stabilisation")</f>
        <v>Rubble Stabilisation</v>
      </c>
      <c r="E249" s="8" t="str">
        <f>IFERROR(__xludf.DUMMYFUNCTION("""COMPUTED_VALUE"""),"Algal Removal")</f>
        <v>Algal Removal</v>
      </c>
      <c r="F249" s="8"/>
      <c r="G249" s="8"/>
      <c r="H249" s="8"/>
    </row>
    <row r="250">
      <c r="A250" s="8" t="s">
        <v>150</v>
      </c>
      <c r="B250" s="8" t="str">
        <f>IFERROR(__xludf.DUMMYFUNCTION("""COMPUTED_VALUE"""),"Artificial Reef")</f>
        <v>Artificial Reef</v>
      </c>
      <c r="C250" s="8" t="str">
        <f>IFERROR(__xludf.DUMMYFUNCTION("""COMPUTED_VALUE"""),"Mineral Accretion")</f>
        <v>Mineral Accretion</v>
      </c>
      <c r="D250" s="8" t="str">
        <f>IFERROR(__xludf.DUMMYFUNCTION("""COMPUTED_VALUE"""),"Rubble Stabilisation")</f>
        <v>Rubble Stabilisation</v>
      </c>
      <c r="E250" s="8" t="str">
        <f>IFERROR(__xludf.DUMMYFUNCTION("""COMPUTED_VALUE"""),"Algal Removal")</f>
        <v>Algal Removal</v>
      </c>
      <c r="F250" s="8"/>
      <c r="G250" s="8"/>
      <c r="H250" s="8"/>
    </row>
    <row r="251">
      <c r="A251" s="8" t="s">
        <v>150</v>
      </c>
      <c r="B251" s="8" t="str">
        <f>IFERROR(__xludf.DUMMYFUNCTION("""COMPUTED_VALUE"""),"Artificial Reef")</f>
        <v>Artificial Reef</v>
      </c>
      <c r="C251" s="8" t="str">
        <f>IFERROR(__xludf.DUMMYFUNCTION("""COMPUTED_VALUE"""),"Mineral Accretion")</f>
        <v>Mineral Accretion</v>
      </c>
      <c r="D251" s="8" t="str">
        <f>IFERROR(__xludf.DUMMYFUNCTION("""COMPUTED_VALUE"""),"Rubble Stabilisation")</f>
        <v>Rubble Stabilisation</v>
      </c>
      <c r="E251" s="8" t="str">
        <f>IFERROR(__xludf.DUMMYFUNCTION("""COMPUTED_VALUE"""),"Algal Removal")</f>
        <v>Algal Removal</v>
      </c>
      <c r="F251" s="8"/>
      <c r="G251" s="8"/>
      <c r="H251" s="8"/>
    </row>
    <row r="252">
      <c r="A252" s="8" t="s">
        <v>177</v>
      </c>
      <c r="B252" s="8" t="str">
        <f>IFERROR(__xludf.DUMMYFUNCTION("""COMPUTED_VALUE"""),"Direct Transplantation")</f>
        <v>Direct Transplantation</v>
      </c>
      <c r="C252" s="8" t="str">
        <f>IFERROR(__xludf.DUMMYFUNCTION("""COMPUTED_VALUE"""),"Coral Gardening")</f>
        <v>Coral Gardening</v>
      </c>
      <c r="D252" s="8" t="str">
        <f>IFERROR(__xludf.DUMMYFUNCTION("""COMPUTED_VALUE"""),"Microfragmentation")</f>
        <v>Microfragmentation</v>
      </c>
      <c r="E252" s="8"/>
      <c r="F252" s="8"/>
      <c r="G252" s="8"/>
      <c r="H252" s="8"/>
    </row>
    <row r="253">
      <c r="A253" s="8" t="s">
        <v>150</v>
      </c>
      <c r="B253" s="8" t="str">
        <f>IFERROR(__xludf.DUMMYFUNCTION("""COMPUTED_VALUE"""),"Artificial Reef")</f>
        <v>Artificial Reef</v>
      </c>
      <c r="C253" s="8" t="str">
        <f>IFERROR(__xludf.DUMMYFUNCTION("""COMPUTED_VALUE"""),"Mineral Accretion")</f>
        <v>Mineral Accretion</v>
      </c>
      <c r="D253" s="8" t="str">
        <f>IFERROR(__xludf.DUMMYFUNCTION("""COMPUTED_VALUE"""),"Rubble Stabilisation")</f>
        <v>Rubble Stabilisation</v>
      </c>
      <c r="E253" s="8" t="str">
        <f>IFERROR(__xludf.DUMMYFUNCTION("""COMPUTED_VALUE"""),"Algal Removal")</f>
        <v>Algal Removal</v>
      </c>
      <c r="F253" s="8"/>
      <c r="G253" s="8"/>
      <c r="H253" s="8"/>
    </row>
    <row r="254">
      <c r="A254" s="8" t="s">
        <v>150</v>
      </c>
      <c r="B254" s="8" t="str">
        <f>IFERROR(__xludf.DUMMYFUNCTION("""COMPUTED_VALUE"""),"Artificial Reef")</f>
        <v>Artificial Reef</v>
      </c>
      <c r="C254" s="8" t="str">
        <f>IFERROR(__xludf.DUMMYFUNCTION("""COMPUTED_VALUE"""),"Mineral Accretion")</f>
        <v>Mineral Accretion</v>
      </c>
      <c r="D254" s="8" t="str">
        <f>IFERROR(__xludf.DUMMYFUNCTION("""COMPUTED_VALUE"""),"Rubble Stabilisation")</f>
        <v>Rubble Stabilisation</v>
      </c>
      <c r="E254" s="8" t="str">
        <f>IFERROR(__xludf.DUMMYFUNCTION("""COMPUTED_VALUE"""),"Algal Removal")</f>
        <v>Algal Removal</v>
      </c>
      <c r="F254" s="8"/>
      <c r="G254" s="8"/>
      <c r="H254" s="8"/>
    </row>
    <row r="255">
      <c r="A255" s="8" t="s">
        <v>150</v>
      </c>
      <c r="B255" s="8" t="str">
        <f>IFERROR(__xludf.DUMMYFUNCTION("""COMPUTED_VALUE"""),"Artificial Reef")</f>
        <v>Artificial Reef</v>
      </c>
      <c r="C255" s="8" t="str">
        <f>IFERROR(__xludf.DUMMYFUNCTION("""COMPUTED_VALUE"""),"Mineral Accretion")</f>
        <v>Mineral Accretion</v>
      </c>
      <c r="D255" s="8" t="str">
        <f>IFERROR(__xludf.DUMMYFUNCTION("""COMPUTED_VALUE"""),"Rubble Stabilisation")</f>
        <v>Rubble Stabilisation</v>
      </c>
      <c r="E255" s="8" t="str">
        <f>IFERROR(__xludf.DUMMYFUNCTION("""COMPUTED_VALUE"""),"Algal Removal")</f>
        <v>Algal Removal</v>
      </c>
      <c r="F255" s="8"/>
      <c r="G255" s="8"/>
      <c r="H255" s="8"/>
    </row>
    <row r="256">
      <c r="A256" s="8" t="s">
        <v>150</v>
      </c>
      <c r="B256" s="8" t="str">
        <f>IFERROR(__xludf.DUMMYFUNCTION("""COMPUTED_VALUE"""),"Artificial Reef")</f>
        <v>Artificial Reef</v>
      </c>
      <c r="C256" s="8" t="str">
        <f>IFERROR(__xludf.DUMMYFUNCTION("""COMPUTED_VALUE"""),"Mineral Accretion")</f>
        <v>Mineral Accretion</v>
      </c>
      <c r="D256" s="8" t="str">
        <f>IFERROR(__xludf.DUMMYFUNCTION("""COMPUTED_VALUE"""),"Rubble Stabilisation")</f>
        <v>Rubble Stabilisation</v>
      </c>
      <c r="E256" s="8" t="str">
        <f>IFERROR(__xludf.DUMMYFUNCTION("""COMPUTED_VALUE"""),"Algal Removal")</f>
        <v>Algal Removal</v>
      </c>
      <c r="F256" s="8"/>
      <c r="G256" s="8"/>
      <c r="H256" s="8"/>
    </row>
    <row r="257">
      <c r="A257" s="8" t="s">
        <v>150</v>
      </c>
      <c r="B257" s="8" t="str">
        <f>IFERROR(__xludf.DUMMYFUNCTION("""COMPUTED_VALUE"""),"Artificial Reef")</f>
        <v>Artificial Reef</v>
      </c>
      <c r="C257" s="8" t="str">
        <f>IFERROR(__xludf.DUMMYFUNCTION("""COMPUTED_VALUE"""),"Mineral Accretion")</f>
        <v>Mineral Accretion</v>
      </c>
      <c r="D257" s="8" t="str">
        <f>IFERROR(__xludf.DUMMYFUNCTION("""COMPUTED_VALUE"""),"Rubble Stabilisation")</f>
        <v>Rubble Stabilisation</v>
      </c>
      <c r="E257" s="8" t="str">
        <f>IFERROR(__xludf.DUMMYFUNCTION("""COMPUTED_VALUE"""),"Algal Removal")</f>
        <v>Algal Removal</v>
      </c>
      <c r="F257" s="8"/>
      <c r="G257" s="8"/>
      <c r="H257" s="8"/>
    </row>
    <row r="258">
      <c r="A258" s="8" t="s">
        <v>199</v>
      </c>
      <c r="B258" s="8" t="str">
        <f>IFERROR(__xludf.DUMMYFUNCTION("""COMPUTED_VALUE"""),"Larval Enhancement")</f>
        <v>Larval Enhancement</v>
      </c>
      <c r="C258" s="8"/>
      <c r="D258" s="8"/>
      <c r="E258" s="8"/>
      <c r="F258" s="8"/>
      <c r="G258" s="8"/>
      <c r="H258" s="8"/>
    </row>
    <row r="259">
      <c r="A259" s="8" t="s">
        <v>199</v>
      </c>
      <c r="B259" s="8" t="str">
        <f>IFERROR(__xludf.DUMMYFUNCTION("""COMPUTED_VALUE"""),"Larval Enhancement")</f>
        <v>Larval Enhancement</v>
      </c>
      <c r="C259" s="8"/>
      <c r="D259" s="8"/>
      <c r="E259" s="8"/>
      <c r="F259" s="8"/>
      <c r="G259" s="8"/>
      <c r="H259" s="8"/>
    </row>
    <row r="260">
      <c r="A260" s="8" t="s">
        <v>177</v>
      </c>
      <c r="B260" s="8" t="str">
        <f>IFERROR(__xludf.DUMMYFUNCTION("""COMPUTED_VALUE"""),"Direct Transplantation")</f>
        <v>Direct Transplantation</v>
      </c>
      <c r="C260" s="8" t="str">
        <f>IFERROR(__xludf.DUMMYFUNCTION("""COMPUTED_VALUE"""),"Coral Gardening")</f>
        <v>Coral Gardening</v>
      </c>
      <c r="D260" s="8" t="str">
        <f>IFERROR(__xludf.DUMMYFUNCTION("""COMPUTED_VALUE"""),"Microfragmentation")</f>
        <v>Microfragmentation</v>
      </c>
      <c r="E260" s="8"/>
      <c r="F260" s="8"/>
      <c r="G260" s="8"/>
      <c r="H260" s="8"/>
    </row>
    <row r="261">
      <c r="A261" s="8" t="s">
        <v>199</v>
      </c>
      <c r="B261" s="8" t="str">
        <f>IFERROR(__xludf.DUMMYFUNCTION("""COMPUTED_VALUE"""),"Larval Enhancement")</f>
        <v>Larval Enhancement</v>
      </c>
      <c r="C261" s="8"/>
      <c r="D261" s="8"/>
      <c r="E261" s="8"/>
      <c r="F261" s="8"/>
      <c r="G261" s="8"/>
      <c r="H261" s="8"/>
    </row>
    <row r="262">
      <c r="A262" s="8" t="s">
        <v>199</v>
      </c>
      <c r="B262" s="8" t="str">
        <f>IFERROR(__xludf.DUMMYFUNCTION("""COMPUTED_VALUE"""),"Larval Enhancement")</f>
        <v>Larval Enhancement</v>
      </c>
      <c r="C262" s="8"/>
      <c r="D262" s="8"/>
      <c r="E262" s="8"/>
      <c r="F262" s="8"/>
      <c r="G262" s="8"/>
      <c r="H262" s="8"/>
    </row>
    <row r="263">
      <c r="A263" s="8" t="s">
        <v>199</v>
      </c>
      <c r="B263" s="8" t="str">
        <f>IFERROR(__xludf.DUMMYFUNCTION("""COMPUTED_VALUE"""),"Larval Enhancement")</f>
        <v>Larval Enhancement</v>
      </c>
      <c r="C263" s="8"/>
      <c r="D263" s="8"/>
      <c r="E263" s="8"/>
      <c r="F263" s="8"/>
      <c r="G263" s="8"/>
      <c r="H263" s="8"/>
    </row>
    <row r="264">
      <c r="A264" s="8" t="s">
        <v>199</v>
      </c>
      <c r="B264" s="8" t="str">
        <f>IFERROR(__xludf.DUMMYFUNCTION("""COMPUTED_VALUE"""),"Larval Enhancement")</f>
        <v>Larval Enhancement</v>
      </c>
      <c r="C264" s="8"/>
      <c r="D264" s="8"/>
      <c r="E264" s="8"/>
      <c r="F264" s="8"/>
      <c r="G264" s="8"/>
      <c r="H264" s="8"/>
    </row>
    <row r="265">
      <c r="A265" s="8" t="s">
        <v>199</v>
      </c>
      <c r="B265" s="8" t="str">
        <f>IFERROR(__xludf.DUMMYFUNCTION("""COMPUTED_VALUE"""),"Larval Enhancement")</f>
        <v>Larval Enhancement</v>
      </c>
      <c r="C265" s="8"/>
      <c r="D265" s="8"/>
      <c r="E265" s="8"/>
      <c r="F265" s="8"/>
      <c r="G265" s="8"/>
      <c r="H265" s="8"/>
    </row>
    <row r="266">
      <c r="A266" s="8" t="s">
        <v>150</v>
      </c>
      <c r="B266" s="8" t="str">
        <f>IFERROR(__xludf.DUMMYFUNCTION("""COMPUTED_VALUE"""),"Artificial Reef")</f>
        <v>Artificial Reef</v>
      </c>
      <c r="C266" s="8" t="str">
        <f>IFERROR(__xludf.DUMMYFUNCTION("""COMPUTED_VALUE"""),"Mineral Accretion")</f>
        <v>Mineral Accretion</v>
      </c>
      <c r="D266" s="8" t="str">
        <f>IFERROR(__xludf.DUMMYFUNCTION("""COMPUTED_VALUE"""),"Rubble Stabilisation")</f>
        <v>Rubble Stabilisation</v>
      </c>
      <c r="E266" s="8" t="str">
        <f>IFERROR(__xludf.DUMMYFUNCTION("""COMPUTED_VALUE"""),"Algal Removal")</f>
        <v>Algal Removal</v>
      </c>
      <c r="F266" s="8"/>
      <c r="G266" s="8"/>
      <c r="H266" s="8"/>
    </row>
    <row r="267">
      <c r="A267" s="8" t="s">
        <v>150</v>
      </c>
      <c r="B267" s="8" t="str">
        <f>IFERROR(__xludf.DUMMYFUNCTION("""COMPUTED_VALUE"""),"Artificial Reef")</f>
        <v>Artificial Reef</v>
      </c>
      <c r="C267" s="8" t="str">
        <f>IFERROR(__xludf.DUMMYFUNCTION("""COMPUTED_VALUE"""),"Mineral Accretion")</f>
        <v>Mineral Accretion</v>
      </c>
      <c r="D267" s="8" t="str">
        <f>IFERROR(__xludf.DUMMYFUNCTION("""COMPUTED_VALUE"""),"Rubble Stabilisation")</f>
        <v>Rubble Stabilisation</v>
      </c>
      <c r="E267" s="8" t="str">
        <f>IFERROR(__xludf.DUMMYFUNCTION("""COMPUTED_VALUE"""),"Algal Removal")</f>
        <v>Algal Removal</v>
      </c>
      <c r="F267" s="8"/>
      <c r="G267" s="8"/>
      <c r="H267" s="8"/>
    </row>
    <row r="268">
      <c r="A268" s="8" t="s">
        <v>263</v>
      </c>
      <c r="B268" s="8" t="str">
        <f>IFERROR(__xludf.DUMMYFUNCTION("""COMPUTED_VALUE"""),"Direct Transplantation")</f>
        <v>Direct Transplantation</v>
      </c>
      <c r="C268" s="8" t="str">
        <f>IFERROR(__xludf.DUMMYFUNCTION("""COMPUTED_VALUE"""),"Coral Gardening")</f>
        <v>Coral Gardening</v>
      </c>
      <c r="D268" s="8" t="str">
        <f>IFERROR(__xludf.DUMMYFUNCTION("""COMPUTED_VALUE"""),"Microfragmentation")</f>
        <v>Microfragmentation</v>
      </c>
      <c r="E268" s="8" t="str">
        <f>IFERROR(__xludf.DUMMYFUNCTION("""COMPUTED_VALUE"""),"Artificial Reef")</f>
        <v>Artificial Reef</v>
      </c>
      <c r="F268" s="8" t="str">
        <f>IFERROR(__xludf.DUMMYFUNCTION("""COMPUTED_VALUE"""),"Mineral Accretion")</f>
        <v>Mineral Accretion</v>
      </c>
      <c r="G268" s="8" t="str">
        <f>IFERROR(__xludf.DUMMYFUNCTION("""COMPUTED_VALUE"""),"Rubble Stabilisation")</f>
        <v>Rubble Stabilisation</v>
      </c>
      <c r="H268" s="8" t="str">
        <f>IFERROR(__xludf.DUMMYFUNCTION("""COMPUTED_VALUE"""),"Algal Removal")</f>
        <v>Algal Removal</v>
      </c>
    </row>
    <row r="269">
      <c r="A269" s="8" t="s">
        <v>150</v>
      </c>
      <c r="B269" s="8" t="str">
        <f>IFERROR(__xludf.DUMMYFUNCTION("""COMPUTED_VALUE"""),"Artificial Reef")</f>
        <v>Artificial Reef</v>
      </c>
      <c r="C269" s="8" t="str">
        <f>IFERROR(__xludf.DUMMYFUNCTION("""COMPUTED_VALUE"""),"Mineral Accretion")</f>
        <v>Mineral Accretion</v>
      </c>
      <c r="D269" s="8" t="str">
        <f>IFERROR(__xludf.DUMMYFUNCTION("""COMPUTED_VALUE"""),"Rubble Stabilisation")</f>
        <v>Rubble Stabilisation</v>
      </c>
      <c r="E269" s="8" t="str">
        <f>IFERROR(__xludf.DUMMYFUNCTION("""COMPUTED_VALUE"""),"Algal Removal")</f>
        <v>Algal Removal</v>
      </c>
      <c r="F269" s="8"/>
      <c r="G269" s="8"/>
      <c r="H269" s="8"/>
    </row>
    <row r="270">
      <c r="A270" s="8" t="s">
        <v>150</v>
      </c>
      <c r="B270" s="8" t="str">
        <f>IFERROR(__xludf.DUMMYFUNCTION("""COMPUTED_VALUE"""),"Artificial Reef")</f>
        <v>Artificial Reef</v>
      </c>
      <c r="C270" s="8" t="str">
        <f>IFERROR(__xludf.DUMMYFUNCTION("""COMPUTED_VALUE"""),"Mineral Accretion")</f>
        <v>Mineral Accretion</v>
      </c>
      <c r="D270" s="8" t="str">
        <f>IFERROR(__xludf.DUMMYFUNCTION("""COMPUTED_VALUE"""),"Rubble Stabilisation")</f>
        <v>Rubble Stabilisation</v>
      </c>
      <c r="E270" s="8" t="str">
        <f>IFERROR(__xludf.DUMMYFUNCTION("""COMPUTED_VALUE"""),"Algal Removal")</f>
        <v>Algal Removal</v>
      </c>
      <c r="F270" s="8"/>
      <c r="G270" s="8"/>
      <c r="H270" s="8"/>
    </row>
    <row r="271">
      <c r="A271" s="8" t="s">
        <v>150</v>
      </c>
      <c r="B271" s="8" t="str">
        <f>IFERROR(__xludf.DUMMYFUNCTION("""COMPUTED_VALUE"""),"Artificial Reef")</f>
        <v>Artificial Reef</v>
      </c>
      <c r="C271" s="8" t="str">
        <f>IFERROR(__xludf.DUMMYFUNCTION("""COMPUTED_VALUE"""),"Mineral Accretion")</f>
        <v>Mineral Accretion</v>
      </c>
      <c r="D271" s="8" t="str">
        <f>IFERROR(__xludf.DUMMYFUNCTION("""COMPUTED_VALUE"""),"Rubble Stabilisation")</f>
        <v>Rubble Stabilisation</v>
      </c>
      <c r="E271" s="8" t="str">
        <f>IFERROR(__xludf.DUMMYFUNCTION("""COMPUTED_VALUE"""),"Algal Removal")</f>
        <v>Algal Removal</v>
      </c>
      <c r="F271" s="8"/>
      <c r="G271" s="8"/>
      <c r="H271" s="8"/>
    </row>
    <row r="272">
      <c r="A272" s="8" t="s">
        <v>150</v>
      </c>
      <c r="B272" s="8" t="str">
        <f>IFERROR(__xludf.DUMMYFUNCTION("""COMPUTED_VALUE"""),"Artificial Reef")</f>
        <v>Artificial Reef</v>
      </c>
      <c r="C272" s="8" t="str">
        <f>IFERROR(__xludf.DUMMYFUNCTION("""COMPUTED_VALUE"""),"Mineral Accretion")</f>
        <v>Mineral Accretion</v>
      </c>
      <c r="D272" s="8" t="str">
        <f>IFERROR(__xludf.DUMMYFUNCTION("""COMPUTED_VALUE"""),"Rubble Stabilisation")</f>
        <v>Rubble Stabilisation</v>
      </c>
      <c r="E272" s="8" t="str">
        <f>IFERROR(__xludf.DUMMYFUNCTION("""COMPUTED_VALUE"""),"Algal Removal")</f>
        <v>Algal Removal</v>
      </c>
      <c r="F272" s="8"/>
      <c r="G272" s="8"/>
      <c r="H272" s="8"/>
    </row>
    <row r="273">
      <c r="A273" s="8" t="s">
        <v>150</v>
      </c>
      <c r="B273" s="8" t="str">
        <f>IFERROR(__xludf.DUMMYFUNCTION("""COMPUTED_VALUE"""),"Artificial Reef")</f>
        <v>Artificial Reef</v>
      </c>
      <c r="C273" s="8" t="str">
        <f>IFERROR(__xludf.DUMMYFUNCTION("""COMPUTED_VALUE"""),"Mineral Accretion")</f>
        <v>Mineral Accretion</v>
      </c>
      <c r="D273" s="8" t="str">
        <f>IFERROR(__xludf.DUMMYFUNCTION("""COMPUTED_VALUE"""),"Rubble Stabilisation")</f>
        <v>Rubble Stabilisation</v>
      </c>
      <c r="E273" s="8" t="str">
        <f>IFERROR(__xludf.DUMMYFUNCTION("""COMPUTED_VALUE"""),"Algal Removal")</f>
        <v>Algal Removal</v>
      </c>
      <c r="F273" s="8"/>
      <c r="G273" s="8"/>
      <c r="H273" s="8"/>
    </row>
    <row r="274">
      <c r="A274" s="8" t="s">
        <v>298</v>
      </c>
      <c r="B274" s="8" t="str">
        <f>IFERROR(__xludf.DUMMYFUNCTION("""COMPUTED_VALUE"""),"Direct Transplantation")</f>
        <v>Direct Transplantation</v>
      </c>
      <c r="C274" s="8" t="str">
        <f>IFERROR(__xludf.DUMMYFUNCTION("""COMPUTED_VALUE"""),"Coral Gardening")</f>
        <v>Coral Gardening</v>
      </c>
      <c r="D274" s="8" t="str">
        <f>IFERROR(__xludf.DUMMYFUNCTION("""COMPUTED_VALUE"""),"Microfragmentation")</f>
        <v>Microfragmentation</v>
      </c>
      <c r="E274" s="8" t="str">
        <f>IFERROR(__xludf.DUMMYFUNCTION("""COMPUTED_VALUE"""),"Larval Enhancement")</f>
        <v>Larval Enhancement</v>
      </c>
      <c r="F274" s="8"/>
      <c r="G274" s="8"/>
      <c r="H274" s="8"/>
    </row>
    <row r="275">
      <c r="A275" s="8" t="s">
        <v>199</v>
      </c>
      <c r="B275" s="8" t="str">
        <f>IFERROR(__xludf.DUMMYFUNCTION("""COMPUTED_VALUE"""),"Larval Enhancement")</f>
        <v>Larval Enhancement</v>
      </c>
      <c r="C275" s="8"/>
      <c r="D275" s="8"/>
      <c r="E275" s="8"/>
      <c r="F275" s="8"/>
      <c r="G275" s="8"/>
      <c r="H275" s="8"/>
    </row>
    <row r="276">
      <c r="A276" s="8" t="s">
        <v>150</v>
      </c>
      <c r="B276" s="8" t="str">
        <f>IFERROR(__xludf.DUMMYFUNCTION("""COMPUTED_VALUE"""),"Artificial Reef")</f>
        <v>Artificial Reef</v>
      </c>
      <c r="C276" s="8" t="str">
        <f>IFERROR(__xludf.DUMMYFUNCTION("""COMPUTED_VALUE"""),"Mineral Accretion")</f>
        <v>Mineral Accretion</v>
      </c>
      <c r="D276" s="8" t="str">
        <f>IFERROR(__xludf.DUMMYFUNCTION("""COMPUTED_VALUE"""),"Rubble Stabilisation")</f>
        <v>Rubble Stabilisation</v>
      </c>
      <c r="E276" s="8" t="str">
        <f>IFERROR(__xludf.DUMMYFUNCTION("""COMPUTED_VALUE"""),"Algal Removal")</f>
        <v>Algal Removal</v>
      </c>
      <c r="F276" s="8"/>
      <c r="G276" s="8"/>
      <c r="H276" s="8"/>
    </row>
    <row r="277">
      <c r="A277" s="8" t="s">
        <v>150</v>
      </c>
      <c r="B277" s="8" t="str">
        <f>IFERROR(__xludf.DUMMYFUNCTION("""COMPUTED_VALUE"""),"Artificial Reef")</f>
        <v>Artificial Reef</v>
      </c>
      <c r="C277" s="8" t="str">
        <f>IFERROR(__xludf.DUMMYFUNCTION("""COMPUTED_VALUE"""),"Mineral Accretion")</f>
        <v>Mineral Accretion</v>
      </c>
      <c r="D277" s="8" t="str">
        <f>IFERROR(__xludf.DUMMYFUNCTION("""COMPUTED_VALUE"""),"Rubble Stabilisation")</f>
        <v>Rubble Stabilisation</v>
      </c>
      <c r="E277" s="8" t="str">
        <f>IFERROR(__xludf.DUMMYFUNCTION("""COMPUTED_VALUE"""),"Algal Removal")</f>
        <v>Algal Removal</v>
      </c>
      <c r="F277" s="8"/>
      <c r="G277" s="8"/>
      <c r="H277" s="8"/>
    </row>
    <row r="278">
      <c r="A278" s="8" t="s">
        <v>150</v>
      </c>
      <c r="B278" s="8" t="str">
        <f>IFERROR(__xludf.DUMMYFUNCTION("""COMPUTED_VALUE"""),"Artificial Reef")</f>
        <v>Artificial Reef</v>
      </c>
      <c r="C278" s="8" t="str">
        <f>IFERROR(__xludf.DUMMYFUNCTION("""COMPUTED_VALUE"""),"Mineral Accretion")</f>
        <v>Mineral Accretion</v>
      </c>
      <c r="D278" s="8" t="str">
        <f>IFERROR(__xludf.DUMMYFUNCTION("""COMPUTED_VALUE"""),"Rubble Stabilisation")</f>
        <v>Rubble Stabilisation</v>
      </c>
      <c r="E278" s="8" t="str">
        <f>IFERROR(__xludf.DUMMYFUNCTION("""COMPUTED_VALUE"""),"Algal Removal")</f>
        <v>Algal Removal</v>
      </c>
      <c r="F278" s="8"/>
      <c r="G278" s="8"/>
      <c r="H278" s="8"/>
    </row>
    <row r="279">
      <c r="A279" s="8" t="s">
        <v>150</v>
      </c>
      <c r="B279" s="8" t="str">
        <f>IFERROR(__xludf.DUMMYFUNCTION("""COMPUTED_VALUE"""),"Artificial Reef")</f>
        <v>Artificial Reef</v>
      </c>
      <c r="C279" s="8" t="str">
        <f>IFERROR(__xludf.DUMMYFUNCTION("""COMPUTED_VALUE"""),"Mineral Accretion")</f>
        <v>Mineral Accretion</v>
      </c>
      <c r="D279" s="8" t="str">
        <f>IFERROR(__xludf.DUMMYFUNCTION("""COMPUTED_VALUE"""),"Rubble Stabilisation")</f>
        <v>Rubble Stabilisation</v>
      </c>
      <c r="E279" s="8" t="str">
        <f>IFERROR(__xludf.DUMMYFUNCTION("""COMPUTED_VALUE"""),"Algal Removal")</f>
        <v>Algal Removal</v>
      </c>
      <c r="F279" s="8"/>
      <c r="G279" s="8"/>
      <c r="H279" s="8"/>
    </row>
    <row r="280">
      <c r="A280" s="8" t="s">
        <v>150</v>
      </c>
      <c r="B280" s="8" t="str">
        <f>IFERROR(__xludf.DUMMYFUNCTION("""COMPUTED_VALUE"""),"Artificial Reef")</f>
        <v>Artificial Reef</v>
      </c>
      <c r="C280" s="8" t="str">
        <f>IFERROR(__xludf.DUMMYFUNCTION("""COMPUTED_VALUE"""),"Mineral Accretion")</f>
        <v>Mineral Accretion</v>
      </c>
      <c r="D280" s="8" t="str">
        <f>IFERROR(__xludf.DUMMYFUNCTION("""COMPUTED_VALUE"""),"Rubble Stabilisation")</f>
        <v>Rubble Stabilisation</v>
      </c>
      <c r="E280" s="8" t="str">
        <f>IFERROR(__xludf.DUMMYFUNCTION("""COMPUTED_VALUE"""),"Algal Removal")</f>
        <v>Algal Removal</v>
      </c>
      <c r="F280" s="8"/>
      <c r="G280" s="8"/>
      <c r="H280" s="8"/>
    </row>
    <row r="281">
      <c r="A281" s="8" t="s">
        <v>150</v>
      </c>
      <c r="B281" s="8" t="str">
        <f>IFERROR(__xludf.DUMMYFUNCTION("""COMPUTED_VALUE"""),"Artificial Reef")</f>
        <v>Artificial Reef</v>
      </c>
      <c r="C281" s="8" t="str">
        <f>IFERROR(__xludf.DUMMYFUNCTION("""COMPUTED_VALUE"""),"Mineral Accretion")</f>
        <v>Mineral Accretion</v>
      </c>
      <c r="D281" s="8" t="str">
        <f>IFERROR(__xludf.DUMMYFUNCTION("""COMPUTED_VALUE"""),"Rubble Stabilisation")</f>
        <v>Rubble Stabilisation</v>
      </c>
      <c r="E281" s="8" t="str">
        <f>IFERROR(__xludf.DUMMYFUNCTION("""COMPUTED_VALUE"""),"Algal Removal")</f>
        <v>Algal Removal</v>
      </c>
      <c r="F281" s="8"/>
      <c r="G281" s="8"/>
      <c r="H281" s="8"/>
    </row>
    <row r="282">
      <c r="A282" s="8" t="s">
        <v>150</v>
      </c>
      <c r="B282" s="8" t="str">
        <f>IFERROR(__xludf.DUMMYFUNCTION("""COMPUTED_VALUE"""),"Artificial Reef")</f>
        <v>Artificial Reef</v>
      </c>
      <c r="C282" s="8" t="str">
        <f>IFERROR(__xludf.DUMMYFUNCTION("""COMPUTED_VALUE"""),"Mineral Accretion")</f>
        <v>Mineral Accretion</v>
      </c>
      <c r="D282" s="8" t="str">
        <f>IFERROR(__xludf.DUMMYFUNCTION("""COMPUTED_VALUE"""),"Rubble Stabilisation")</f>
        <v>Rubble Stabilisation</v>
      </c>
      <c r="E282" s="8" t="str">
        <f>IFERROR(__xludf.DUMMYFUNCTION("""COMPUTED_VALUE"""),"Algal Removal")</f>
        <v>Algal Removal</v>
      </c>
      <c r="F282" s="8"/>
      <c r="G282" s="8"/>
      <c r="H282" s="8"/>
    </row>
    <row r="283">
      <c r="A283" s="8" t="s">
        <v>150</v>
      </c>
      <c r="B283" s="8" t="str">
        <f>IFERROR(__xludf.DUMMYFUNCTION("""COMPUTED_VALUE"""),"Artificial Reef")</f>
        <v>Artificial Reef</v>
      </c>
      <c r="C283" s="8" t="str">
        <f>IFERROR(__xludf.DUMMYFUNCTION("""COMPUTED_VALUE"""),"Mineral Accretion")</f>
        <v>Mineral Accretion</v>
      </c>
      <c r="D283" s="8" t="str">
        <f>IFERROR(__xludf.DUMMYFUNCTION("""COMPUTED_VALUE"""),"Rubble Stabilisation")</f>
        <v>Rubble Stabilisation</v>
      </c>
      <c r="E283" s="8" t="str">
        <f>IFERROR(__xludf.DUMMYFUNCTION("""COMPUTED_VALUE"""),"Algal Removal")</f>
        <v>Algal Removal</v>
      </c>
      <c r="F283" s="8"/>
      <c r="G283" s="8"/>
      <c r="H283" s="8"/>
    </row>
    <row r="284">
      <c r="A284" s="8" t="s">
        <v>150</v>
      </c>
      <c r="B284" s="8" t="str">
        <f>IFERROR(__xludf.DUMMYFUNCTION("""COMPUTED_VALUE"""),"Artificial Reef")</f>
        <v>Artificial Reef</v>
      </c>
      <c r="C284" s="8" t="str">
        <f>IFERROR(__xludf.DUMMYFUNCTION("""COMPUTED_VALUE"""),"Mineral Accretion")</f>
        <v>Mineral Accretion</v>
      </c>
      <c r="D284" s="8" t="str">
        <f>IFERROR(__xludf.DUMMYFUNCTION("""COMPUTED_VALUE"""),"Rubble Stabilisation")</f>
        <v>Rubble Stabilisation</v>
      </c>
      <c r="E284" s="8" t="str">
        <f>IFERROR(__xludf.DUMMYFUNCTION("""COMPUTED_VALUE"""),"Algal Removal")</f>
        <v>Algal Removal</v>
      </c>
      <c r="F284" s="8"/>
      <c r="G284" s="8"/>
      <c r="H284" s="8"/>
    </row>
    <row r="285">
      <c r="A285" s="8" t="s">
        <v>150</v>
      </c>
      <c r="B285" s="8" t="str">
        <f>IFERROR(__xludf.DUMMYFUNCTION("""COMPUTED_VALUE"""),"Artificial Reef")</f>
        <v>Artificial Reef</v>
      </c>
      <c r="C285" s="8" t="str">
        <f>IFERROR(__xludf.DUMMYFUNCTION("""COMPUTED_VALUE"""),"Mineral Accretion")</f>
        <v>Mineral Accretion</v>
      </c>
      <c r="D285" s="8" t="str">
        <f>IFERROR(__xludf.DUMMYFUNCTION("""COMPUTED_VALUE"""),"Rubble Stabilisation")</f>
        <v>Rubble Stabilisation</v>
      </c>
      <c r="E285" s="8" t="str">
        <f>IFERROR(__xludf.DUMMYFUNCTION("""COMPUTED_VALUE"""),"Algal Removal")</f>
        <v>Algal Removal</v>
      </c>
      <c r="F285" s="8"/>
      <c r="G285" s="8"/>
      <c r="H285" s="8"/>
    </row>
    <row r="286">
      <c r="A286" s="8" t="s">
        <v>177</v>
      </c>
      <c r="B286" s="8" t="str">
        <f>IFERROR(__xludf.DUMMYFUNCTION("""COMPUTED_VALUE"""),"Direct Transplantation")</f>
        <v>Direct Transplantation</v>
      </c>
      <c r="C286" s="8" t="str">
        <f>IFERROR(__xludf.DUMMYFUNCTION("""COMPUTED_VALUE"""),"Coral Gardening")</f>
        <v>Coral Gardening</v>
      </c>
      <c r="D286" s="8" t="str">
        <f>IFERROR(__xludf.DUMMYFUNCTION("""COMPUTED_VALUE"""),"Microfragmentation")</f>
        <v>Microfragmentation</v>
      </c>
      <c r="E286" s="8"/>
      <c r="F286" s="8"/>
      <c r="G286" s="8"/>
      <c r="H286" s="8"/>
    </row>
    <row r="287">
      <c r="A287" s="8" t="s">
        <v>150</v>
      </c>
      <c r="B287" s="8" t="str">
        <f>IFERROR(__xludf.DUMMYFUNCTION("""COMPUTED_VALUE"""),"Artificial Reef")</f>
        <v>Artificial Reef</v>
      </c>
      <c r="C287" s="8" t="str">
        <f>IFERROR(__xludf.DUMMYFUNCTION("""COMPUTED_VALUE"""),"Mineral Accretion")</f>
        <v>Mineral Accretion</v>
      </c>
      <c r="D287" s="8" t="str">
        <f>IFERROR(__xludf.DUMMYFUNCTION("""COMPUTED_VALUE"""),"Rubble Stabilisation")</f>
        <v>Rubble Stabilisation</v>
      </c>
      <c r="E287" s="8" t="str">
        <f>IFERROR(__xludf.DUMMYFUNCTION("""COMPUTED_VALUE"""),"Algal Removal")</f>
        <v>Algal Removal</v>
      </c>
      <c r="F287" s="8"/>
      <c r="G287" s="8"/>
      <c r="H287" s="8"/>
    </row>
    <row r="288">
      <c r="A288" s="8" t="s">
        <v>177</v>
      </c>
      <c r="B288" s="8" t="str">
        <f>IFERROR(__xludf.DUMMYFUNCTION("""COMPUTED_VALUE"""),"Direct Transplantation")</f>
        <v>Direct Transplantation</v>
      </c>
      <c r="C288" s="8" t="str">
        <f>IFERROR(__xludf.DUMMYFUNCTION("""COMPUTED_VALUE"""),"Coral Gardening")</f>
        <v>Coral Gardening</v>
      </c>
      <c r="D288" s="8" t="str">
        <f>IFERROR(__xludf.DUMMYFUNCTION("""COMPUTED_VALUE"""),"Microfragmentation")</f>
        <v>Microfragmentation</v>
      </c>
      <c r="E288" s="8"/>
      <c r="F288" s="8"/>
      <c r="G288" s="8"/>
      <c r="H288" s="8"/>
    </row>
    <row r="289">
      <c r="A289" s="8" t="s">
        <v>150</v>
      </c>
      <c r="B289" s="8" t="str">
        <f>IFERROR(__xludf.DUMMYFUNCTION("""COMPUTED_VALUE"""),"Artificial Reef")</f>
        <v>Artificial Reef</v>
      </c>
      <c r="C289" s="8" t="str">
        <f>IFERROR(__xludf.DUMMYFUNCTION("""COMPUTED_VALUE"""),"Mineral Accretion")</f>
        <v>Mineral Accretion</v>
      </c>
      <c r="D289" s="8" t="str">
        <f>IFERROR(__xludf.DUMMYFUNCTION("""COMPUTED_VALUE"""),"Rubble Stabilisation")</f>
        <v>Rubble Stabilisation</v>
      </c>
      <c r="E289" s="8" t="str">
        <f>IFERROR(__xludf.DUMMYFUNCTION("""COMPUTED_VALUE"""),"Algal Removal")</f>
        <v>Algal Removal</v>
      </c>
      <c r="F289" s="8"/>
      <c r="G289" s="8"/>
      <c r="H289" s="8"/>
    </row>
    <row r="290">
      <c r="A290" s="8" t="s">
        <v>150</v>
      </c>
      <c r="B290" s="8" t="str">
        <f>IFERROR(__xludf.DUMMYFUNCTION("""COMPUTED_VALUE"""),"Artificial Reef")</f>
        <v>Artificial Reef</v>
      </c>
      <c r="C290" s="8" t="str">
        <f>IFERROR(__xludf.DUMMYFUNCTION("""COMPUTED_VALUE"""),"Mineral Accretion")</f>
        <v>Mineral Accretion</v>
      </c>
      <c r="D290" s="8" t="str">
        <f>IFERROR(__xludf.DUMMYFUNCTION("""COMPUTED_VALUE"""),"Rubble Stabilisation")</f>
        <v>Rubble Stabilisation</v>
      </c>
      <c r="E290" s="8" t="str">
        <f>IFERROR(__xludf.DUMMYFUNCTION("""COMPUTED_VALUE"""),"Algal Removal")</f>
        <v>Algal Removal</v>
      </c>
      <c r="F290" s="8"/>
      <c r="G290" s="8"/>
      <c r="H290" s="8"/>
    </row>
    <row r="291">
      <c r="A291" s="8" t="s">
        <v>150</v>
      </c>
      <c r="B291" s="8" t="str">
        <f>IFERROR(__xludf.DUMMYFUNCTION("""COMPUTED_VALUE"""),"Artificial Reef")</f>
        <v>Artificial Reef</v>
      </c>
      <c r="C291" s="8" t="str">
        <f>IFERROR(__xludf.DUMMYFUNCTION("""COMPUTED_VALUE"""),"Mineral Accretion")</f>
        <v>Mineral Accretion</v>
      </c>
      <c r="D291" s="8" t="str">
        <f>IFERROR(__xludf.DUMMYFUNCTION("""COMPUTED_VALUE"""),"Rubble Stabilisation")</f>
        <v>Rubble Stabilisation</v>
      </c>
      <c r="E291" s="8" t="str">
        <f>IFERROR(__xludf.DUMMYFUNCTION("""COMPUTED_VALUE"""),"Algal Removal")</f>
        <v>Algal Removal</v>
      </c>
      <c r="F291" s="8"/>
      <c r="G291" s="8"/>
      <c r="H291" s="8"/>
    </row>
    <row r="292">
      <c r="A292" s="8" t="s">
        <v>263</v>
      </c>
      <c r="B292" s="8" t="str">
        <f>IFERROR(__xludf.DUMMYFUNCTION("""COMPUTED_VALUE"""),"Direct Transplantation")</f>
        <v>Direct Transplantation</v>
      </c>
      <c r="C292" s="8" t="str">
        <f>IFERROR(__xludf.DUMMYFUNCTION("""COMPUTED_VALUE"""),"Coral Gardening")</f>
        <v>Coral Gardening</v>
      </c>
      <c r="D292" s="8" t="str">
        <f>IFERROR(__xludf.DUMMYFUNCTION("""COMPUTED_VALUE"""),"Microfragmentation")</f>
        <v>Microfragmentation</v>
      </c>
      <c r="E292" s="8" t="str">
        <f>IFERROR(__xludf.DUMMYFUNCTION("""COMPUTED_VALUE"""),"Artificial Reef")</f>
        <v>Artificial Reef</v>
      </c>
      <c r="F292" s="8" t="str">
        <f>IFERROR(__xludf.DUMMYFUNCTION("""COMPUTED_VALUE"""),"Mineral Accretion")</f>
        <v>Mineral Accretion</v>
      </c>
      <c r="G292" s="8" t="str">
        <f>IFERROR(__xludf.DUMMYFUNCTION("""COMPUTED_VALUE"""),"Rubble Stabilisation")</f>
        <v>Rubble Stabilisation</v>
      </c>
      <c r="H292" s="8" t="str">
        <f>IFERROR(__xludf.DUMMYFUNCTION("""COMPUTED_VALUE"""),"Algal Removal")</f>
        <v>Algal Removal</v>
      </c>
    </row>
    <row r="293">
      <c r="A293" s="8" t="s">
        <v>150</v>
      </c>
      <c r="B293" s="8" t="str">
        <f>IFERROR(__xludf.DUMMYFUNCTION("""COMPUTED_VALUE"""),"Artificial Reef")</f>
        <v>Artificial Reef</v>
      </c>
      <c r="C293" s="8" t="str">
        <f>IFERROR(__xludf.DUMMYFUNCTION("""COMPUTED_VALUE"""),"Mineral Accretion")</f>
        <v>Mineral Accretion</v>
      </c>
      <c r="D293" s="8" t="str">
        <f>IFERROR(__xludf.DUMMYFUNCTION("""COMPUTED_VALUE"""),"Rubble Stabilisation")</f>
        <v>Rubble Stabilisation</v>
      </c>
      <c r="E293" s="8" t="str">
        <f>IFERROR(__xludf.DUMMYFUNCTION("""COMPUTED_VALUE"""),"Algal Removal")</f>
        <v>Algal Removal</v>
      </c>
      <c r="F293" s="8"/>
      <c r="G293" s="8"/>
      <c r="H293" s="8"/>
    </row>
    <row r="294">
      <c r="A294" s="8" t="s">
        <v>150</v>
      </c>
      <c r="B294" s="8" t="str">
        <f>IFERROR(__xludf.DUMMYFUNCTION("""COMPUTED_VALUE"""),"Artificial Reef")</f>
        <v>Artificial Reef</v>
      </c>
      <c r="C294" s="8" t="str">
        <f>IFERROR(__xludf.DUMMYFUNCTION("""COMPUTED_VALUE"""),"Mineral Accretion")</f>
        <v>Mineral Accretion</v>
      </c>
      <c r="D294" s="8" t="str">
        <f>IFERROR(__xludf.DUMMYFUNCTION("""COMPUTED_VALUE"""),"Rubble Stabilisation")</f>
        <v>Rubble Stabilisation</v>
      </c>
      <c r="E294" s="8" t="str">
        <f>IFERROR(__xludf.DUMMYFUNCTION("""COMPUTED_VALUE"""),"Algal Removal")</f>
        <v>Algal Removal</v>
      </c>
      <c r="F294" s="8"/>
      <c r="G294" s="8"/>
      <c r="H294" s="8"/>
    </row>
    <row r="295">
      <c r="A295" s="8" t="s">
        <v>149</v>
      </c>
      <c r="B295" s="8" t="str">
        <f>IFERROR(__xludf.DUMMYFUNCTION("""COMPUTED_VALUE"""),"Unknown")</f>
        <v>Unknown</v>
      </c>
      <c r="C295" s="8"/>
      <c r="D295" s="8"/>
      <c r="E295" s="8"/>
      <c r="F295" s="8"/>
      <c r="G295" s="8"/>
      <c r="H295" s="8"/>
    </row>
    <row r="296">
      <c r="A296" s="8" t="s">
        <v>150</v>
      </c>
      <c r="B296" s="8" t="str">
        <f>IFERROR(__xludf.DUMMYFUNCTION("""COMPUTED_VALUE"""),"Artificial Reef")</f>
        <v>Artificial Reef</v>
      </c>
      <c r="C296" s="8" t="str">
        <f>IFERROR(__xludf.DUMMYFUNCTION("""COMPUTED_VALUE"""),"Mineral Accretion")</f>
        <v>Mineral Accretion</v>
      </c>
      <c r="D296" s="8" t="str">
        <f>IFERROR(__xludf.DUMMYFUNCTION("""COMPUTED_VALUE"""),"Rubble Stabilisation")</f>
        <v>Rubble Stabilisation</v>
      </c>
      <c r="E296" s="8" t="str">
        <f>IFERROR(__xludf.DUMMYFUNCTION("""COMPUTED_VALUE"""),"Algal Removal")</f>
        <v>Algal Removal</v>
      </c>
      <c r="F296" s="8"/>
      <c r="G296" s="8"/>
      <c r="H296" s="8"/>
    </row>
    <row r="297">
      <c r="A297" s="8" t="s">
        <v>150</v>
      </c>
      <c r="B297" s="8" t="str">
        <f>IFERROR(__xludf.DUMMYFUNCTION("""COMPUTED_VALUE"""),"Artificial Reef")</f>
        <v>Artificial Reef</v>
      </c>
      <c r="C297" s="8" t="str">
        <f>IFERROR(__xludf.DUMMYFUNCTION("""COMPUTED_VALUE"""),"Mineral Accretion")</f>
        <v>Mineral Accretion</v>
      </c>
      <c r="D297" s="8" t="str">
        <f>IFERROR(__xludf.DUMMYFUNCTION("""COMPUTED_VALUE"""),"Rubble Stabilisation")</f>
        <v>Rubble Stabilisation</v>
      </c>
      <c r="E297" s="8" t="str">
        <f>IFERROR(__xludf.DUMMYFUNCTION("""COMPUTED_VALUE"""),"Algal Removal")</f>
        <v>Algal Removal</v>
      </c>
      <c r="F297" s="8"/>
      <c r="G297" s="8"/>
      <c r="H297" s="8"/>
    </row>
    <row r="298">
      <c r="A298" s="8" t="s">
        <v>150</v>
      </c>
      <c r="B298" s="8" t="str">
        <f>IFERROR(__xludf.DUMMYFUNCTION("""COMPUTED_VALUE"""),"Artificial Reef")</f>
        <v>Artificial Reef</v>
      </c>
      <c r="C298" s="8" t="str">
        <f>IFERROR(__xludf.DUMMYFUNCTION("""COMPUTED_VALUE"""),"Mineral Accretion")</f>
        <v>Mineral Accretion</v>
      </c>
      <c r="D298" s="8" t="str">
        <f>IFERROR(__xludf.DUMMYFUNCTION("""COMPUTED_VALUE"""),"Rubble Stabilisation")</f>
        <v>Rubble Stabilisation</v>
      </c>
      <c r="E298" s="8" t="str">
        <f>IFERROR(__xludf.DUMMYFUNCTION("""COMPUTED_VALUE"""),"Algal Removal")</f>
        <v>Algal Removal</v>
      </c>
      <c r="F298" s="8"/>
      <c r="G298" s="8"/>
      <c r="H298" s="8"/>
    </row>
    <row r="299">
      <c r="A299" s="8" t="s">
        <v>150</v>
      </c>
      <c r="B299" s="8" t="str">
        <f>IFERROR(__xludf.DUMMYFUNCTION("""COMPUTED_VALUE"""),"Artificial Reef")</f>
        <v>Artificial Reef</v>
      </c>
      <c r="C299" s="8" t="str">
        <f>IFERROR(__xludf.DUMMYFUNCTION("""COMPUTED_VALUE"""),"Mineral Accretion")</f>
        <v>Mineral Accretion</v>
      </c>
      <c r="D299" s="8" t="str">
        <f>IFERROR(__xludf.DUMMYFUNCTION("""COMPUTED_VALUE"""),"Rubble Stabilisation")</f>
        <v>Rubble Stabilisation</v>
      </c>
      <c r="E299" s="8" t="str">
        <f>IFERROR(__xludf.DUMMYFUNCTION("""COMPUTED_VALUE"""),"Algal Removal")</f>
        <v>Algal Removal</v>
      </c>
      <c r="F299" s="8"/>
      <c r="G299" s="8"/>
      <c r="H299" s="8"/>
    </row>
    <row r="300">
      <c r="A300" s="8" t="s">
        <v>150</v>
      </c>
      <c r="B300" s="8" t="str">
        <f>IFERROR(__xludf.DUMMYFUNCTION("""COMPUTED_VALUE"""),"Artificial Reef")</f>
        <v>Artificial Reef</v>
      </c>
      <c r="C300" s="8" t="str">
        <f>IFERROR(__xludf.DUMMYFUNCTION("""COMPUTED_VALUE"""),"Mineral Accretion")</f>
        <v>Mineral Accretion</v>
      </c>
      <c r="D300" s="8" t="str">
        <f>IFERROR(__xludf.DUMMYFUNCTION("""COMPUTED_VALUE"""),"Rubble Stabilisation")</f>
        <v>Rubble Stabilisation</v>
      </c>
      <c r="E300" s="8" t="str">
        <f>IFERROR(__xludf.DUMMYFUNCTION("""COMPUTED_VALUE"""),"Algal Removal")</f>
        <v>Algal Removal</v>
      </c>
      <c r="F300" s="8"/>
      <c r="G300" s="8"/>
      <c r="H300" s="8"/>
    </row>
    <row r="301">
      <c r="A301" s="8" t="s">
        <v>150</v>
      </c>
      <c r="B301" s="8" t="str">
        <f>IFERROR(__xludf.DUMMYFUNCTION("""COMPUTED_VALUE"""),"Artificial Reef")</f>
        <v>Artificial Reef</v>
      </c>
      <c r="C301" s="8" t="str">
        <f>IFERROR(__xludf.DUMMYFUNCTION("""COMPUTED_VALUE"""),"Mineral Accretion")</f>
        <v>Mineral Accretion</v>
      </c>
      <c r="D301" s="8" t="str">
        <f>IFERROR(__xludf.DUMMYFUNCTION("""COMPUTED_VALUE"""),"Rubble Stabilisation")</f>
        <v>Rubble Stabilisation</v>
      </c>
      <c r="E301" s="8" t="str">
        <f>IFERROR(__xludf.DUMMYFUNCTION("""COMPUTED_VALUE"""),"Algal Removal")</f>
        <v>Algal Removal</v>
      </c>
      <c r="F301" s="8"/>
      <c r="G301" s="8"/>
      <c r="H301" s="8"/>
    </row>
    <row r="302">
      <c r="A302" s="8" t="s">
        <v>150</v>
      </c>
      <c r="B302" s="8" t="str">
        <f>IFERROR(__xludf.DUMMYFUNCTION("""COMPUTED_VALUE"""),"Artificial Reef")</f>
        <v>Artificial Reef</v>
      </c>
      <c r="C302" s="8" t="str">
        <f>IFERROR(__xludf.DUMMYFUNCTION("""COMPUTED_VALUE"""),"Mineral Accretion")</f>
        <v>Mineral Accretion</v>
      </c>
      <c r="D302" s="8" t="str">
        <f>IFERROR(__xludf.DUMMYFUNCTION("""COMPUTED_VALUE"""),"Rubble Stabilisation")</f>
        <v>Rubble Stabilisation</v>
      </c>
      <c r="E302" s="8" t="str">
        <f>IFERROR(__xludf.DUMMYFUNCTION("""COMPUTED_VALUE"""),"Algal Removal")</f>
        <v>Algal Removal</v>
      </c>
      <c r="F302" s="8"/>
      <c r="G302" s="8"/>
      <c r="H302" s="8"/>
    </row>
    <row r="303">
      <c r="A303" s="8" t="s">
        <v>150</v>
      </c>
      <c r="B303" s="8" t="str">
        <f>IFERROR(__xludf.DUMMYFUNCTION("""COMPUTED_VALUE"""),"Artificial Reef")</f>
        <v>Artificial Reef</v>
      </c>
      <c r="C303" s="8" t="str">
        <f>IFERROR(__xludf.DUMMYFUNCTION("""COMPUTED_VALUE"""),"Mineral Accretion")</f>
        <v>Mineral Accretion</v>
      </c>
      <c r="D303" s="8" t="str">
        <f>IFERROR(__xludf.DUMMYFUNCTION("""COMPUTED_VALUE"""),"Rubble Stabilisation")</f>
        <v>Rubble Stabilisation</v>
      </c>
      <c r="E303" s="8" t="str">
        <f>IFERROR(__xludf.DUMMYFUNCTION("""COMPUTED_VALUE"""),"Algal Removal")</f>
        <v>Algal Removal</v>
      </c>
      <c r="F303" s="8"/>
      <c r="G303" s="8"/>
      <c r="H303" s="8"/>
    </row>
    <row r="304">
      <c r="A304" s="8" t="s">
        <v>150</v>
      </c>
      <c r="B304" s="8" t="str">
        <f>IFERROR(__xludf.DUMMYFUNCTION("""COMPUTED_VALUE"""),"Artificial Reef")</f>
        <v>Artificial Reef</v>
      </c>
      <c r="C304" s="8" t="str">
        <f>IFERROR(__xludf.DUMMYFUNCTION("""COMPUTED_VALUE"""),"Mineral Accretion")</f>
        <v>Mineral Accretion</v>
      </c>
      <c r="D304" s="8" t="str">
        <f>IFERROR(__xludf.DUMMYFUNCTION("""COMPUTED_VALUE"""),"Rubble Stabilisation")</f>
        <v>Rubble Stabilisation</v>
      </c>
      <c r="E304" s="8" t="str">
        <f>IFERROR(__xludf.DUMMYFUNCTION("""COMPUTED_VALUE"""),"Algal Removal")</f>
        <v>Algal Removal</v>
      </c>
      <c r="F304" s="8"/>
      <c r="G304" s="8"/>
      <c r="H304" s="8"/>
    </row>
    <row r="305">
      <c r="A305" s="8" t="s">
        <v>150</v>
      </c>
      <c r="B305" s="8" t="str">
        <f>IFERROR(__xludf.DUMMYFUNCTION("""COMPUTED_VALUE"""),"Artificial Reef")</f>
        <v>Artificial Reef</v>
      </c>
      <c r="C305" s="8" t="str">
        <f>IFERROR(__xludf.DUMMYFUNCTION("""COMPUTED_VALUE"""),"Mineral Accretion")</f>
        <v>Mineral Accretion</v>
      </c>
      <c r="D305" s="8" t="str">
        <f>IFERROR(__xludf.DUMMYFUNCTION("""COMPUTED_VALUE"""),"Rubble Stabilisation")</f>
        <v>Rubble Stabilisation</v>
      </c>
      <c r="E305" s="8" t="str">
        <f>IFERROR(__xludf.DUMMYFUNCTION("""COMPUTED_VALUE"""),"Algal Removal")</f>
        <v>Algal Removal</v>
      </c>
      <c r="F305" s="8"/>
      <c r="G305" s="8"/>
      <c r="H305" s="8"/>
    </row>
    <row r="306">
      <c r="A306" s="8" t="s">
        <v>150</v>
      </c>
      <c r="B306" s="8" t="str">
        <f>IFERROR(__xludf.DUMMYFUNCTION("""COMPUTED_VALUE"""),"Artificial Reef")</f>
        <v>Artificial Reef</v>
      </c>
      <c r="C306" s="8" t="str">
        <f>IFERROR(__xludf.DUMMYFUNCTION("""COMPUTED_VALUE"""),"Mineral Accretion")</f>
        <v>Mineral Accretion</v>
      </c>
      <c r="D306" s="8" t="str">
        <f>IFERROR(__xludf.DUMMYFUNCTION("""COMPUTED_VALUE"""),"Rubble Stabilisation")</f>
        <v>Rubble Stabilisation</v>
      </c>
      <c r="E306" s="8" t="str">
        <f>IFERROR(__xludf.DUMMYFUNCTION("""COMPUTED_VALUE"""),"Algal Removal")</f>
        <v>Algal Removal</v>
      </c>
      <c r="F306" s="8"/>
      <c r="G306" s="8"/>
      <c r="H306" s="8"/>
    </row>
    <row r="307">
      <c r="A307" s="8" t="s">
        <v>150</v>
      </c>
      <c r="B307" s="8" t="str">
        <f>IFERROR(__xludf.DUMMYFUNCTION("""COMPUTED_VALUE"""),"Artificial Reef")</f>
        <v>Artificial Reef</v>
      </c>
      <c r="C307" s="8" t="str">
        <f>IFERROR(__xludf.DUMMYFUNCTION("""COMPUTED_VALUE"""),"Mineral Accretion")</f>
        <v>Mineral Accretion</v>
      </c>
      <c r="D307" s="8" t="str">
        <f>IFERROR(__xludf.DUMMYFUNCTION("""COMPUTED_VALUE"""),"Rubble Stabilisation")</f>
        <v>Rubble Stabilisation</v>
      </c>
      <c r="E307" s="8" t="str">
        <f>IFERROR(__xludf.DUMMYFUNCTION("""COMPUTED_VALUE"""),"Algal Removal")</f>
        <v>Algal Removal</v>
      </c>
      <c r="F307" s="8"/>
      <c r="G307" s="8"/>
      <c r="H307" s="8"/>
    </row>
    <row r="308">
      <c r="A308" s="8" t="s">
        <v>150</v>
      </c>
      <c r="B308" s="8" t="str">
        <f>IFERROR(__xludf.DUMMYFUNCTION("""COMPUTED_VALUE"""),"Artificial Reef")</f>
        <v>Artificial Reef</v>
      </c>
      <c r="C308" s="8" t="str">
        <f>IFERROR(__xludf.DUMMYFUNCTION("""COMPUTED_VALUE"""),"Mineral Accretion")</f>
        <v>Mineral Accretion</v>
      </c>
      <c r="D308" s="8" t="str">
        <f>IFERROR(__xludf.DUMMYFUNCTION("""COMPUTED_VALUE"""),"Rubble Stabilisation")</f>
        <v>Rubble Stabilisation</v>
      </c>
      <c r="E308" s="8" t="str">
        <f>IFERROR(__xludf.DUMMYFUNCTION("""COMPUTED_VALUE"""),"Algal Removal")</f>
        <v>Algal Removal</v>
      </c>
      <c r="F308" s="8"/>
      <c r="G308" s="8"/>
      <c r="H308" s="8"/>
    </row>
    <row r="309">
      <c r="A309" s="8" t="s">
        <v>150</v>
      </c>
      <c r="B309" s="8" t="str">
        <f>IFERROR(__xludf.DUMMYFUNCTION("""COMPUTED_VALUE"""),"Artificial Reef")</f>
        <v>Artificial Reef</v>
      </c>
      <c r="C309" s="8" t="str">
        <f>IFERROR(__xludf.DUMMYFUNCTION("""COMPUTED_VALUE"""),"Mineral Accretion")</f>
        <v>Mineral Accretion</v>
      </c>
      <c r="D309" s="8" t="str">
        <f>IFERROR(__xludf.DUMMYFUNCTION("""COMPUTED_VALUE"""),"Rubble Stabilisation")</f>
        <v>Rubble Stabilisation</v>
      </c>
      <c r="E309" s="8" t="str">
        <f>IFERROR(__xludf.DUMMYFUNCTION("""COMPUTED_VALUE"""),"Algal Removal")</f>
        <v>Algal Removal</v>
      </c>
      <c r="F309" s="8"/>
      <c r="G309" s="8"/>
      <c r="H309" s="8"/>
    </row>
    <row r="310">
      <c r="A310" s="8" t="s">
        <v>263</v>
      </c>
      <c r="B310" s="8" t="str">
        <f>IFERROR(__xludf.DUMMYFUNCTION("""COMPUTED_VALUE"""),"Direct Transplantation")</f>
        <v>Direct Transplantation</v>
      </c>
      <c r="C310" s="8" t="str">
        <f>IFERROR(__xludf.DUMMYFUNCTION("""COMPUTED_VALUE"""),"Coral Gardening")</f>
        <v>Coral Gardening</v>
      </c>
      <c r="D310" s="8" t="str">
        <f>IFERROR(__xludf.DUMMYFUNCTION("""COMPUTED_VALUE"""),"Microfragmentation")</f>
        <v>Microfragmentation</v>
      </c>
      <c r="E310" s="8" t="str">
        <f>IFERROR(__xludf.DUMMYFUNCTION("""COMPUTED_VALUE"""),"Artificial Reef")</f>
        <v>Artificial Reef</v>
      </c>
      <c r="F310" s="8" t="str">
        <f>IFERROR(__xludf.DUMMYFUNCTION("""COMPUTED_VALUE"""),"Mineral Accretion")</f>
        <v>Mineral Accretion</v>
      </c>
      <c r="G310" s="8" t="str">
        <f>IFERROR(__xludf.DUMMYFUNCTION("""COMPUTED_VALUE"""),"Rubble Stabilisation")</f>
        <v>Rubble Stabilisation</v>
      </c>
      <c r="H310" s="8" t="str">
        <f>IFERROR(__xludf.DUMMYFUNCTION("""COMPUTED_VALUE"""),"Algal Removal")</f>
        <v>Algal Removal</v>
      </c>
    </row>
    <row r="311">
      <c r="A311" s="8" t="s">
        <v>263</v>
      </c>
      <c r="B311" s="8" t="str">
        <f>IFERROR(__xludf.DUMMYFUNCTION("""COMPUTED_VALUE"""),"Direct Transplantation")</f>
        <v>Direct Transplantation</v>
      </c>
      <c r="C311" s="8" t="str">
        <f>IFERROR(__xludf.DUMMYFUNCTION("""COMPUTED_VALUE"""),"Coral Gardening")</f>
        <v>Coral Gardening</v>
      </c>
      <c r="D311" s="8" t="str">
        <f>IFERROR(__xludf.DUMMYFUNCTION("""COMPUTED_VALUE"""),"Microfragmentation")</f>
        <v>Microfragmentation</v>
      </c>
      <c r="E311" s="8" t="str">
        <f>IFERROR(__xludf.DUMMYFUNCTION("""COMPUTED_VALUE"""),"Artificial Reef")</f>
        <v>Artificial Reef</v>
      </c>
      <c r="F311" s="8" t="str">
        <f>IFERROR(__xludf.DUMMYFUNCTION("""COMPUTED_VALUE"""),"Mineral Accretion")</f>
        <v>Mineral Accretion</v>
      </c>
      <c r="G311" s="8" t="str">
        <f>IFERROR(__xludf.DUMMYFUNCTION("""COMPUTED_VALUE"""),"Rubble Stabilisation")</f>
        <v>Rubble Stabilisation</v>
      </c>
      <c r="H311" s="8" t="str">
        <f>IFERROR(__xludf.DUMMYFUNCTION("""COMPUTED_VALUE"""),"Algal Removal")</f>
        <v>Algal Removal</v>
      </c>
    </row>
    <row r="312">
      <c r="A312" s="8" t="s">
        <v>263</v>
      </c>
      <c r="B312" s="8" t="str">
        <f>IFERROR(__xludf.DUMMYFUNCTION("""COMPUTED_VALUE"""),"Direct Transplantation")</f>
        <v>Direct Transplantation</v>
      </c>
      <c r="C312" s="8" t="str">
        <f>IFERROR(__xludf.DUMMYFUNCTION("""COMPUTED_VALUE"""),"Coral Gardening")</f>
        <v>Coral Gardening</v>
      </c>
      <c r="D312" s="8" t="str">
        <f>IFERROR(__xludf.DUMMYFUNCTION("""COMPUTED_VALUE"""),"Microfragmentation")</f>
        <v>Microfragmentation</v>
      </c>
      <c r="E312" s="8" t="str">
        <f>IFERROR(__xludf.DUMMYFUNCTION("""COMPUTED_VALUE"""),"Artificial Reef")</f>
        <v>Artificial Reef</v>
      </c>
      <c r="F312" s="8" t="str">
        <f>IFERROR(__xludf.DUMMYFUNCTION("""COMPUTED_VALUE"""),"Mineral Accretion")</f>
        <v>Mineral Accretion</v>
      </c>
      <c r="G312" s="8" t="str">
        <f>IFERROR(__xludf.DUMMYFUNCTION("""COMPUTED_VALUE"""),"Rubble Stabilisation")</f>
        <v>Rubble Stabilisation</v>
      </c>
      <c r="H312" s="8" t="str">
        <f>IFERROR(__xludf.DUMMYFUNCTION("""COMPUTED_VALUE"""),"Algal Removal")</f>
        <v>Algal Removal</v>
      </c>
    </row>
    <row r="313">
      <c r="A313" s="8" t="s">
        <v>177</v>
      </c>
      <c r="B313" s="8" t="str">
        <f>IFERROR(__xludf.DUMMYFUNCTION("""COMPUTED_VALUE"""),"Direct Transplantation")</f>
        <v>Direct Transplantation</v>
      </c>
      <c r="C313" s="8" t="str">
        <f>IFERROR(__xludf.DUMMYFUNCTION("""COMPUTED_VALUE"""),"Coral Gardening")</f>
        <v>Coral Gardening</v>
      </c>
      <c r="D313" s="8" t="str">
        <f>IFERROR(__xludf.DUMMYFUNCTION("""COMPUTED_VALUE"""),"Microfragmentation")</f>
        <v>Microfragmentation</v>
      </c>
      <c r="E313" s="8"/>
      <c r="F313" s="8"/>
      <c r="G313" s="8"/>
      <c r="H313" s="8"/>
    </row>
    <row r="314">
      <c r="A314" s="8" t="s">
        <v>263</v>
      </c>
      <c r="B314" s="8" t="str">
        <f>IFERROR(__xludf.DUMMYFUNCTION("""COMPUTED_VALUE"""),"Direct Transplantation")</f>
        <v>Direct Transplantation</v>
      </c>
      <c r="C314" s="8" t="str">
        <f>IFERROR(__xludf.DUMMYFUNCTION("""COMPUTED_VALUE"""),"Coral Gardening")</f>
        <v>Coral Gardening</v>
      </c>
      <c r="D314" s="8" t="str">
        <f>IFERROR(__xludf.DUMMYFUNCTION("""COMPUTED_VALUE"""),"Microfragmentation")</f>
        <v>Microfragmentation</v>
      </c>
      <c r="E314" s="8" t="str">
        <f>IFERROR(__xludf.DUMMYFUNCTION("""COMPUTED_VALUE"""),"Artificial Reef")</f>
        <v>Artificial Reef</v>
      </c>
      <c r="F314" s="8" t="str">
        <f>IFERROR(__xludf.DUMMYFUNCTION("""COMPUTED_VALUE"""),"Mineral Accretion")</f>
        <v>Mineral Accretion</v>
      </c>
      <c r="G314" s="8" t="str">
        <f>IFERROR(__xludf.DUMMYFUNCTION("""COMPUTED_VALUE"""),"Rubble Stabilisation")</f>
        <v>Rubble Stabilisation</v>
      </c>
      <c r="H314" s="8" t="str">
        <f>IFERROR(__xludf.DUMMYFUNCTION("""COMPUTED_VALUE"""),"Algal Removal")</f>
        <v>Algal Removal</v>
      </c>
    </row>
    <row r="315">
      <c r="A315" s="8" t="s">
        <v>177</v>
      </c>
      <c r="B315" s="8" t="str">
        <f>IFERROR(__xludf.DUMMYFUNCTION("""COMPUTED_VALUE"""),"Direct Transplantation")</f>
        <v>Direct Transplantation</v>
      </c>
      <c r="C315" s="8" t="str">
        <f>IFERROR(__xludf.DUMMYFUNCTION("""COMPUTED_VALUE"""),"Coral Gardening")</f>
        <v>Coral Gardening</v>
      </c>
      <c r="D315" s="8" t="str">
        <f>IFERROR(__xludf.DUMMYFUNCTION("""COMPUTED_VALUE"""),"Microfragmentation")</f>
        <v>Microfragmentation</v>
      </c>
      <c r="E315" s="8"/>
      <c r="F315" s="8"/>
      <c r="G315" s="8"/>
      <c r="H315" s="8"/>
    </row>
    <row r="316">
      <c r="A316" s="8" t="s">
        <v>150</v>
      </c>
      <c r="B316" s="8" t="str">
        <f>IFERROR(__xludf.DUMMYFUNCTION("""COMPUTED_VALUE"""),"Artificial Reef")</f>
        <v>Artificial Reef</v>
      </c>
      <c r="C316" s="8" t="str">
        <f>IFERROR(__xludf.DUMMYFUNCTION("""COMPUTED_VALUE"""),"Mineral Accretion")</f>
        <v>Mineral Accretion</v>
      </c>
      <c r="D316" s="8" t="str">
        <f>IFERROR(__xludf.DUMMYFUNCTION("""COMPUTED_VALUE"""),"Rubble Stabilisation")</f>
        <v>Rubble Stabilisation</v>
      </c>
      <c r="E316" s="8" t="str">
        <f>IFERROR(__xludf.DUMMYFUNCTION("""COMPUTED_VALUE"""),"Algal Removal")</f>
        <v>Algal Removal</v>
      </c>
      <c r="F316" s="8"/>
      <c r="G316" s="8"/>
      <c r="H316" s="8"/>
    </row>
    <row r="317">
      <c r="A317" s="8" t="s">
        <v>177</v>
      </c>
      <c r="B317" s="8" t="str">
        <f>IFERROR(__xludf.DUMMYFUNCTION("""COMPUTED_VALUE"""),"Direct Transplantation")</f>
        <v>Direct Transplantation</v>
      </c>
      <c r="C317" s="8" t="str">
        <f>IFERROR(__xludf.DUMMYFUNCTION("""COMPUTED_VALUE"""),"Coral Gardening")</f>
        <v>Coral Gardening</v>
      </c>
      <c r="D317" s="8" t="str">
        <f>IFERROR(__xludf.DUMMYFUNCTION("""COMPUTED_VALUE"""),"Microfragmentation")</f>
        <v>Microfragmentation</v>
      </c>
      <c r="E317" s="8"/>
      <c r="F317" s="8"/>
      <c r="G317" s="8"/>
      <c r="H317" s="8"/>
    </row>
    <row r="318">
      <c r="A318" s="8" t="s">
        <v>150</v>
      </c>
      <c r="B318" s="8" t="str">
        <f>IFERROR(__xludf.DUMMYFUNCTION("""COMPUTED_VALUE"""),"Artificial Reef")</f>
        <v>Artificial Reef</v>
      </c>
      <c r="C318" s="8" t="str">
        <f>IFERROR(__xludf.DUMMYFUNCTION("""COMPUTED_VALUE"""),"Mineral Accretion")</f>
        <v>Mineral Accretion</v>
      </c>
      <c r="D318" s="8" t="str">
        <f>IFERROR(__xludf.DUMMYFUNCTION("""COMPUTED_VALUE"""),"Rubble Stabilisation")</f>
        <v>Rubble Stabilisation</v>
      </c>
      <c r="E318" s="8" t="str">
        <f>IFERROR(__xludf.DUMMYFUNCTION("""COMPUTED_VALUE"""),"Algal Removal")</f>
        <v>Algal Removal</v>
      </c>
      <c r="F318" s="8"/>
      <c r="G318" s="8"/>
      <c r="H318" s="8"/>
    </row>
    <row r="319">
      <c r="A319" s="8" t="s">
        <v>150</v>
      </c>
      <c r="B319" s="8" t="str">
        <f>IFERROR(__xludf.DUMMYFUNCTION("""COMPUTED_VALUE"""),"Artificial Reef")</f>
        <v>Artificial Reef</v>
      </c>
      <c r="C319" s="8" t="str">
        <f>IFERROR(__xludf.DUMMYFUNCTION("""COMPUTED_VALUE"""),"Mineral Accretion")</f>
        <v>Mineral Accretion</v>
      </c>
      <c r="D319" s="8" t="str">
        <f>IFERROR(__xludf.DUMMYFUNCTION("""COMPUTED_VALUE"""),"Rubble Stabilisation")</f>
        <v>Rubble Stabilisation</v>
      </c>
      <c r="E319" s="8" t="str">
        <f>IFERROR(__xludf.DUMMYFUNCTION("""COMPUTED_VALUE"""),"Algal Removal")</f>
        <v>Algal Removal</v>
      </c>
      <c r="F319" s="8"/>
      <c r="G319" s="8"/>
      <c r="H319" s="8"/>
    </row>
    <row r="320">
      <c r="A320" s="8" t="s">
        <v>150</v>
      </c>
      <c r="B320" s="8" t="str">
        <f>IFERROR(__xludf.DUMMYFUNCTION("""COMPUTED_VALUE"""),"Artificial Reef")</f>
        <v>Artificial Reef</v>
      </c>
      <c r="C320" s="8" t="str">
        <f>IFERROR(__xludf.DUMMYFUNCTION("""COMPUTED_VALUE"""),"Mineral Accretion")</f>
        <v>Mineral Accretion</v>
      </c>
      <c r="D320" s="8" t="str">
        <f>IFERROR(__xludf.DUMMYFUNCTION("""COMPUTED_VALUE"""),"Rubble Stabilisation")</f>
        <v>Rubble Stabilisation</v>
      </c>
      <c r="E320" s="8" t="str">
        <f>IFERROR(__xludf.DUMMYFUNCTION("""COMPUTED_VALUE"""),"Algal Removal")</f>
        <v>Algal Removal</v>
      </c>
      <c r="F320" s="8"/>
      <c r="G320" s="8"/>
      <c r="H320" s="8"/>
    </row>
    <row r="321">
      <c r="A321" s="8" t="s">
        <v>150</v>
      </c>
      <c r="B321" s="8" t="str">
        <f>IFERROR(__xludf.DUMMYFUNCTION("""COMPUTED_VALUE"""),"Artificial Reef")</f>
        <v>Artificial Reef</v>
      </c>
      <c r="C321" s="8" t="str">
        <f>IFERROR(__xludf.DUMMYFUNCTION("""COMPUTED_VALUE"""),"Mineral Accretion")</f>
        <v>Mineral Accretion</v>
      </c>
      <c r="D321" s="8" t="str">
        <f>IFERROR(__xludf.DUMMYFUNCTION("""COMPUTED_VALUE"""),"Rubble Stabilisation")</f>
        <v>Rubble Stabilisation</v>
      </c>
      <c r="E321" s="8" t="str">
        <f>IFERROR(__xludf.DUMMYFUNCTION("""COMPUTED_VALUE"""),"Algal Removal")</f>
        <v>Algal Removal</v>
      </c>
      <c r="F321" s="8"/>
      <c r="G321" s="8"/>
      <c r="H321" s="8"/>
    </row>
    <row r="322">
      <c r="A322" s="8" t="s">
        <v>177</v>
      </c>
      <c r="B322" s="8" t="str">
        <f>IFERROR(__xludf.DUMMYFUNCTION("""COMPUTED_VALUE"""),"Direct Transplantation")</f>
        <v>Direct Transplantation</v>
      </c>
      <c r="C322" s="8" t="str">
        <f>IFERROR(__xludf.DUMMYFUNCTION("""COMPUTED_VALUE"""),"Coral Gardening")</f>
        <v>Coral Gardening</v>
      </c>
      <c r="D322" s="8" t="str">
        <f>IFERROR(__xludf.DUMMYFUNCTION("""COMPUTED_VALUE"""),"Microfragmentation")</f>
        <v>Microfragmentation</v>
      </c>
      <c r="E322" s="8"/>
      <c r="F322" s="8"/>
      <c r="G322" s="8"/>
      <c r="H322" s="8"/>
    </row>
    <row r="323">
      <c r="A323" s="8" t="s">
        <v>177</v>
      </c>
      <c r="B323" s="8" t="str">
        <f>IFERROR(__xludf.DUMMYFUNCTION("""COMPUTED_VALUE"""),"Direct Transplantation")</f>
        <v>Direct Transplantation</v>
      </c>
      <c r="C323" s="8" t="str">
        <f>IFERROR(__xludf.DUMMYFUNCTION("""COMPUTED_VALUE"""),"Coral Gardening")</f>
        <v>Coral Gardening</v>
      </c>
      <c r="D323" s="8" t="str">
        <f>IFERROR(__xludf.DUMMYFUNCTION("""COMPUTED_VALUE"""),"Microfragmentation")</f>
        <v>Microfragmentation</v>
      </c>
      <c r="E323" s="8"/>
      <c r="F323" s="8"/>
      <c r="G323" s="8"/>
      <c r="H323" s="8"/>
    </row>
    <row r="324">
      <c r="A324" s="8" t="s">
        <v>263</v>
      </c>
      <c r="B324" s="8" t="str">
        <f>IFERROR(__xludf.DUMMYFUNCTION("""COMPUTED_VALUE"""),"Direct Transplantation")</f>
        <v>Direct Transplantation</v>
      </c>
      <c r="C324" s="8" t="str">
        <f>IFERROR(__xludf.DUMMYFUNCTION("""COMPUTED_VALUE"""),"Coral Gardening")</f>
        <v>Coral Gardening</v>
      </c>
      <c r="D324" s="8" t="str">
        <f>IFERROR(__xludf.DUMMYFUNCTION("""COMPUTED_VALUE"""),"Microfragmentation")</f>
        <v>Microfragmentation</v>
      </c>
      <c r="E324" s="8" t="str">
        <f>IFERROR(__xludf.DUMMYFUNCTION("""COMPUTED_VALUE"""),"Artificial Reef")</f>
        <v>Artificial Reef</v>
      </c>
      <c r="F324" s="8" t="str">
        <f>IFERROR(__xludf.DUMMYFUNCTION("""COMPUTED_VALUE"""),"Mineral Accretion")</f>
        <v>Mineral Accretion</v>
      </c>
      <c r="G324" s="8" t="str">
        <f>IFERROR(__xludf.DUMMYFUNCTION("""COMPUTED_VALUE"""),"Rubble Stabilisation")</f>
        <v>Rubble Stabilisation</v>
      </c>
      <c r="H324" s="8" t="str">
        <f>IFERROR(__xludf.DUMMYFUNCTION("""COMPUTED_VALUE"""),"Algal Removal")</f>
        <v>Algal Removal</v>
      </c>
    </row>
    <row r="325">
      <c r="A325" s="8" t="s">
        <v>263</v>
      </c>
      <c r="B325" s="8" t="str">
        <f>IFERROR(__xludf.DUMMYFUNCTION("""COMPUTED_VALUE"""),"Direct Transplantation")</f>
        <v>Direct Transplantation</v>
      </c>
      <c r="C325" s="8" t="str">
        <f>IFERROR(__xludf.DUMMYFUNCTION("""COMPUTED_VALUE"""),"Coral Gardening")</f>
        <v>Coral Gardening</v>
      </c>
      <c r="D325" s="8" t="str">
        <f>IFERROR(__xludf.DUMMYFUNCTION("""COMPUTED_VALUE"""),"Microfragmentation")</f>
        <v>Microfragmentation</v>
      </c>
      <c r="E325" s="8" t="str">
        <f>IFERROR(__xludf.DUMMYFUNCTION("""COMPUTED_VALUE"""),"Artificial Reef")</f>
        <v>Artificial Reef</v>
      </c>
      <c r="F325" s="8" t="str">
        <f>IFERROR(__xludf.DUMMYFUNCTION("""COMPUTED_VALUE"""),"Mineral Accretion")</f>
        <v>Mineral Accretion</v>
      </c>
      <c r="G325" s="8" t="str">
        <f>IFERROR(__xludf.DUMMYFUNCTION("""COMPUTED_VALUE"""),"Rubble Stabilisation")</f>
        <v>Rubble Stabilisation</v>
      </c>
      <c r="H325" s="8" t="str">
        <f>IFERROR(__xludf.DUMMYFUNCTION("""COMPUTED_VALUE"""),"Algal Removal")</f>
        <v>Algal Removal</v>
      </c>
    </row>
    <row r="326">
      <c r="A326" s="8" t="s">
        <v>263</v>
      </c>
      <c r="B326" s="8" t="str">
        <f>IFERROR(__xludf.DUMMYFUNCTION("""COMPUTED_VALUE"""),"Direct Transplantation")</f>
        <v>Direct Transplantation</v>
      </c>
      <c r="C326" s="8" t="str">
        <f>IFERROR(__xludf.DUMMYFUNCTION("""COMPUTED_VALUE"""),"Coral Gardening")</f>
        <v>Coral Gardening</v>
      </c>
      <c r="D326" s="8" t="str">
        <f>IFERROR(__xludf.DUMMYFUNCTION("""COMPUTED_VALUE"""),"Microfragmentation")</f>
        <v>Microfragmentation</v>
      </c>
      <c r="E326" s="8" t="str">
        <f>IFERROR(__xludf.DUMMYFUNCTION("""COMPUTED_VALUE"""),"Artificial Reef")</f>
        <v>Artificial Reef</v>
      </c>
      <c r="F326" s="8" t="str">
        <f>IFERROR(__xludf.DUMMYFUNCTION("""COMPUTED_VALUE"""),"Mineral Accretion")</f>
        <v>Mineral Accretion</v>
      </c>
      <c r="G326" s="8" t="str">
        <f>IFERROR(__xludf.DUMMYFUNCTION("""COMPUTED_VALUE"""),"Rubble Stabilisation")</f>
        <v>Rubble Stabilisation</v>
      </c>
      <c r="H326" s="8" t="str">
        <f>IFERROR(__xludf.DUMMYFUNCTION("""COMPUTED_VALUE"""),"Algal Removal")</f>
        <v>Algal Removal</v>
      </c>
    </row>
    <row r="327">
      <c r="A327" s="8" t="s">
        <v>150</v>
      </c>
      <c r="B327" s="8" t="str">
        <f>IFERROR(__xludf.DUMMYFUNCTION("""COMPUTED_VALUE"""),"Artificial Reef")</f>
        <v>Artificial Reef</v>
      </c>
      <c r="C327" s="8" t="str">
        <f>IFERROR(__xludf.DUMMYFUNCTION("""COMPUTED_VALUE"""),"Mineral Accretion")</f>
        <v>Mineral Accretion</v>
      </c>
      <c r="D327" s="8" t="str">
        <f>IFERROR(__xludf.DUMMYFUNCTION("""COMPUTED_VALUE"""),"Rubble Stabilisation")</f>
        <v>Rubble Stabilisation</v>
      </c>
      <c r="E327" s="8" t="str">
        <f>IFERROR(__xludf.DUMMYFUNCTION("""COMPUTED_VALUE"""),"Algal Removal")</f>
        <v>Algal Removal</v>
      </c>
      <c r="F327" s="8"/>
      <c r="G327" s="8"/>
      <c r="H327" s="8"/>
    </row>
    <row r="328">
      <c r="A328" s="8" t="s">
        <v>150</v>
      </c>
      <c r="B328" s="8" t="str">
        <f>IFERROR(__xludf.DUMMYFUNCTION("""COMPUTED_VALUE"""),"Artificial Reef")</f>
        <v>Artificial Reef</v>
      </c>
      <c r="C328" s="8" t="str">
        <f>IFERROR(__xludf.DUMMYFUNCTION("""COMPUTED_VALUE"""),"Mineral Accretion")</f>
        <v>Mineral Accretion</v>
      </c>
      <c r="D328" s="8" t="str">
        <f>IFERROR(__xludf.DUMMYFUNCTION("""COMPUTED_VALUE"""),"Rubble Stabilisation")</f>
        <v>Rubble Stabilisation</v>
      </c>
      <c r="E328" s="8" t="str">
        <f>IFERROR(__xludf.DUMMYFUNCTION("""COMPUTED_VALUE"""),"Algal Removal")</f>
        <v>Algal Removal</v>
      </c>
      <c r="F328" s="8"/>
      <c r="G328" s="8"/>
      <c r="H328" s="8"/>
    </row>
    <row r="329">
      <c r="A329" s="8" t="s">
        <v>177</v>
      </c>
      <c r="B329" s="8" t="str">
        <f>IFERROR(__xludf.DUMMYFUNCTION("""COMPUTED_VALUE"""),"Direct Transplantation")</f>
        <v>Direct Transplantation</v>
      </c>
      <c r="C329" s="8" t="str">
        <f>IFERROR(__xludf.DUMMYFUNCTION("""COMPUTED_VALUE"""),"Coral Gardening")</f>
        <v>Coral Gardening</v>
      </c>
      <c r="D329" s="8" t="str">
        <f>IFERROR(__xludf.DUMMYFUNCTION("""COMPUTED_VALUE"""),"Microfragmentation")</f>
        <v>Microfragmentation</v>
      </c>
      <c r="E329" s="8"/>
      <c r="F329" s="8"/>
      <c r="G329" s="8"/>
      <c r="H329" s="8"/>
    </row>
    <row r="330">
      <c r="A330" s="8" t="s">
        <v>150</v>
      </c>
      <c r="B330" s="8" t="str">
        <f>IFERROR(__xludf.DUMMYFUNCTION("""COMPUTED_VALUE"""),"Artificial Reef")</f>
        <v>Artificial Reef</v>
      </c>
      <c r="C330" s="8" t="str">
        <f>IFERROR(__xludf.DUMMYFUNCTION("""COMPUTED_VALUE"""),"Mineral Accretion")</f>
        <v>Mineral Accretion</v>
      </c>
      <c r="D330" s="8" t="str">
        <f>IFERROR(__xludf.DUMMYFUNCTION("""COMPUTED_VALUE"""),"Rubble Stabilisation")</f>
        <v>Rubble Stabilisation</v>
      </c>
      <c r="E330" s="8" t="str">
        <f>IFERROR(__xludf.DUMMYFUNCTION("""COMPUTED_VALUE"""),"Algal Removal")</f>
        <v>Algal Removal</v>
      </c>
      <c r="F330" s="8"/>
      <c r="G330" s="8"/>
      <c r="H330" s="8"/>
    </row>
    <row r="331">
      <c r="A331" s="8" t="s">
        <v>263</v>
      </c>
      <c r="B331" s="8" t="str">
        <f>IFERROR(__xludf.DUMMYFUNCTION("""COMPUTED_VALUE"""),"Direct Transplantation")</f>
        <v>Direct Transplantation</v>
      </c>
      <c r="C331" s="8" t="str">
        <f>IFERROR(__xludf.DUMMYFUNCTION("""COMPUTED_VALUE"""),"Coral Gardening")</f>
        <v>Coral Gardening</v>
      </c>
      <c r="D331" s="8" t="str">
        <f>IFERROR(__xludf.DUMMYFUNCTION("""COMPUTED_VALUE"""),"Microfragmentation")</f>
        <v>Microfragmentation</v>
      </c>
      <c r="E331" s="8" t="str">
        <f>IFERROR(__xludf.DUMMYFUNCTION("""COMPUTED_VALUE"""),"Artificial Reef")</f>
        <v>Artificial Reef</v>
      </c>
      <c r="F331" s="8" t="str">
        <f>IFERROR(__xludf.DUMMYFUNCTION("""COMPUTED_VALUE"""),"Mineral Accretion")</f>
        <v>Mineral Accretion</v>
      </c>
      <c r="G331" s="8" t="str">
        <f>IFERROR(__xludf.DUMMYFUNCTION("""COMPUTED_VALUE"""),"Rubble Stabilisation")</f>
        <v>Rubble Stabilisation</v>
      </c>
      <c r="H331" s="8" t="str">
        <f>IFERROR(__xludf.DUMMYFUNCTION("""COMPUTED_VALUE"""),"Algal Removal")</f>
        <v>Algal Removal</v>
      </c>
    </row>
    <row r="332">
      <c r="A332" s="8" t="s">
        <v>150</v>
      </c>
      <c r="B332" s="8" t="str">
        <f>IFERROR(__xludf.DUMMYFUNCTION("""COMPUTED_VALUE"""),"Artificial Reef")</f>
        <v>Artificial Reef</v>
      </c>
      <c r="C332" s="8" t="str">
        <f>IFERROR(__xludf.DUMMYFUNCTION("""COMPUTED_VALUE"""),"Mineral Accretion")</f>
        <v>Mineral Accretion</v>
      </c>
      <c r="D332" s="8" t="str">
        <f>IFERROR(__xludf.DUMMYFUNCTION("""COMPUTED_VALUE"""),"Rubble Stabilisation")</f>
        <v>Rubble Stabilisation</v>
      </c>
      <c r="E332" s="8" t="str">
        <f>IFERROR(__xludf.DUMMYFUNCTION("""COMPUTED_VALUE"""),"Algal Removal")</f>
        <v>Algal Removal</v>
      </c>
      <c r="F332" s="8"/>
      <c r="G332" s="8"/>
      <c r="H332" s="8"/>
    </row>
    <row r="333">
      <c r="A333" s="8" t="s">
        <v>177</v>
      </c>
      <c r="B333" s="8" t="str">
        <f>IFERROR(__xludf.DUMMYFUNCTION("""COMPUTED_VALUE"""),"Direct Transplantation")</f>
        <v>Direct Transplantation</v>
      </c>
      <c r="C333" s="8" t="str">
        <f>IFERROR(__xludf.DUMMYFUNCTION("""COMPUTED_VALUE"""),"Coral Gardening")</f>
        <v>Coral Gardening</v>
      </c>
      <c r="D333" s="8" t="str">
        <f>IFERROR(__xludf.DUMMYFUNCTION("""COMPUTED_VALUE"""),"Microfragmentation")</f>
        <v>Microfragmentation</v>
      </c>
      <c r="E333" s="8"/>
      <c r="F333" s="8"/>
      <c r="G333" s="8"/>
      <c r="H333" s="8"/>
    </row>
    <row r="334">
      <c r="A334" s="8" t="s">
        <v>150</v>
      </c>
      <c r="B334" s="8" t="str">
        <f>IFERROR(__xludf.DUMMYFUNCTION("""COMPUTED_VALUE"""),"Artificial Reef")</f>
        <v>Artificial Reef</v>
      </c>
      <c r="C334" s="8" t="str">
        <f>IFERROR(__xludf.DUMMYFUNCTION("""COMPUTED_VALUE"""),"Mineral Accretion")</f>
        <v>Mineral Accretion</v>
      </c>
      <c r="D334" s="8" t="str">
        <f>IFERROR(__xludf.DUMMYFUNCTION("""COMPUTED_VALUE"""),"Rubble Stabilisation")</f>
        <v>Rubble Stabilisation</v>
      </c>
      <c r="E334" s="8" t="str">
        <f>IFERROR(__xludf.DUMMYFUNCTION("""COMPUTED_VALUE"""),"Algal Removal")</f>
        <v>Algal Removal</v>
      </c>
      <c r="F334" s="8"/>
      <c r="G334" s="8"/>
      <c r="H334" s="8"/>
    </row>
    <row r="335">
      <c r="A335" s="8" t="s">
        <v>150</v>
      </c>
      <c r="B335" s="8" t="str">
        <f>IFERROR(__xludf.DUMMYFUNCTION("""COMPUTED_VALUE"""),"Artificial Reef")</f>
        <v>Artificial Reef</v>
      </c>
      <c r="C335" s="8" t="str">
        <f>IFERROR(__xludf.DUMMYFUNCTION("""COMPUTED_VALUE"""),"Mineral Accretion")</f>
        <v>Mineral Accretion</v>
      </c>
      <c r="D335" s="8" t="str">
        <f>IFERROR(__xludf.DUMMYFUNCTION("""COMPUTED_VALUE"""),"Rubble Stabilisation")</f>
        <v>Rubble Stabilisation</v>
      </c>
      <c r="E335" s="8" t="str">
        <f>IFERROR(__xludf.DUMMYFUNCTION("""COMPUTED_VALUE"""),"Algal Removal")</f>
        <v>Algal Removal</v>
      </c>
      <c r="F335" s="8"/>
      <c r="G335" s="8"/>
      <c r="H335" s="8"/>
    </row>
    <row r="336">
      <c r="A336" s="8" t="s">
        <v>150</v>
      </c>
      <c r="B336" s="8" t="str">
        <f>IFERROR(__xludf.DUMMYFUNCTION("""COMPUTED_VALUE"""),"Artificial Reef")</f>
        <v>Artificial Reef</v>
      </c>
      <c r="C336" s="8" t="str">
        <f>IFERROR(__xludf.DUMMYFUNCTION("""COMPUTED_VALUE"""),"Mineral Accretion")</f>
        <v>Mineral Accretion</v>
      </c>
      <c r="D336" s="8" t="str">
        <f>IFERROR(__xludf.DUMMYFUNCTION("""COMPUTED_VALUE"""),"Rubble Stabilisation")</f>
        <v>Rubble Stabilisation</v>
      </c>
      <c r="E336" s="8" t="str">
        <f>IFERROR(__xludf.DUMMYFUNCTION("""COMPUTED_VALUE"""),"Algal Removal")</f>
        <v>Algal Removal</v>
      </c>
      <c r="F336" s="8"/>
      <c r="G336" s="8"/>
      <c r="H336" s="8"/>
    </row>
    <row r="337">
      <c r="A337" s="8" t="s">
        <v>150</v>
      </c>
      <c r="B337" s="8" t="str">
        <f>IFERROR(__xludf.DUMMYFUNCTION("""COMPUTED_VALUE"""),"Artificial Reef")</f>
        <v>Artificial Reef</v>
      </c>
      <c r="C337" s="8" t="str">
        <f>IFERROR(__xludf.DUMMYFUNCTION("""COMPUTED_VALUE"""),"Mineral Accretion")</f>
        <v>Mineral Accretion</v>
      </c>
      <c r="D337" s="8" t="str">
        <f>IFERROR(__xludf.DUMMYFUNCTION("""COMPUTED_VALUE"""),"Rubble Stabilisation")</f>
        <v>Rubble Stabilisation</v>
      </c>
      <c r="E337" s="8" t="str">
        <f>IFERROR(__xludf.DUMMYFUNCTION("""COMPUTED_VALUE"""),"Algal Removal")</f>
        <v>Algal Removal</v>
      </c>
      <c r="F337" s="8"/>
      <c r="G337" s="8"/>
      <c r="H337" s="8"/>
    </row>
    <row r="338">
      <c r="A338" s="8" t="s">
        <v>150</v>
      </c>
      <c r="B338" s="8" t="str">
        <f>IFERROR(__xludf.DUMMYFUNCTION("""COMPUTED_VALUE"""),"Artificial Reef")</f>
        <v>Artificial Reef</v>
      </c>
      <c r="C338" s="8" t="str">
        <f>IFERROR(__xludf.DUMMYFUNCTION("""COMPUTED_VALUE"""),"Mineral Accretion")</f>
        <v>Mineral Accretion</v>
      </c>
      <c r="D338" s="8" t="str">
        <f>IFERROR(__xludf.DUMMYFUNCTION("""COMPUTED_VALUE"""),"Rubble Stabilisation")</f>
        <v>Rubble Stabilisation</v>
      </c>
      <c r="E338" s="8" t="str">
        <f>IFERROR(__xludf.DUMMYFUNCTION("""COMPUTED_VALUE"""),"Algal Removal")</f>
        <v>Algal Removal</v>
      </c>
      <c r="F338" s="8"/>
      <c r="G338" s="8"/>
      <c r="H338" s="8"/>
    </row>
    <row r="339">
      <c r="A339" s="8" t="s">
        <v>150</v>
      </c>
      <c r="B339" s="8" t="str">
        <f>IFERROR(__xludf.DUMMYFUNCTION("""COMPUTED_VALUE"""),"Artificial Reef")</f>
        <v>Artificial Reef</v>
      </c>
      <c r="C339" s="8" t="str">
        <f>IFERROR(__xludf.DUMMYFUNCTION("""COMPUTED_VALUE"""),"Mineral Accretion")</f>
        <v>Mineral Accretion</v>
      </c>
      <c r="D339" s="8" t="str">
        <f>IFERROR(__xludf.DUMMYFUNCTION("""COMPUTED_VALUE"""),"Rubble Stabilisation")</f>
        <v>Rubble Stabilisation</v>
      </c>
      <c r="E339" s="8" t="str">
        <f>IFERROR(__xludf.DUMMYFUNCTION("""COMPUTED_VALUE"""),"Algal Removal")</f>
        <v>Algal Removal</v>
      </c>
      <c r="F339" s="8"/>
      <c r="G339" s="8"/>
      <c r="H339" s="8"/>
    </row>
    <row r="340">
      <c r="A340" s="8" t="s">
        <v>150</v>
      </c>
      <c r="B340" s="8" t="str">
        <f>IFERROR(__xludf.DUMMYFUNCTION("""COMPUTED_VALUE"""),"Artificial Reef")</f>
        <v>Artificial Reef</v>
      </c>
      <c r="C340" s="8" t="str">
        <f>IFERROR(__xludf.DUMMYFUNCTION("""COMPUTED_VALUE"""),"Mineral Accretion")</f>
        <v>Mineral Accretion</v>
      </c>
      <c r="D340" s="8" t="str">
        <f>IFERROR(__xludf.DUMMYFUNCTION("""COMPUTED_VALUE"""),"Rubble Stabilisation")</f>
        <v>Rubble Stabilisation</v>
      </c>
      <c r="E340" s="8" t="str">
        <f>IFERROR(__xludf.DUMMYFUNCTION("""COMPUTED_VALUE"""),"Algal Removal")</f>
        <v>Algal Removal</v>
      </c>
      <c r="F340" s="8"/>
      <c r="G340" s="8"/>
      <c r="H340" s="8"/>
    </row>
    <row r="341">
      <c r="A341" s="8" t="s">
        <v>150</v>
      </c>
      <c r="B341" s="8" t="str">
        <f>IFERROR(__xludf.DUMMYFUNCTION("""COMPUTED_VALUE"""),"Artificial Reef")</f>
        <v>Artificial Reef</v>
      </c>
      <c r="C341" s="8" t="str">
        <f>IFERROR(__xludf.DUMMYFUNCTION("""COMPUTED_VALUE"""),"Mineral Accretion")</f>
        <v>Mineral Accretion</v>
      </c>
      <c r="D341" s="8" t="str">
        <f>IFERROR(__xludf.DUMMYFUNCTION("""COMPUTED_VALUE"""),"Rubble Stabilisation")</f>
        <v>Rubble Stabilisation</v>
      </c>
      <c r="E341" s="8" t="str">
        <f>IFERROR(__xludf.DUMMYFUNCTION("""COMPUTED_VALUE"""),"Algal Removal")</f>
        <v>Algal Removal</v>
      </c>
      <c r="F341" s="8"/>
      <c r="G341" s="8"/>
      <c r="H341" s="8"/>
    </row>
    <row r="342">
      <c r="A342" s="8" t="s">
        <v>177</v>
      </c>
      <c r="B342" s="8" t="str">
        <f>IFERROR(__xludf.DUMMYFUNCTION("""COMPUTED_VALUE"""),"Direct Transplantation")</f>
        <v>Direct Transplantation</v>
      </c>
      <c r="C342" s="8" t="str">
        <f>IFERROR(__xludf.DUMMYFUNCTION("""COMPUTED_VALUE"""),"Coral Gardening")</f>
        <v>Coral Gardening</v>
      </c>
      <c r="D342" s="8" t="str">
        <f>IFERROR(__xludf.DUMMYFUNCTION("""COMPUTED_VALUE"""),"Microfragmentation")</f>
        <v>Microfragmentation</v>
      </c>
      <c r="E342" s="8"/>
      <c r="F342" s="8"/>
      <c r="G342" s="8"/>
      <c r="H342" s="8"/>
    </row>
    <row r="343">
      <c r="A343" s="8" t="s">
        <v>150</v>
      </c>
      <c r="B343" s="8" t="str">
        <f>IFERROR(__xludf.DUMMYFUNCTION("""COMPUTED_VALUE"""),"Artificial Reef")</f>
        <v>Artificial Reef</v>
      </c>
      <c r="C343" s="8" t="str">
        <f>IFERROR(__xludf.DUMMYFUNCTION("""COMPUTED_VALUE"""),"Mineral Accretion")</f>
        <v>Mineral Accretion</v>
      </c>
      <c r="D343" s="8" t="str">
        <f>IFERROR(__xludf.DUMMYFUNCTION("""COMPUTED_VALUE"""),"Rubble Stabilisation")</f>
        <v>Rubble Stabilisation</v>
      </c>
      <c r="E343" s="8" t="str">
        <f>IFERROR(__xludf.DUMMYFUNCTION("""COMPUTED_VALUE"""),"Algal Removal")</f>
        <v>Algal Removal</v>
      </c>
      <c r="F343" s="8"/>
      <c r="G343" s="8"/>
      <c r="H343" s="8"/>
    </row>
    <row r="344">
      <c r="A344" s="8" t="s">
        <v>177</v>
      </c>
      <c r="B344" s="8" t="str">
        <f>IFERROR(__xludf.DUMMYFUNCTION("""COMPUTED_VALUE"""),"Direct Transplantation")</f>
        <v>Direct Transplantation</v>
      </c>
      <c r="C344" s="8" t="str">
        <f>IFERROR(__xludf.DUMMYFUNCTION("""COMPUTED_VALUE"""),"Coral Gardening")</f>
        <v>Coral Gardening</v>
      </c>
      <c r="D344" s="8" t="str">
        <f>IFERROR(__xludf.DUMMYFUNCTION("""COMPUTED_VALUE"""),"Microfragmentation")</f>
        <v>Microfragmentation</v>
      </c>
      <c r="E344" s="8"/>
      <c r="F344" s="8"/>
      <c r="G344" s="8"/>
      <c r="H344" s="8"/>
    </row>
    <row r="345">
      <c r="A345" s="8" t="s">
        <v>177</v>
      </c>
      <c r="B345" s="8" t="str">
        <f>IFERROR(__xludf.DUMMYFUNCTION("""COMPUTED_VALUE"""),"Direct Transplantation")</f>
        <v>Direct Transplantation</v>
      </c>
      <c r="C345" s="8" t="str">
        <f>IFERROR(__xludf.DUMMYFUNCTION("""COMPUTED_VALUE"""),"Coral Gardening")</f>
        <v>Coral Gardening</v>
      </c>
      <c r="D345" s="8" t="str">
        <f>IFERROR(__xludf.DUMMYFUNCTION("""COMPUTED_VALUE"""),"Microfragmentation")</f>
        <v>Microfragmentation</v>
      </c>
      <c r="E345" s="8"/>
      <c r="F345" s="8"/>
      <c r="G345" s="8"/>
      <c r="H345" s="8"/>
    </row>
    <row r="346">
      <c r="A346" s="8" t="s">
        <v>150</v>
      </c>
      <c r="B346" s="8" t="str">
        <f>IFERROR(__xludf.DUMMYFUNCTION("""COMPUTED_VALUE"""),"Artificial Reef")</f>
        <v>Artificial Reef</v>
      </c>
      <c r="C346" s="8" t="str">
        <f>IFERROR(__xludf.DUMMYFUNCTION("""COMPUTED_VALUE"""),"Mineral Accretion")</f>
        <v>Mineral Accretion</v>
      </c>
      <c r="D346" s="8" t="str">
        <f>IFERROR(__xludf.DUMMYFUNCTION("""COMPUTED_VALUE"""),"Rubble Stabilisation")</f>
        <v>Rubble Stabilisation</v>
      </c>
      <c r="E346" s="8" t="str">
        <f>IFERROR(__xludf.DUMMYFUNCTION("""COMPUTED_VALUE"""),"Algal Removal")</f>
        <v>Algal Removal</v>
      </c>
      <c r="F346" s="8"/>
      <c r="G346" s="8"/>
      <c r="H346" s="8"/>
    </row>
    <row r="347">
      <c r="A347" s="8" t="s">
        <v>150</v>
      </c>
      <c r="B347" s="8" t="str">
        <f>IFERROR(__xludf.DUMMYFUNCTION("""COMPUTED_VALUE"""),"Artificial Reef")</f>
        <v>Artificial Reef</v>
      </c>
      <c r="C347" s="8" t="str">
        <f>IFERROR(__xludf.DUMMYFUNCTION("""COMPUTED_VALUE"""),"Mineral Accretion")</f>
        <v>Mineral Accretion</v>
      </c>
      <c r="D347" s="8" t="str">
        <f>IFERROR(__xludf.DUMMYFUNCTION("""COMPUTED_VALUE"""),"Rubble Stabilisation")</f>
        <v>Rubble Stabilisation</v>
      </c>
      <c r="E347" s="8" t="str">
        <f>IFERROR(__xludf.DUMMYFUNCTION("""COMPUTED_VALUE"""),"Algal Removal")</f>
        <v>Algal Removal</v>
      </c>
      <c r="F347" s="8"/>
      <c r="G347" s="8"/>
      <c r="H347" s="8"/>
    </row>
    <row r="348">
      <c r="A348" s="8" t="s">
        <v>150</v>
      </c>
      <c r="B348" s="8" t="str">
        <f>IFERROR(__xludf.DUMMYFUNCTION("""COMPUTED_VALUE"""),"Artificial Reef")</f>
        <v>Artificial Reef</v>
      </c>
      <c r="C348" s="8" t="str">
        <f>IFERROR(__xludf.DUMMYFUNCTION("""COMPUTED_VALUE"""),"Mineral Accretion")</f>
        <v>Mineral Accretion</v>
      </c>
      <c r="D348" s="8" t="str">
        <f>IFERROR(__xludf.DUMMYFUNCTION("""COMPUTED_VALUE"""),"Rubble Stabilisation")</f>
        <v>Rubble Stabilisation</v>
      </c>
      <c r="E348" s="8" t="str">
        <f>IFERROR(__xludf.DUMMYFUNCTION("""COMPUTED_VALUE"""),"Algal Removal")</f>
        <v>Algal Removal</v>
      </c>
      <c r="F348" s="8"/>
      <c r="G348" s="8"/>
      <c r="H348" s="8"/>
    </row>
    <row r="349">
      <c r="A349" s="8" t="s">
        <v>150</v>
      </c>
      <c r="B349" s="8" t="str">
        <f>IFERROR(__xludf.DUMMYFUNCTION("""COMPUTED_VALUE"""),"Artificial Reef")</f>
        <v>Artificial Reef</v>
      </c>
      <c r="C349" s="8" t="str">
        <f>IFERROR(__xludf.DUMMYFUNCTION("""COMPUTED_VALUE"""),"Mineral Accretion")</f>
        <v>Mineral Accretion</v>
      </c>
      <c r="D349" s="8" t="str">
        <f>IFERROR(__xludf.DUMMYFUNCTION("""COMPUTED_VALUE"""),"Rubble Stabilisation")</f>
        <v>Rubble Stabilisation</v>
      </c>
      <c r="E349" s="8" t="str">
        <f>IFERROR(__xludf.DUMMYFUNCTION("""COMPUTED_VALUE"""),"Algal Removal")</f>
        <v>Algal Removal</v>
      </c>
      <c r="F349" s="8"/>
      <c r="G349" s="8"/>
      <c r="H349" s="8"/>
    </row>
    <row r="350">
      <c r="A350" s="8" t="s">
        <v>150</v>
      </c>
      <c r="B350" s="8" t="str">
        <f>IFERROR(__xludf.DUMMYFUNCTION("""COMPUTED_VALUE"""),"Artificial Reef")</f>
        <v>Artificial Reef</v>
      </c>
      <c r="C350" s="8" t="str">
        <f>IFERROR(__xludf.DUMMYFUNCTION("""COMPUTED_VALUE"""),"Mineral Accretion")</f>
        <v>Mineral Accretion</v>
      </c>
      <c r="D350" s="8" t="str">
        <f>IFERROR(__xludf.DUMMYFUNCTION("""COMPUTED_VALUE"""),"Rubble Stabilisation")</f>
        <v>Rubble Stabilisation</v>
      </c>
      <c r="E350" s="8" t="str">
        <f>IFERROR(__xludf.DUMMYFUNCTION("""COMPUTED_VALUE"""),"Algal Removal")</f>
        <v>Algal Removal</v>
      </c>
      <c r="F350" s="8"/>
      <c r="G350" s="8"/>
      <c r="H350" s="8"/>
    </row>
    <row r="351">
      <c r="A351" s="8" t="s">
        <v>177</v>
      </c>
      <c r="B351" s="8" t="str">
        <f>IFERROR(__xludf.DUMMYFUNCTION("""COMPUTED_VALUE"""),"Direct Transplantation")</f>
        <v>Direct Transplantation</v>
      </c>
      <c r="C351" s="8" t="str">
        <f>IFERROR(__xludf.DUMMYFUNCTION("""COMPUTED_VALUE"""),"Coral Gardening")</f>
        <v>Coral Gardening</v>
      </c>
      <c r="D351" s="8" t="str">
        <f>IFERROR(__xludf.DUMMYFUNCTION("""COMPUTED_VALUE"""),"Microfragmentation")</f>
        <v>Microfragmentation</v>
      </c>
      <c r="E351" s="8"/>
      <c r="F351" s="8"/>
      <c r="G351" s="8"/>
      <c r="H351" s="8"/>
    </row>
    <row r="352">
      <c r="A352" s="8" t="s">
        <v>150</v>
      </c>
      <c r="B352" s="8" t="str">
        <f>IFERROR(__xludf.DUMMYFUNCTION("""COMPUTED_VALUE"""),"Artificial Reef")</f>
        <v>Artificial Reef</v>
      </c>
      <c r="C352" s="8" t="str">
        <f>IFERROR(__xludf.DUMMYFUNCTION("""COMPUTED_VALUE"""),"Mineral Accretion")</f>
        <v>Mineral Accretion</v>
      </c>
      <c r="D352" s="8" t="str">
        <f>IFERROR(__xludf.DUMMYFUNCTION("""COMPUTED_VALUE"""),"Rubble Stabilisation")</f>
        <v>Rubble Stabilisation</v>
      </c>
      <c r="E352" s="8" t="str">
        <f>IFERROR(__xludf.DUMMYFUNCTION("""COMPUTED_VALUE"""),"Algal Removal")</f>
        <v>Algal Removal</v>
      </c>
      <c r="F352" s="8"/>
      <c r="G352" s="8"/>
      <c r="H352" s="8"/>
    </row>
    <row r="353">
      <c r="A353" s="8" t="s">
        <v>150</v>
      </c>
      <c r="B353" s="8" t="str">
        <f>IFERROR(__xludf.DUMMYFUNCTION("""COMPUTED_VALUE"""),"Artificial Reef")</f>
        <v>Artificial Reef</v>
      </c>
      <c r="C353" s="8" t="str">
        <f>IFERROR(__xludf.DUMMYFUNCTION("""COMPUTED_VALUE"""),"Mineral Accretion")</f>
        <v>Mineral Accretion</v>
      </c>
      <c r="D353" s="8" t="str">
        <f>IFERROR(__xludf.DUMMYFUNCTION("""COMPUTED_VALUE"""),"Rubble Stabilisation")</f>
        <v>Rubble Stabilisation</v>
      </c>
      <c r="E353" s="8" t="str">
        <f>IFERROR(__xludf.DUMMYFUNCTION("""COMPUTED_VALUE"""),"Algal Removal")</f>
        <v>Algal Removal</v>
      </c>
      <c r="F353" s="8"/>
      <c r="G353" s="8"/>
      <c r="H353" s="8"/>
    </row>
    <row r="354">
      <c r="A354" s="8" t="s">
        <v>150</v>
      </c>
      <c r="B354" s="8" t="str">
        <f>IFERROR(__xludf.DUMMYFUNCTION("""COMPUTED_VALUE"""),"Artificial Reef")</f>
        <v>Artificial Reef</v>
      </c>
      <c r="C354" s="8" t="str">
        <f>IFERROR(__xludf.DUMMYFUNCTION("""COMPUTED_VALUE"""),"Mineral Accretion")</f>
        <v>Mineral Accretion</v>
      </c>
      <c r="D354" s="8" t="str">
        <f>IFERROR(__xludf.DUMMYFUNCTION("""COMPUTED_VALUE"""),"Rubble Stabilisation")</f>
        <v>Rubble Stabilisation</v>
      </c>
      <c r="E354" s="8" t="str">
        <f>IFERROR(__xludf.DUMMYFUNCTION("""COMPUTED_VALUE"""),"Algal Removal")</f>
        <v>Algal Removal</v>
      </c>
      <c r="F354" s="8"/>
      <c r="G354" s="8"/>
      <c r="H354" s="8"/>
    </row>
    <row r="355">
      <c r="A355" s="8" t="s">
        <v>150</v>
      </c>
      <c r="B355" s="8" t="str">
        <f>IFERROR(__xludf.DUMMYFUNCTION("""COMPUTED_VALUE"""),"Artificial Reef")</f>
        <v>Artificial Reef</v>
      </c>
      <c r="C355" s="8" t="str">
        <f>IFERROR(__xludf.DUMMYFUNCTION("""COMPUTED_VALUE"""),"Mineral Accretion")</f>
        <v>Mineral Accretion</v>
      </c>
      <c r="D355" s="8" t="str">
        <f>IFERROR(__xludf.DUMMYFUNCTION("""COMPUTED_VALUE"""),"Rubble Stabilisation")</f>
        <v>Rubble Stabilisation</v>
      </c>
      <c r="E355" s="8" t="str">
        <f>IFERROR(__xludf.DUMMYFUNCTION("""COMPUTED_VALUE"""),"Algal Removal")</f>
        <v>Algal Removal</v>
      </c>
      <c r="F355" s="8"/>
      <c r="G355" s="8"/>
      <c r="H355" s="8"/>
    </row>
    <row r="356">
      <c r="A356" s="8" t="s">
        <v>263</v>
      </c>
      <c r="B356" s="8" t="str">
        <f>IFERROR(__xludf.DUMMYFUNCTION("""COMPUTED_VALUE"""),"Direct Transplantation")</f>
        <v>Direct Transplantation</v>
      </c>
      <c r="C356" s="8" t="str">
        <f>IFERROR(__xludf.DUMMYFUNCTION("""COMPUTED_VALUE"""),"Coral Gardening")</f>
        <v>Coral Gardening</v>
      </c>
      <c r="D356" s="8" t="str">
        <f>IFERROR(__xludf.DUMMYFUNCTION("""COMPUTED_VALUE"""),"Microfragmentation")</f>
        <v>Microfragmentation</v>
      </c>
      <c r="E356" s="8" t="str">
        <f>IFERROR(__xludf.DUMMYFUNCTION("""COMPUTED_VALUE"""),"Artificial Reef")</f>
        <v>Artificial Reef</v>
      </c>
      <c r="F356" s="8" t="str">
        <f>IFERROR(__xludf.DUMMYFUNCTION("""COMPUTED_VALUE"""),"Mineral Accretion")</f>
        <v>Mineral Accretion</v>
      </c>
      <c r="G356" s="8" t="str">
        <f>IFERROR(__xludf.DUMMYFUNCTION("""COMPUTED_VALUE"""),"Rubble Stabilisation")</f>
        <v>Rubble Stabilisation</v>
      </c>
      <c r="H356" s="8" t="str">
        <f>IFERROR(__xludf.DUMMYFUNCTION("""COMPUTED_VALUE"""),"Algal Removal")</f>
        <v>Algal Removal</v>
      </c>
    </row>
    <row r="357">
      <c r="A357" s="8" t="s">
        <v>150</v>
      </c>
      <c r="B357" s="8" t="str">
        <f>IFERROR(__xludf.DUMMYFUNCTION("""COMPUTED_VALUE"""),"Artificial Reef")</f>
        <v>Artificial Reef</v>
      </c>
      <c r="C357" s="8" t="str">
        <f>IFERROR(__xludf.DUMMYFUNCTION("""COMPUTED_VALUE"""),"Mineral Accretion")</f>
        <v>Mineral Accretion</v>
      </c>
      <c r="D357" s="8" t="str">
        <f>IFERROR(__xludf.DUMMYFUNCTION("""COMPUTED_VALUE"""),"Rubble Stabilisation")</f>
        <v>Rubble Stabilisation</v>
      </c>
      <c r="E357" s="8" t="str">
        <f>IFERROR(__xludf.DUMMYFUNCTION("""COMPUTED_VALUE"""),"Algal Removal")</f>
        <v>Algal Removal</v>
      </c>
      <c r="F357" s="8"/>
      <c r="G357" s="8"/>
      <c r="H357" s="8"/>
    </row>
    <row r="358">
      <c r="A358" s="8" t="s">
        <v>150</v>
      </c>
      <c r="B358" s="8" t="str">
        <f>IFERROR(__xludf.DUMMYFUNCTION("""COMPUTED_VALUE"""),"Artificial Reef")</f>
        <v>Artificial Reef</v>
      </c>
      <c r="C358" s="8" t="str">
        <f>IFERROR(__xludf.DUMMYFUNCTION("""COMPUTED_VALUE"""),"Mineral Accretion")</f>
        <v>Mineral Accretion</v>
      </c>
      <c r="D358" s="8" t="str">
        <f>IFERROR(__xludf.DUMMYFUNCTION("""COMPUTED_VALUE"""),"Rubble Stabilisation")</f>
        <v>Rubble Stabilisation</v>
      </c>
      <c r="E358" s="8" t="str">
        <f>IFERROR(__xludf.DUMMYFUNCTION("""COMPUTED_VALUE"""),"Algal Removal")</f>
        <v>Algal Removal</v>
      </c>
      <c r="F358" s="8"/>
      <c r="G358" s="8"/>
      <c r="H358" s="8"/>
    </row>
    <row r="359">
      <c r="A359" s="8" t="s">
        <v>150</v>
      </c>
      <c r="B359" s="8" t="str">
        <f>IFERROR(__xludf.DUMMYFUNCTION("""COMPUTED_VALUE"""),"Artificial Reef")</f>
        <v>Artificial Reef</v>
      </c>
      <c r="C359" s="8" t="str">
        <f>IFERROR(__xludf.DUMMYFUNCTION("""COMPUTED_VALUE"""),"Mineral Accretion")</f>
        <v>Mineral Accretion</v>
      </c>
      <c r="D359" s="8" t="str">
        <f>IFERROR(__xludf.DUMMYFUNCTION("""COMPUTED_VALUE"""),"Rubble Stabilisation")</f>
        <v>Rubble Stabilisation</v>
      </c>
      <c r="E359" s="8" t="str">
        <f>IFERROR(__xludf.DUMMYFUNCTION("""COMPUTED_VALUE"""),"Algal Removal")</f>
        <v>Algal Removal</v>
      </c>
      <c r="F359" s="8"/>
      <c r="G359" s="8"/>
      <c r="H359" s="8"/>
    </row>
    <row r="360">
      <c r="A360" s="8" t="s">
        <v>150</v>
      </c>
      <c r="B360" s="8" t="str">
        <f>IFERROR(__xludf.DUMMYFUNCTION("""COMPUTED_VALUE"""),"Artificial Reef")</f>
        <v>Artificial Reef</v>
      </c>
      <c r="C360" s="8" t="str">
        <f>IFERROR(__xludf.DUMMYFUNCTION("""COMPUTED_VALUE"""),"Mineral Accretion")</f>
        <v>Mineral Accretion</v>
      </c>
      <c r="D360" s="8" t="str">
        <f>IFERROR(__xludf.DUMMYFUNCTION("""COMPUTED_VALUE"""),"Rubble Stabilisation")</f>
        <v>Rubble Stabilisation</v>
      </c>
      <c r="E360" s="8" t="str">
        <f>IFERROR(__xludf.DUMMYFUNCTION("""COMPUTED_VALUE"""),"Algal Removal")</f>
        <v>Algal Removal</v>
      </c>
      <c r="F360" s="8"/>
      <c r="G360" s="8"/>
      <c r="H360" s="8"/>
    </row>
    <row r="361">
      <c r="A361" s="8" t="s">
        <v>150</v>
      </c>
      <c r="B361" s="8" t="str">
        <f>IFERROR(__xludf.DUMMYFUNCTION("""COMPUTED_VALUE"""),"Artificial Reef")</f>
        <v>Artificial Reef</v>
      </c>
      <c r="C361" s="8" t="str">
        <f>IFERROR(__xludf.DUMMYFUNCTION("""COMPUTED_VALUE"""),"Mineral Accretion")</f>
        <v>Mineral Accretion</v>
      </c>
      <c r="D361" s="8" t="str">
        <f>IFERROR(__xludf.DUMMYFUNCTION("""COMPUTED_VALUE"""),"Rubble Stabilisation")</f>
        <v>Rubble Stabilisation</v>
      </c>
      <c r="E361" s="8" t="str">
        <f>IFERROR(__xludf.DUMMYFUNCTION("""COMPUTED_VALUE"""),"Algal Removal")</f>
        <v>Algal Removal</v>
      </c>
      <c r="F361" s="8"/>
      <c r="G361" s="8"/>
      <c r="H361" s="8"/>
    </row>
    <row r="362">
      <c r="A362" s="8" t="s">
        <v>177</v>
      </c>
      <c r="B362" s="8" t="str">
        <f>IFERROR(__xludf.DUMMYFUNCTION("""COMPUTED_VALUE"""),"Direct Transplantation")</f>
        <v>Direct Transplantation</v>
      </c>
      <c r="C362" s="8" t="str">
        <f>IFERROR(__xludf.DUMMYFUNCTION("""COMPUTED_VALUE"""),"Coral Gardening")</f>
        <v>Coral Gardening</v>
      </c>
      <c r="D362" s="8" t="str">
        <f>IFERROR(__xludf.DUMMYFUNCTION("""COMPUTED_VALUE"""),"Microfragmentation")</f>
        <v>Microfragmentation</v>
      </c>
      <c r="E362" s="8"/>
      <c r="F362" s="8"/>
      <c r="G362" s="8"/>
      <c r="H362" s="8"/>
    </row>
    <row r="363">
      <c r="A363" s="8" t="s">
        <v>150</v>
      </c>
      <c r="B363" s="8" t="str">
        <f>IFERROR(__xludf.DUMMYFUNCTION("""COMPUTED_VALUE"""),"Artificial Reef")</f>
        <v>Artificial Reef</v>
      </c>
      <c r="C363" s="8" t="str">
        <f>IFERROR(__xludf.DUMMYFUNCTION("""COMPUTED_VALUE"""),"Mineral Accretion")</f>
        <v>Mineral Accretion</v>
      </c>
      <c r="D363" s="8" t="str">
        <f>IFERROR(__xludf.DUMMYFUNCTION("""COMPUTED_VALUE"""),"Rubble Stabilisation")</f>
        <v>Rubble Stabilisation</v>
      </c>
      <c r="E363" s="8" t="str">
        <f>IFERROR(__xludf.DUMMYFUNCTION("""COMPUTED_VALUE"""),"Algal Removal")</f>
        <v>Algal Removal</v>
      </c>
      <c r="F363" s="8"/>
      <c r="G363" s="8"/>
      <c r="H363" s="8"/>
    </row>
    <row r="364">
      <c r="A364" s="8" t="s">
        <v>150</v>
      </c>
      <c r="B364" s="8" t="str">
        <f>IFERROR(__xludf.DUMMYFUNCTION("""COMPUTED_VALUE"""),"Artificial Reef")</f>
        <v>Artificial Reef</v>
      </c>
      <c r="C364" s="8" t="str">
        <f>IFERROR(__xludf.DUMMYFUNCTION("""COMPUTED_VALUE"""),"Mineral Accretion")</f>
        <v>Mineral Accretion</v>
      </c>
      <c r="D364" s="8" t="str">
        <f>IFERROR(__xludf.DUMMYFUNCTION("""COMPUTED_VALUE"""),"Rubble Stabilisation")</f>
        <v>Rubble Stabilisation</v>
      </c>
      <c r="E364" s="8" t="str">
        <f>IFERROR(__xludf.DUMMYFUNCTION("""COMPUTED_VALUE"""),"Algal Removal")</f>
        <v>Algal Removal</v>
      </c>
      <c r="F364" s="8"/>
      <c r="G364" s="8"/>
      <c r="H364" s="8"/>
    </row>
    <row r="365">
      <c r="A365" s="8" t="s">
        <v>177</v>
      </c>
      <c r="B365" s="8" t="str">
        <f>IFERROR(__xludf.DUMMYFUNCTION("""COMPUTED_VALUE"""),"Direct Transplantation")</f>
        <v>Direct Transplantation</v>
      </c>
      <c r="C365" s="8" t="str">
        <f>IFERROR(__xludf.DUMMYFUNCTION("""COMPUTED_VALUE"""),"Coral Gardening")</f>
        <v>Coral Gardening</v>
      </c>
      <c r="D365" s="8" t="str">
        <f>IFERROR(__xludf.DUMMYFUNCTION("""COMPUTED_VALUE"""),"Microfragmentation")</f>
        <v>Microfragmentation</v>
      </c>
      <c r="E365" s="8"/>
      <c r="F365" s="8"/>
      <c r="G365" s="8"/>
      <c r="H365" s="8"/>
    </row>
    <row r="366">
      <c r="A366" s="8" t="s">
        <v>150</v>
      </c>
      <c r="B366" s="8" t="str">
        <f>IFERROR(__xludf.DUMMYFUNCTION("""COMPUTED_VALUE"""),"Artificial Reef")</f>
        <v>Artificial Reef</v>
      </c>
      <c r="C366" s="8" t="str">
        <f>IFERROR(__xludf.DUMMYFUNCTION("""COMPUTED_VALUE"""),"Mineral Accretion")</f>
        <v>Mineral Accretion</v>
      </c>
      <c r="D366" s="8" t="str">
        <f>IFERROR(__xludf.DUMMYFUNCTION("""COMPUTED_VALUE"""),"Rubble Stabilisation")</f>
        <v>Rubble Stabilisation</v>
      </c>
      <c r="E366" s="8" t="str">
        <f>IFERROR(__xludf.DUMMYFUNCTION("""COMPUTED_VALUE"""),"Algal Removal")</f>
        <v>Algal Removal</v>
      </c>
      <c r="F366" s="8"/>
      <c r="G366" s="8"/>
      <c r="H366" s="8"/>
    </row>
    <row r="367">
      <c r="A367" s="8" t="s">
        <v>150</v>
      </c>
      <c r="B367" s="8" t="str">
        <f>IFERROR(__xludf.DUMMYFUNCTION("""COMPUTED_VALUE"""),"Artificial Reef")</f>
        <v>Artificial Reef</v>
      </c>
      <c r="C367" s="8" t="str">
        <f>IFERROR(__xludf.DUMMYFUNCTION("""COMPUTED_VALUE"""),"Mineral Accretion")</f>
        <v>Mineral Accretion</v>
      </c>
      <c r="D367" s="8" t="str">
        <f>IFERROR(__xludf.DUMMYFUNCTION("""COMPUTED_VALUE"""),"Rubble Stabilisation")</f>
        <v>Rubble Stabilisation</v>
      </c>
      <c r="E367" s="8" t="str">
        <f>IFERROR(__xludf.DUMMYFUNCTION("""COMPUTED_VALUE"""),"Algal Removal")</f>
        <v>Algal Removal</v>
      </c>
      <c r="F367" s="8"/>
      <c r="G367" s="8"/>
      <c r="H367" s="8"/>
    </row>
    <row r="368">
      <c r="A368" s="8" t="s">
        <v>150</v>
      </c>
      <c r="B368" s="8" t="str">
        <f>IFERROR(__xludf.DUMMYFUNCTION("""COMPUTED_VALUE"""),"Artificial Reef")</f>
        <v>Artificial Reef</v>
      </c>
      <c r="C368" s="8" t="str">
        <f>IFERROR(__xludf.DUMMYFUNCTION("""COMPUTED_VALUE"""),"Mineral Accretion")</f>
        <v>Mineral Accretion</v>
      </c>
      <c r="D368" s="8" t="str">
        <f>IFERROR(__xludf.DUMMYFUNCTION("""COMPUTED_VALUE"""),"Rubble Stabilisation")</f>
        <v>Rubble Stabilisation</v>
      </c>
      <c r="E368" s="8" t="str">
        <f>IFERROR(__xludf.DUMMYFUNCTION("""COMPUTED_VALUE"""),"Algal Removal")</f>
        <v>Algal Removal</v>
      </c>
      <c r="F368" s="8"/>
      <c r="G368" s="8"/>
      <c r="H368" s="8"/>
    </row>
    <row r="369">
      <c r="A369" s="8" t="s">
        <v>150</v>
      </c>
      <c r="B369" s="8" t="str">
        <f>IFERROR(__xludf.DUMMYFUNCTION("""COMPUTED_VALUE"""),"Artificial Reef")</f>
        <v>Artificial Reef</v>
      </c>
      <c r="C369" s="8" t="str">
        <f>IFERROR(__xludf.DUMMYFUNCTION("""COMPUTED_VALUE"""),"Mineral Accretion")</f>
        <v>Mineral Accretion</v>
      </c>
      <c r="D369" s="8" t="str">
        <f>IFERROR(__xludf.DUMMYFUNCTION("""COMPUTED_VALUE"""),"Rubble Stabilisation")</f>
        <v>Rubble Stabilisation</v>
      </c>
      <c r="E369" s="8" t="str">
        <f>IFERROR(__xludf.DUMMYFUNCTION("""COMPUTED_VALUE"""),"Algal Removal")</f>
        <v>Algal Removal</v>
      </c>
      <c r="F369" s="8"/>
      <c r="G369" s="8"/>
      <c r="H369" s="8"/>
    </row>
    <row r="370">
      <c r="A370" s="8" t="s">
        <v>150</v>
      </c>
      <c r="B370" s="8" t="str">
        <f>IFERROR(__xludf.DUMMYFUNCTION("""COMPUTED_VALUE"""),"Artificial Reef")</f>
        <v>Artificial Reef</v>
      </c>
      <c r="C370" s="8" t="str">
        <f>IFERROR(__xludf.DUMMYFUNCTION("""COMPUTED_VALUE"""),"Mineral Accretion")</f>
        <v>Mineral Accretion</v>
      </c>
      <c r="D370" s="8" t="str">
        <f>IFERROR(__xludf.DUMMYFUNCTION("""COMPUTED_VALUE"""),"Rubble Stabilisation")</f>
        <v>Rubble Stabilisation</v>
      </c>
      <c r="E370" s="8" t="str">
        <f>IFERROR(__xludf.DUMMYFUNCTION("""COMPUTED_VALUE"""),"Algal Removal")</f>
        <v>Algal Removal</v>
      </c>
      <c r="F370" s="8"/>
      <c r="G370" s="8"/>
      <c r="H370" s="8"/>
    </row>
    <row r="371">
      <c r="A371" s="8" t="s">
        <v>150</v>
      </c>
      <c r="B371" s="8" t="str">
        <f>IFERROR(__xludf.DUMMYFUNCTION("""COMPUTED_VALUE"""),"Artificial Reef")</f>
        <v>Artificial Reef</v>
      </c>
      <c r="C371" s="8" t="str">
        <f>IFERROR(__xludf.DUMMYFUNCTION("""COMPUTED_VALUE"""),"Mineral Accretion")</f>
        <v>Mineral Accretion</v>
      </c>
      <c r="D371" s="8" t="str">
        <f>IFERROR(__xludf.DUMMYFUNCTION("""COMPUTED_VALUE"""),"Rubble Stabilisation")</f>
        <v>Rubble Stabilisation</v>
      </c>
      <c r="E371" s="8" t="str">
        <f>IFERROR(__xludf.DUMMYFUNCTION("""COMPUTED_VALUE"""),"Algal Removal")</f>
        <v>Algal Removal</v>
      </c>
      <c r="F371" s="8"/>
      <c r="G371" s="8"/>
      <c r="H371" s="8"/>
    </row>
    <row r="372">
      <c r="A372" s="8" t="s">
        <v>150</v>
      </c>
      <c r="B372" s="8" t="str">
        <f>IFERROR(__xludf.DUMMYFUNCTION("""COMPUTED_VALUE"""),"Artificial Reef")</f>
        <v>Artificial Reef</v>
      </c>
      <c r="C372" s="8" t="str">
        <f>IFERROR(__xludf.DUMMYFUNCTION("""COMPUTED_VALUE"""),"Mineral Accretion")</f>
        <v>Mineral Accretion</v>
      </c>
      <c r="D372" s="8" t="str">
        <f>IFERROR(__xludf.DUMMYFUNCTION("""COMPUTED_VALUE"""),"Rubble Stabilisation")</f>
        <v>Rubble Stabilisation</v>
      </c>
      <c r="E372" s="8" t="str">
        <f>IFERROR(__xludf.DUMMYFUNCTION("""COMPUTED_VALUE"""),"Algal Removal")</f>
        <v>Algal Removal</v>
      </c>
      <c r="F372" s="8"/>
      <c r="G372" s="8"/>
      <c r="H372" s="8"/>
    </row>
    <row r="373">
      <c r="A373" s="8" t="s">
        <v>150</v>
      </c>
      <c r="B373" s="8" t="str">
        <f>IFERROR(__xludf.DUMMYFUNCTION("""COMPUTED_VALUE"""),"Artificial Reef")</f>
        <v>Artificial Reef</v>
      </c>
      <c r="C373" s="8" t="str">
        <f>IFERROR(__xludf.DUMMYFUNCTION("""COMPUTED_VALUE"""),"Mineral Accretion")</f>
        <v>Mineral Accretion</v>
      </c>
      <c r="D373" s="8" t="str">
        <f>IFERROR(__xludf.DUMMYFUNCTION("""COMPUTED_VALUE"""),"Rubble Stabilisation")</f>
        <v>Rubble Stabilisation</v>
      </c>
      <c r="E373" s="8" t="str">
        <f>IFERROR(__xludf.DUMMYFUNCTION("""COMPUTED_VALUE"""),"Algal Removal")</f>
        <v>Algal Removal</v>
      </c>
      <c r="F373" s="8"/>
      <c r="G373" s="8"/>
      <c r="H373" s="8"/>
    </row>
    <row r="374">
      <c r="A374" s="8" t="s">
        <v>150</v>
      </c>
      <c r="B374" s="8" t="str">
        <f>IFERROR(__xludf.DUMMYFUNCTION("""COMPUTED_VALUE"""),"Artificial Reef")</f>
        <v>Artificial Reef</v>
      </c>
      <c r="C374" s="8" t="str">
        <f>IFERROR(__xludf.DUMMYFUNCTION("""COMPUTED_VALUE"""),"Mineral Accretion")</f>
        <v>Mineral Accretion</v>
      </c>
      <c r="D374" s="8" t="str">
        <f>IFERROR(__xludf.DUMMYFUNCTION("""COMPUTED_VALUE"""),"Rubble Stabilisation")</f>
        <v>Rubble Stabilisation</v>
      </c>
      <c r="E374" s="8" t="str">
        <f>IFERROR(__xludf.DUMMYFUNCTION("""COMPUTED_VALUE"""),"Algal Removal")</f>
        <v>Algal Removal</v>
      </c>
      <c r="F374" s="8"/>
      <c r="G374" s="8"/>
      <c r="H374" s="8"/>
    </row>
    <row r="375">
      <c r="A375" s="8" t="s">
        <v>150</v>
      </c>
      <c r="B375" s="8" t="str">
        <f>IFERROR(__xludf.DUMMYFUNCTION("""COMPUTED_VALUE"""),"Artificial Reef")</f>
        <v>Artificial Reef</v>
      </c>
      <c r="C375" s="8" t="str">
        <f>IFERROR(__xludf.DUMMYFUNCTION("""COMPUTED_VALUE"""),"Mineral Accretion")</f>
        <v>Mineral Accretion</v>
      </c>
      <c r="D375" s="8" t="str">
        <f>IFERROR(__xludf.DUMMYFUNCTION("""COMPUTED_VALUE"""),"Rubble Stabilisation")</f>
        <v>Rubble Stabilisation</v>
      </c>
      <c r="E375" s="8" t="str">
        <f>IFERROR(__xludf.DUMMYFUNCTION("""COMPUTED_VALUE"""),"Algal Removal")</f>
        <v>Algal Removal</v>
      </c>
      <c r="F375" s="8"/>
      <c r="G375" s="8"/>
      <c r="H375" s="8"/>
    </row>
    <row r="376">
      <c r="A376" s="8" t="s">
        <v>150</v>
      </c>
      <c r="B376" s="8" t="str">
        <f>IFERROR(__xludf.DUMMYFUNCTION("""COMPUTED_VALUE"""),"Artificial Reef")</f>
        <v>Artificial Reef</v>
      </c>
      <c r="C376" s="8" t="str">
        <f>IFERROR(__xludf.DUMMYFUNCTION("""COMPUTED_VALUE"""),"Mineral Accretion")</f>
        <v>Mineral Accretion</v>
      </c>
      <c r="D376" s="8" t="str">
        <f>IFERROR(__xludf.DUMMYFUNCTION("""COMPUTED_VALUE"""),"Rubble Stabilisation")</f>
        <v>Rubble Stabilisation</v>
      </c>
      <c r="E376" s="8" t="str">
        <f>IFERROR(__xludf.DUMMYFUNCTION("""COMPUTED_VALUE"""),"Algal Removal")</f>
        <v>Algal Removal</v>
      </c>
      <c r="F376" s="8"/>
      <c r="G376" s="8"/>
      <c r="H376" s="8"/>
    </row>
    <row r="377">
      <c r="A377" s="8" t="s">
        <v>150</v>
      </c>
      <c r="B377" s="8" t="str">
        <f>IFERROR(__xludf.DUMMYFUNCTION("""COMPUTED_VALUE"""),"Artificial Reef")</f>
        <v>Artificial Reef</v>
      </c>
      <c r="C377" s="8" t="str">
        <f>IFERROR(__xludf.DUMMYFUNCTION("""COMPUTED_VALUE"""),"Mineral Accretion")</f>
        <v>Mineral Accretion</v>
      </c>
      <c r="D377" s="8" t="str">
        <f>IFERROR(__xludf.DUMMYFUNCTION("""COMPUTED_VALUE"""),"Rubble Stabilisation")</f>
        <v>Rubble Stabilisation</v>
      </c>
      <c r="E377" s="8" t="str">
        <f>IFERROR(__xludf.DUMMYFUNCTION("""COMPUTED_VALUE"""),"Algal Removal")</f>
        <v>Algal Removal</v>
      </c>
      <c r="F377" s="8"/>
      <c r="G377" s="8"/>
      <c r="H377" s="8"/>
    </row>
    <row r="378">
      <c r="A378" s="8" t="s">
        <v>150</v>
      </c>
      <c r="B378" s="8" t="str">
        <f>IFERROR(__xludf.DUMMYFUNCTION("""COMPUTED_VALUE"""),"Artificial Reef")</f>
        <v>Artificial Reef</v>
      </c>
      <c r="C378" s="8" t="str">
        <f>IFERROR(__xludf.DUMMYFUNCTION("""COMPUTED_VALUE"""),"Mineral Accretion")</f>
        <v>Mineral Accretion</v>
      </c>
      <c r="D378" s="8" t="str">
        <f>IFERROR(__xludf.DUMMYFUNCTION("""COMPUTED_VALUE"""),"Rubble Stabilisation")</f>
        <v>Rubble Stabilisation</v>
      </c>
      <c r="E378" s="8" t="str">
        <f>IFERROR(__xludf.DUMMYFUNCTION("""COMPUTED_VALUE"""),"Algal Removal")</f>
        <v>Algal Removal</v>
      </c>
      <c r="F378" s="8"/>
      <c r="G378" s="8"/>
      <c r="H378" s="8"/>
    </row>
    <row r="379">
      <c r="A379" s="8" t="s">
        <v>150</v>
      </c>
      <c r="B379" s="8" t="str">
        <f>IFERROR(__xludf.DUMMYFUNCTION("""COMPUTED_VALUE"""),"Artificial Reef")</f>
        <v>Artificial Reef</v>
      </c>
      <c r="C379" s="8" t="str">
        <f>IFERROR(__xludf.DUMMYFUNCTION("""COMPUTED_VALUE"""),"Mineral Accretion")</f>
        <v>Mineral Accretion</v>
      </c>
      <c r="D379" s="8" t="str">
        <f>IFERROR(__xludf.DUMMYFUNCTION("""COMPUTED_VALUE"""),"Rubble Stabilisation")</f>
        <v>Rubble Stabilisation</v>
      </c>
      <c r="E379" s="8" t="str">
        <f>IFERROR(__xludf.DUMMYFUNCTION("""COMPUTED_VALUE"""),"Algal Removal")</f>
        <v>Algal Removal</v>
      </c>
      <c r="F379" s="8"/>
      <c r="G379" s="8"/>
      <c r="H379" s="8"/>
    </row>
    <row r="380">
      <c r="A380" s="8" t="s">
        <v>150</v>
      </c>
      <c r="B380" s="8" t="str">
        <f>IFERROR(__xludf.DUMMYFUNCTION("""COMPUTED_VALUE"""),"Artificial Reef")</f>
        <v>Artificial Reef</v>
      </c>
      <c r="C380" s="8" t="str">
        <f>IFERROR(__xludf.DUMMYFUNCTION("""COMPUTED_VALUE"""),"Mineral Accretion")</f>
        <v>Mineral Accretion</v>
      </c>
      <c r="D380" s="8" t="str">
        <f>IFERROR(__xludf.DUMMYFUNCTION("""COMPUTED_VALUE"""),"Rubble Stabilisation")</f>
        <v>Rubble Stabilisation</v>
      </c>
      <c r="E380" s="8" t="str">
        <f>IFERROR(__xludf.DUMMYFUNCTION("""COMPUTED_VALUE"""),"Algal Removal")</f>
        <v>Algal Removal</v>
      </c>
      <c r="F380" s="8"/>
      <c r="G380" s="8"/>
      <c r="H380" s="8"/>
    </row>
    <row r="381">
      <c r="A381" s="8" t="s">
        <v>150</v>
      </c>
      <c r="B381" s="8" t="str">
        <f>IFERROR(__xludf.DUMMYFUNCTION("""COMPUTED_VALUE"""),"Artificial Reef")</f>
        <v>Artificial Reef</v>
      </c>
      <c r="C381" s="8" t="str">
        <f>IFERROR(__xludf.DUMMYFUNCTION("""COMPUTED_VALUE"""),"Mineral Accretion")</f>
        <v>Mineral Accretion</v>
      </c>
      <c r="D381" s="8" t="str">
        <f>IFERROR(__xludf.DUMMYFUNCTION("""COMPUTED_VALUE"""),"Rubble Stabilisation")</f>
        <v>Rubble Stabilisation</v>
      </c>
      <c r="E381" s="8" t="str">
        <f>IFERROR(__xludf.DUMMYFUNCTION("""COMPUTED_VALUE"""),"Algal Removal")</f>
        <v>Algal Removal</v>
      </c>
      <c r="F381" s="8"/>
      <c r="G381" s="8"/>
      <c r="H381" s="8"/>
    </row>
    <row r="382">
      <c r="A382" s="8" t="s">
        <v>150</v>
      </c>
      <c r="B382" s="8" t="str">
        <f>IFERROR(__xludf.DUMMYFUNCTION("""COMPUTED_VALUE"""),"Artificial Reef")</f>
        <v>Artificial Reef</v>
      </c>
      <c r="C382" s="8" t="str">
        <f>IFERROR(__xludf.DUMMYFUNCTION("""COMPUTED_VALUE"""),"Mineral Accretion")</f>
        <v>Mineral Accretion</v>
      </c>
      <c r="D382" s="8" t="str">
        <f>IFERROR(__xludf.DUMMYFUNCTION("""COMPUTED_VALUE"""),"Rubble Stabilisation")</f>
        <v>Rubble Stabilisation</v>
      </c>
      <c r="E382" s="8" t="str">
        <f>IFERROR(__xludf.DUMMYFUNCTION("""COMPUTED_VALUE"""),"Algal Removal")</f>
        <v>Algal Removal</v>
      </c>
      <c r="F382" s="8"/>
      <c r="G382" s="8"/>
      <c r="H382" s="8"/>
    </row>
    <row r="383">
      <c r="A383" s="8" t="s">
        <v>150</v>
      </c>
      <c r="B383" s="8" t="str">
        <f>IFERROR(__xludf.DUMMYFUNCTION("""COMPUTED_VALUE"""),"Artificial Reef")</f>
        <v>Artificial Reef</v>
      </c>
      <c r="C383" s="8" t="str">
        <f>IFERROR(__xludf.DUMMYFUNCTION("""COMPUTED_VALUE"""),"Mineral Accretion")</f>
        <v>Mineral Accretion</v>
      </c>
      <c r="D383" s="8" t="str">
        <f>IFERROR(__xludf.DUMMYFUNCTION("""COMPUTED_VALUE"""),"Rubble Stabilisation")</f>
        <v>Rubble Stabilisation</v>
      </c>
      <c r="E383" s="8" t="str">
        <f>IFERROR(__xludf.DUMMYFUNCTION("""COMPUTED_VALUE"""),"Algal Removal")</f>
        <v>Algal Removal</v>
      </c>
      <c r="F383" s="8"/>
      <c r="G383" s="8"/>
      <c r="H383" s="8"/>
    </row>
    <row r="384">
      <c r="A384" s="8" t="s">
        <v>150</v>
      </c>
      <c r="B384" s="8" t="str">
        <f>IFERROR(__xludf.DUMMYFUNCTION("""COMPUTED_VALUE"""),"Artificial Reef")</f>
        <v>Artificial Reef</v>
      </c>
      <c r="C384" s="8" t="str">
        <f>IFERROR(__xludf.DUMMYFUNCTION("""COMPUTED_VALUE"""),"Mineral Accretion")</f>
        <v>Mineral Accretion</v>
      </c>
      <c r="D384" s="8" t="str">
        <f>IFERROR(__xludf.DUMMYFUNCTION("""COMPUTED_VALUE"""),"Rubble Stabilisation")</f>
        <v>Rubble Stabilisation</v>
      </c>
      <c r="E384" s="8" t="str">
        <f>IFERROR(__xludf.DUMMYFUNCTION("""COMPUTED_VALUE"""),"Algal Removal")</f>
        <v>Algal Removal</v>
      </c>
      <c r="F384" s="8"/>
      <c r="G384" s="8"/>
      <c r="H384" s="8"/>
    </row>
    <row r="385">
      <c r="A385" s="8" t="s">
        <v>150</v>
      </c>
      <c r="B385" s="8" t="str">
        <f>IFERROR(__xludf.DUMMYFUNCTION("""COMPUTED_VALUE"""),"Artificial Reef")</f>
        <v>Artificial Reef</v>
      </c>
      <c r="C385" s="8" t="str">
        <f>IFERROR(__xludf.DUMMYFUNCTION("""COMPUTED_VALUE"""),"Mineral Accretion")</f>
        <v>Mineral Accretion</v>
      </c>
      <c r="D385" s="8" t="str">
        <f>IFERROR(__xludf.DUMMYFUNCTION("""COMPUTED_VALUE"""),"Rubble Stabilisation")</f>
        <v>Rubble Stabilisation</v>
      </c>
      <c r="E385" s="8" t="str">
        <f>IFERROR(__xludf.DUMMYFUNCTION("""COMPUTED_VALUE"""),"Algal Removal")</f>
        <v>Algal Removal</v>
      </c>
      <c r="F385" s="8"/>
      <c r="G385" s="8"/>
      <c r="H385" s="8"/>
    </row>
    <row r="386">
      <c r="A386" s="8" t="s">
        <v>150</v>
      </c>
      <c r="B386" s="8" t="str">
        <f>IFERROR(__xludf.DUMMYFUNCTION("""COMPUTED_VALUE"""),"Artificial Reef")</f>
        <v>Artificial Reef</v>
      </c>
      <c r="C386" s="8" t="str">
        <f>IFERROR(__xludf.DUMMYFUNCTION("""COMPUTED_VALUE"""),"Mineral Accretion")</f>
        <v>Mineral Accretion</v>
      </c>
      <c r="D386" s="8" t="str">
        <f>IFERROR(__xludf.DUMMYFUNCTION("""COMPUTED_VALUE"""),"Rubble Stabilisation")</f>
        <v>Rubble Stabilisation</v>
      </c>
      <c r="E386" s="8" t="str">
        <f>IFERROR(__xludf.DUMMYFUNCTION("""COMPUTED_VALUE"""),"Algal Removal")</f>
        <v>Algal Removal</v>
      </c>
      <c r="F386" s="8"/>
      <c r="G386" s="8"/>
      <c r="H386" s="8"/>
    </row>
    <row r="387">
      <c r="A387" s="8" t="s">
        <v>150</v>
      </c>
      <c r="B387" s="8" t="str">
        <f>IFERROR(__xludf.DUMMYFUNCTION("""COMPUTED_VALUE"""),"Artificial Reef")</f>
        <v>Artificial Reef</v>
      </c>
      <c r="C387" s="8" t="str">
        <f>IFERROR(__xludf.DUMMYFUNCTION("""COMPUTED_VALUE"""),"Mineral Accretion")</f>
        <v>Mineral Accretion</v>
      </c>
      <c r="D387" s="8" t="str">
        <f>IFERROR(__xludf.DUMMYFUNCTION("""COMPUTED_VALUE"""),"Rubble Stabilisation")</f>
        <v>Rubble Stabilisation</v>
      </c>
      <c r="E387" s="8" t="str">
        <f>IFERROR(__xludf.DUMMYFUNCTION("""COMPUTED_VALUE"""),"Algal Removal")</f>
        <v>Algal Removal</v>
      </c>
      <c r="F387" s="8"/>
      <c r="G387" s="8"/>
      <c r="H387" s="8"/>
    </row>
    <row r="388">
      <c r="A388" s="8" t="s">
        <v>177</v>
      </c>
      <c r="B388" s="8" t="str">
        <f>IFERROR(__xludf.DUMMYFUNCTION("""COMPUTED_VALUE"""),"Direct Transplantation")</f>
        <v>Direct Transplantation</v>
      </c>
      <c r="C388" s="8" t="str">
        <f>IFERROR(__xludf.DUMMYFUNCTION("""COMPUTED_VALUE"""),"Coral Gardening")</f>
        <v>Coral Gardening</v>
      </c>
      <c r="D388" s="8" t="str">
        <f>IFERROR(__xludf.DUMMYFUNCTION("""COMPUTED_VALUE"""),"Microfragmentation")</f>
        <v>Microfragmentation</v>
      </c>
      <c r="E388" s="8"/>
      <c r="F388" s="8"/>
      <c r="G388" s="8"/>
      <c r="H388" s="8"/>
    </row>
    <row r="389">
      <c r="A389" s="8" t="s">
        <v>150</v>
      </c>
      <c r="B389" s="8" t="str">
        <f>IFERROR(__xludf.DUMMYFUNCTION("""COMPUTED_VALUE"""),"Artificial Reef")</f>
        <v>Artificial Reef</v>
      </c>
      <c r="C389" s="8" t="str">
        <f>IFERROR(__xludf.DUMMYFUNCTION("""COMPUTED_VALUE"""),"Mineral Accretion")</f>
        <v>Mineral Accretion</v>
      </c>
      <c r="D389" s="8" t="str">
        <f>IFERROR(__xludf.DUMMYFUNCTION("""COMPUTED_VALUE"""),"Rubble Stabilisation")</f>
        <v>Rubble Stabilisation</v>
      </c>
      <c r="E389" s="8" t="str">
        <f>IFERROR(__xludf.DUMMYFUNCTION("""COMPUTED_VALUE"""),"Algal Removal")</f>
        <v>Algal Removal</v>
      </c>
      <c r="F389" s="8"/>
      <c r="G389" s="8"/>
      <c r="H389" s="8"/>
    </row>
    <row r="390">
      <c r="A390" s="8" t="s">
        <v>150</v>
      </c>
      <c r="B390" s="8" t="str">
        <f>IFERROR(__xludf.DUMMYFUNCTION("""COMPUTED_VALUE"""),"Artificial Reef")</f>
        <v>Artificial Reef</v>
      </c>
      <c r="C390" s="8" t="str">
        <f>IFERROR(__xludf.DUMMYFUNCTION("""COMPUTED_VALUE"""),"Mineral Accretion")</f>
        <v>Mineral Accretion</v>
      </c>
      <c r="D390" s="8" t="str">
        <f>IFERROR(__xludf.DUMMYFUNCTION("""COMPUTED_VALUE"""),"Rubble Stabilisation")</f>
        <v>Rubble Stabilisation</v>
      </c>
      <c r="E390" s="8" t="str">
        <f>IFERROR(__xludf.DUMMYFUNCTION("""COMPUTED_VALUE"""),"Algal Removal")</f>
        <v>Algal Removal</v>
      </c>
      <c r="F390" s="8"/>
      <c r="G390" s="8"/>
      <c r="H390" s="8"/>
    </row>
    <row r="391">
      <c r="A391" s="8" t="s">
        <v>177</v>
      </c>
      <c r="B391" s="8" t="str">
        <f>IFERROR(__xludf.DUMMYFUNCTION("""COMPUTED_VALUE"""),"Direct Transplantation")</f>
        <v>Direct Transplantation</v>
      </c>
      <c r="C391" s="8" t="str">
        <f>IFERROR(__xludf.DUMMYFUNCTION("""COMPUTED_VALUE"""),"Coral Gardening")</f>
        <v>Coral Gardening</v>
      </c>
      <c r="D391" s="8" t="str">
        <f>IFERROR(__xludf.DUMMYFUNCTION("""COMPUTED_VALUE"""),"Microfragmentation")</f>
        <v>Microfragmentation</v>
      </c>
      <c r="E391" s="8"/>
      <c r="F391" s="8"/>
      <c r="G391" s="8"/>
      <c r="H391" s="8"/>
    </row>
    <row r="392">
      <c r="A392" s="8" t="s">
        <v>150</v>
      </c>
      <c r="B392" s="8" t="str">
        <f>IFERROR(__xludf.DUMMYFUNCTION("""COMPUTED_VALUE"""),"Artificial Reef")</f>
        <v>Artificial Reef</v>
      </c>
      <c r="C392" s="8" t="str">
        <f>IFERROR(__xludf.DUMMYFUNCTION("""COMPUTED_VALUE"""),"Mineral Accretion")</f>
        <v>Mineral Accretion</v>
      </c>
      <c r="D392" s="8" t="str">
        <f>IFERROR(__xludf.DUMMYFUNCTION("""COMPUTED_VALUE"""),"Rubble Stabilisation")</f>
        <v>Rubble Stabilisation</v>
      </c>
      <c r="E392" s="8" t="str">
        <f>IFERROR(__xludf.DUMMYFUNCTION("""COMPUTED_VALUE"""),"Algal Removal")</f>
        <v>Algal Removal</v>
      </c>
      <c r="F392" s="8"/>
      <c r="G392" s="8"/>
      <c r="H392" s="8"/>
    </row>
    <row r="393">
      <c r="A393" s="8" t="s">
        <v>177</v>
      </c>
      <c r="B393" s="8" t="str">
        <f>IFERROR(__xludf.DUMMYFUNCTION("""COMPUTED_VALUE"""),"Direct Transplantation")</f>
        <v>Direct Transplantation</v>
      </c>
      <c r="C393" s="8" t="str">
        <f>IFERROR(__xludf.DUMMYFUNCTION("""COMPUTED_VALUE"""),"Coral Gardening")</f>
        <v>Coral Gardening</v>
      </c>
      <c r="D393" s="8" t="str">
        <f>IFERROR(__xludf.DUMMYFUNCTION("""COMPUTED_VALUE"""),"Microfragmentation")</f>
        <v>Microfragmentation</v>
      </c>
      <c r="E393" s="8"/>
      <c r="F393" s="8"/>
      <c r="G393" s="8"/>
      <c r="H393" s="8"/>
    </row>
    <row r="394">
      <c r="A394" s="8" t="s">
        <v>150</v>
      </c>
      <c r="B394" s="8" t="str">
        <f>IFERROR(__xludf.DUMMYFUNCTION("""COMPUTED_VALUE"""),"Artificial Reef")</f>
        <v>Artificial Reef</v>
      </c>
      <c r="C394" s="8" t="str">
        <f>IFERROR(__xludf.DUMMYFUNCTION("""COMPUTED_VALUE"""),"Mineral Accretion")</f>
        <v>Mineral Accretion</v>
      </c>
      <c r="D394" s="8" t="str">
        <f>IFERROR(__xludf.DUMMYFUNCTION("""COMPUTED_VALUE"""),"Rubble Stabilisation")</f>
        <v>Rubble Stabilisation</v>
      </c>
      <c r="E394" s="8" t="str">
        <f>IFERROR(__xludf.DUMMYFUNCTION("""COMPUTED_VALUE"""),"Algal Removal")</f>
        <v>Algal Removal</v>
      </c>
      <c r="F394" s="8"/>
      <c r="G394" s="8"/>
      <c r="H394" s="8"/>
    </row>
    <row r="395">
      <c r="A395" s="8" t="s">
        <v>150</v>
      </c>
      <c r="B395" s="8" t="str">
        <f>IFERROR(__xludf.DUMMYFUNCTION("""COMPUTED_VALUE"""),"Artificial Reef")</f>
        <v>Artificial Reef</v>
      </c>
      <c r="C395" s="8" t="str">
        <f>IFERROR(__xludf.DUMMYFUNCTION("""COMPUTED_VALUE"""),"Mineral Accretion")</f>
        <v>Mineral Accretion</v>
      </c>
      <c r="D395" s="8" t="str">
        <f>IFERROR(__xludf.DUMMYFUNCTION("""COMPUTED_VALUE"""),"Rubble Stabilisation")</f>
        <v>Rubble Stabilisation</v>
      </c>
      <c r="E395" s="8" t="str">
        <f>IFERROR(__xludf.DUMMYFUNCTION("""COMPUTED_VALUE"""),"Algal Removal")</f>
        <v>Algal Removal</v>
      </c>
      <c r="F395" s="8"/>
      <c r="G395" s="8"/>
      <c r="H395" s="8"/>
    </row>
    <row r="396">
      <c r="A396" s="8" t="s">
        <v>150</v>
      </c>
      <c r="B396" s="8" t="str">
        <f>IFERROR(__xludf.DUMMYFUNCTION("""COMPUTED_VALUE"""),"Artificial Reef")</f>
        <v>Artificial Reef</v>
      </c>
      <c r="C396" s="8" t="str">
        <f>IFERROR(__xludf.DUMMYFUNCTION("""COMPUTED_VALUE"""),"Mineral Accretion")</f>
        <v>Mineral Accretion</v>
      </c>
      <c r="D396" s="8" t="str">
        <f>IFERROR(__xludf.DUMMYFUNCTION("""COMPUTED_VALUE"""),"Rubble Stabilisation")</f>
        <v>Rubble Stabilisation</v>
      </c>
      <c r="E396" s="8" t="str">
        <f>IFERROR(__xludf.DUMMYFUNCTION("""COMPUTED_VALUE"""),"Algal Removal")</f>
        <v>Algal Removal</v>
      </c>
      <c r="F396" s="8"/>
      <c r="G396" s="8"/>
      <c r="H396" s="8"/>
    </row>
    <row r="397">
      <c r="A397" s="8" t="s">
        <v>150</v>
      </c>
      <c r="B397" s="8" t="str">
        <f>IFERROR(__xludf.DUMMYFUNCTION("""COMPUTED_VALUE"""),"Artificial Reef")</f>
        <v>Artificial Reef</v>
      </c>
      <c r="C397" s="8" t="str">
        <f>IFERROR(__xludf.DUMMYFUNCTION("""COMPUTED_VALUE"""),"Mineral Accretion")</f>
        <v>Mineral Accretion</v>
      </c>
      <c r="D397" s="8" t="str">
        <f>IFERROR(__xludf.DUMMYFUNCTION("""COMPUTED_VALUE"""),"Rubble Stabilisation")</f>
        <v>Rubble Stabilisation</v>
      </c>
      <c r="E397" s="8" t="str">
        <f>IFERROR(__xludf.DUMMYFUNCTION("""COMPUTED_VALUE"""),"Algal Removal")</f>
        <v>Algal Removal</v>
      </c>
      <c r="F397" s="8"/>
      <c r="G397" s="8"/>
      <c r="H397" s="8"/>
    </row>
    <row r="398">
      <c r="A398" s="8" t="s">
        <v>150</v>
      </c>
      <c r="B398" s="8" t="str">
        <f>IFERROR(__xludf.DUMMYFUNCTION("""COMPUTED_VALUE"""),"Artificial Reef")</f>
        <v>Artificial Reef</v>
      </c>
      <c r="C398" s="8" t="str">
        <f>IFERROR(__xludf.DUMMYFUNCTION("""COMPUTED_VALUE"""),"Mineral Accretion")</f>
        <v>Mineral Accretion</v>
      </c>
      <c r="D398" s="8" t="str">
        <f>IFERROR(__xludf.DUMMYFUNCTION("""COMPUTED_VALUE"""),"Rubble Stabilisation")</f>
        <v>Rubble Stabilisation</v>
      </c>
      <c r="E398" s="8" t="str">
        <f>IFERROR(__xludf.DUMMYFUNCTION("""COMPUTED_VALUE"""),"Algal Removal")</f>
        <v>Algal Removal</v>
      </c>
      <c r="F398" s="8"/>
      <c r="G398" s="8"/>
      <c r="H398" s="8"/>
    </row>
    <row r="399">
      <c r="A399" s="8" t="s">
        <v>150</v>
      </c>
      <c r="B399" s="8" t="str">
        <f>IFERROR(__xludf.DUMMYFUNCTION("""COMPUTED_VALUE"""),"Artificial Reef")</f>
        <v>Artificial Reef</v>
      </c>
      <c r="C399" s="8" t="str">
        <f>IFERROR(__xludf.DUMMYFUNCTION("""COMPUTED_VALUE"""),"Mineral Accretion")</f>
        <v>Mineral Accretion</v>
      </c>
      <c r="D399" s="8" t="str">
        <f>IFERROR(__xludf.DUMMYFUNCTION("""COMPUTED_VALUE"""),"Rubble Stabilisation")</f>
        <v>Rubble Stabilisation</v>
      </c>
      <c r="E399" s="8" t="str">
        <f>IFERROR(__xludf.DUMMYFUNCTION("""COMPUTED_VALUE"""),"Algal Removal")</f>
        <v>Algal Removal</v>
      </c>
      <c r="F399" s="8"/>
      <c r="G399" s="8"/>
      <c r="H399" s="8"/>
    </row>
    <row r="400">
      <c r="A400" s="8" t="s">
        <v>150</v>
      </c>
      <c r="B400" s="8" t="str">
        <f>IFERROR(__xludf.DUMMYFUNCTION("""COMPUTED_VALUE"""),"Artificial Reef")</f>
        <v>Artificial Reef</v>
      </c>
      <c r="C400" s="8" t="str">
        <f>IFERROR(__xludf.DUMMYFUNCTION("""COMPUTED_VALUE"""),"Mineral Accretion")</f>
        <v>Mineral Accretion</v>
      </c>
      <c r="D400" s="8" t="str">
        <f>IFERROR(__xludf.DUMMYFUNCTION("""COMPUTED_VALUE"""),"Rubble Stabilisation")</f>
        <v>Rubble Stabilisation</v>
      </c>
      <c r="E400" s="8" t="str">
        <f>IFERROR(__xludf.DUMMYFUNCTION("""COMPUTED_VALUE"""),"Algal Removal")</f>
        <v>Algal Removal</v>
      </c>
      <c r="F400" s="8"/>
      <c r="G400" s="8"/>
      <c r="H400" s="8"/>
    </row>
    <row r="401">
      <c r="A401" s="8" t="s">
        <v>150</v>
      </c>
      <c r="B401" s="8" t="str">
        <f>IFERROR(__xludf.DUMMYFUNCTION("""COMPUTED_VALUE"""),"Artificial Reef")</f>
        <v>Artificial Reef</v>
      </c>
      <c r="C401" s="8" t="str">
        <f>IFERROR(__xludf.DUMMYFUNCTION("""COMPUTED_VALUE"""),"Mineral Accretion")</f>
        <v>Mineral Accretion</v>
      </c>
      <c r="D401" s="8" t="str">
        <f>IFERROR(__xludf.DUMMYFUNCTION("""COMPUTED_VALUE"""),"Rubble Stabilisation")</f>
        <v>Rubble Stabilisation</v>
      </c>
      <c r="E401" s="8" t="str">
        <f>IFERROR(__xludf.DUMMYFUNCTION("""COMPUTED_VALUE"""),"Algal Removal")</f>
        <v>Algal Removal</v>
      </c>
      <c r="F401" s="8"/>
      <c r="G401" s="8"/>
      <c r="H401" s="8"/>
    </row>
    <row r="402">
      <c r="A402" s="8" t="s">
        <v>150</v>
      </c>
      <c r="B402" s="8" t="str">
        <f>IFERROR(__xludf.DUMMYFUNCTION("""COMPUTED_VALUE"""),"Artificial Reef")</f>
        <v>Artificial Reef</v>
      </c>
      <c r="C402" s="8" t="str">
        <f>IFERROR(__xludf.DUMMYFUNCTION("""COMPUTED_VALUE"""),"Mineral Accretion")</f>
        <v>Mineral Accretion</v>
      </c>
      <c r="D402" s="8" t="str">
        <f>IFERROR(__xludf.DUMMYFUNCTION("""COMPUTED_VALUE"""),"Rubble Stabilisation")</f>
        <v>Rubble Stabilisation</v>
      </c>
      <c r="E402" s="8" t="str">
        <f>IFERROR(__xludf.DUMMYFUNCTION("""COMPUTED_VALUE"""),"Algal Removal")</f>
        <v>Algal Removal</v>
      </c>
      <c r="F402" s="8"/>
      <c r="G402" s="8"/>
      <c r="H402" s="8"/>
    </row>
    <row r="403">
      <c r="A403" s="8" t="s">
        <v>150</v>
      </c>
      <c r="B403" s="8" t="str">
        <f>IFERROR(__xludf.DUMMYFUNCTION("""COMPUTED_VALUE"""),"Artificial Reef")</f>
        <v>Artificial Reef</v>
      </c>
      <c r="C403" s="8" t="str">
        <f>IFERROR(__xludf.DUMMYFUNCTION("""COMPUTED_VALUE"""),"Mineral Accretion")</f>
        <v>Mineral Accretion</v>
      </c>
      <c r="D403" s="8" t="str">
        <f>IFERROR(__xludf.DUMMYFUNCTION("""COMPUTED_VALUE"""),"Rubble Stabilisation")</f>
        <v>Rubble Stabilisation</v>
      </c>
      <c r="E403" s="8" t="str">
        <f>IFERROR(__xludf.DUMMYFUNCTION("""COMPUTED_VALUE"""),"Algal Removal")</f>
        <v>Algal Removal</v>
      </c>
      <c r="F403" s="8"/>
      <c r="G403" s="8"/>
      <c r="H403" s="8"/>
    </row>
    <row r="404">
      <c r="A404" s="8" t="s">
        <v>150</v>
      </c>
      <c r="B404" s="8" t="str">
        <f>IFERROR(__xludf.DUMMYFUNCTION("""COMPUTED_VALUE"""),"Artificial Reef")</f>
        <v>Artificial Reef</v>
      </c>
      <c r="C404" s="8" t="str">
        <f>IFERROR(__xludf.DUMMYFUNCTION("""COMPUTED_VALUE"""),"Mineral Accretion")</f>
        <v>Mineral Accretion</v>
      </c>
      <c r="D404" s="8" t="str">
        <f>IFERROR(__xludf.DUMMYFUNCTION("""COMPUTED_VALUE"""),"Rubble Stabilisation")</f>
        <v>Rubble Stabilisation</v>
      </c>
      <c r="E404" s="8" t="str">
        <f>IFERROR(__xludf.DUMMYFUNCTION("""COMPUTED_VALUE"""),"Algal Removal")</f>
        <v>Algal Removal</v>
      </c>
      <c r="F404" s="8"/>
      <c r="G404" s="8"/>
      <c r="H404" s="8"/>
    </row>
    <row r="405">
      <c r="A405" s="8" t="s">
        <v>150</v>
      </c>
      <c r="B405" s="8" t="str">
        <f>IFERROR(__xludf.DUMMYFUNCTION("""COMPUTED_VALUE"""),"Artificial Reef")</f>
        <v>Artificial Reef</v>
      </c>
      <c r="C405" s="8" t="str">
        <f>IFERROR(__xludf.DUMMYFUNCTION("""COMPUTED_VALUE"""),"Mineral Accretion")</f>
        <v>Mineral Accretion</v>
      </c>
      <c r="D405" s="8" t="str">
        <f>IFERROR(__xludf.DUMMYFUNCTION("""COMPUTED_VALUE"""),"Rubble Stabilisation")</f>
        <v>Rubble Stabilisation</v>
      </c>
      <c r="E405" s="8" t="str">
        <f>IFERROR(__xludf.DUMMYFUNCTION("""COMPUTED_VALUE"""),"Algal Removal")</f>
        <v>Algal Removal</v>
      </c>
      <c r="F405" s="8"/>
      <c r="G405" s="8"/>
      <c r="H405" s="8"/>
    </row>
    <row r="406">
      <c r="A406" s="8" t="s">
        <v>150</v>
      </c>
      <c r="B406" s="8" t="str">
        <f>IFERROR(__xludf.DUMMYFUNCTION("""COMPUTED_VALUE"""),"Artificial Reef")</f>
        <v>Artificial Reef</v>
      </c>
      <c r="C406" s="8" t="str">
        <f>IFERROR(__xludf.DUMMYFUNCTION("""COMPUTED_VALUE"""),"Mineral Accretion")</f>
        <v>Mineral Accretion</v>
      </c>
      <c r="D406" s="8" t="str">
        <f>IFERROR(__xludf.DUMMYFUNCTION("""COMPUTED_VALUE"""),"Rubble Stabilisation")</f>
        <v>Rubble Stabilisation</v>
      </c>
      <c r="E406" s="8" t="str">
        <f>IFERROR(__xludf.DUMMYFUNCTION("""COMPUTED_VALUE"""),"Algal Removal")</f>
        <v>Algal Removal</v>
      </c>
      <c r="F406" s="8"/>
      <c r="G406" s="8"/>
      <c r="H406" s="8"/>
    </row>
    <row r="407">
      <c r="A407" s="8" t="s">
        <v>150</v>
      </c>
      <c r="B407" s="8" t="str">
        <f>IFERROR(__xludf.DUMMYFUNCTION("""COMPUTED_VALUE"""),"Artificial Reef")</f>
        <v>Artificial Reef</v>
      </c>
      <c r="C407" s="8" t="str">
        <f>IFERROR(__xludf.DUMMYFUNCTION("""COMPUTED_VALUE"""),"Mineral Accretion")</f>
        <v>Mineral Accretion</v>
      </c>
      <c r="D407" s="8" t="str">
        <f>IFERROR(__xludf.DUMMYFUNCTION("""COMPUTED_VALUE"""),"Rubble Stabilisation")</f>
        <v>Rubble Stabilisation</v>
      </c>
      <c r="E407" s="8" t="str">
        <f>IFERROR(__xludf.DUMMYFUNCTION("""COMPUTED_VALUE"""),"Algal Removal")</f>
        <v>Algal Removal</v>
      </c>
      <c r="F407" s="8"/>
      <c r="G407" s="8"/>
      <c r="H407" s="8"/>
    </row>
    <row r="408">
      <c r="A408" s="8" t="s">
        <v>150</v>
      </c>
      <c r="B408" s="8" t="str">
        <f>IFERROR(__xludf.DUMMYFUNCTION("""COMPUTED_VALUE"""),"Artificial Reef")</f>
        <v>Artificial Reef</v>
      </c>
      <c r="C408" s="8" t="str">
        <f>IFERROR(__xludf.DUMMYFUNCTION("""COMPUTED_VALUE"""),"Mineral Accretion")</f>
        <v>Mineral Accretion</v>
      </c>
      <c r="D408" s="8" t="str">
        <f>IFERROR(__xludf.DUMMYFUNCTION("""COMPUTED_VALUE"""),"Rubble Stabilisation")</f>
        <v>Rubble Stabilisation</v>
      </c>
      <c r="E408" s="8" t="str">
        <f>IFERROR(__xludf.DUMMYFUNCTION("""COMPUTED_VALUE"""),"Algal Removal")</f>
        <v>Algal Removal</v>
      </c>
      <c r="F408" s="8"/>
      <c r="G408" s="8"/>
      <c r="H408" s="8"/>
    </row>
    <row r="409">
      <c r="A409" s="8" t="s">
        <v>150</v>
      </c>
      <c r="B409" s="8" t="str">
        <f>IFERROR(__xludf.DUMMYFUNCTION("""COMPUTED_VALUE"""),"Artificial Reef")</f>
        <v>Artificial Reef</v>
      </c>
      <c r="C409" s="8" t="str">
        <f>IFERROR(__xludf.DUMMYFUNCTION("""COMPUTED_VALUE"""),"Mineral Accretion")</f>
        <v>Mineral Accretion</v>
      </c>
      <c r="D409" s="8" t="str">
        <f>IFERROR(__xludf.DUMMYFUNCTION("""COMPUTED_VALUE"""),"Rubble Stabilisation")</f>
        <v>Rubble Stabilisation</v>
      </c>
      <c r="E409" s="8" t="str">
        <f>IFERROR(__xludf.DUMMYFUNCTION("""COMPUTED_VALUE"""),"Algal Removal")</f>
        <v>Algal Removal</v>
      </c>
      <c r="F409" s="8"/>
      <c r="G409" s="8"/>
      <c r="H409" s="8"/>
    </row>
    <row r="410">
      <c r="A410" s="8" t="s">
        <v>150</v>
      </c>
      <c r="B410" s="8" t="str">
        <f>IFERROR(__xludf.DUMMYFUNCTION("""COMPUTED_VALUE"""),"Artificial Reef")</f>
        <v>Artificial Reef</v>
      </c>
      <c r="C410" s="8" t="str">
        <f>IFERROR(__xludf.DUMMYFUNCTION("""COMPUTED_VALUE"""),"Mineral Accretion")</f>
        <v>Mineral Accretion</v>
      </c>
      <c r="D410" s="8" t="str">
        <f>IFERROR(__xludf.DUMMYFUNCTION("""COMPUTED_VALUE"""),"Rubble Stabilisation")</f>
        <v>Rubble Stabilisation</v>
      </c>
      <c r="E410" s="8" t="str">
        <f>IFERROR(__xludf.DUMMYFUNCTION("""COMPUTED_VALUE"""),"Algal Removal")</f>
        <v>Algal Removal</v>
      </c>
      <c r="F410" s="8"/>
      <c r="G410" s="8"/>
      <c r="H410" s="8"/>
    </row>
    <row r="411">
      <c r="A411" s="8" t="s">
        <v>298</v>
      </c>
      <c r="B411" s="8" t="str">
        <f>IFERROR(__xludf.DUMMYFUNCTION("""COMPUTED_VALUE"""),"Direct Transplantation")</f>
        <v>Direct Transplantation</v>
      </c>
      <c r="C411" s="8" t="str">
        <f>IFERROR(__xludf.DUMMYFUNCTION("""COMPUTED_VALUE"""),"Coral Gardening")</f>
        <v>Coral Gardening</v>
      </c>
      <c r="D411" s="8" t="str">
        <f>IFERROR(__xludf.DUMMYFUNCTION("""COMPUTED_VALUE"""),"Microfragmentation")</f>
        <v>Microfragmentation</v>
      </c>
      <c r="E411" s="8" t="str">
        <f>IFERROR(__xludf.DUMMYFUNCTION("""COMPUTED_VALUE"""),"Larval Enhancement")</f>
        <v>Larval Enhancement</v>
      </c>
      <c r="F411" s="8"/>
      <c r="G411" s="8"/>
      <c r="H411" s="8"/>
    </row>
    <row r="412">
      <c r="A412" s="8" t="s">
        <v>298</v>
      </c>
      <c r="B412" s="8" t="str">
        <f>IFERROR(__xludf.DUMMYFUNCTION("""COMPUTED_VALUE"""),"Direct Transplantation")</f>
        <v>Direct Transplantation</v>
      </c>
      <c r="C412" s="8" t="str">
        <f>IFERROR(__xludf.DUMMYFUNCTION("""COMPUTED_VALUE"""),"Coral Gardening")</f>
        <v>Coral Gardening</v>
      </c>
      <c r="D412" s="8" t="str">
        <f>IFERROR(__xludf.DUMMYFUNCTION("""COMPUTED_VALUE"""),"Microfragmentation")</f>
        <v>Microfragmentation</v>
      </c>
      <c r="E412" s="8" t="str">
        <f>IFERROR(__xludf.DUMMYFUNCTION("""COMPUTED_VALUE"""),"Larval Enhancement")</f>
        <v>Larval Enhancement</v>
      </c>
      <c r="F412" s="8"/>
      <c r="G412" s="8"/>
      <c r="H412" s="8"/>
    </row>
    <row r="413">
      <c r="A413" s="8" t="s">
        <v>298</v>
      </c>
      <c r="B413" s="8" t="str">
        <f>IFERROR(__xludf.DUMMYFUNCTION("""COMPUTED_VALUE"""),"Direct Transplantation")</f>
        <v>Direct Transplantation</v>
      </c>
      <c r="C413" s="8" t="str">
        <f>IFERROR(__xludf.DUMMYFUNCTION("""COMPUTED_VALUE"""),"Coral Gardening")</f>
        <v>Coral Gardening</v>
      </c>
      <c r="D413" s="8" t="str">
        <f>IFERROR(__xludf.DUMMYFUNCTION("""COMPUTED_VALUE"""),"Microfragmentation")</f>
        <v>Microfragmentation</v>
      </c>
      <c r="E413" s="8" t="str">
        <f>IFERROR(__xludf.DUMMYFUNCTION("""COMPUTED_VALUE"""),"Larval Enhancement")</f>
        <v>Larval Enhancement</v>
      </c>
      <c r="F413" s="8"/>
      <c r="G413" s="8"/>
      <c r="H413" s="8"/>
    </row>
    <row r="414">
      <c r="A414" s="8" t="s">
        <v>199</v>
      </c>
      <c r="B414" s="8" t="str">
        <f>IFERROR(__xludf.DUMMYFUNCTION("""COMPUTED_VALUE"""),"Larval Enhancement")</f>
        <v>Larval Enhancement</v>
      </c>
      <c r="C414" s="8"/>
      <c r="D414" s="8"/>
      <c r="E414" s="8"/>
      <c r="F414" s="8"/>
      <c r="G414" s="8"/>
      <c r="H414" s="8"/>
    </row>
    <row r="415">
      <c r="A415" s="8" t="s">
        <v>150</v>
      </c>
      <c r="B415" s="8" t="str">
        <f>IFERROR(__xludf.DUMMYFUNCTION("""COMPUTED_VALUE"""),"Artificial Reef")</f>
        <v>Artificial Reef</v>
      </c>
      <c r="C415" s="8" t="str">
        <f>IFERROR(__xludf.DUMMYFUNCTION("""COMPUTED_VALUE"""),"Mineral Accretion")</f>
        <v>Mineral Accretion</v>
      </c>
      <c r="D415" s="8" t="str">
        <f>IFERROR(__xludf.DUMMYFUNCTION("""COMPUTED_VALUE"""),"Rubble Stabilisation")</f>
        <v>Rubble Stabilisation</v>
      </c>
      <c r="E415" s="8" t="str">
        <f>IFERROR(__xludf.DUMMYFUNCTION("""COMPUTED_VALUE"""),"Algal Removal")</f>
        <v>Algal Removal</v>
      </c>
      <c r="F415" s="8"/>
      <c r="G415" s="8"/>
      <c r="H415" s="8"/>
    </row>
    <row r="416">
      <c r="A416" s="8" t="s">
        <v>177</v>
      </c>
      <c r="B416" s="8" t="str">
        <f>IFERROR(__xludf.DUMMYFUNCTION("""COMPUTED_VALUE"""),"Direct Transplantation")</f>
        <v>Direct Transplantation</v>
      </c>
      <c r="C416" s="8" t="str">
        <f>IFERROR(__xludf.DUMMYFUNCTION("""COMPUTED_VALUE"""),"Coral Gardening")</f>
        <v>Coral Gardening</v>
      </c>
      <c r="D416" s="8" t="str">
        <f>IFERROR(__xludf.DUMMYFUNCTION("""COMPUTED_VALUE"""),"Microfragmentation")</f>
        <v>Microfragmentation</v>
      </c>
      <c r="E416" s="8"/>
      <c r="F416" s="8"/>
      <c r="G416" s="8"/>
      <c r="H416" s="8"/>
    </row>
    <row r="417">
      <c r="A417" s="8" t="s">
        <v>177</v>
      </c>
      <c r="B417" s="8" t="str">
        <f>IFERROR(__xludf.DUMMYFUNCTION("""COMPUTED_VALUE"""),"Direct Transplantation")</f>
        <v>Direct Transplantation</v>
      </c>
      <c r="C417" s="8" t="str">
        <f>IFERROR(__xludf.DUMMYFUNCTION("""COMPUTED_VALUE"""),"Coral Gardening")</f>
        <v>Coral Gardening</v>
      </c>
      <c r="D417" s="8" t="str">
        <f>IFERROR(__xludf.DUMMYFUNCTION("""COMPUTED_VALUE"""),"Microfragmentation")</f>
        <v>Microfragmentation</v>
      </c>
      <c r="E417" s="8"/>
      <c r="F417" s="8"/>
      <c r="G417" s="8"/>
      <c r="H417" s="8"/>
    </row>
    <row r="418">
      <c r="A418" s="8" t="s">
        <v>177</v>
      </c>
      <c r="B418" s="8" t="str">
        <f>IFERROR(__xludf.DUMMYFUNCTION("""COMPUTED_VALUE"""),"Direct Transplantation")</f>
        <v>Direct Transplantation</v>
      </c>
      <c r="C418" s="8" t="str">
        <f>IFERROR(__xludf.DUMMYFUNCTION("""COMPUTED_VALUE"""),"Coral Gardening")</f>
        <v>Coral Gardening</v>
      </c>
      <c r="D418" s="8" t="str">
        <f>IFERROR(__xludf.DUMMYFUNCTION("""COMPUTED_VALUE"""),"Microfragmentation")</f>
        <v>Microfragmentation</v>
      </c>
      <c r="E418" s="8"/>
      <c r="F418" s="8"/>
      <c r="G418" s="8"/>
      <c r="H418" s="8"/>
    </row>
    <row r="419">
      <c r="A419" s="8" t="s">
        <v>177</v>
      </c>
      <c r="B419" s="8" t="str">
        <f>IFERROR(__xludf.DUMMYFUNCTION("""COMPUTED_VALUE"""),"Direct Transplantation")</f>
        <v>Direct Transplantation</v>
      </c>
      <c r="C419" s="8" t="str">
        <f>IFERROR(__xludf.DUMMYFUNCTION("""COMPUTED_VALUE"""),"Coral Gardening")</f>
        <v>Coral Gardening</v>
      </c>
      <c r="D419" s="8" t="str">
        <f>IFERROR(__xludf.DUMMYFUNCTION("""COMPUTED_VALUE"""),"Microfragmentation")</f>
        <v>Microfragmentation</v>
      </c>
      <c r="E419" s="8"/>
      <c r="F419" s="8"/>
      <c r="G419" s="8"/>
      <c r="H419" s="8"/>
    </row>
    <row r="420">
      <c r="A420" s="8" t="s">
        <v>298</v>
      </c>
      <c r="B420" s="8" t="str">
        <f>IFERROR(__xludf.DUMMYFUNCTION("""COMPUTED_VALUE"""),"Direct Transplantation")</f>
        <v>Direct Transplantation</v>
      </c>
      <c r="C420" s="8" t="str">
        <f>IFERROR(__xludf.DUMMYFUNCTION("""COMPUTED_VALUE"""),"Coral Gardening")</f>
        <v>Coral Gardening</v>
      </c>
      <c r="D420" s="8" t="str">
        <f>IFERROR(__xludf.DUMMYFUNCTION("""COMPUTED_VALUE"""),"Microfragmentation")</f>
        <v>Microfragmentation</v>
      </c>
      <c r="E420" s="8" t="str">
        <f>IFERROR(__xludf.DUMMYFUNCTION("""COMPUTED_VALUE"""),"Larval Enhancement")</f>
        <v>Larval Enhancement</v>
      </c>
      <c r="F420" s="8"/>
      <c r="G420" s="8"/>
      <c r="H420" s="8"/>
    </row>
    <row r="421">
      <c r="A421" s="8" t="s">
        <v>298</v>
      </c>
      <c r="B421" s="8" t="str">
        <f>IFERROR(__xludf.DUMMYFUNCTION("""COMPUTED_VALUE"""),"Direct Transplantation")</f>
        <v>Direct Transplantation</v>
      </c>
      <c r="C421" s="8" t="str">
        <f>IFERROR(__xludf.DUMMYFUNCTION("""COMPUTED_VALUE"""),"Coral Gardening")</f>
        <v>Coral Gardening</v>
      </c>
      <c r="D421" s="8" t="str">
        <f>IFERROR(__xludf.DUMMYFUNCTION("""COMPUTED_VALUE"""),"Microfragmentation")</f>
        <v>Microfragmentation</v>
      </c>
      <c r="E421" s="8" t="str">
        <f>IFERROR(__xludf.DUMMYFUNCTION("""COMPUTED_VALUE"""),"Larval Enhancement")</f>
        <v>Larval Enhancement</v>
      </c>
      <c r="F421" s="8"/>
      <c r="G421" s="8"/>
      <c r="H421" s="8"/>
    </row>
    <row r="422">
      <c r="A422" s="8" t="s">
        <v>177</v>
      </c>
      <c r="B422" s="8" t="str">
        <f>IFERROR(__xludf.DUMMYFUNCTION("""COMPUTED_VALUE"""),"Direct Transplantation")</f>
        <v>Direct Transplantation</v>
      </c>
      <c r="C422" s="8" t="str">
        <f>IFERROR(__xludf.DUMMYFUNCTION("""COMPUTED_VALUE"""),"Coral Gardening")</f>
        <v>Coral Gardening</v>
      </c>
      <c r="D422" s="8" t="str">
        <f>IFERROR(__xludf.DUMMYFUNCTION("""COMPUTED_VALUE"""),"Microfragmentation")</f>
        <v>Microfragmentation</v>
      </c>
      <c r="E422" s="8"/>
      <c r="F422" s="8"/>
      <c r="G422" s="8"/>
      <c r="H422" s="8"/>
    </row>
    <row r="423">
      <c r="A423" s="8" t="s">
        <v>2989</v>
      </c>
      <c r="B423" s="8" t="str">
        <f>IFERROR(__xludf.DUMMYFUNCTION("""COMPUTED_VALUE"""),"Larval Enhancement")</f>
        <v>Larval Enhancement</v>
      </c>
      <c r="C423" s="8" t="str">
        <f>IFERROR(__xludf.DUMMYFUNCTION("""COMPUTED_VALUE"""),"Artificial Reef")</f>
        <v>Artificial Reef</v>
      </c>
      <c r="D423" s="8" t="str">
        <f>IFERROR(__xludf.DUMMYFUNCTION("""COMPUTED_VALUE"""),"Mineral Accretion")</f>
        <v>Mineral Accretion</v>
      </c>
      <c r="E423" s="8" t="str">
        <f>IFERROR(__xludf.DUMMYFUNCTION("""COMPUTED_VALUE"""),"Rubble Stabilisation")</f>
        <v>Rubble Stabilisation</v>
      </c>
      <c r="F423" s="8" t="str">
        <f>IFERROR(__xludf.DUMMYFUNCTION("""COMPUTED_VALUE"""),"Algal Removal")</f>
        <v>Algal Removal</v>
      </c>
      <c r="G423" s="8"/>
      <c r="H423" s="8"/>
    </row>
    <row r="424">
      <c r="A424" s="8" t="s">
        <v>177</v>
      </c>
      <c r="B424" s="8" t="str">
        <f>IFERROR(__xludf.DUMMYFUNCTION("""COMPUTED_VALUE"""),"Direct Transplantation")</f>
        <v>Direct Transplantation</v>
      </c>
      <c r="C424" s="8" t="str">
        <f>IFERROR(__xludf.DUMMYFUNCTION("""COMPUTED_VALUE"""),"Coral Gardening")</f>
        <v>Coral Gardening</v>
      </c>
      <c r="D424" s="8" t="str">
        <f>IFERROR(__xludf.DUMMYFUNCTION("""COMPUTED_VALUE"""),"Microfragmentation")</f>
        <v>Microfragmentation</v>
      </c>
      <c r="E424" s="8"/>
      <c r="F424" s="8"/>
      <c r="G424" s="8"/>
      <c r="H424" s="8"/>
    </row>
    <row r="425">
      <c r="A425" s="8" t="s">
        <v>199</v>
      </c>
      <c r="B425" s="8" t="str">
        <f>IFERROR(__xludf.DUMMYFUNCTION("""COMPUTED_VALUE"""),"Larval Enhancement")</f>
        <v>Larval Enhancement</v>
      </c>
      <c r="C425" s="8"/>
      <c r="D425" s="8"/>
      <c r="E425" s="8"/>
      <c r="F425" s="8"/>
      <c r="G425" s="8"/>
      <c r="H425" s="8"/>
    </row>
    <row r="426">
      <c r="A426" s="8" t="s">
        <v>150</v>
      </c>
      <c r="B426" s="8" t="str">
        <f>IFERROR(__xludf.DUMMYFUNCTION("""COMPUTED_VALUE"""),"Artificial Reef")</f>
        <v>Artificial Reef</v>
      </c>
      <c r="C426" s="8" t="str">
        <f>IFERROR(__xludf.DUMMYFUNCTION("""COMPUTED_VALUE"""),"Mineral Accretion")</f>
        <v>Mineral Accretion</v>
      </c>
      <c r="D426" s="8" t="str">
        <f>IFERROR(__xludf.DUMMYFUNCTION("""COMPUTED_VALUE"""),"Rubble Stabilisation")</f>
        <v>Rubble Stabilisation</v>
      </c>
      <c r="E426" s="8" t="str">
        <f>IFERROR(__xludf.DUMMYFUNCTION("""COMPUTED_VALUE"""),"Algal Removal")</f>
        <v>Algal Removal</v>
      </c>
      <c r="F426" s="8"/>
      <c r="G426" s="8"/>
      <c r="H426" s="8"/>
    </row>
    <row r="427">
      <c r="A427" s="8" t="s">
        <v>150</v>
      </c>
      <c r="B427" s="8" t="str">
        <f>IFERROR(__xludf.DUMMYFUNCTION("""COMPUTED_VALUE"""),"Artificial Reef")</f>
        <v>Artificial Reef</v>
      </c>
      <c r="C427" s="8" t="str">
        <f>IFERROR(__xludf.DUMMYFUNCTION("""COMPUTED_VALUE"""),"Mineral Accretion")</f>
        <v>Mineral Accretion</v>
      </c>
      <c r="D427" s="8" t="str">
        <f>IFERROR(__xludf.DUMMYFUNCTION("""COMPUTED_VALUE"""),"Rubble Stabilisation")</f>
        <v>Rubble Stabilisation</v>
      </c>
      <c r="E427" s="8" t="str">
        <f>IFERROR(__xludf.DUMMYFUNCTION("""COMPUTED_VALUE"""),"Algal Removal")</f>
        <v>Algal Removal</v>
      </c>
      <c r="F427" s="8"/>
      <c r="G427" s="8"/>
      <c r="H427" s="8"/>
    </row>
    <row r="428">
      <c r="A428" s="8" t="s">
        <v>177</v>
      </c>
      <c r="B428" s="8" t="str">
        <f>IFERROR(__xludf.DUMMYFUNCTION("""COMPUTED_VALUE"""),"Direct Transplantation")</f>
        <v>Direct Transplantation</v>
      </c>
      <c r="C428" s="8" t="str">
        <f>IFERROR(__xludf.DUMMYFUNCTION("""COMPUTED_VALUE"""),"Coral Gardening")</f>
        <v>Coral Gardening</v>
      </c>
      <c r="D428" s="8" t="str">
        <f>IFERROR(__xludf.DUMMYFUNCTION("""COMPUTED_VALUE"""),"Microfragmentation")</f>
        <v>Microfragmentation</v>
      </c>
      <c r="E428" s="8"/>
      <c r="F428" s="8"/>
      <c r="G428" s="8"/>
      <c r="H428" s="8"/>
    </row>
    <row r="429">
      <c r="A429" s="8" t="s">
        <v>177</v>
      </c>
      <c r="B429" s="8" t="str">
        <f>IFERROR(__xludf.DUMMYFUNCTION("""COMPUTED_VALUE"""),"Direct Transplantation")</f>
        <v>Direct Transplantation</v>
      </c>
      <c r="C429" s="8" t="str">
        <f>IFERROR(__xludf.DUMMYFUNCTION("""COMPUTED_VALUE"""),"Coral Gardening")</f>
        <v>Coral Gardening</v>
      </c>
      <c r="D429" s="8" t="str">
        <f>IFERROR(__xludf.DUMMYFUNCTION("""COMPUTED_VALUE"""),"Microfragmentation")</f>
        <v>Microfragmentation</v>
      </c>
      <c r="E429" s="8"/>
      <c r="F429" s="8"/>
      <c r="G429" s="8"/>
      <c r="H429" s="8"/>
    </row>
    <row r="430">
      <c r="A430" s="8" t="s">
        <v>177</v>
      </c>
      <c r="B430" s="8" t="str">
        <f>IFERROR(__xludf.DUMMYFUNCTION("""COMPUTED_VALUE"""),"Direct Transplantation")</f>
        <v>Direct Transplantation</v>
      </c>
      <c r="C430" s="8" t="str">
        <f>IFERROR(__xludf.DUMMYFUNCTION("""COMPUTED_VALUE"""),"Coral Gardening")</f>
        <v>Coral Gardening</v>
      </c>
      <c r="D430" s="8" t="str">
        <f>IFERROR(__xludf.DUMMYFUNCTION("""COMPUTED_VALUE"""),"Microfragmentation")</f>
        <v>Microfragmentation</v>
      </c>
      <c r="E430" s="8"/>
      <c r="F430" s="8"/>
      <c r="G430" s="8"/>
      <c r="H430" s="8"/>
    </row>
    <row r="431">
      <c r="A431" s="8" t="s">
        <v>263</v>
      </c>
      <c r="B431" s="8" t="str">
        <f>IFERROR(__xludf.DUMMYFUNCTION("""COMPUTED_VALUE"""),"Direct Transplantation")</f>
        <v>Direct Transplantation</v>
      </c>
      <c r="C431" s="8" t="str">
        <f>IFERROR(__xludf.DUMMYFUNCTION("""COMPUTED_VALUE"""),"Coral Gardening")</f>
        <v>Coral Gardening</v>
      </c>
      <c r="D431" s="8" t="str">
        <f>IFERROR(__xludf.DUMMYFUNCTION("""COMPUTED_VALUE"""),"Microfragmentation")</f>
        <v>Microfragmentation</v>
      </c>
      <c r="E431" s="8" t="str">
        <f>IFERROR(__xludf.DUMMYFUNCTION("""COMPUTED_VALUE"""),"Artificial Reef")</f>
        <v>Artificial Reef</v>
      </c>
      <c r="F431" s="8" t="str">
        <f>IFERROR(__xludf.DUMMYFUNCTION("""COMPUTED_VALUE"""),"Mineral Accretion")</f>
        <v>Mineral Accretion</v>
      </c>
      <c r="G431" s="8" t="str">
        <f>IFERROR(__xludf.DUMMYFUNCTION("""COMPUTED_VALUE"""),"Rubble Stabilisation")</f>
        <v>Rubble Stabilisation</v>
      </c>
      <c r="H431" s="8" t="str">
        <f>IFERROR(__xludf.DUMMYFUNCTION("""COMPUTED_VALUE"""),"Algal Removal")</f>
        <v>Algal Removal</v>
      </c>
    </row>
    <row r="432">
      <c r="A432" s="8" t="s">
        <v>150</v>
      </c>
      <c r="B432" s="8" t="str">
        <f>IFERROR(__xludf.DUMMYFUNCTION("""COMPUTED_VALUE"""),"Artificial Reef")</f>
        <v>Artificial Reef</v>
      </c>
      <c r="C432" s="8" t="str">
        <f>IFERROR(__xludf.DUMMYFUNCTION("""COMPUTED_VALUE"""),"Mineral Accretion")</f>
        <v>Mineral Accretion</v>
      </c>
      <c r="D432" s="8" t="str">
        <f>IFERROR(__xludf.DUMMYFUNCTION("""COMPUTED_VALUE"""),"Rubble Stabilisation")</f>
        <v>Rubble Stabilisation</v>
      </c>
      <c r="E432" s="8" t="str">
        <f>IFERROR(__xludf.DUMMYFUNCTION("""COMPUTED_VALUE"""),"Algal Removal")</f>
        <v>Algal Removal</v>
      </c>
      <c r="F432" s="8"/>
      <c r="G432" s="8"/>
      <c r="H432" s="8"/>
    </row>
    <row r="433">
      <c r="A433" s="8" t="s">
        <v>150</v>
      </c>
      <c r="B433" s="8" t="str">
        <f>IFERROR(__xludf.DUMMYFUNCTION("""COMPUTED_VALUE"""),"Artificial Reef")</f>
        <v>Artificial Reef</v>
      </c>
      <c r="C433" s="8" t="str">
        <f>IFERROR(__xludf.DUMMYFUNCTION("""COMPUTED_VALUE"""),"Mineral Accretion")</f>
        <v>Mineral Accretion</v>
      </c>
      <c r="D433" s="8" t="str">
        <f>IFERROR(__xludf.DUMMYFUNCTION("""COMPUTED_VALUE"""),"Rubble Stabilisation")</f>
        <v>Rubble Stabilisation</v>
      </c>
      <c r="E433" s="8" t="str">
        <f>IFERROR(__xludf.DUMMYFUNCTION("""COMPUTED_VALUE"""),"Algal Removal")</f>
        <v>Algal Removal</v>
      </c>
      <c r="F433" s="8"/>
      <c r="G433" s="8"/>
      <c r="H433" s="8"/>
    </row>
    <row r="434">
      <c r="A434" s="8" t="s">
        <v>150</v>
      </c>
      <c r="B434" s="8" t="str">
        <f>IFERROR(__xludf.DUMMYFUNCTION("""COMPUTED_VALUE"""),"Artificial Reef")</f>
        <v>Artificial Reef</v>
      </c>
      <c r="C434" s="8" t="str">
        <f>IFERROR(__xludf.DUMMYFUNCTION("""COMPUTED_VALUE"""),"Mineral Accretion")</f>
        <v>Mineral Accretion</v>
      </c>
      <c r="D434" s="8" t="str">
        <f>IFERROR(__xludf.DUMMYFUNCTION("""COMPUTED_VALUE"""),"Rubble Stabilisation")</f>
        <v>Rubble Stabilisation</v>
      </c>
      <c r="E434" s="8" t="str">
        <f>IFERROR(__xludf.DUMMYFUNCTION("""COMPUTED_VALUE"""),"Algal Removal")</f>
        <v>Algal Removal</v>
      </c>
      <c r="F434" s="8"/>
      <c r="G434" s="8"/>
      <c r="H434" s="8"/>
    </row>
    <row r="435">
      <c r="A435" s="8" t="s">
        <v>150</v>
      </c>
      <c r="B435" s="8" t="str">
        <f>IFERROR(__xludf.DUMMYFUNCTION("""COMPUTED_VALUE"""),"Artificial Reef")</f>
        <v>Artificial Reef</v>
      </c>
      <c r="C435" s="8" t="str">
        <f>IFERROR(__xludf.DUMMYFUNCTION("""COMPUTED_VALUE"""),"Mineral Accretion")</f>
        <v>Mineral Accretion</v>
      </c>
      <c r="D435" s="8" t="str">
        <f>IFERROR(__xludf.DUMMYFUNCTION("""COMPUTED_VALUE"""),"Rubble Stabilisation")</f>
        <v>Rubble Stabilisation</v>
      </c>
      <c r="E435" s="8" t="str">
        <f>IFERROR(__xludf.DUMMYFUNCTION("""COMPUTED_VALUE"""),"Algal Removal")</f>
        <v>Algal Removal</v>
      </c>
      <c r="F435" s="8"/>
      <c r="G435" s="8"/>
      <c r="H435" s="8"/>
    </row>
    <row r="436">
      <c r="A436" s="8" t="s">
        <v>177</v>
      </c>
      <c r="B436" s="8" t="str">
        <f>IFERROR(__xludf.DUMMYFUNCTION("""COMPUTED_VALUE"""),"Direct Transplantation")</f>
        <v>Direct Transplantation</v>
      </c>
      <c r="C436" s="8" t="str">
        <f>IFERROR(__xludf.DUMMYFUNCTION("""COMPUTED_VALUE"""),"Coral Gardening")</f>
        <v>Coral Gardening</v>
      </c>
      <c r="D436" s="8" t="str">
        <f>IFERROR(__xludf.DUMMYFUNCTION("""COMPUTED_VALUE"""),"Microfragmentation")</f>
        <v>Microfragmentation</v>
      </c>
      <c r="E436" s="8"/>
      <c r="F436" s="8"/>
      <c r="G436" s="8"/>
      <c r="H436" s="8"/>
    </row>
    <row r="437">
      <c r="A437" s="8" t="s">
        <v>150</v>
      </c>
      <c r="B437" s="8" t="str">
        <f>IFERROR(__xludf.DUMMYFUNCTION("""COMPUTED_VALUE"""),"Artificial Reef")</f>
        <v>Artificial Reef</v>
      </c>
      <c r="C437" s="8" t="str">
        <f>IFERROR(__xludf.DUMMYFUNCTION("""COMPUTED_VALUE"""),"Mineral Accretion")</f>
        <v>Mineral Accretion</v>
      </c>
      <c r="D437" s="8" t="str">
        <f>IFERROR(__xludf.DUMMYFUNCTION("""COMPUTED_VALUE"""),"Rubble Stabilisation")</f>
        <v>Rubble Stabilisation</v>
      </c>
      <c r="E437" s="8" t="str">
        <f>IFERROR(__xludf.DUMMYFUNCTION("""COMPUTED_VALUE"""),"Algal Removal")</f>
        <v>Algal Removal</v>
      </c>
      <c r="F437" s="8"/>
      <c r="G437" s="8"/>
      <c r="H437" s="8"/>
    </row>
    <row r="438">
      <c r="A438" s="8" t="s">
        <v>150</v>
      </c>
      <c r="B438" s="8" t="str">
        <f>IFERROR(__xludf.DUMMYFUNCTION("""COMPUTED_VALUE"""),"Artificial Reef")</f>
        <v>Artificial Reef</v>
      </c>
      <c r="C438" s="8" t="str">
        <f>IFERROR(__xludf.DUMMYFUNCTION("""COMPUTED_VALUE"""),"Mineral Accretion")</f>
        <v>Mineral Accretion</v>
      </c>
      <c r="D438" s="8" t="str">
        <f>IFERROR(__xludf.DUMMYFUNCTION("""COMPUTED_VALUE"""),"Rubble Stabilisation")</f>
        <v>Rubble Stabilisation</v>
      </c>
      <c r="E438" s="8" t="str">
        <f>IFERROR(__xludf.DUMMYFUNCTION("""COMPUTED_VALUE"""),"Algal Removal")</f>
        <v>Algal Removal</v>
      </c>
      <c r="F438" s="8"/>
      <c r="G438" s="8"/>
      <c r="H438" s="8"/>
    </row>
    <row r="439">
      <c r="A439" s="8" t="s">
        <v>150</v>
      </c>
      <c r="B439" s="8" t="str">
        <f>IFERROR(__xludf.DUMMYFUNCTION("""COMPUTED_VALUE"""),"Artificial Reef")</f>
        <v>Artificial Reef</v>
      </c>
      <c r="C439" s="8" t="str">
        <f>IFERROR(__xludf.DUMMYFUNCTION("""COMPUTED_VALUE"""),"Mineral Accretion")</f>
        <v>Mineral Accretion</v>
      </c>
      <c r="D439" s="8" t="str">
        <f>IFERROR(__xludf.DUMMYFUNCTION("""COMPUTED_VALUE"""),"Rubble Stabilisation")</f>
        <v>Rubble Stabilisation</v>
      </c>
      <c r="E439" s="8" t="str">
        <f>IFERROR(__xludf.DUMMYFUNCTION("""COMPUTED_VALUE"""),"Algal Removal")</f>
        <v>Algal Removal</v>
      </c>
      <c r="F439" s="8"/>
      <c r="G439" s="8"/>
      <c r="H439" s="8"/>
    </row>
    <row r="440">
      <c r="A440" s="8" t="s">
        <v>150</v>
      </c>
      <c r="B440" s="8" t="str">
        <f>IFERROR(__xludf.DUMMYFUNCTION("""COMPUTED_VALUE"""),"Artificial Reef")</f>
        <v>Artificial Reef</v>
      </c>
      <c r="C440" s="8" t="str">
        <f>IFERROR(__xludf.DUMMYFUNCTION("""COMPUTED_VALUE"""),"Mineral Accretion")</f>
        <v>Mineral Accretion</v>
      </c>
      <c r="D440" s="8" t="str">
        <f>IFERROR(__xludf.DUMMYFUNCTION("""COMPUTED_VALUE"""),"Rubble Stabilisation")</f>
        <v>Rubble Stabilisation</v>
      </c>
      <c r="E440" s="8" t="str">
        <f>IFERROR(__xludf.DUMMYFUNCTION("""COMPUTED_VALUE"""),"Algal Removal")</f>
        <v>Algal Removal</v>
      </c>
      <c r="F440" s="8"/>
      <c r="G440" s="8"/>
      <c r="H440" s="8"/>
    </row>
    <row r="441">
      <c r="A441" s="8" t="s">
        <v>177</v>
      </c>
      <c r="B441" s="8" t="str">
        <f>IFERROR(__xludf.DUMMYFUNCTION("""COMPUTED_VALUE"""),"Direct Transplantation")</f>
        <v>Direct Transplantation</v>
      </c>
      <c r="C441" s="8" t="str">
        <f>IFERROR(__xludf.DUMMYFUNCTION("""COMPUTED_VALUE"""),"Coral Gardening")</f>
        <v>Coral Gardening</v>
      </c>
      <c r="D441" s="8" t="str">
        <f>IFERROR(__xludf.DUMMYFUNCTION("""COMPUTED_VALUE"""),"Microfragmentation")</f>
        <v>Microfragmentation</v>
      </c>
      <c r="E441" s="8"/>
      <c r="F441" s="8"/>
      <c r="G441" s="8"/>
      <c r="H441" s="8"/>
    </row>
    <row r="442">
      <c r="A442" s="8" t="s">
        <v>150</v>
      </c>
      <c r="B442" s="8" t="str">
        <f>IFERROR(__xludf.DUMMYFUNCTION("""COMPUTED_VALUE"""),"Artificial Reef")</f>
        <v>Artificial Reef</v>
      </c>
      <c r="C442" s="8" t="str">
        <f>IFERROR(__xludf.DUMMYFUNCTION("""COMPUTED_VALUE"""),"Mineral Accretion")</f>
        <v>Mineral Accretion</v>
      </c>
      <c r="D442" s="8" t="str">
        <f>IFERROR(__xludf.DUMMYFUNCTION("""COMPUTED_VALUE"""),"Rubble Stabilisation")</f>
        <v>Rubble Stabilisation</v>
      </c>
      <c r="E442" s="8" t="str">
        <f>IFERROR(__xludf.DUMMYFUNCTION("""COMPUTED_VALUE"""),"Algal Removal")</f>
        <v>Algal Removal</v>
      </c>
      <c r="F442" s="8"/>
      <c r="G442" s="8"/>
      <c r="H442" s="8"/>
    </row>
    <row r="443">
      <c r="A443" s="8" t="s">
        <v>150</v>
      </c>
      <c r="B443" s="8" t="str">
        <f>IFERROR(__xludf.DUMMYFUNCTION("""COMPUTED_VALUE"""),"Artificial Reef")</f>
        <v>Artificial Reef</v>
      </c>
      <c r="C443" s="8" t="str">
        <f>IFERROR(__xludf.DUMMYFUNCTION("""COMPUTED_VALUE"""),"Mineral Accretion")</f>
        <v>Mineral Accretion</v>
      </c>
      <c r="D443" s="8" t="str">
        <f>IFERROR(__xludf.DUMMYFUNCTION("""COMPUTED_VALUE"""),"Rubble Stabilisation")</f>
        <v>Rubble Stabilisation</v>
      </c>
      <c r="E443" s="8" t="str">
        <f>IFERROR(__xludf.DUMMYFUNCTION("""COMPUTED_VALUE"""),"Algal Removal")</f>
        <v>Algal Removal</v>
      </c>
      <c r="F443" s="8"/>
      <c r="G443" s="8"/>
      <c r="H443" s="8"/>
    </row>
    <row r="444">
      <c r="A444" s="8" t="s">
        <v>150</v>
      </c>
      <c r="B444" s="8" t="str">
        <f>IFERROR(__xludf.DUMMYFUNCTION("""COMPUTED_VALUE"""),"Artificial Reef")</f>
        <v>Artificial Reef</v>
      </c>
      <c r="C444" s="8" t="str">
        <f>IFERROR(__xludf.DUMMYFUNCTION("""COMPUTED_VALUE"""),"Mineral Accretion")</f>
        <v>Mineral Accretion</v>
      </c>
      <c r="D444" s="8" t="str">
        <f>IFERROR(__xludf.DUMMYFUNCTION("""COMPUTED_VALUE"""),"Rubble Stabilisation")</f>
        <v>Rubble Stabilisation</v>
      </c>
      <c r="E444" s="8" t="str">
        <f>IFERROR(__xludf.DUMMYFUNCTION("""COMPUTED_VALUE"""),"Algal Removal")</f>
        <v>Algal Removal</v>
      </c>
      <c r="F444" s="8"/>
      <c r="G444" s="8"/>
      <c r="H444" s="8"/>
    </row>
    <row r="445">
      <c r="A445" s="8" t="s">
        <v>150</v>
      </c>
      <c r="B445" s="8" t="str">
        <f>IFERROR(__xludf.DUMMYFUNCTION("""COMPUTED_VALUE"""),"Artificial Reef")</f>
        <v>Artificial Reef</v>
      </c>
      <c r="C445" s="8" t="str">
        <f>IFERROR(__xludf.DUMMYFUNCTION("""COMPUTED_VALUE"""),"Mineral Accretion")</f>
        <v>Mineral Accretion</v>
      </c>
      <c r="D445" s="8" t="str">
        <f>IFERROR(__xludf.DUMMYFUNCTION("""COMPUTED_VALUE"""),"Rubble Stabilisation")</f>
        <v>Rubble Stabilisation</v>
      </c>
      <c r="E445" s="8" t="str">
        <f>IFERROR(__xludf.DUMMYFUNCTION("""COMPUTED_VALUE"""),"Algal Removal")</f>
        <v>Algal Removal</v>
      </c>
      <c r="F445" s="8"/>
      <c r="G445" s="8"/>
      <c r="H445" s="8"/>
    </row>
    <row r="446">
      <c r="A446" s="8" t="s">
        <v>150</v>
      </c>
      <c r="B446" s="8" t="str">
        <f>IFERROR(__xludf.DUMMYFUNCTION("""COMPUTED_VALUE"""),"Artificial Reef")</f>
        <v>Artificial Reef</v>
      </c>
      <c r="C446" s="8" t="str">
        <f>IFERROR(__xludf.DUMMYFUNCTION("""COMPUTED_VALUE"""),"Mineral Accretion")</f>
        <v>Mineral Accretion</v>
      </c>
      <c r="D446" s="8" t="str">
        <f>IFERROR(__xludf.DUMMYFUNCTION("""COMPUTED_VALUE"""),"Rubble Stabilisation")</f>
        <v>Rubble Stabilisation</v>
      </c>
      <c r="E446" s="8" t="str">
        <f>IFERROR(__xludf.DUMMYFUNCTION("""COMPUTED_VALUE"""),"Algal Removal")</f>
        <v>Algal Removal</v>
      </c>
      <c r="F446" s="8"/>
      <c r="G446" s="8"/>
      <c r="H446" s="8"/>
    </row>
    <row r="447">
      <c r="A447" s="8" t="s">
        <v>150</v>
      </c>
      <c r="B447" s="8" t="str">
        <f>IFERROR(__xludf.DUMMYFUNCTION("""COMPUTED_VALUE"""),"Artificial Reef")</f>
        <v>Artificial Reef</v>
      </c>
      <c r="C447" s="8" t="str">
        <f>IFERROR(__xludf.DUMMYFUNCTION("""COMPUTED_VALUE"""),"Mineral Accretion")</f>
        <v>Mineral Accretion</v>
      </c>
      <c r="D447" s="8" t="str">
        <f>IFERROR(__xludf.DUMMYFUNCTION("""COMPUTED_VALUE"""),"Rubble Stabilisation")</f>
        <v>Rubble Stabilisation</v>
      </c>
      <c r="E447" s="8" t="str">
        <f>IFERROR(__xludf.DUMMYFUNCTION("""COMPUTED_VALUE"""),"Algal Removal")</f>
        <v>Algal Removal</v>
      </c>
      <c r="F447" s="8"/>
      <c r="G447" s="8"/>
      <c r="H447" s="8"/>
    </row>
    <row r="448">
      <c r="A448" s="8" t="s">
        <v>150</v>
      </c>
      <c r="B448" s="8" t="str">
        <f>IFERROR(__xludf.DUMMYFUNCTION("""COMPUTED_VALUE"""),"Artificial Reef")</f>
        <v>Artificial Reef</v>
      </c>
      <c r="C448" s="8" t="str">
        <f>IFERROR(__xludf.DUMMYFUNCTION("""COMPUTED_VALUE"""),"Mineral Accretion")</f>
        <v>Mineral Accretion</v>
      </c>
      <c r="D448" s="8" t="str">
        <f>IFERROR(__xludf.DUMMYFUNCTION("""COMPUTED_VALUE"""),"Rubble Stabilisation")</f>
        <v>Rubble Stabilisation</v>
      </c>
      <c r="E448" s="8" t="str">
        <f>IFERROR(__xludf.DUMMYFUNCTION("""COMPUTED_VALUE"""),"Algal Removal")</f>
        <v>Algal Removal</v>
      </c>
      <c r="F448" s="8"/>
      <c r="G448" s="8"/>
      <c r="H448" s="8"/>
    </row>
    <row r="449">
      <c r="A449" s="8" t="s">
        <v>150</v>
      </c>
      <c r="B449" s="8" t="str">
        <f>IFERROR(__xludf.DUMMYFUNCTION("""COMPUTED_VALUE"""),"Artificial Reef")</f>
        <v>Artificial Reef</v>
      </c>
      <c r="C449" s="8" t="str">
        <f>IFERROR(__xludf.DUMMYFUNCTION("""COMPUTED_VALUE"""),"Mineral Accretion")</f>
        <v>Mineral Accretion</v>
      </c>
      <c r="D449" s="8" t="str">
        <f>IFERROR(__xludf.DUMMYFUNCTION("""COMPUTED_VALUE"""),"Rubble Stabilisation")</f>
        <v>Rubble Stabilisation</v>
      </c>
      <c r="E449" s="8" t="str">
        <f>IFERROR(__xludf.DUMMYFUNCTION("""COMPUTED_VALUE"""),"Algal Removal")</f>
        <v>Algal Removal</v>
      </c>
      <c r="F449" s="8"/>
      <c r="G449" s="8"/>
      <c r="H449" s="8"/>
    </row>
    <row r="450">
      <c r="A450" s="8" t="s">
        <v>150</v>
      </c>
      <c r="B450" s="8" t="str">
        <f>IFERROR(__xludf.DUMMYFUNCTION("""COMPUTED_VALUE"""),"Artificial Reef")</f>
        <v>Artificial Reef</v>
      </c>
      <c r="C450" s="8" t="str">
        <f>IFERROR(__xludf.DUMMYFUNCTION("""COMPUTED_VALUE"""),"Mineral Accretion")</f>
        <v>Mineral Accretion</v>
      </c>
      <c r="D450" s="8" t="str">
        <f>IFERROR(__xludf.DUMMYFUNCTION("""COMPUTED_VALUE"""),"Rubble Stabilisation")</f>
        <v>Rubble Stabilisation</v>
      </c>
      <c r="E450" s="8" t="str">
        <f>IFERROR(__xludf.DUMMYFUNCTION("""COMPUTED_VALUE"""),"Algal Removal")</f>
        <v>Algal Removal</v>
      </c>
      <c r="F450" s="8"/>
      <c r="G450" s="8"/>
      <c r="H450" s="8"/>
    </row>
    <row r="451">
      <c r="A451" s="8" t="s">
        <v>150</v>
      </c>
      <c r="B451" s="8" t="str">
        <f>IFERROR(__xludf.DUMMYFUNCTION("""COMPUTED_VALUE"""),"Artificial Reef")</f>
        <v>Artificial Reef</v>
      </c>
      <c r="C451" s="8" t="str">
        <f>IFERROR(__xludf.DUMMYFUNCTION("""COMPUTED_VALUE"""),"Mineral Accretion")</f>
        <v>Mineral Accretion</v>
      </c>
      <c r="D451" s="8" t="str">
        <f>IFERROR(__xludf.DUMMYFUNCTION("""COMPUTED_VALUE"""),"Rubble Stabilisation")</f>
        <v>Rubble Stabilisation</v>
      </c>
      <c r="E451" s="8" t="str">
        <f>IFERROR(__xludf.DUMMYFUNCTION("""COMPUTED_VALUE"""),"Algal Removal")</f>
        <v>Algal Removal</v>
      </c>
      <c r="F451" s="8"/>
      <c r="G451" s="8"/>
      <c r="H451" s="8"/>
    </row>
    <row r="452">
      <c r="A452" s="8" t="s">
        <v>150</v>
      </c>
      <c r="B452" s="8" t="str">
        <f>IFERROR(__xludf.DUMMYFUNCTION("""COMPUTED_VALUE"""),"Artificial Reef")</f>
        <v>Artificial Reef</v>
      </c>
      <c r="C452" s="8" t="str">
        <f>IFERROR(__xludf.DUMMYFUNCTION("""COMPUTED_VALUE"""),"Mineral Accretion")</f>
        <v>Mineral Accretion</v>
      </c>
      <c r="D452" s="8" t="str">
        <f>IFERROR(__xludf.DUMMYFUNCTION("""COMPUTED_VALUE"""),"Rubble Stabilisation")</f>
        <v>Rubble Stabilisation</v>
      </c>
      <c r="E452" s="8" t="str">
        <f>IFERROR(__xludf.DUMMYFUNCTION("""COMPUTED_VALUE"""),"Algal Removal")</f>
        <v>Algal Removal</v>
      </c>
      <c r="F452" s="8"/>
      <c r="G452" s="8"/>
      <c r="H452" s="8"/>
    </row>
    <row r="453">
      <c r="A453" s="8" t="s">
        <v>150</v>
      </c>
      <c r="B453" s="8" t="str">
        <f>IFERROR(__xludf.DUMMYFUNCTION("""COMPUTED_VALUE"""),"Artificial Reef")</f>
        <v>Artificial Reef</v>
      </c>
      <c r="C453" s="8" t="str">
        <f>IFERROR(__xludf.DUMMYFUNCTION("""COMPUTED_VALUE"""),"Mineral Accretion")</f>
        <v>Mineral Accretion</v>
      </c>
      <c r="D453" s="8" t="str">
        <f>IFERROR(__xludf.DUMMYFUNCTION("""COMPUTED_VALUE"""),"Rubble Stabilisation")</f>
        <v>Rubble Stabilisation</v>
      </c>
      <c r="E453" s="8" t="str">
        <f>IFERROR(__xludf.DUMMYFUNCTION("""COMPUTED_VALUE"""),"Algal Removal")</f>
        <v>Algal Removal</v>
      </c>
      <c r="F453" s="8"/>
      <c r="G453" s="8"/>
      <c r="H453" s="8"/>
    </row>
    <row r="454">
      <c r="A454" s="8" t="s">
        <v>150</v>
      </c>
      <c r="B454" s="8" t="str">
        <f>IFERROR(__xludf.DUMMYFUNCTION("""COMPUTED_VALUE"""),"Artificial Reef")</f>
        <v>Artificial Reef</v>
      </c>
      <c r="C454" s="8" t="str">
        <f>IFERROR(__xludf.DUMMYFUNCTION("""COMPUTED_VALUE"""),"Mineral Accretion")</f>
        <v>Mineral Accretion</v>
      </c>
      <c r="D454" s="8" t="str">
        <f>IFERROR(__xludf.DUMMYFUNCTION("""COMPUTED_VALUE"""),"Rubble Stabilisation")</f>
        <v>Rubble Stabilisation</v>
      </c>
      <c r="E454" s="8" t="str">
        <f>IFERROR(__xludf.DUMMYFUNCTION("""COMPUTED_VALUE"""),"Algal Removal")</f>
        <v>Algal Removal</v>
      </c>
      <c r="F454" s="8"/>
      <c r="G454" s="8"/>
      <c r="H454" s="8"/>
    </row>
    <row r="455">
      <c r="A455" s="8" t="s">
        <v>177</v>
      </c>
      <c r="B455" s="8" t="str">
        <f>IFERROR(__xludf.DUMMYFUNCTION("""COMPUTED_VALUE"""),"Direct Transplantation")</f>
        <v>Direct Transplantation</v>
      </c>
      <c r="C455" s="8" t="str">
        <f>IFERROR(__xludf.DUMMYFUNCTION("""COMPUTED_VALUE"""),"Coral Gardening")</f>
        <v>Coral Gardening</v>
      </c>
      <c r="D455" s="8" t="str">
        <f>IFERROR(__xludf.DUMMYFUNCTION("""COMPUTED_VALUE"""),"Microfragmentation")</f>
        <v>Microfragmentation</v>
      </c>
      <c r="E455" s="8"/>
      <c r="F455" s="8"/>
      <c r="G455" s="8"/>
      <c r="H455" s="8"/>
    </row>
    <row r="456">
      <c r="A456" s="8" t="s">
        <v>177</v>
      </c>
      <c r="B456" s="8" t="str">
        <f>IFERROR(__xludf.DUMMYFUNCTION("""COMPUTED_VALUE"""),"Direct Transplantation")</f>
        <v>Direct Transplantation</v>
      </c>
      <c r="C456" s="8" t="str">
        <f>IFERROR(__xludf.DUMMYFUNCTION("""COMPUTED_VALUE"""),"Coral Gardening")</f>
        <v>Coral Gardening</v>
      </c>
      <c r="D456" s="8" t="str">
        <f>IFERROR(__xludf.DUMMYFUNCTION("""COMPUTED_VALUE"""),"Microfragmentation")</f>
        <v>Microfragmentation</v>
      </c>
      <c r="E456" s="8"/>
      <c r="F456" s="8"/>
      <c r="G456" s="8"/>
      <c r="H456" s="8"/>
    </row>
    <row r="457">
      <c r="A457" s="8" t="s">
        <v>263</v>
      </c>
      <c r="B457" s="8" t="str">
        <f>IFERROR(__xludf.DUMMYFUNCTION("""COMPUTED_VALUE"""),"Direct Transplantation")</f>
        <v>Direct Transplantation</v>
      </c>
      <c r="C457" s="8" t="str">
        <f>IFERROR(__xludf.DUMMYFUNCTION("""COMPUTED_VALUE"""),"Coral Gardening")</f>
        <v>Coral Gardening</v>
      </c>
      <c r="D457" s="8" t="str">
        <f>IFERROR(__xludf.DUMMYFUNCTION("""COMPUTED_VALUE"""),"Microfragmentation")</f>
        <v>Microfragmentation</v>
      </c>
      <c r="E457" s="8" t="str">
        <f>IFERROR(__xludf.DUMMYFUNCTION("""COMPUTED_VALUE"""),"Artificial Reef")</f>
        <v>Artificial Reef</v>
      </c>
      <c r="F457" s="8" t="str">
        <f>IFERROR(__xludf.DUMMYFUNCTION("""COMPUTED_VALUE"""),"Mineral Accretion")</f>
        <v>Mineral Accretion</v>
      </c>
      <c r="G457" s="8" t="str">
        <f>IFERROR(__xludf.DUMMYFUNCTION("""COMPUTED_VALUE"""),"Rubble Stabilisation")</f>
        <v>Rubble Stabilisation</v>
      </c>
      <c r="H457" s="8" t="str">
        <f>IFERROR(__xludf.DUMMYFUNCTION("""COMPUTED_VALUE"""),"Algal Removal")</f>
        <v>Algal Removal</v>
      </c>
    </row>
    <row r="458">
      <c r="A458" s="8" t="s">
        <v>150</v>
      </c>
      <c r="B458" s="8" t="str">
        <f>IFERROR(__xludf.DUMMYFUNCTION("""COMPUTED_VALUE"""),"Artificial Reef")</f>
        <v>Artificial Reef</v>
      </c>
      <c r="C458" s="8" t="str">
        <f>IFERROR(__xludf.DUMMYFUNCTION("""COMPUTED_VALUE"""),"Mineral Accretion")</f>
        <v>Mineral Accretion</v>
      </c>
      <c r="D458" s="8" t="str">
        <f>IFERROR(__xludf.DUMMYFUNCTION("""COMPUTED_VALUE"""),"Rubble Stabilisation")</f>
        <v>Rubble Stabilisation</v>
      </c>
      <c r="E458" s="8" t="str">
        <f>IFERROR(__xludf.DUMMYFUNCTION("""COMPUTED_VALUE"""),"Algal Removal")</f>
        <v>Algal Removal</v>
      </c>
      <c r="F458" s="8"/>
      <c r="G458" s="8"/>
      <c r="H458" s="8"/>
    </row>
    <row r="459">
      <c r="A459" s="8" t="s">
        <v>177</v>
      </c>
      <c r="B459" s="8" t="str">
        <f>IFERROR(__xludf.DUMMYFUNCTION("""COMPUTED_VALUE"""),"Direct Transplantation")</f>
        <v>Direct Transplantation</v>
      </c>
      <c r="C459" s="8" t="str">
        <f>IFERROR(__xludf.DUMMYFUNCTION("""COMPUTED_VALUE"""),"Coral Gardening")</f>
        <v>Coral Gardening</v>
      </c>
      <c r="D459" s="8" t="str">
        <f>IFERROR(__xludf.DUMMYFUNCTION("""COMPUTED_VALUE"""),"Microfragmentation")</f>
        <v>Microfragmentation</v>
      </c>
      <c r="E459" s="8"/>
      <c r="F459" s="8"/>
      <c r="G459" s="8"/>
      <c r="H459" s="8"/>
    </row>
    <row r="460">
      <c r="A460" s="8" t="s">
        <v>150</v>
      </c>
      <c r="B460" s="8" t="str">
        <f>IFERROR(__xludf.DUMMYFUNCTION("""COMPUTED_VALUE"""),"Artificial Reef")</f>
        <v>Artificial Reef</v>
      </c>
      <c r="C460" s="8" t="str">
        <f>IFERROR(__xludf.DUMMYFUNCTION("""COMPUTED_VALUE"""),"Mineral Accretion")</f>
        <v>Mineral Accretion</v>
      </c>
      <c r="D460" s="8" t="str">
        <f>IFERROR(__xludf.DUMMYFUNCTION("""COMPUTED_VALUE"""),"Rubble Stabilisation")</f>
        <v>Rubble Stabilisation</v>
      </c>
      <c r="E460" s="8" t="str">
        <f>IFERROR(__xludf.DUMMYFUNCTION("""COMPUTED_VALUE"""),"Algal Removal")</f>
        <v>Algal Removal</v>
      </c>
      <c r="F460" s="8"/>
      <c r="G460" s="8"/>
      <c r="H460" s="8"/>
    </row>
    <row r="461">
      <c r="A461" s="8" t="s">
        <v>150</v>
      </c>
      <c r="B461" s="8" t="str">
        <f>IFERROR(__xludf.DUMMYFUNCTION("""COMPUTED_VALUE"""),"Artificial Reef")</f>
        <v>Artificial Reef</v>
      </c>
      <c r="C461" s="8" t="str">
        <f>IFERROR(__xludf.DUMMYFUNCTION("""COMPUTED_VALUE"""),"Mineral Accretion")</f>
        <v>Mineral Accretion</v>
      </c>
      <c r="D461" s="8" t="str">
        <f>IFERROR(__xludf.DUMMYFUNCTION("""COMPUTED_VALUE"""),"Rubble Stabilisation")</f>
        <v>Rubble Stabilisation</v>
      </c>
      <c r="E461" s="8" t="str">
        <f>IFERROR(__xludf.DUMMYFUNCTION("""COMPUTED_VALUE"""),"Algal Removal")</f>
        <v>Algal Removal</v>
      </c>
      <c r="F461" s="8"/>
      <c r="G461" s="8"/>
      <c r="H461" s="8"/>
    </row>
    <row r="462">
      <c r="A462" s="8" t="s">
        <v>150</v>
      </c>
      <c r="B462" s="8" t="str">
        <f>IFERROR(__xludf.DUMMYFUNCTION("""COMPUTED_VALUE"""),"Artificial Reef")</f>
        <v>Artificial Reef</v>
      </c>
      <c r="C462" s="8" t="str">
        <f>IFERROR(__xludf.DUMMYFUNCTION("""COMPUTED_VALUE"""),"Mineral Accretion")</f>
        <v>Mineral Accretion</v>
      </c>
      <c r="D462" s="8" t="str">
        <f>IFERROR(__xludf.DUMMYFUNCTION("""COMPUTED_VALUE"""),"Rubble Stabilisation")</f>
        <v>Rubble Stabilisation</v>
      </c>
      <c r="E462" s="8" t="str">
        <f>IFERROR(__xludf.DUMMYFUNCTION("""COMPUTED_VALUE"""),"Algal Removal")</f>
        <v>Algal Removal</v>
      </c>
      <c r="F462" s="8"/>
      <c r="G462" s="8"/>
      <c r="H462" s="8"/>
    </row>
    <row r="463">
      <c r="A463" s="8" t="s">
        <v>150</v>
      </c>
      <c r="B463" s="8" t="str">
        <f>IFERROR(__xludf.DUMMYFUNCTION("""COMPUTED_VALUE"""),"Artificial Reef")</f>
        <v>Artificial Reef</v>
      </c>
      <c r="C463" s="8" t="str">
        <f>IFERROR(__xludf.DUMMYFUNCTION("""COMPUTED_VALUE"""),"Mineral Accretion")</f>
        <v>Mineral Accretion</v>
      </c>
      <c r="D463" s="8" t="str">
        <f>IFERROR(__xludf.DUMMYFUNCTION("""COMPUTED_VALUE"""),"Rubble Stabilisation")</f>
        <v>Rubble Stabilisation</v>
      </c>
      <c r="E463" s="8" t="str">
        <f>IFERROR(__xludf.DUMMYFUNCTION("""COMPUTED_VALUE"""),"Algal Removal")</f>
        <v>Algal Removal</v>
      </c>
      <c r="F463" s="8"/>
      <c r="G463" s="8"/>
      <c r="H463" s="8"/>
    </row>
    <row r="464">
      <c r="A464" s="8" t="s">
        <v>263</v>
      </c>
      <c r="B464" s="8" t="str">
        <f>IFERROR(__xludf.DUMMYFUNCTION("""COMPUTED_VALUE"""),"Direct Transplantation")</f>
        <v>Direct Transplantation</v>
      </c>
      <c r="C464" s="8" t="str">
        <f>IFERROR(__xludf.DUMMYFUNCTION("""COMPUTED_VALUE"""),"Coral Gardening")</f>
        <v>Coral Gardening</v>
      </c>
      <c r="D464" s="8" t="str">
        <f>IFERROR(__xludf.DUMMYFUNCTION("""COMPUTED_VALUE"""),"Microfragmentation")</f>
        <v>Microfragmentation</v>
      </c>
      <c r="E464" s="8" t="str">
        <f>IFERROR(__xludf.DUMMYFUNCTION("""COMPUTED_VALUE"""),"Artificial Reef")</f>
        <v>Artificial Reef</v>
      </c>
      <c r="F464" s="8" t="str">
        <f>IFERROR(__xludf.DUMMYFUNCTION("""COMPUTED_VALUE"""),"Mineral Accretion")</f>
        <v>Mineral Accretion</v>
      </c>
      <c r="G464" s="8" t="str">
        <f>IFERROR(__xludf.DUMMYFUNCTION("""COMPUTED_VALUE"""),"Rubble Stabilisation")</f>
        <v>Rubble Stabilisation</v>
      </c>
      <c r="H464" s="8" t="str">
        <f>IFERROR(__xludf.DUMMYFUNCTION("""COMPUTED_VALUE"""),"Algal Removal")</f>
        <v>Algal Removal</v>
      </c>
    </row>
    <row r="465">
      <c r="A465" s="8" t="s">
        <v>150</v>
      </c>
      <c r="B465" s="8" t="str">
        <f>IFERROR(__xludf.DUMMYFUNCTION("""COMPUTED_VALUE"""),"Artificial Reef")</f>
        <v>Artificial Reef</v>
      </c>
      <c r="C465" s="8" t="str">
        <f>IFERROR(__xludf.DUMMYFUNCTION("""COMPUTED_VALUE"""),"Mineral Accretion")</f>
        <v>Mineral Accretion</v>
      </c>
      <c r="D465" s="8" t="str">
        <f>IFERROR(__xludf.DUMMYFUNCTION("""COMPUTED_VALUE"""),"Rubble Stabilisation")</f>
        <v>Rubble Stabilisation</v>
      </c>
      <c r="E465" s="8" t="str">
        <f>IFERROR(__xludf.DUMMYFUNCTION("""COMPUTED_VALUE"""),"Algal Removal")</f>
        <v>Algal Removal</v>
      </c>
      <c r="F465" s="8"/>
      <c r="G465" s="8"/>
      <c r="H465" s="8"/>
    </row>
    <row r="466">
      <c r="A466" s="8" t="s">
        <v>150</v>
      </c>
      <c r="B466" s="8" t="str">
        <f>IFERROR(__xludf.DUMMYFUNCTION("""COMPUTED_VALUE"""),"Artificial Reef")</f>
        <v>Artificial Reef</v>
      </c>
      <c r="C466" s="8" t="str">
        <f>IFERROR(__xludf.DUMMYFUNCTION("""COMPUTED_VALUE"""),"Mineral Accretion")</f>
        <v>Mineral Accretion</v>
      </c>
      <c r="D466" s="8" t="str">
        <f>IFERROR(__xludf.DUMMYFUNCTION("""COMPUTED_VALUE"""),"Rubble Stabilisation")</f>
        <v>Rubble Stabilisation</v>
      </c>
      <c r="E466" s="8" t="str">
        <f>IFERROR(__xludf.DUMMYFUNCTION("""COMPUTED_VALUE"""),"Algal Removal")</f>
        <v>Algal Removal</v>
      </c>
      <c r="F466" s="8"/>
      <c r="G466" s="8"/>
      <c r="H466" s="8"/>
    </row>
    <row r="467">
      <c r="A467" s="8" t="s">
        <v>150</v>
      </c>
      <c r="B467" s="8" t="str">
        <f>IFERROR(__xludf.DUMMYFUNCTION("""COMPUTED_VALUE"""),"Artificial Reef")</f>
        <v>Artificial Reef</v>
      </c>
      <c r="C467" s="8" t="str">
        <f>IFERROR(__xludf.DUMMYFUNCTION("""COMPUTED_VALUE"""),"Mineral Accretion")</f>
        <v>Mineral Accretion</v>
      </c>
      <c r="D467" s="8" t="str">
        <f>IFERROR(__xludf.DUMMYFUNCTION("""COMPUTED_VALUE"""),"Rubble Stabilisation")</f>
        <v>Rubble Stabilisation</v>
      </c>
      <c r="E467" s="8" t="str">
        <f>IFERROR(__xludf.DUMMYFUNCTION("""COMPUTED_VALUE"""),"Algal Removal")</f>
        <v>Algal Removal</v>
      </c>
      <c r="F467" s="8"/>
      <c r="G467" s="8"/>
      <c r="H467" s="8"/>
    </row>
    <row r="468">
      <c r="A468" s="8" t="s">
        <v>150</v>
      </c>
      <c r="B468" s="8" t="str">
        <f>IFERROR(__xludf.DUMMYFUNCTION("""COMPUTED_VALUE"""),"Artificial Reef")</f>
        <v>Artificial Reef</v>
      </c>
      <c r="C468" s="8" t="str">
        <f>IFERROR(__xludf.DUMMYFUNCTION("""COMPUTED_VALUE"""),"Mineral Accretion")</f>
        <v>Mineral Accretion</v>
      </c>
      <c r="D468" s="8" t="str">
        <f>IFERROR(__xludf.DUMMYFUNCTION("""COMPUTED_VALUE"""),"Rubble Stabilisation")</f>
        <v>Rubble Stabilisation</v>
      </c>
      <c r="E468" s="8" t="str">
        <f>IFERROR(__xludf.DUMMYFUNCTION("""COMPUTED_VALUE"""),"Algal Removal")</f>
        <v>Algal Removal</v>
      </c>
      <c r="F468" s="8"/>
      <c r="G468" s="8"/>
      <c r="H468" s="8"/>
    </row>
    <row r="469">
      <c r="A469" s="8" t="s">
        <v>150</v>
      </c>
      <c r="B469" s="8" t="str">
        <f>IFERROR(__xludf.DUMMYFUNCTION("""COMPUTED_VALUE"""),"Artificial Reef")</f>
        <v>Artificial Reef</v>
      </c>
      <c r="C469" s="8" t="str">
        <f>IFERROR(__xludf.DUMMYFUNCTION("""COMPUTED_VALUE"""),"Mineral Accretion")</f>
        <v>Mineral Accretion</v>
      </c>
      <c r="D469" s="8" t="str">
        <f>IFERROR(__xludf.DUMMYFUNCTION("""COMPUTED_VALUE"""),"Rubble Stabilisation")</f>
        <v>Rubble Stabilisation</v>
      </c>
      <c r="E469" s="8" t="str">
        <f>IFERROR(__xludf.DUMMYFUNCTION("""COMPUTED_VALUE"""),"Algal Removal")</f>
        <v>Algal Removal</v>
      </c>
      <c r="F469" s="8"/>
      <c r="G469" s="8"/>
      <c r="H469" s="8"/>
    </row>
    <row r="470">
      <c r="A470" s="8" t="s">
        <v>150</v>
      </c>
      <c r="B470" s="8" t="str">
        <f>IFERROR(__xludf.DUMMYFUNCTION("""COMPUTED_VALUE"""),"Artificial Reef")</f>
        <v>Artificial Reef</v>
      </c>
      <c r="C470" s="8" t="str">
        <f>IFERROR(__xludf.DUMMYFUNCTION("""COMPUTED_VALUE"""),"Mineral Accretion")</f>
        <v>Mineral Accretion</v>
      </c>
      <c r="D470" s="8" t="str">
        <f>IFERROR(__xludf.DUMMYFUNCTION("""COMPUTED_VALUE"""),"Rubble Stabilisation")</f>
        <v>Rubble Stabilisation</v>
      </c>
      <c r="E470" s="8" t="str">
        <f>IFERROR(__xludf.DUMMYFUNCTION("""COMPUTED_VALUE"""),"Algal Removal")</f>
        <v>Algal Removal</v>
      </c>
      <c r="F470" s="8"/>
      <c r="G470" s="8"/>
      <c r="H470" s="8"/>
    </row>
    <row r="471">
      <c r="B471" s="8"/>
      <c r="C471" s="8"/>
      <c r="D471" s="8"/>
      <c r="E471" s="8"/>
      <c r="F471" s="8"/>
      <c r="G471" s="8"/>
      <c r="H471" s="8"/>
    </row>
    <row r="472">
      <c r="B472" s="8"/>
      <c r="C472" s="8"/>
      <c r="D472" s="8"/>
      <c r="E472" s="8"/>
      <c r="F472" s="8"/>
      <c r="G472" s="8"/>
      <c r="H472" s="8"/>
    </row>
    <row r="473">
      <c r="B473" s="8"/>
      <c r="C473" s="8"/>
      <c r="D473" s="8"/>
      <c r="E473" s="8"/>
      <c r="F473" s="8"/>
      <c r="G473" s="8"/>
      <c r="H473" s="8"/>
    </row>
    <row r="474">
      <c r="B474" s="8"/>
      <c r="C474" s="8"/>
      <c r="D474" s="8"/>
      <c r="E474" s="8"/>
      <c r="F474" s="8"/>
      <c r="G474" s="8"/>
      <c r="H474" s="8"/>
    </row>
    <row r="475">
      <c r="B475" s="8"/>
      <c r="C475" s="8"/>
      <c r="D475" s="8"/>
      <c r="E475" s="8"/>
      <c r="F475" s="8"/>
      <c r="G475" s="8"/>
      <c r="H475" s="8"/>
    </row>
    <row r="476">
      <c r="B476" s="8"/>
      <c r="C476" s="8"/>
      <c r="D476" s="8"/>
      <c r="E476" s="8"/>
      <c r="F476" s="8"/>
      <c r="G476" s="8"/>
      <c r="H476" s="8"/>
    </row>
    <row r="477">
      <c r="B477" s="8"/>
      <c r="C477" s="8"/>
      <c r="D477" s="8"/>
      <c r="E477" s="8"/>
      <c r="F477" s="8"/>
      <c r="G477" s="8"/>
      <c r="H477" s="8"/>
    </row>
    <row r="478">
      <c r="B478" s="8"/>
      <c r="C478" s="8"/>
      <c r="D478" s="8"/>
      <c r="E478" s="8"/>
      <c r="F478" s="8"/>
      <c r="G478" s="8"/>
      <c r="H478" s="8"/>
    </row>
    <row r="479">
      <c r="B479" s="8"/>
      <c r="C479" s="8"/>
      <c r="D479" s="8"/>
      <c r="E479" s="8"/>
      <c r="F479" s="8"/>
      <c r="G479" s="8"/>
      <c r="H479" s="8"/>
    </row>
    <row r="480">
      <c r="B480" s="8"/>
      <c r="C480" s="8"/>
      <c r="D480" s="8"/>
      <c r="E480" s="8"/>
      <c r="F480" s="8"/>
      <c r="G480" s="8"/>
      <c r="H480" s="8"/>
    </row>
    <row r="481">
      <c r="B481" s="8"/>
      <c r="C481" s="8"/>
      <c r="D481" s="8"/>
      <c r="E481" s="8"/>
      <c r="F481" s="8"/>
      <c r="G481" s="8"/>
      <c r="H481" s="8"/>
    </row>
    <row r="482">
      <c r="B482" s="8"/>
      <c r="C482" s="8"/>
      <c r="D482" s="8"/>
      <c r="E482" s="8"/>
      <c r="F482" s="8"/>
      <c r="G482" s="8"/>
      <c r="H482" s="8"/>
    </row>
    <row r="483">
      <c r="B483" s="8"/>
      <c r="C483" s="8"/>
      <c r="D483" s="8"/>
      <c r="E483" s="8"/>
      <c r="F483" s="8"/>
      <c r="G483" s="8"/>
      <c r="H483" s="8"/>
    </row>
    <row r="484">
      <c r="B484" s="8"/>
      <c r="C484" s="8"/>
      <c r="D484" s="8"/>
      <c r="E484" s="8"/>
      <c r="F484" s="8"/>
      <c r="G484" s="8"/>
      <c r="H484" s="8"/>
    </row>
    <row r="485">
      <c r="B485" s="8"/>
      <c r="C485" s="8"/>
      <c r="D485" s="8"/>
      <c r="E485" s="8"/>
      <c r="F485" s="8"/>
      <c r="G485" s="8"/>
      <c r="H485" s="8"/>
    </row>
    <row r="486">
      <c r="B486" s="8"/>
      <c r="C486" s="8"/>
      <c r="D486" s="8"/>
      <c r="E486" s="8"/>
      <c r="F486" s="8"/>
      <c r="G486" s="8"/>
      <c r="H486" s="8"/>
    </row>
    <row r="487">
      <c r="B487" s="8"/>
      <c r="C487" s="8"/>
      <c r="D487" s="8"/>
      <c r="E487" s="8"/>
      <c r="F487" s="8"/>
      <c r="G487" s="8"/>
      <c r="H487" s="8"/>
    </row>
    <row r="488">
      <c r="B488" s="8"/>
      <c r="C488" s="8"/>
      <c r="D488" s="8"/>
      <c r="E488" s="8"/>
      <c r="F488" s="8"/>
      <c r="G488" s="8"/>
      <c r="H488" s="8"/>
    </row>
    <row r="489">
      <c r="B489" s="8"/>
      <c r="C489" s="8"/>
      <c r="D489" s="8"/>
      <c r="E489" s="8"/>
      <c r="F489" s="8"/>
      <c r="G489" s="8"/>
      <c r="H489" s="8"/>
    </row>
    <row r="490">
      <c r="B490" s="8"/>
      <c r="C490" s="8"/>
      <c r="D490" s="8"/>
      <c r="E490" s="8"/>
      <c r="F490" s="8"/>
      <c r="G490" s="8"/>
      <c r="H490" s="8"/>
    </row>
    <row r="491">
      <c r="B491" s="8"/>
      <c r="C491" s="8"/>
      <c r="D491" s="8"/>
      <c r="E491" s="8"/>
      <c r="F491" s="8"/>
      <c r="G491" s="8"/>
      <c r="H491" s="8"/>
    </row>
    <row r="492">
      <c r="B492" s="8"/>
      <c r="C492" s="8"/>
      <c r="D492" s="8"/>
      <c r="E492" s="8"/>
      <c r="F492" s="8"/>
      <c r="G492" s="8"/>
      <c r="H492" s="8"/>
    </row>
    <row r="493">
      <c r="B493" s="8"/>
      <c r="C493" s="8"/>
      <c r="D493" s="8"/>
      <c r="E493" s="8"/>
      <c r="F493" s="8"/>
      <c r="G493" s="8"/>
      <c r="H493" s="8"/>
    </row>
    <row r="494">
      <c r="B494" s="8"/>
      <c r="C494" s="8"/>
      <c r="D494" s="8"/>
      <c r="E494" s="8"/>
      <c r="F494" s="8"/>
      <c r="G494" s="8"/>
      <c r="H494" s="8"/>
    </row>
    <row r="495">
      <c r="B495" s="8"/>
      <c r="C495" s="8"/>
      <c r="D495" s="8"/>
      <c r="E495" s="8"/>
      <c r="F495" s="8"/>
      <c r="G495" s="8"/>
      <c r="H495" s="8"/>
    </row>
    <row r="496">
      <c r="B496" s="8"/>
      <c r="C496" s="8"/>
      <c r="D496" s="8"/>
      <c r="E496" s="8"/>
      <c r="F496" s="8"/>
      <c r="G496" s="8"/>
      <c r="H496" s="8"/>
    </row>
    <row r="497">
      <c r="B497" s="8"/>
      <c r="C497" s="8"/>
      <c r="D497" s="8"/>
      <c r="E497" s="8"/>
      <c r="F497" s="8"/>
      <c r="G497" s="8"/>
      <c r="H497" s="8"/>
    </row>
    <row r="498">
      <c r="B498" s="8"/>
      <c r="C498" s="8"/>
      <c r="D498" s="8"/>
      <c r="E498" s="8"/>
      <c r="F498" s="8"/>
      <c r="G498" s="8"/>
      <c r="H498" s="8"/>
    </row>
    <row r="499">
      <c r="B499" s="8"/>
      <c r="C499" s="8"/>
      <c r="D499" s="8"/>
      <c r="E499" s="8"/>
      <c r="F499" s="8"/>
      <c r="G499" s="8"/>
      <c r="H499" s="8"/>
    </row>
    <row r="500">
      <c r="B500" s="8"/>
      <c r="C500" s="8"/>
      <c r="D500" s="8"/>
      <c r="E500" s="8"/>
      <c r="F500" s="8"/>
      <c r="G500" s="8"/>
      <c r="H500" s="8"/>
    </row>
    <row r="501">
      <c r="B501" s="8"/>
      <c r="C501" s="8"/>
      <c r="D501" s="8"/>
      <c r="E501" s="8"/>
      <c r="F501" s="8"/>
      <c r="G501" s="8"/>
      <c r="H501" s="8"/>
    </row>
    <row r="502">
      <c r="B502" s="8"/>
      <c r="C502" s="8"/>
      <c r="D502" s="8"/>
      <c r="E502" s="8"/>
      <c r="F502" s="8"/>
      <c r="G502" s="8"/>
      <c r="H502" s="8"/>
    </row>
    <row r="503">
      <c r="B503" s="8"/>
      <c r="C503" s="8"/>
      <c r="D503" s="8"/>
      <c r="E503" s="8"/>
      <c r="F503" s="8"/>
      <c r="G503" s="8"/>
      <c r="H503" s="8"/>
    </row>
    <row r="504">
      <c r="B504" s="8"/>
      <c r="C504" s="8"/>
      <c r="D504" s="8"/>
      <c r="E504" s="8"/>
      <c r="F504" s="8"/>
      <c r="G504" s="8"/>
      <c r="H504" s="8"/>
    </row>
    <row r="505">
      <c r="B505" s="8"/>
      <c r="C505" s="8"/>
      <c r="D505" s="8"/>
      <c r="E505" s="8"/>
      <c r="F505" s="8"/>
      <c r="G505" s="8"/>
      <c r="H505" s="8"/>
    </row>
    <row r="506">
      <c r="B506" s="8"/>
      <c r="C506" s="8"/>
      <c r="D506" s="8"/>
      <c r="E506" s="8"/>
      <c r="F506" s="8"/>
      <c r="G506" s="8"/>
      <c r="H506" s="8"/>
    </row>
    <row r="507">
      <c r="B507" s="8"/>
      <c r="C507" s="8"/>
      <c r="D507" s="8"/>
      <c r="E507" s="8"/>
      <c r="F507" s="8"/>
      <c r="G507" s="8"/>
      <c r="H507" s="8"/>
    </row>
    <row r="508">
      <c r="B508" s="8"/>
      <c r="C508" s="8"/>
      <c r="D508" s="8"/>
      <c r="E508" s="8"/>
      <c r="F508" s="8"/>
      <c r="G508" s="8"/>
      <c r="H508" s="8"/>
    </row>
    <row r="509">
      <c r="B509" s="8"/>
      <c r="C509" s="8"/>
      <c r="D509" s="8"/>
      <c r="E509" s="8"/>
      <c r="F509" s="8"/>
      <c r="G509" s="8"/>
      <c r="H509" s="8"/>
    </row>
    <row r="510">
      <c r="B510" s="8"/>
      <c r="C510" s="8"/>
      <c r="D510" s="8"/>
      <c r="E510" s="8"/>
      <c r="F510" s="8"/>
      <c r="G510" s="8"/>
      <c r="H510" s="8"/>
    </row>
    <row r="511">
      <c r="B511" s="8"/>
      <c r="C511" s="8"/>
      <c r="D511" s="8"/>
      <c r="E511" s="8"/>
      <c r="F511" s="8"/>
      <c r="G511" s="8"/>
      <c r="H511" s="8"/>
    </row>
    <row r="512">
      <c r="B512" s="8"/>
      <c r="C512" s="8"/>
      <c r="D512" s="8"/>
      <c r="E512" s="8"/>
      <c r="F512" s="8"/>
      <c r="G512" s="8"/>
      <c r="H512" s="8"/>
    </row>
    <row r="513">
      <c r="B513" s="8"/>
      <c r="C513" s="8"/>
      <c r="D513" s="8"/>
      <c r="E513" s="8"/>
      <c r="F513" s="8"/>
      <c r="G513" s="8"/>
      <c r="H513" s="8"/>
    </row>
    <row r="514">
      <c r="B514" s="8"/>
      <c r="C514" s="8"/>
      <c r="D514" s="8"/>
      <c r="E514" s="8"/>
      <c r="F514" s="8"/>
      <c r="G514" s="8"/>
      <c r="H514" s="8"/>
    </row>
    <row r="515">
      <c r="B515" s="8"/>
      <c r="C515" s="8"/>
      <c r="D515" s="8"/>
      <c r="E515" s="8"/>
      <c r="F515" s="8"/>
      <c r="G515" s="8"/>
      <c r="H515" s="8"/>
    </row>
    <row r="516">
      <c r="B516" s="8"/>
      <c r="C516" s="8"/>
      <c r="D516" s="8"/>
      <c r="E516" s="8"/>
      <c r="F516" s="8"/>
      <c r="G516" s="8"/>
      <c r="H516" s="8"/>
    </row>
    <row r="517">
      <c r="B517" s="8"/>
      <c r="C517" s="8"/>
      <c r="D517" s="8"/>
      <c r="E517" s="8"/>
      <c r="F517" s="8"/>
      <c r="G517" s="8"/>
      <c r="H517" s="8"/>
    </row>
    <row r="518">
      <c r="B518" s="8"/>
      <c r="C518" s="8"/>
      <c r="D518" s="8"/>
      <c r="E518" s="8"/>
      <c r="F518" s="8"/>
      <c r="G518" s="8"/>
      <c r="H518" s="8"/>
    </row>
    <row r="519">
      <c r="B519" s="8"/>
      <c r="C519" s="8"/>
      <c r="D519" s="8"/>
      <c r="E519" s="8"/>
      <c r="F519" s="8"/>
      <c r="G519" s="8"/>
      <c r="H519" s="8"/>
    </row>
    <row r="520">
      <c r="B520" s="8"/>
      <c r="C520" s="8"/>
      <c r="D520" s="8"/>
      <c r="E520" s="8"/>
      <c r="F520" s="8"/>
      <c r="G520" s="8"/>
      <c r="H520" s="8"/>
    </row>
    <row r="521">
      <c r="B521" s="8"/>
      <c r="C521" s="8"/>
      <c r="D521" s="8"/>
      <c r="E521" s="8"/>
      <c r="F521" s="8"/>
      <c r="G521" s="8"/>
      <c r="H521" s="8"/>
    </row>
    <row r="522">
      <c r="B522" s="8"/>
      <c r="C522" s="8"/>
      <c r="D522" s="8"/>
      <c r="E522" s="8"/>
      <c r="F522" s="8"/>
      <c r="G522" s="8"/>
      <c r="H522" s="8"/>
    </row>
    <row r="523">
      <c r="B523" s="8"/>
      <c r="C523" s="8"/>
      <c r="D523" s="8"/>
      <c r="E523" s="8"/>
      <c r="F523" s="8"/>
      <c r="G523" s="8"/>
      <c r="H523" s="8"/>
    </row>
    <row r="524">
      <c r="B524" s="8"/>
      <c r="C524" s="8"/>
      <c r="D524" s="8"/>
      <c r="E524" s="8"/>
      <c r="F524" s="8"/>
      <c r="G524" s="8"/>
      <c r="H524" s="8"/>
    </row>
    <row r="525">
      <c r="B525" s="8"/>
      <c r="C525" s="8"/>
      <c r="D525" s="8"/>
      <c r="E525" s="8"/>
      <c r="F525" s="8"/>
      <c r="G525" s="8"/>
      <c r="H525" s="8"/>
    </row>
    <row r="526">
      <c r="B526" s="8"/>
      <c r="C526" s="8"/>
      <c r="D526" s="8"/>
      <c r="E526" s="8"/>
      <c r="F526" s="8"/>
      <c r="G526" s="8"/>
      <c r="H526" s="8"/>
    </row>
    <row r="527">
      <c r="B527" s="8"/>
      <c r="C527" s="8"/>
      <c r="D527" s="8"/>
      <c r="E527" s="8"/>
      <c r="F527" s="8"/>
      <c r="G527" s="8"/>
      <c r="H527" s="8"/>
    </row>
    <row r="528">
      <c r="B528" s="8"/>
      <c r="C528" s="8"/>
      <c r="D528" s="8"/>
      <c r="E528" s="8"/>
      <c r="F528" s="8"/>
      <c r="G528" s="8"/>
      <c r="H528" s="8"/>
    </row>
    <row r="529">
      <c r="B529" s="8"/>
      <c r="C529" s="8"/>
      <c r="D529" s="8"/>
      <c r="E529" s="8"/>
      <c r="F529" s="8"/>
      <c r="G529" s="8"/>
      <c r="H529" s="8"/>
    </row>
    <row r="530">
      <c r="B530" s="8"/>
      <c r="C530" s="8"/>
      <c r="D530" s="8"/>
      <c r="E530" s="8"/>
      <c r="F530" s="8"/>
      <c r="G530" s="8"/>
      <c r="H530" s="8"/>
    </row>
    <row r="531">
      <c r="B531" s="8"/>
      <c r="C531" s="8"/>
      <c r="D531" s="8"/>
      <c r="E531" s="8"/>
      <c r="F531" s="8"/>
      <c r="G531" s="8"/>
      <c r="H531" s="8"/>
    </row>
    <row r="532">
      <c r="B532" s="8"/>
      <c r="C532" s="8"/>
      <c r="D532" s="8"/>
      <c r="E532" s="8"/>
      <c r="F532" s="8"/>
      <c r="G532" s="8"/>
      <c r="H532" s="8"/>
    </row>
    <row r="533">
      <c r="B533" s="8"/>
      <c r="C533" s="8"/>
      <c r="D533" s="8"/>
      <c r="E533" s="8"/>
      <c r="F533" s="8"/>
      <c r="G533" s="8"/>
      <c r="H533" s="8"/>
    </row>
    <row r="534">
      <c r="B534" s="8"/>
      <c r="C534" s="8"/>
      <c r="D534" s="8"/>
      <c r="E534" s="8"/>
      <c r="F534" s="8"/>
      <c r="G534" s="8"/>
      <c r="H534" s="8"/>
    </row>
    <row r="535">
      <c r="B535" s="8"/>
      <c r="C535" s="8"/>
      <c r="D535" s="8"/>
      <c r="E535" s="8"/>
      <c r="F535" s="8"/>
      <c r="G535" s="8"/>
      <c r="H535" s="8"/>
    </row>
    <row r="536">
      <c r="B536" s="8"/>
      <c r="C536" s="8"/>
      <c r="D536" s="8"/>
      <c r="E536" s="8"/>
      <c r="F536" s="8"/>
      <c r="G536" s="8"/>
      <c r="H536" s="8"/>
    </row>
    <row r="537">
      <c r="B537" s="8"/>
      <c r="C537" s="8"/>
      <c r="D537" s="8"/>
      <c r="E537" s="8"/>
      <c r="F537" s="8"/>
      <c r="G537" s="8"/>
      <c r="H537" s="8"/>
    </row>
    <row r="538">
      <c r="B538" s="8"/>
      <c r="C538" s="8"/>
      <c r="D538" s="8"/>
      <c r="E538" s="8"/>
      <c r="F538" s="8"/>
      <c r="G538" s="8"/>
      <c r="H538" s="8"/>
    </row>
    <row r="539">
      <c r="B539" s="8"/>
      <c r="C539" s="8"/>
      <c r="D539" s="8"/>
      <c r="E539" s="8"/>
      <c r="F539" s="8"/>
      <c r="G539" s="8"/>
      <c r="H539" s="8"/>
    </row>
    <row r="540">
      <c r="B540" s="8"/>
      <c r="C540" s="8"/>
      <c r="D540" s="8"/>
      <c r="E540" s="8"/>
      <c r="F540" s="8"/>
      <c r="G540" s="8"/>
      <c r="H540" s="8"/>
    </row>
    <row r="541">
      <c r="B541" s="8"/>
      <c r="C541" s="8"/>
      <c r="D541" s="8"/>
      <c r="E541" s="8"/>
      <c r="F541" s="8"/>
      <c r="G541" s="8"/>
      <c r="H541" s="8"/>
    </row>
    <row r="542">
      <c r="B542" s="8"/>
      <c r="C542" s="8"/>
      <c r="D542" s="8"/>
      <c r="E542" s="8"/>
      <c r="F542" s="8"/>
      <c r="G542" s="8"/>
      <c r="H542" s="8"/>
    </row>
    <row r="543">
      <c r="B543" s="8"/>
      <c r="C543" s="8"/>
      <c r="D543" s="8"/>
      <c r="E543" s="8"/>
      <c r="F543" s="8"/>
      <c r="G543" s="8"/>
      <c r="H543" s="8"/>
    </row>
    <row r="544">
      <c r="B544" s="8"/>
      <c r="C544" s="8"/>
      <c r="D544" s="8"/>
      <c r="E544" s="8"/>
      <c r="F544" s="8"/>
      <c r="G544" s="8"/>
      <c r="H544" s="8"/>
    </row>
    <row r="545">
      <c r="B545" s="8"/>
      <c r="C545" s="8"/>
      <c r="D545" s="8"/>
      <c r="E545" s="8"/>
      <c r="F545" s="8"/>
      <c r="G545" s="8"/>
      <c r="H545" s="8"/>
    </row>
    <row r="546">
      <c r="B546" s="8"/>
      <c r="C546" s="8"/>
      <c r="D546" s="8"/>
      <c r="E546" s="8"/>
      <c r="F546" s="8"/>
      <c r="G546" s="8"/>
      <c r="H546" s="8"/>
    </row>
    <row r="547">
      <c r="B547" s="8"/>
      <c r="C547" s="8"/>
      <c r="D547" s="8"/>
      <c r="E547" s="8"/>
      <c r="F547" s="8"/>
      <c r="G547" s="8"/>
      <c r="H547" s="8"/>
    </row>
    <row r="548">
      <c r="B548" s="8"/>
      <c r="C548" s="8"/>
      <c r="D548" s="8"/>
      <c r="E548" s="8"/>
      <c r="F548" s="8"/>
      <c r="G548" s="8"/>
      <c r="H548" s="8"/>
    </row>
    <row r="549">
      <c r="B549" s="8"/>
      <c r="C549" s="8"/>
      <c r="D549" s="8"/>
      <c r="E549" s="8"/>
      <c r="F549" s="8"/>
      <c r="G549" s="8"/>
      <c r="H549" s="8"/>
    </row>
    <row r="550">
      <c r="B550" s="8"/>
      <c r="C550" s="8"/>
      <c r="D550" s="8"/>
      <c r="E550" s="8"/>
      <c r="F550" s="8"/>
      <c r="G550" s="8"/>
      <c r="H550" s="8"/>
    </row>
    <row r="551">
      <c r="B551" s="8"/>
      <c r="C551" s="8"/>
      <c r="D551" s="8"/>
      <c r="E551" s="8"/>
      <c r="F551" s="8"/>
      <c r="G551" s="8"/>
      <c r="H551" s="8"/>
    </row>
    <row r="552">
      <c r="B552" s="8"/>
      <c r="C552" s="8"/>
      <c r="D552" s="8"/>
      <c r="E552" s="8"/>
      <c r="F552" s="8"/>
      <c r="G552" s="8"/>
      <c r="H552" s="8"/>
    </row>
    <row r="553">
      <c r="B553" s="8"/>
      <c r="C553" s="8"/>
      <c r="D553" s="8"/>
      <c r="E553" s="8"/>
      <c r="F553" s="8"/>
      <c r="G553" s="8"/>
      <c r="H553" s="8"/>
    </row>
    <row r="554">
      <c r="B554" s="8"/>
      <c r="C554" s="8"/>
      <c r="D554" s="8"/>
      <c r="E554" s="8"/>
      <c r="F554" s="8"/>
      <c r="G554" s="8"/>
      <c r="H554" s="8"/>
    </row>
    <row r="555">
      <c r="B555" s="8"/>
      <c r="C555" s="8"/>
      <c r="D555" s="8"/>
      <c r="E555" s="8"/>
      <c r="F555" s="8"/>
      <c r="G555" s="8"/>
      <c r="H555" s="8"/>
    </row>
    <row r="556">
      <c r="B556" s="8"/>
      <c r="C556" s="8"/>
      <c r="D556" s="8"/>
      <c r="E556" s="8"/>
      <c r="F556" s="8"/>
      <c r="G556" s="8"/>
      <c r="H556" s="8"/>
    </row>
    <row r="557">
      <c r="B557" s="8"/>
      <c r="C557" s="8"/>
      <c r="D557" s="8"/>
      <c r="E557" s="8"/>
      <c r="F557" s="8"/>
      <c r="G557" s="8"/>
      <c r="H557" s="8"/>
    </row>
    <row r="558">
      <c r="B558" s="8"/>
      <c r="C558" s="8"/>
      <c r="D558" s="8"/>
      <c r="E558" s="8"/>
      <c r="F558" s="8"/>
      <c r="G558" s="8"/>
      <c r="H558" s="8"/>
    </row>
    <row r="559">
      <c r="B559" s="8"/>
      <c r="C559" s="8"/>
      <c r="D559" s="8"/>
      <c r="E559" s="8"/>
      <c r="F559" s="8"/>
      <c r="G559" s="8"/>
      <c r="H559" s="8"/>
    </row>
    <row r="560">
      <c r="B560" s="8"/>
      <c r="C560" s="8"/>
      <c r="D560" s="8"/>
      <c r="E560" s="8"/>
      <c r="F560" s="8"/>
      <c r="G560" s="8"/>
      <c r="H560" s="8"/>
    </row>
    <row r="561">
      <c r="B561" s="8"/>
      <c r="C561" s="8"/>
      <c r="D561" s="8"/>
      <c r="E561" s="8"/>
      <c r="F561" s="8"/>
      <c r="G561" s="8"/>
      <c r="H561" s="8"/>
    </row>
    <row r="562">
      <c r="B562" s="8"/>
      <c r="C562" s="8"/>
      <c r="D562" s="8"/>
      <c r="E562" s="8"/>
      <c r="F562" s="8"/>
      <c r="G562" s="8"/>
      <c r="H562" s="8"/>
    </row>
    <row r="563">
      <c r="B563" s="8"/>
      <c r="C563" s="8"/>
      <c r="D563" s="8"/>
      <c r="E563" s="8"/>
      <c r="F563" s="8"/>
      <c r="G563" s="8"/>
      <c r="H563" s="8"/>
    </row>
    <row r="564">
      <c r="B564" s="8"/>
      <c r="C564" s="8"/>
      <c r="D564" s="8"/>
      <c r="E564" s="8"/>
      <c r="F564" s="8"/>
      <c r="G564" s="8"/>
      <c r="H564" s="8"/>
    </row>
    <row r="565">
      <c r="B565" s="8"/>
      <c r="C565" s="8"/>
      <c r="D565" s="8"/>
      <c r="E565" s="8"/>
      <c r="F565" s="8"/>
      <c r="G565" s="8"/>
      <c r="H565" s="8"/>
    </row>
    <row r="566">
      <c r="B566" s="8"/>
      <c r="C566" s="8"/>
      <c r="D566" s="8"/>
      <c r="E566" s="8"/>
      <c r="F566" s="8"/>
      <c r="G566" s="8"/>
      <c r="H566" s="8"/>
    </row>
    <row r="567">
      <c r="B567" s="8"/>
      <c r="C567" s="8"/>
      <c r="D567" s="8"/>
      <c r="E567" s="8"/>
      <c r="F567" s="8"/>
      <c r="G567" s="8"/>
      <c r="H567" s="8"/>
    </row>
    <row r="568">
      <c r="B568" s="8"/>
      <c r="C568" s="8"/>
      <c r="D568" s="8"/>
      <c r="E568" s="8"/>
      <c r="F568" s="8"/>
      <c r="G568" s="8"/>
      <c r="H568" s="8"/>
    </row>
    <row r="569">
      <c r="B569" s="8"/>
      <c r="C569" s="8"/>
      <c r="D569" s="8"/>
      <c r="E569" s="8"/>
      <c r="F569" s="8"/>
      <c r="G569" s="8"/>
      <c r="H569" s="8"/>
    </row>
    <row r="570">
      <c r="B570" s="8"/>
      <c r="C570" s="8"/>
      <c r="D570" s="8"/>
      <c r="E570" s="8"/>
      <c r="F570" s="8"/>
      <c r="G570" s="8"/>
      <c r="H570" s="8"/>
    </row>
    <row r="571">
      <c r="B571" s="8"/>
      <c r="C571" s="8"/>
      <c r="D571" s="8"/>
      <c r="E571" s="8"/>
      <c r="F571" s="8"/>
      <c r="G571" s="8"/>
      <c r="H571" s="8"/>
    </row>
    <row r="572">
      <c r="B572" s="8"/>
      <c r="C572" s="8"/>
      <c r="D572" s="8"/>
      <c r="E572" s="8"/>
      <c r="F572" s="8"/>
      <c r="G572" s="8"/>
      <c r="H572" s="8"/>
    </row>
    <row r="573">
      <c r="B573" s="8"/>
      <c r="C573" s="8"/>
      <c r="D573" s="8"/>
      <c r="E573" s="8"/>
      <c r="F573" s="8"/>
      <c r="G573" s="8"/>
      <c r="H573" s="8"/>
    </row>
    <row r="574">
      <c r="B574" s="8"/>
      <c r="C574" s="8"/>
      <c r="D574" s="8"/>
      <c r="E574" s="8"/>
      <c r="F574" s="8"/>
      <c r="G574" s="8"/>
      <c r="H574" s="8"/>
    </row>
    <row r="575">
      <c r="B575" s="8"/>
      <c r="C575" s="8"/>
      <c r="D575" s="8"/>
      <c r="E575" s="8"/>
      <c r="F575" s="8"/>
      <c r="G575" s="8"/>
      <c r="H575" s="8"/>
    </row>
    <row r="576">
      <c r="B576" s="8"/>
      <c r="C576" s="8"/>
      <c r="D576" s="8"/>
      <c r="E576" s="8"/>
      <c r="F576" s="8"/>
      <c r="G576" s="8"/>
      <c r="H576" s="8"/>
    </row>
    <row r="577">
      <c r="B577" s="8"/>
      <c r="C577" s="8"/>
      <c r="D577" s="8"/>
      <c r="E577" s="8"/>
      <c r="F577" s="8"/>
      <c r="G577" s="8"/>
      <c r="H577" s="8"/>
    </row>
    <row r="578">
      <c r="B578" s="8"/>
      <c r="C578" s="8"/>
      <c r="D578" s="8"/>
      <c r="E578" s="8"/>
      <c r="F578" s="8"/>
      <c r="G578" s="8"/>
      <c r="H578" s="8"/>
    </row>
    <row r="579">
      <c r="B579" s="8"/>
      <c r="C579" s="8"/>
      <c r="D579" s="8"/>
      <c r="E579" s="8"/>
      <c r="F579" s="8"/>
      <c r="G579" s="8"/>
      <c r="H579" s="8"/>
    </row>
    <row r="580">
      <c r="B580" s="8"/>
      <c r="C580" s="8"/>
      <c r="D580" s="8"/>
      <c r="E580" s="8"/>
      <c r="F580" s="8"/>
      <c r="G580" s="8"/>
      <c r="H580" s="8"/>
    </row>
    <row r="581">
      <c r="B581" s="8"/>
      <c r="C581" s="8"/>
      <c r="D581" s="8"/>
      <c r="E581" s="8"/>
      <c r="F581" s="8"/>
      <c r="G581" s="8"/>
      <c r="H581" s="8"/>
    </row>
    <row r="582">
      <c r="B582" s="8"/>
      <c r="C582" s="8"/>
      <c r="D582" s="8"/>
      <c r="E582" s="8"/>
      <c r="F582" s="8"/>
      <c r="G582" s="8"/>
      <c r="H582" s="8"/>
    </row>
    <row r="583">
      <c r="B583" s="8"/>
      <c r="C583" s="8"/>
      <c r="D583" s="8"/>
      <c r="E583" s="8"/>
      <c r="F583" s="8"/>
      <c r="G583" s="8"/>
      <c r="H583" s="8"/>
    </row>
    <row r="584">
      <c r="B584" s="8"/>
      <c r="C584" s="8"/>
      <c r="D584" s="8"/>
      <c r="E584" s="8"/>
      <c r="F584" s="8"/>
      <c r="G584" s="8"/>
      <c r="H584" s="8"/>
    </row>
    <row r="585">
      <c r="B585" s="8"/>
      <c r="C585" s="8"/>
      <c r="D585" s="8"/>
      <c r="E585" s="8"/>
      <c r="F585" s="8"/>
      <c r="G585" s="8"/>
      <c r="H585" s="8"/>
    </row>
    <row r="586">
      <c r="B586" s="8"/>
      <c r="C586" s="8"/>
      <c r="D586" s="8"/>
      <c r="E586" s="8"/>
      <c r="F586" s="8"/>
      <c r="G586" s="8"/>
      <c r="H586" s="8"/>
    </row>
    <row r="587">
      <c r="B587" s="8"/>
      <c r="C587" s="8"/>
      <c r="D587" s="8"/>
      <c r="E587" s="8"/>
      <c r="F587" s="8"/>
      <c r="G587" s="8"/>
      <c r="H587" s="8"/>
    </row>
    <row r="588">
      <c r="B588" s="8"/>
      <c r="C588" s="8"/>
      <c r="D588" s="8"/>
      <c r="E588" s="8"/>
      <c r="F588" s="8"/>
      <c r="G588" s="8"/>
      <c r="H588" s="8"/>
    </row>
    <row r="589">
      <c r="B589" s="8"/>
      <c r="C589" s="8"/>
      <c r="D589" s="8"/>
      <c r="E589" s="8"/>
      <c r="F589" s="8"/>
      <c r="G589" s="8"/>
      <c r="H589" s="8"/>
    </row>
    <row r="590">
      <c r="B590" s="8"/>
      <c r="C590" s="8"/>
      <c r="D590" s="8"/>
      <c r="E590" s="8"/>
      <c r="F590" s="8"/>
      <c r="G590" s="8"/>
      <c r="H590" s="8"/>
    </row>
    <row r="591">
      <c r="B591" s="8"/>
      <c r="C591" s="8"/>
      <c r="D591" s="8"/>
      <c r="E591" s="8"/>
      <c r="F591" s="8"/>
      <c r="G591" s="8"/>
      <c r="H591" s="8"/>
    </row>
    <row r="592">
      <c r="B592" s="8"/>
      <c r="C592" s="8"/>
      <c r="D592" s="8"/>
      <c r="E592" s="8"/>
      <c r="F592" s="8"/>
      <c r="G592" s="8"/>
      <c r="H592" s="8"/>
    </row>
    <row r="593">
      <c r="B593" s="8"/>
      <c r="C593" s="8"/>
      <c r="D593" s="8"/>
      <c r="E593" s="8"/>
      <c r="F593" s="8"/>
      <c r="G593" s="8"/>
      <c r="H593" s="8"/>
    </row>
    <row r="594">
      <c r="B594" s="8"/>
      <c r="C594" s="8"/>
      <c r="D594" s="8"/>
      <c r="E594" s="8"/>
      <c r="F594" s="8"/>
      <c r="G594" s="8"/>
      <c r="H594" s="8"/>
    </row>
    <row r="595">
      <c r="B595" s="8"/>
      <c r="C595" s="8"/>
      <c r="D595" s="8"/>
      <c r="E595" s="8"/>
      <c r="F595" s="8"/>
      <c r="G595" s="8"/>
      <c r="H595" s="8"/>
    </row>
    <row r="596">
      <c r="B596" s="8"/>
      <c r="C596" s="8"/>
      <c r="D596" s="8"/>
      <c r="E596" s="8"/>
      <c r="F596" s="8"/>
      <c r="G596" s="8"/>
      <c r="H596" s="8"/>
    </row>
    <row r="597">
      <c r="B597" s="8"/>
      <c r="C597" s="8"/>
      <c r="D597" s="8"/>
      <c r="E597" s="8"/>
      <c r="F597" s="8"/>
      <c r="G597" s="8"/>
      <c r="H597" s="8"/>
    </row>
    <row r="598">
      <c r="B598" s="8"/>
      <c r="C598" s="8"/>
      <c r="D598" s="8"/>
      <c r="E598" s="8"/>
      <c r="F598" s="8"/>
      <c r="G598" s="8"/>
      <c r="H598" s="8"/>
    </row>
    <row r="599">
      <c r="B599" s="8"/>
      <c r="C599" s="8"/>
      <c r="D599" s="8"/>
      <c r="E599" s="8"/>
      <c r="F599" s="8"/>
      <c r="G599" s="8"/>
      <c r="H599" s="8"/>
    </row>
    <row r="600">
      <c r="B600" s="8"/>
      <c r="C600" s="8"/>
      <c r="D600" s="8"/>
      <c r="E600" s="8"/>
      <c r="F600" s="8"/>
      <c r="G600" s="8"/>
      <c r="H600" s="8"/>
    </row>
    <row r="601">
      <c r="B601" s="8"/>
      <c r="C601" s="8"/>
      <c r="D601" s="8"/>
      <c r="E601" s="8"/>
      <c r="F601" s="8"/>
      <c r="G601" s="8"/>
      <c r="H601" s="8"/>
    </row>
    <row r="602">
      <c r="B602" s="8"/>
      <c r="C602" s="8"/>
      <c r="D602" s="8"/>
      <c r="E602" s="8"/>
      <c r="F602" s="8"/>
      <c r="G602" s="8"/>
      <c r="H602" s="8"/>
    </row>
    <row r="603">
      <c r="B603" s="8"/>
      <c r="C603" s="8"/>
      <c r="D603" s="8"/>
      <c r="E603" s="8"/>
      <c r="F603" s="8"/>
      <c r="G603" s="8"/>
      <c r="H603" s="8"/>
    </row>
    <row r="604">
      <c r="B604" s="8"/>
      <c r="C604" s="8"/>
      <c r="D604" s="8"/>
      <c r="E604" s="8"/>
      <c r="F604" s="8"/>
      <c r="G604" s="8"/>
      <c r="H604" s="8"/>
    </row>
    <row r="605">
      <c r="B605" s="8"/>
      <c r="C605" s="8"/>
      <c r="D605" s="8"/>
      <c r="E605" s="8"/>
      <c r="F605" s="8"/>
      <c r="G605" s="8"/>
      <c r="H605" s="8"/>
    </row>
    <row r="606">
      <c r="B606" s="8"/>
      <c r="C606" s="8"/>
      <c r="D606" s="8"/>
      <c r="E606" s="8"/>
      <c r="F606" s="8"/>
      <c r="G606" s="8"/>
      <c r="H606" s="8"/>
    </row>
    <row r="607">
      <c r="B607" s="8"/>
      <c r="C607" s="8"/>
      <c r="D607" s="8"/>
      <c r="E607" s="8"/>
      <c r="F607" s="8"/>
      <c r="G607" s="8"/>
      <c r="H607" s="8"/>
    </row>
    <row r="608">
      <c r="B608" s="8"/>
      <c r="C608" s="8"/>
      <c r="D608" s="8"/>
      <c r="E608" s="8"/>
      <c r="F608" s="8"/>
      <c r="G608" s="8"/>
      <c r="H608" s="8"/>
    </row>
    <row r="609">
      <c r="B609" s="8"/>
      <c r="C609" s="8"/>
      <c r="D609" s="8"/>
      <c r="E609" s="8"/>
      <c r="F609" s="8"/>
      <c r="G609" s="8"/>
      <c r="H609" s="8"/>
    </row>
    <row r="610">
      <c r="B610" s="8"/>
      <c r="C610" s="8"/>
      <c r="D610" s="8"/>
      <c r="E610" s="8"/>
      <c r="F610" s="8"/>
      <c r="G610" s="8"/>
      <c r="H610" s="8"/>
    </row>
    <row r="611">
      <c r="B611" s="8"/>
      <c r="C611" s="8"/>
      <c r="D611" s="8"/>
      <c r="E611" s="8"/>
      <c r="F611" s="8"/>
      <c r="G611" s="8"/>
      <c r="H611" s="8"/>
    </row>
    <row r="612">
      <c r="B612" s="8"/>
      <c r="C612" s="8"/>
      <c r="D612" s="8"/>
      <c r="E612" s="8"/>
      <c r="F612" s="8"/>
      <c r="G612" s="8"/>
      <c r="H612" s="8"/>
    </row>
    <row r="613">
      <c r="B613" s="8"/>
      <c r="C613" s="8"/>
      <c r="D613" s="8"/>
      <c r="E613" s="8"/>
      <c r="F613" s="8"/>
      <c r="G613" s="8"/>
      <c r="H613" s="8"/>
    </row>
    <row r="614">
      <c r="B614" s="8"/>
      <c r="C614" s="8"/>
      <c r="D614" s="8"/>
      <c r="E614" s="8"/>
      <c r="F614" s="8"/>
      <c r="G614" s="8"/>
      <c r="H614" s="8"/>
    </row>
    <row r="615">
      <c r="B615" s="8"/>
      <c r="C615" s="8"/>
      <c r="D615" s="8"/>
      <c r="E615" s="8"/>
      <c r="F615" s="8"/>
      <c r="G615" s="8"/>
      <c r="H615" s="8"/>
    </row>
    <row r="616">
      <c r="B616" s="8"/>
      <c r="C616" s="8"/>
      <c r="D616" s="8"/>
      <c r="E616" s="8"/>
      <c r="F616" s="8"/>
      <c r="G616" s="8"/>
      <c r="H616" s="8"/>
    </row>
    <row r="617">
      <c r="B617" s="8"/>
      <c r="C617" s="8"/>
      <c r="D617" s="8"/>
      <c r="E617" s="8"/>
      <c r="F617" s="8"/>
      <c r="G617" s="8"/>
      <c r="H617" s="8"/>
    </row>
    <row r="618">
      <c r="B618" s="8"/>
      <c r="C618" s="8"/>
      <c r="D618" s="8"/>
      <c r="E618" s="8"/>
      <c r="F618" s="8"/>
      <c r="G618" s="8"/>
      <c r="H618" s="8"/>
    </row>
    <row r="619">
      <c r="B619" s="8"/>
      <c r="C619" s="8"/>
      <c r="D619" s="8"/>
      <c r="E619" s="8"/>
      <c r="F619" s="8"/>
      <c r="G619" s="8"/>
      <c r="H619" s="8"/>
    </row>
    <row r="620">
      <c r="B620" s="8"/>
      <c r="C620" s="8"/>
      <c r="D620" s="8"/>
      <c r="E620" s="8"/>
      <c r="F620" s="8"/>
      <c r="G620" s="8"/>
      <c r="H620" s="8"/>
    </row>
    <row r="621">
      <c r="B621" s="8"/>
      <c r="C621" s="8"/>
      <c r="D621" s="8"/>
      <c r="E621" s="8"/>
      <c r="F621" s="8"/>
      <c r="G621" s="8"/>
      <c r="H621" s="8"/>
    </row>
    <row r="622">
      <c r="B622" s="8"/>
      <c r="C622" s="8"/>
      <c r="D622" s="8"/>
      <c r="E622" s="8"/>
      <c r="F622" s="8"/>
      <c r="G622" s="8"/>
      <c r="H622" s="8"/>
    </row>
    <row r="623">
      <c r="B623" s="8"/>
      <c r="C623" s="8"/>
      <c r="D623" s="8"/>
      <c r="E623" s="8"/>
      <c r="F623" s="8"/>
      <c r="G623" s="8"/>
      <c r="H623" s="8"/>
    </row>
    <row r="624">
      <c r="B624" s="8"/>
      <c r="C624" s="8"/>
      <c r="D624" s="8"/>
      <c r="E624" s="8"/>
      <c r="F624" s="8"/>
      <c r="G624" s="8"/>
      <c r="H624" s="8"/>
    </row>
    <row r="625">
      <c r="B625" s="8"/>
      <c r="C625" s="8"/>
      <c r="D625" s="8"/>
      <c r="E625" s="8"/>
      <c r="F625" s="8"/>
      <c r="G625" s="8"/>
      <c r="H625" s="8"/>
    </row>
    <row r="626">
      <c r="B626" s="8"/>
      <c r="C626" s="8"/>
      <c r="D626" s="8"/>
      <c r="E626" s="8"/>
      <c r="F626" s="8"/>
      <c r="G626" s="8"/>
      <c r="H626" s="8"/>
    </row>
    <row r="627">
      <c r="B627" s="8"/>
      <c r="C627" s="8"/>
      <c r="D627" s="8"/>
      <c r="E627" s="8"/>
      <c r="F627" s="8"/>
      <c r="G627" s="8"/>
      <c r="H627" s="8"/>
    </row>
    <row r="628">
      <c r="B628" s="8"/>
      <c r="C628" s="8"/>
      <c r="D628" s="8"/>
      <c r="E628" s="8"/>
      <c r="F628" s="8"/>
      <c r="G628" s="8"/>
      <c r="H628" s="8"/>
    </row>
    <row r="629">
      <c r="B629" s="8"/>
      <c r="C629" s="8"/>
      <c r="D629" s="8"/>
      <c r="E629" s="8"/>
      <c r="F629" s="8"/>
      <c r="G629" s="8"/>
      <c r="H629" s="8"/>
    </row>
    <row r="630">
      <c r="B630" s="8"/>
      <c r="C630" s="8"/>
      <c r="D630" s="8"/>
      <c r="E630" s="8"/>
      <c r="F630" s="8"/>
      <c r="G630" s="8"/>
      <c r="H630" s="8"/>
    </row>
    <row r="631">
      <c r="B631" s="8"/>
      <c r="C631" s="8"/>
      <c r="D631" s="8"/>
      <c r="E631" s="8"/>
      <c r="F631" s="8"/>
      <c r="G631" s="8"/>
      <c r="H631" s="8"/>
    </row>
    <row r="632">
      <c r="B632" s="8"/>
      <c r="C632" s="8"/>
      <c r="D632" s="8"/>
      <c r="E632" s="8"/>
      <c r="F632" s="8"/>
      <c r="G632" s="8"/>
      <c r="H632" s="8"/>
    </row>
    <row r="633">
      <c r="B633" s="8"/>
      <c r="C633" s="8"/>
      <c r="D633" s="8"/>
      <c r="E633" s="8"/>
      <c r="F633" s="8"/>
      <c r="G633" s="8"/>
      <c r="H633" s="8"/>
    </row>
    <row r="634">
      <c r="B634" s="8"/>
      <c r="C634" s="8"/>
      <c r="D634" s="8"/>
      <c r="E634" s="8"/>
      <c r="F634" s="8"/>
      <c r="G634" s="8"/>
      <c r="H634" s="8"/>
    </row>
    <row r="635">
      <c r="B635" s="8"/>
      <c r="C635" s="8"/>
      <c r="D635" s="8"/>
      <c r="E635" s="8"/>
      <c r="F635" s="8"/>
      <c r="G635" s="8"/>
      <c r="H635" s="8"/>
    </row>
    <row r="636">
      <c r="B636" s="8"/>
      <c r="C636" s="8"/>
      <c r="D636" s="8"/>
      <c r="E636" s="8"/>
      <c r="F636" s="8"/>
      <c r="G636" s="8"/>
      <c r="H636" s="8"/>
    </row>
    <row r="637">
      <c r="B637" s="8"/>
      <c r="C637" s="8"/>
      <c r="D637" s="8"/>
      <c r="E637" s="8"/>
      <c r="F637" s="8"/>
      <c r="G637" s="8"/>
      <c r="H637" s="8"/>
    </row>
    <row r="638">
      <c r="B638" s="8"/>
      <c r="C638" s="8"/>
      <c r="D638" s="8"/>
      <c r="E638" s="8"/>
      <c r="F638" s="8"/>
      <c r="G638" s="8"/>
      <c r="H638" s="8"/>
    </row>
    <row r="639">
      <c r="B639" s="8"/>
      <c r="C639" s="8"/>
      <c r="D639" s="8"/>
      <c r="E639" s="8"/>
      <c r="F639" s="8"/>
      <c r="G639" s="8"/>
      <c r="H639" s="8"/>
    </row>
    <row r="640">
      <c r="B640" s="8"/>
      <c r="C640" s="8"/>
      <c r="D640" s="8"/>
      <c r="E640" s="8"/>
      <c r="F640" s="8"/>
      <c r="G640" s="8"/>
      <c r="H640" s="8"/>
    </row>
    <row r="641">
      <c r="B641" s="8"/>
      <c r="C641" s="8"/>
      <c r="D641" s="8"/>
      <c r="E641" s="8"/>
      <c r="F641" s="8"/>
      <c r="G641" s="8"/>
      <c r="H641" s="8"/>
    </row>
    <row r="642">
      <c r="B642" s="8"/>
      <c r="C642" s="8"/>
      <c r="D642" s="8"/>
      <c r="E642" s="8"/>
      <c r="F642" s="8"/>
      <c r="G642" s="8"/>
      <c r="H642" s="8"/>
    </row>
    <row r="643">
      <c r="B643" s="8"/>
      <c r="C643" s="8"/>
      <c r="D643" s="8"/>
      <c r="E643" s="8"/>
      <c r="F643" s="8"/>
      <c r="G643" s="8"/>
      <c r="H643" s="8"/>
    </row>
    <row r="644">
      <c r="B644" s="8"/>
      <c r="C644" s="8"/>
      <c r="D644" s="8"/>
      <c r="E644" s="8"/>
      <c r="F644" s="8"/>
      <c r="G644" s="8"/>
      <c r="H644" s="8"/>
    </row>
    <row r="645">
      <c r="B645" s="8"/>
      <c r="C645" s="8"/>
      <c r="D645" s="8"/>
      <c r="E645" s="8"/>
      <c r="F645" s="8"/>
      <c r="G645" s="8"/>
      <c r="H645" s="8"/>
    </row>
    <row r="646">
      <c r="B646" s="8"/>
      <c r="C646" s="8"/>
      <c r="D646" s="8"/>
      <c r="E646" s="8"/>
      <c r="F646" s="8"/>
      <c r="G646" s="8"/>
      <c r="H646" s="8"/>
    </row>
    <row r="647">
      <c r="B647" s="8"/>
      <c r="C647" s="8"/>
      <c r="D647" s="8"/>
      <c r="E647" s="8"/>
      <c r="F647" s="8"/>
      <c r="G647" s="8"/>
      <c r="H647" s="8"/>
    </row>
    <row r="648">
      <c r="B648" s="8"/>
      <c r="C648" s="8"/>
      <c r="D648" s="8"/>
      <c r="E648" s="8"/>
      <c r="F648" s="8"/>
      <c r="G648" s="8"/>
      <c r="H648" s="8"/>
    </row>
    <row r="649">
      <c r="B649" s="8"/>
      <c r="C649" s="8"/>
      <c r="D649" s="8"/>
      <c r="E649" s="8"/>
      <c r="F649" s="8"/>
      <c r="G649" s="8"/>
      <c r="H649" s="8"/>
    </row>
    <row r="650">
      <c r="B650" s="8"/>
      <c r="C650" s="8"/>
      <c r="D650" s="8"/>
      <c r="E650" s="8"/>
      <c r="F650" s="8"/>
      <c r="G650" s="8"/>
      <c r="H650" s="8"/>
    </row>
    <row r="651">
      <c r="B651" s="8"/>
      <c r="C651" s="8"/>
      <c r="D651" s="8"/>
      <c r="E651" s="8"/>
      <c r="F651" s="8"/>
      <c r="G651" s="8"/>
      <c r="H651" s="8"/>
    </row>
    <row r="652">
      <c r="B652" s="8"/>
      <c r="C652" s="8"/>
      <c r="D652" s="8"/>
      <c r="E652" s="8"/>
      <c r="F652" s="8"/>
      <c r="G652" s="8"/>
      <c r="H652" s="8"/>
    </row>
    <row r="653">
      <c r="B653" s="8"/>
      <c r="C653" s="8"/>
      <c r="D653" s="8"/>
      <c r="E653" s="8"/>
      <c r="F653" s="8"/>
      <c r="G653" s="8"/>
      <c r="H653" s="8"/>
    </row>
    <row r="654">
      <c r="B654" s="8"/>
      <c r="C654" s="8"/>
      <c r="D654" s="8"/>
      <c r="E654" s="8"/>
      <c r="F654" s="8"/>
      <c r="G654" s="8"/>
      <c r="H654" s="8"/>
    </row>
    <row r="655">
      <c r="B655" s="8"/>
      <c r="C655" s="8"/>
      <c r="D655" s="8"/>
      <c r="E655" s="8"/>
      <c r="F655" s="8"/>
      <c r="G655" s="8"/>
      <c r="H655" s="8"/>
    </row>
    <row r="656">
      <c r="B656" s="8"/>
      <c r="C656" s="8"/>
      <c r="D656" s="8"/>
      <c r="E656" s="8"/>
      <c r="F656" s="8"/>
      <c r="G656" s="8"/>
      <c r="H656" s="8"/>
    </row>
    <row r="657">
      <c r="B657" s="8"/>
      <c r="C657" s="8"/>
      <c r="D657" s="8"/>
      <c r="E657" s="8"/>
      <c r="F657" s="8"/>
      <c r="G657" s="8"/>
      <c r="H657" s="8"/>
    </row>
    <row r="658">
      <c r="B658" s="8"/>
      <c r="C658" s="8"/>
      <c r="D658" s="8"/>
      <c r="E658" s="8"/>
      <c r="F658" s="8"/>
      <c r="G658" s="8"/>
      <c r="H658" s="8"/>
    </row>
    <row r="659">
      <c r="B659" s="8"/>
      <c r="C659" s="8"/>
      <c r="D659" s="8"/>
      <c r="E659" s="8"/>
      <c r="F659" s="8"/>
      <c r="G659" s="8"/>
      <c r="H659" s="8"/>
    </row>
    <row r="660">
      <c r="B660" s="8"/>
      <c r="C660" s="8"/>
      <c r="D660" s="8"/>
      <c r="E660" s="8"/>
      <c r="F660" s="8"/>
      <c r="G660" s="8"/>
      <c r="H660" s="8"/>
    </row>
    <row r="661">
      <c r="B661" s="8"/>
      <c r="C661" s="8"/>
      <c r="D661" s="8"/>
      <c r="E661" s="8"/>
      <c r="F661" s="8"/>
      <c r="G661" s="8"/>
      <c r="H661" s="8"/>
    </row>
    <row r="662">
      <c r="B662" s="8"/>
      <c r="C662" s="8"/>
      <c r="D662" s="8"/>
      <c r="E662" s="8"/>
      <c r="F662" s="8"/>
      <c r="G662" s="8"/>
      <c r="H662" s="8"/>
    </row>
    <row r="663">
      <c r="B663" s="8"/>
      <c r="C663" s="8"/>
      <c r="D663" s="8"/>
      <c r="E663" s="8"/>
      <c r="F663" s="8"/>
      <c r="G663" s="8"/>
      <c r="H663" s="8"/>
    </row>
    <row r="664">
      <c r="B664" s="8"/>
      <c r="C664" s="8"/>
      <c r="D664" s="8"/>
      <c r="E664" s="8"/>
      <c r="F664" s="8"/>
      <c r="G664" s="8"/>
      <c r="H664" s="8"/>
    </row>
    <row r="665">
      <c r="B665" s="8"/>
      <c r="C665" s="8"/>
      <c r="D665" s="8"/>
      <c r="E665" s="8"/>
      <c r="F665" s="8"/>
      <c r="G665" s="8"/>
      <c r="H665" s="8"/>
    </row>
    <row r="666">
      <c r="B666" s="8"/>
      <c r="C666" s="8"/>
      <c r="D666" s="8"/>
      <c r="E666" s="8"/>
      <c r="F666" s="8"/>
      <c r="G666" s="8"/>
      <c r="H666" s="8"/>
    </row>
    <row r="667">
      <c r="B667" s="8"/>
      <c r="C667" s="8"/>
      <c r="D667" s="8"/>
      <c r="E667" s="8"/>
      <c r="F667" s="8"/>
      <c r="G667" s="8"/>
      <c r="H667" s="8"/>
    </row>
    <row r="668">
      <c r="B668" s="8"/>
      <c r="C668" s="8"/>
      <c r="D668" s="8"/>
      <c r="E668" s="8"/>
      <c r="F668" s="8"/>
      <c r="G668" s="8"/>
      <c r="H668" s="8"/>
    </row>
    <row r="669">
      <c r="B669" s="8"/>
      <c r="C669" s="8"/>
      <c r="D669" s="8"/>
      <c r="E669" s="8"/>
      <c r="F669" s="8"/>
      <c r="G669" s="8"/>
      <c r="H669" s="8"/>
    </row>
    <row r="670">
      <c r="B670" s="8"/>
      <c r="C670" s="8"/>
      <c r="D670" s="8"/>
      <c r="E670" s="8"/>
      <c r="F670" s="8"/>
      <c r="G670" s="8"/>
      <c r="H670" s="8"/>
    </row>
    <row r="671">
      <c r="B671" s="8"/>
      <c r="C671" s="8"/>
      <c r="D671" s="8"/>
      <c r="E671" s="8"/>
      <c r="F671" s="8"/>
      <c r="G671" s="8"/>
      <c r="H671" s="8"/>
    </row>
    <row r="672">
      <c r="B672" s="8"/>
      <c r="C672" s="8"/>
      <c r="D672" s="8"/>
      <c r="E672" s="8"/>
      <c r="F672" s="8"/>
      <c r="G672" s="8"/>
      <c r="H672" s="8"/>
    </row>
    <row r="673">
      <c r="B673" s="8"/>
      <c r="C673" s="8"/>
      <c r="D673" s="8"/>
      <c r="E673" s="8"/>
      <c r="F673" s="8"/>
      <c r="G673" s="8"/>
      <c r="H673" s="8"/>
    </row>
    <row r="674">
      <c r="B674" s="8"/>
      <c r="C674" s="8"/>
      <c r="D674" s="8"/>
      <c r="E674" s="8"/>
      <c r="F674" s="8"/>
      <c r="G674" s="8"/>
      <c r="H674" s="8"/>
    </row>
    <row r="675">
      <c r="B675" s="8"/>
      <c r="C675" s="8"/>
      <c r="D675" s="8"/>
      <c r="E675" s="8"/>
      <c r="F675" s="8"/>
      <c r="G675" s="8"/>
      <c r="H675" s="8"/>
    </row>
    <row r="676">
      <c r="B676" s="8"/>
      <c r="C676" s="8"/>
      <c r="D676" s="8"/>
      <c r="E676" s="8"/>
      <c r="F676" s="8"/>
      <c r="G676" s="8"/>
      <c r="H676" s="8"/>
    </row>
    <row r="677">
      <c r="B677" s="8"/>
      <c r="C677" s="8"/>
      <c r="D677" s="8"/>
      <c r="E677" s="8"/>
      <c r="F677" s="8"/>
      <c r="G677" s="8"/>
      <c r="H677" s="8"/>
    </row>
    <row r="678">
      <c r="B678" s="8"/>
      <c r="C678" s="8"/>
      <c r="D678" s="8"/>
      <c r="E678" s="8"/>
      <c r="F678" s="8"/>
      <c r="G678" s="8"/>
      <c r="H678" s="8"/>
    </row>
    <row r="679">
      <c r="B679" s="8"/>
      <c r="C679" s="8"/>
      <c r="D679" s="8"/>
      <c r="E679" s="8"/>
      <c r="F679" s="8"/>
      <c r="G679" s="8"/>
      <c r="H679" s="8"/>
    </row>
    <row r="680">
      <c r="B680" s="8"/>
      <c r="C680" s="8"/>
      <c r="D680" s="8"/>
      <c r="E680" s="8"/>
      <c r="F680" s="8"/>
      <c r="G680" s="8"/>
      <c r="H680" s="8"/>
    </row>
    <row r="681">
      <c r="B681" s="8"/>
      <c r="C681" s="8"/>
      <c r="D681" s="8"/>
      <c r="E681" s="8"/>
      <c r="F681" s="8"/>
      <c r="G681" s="8"/>
      <c r="H681" s="8"/>
    </row>
    <row r="682">
      <c r="B682" s="8"/>
      <c r="C682" s="8"/>
      <c r="D682" s="8"/>
      <c r="E682" s="8"/>
      <c r="F682" s="8"/>
      <c r="G682" s="8"/>
      <c r="H682" s="8"/>
    </row>
    <row r="683">
      <c r="B683" s="8"/>
      <c r="C683" s="8"/>
      <c r="D683" s="8"/>
      <c r="E683" s="8"/>
      <c r="F683" s="8"/>
      <c r="G683" s="8"/>
      <c r="H683" s="8"/>
    </row>
    <row r="684">
      <c r="B684" s="8"/>
      <c r="C684" s="8"/>
      <c r="D684" s="8"/>
      <c r="E684" s="8"/>
      <c r="F684" s="8"/>
      <c r="G684" s="8"/>
      <c r="H684" s="8"/>
    </row>
    <row r="685">
      <c r="B685" s="8"/>
      <c r="C685" s="8"/>
      <c r="D685" s="8"/>
      <c r="E685" s="8"/>
      <c r="F685" s="8"/>
      <c r="G685" s="8"/>
      <c r="H685" s="8"/>
    </row>
    <row r="686">
      <c r="B686" s="8"/>
      <c r="C686" s="8"/>
      <c r="D686" s="8"/>
      <c r="E686" s="8"/>
      <c r="F686" s="8"/>
      <c r="G686" s="8"/>
      <c r="H686" s="8"/>
    </row>
    <row r="687">
      <c r="B687" s="8"/>
      <c r="C687" s="8"/>
      <c r="D687" s="8"/>
      <c r="E687" s="8"/>
      <c r="F687" s="8"/>
      <c r="G687" s="8"/>
      <c r="H687" s="8"/>
    </row>
    <row r="688">
      <c r="B688" s="8"/>
      <c r="C688" s="8"/>
      <c r="D688" s="8"/>
      <c r="E688" s="8"/>
      <c r="F688" s="8"/>
      <c r="G688" s="8"/>
      <c r="H688" s="8"/>
    </row>
    <row r="689">
      <c r="B689" s="8"/>
      <c r="C689" s="8"/>
      <c r="D689" s="8"/>
      <c r="E689" s="8"/>
      <c r="F689" s="8"/>
      <c r="G689" s="8"/>
      <c r="H689" s="8"/>
    </row>
    <row r="690">
      <c r="B690" s="8"/>
      <c r="C690" s="8"/>
      <c r="D690" s="8"/>
      <c r="E690" s="8"/>
      <c r="F690" s="8"/>
      <c r="G690" s="8"/>
      <c r="H690" s="8"/>
    </row>
    <row r="691">
      <c r="B691" s="8"/>
      <c r="C691" s="8"/>
      <c r="D691" s="8"/>
      <c r="E691" s="8"/>
      <c r="F691" s="8"/>
      <c r="G691" s="8"/>
      <c r="H691" s="8"/>
    </row>
    <row r="692">
      <c r="B692" s="8"/>
      <c r="C692" s="8"/>
      <c r="D692" s="8"/>
      <c r="E692" s="8"/>
      <c r="F692" s="8"/>
      <c r="G692" s="8"/>
      <c r="H692" s="8"/>
    </row>
    <row r="693">
      <c r="B693" s="8"/>
      <c r="C693" s="8"/>
      <c r="D693" s="8"/>
      <c r="E693" s="8"/>
      <c r="F693" s="8"/>
      <c r="G693" s="8"/>
      <c r="H693" s="8"/>
    </row>
    <row r="694">
      <c r="B694" s="8"/>
      <c r="C694" s="8"/>
      <c r="D694" s="8"/>
      <c r="E694" s="8"/>
      <c r="F694" s="8"/>
      <c r="G694" s="8"/>
      <c r="H694" s="8"/>
    </row>
    <row r="695">
      <c r="B695" s="8"/>
      <c r="C695" s="8"/>
      <c r="D695" s="8"/>
      <c r="E695" s="8"/>
      <c r="F695" s="8"/>
      <c r="G695" s="8"/>
      <c r="H695" s="8"/>
    </row>
    <row r="696">
      <c r="B696" s="8"/>
      <c r="C696" s="8"/>
      <c r="D696" s="8"/>
      <c r="E696" s="8"/>
      <c r="F696" s="8"/>
      <c r="G696" s="8"/>
      <c r="H696" s="8"/>
    </row>
    <row r="697">
      <c r="B697" s="8"/>
      <c r="C697" s="8"/>
      <c r="D697" s="8"/>
      <c r="E697" s="8"/>
      <c r="F697" s="8"/>
      <c r="G697" s="8"/>
      <c r="H697" s="8"/>
    </row>
    <row r="698">
      <c r="B698" s="8"/>
      <c r="C698" s="8"/>
      <c r="D698" s="8"/>
      <c r="E698" s="8"/>
      <c r="F698" s="8"/>
      <c r="G698" s="8"/>
      <c r="H698" s="8"/>
    </row>
    <row r="699">
      <c r="B699" s="8"/>
      <c r="C699" s="8"/>
      <c r="D699" s="8"/>
      <c r="E699" s="8"/>
      <c r="F699" s="8"/>
      <c r="G699" s="8"/>
      <c r="H699" s="8"/>
    </row>
    <row r="700">
      <c r="B700" s="8"/>
      <c r="C700" s="8"/>
      <c r="D700" s="8"/>
      <c r="E700" s="8"/>
      <c r="F700" s="8"/>
      <c r="G700" s="8"/>
      <c r="H700" s="8"/>
    </row>
    <row r="701">
      <c r="B701" s="8"/>
      <c r="C701" s="8"/>
      <c r="D701" s="8"/>
      <c r="E701" s="8"/>
      <c r="F701" s="8"/>
      <c r="G701" s="8"/>
      <c r="H701" s="8"/>
    </row>
    <row r="702">
      <c r="B702" s="8"/>
      <c r="C702" s="8"/>
      <c r="D702" s="8"/>
      <c r="E702" s="8"/>
      <c r="F702" s="8"/>
      <c r="G702" s="8"/>
      <c r="H702" s="8"/>
    </row>
    <row r="703">
      <c r="B703" s="8"/>
      <c r="C703" s="8"/>
      <c r="D703" s="8"/>
      <c r="E703" s="8"/>
      <c r="F703" s="8"/>
      <c r="G703" s="8"/>
      <c r="H703" s="8"/>
    </row>
    <row r="704">
      <c r="B704" s="8"/>
      <c r="C704" s="8"/>
      <c r="D704" s="8"/>
      <c r="E704" s="8"/>
      <c r="F704" s="8"/>
      <c r="G704" s="8"/>
      <c r="H704" s="8"/>
    </row>
    <row r="705">
      <c r="B705" s="8"/>
      <c r="C705" s="8"/>
      <c r="D705" s="8"/>
      <c r="E705" s="8"/>
      <c r="F705" s="8"/>
      <c r="G705" s="8"/>
      <c r="H705" s="8"/>
    </row>
    <row r="706">
      <c r="B706" s="8"/>
      <c r="C706" s="8"/>
      <c r="D706" s="8"/>
      <c r="E706" s="8"/>
      <c r="F706" s="8"/>
      <c r="G706" s="8"/>
      <c r="H706" s="8"/>
    </row>
    <row r="707">
      <c r="B707" s="8"/>
      <c r="C707" s="8"/>
      <c r="D707" s="8"/>
      <c r="E707" s="8"/>
      <c r="F707" s="8"/>
      <c r="G707" s="8"/>
      <c r="H707" s="8"/>
    </row>
    <row r="708">
      <c r="B708" s="8"/>
      <c r="C708" s="8"/>
      <c r="D708" s="8"/>
      <c r="E708" s="8"/>
      <c r="F708" s="8"/>
      <c r="G708" s="8"/>
      <c r="H708" s="8"/>
    </row>
    <row r="709">
      <c r="B709" s="8"/>
      <c r="C709" s="8"/>
      <c r="D709" s="8"/>
      <c r="E709" s="8"/>
      <c r="F709" s="8"/>
      <c r="G709" s="8"/>
      <c r="H709" s="8"/>
    </row>
    <row r="710">
      <c r="B710" s="8"/>
      <c r="C710" s="8"/>
      <c r="D710" s="8"/>
      <c r="E710" s="8"/>
      <c r="F710" s="8"/>
      <c r="G710" s="8"/>
      <c r="H710" s="8"/>
    </row>
    <row r="711">
      <c r="B711" s="8"/>
      <c r="C711" s="8"/>
      <c r="D711" s="8"/>
      <c r="E711" s="8"/>
      <c r="F711" s="8"/>
      <c r="G711" s="8"/>
      <c r="H711" s="8"/>
    </row>
    <row r="712">
      <c r="B712" s="8"/>
      <c r="C712" s="8"/>
      <c r="D712" s="8"/>
      <c r="E712" s="8"/>
      <c r="F712" s="8"/>
      <c r="G712" s="8"/>
      <c r="H712" s="8"/>
    </row>
    <row r="713">
      <c r="B713" s="8"/>
      <c r="C713" s="8"/>
      <c r="D713" s="8"/>
      <c r="E713" s="8"/>
      <c r="F713" s="8"/>
      <c r="G713" s="8"/>
      <c r="H713" s="8"/>
    </row>
    <row r="714">
      <c r="B714" s="8"/>
      <c r="C714" s="8"/>
      <c r="D714" s="8"/>
      <c r="E714" s="8"/>
      <c r="F714" s="8"/>
      <c r="G714" s="8"/>
      <c r="H714" s="8"/>
    </row>
    <row r="715">
      <c r="B715" s="8"/>
      <c r="C715" s="8"/>
      <c r="D715" s="8"/>
      <c r="E715" s="8"/>
      <c r="F715" s="8"/>
      <c r="G715" s="8"/>
      <c r="H715" s="8"/>
    </row>
    <row r="716">
      <c r="B716" s="8"/>
      <c r="C716" s="8"/>
      <c r="D716" s="8"/>
      <c r="E716" s="8"/>
      <c r="F716" s="8"/>
      <c r="G716" s="8"/>
      <c r="H716" s="8"/>
    </row>
    <row r="717">
      <c r="B717" s="8"/>
      <c r="C717" s="8"/>
      <c r="D717" s="8"/>
      <c r="E717" s="8"/>
      <c r="F717" s="8"/>
      <c r="G717" s="8"/>
      <c r="H717" s="8"/>
    </row>
    <row r="718">
      <c r="B718" s="8"/>
      <c r="C718" s="8"/>
      <c r="D718" s="8"/>
      <c r="E718" s="8"/>
      <c r="F718" s="8"/>
      <c r="G718" s="8"/>
      <c r="H718" s="8"/>
    </row>
    <row r="719">
      <c r="B719" s="8"/>
      <c r="C719" s="8"/>
      <c r="D719" s="8"/>
      <c r="E719" s="8"/>
      <c r="F719" s="8"/>
      <c r="G719" s="8"/>
      <c r="H719" s="8"/>
    </row>
    <row r="720">
      <c r="B720" s="8"/>
      <c r="C720" s="8"/>
      <c r="D720" s="8"/>
      <c r="E720" s="8"/>
      <c r="F720" s="8"/>
      <c r="G720" s="8"/>
      <c r="H720" s="8"/>
    </row>
    <row r="721">
      <c r="B721" s="8"/>
      <c r="C721" s="8"/>
      <c r="D721" s="8"/>
      <c r="E721" s="8"/>
      <c r="F721" s="8"/>
      <c r="G721" s="8"/>
      <c r="H721" s="8"/>
    </row>
    <row r="722">
      <c r="B722" s="8"/>
      <c r="C722" s="8"/>
      <c r="D722" s="8"/>
      <c r="E722" s="8"/>
      <c r="F722" s="8"/>
      <c r="G722" s="8"/>
      <c r="H722" s="8"/>
    </row>
    <row r="723">
      <c r="B723" s="8"/>
      <c r="C723" s="8"/>
      <c r="D723" s="8"/>
      <c r="E723" s="8"/>
      <c r="F723" s="8"/>
      <c r="G723" s="8"/>
      <c r="H723" s="8"/>
    </row>
    <row r="724">
      <c r="B724" s="8"/>
      <c r="C724" s="8"/>
      <c r="D724" s="8"/>
      <c r="E724" s="8"/>
      <c r="F724" s="8"/>
      <c r="G724" s="8"/>
      <c r="H724" s="8"/>
    </row>
    <row r="725">
      <c r="B725" s="8"/>
      <c r="C725" s="8"/>
      <c r="D725" s="8"/>
      <c r="E725" s="8"/>
      <c r="F725" s="8"/>
      <c r="G725" s="8"/>
      <c r="H725" s="8"/>
    </row>
    <row r="726">
      <c r="B726" s="8"/>
      <c r="C726" s="8"/>
      <c r="D726" s="8"/>
      <c r="E726" s="8"/>
      <c r="F726" s="8"/>
      <c r="G726" s="8"/>
      <c r="H726" s="8"/>
    </row>
    <row r="727">
      <c r="B727" s="8"/>
      <c r="C727" s="8"/>
      <c r="D727" s="8"/>
      <c r="E727" s="8"/>
      <c r="F727" s="8"/>
      <c r="G727" s="8"/>
      <c r="H727" s="8"/>
    </row>
    <row r="728">
      <c r="B728" s="8"/>
      <c r="C728" s="8"/>
      <c r="D728" s="8"/>
      <c r="E728" s="8"/>
      <c r="F728" s="8"/>
      <c r="G728" s="8"/>
      <c r="H728" s="8"/>
    </row>
    <row r="729">
      <c r="B729" s="8"/>
      <c r="C729" s="8"/>
      <c r="D729" s="8"/>
      <c r="E729" s="8"/>
      <c r="F729" s="8"/>
      <c r="G729" s="8"/>
      <c r="H729" s="8"/>
    </row>
    <row r="730">
      <c r="B730" s="8"/>
      <c r="C730" s="8"/>
      <c r="D730" s="8"/>
      <c r="E730" s="8"/>
      <c r="F730" s="8"/>
      <c r="G730" s="8"/>
      <c r="H730" s="8"/>
    </row>
    <row r="731">
      <c r="B731" s="8"/>
      <c r="C731" s="8"/>
      <c r="D731" s="8"/>
      <c r="E731" s="8"/>
      <c r="F731" s="8"/>
      <c r="G731" s="8"/>
      <c r="H731" s="8"/>
    </row>
    <row r="732">
      <c r="B732" s="8"/>
      <c r="C732" s="8"/>
      <c r="D732" s="8"/>
      <c r="E732" s="8"/>
      <c r="F732" s="8"/>
      <c r="G732" s="8"/>
      <c r="H732" s="8"/>
    </row>
    <row r="733">
      <c r="B733" s="8"/>
      <c r="C733" s="8"/>
      <c r="D733" s="8"/>
      <c r="E733" s="8"/>
      <c r="F733" s="8"/>
      <c r="G733" s="8"/>
      <c r="H733" s="8"/>
    </row>
    <row r="734">
      <c r="B734" s="8"/>
      <c r="C734" s="8"/>
      <c r="D734" s="8"/>
      <c r="E734" s="8"/>
      <c r="F734" s="8"/>
      <c r="G734" s="8"/>
      <c r="H734" s="8"/>
    </row>
    <row r="735">
      <c r="B735" s="8"/>
      <c r="C735" s="8"/>
      <c r="D735" s="8"/>
      <c r="E735" s="8"/>
      <c r="F735" s="8"/>
      <c r="G735" s="8"/>
      <c r="H735" s="8"/>
    </row>
    <row r="736">
      <c r="B736" s="8"/>
      <c r="C736" s="8"/>
      <c r="D736" s="8"/>
      <c r="E736" s="8"/>
      <c r="F736" s="8"/>
      <c r="G736" s="8"/>
      <c r="H736" s="8"/>
    </row>
    <row r="737">
      <c r="B737" s="8"/>
      <c r="C737" s="8"/>
      <c r="D737" s="8"/>
      <c r="E737" s="8"/>
      <c r="F737" s="8"/>
      <c r="G737" s="8"/>
      <c r="H737" s="8"/>
    </row>
    <row r="738">
      <c r="B738" s="8"/>
      <c r="C738" s="8"/>
      <c r="D738" s="8"/>
      <c r="E738" s="8"/>
      <c r="F738" s="8"/>
      <c r="G738" s="8"/>
      <c r="H738" s="8"/>
    </row>
    <row r="739">
      <c r="B739" s="8"/>
      <c r="C739" s="8"/>
      <c r="D739" s="8"/>
      <c r="E739" s="8"/>
      <c r="F739" s="8"/>
      <c r="G739" s="8"/>
      <c r="H739" s="8"/>
    </row>
    <row r="740">
      <c r="B740" s="8"/>
      <c r="C740" s="8"/>
      <c r="D740" s="8"/>
      <c r="E740" s="8"/>
      <c r="F740" s="8"/>
      <c r="G740" s="8"/>
      <c r="H740" s="8"/>
    </row>
    <row r="741">
      <c r="B741" s="8"/>
      <c r="C741" s="8"/>
      <c r="D741" s="8"/>
      <c r="E741" s="8"/>
      <c r="F741" s="8"/>
      <c r="G741" s="8"/>
      <c r="H741" s="8"/>
    </row>
    <row r="742">
      <c r="B742" s="8"/>
      <c r="C742" s="8"/>
      <c r="D742" s="8"/>
      <c r="E742" s="8"/>
      <c r="F742" s="8"/>
      <c r="G742" s="8"/>
      <c r="H742" s="8"/>
    </row>
    <row r="743">
      <c r="B743" s="8"/>
      <c r="C743" s="8"/>
      <c r="D743" s="8"/>
      <c r="E743" s="8"/>
      <c r="F743" s="8"/>
      <c r="G743" s="8"/>
      <c r="H743" s="8"/>
    </row>
    <row r="744">
      <c r="B744" s="8"/>
      <c r="C744" s="8"/>
      <c r="D744" s="8"/>
      <c r="E744" s="8"/>
      <c r="F744" s="8"/>
      <c r="G744" s="8"/>
      <c r="H744" s="8"/>
    </row>
    <row r="745">
      <c r="B745" s="8"/>
      <c r="C745" s="8"/>
      <c r="D745" s="8"/>
      <c r="E745" s="8"/>
      <c r="F745" s="8"/>
      <c r="G745" s="8"/>
      <c r="H745" s="8"/>
    </row>
    <row r="746">
      <c r="B746" s="8"/>
      <c r="C746" s="8"/>
      <c r="D746" s="8"/>
      <c r="E746" s="8"/>
      <c r="F746" s="8"/>
      <c r="G746" s="8"/>
      <c r="H746" s="8"/>
    </row>
    <row r="747">
      <c r="B747" s="8"/>
      <c r="C747" s="8"/>
      <c r="D747" s="8"/>
      <c r="E747" s="8"/>
      <c r="F747" s="8"/>
      <c r="G747" s="8"/>
      <c r="H747" s="8"/>
    </row>
    <row r="748">
      <c r="B748" s="8"/>
      <c r="C748" s="8"/>
      <c r="D748" s="8"/>
      <c r="E748" s="8"/>
      <c r="F748" s="8"/>
      <c r="G748" s="8"/>
      <c r="H748" s="8"/>
    </row>
    <row r="749">
      <c r="B749" s="8"/>
      <c r="C749" s="8"/>
      <c r="D749" s="8"/>
      <c r="E749" s="8"/>
      <c r="F749" s="8"/>
      <c r="G749" s="8"/>
      <c r="H749" s="8"/>
    </row>
    <row r="750">
      <c r="B750" s="8"/>
      <c r="C750" s="8"/>
      <c r="D750" s="8"/>
      <c r="E750" s="8"/>
      <c r="F750" s="8"/>
      <c r="G750" s="8"/>
      <c r="H750" s="8"/>
    </row>
    <row r="751">
      <c r="B751" s="8"/>
      <c r="C751" s="8"/>
      <c r="D751" s="8"/>
      <c r="E751" s="8"/>
      <c r="F751" s="8"/>
      <c r="G751" s="8"/>
      <c r="H751" s="8"/>
    </row>
    <row r="752">
      <c r="B752" s="8"/>
      <c r="C752" s="8"/>
      <c r="D752" s="8"/>
      <c r="E752" s="8"/>
      <c r="F752" s="8"/>
      <c r="G752" s="8"/>
      <c r="H752" s="8"/>
    </row>
    <row r="753">
      <c r="B753" s="8"/>
      <c r="C753" s="8"/>
      <c r="D753" s="8"/>
      <c r="E753" s="8"/>
      <c r="F753" s="8"/>
      <c r="G753" s="8"/>
      <c r="H753" s="8"/>
    </row>
    <row r="754">
      <c r="B754" s="8"/>
      <c r="C754" s="8"/>
      <c r="D754" s="8"/>
      <c r="E754" s="8"/>
      <c r="F754" s="8"/>
      <c r="G754" s="8"/>
      <c r="H754" s="8"/>
    </row>
    <row r="755">
      <c r="B755" s="8"/>
      <c r="C755" s="8"/>
      <c r="D755" s="8"/>
      <c r="E755" s="8"/>
      <c r="F755" s="8"/>
      <c r="G755" s="8"/>
      <c r="H755" s="8"/>
    </row>
    <row r="756">
      <c r="B756" s="8"/>
      <c r="C756" s="8"/>
      <c r="D756" s="8"/>
      <c r="E756" s="8"/>
      <c r="F756" s="8"/>
      <c r="G756" s="8"/>
      <c r="H756" s="8"/>
    </row>
    <row r="757">
      <c r="B757" s="8"/>
      <c r="C757" s="8"/>
      <c r="D757" s="8"/>
      <c r="E757" s="8"/>
      <c r="F757" s="8"/>
      <c r="G757" s="8"/>
      <c r="H757" s="8"/>
    </row>
    <row r="758">
      <c r="B758" s="8"/>
      <c r="C758" s="8"/>
      <c r="D758" s="8"/>
      <c r="E758" s="8"/>
      <c r="F758" s="8"/>
      <c r="G758" s="8"/>
      <c r="H758" s="8"/>
    </row>
    <row r="759">
      <c r="B759" s="8"/>
      <c r="C759" s="8"/>
      <c r="D759" s="8"/>
      <c r="E759" s="8"/>
      <c r="F759" s="8"/>
      <c r="G759" s="8"/>
      <c r="H759" s="8"/>
    </row>
    <row r="760">
      <c r="B760" s="8"/>
      <c r="C760" s="8"/>
      <c r="D760" s="8"/>
      <c r="E760" s="8"/>
      <c r="F760" s="8"/>
      <c r="G760" s="8"/>
      <c r="H760" s="8"/>
    </row>
    <row r="761">
      <c r="B761" s="8"/>
      <c r="C761" s="8"/>
      <c r="D761" s="8"/>
      <c r="E761" s="8"/>
      <c r="F761" s="8"/>
      <c r="G761" s="8"/>
      <c r="H761" s="8"/>
    </row>
    <row r="762">
      <c r="B762" s="8"/>
      <c r="C762" s="8"/>
      <c r="D762" s="8"/>
      <c r="E762" s="8"/>
      <c r="F762" s="8"/>
      <c r="G762" s="8"/>
      <c r="H762" s="8"/>
    </row>
    <row r="763">
      <c r="B763" s="8"/>
      <c r="C763" s="8"/>
      <c r="D763" s="8"/>
      <c r="E763" s="8"/>
      <c r="F763" s="8"/>
      <c r="G763" s="8"/>
      <c r="H763" s="8"/>
    </row>
    <row r="764">
      <c r="B764" s="8"/>
      <c r="C764" s="8"/>
      <c r="D764" s="8"/>
      <c r="E764" s="8"/>
      <c r="F764" s="8"/>
      <c r="G764" s="8"/>
      <c r="H764" s="8"/>
    </row>
    <row r="765">
      <c r="B765" s="8"/>
      <c r="C765" s="8"/>
      <c r="D765" s="8"/>
      <c r="E765" s="8"/>
      <c r="F765" s="8"/>
      <c r="G765" s="8"/>
      <c r="H765" s="8"/>
    </row>
    <row r="766">
      <c r="B766" s="8"/>
      <c r="C766" s="8"/>
      <c r="D766" s="8"/>
      <c r="E766" s="8"/>
      <c r="F766" s="8"/>
      <c r="G766" s="8"/>
      <c r="H766" s="8"/>
    </row>
    <row r="767">
      <c r="B767" s="8"/>
      <c r="C767" s="8"/>
      <c r="D767" s="8"/>
      <c r="E767" s="8"/>
      <c r="F767" s="8"/>
      <c r="G767" s="8"/>
      <c r="H767" s="8"/>
    </row>
    <row r="768">
      <c r="B768" s="8"/>
      <c r="C768" s="8"/>
      <c r="D768" s="8"/>
      <c r="E768" s="8"/>
      <c r="F768" s="8"/>
      <c r="G768" s="8"/>
      <c r="H768" s="8"/>
    </row>
    <row r="769">
      <c r="B769" s="8"/>
      <c r="C769" s="8"/>
      <c r="D769" s="8"/>
      <c r="E769" s="8"/>
      <c r="F769" s="8"/>
      <c r="G769" s="8"/>
      <c r="H769" s="8"/>
    </row>
    <row r="770">
      <c r="B770" s="8"/>
      <c r="C770" s="8"/>
      <c r="D770" s="8"/>
      <c r="E770" s="8"/>
      <c r="F770" s="8"/>
      <c r="G770" s="8"/>
      <c r="H770" s="8"/>
    </row>
    <row r="771">
      <c r="B771" s="8"/>
      <c r="C771" s="8"/>
      <c r="D771" s="8"/>
      <c r="E771" s="8"/>
      <c r="F771" s="8"/>
      <c r="G771" s="8"/>
      <c r="H771" s="8"/>
    </row>
    <row r="772">
      <c r="B772" s="8"/>
      <c r="C772" s="8"/>
      <c r="D772" s="8"/>
      <c r="E772" s="8"/>
      <c r="F772" s="8"/>
      <c r="G772" s="8"/>
      <c r="H772" s="8"/>
    </row>
    <row r="773">
      <c r="B773" s="8"/>
      <c r="C773" s="8"/>
      <c r="D773" s="8"/>
      <c r="E773" s="8"/>
      <c r="F773" s="8"/>
      <c r="G773" s="8"/>
      <c r="H773" s="8"/>
    </row>
    <row r="774">
      <c r="B774" s="8"/>
      <c r="C774" s="8"/>
      <c r="D774" s="8"/>
      <c r="E774" s="8"/>
      <c r="F774" s="8"/>
      <c r="G774" s="8"/>
      <c r="H774" s="8"/>
    </row>
    <row r="775">
      <c r="B775" s="8"/>
      <c r="C775" s="8"/>
      <c r="D775" s="8"/>
      <c r="E775" s="8"/>
      <c r="F775" s="8"/>
      <c r="G775" s="8"/>
      <c r="H775" s="8"/>
    </row>
    <row r="776">
      <c r="B776" s="8"/>
      <c r="C776" s="8"/>
      <c r="D776" s="8"/>
      <c r="E776" s="8"/>
      <c r="F776" s="8"/>
      <c r="G776" s="8"/>
      <c r="H776" s="8"/>
    </row>
    <row r="777">
      <c r="B777" s="8"/>
      <c r="C777" s="8"/>
      <c r="D777" s="8"/>
      <c r="E777" s="8"/>
      <c r="F777" s="8"/>
      <c r="G777" s="8"/>
      <c r="H777" s="8"/>
    </row>
    <row r="778">
      <c r="B778" s="8"/>
      <c r="C778" s="8"/>
      <c r="D778" s="8"/>
      <c r="E778" s="8"/>
      <c r="F778" s="8"/>
      <c r="G778" s="8"/>
      <c r="H778" s="8"/>
    </row>
    <row r="779">
      <c r="B779" s="8"/>
      <c r="C779" s="8"/>
      <c r="D779" s="8"/>
      <c r="E779" s="8"/>
      <c r="F779" s="8"/>
      <c r="G779" s="8"/>
      <c r="H779" s="8"/>
    </row>
    <row r="780">
      <c r="B780" s="8"/>
      <c r="C780" s="8"/>
      <c r="D780" s="8"/>
      <c r="E780" s="8"/>
      <c r="F780" s="8"/>
      <c r="G780" s="8"/>
      <c r="H780" s="8"/>
    </row>
    <row r="781">
      <c r="B781" s="8"/>
      <c r="C781" s="8"/>
      <c r="D781" s="8"/>
      <c r="E781" s="8"/>
      <c r="F781" s="8"/>
      <c r="G781" s="8"/>
      <c r="H781" s="8"/>
    </row>
    <row r="782">
      <c r="B782" s="8"/>
      <c r="C782" s="8"/>
      <c r="D782" s="8"/>
      <c r="E782" s="8"/>
      <c r="F782" s="8"/>
      <c r="G782" s="8"/>
      <c r="H782" s="8"/>
    </row>
    <row r="783">
      <c r="B783" s="8"/>
      <c r="C783" s="8"/>
      <c r="D783" s="8"/>
      <c r="E783" s="8"/>
      <c r="F783" s="8"/>
      <c r="G783" s="8"/>
      <c r="H783" s="8"/>
    </row>
    <row r="784">
      <c r="B784" s="8"/>
      <c r="C784" s="8"/>
      <c r="D784" s="8"/>
      <c r="E784" s="8"/>
      <c r="F784" s="8"/>
      <c r="G784" s="8"/>
      <c r="H784" s="8"/>
    </row>
    <row r="785">
      <c r="B785" s="8"/>
      <c r="C785" s="8"/>
      <c r="D785" s="8"/>
      <c r="E785" s="8"/>
      <c r="F785" s="8"/>
      <c r="G785" s="8"/>
      <c r="H785" s="8"/>
    </row>
    <row r="786">
      <c r="B786" s="8"/>
      <c r="C786" s="8"/>
      <c r="D786" s="8"/>
      <c r="E786" s="8"/>
      <c r="F786" s="8"/>
      <c r="G786" s="8"/>
      <c r="H786" s="8"/>
    </row>
    <row r="787">
      <c r="B787" s="8"/>
      <c r="C787" s="8"/>
      <c r="D787" s="8"/>
      <c r="E787" s="8"/>
      <c r="F787" s="8"/>
      <c r="G787" s="8"/>
      <c r="H787" s="8"/>
    </row>
    <row r="788">
      <c r="B788" s="8"/>
      <c r="C788" s="8"/>
      <c r="D788" s="8"/>
      <c r="E788" s="8"/>
      <c r="F788" s="8"/>
      <c r="G788" s="8"/>
      <c r="H788" s="8"/>
    </row>
    <row r="789">
      <c r="B789" s="8"/>
      <c r="C789" s="8"/>
      <c r="D789" s="8"/>
      <c r="E789" s="8"/>
      <c r="F789" s="8"/>
      <c r="G789" s="8"/>
      <c r="H789" s="8"/>
    </row>
    <row r="790">
      <c r="B790" s="8"/>
      <c r="C790" s="8"/>
      <c r="D790" s="8"/>
      <c r="E790" s="8"/>
      <c r="F790" s="8"/>
      <c r="G790" s="8"/>
      <c r="H790" s="8"/>
    </row>
    <row r="791">
      <c r="B791" s="8"/>
      <c r="C791" s="8"/>
      <c r="D791" s="8"/>
      <c r="E791" s="8"/>
      <c r="F791" s="8"/>
      <c r="G791" s="8"/>
      <c r="H791" s="8"/>
    </row>
    <row r="792">
      <c r="B792" s="8"/>
      <c r="C792" s="8"/>
      <c r="D792" s="8"/>
      <c r="E792" s="8"/>
      <c r="F792" s="8"/>
      <c r="G792" s="8"/>
      <c r="H792" s="8"/>
    </row>
    <row r="793">
      <c r="B793" s="8"/>
      <c r="C793" s="8"/>
      <c r="D793" s="8"/>
      <c r="E793" s="8"/>
      <c r="F793" s="8"/>
      <c r="G793" s="8"/>
      <c r="H793" s="8"/>
    </row>
    <row r="794">
      <c r="B794" s="8"/>
      <c r="C794" s="8"/>
      <c r="D794" s="8"/>
      <c r="E794" s="8"/>
      <c r="F794" s="8"/>
      <c r="G794" s="8"/>
      <c r="H794" s="8"/>
    </row>
    <row r="795">
      <c r="B795" s="8"/>
      <c r="C795" s="8"/>
      <c r="D795" s="8"/>
      <c r="E795" s="8"/>
      <c r="F795" s="8"/>
      <c r="G795" s="8"/>
      <c r="H795" s="8"/>
    </row>
    <row r="796">
      <c r="B796" s="8"/>
      <c r="C796" s="8"/>
      <c r="D796" s="8"/>
      <c r="E796" s="8"/>
      <c r="F796" s="8"/>
      <c r="G796" s="8"/>
      <c r="H796" s="8"/>
    </row>
    <row r="797">
      <c r="B797" s="8"/>
      <c r="C797" s="8"/>
      <c r="D797" s="8"/>
      <c r="E797" s="8"/>
      <c r="F797" s="8"/>
      <c r="G797" s="8"/>
      <c r="H797" s="8"/>
    </row>
    <row r="798">
      <c r="B798" s="8"/>
      <c r="C798" s="8"/>
      <c r="D798" s="8"/>
      <c r="E798" s="8"/>
      <c r="F798" s="8"/>
      <c r="G798" s="8"/>
      <c r="H798" s="8"/>
    </row>
    <row r="799">
      <c r="B799" s="8"/>
      <c r="C799" s="8"/>
      <c r="D799" s="8"/>
      <c r="E799" s="8"/>
      <c r="F799" s="8"/>
      <c r="G799" s="8"/>
      <c r="H799" s="8"/>
    </row>
    <row r="800">
      <c r="B800" s="8"/>
      <c r="C800" s="8"/>
      <c r="D800" s="8"/>
      <c r="E800" s="8"/>
      <c r="F800" s="8"/>
      <c r="G800" s="8"/>
      <c r="H800" s="8"/>
    </row>
    <row r="801">
      <c r="B801" s="8"/>
      <c r="C801" s="8"/>
      <c r="D801" s="8"/>
      <c r="E801" s="8"/>
      <c r="F801" s="8"/>
      <c r="G801" s="8"/>
      <c r="H801" s="8"/>
    </row>
    <row r="802">
      <c r="B802" s="8"/>
      <c r="C802" s="8"/>
      <c r="D802" s="8"/>
      <c r="E802" s="8"/>
      <c r="F802" s="8"/>
      <c r="G802" s="8"/>
      <c r="H802" s="8"/>
    </row>
    <row r="803">
      <c r="B803" s="8"/>
      <c r="C803" s="8"/>
      <c r="D803" s="8"/>
      <c r="E803" s="8"/>
      <c r="F803" s="8"/>
      <c r="G803" s="8"/>
      <c r="H803" s="8"/>
    </row>
    <row r="804">
      <c r="B804" s="8"/>
      <c r="C804" s="8"/>
      <c r="D804" s="8"/>
      <c r="E804" s="8"/>
      <c r="F804" s="8"/>
      <c r="G804" s="8"/>
      <c r="H804" s="8"/>
    </row>
    <row r="805">
      <c r="B805" s="8"/>
      <c r="C805" s="8"/>
      <c r="D805" s="8"/>
      <c r="E805" s="8"/>
      <c r="F805" s="8"/>
      <c r="G805" s="8"/>
      <c r="H805" s="8"/>
    </row>
    <row r="806">
      <c r="B806" s="8"/>
      <c r="C806" s="8"/>
      <c r="D806" s="8"/>
      <c r="E806" s="8"/>
      <c r="F806" s="8"/>
      <c r="G806" s="8"/>
      <c r="H806" s="8"/>
    </row>
    <row r="807">
      <c r="B807" s="8"/>
      <c r="C807" s="8"/>
      <c r="D807" s="8"/>
      <c r="E807" s="8"/>
      <c r="F807" s="8"/>
      <c r="G807" s="8"/>
      <c r="H807" s="8"/>
    </row>
    <row r="808">
      <c r="B808" s="8"/>
      <c r="C808" s="8"/>
      <c r="D808" s="8"/>
      <c r="E808" s="8"/>
      <c r="F808" s="8"/>
      <c r="G808" s="8"/>
      <c r="H808" s="8"/>
    </row>
    <row r="809">
      <c r="B809" s="8"/>
      <c r="C809" s="8"/>
      <c r="D809" s="8"/>
      <c r="E809" s="8"/>
      <c r="F809" s="8"/>
      <c r="G809" s="8"/>
      <c r="H809" s="8"/>
    </row>
    <row r="810">
      <c r="B810" s="8"/>
      <c r="C810" s="8"/>
      <c r="D810" s="8"/>
      <c r="E810" s="8"/>
      <c r="F810" s="8"/>
      <c r="G810" s="8"/>
      <c r="H810" s="8"/>
    </row>
    <row r="811">
      <c r="B811" s="8"/>
      <c r="C811" s="8"/>
      <c r="D811" s="8"/>
      <c r="E811" s="8"/>
      <c r="F811" s="8"/>
      <c r="G811" s="8"/>
      <c r="H811" s="8"/>
    </row>
    <row r="812">
      <c r="B812" s="8"/>
      <c r="C812" s="8"/>
      <c r="D812" s="8"/>
      <c r="E812" s="8"/>
      <c r="F812" s="8"/>
      <c r="G812" s="8"/>
      <c r="H812" s="8"/>
    </row>
    <row r="813">
      <c r="B813" s="8"/>
      <c r="C813" s="8"/>
      <c r="D813" s="8"/>
      <c r="E813" s="8"/>
      <c r="F813" s="8"/>
      <c r="G813" s="8"/>
      <c r="H813" s="8"/>
    </row>
    <row r="814">
      <c r="B814" s="8"/>
      <c r="C814" s="8"/>
      <c r="D814" s="8"/>
      <c r="E814" s="8"/>
      <c r="F814" s="8"/>
      <c r="G814" s="8"/>
      <c r="H814" s="8"/>
    </row>
    <row r="815">
      <c r="B815" s="8"/>
      <c r="C815" s="8"/>
      <c r="D815" s="8"/>
      <c r="E815" s="8"/>
      <c r="F815" s="8"/>
      <c r="G815" s="8"/>
      <c r="H815" s="8"/>
    </row>
    <row r="816">
      <c r="B816" s="8"/>
      <c r="C816" s="8"/>
      <c r="D816" s="8"/>
      <c r="E816" s="8"/>
      <c r="F816" s="8"/>
      <c r="G816" s="8"/>
      <c r="H816" s="8"/>
    </row>
    <row r="817">
      <c r="B817" s="8"/>
      <c r="C817" s="8"/>
      <c r="D817" s="8"/>
      <c r="E817" s="8"/>
      <c r="F817" s="8"/>
      <c r="G817" s="8"/>
      <c r="H817" s="8"/>
    </row>
    <row r="818">
      <c r="B818" s="8"/>
      <c r="C818" s="8"/>
      <c r="D818" s="8"/>
      <c r="E818" s="8"/>
      <c r="F818" s="8"/>
      <c r="G818" s="8"/>
      <c r="H818" s="8"/>
    </row>
    <row r="819">
      <c r="B819" s="8"/>
      <c r="C819" s="8"/>
      <c r="D819" s="8"/>
      <c r="E819" s="8"/>
      <c r="F819" s="8"/>
      <c r="G819" s="8"/>
      <c r="H819" s="8"/>
    </row>
    <row r="820">
      <c r="B820" s="8"/>
      <c r="C820" s="8"/>
      <c r="D820" s="8"/>
      <c r="E820" s="8"/>
      <c r="F820" s="8"/>
      <c r="G820" s="8"/>
      <c r="H820" s="8"/>
    </row>
    <row r="821">
      <c r="B821" s="8"/>
      <c r="C821" s="8"/>
      <c r="D821" s="8"/>
      <c r="E821" s="8"/>
      <c r="F821" s="8"/>
      <c r="G821" s="8"/>
      <c r="H821" s="8"/>
    </row>
    <row r="822">
      <c r="B822" s="8"/>
      <c r="C822" s="8"/>
      <c r="D822" s="8"/>
      <c r="E822" s="8"/>
      <c r="F822" s="8"/>
      <c r="G822" s="8"/>
      <c r="H822" s="8"/>
    </row>
    <row r="823">
      <c r="B823" s="8"/>
      <c r="C823" s="8"/>
      <c r="D823" s="8"/>
      <c r="E823" s="8"/>
      <c r="F823" s="8"/>
      <c r="G823" s="8"/>
      <c r="H823" s="8"/>
    </row>
    <row r="824">
      <c r="B824" s="8"/>
      <c r="C824" s="8"/>
      <c r="D824" s="8"/>
      <c r="E824" s="8"/>
      <c r="F824" s="8"/>
      <c r="G824" s="8"/>
      <c r="H824" s="8"/>
    </row>
    <row r="825">
      <c r="B825" s="8"/>
      <c r="C825" s="8"/>
      <c r="D825" s="8"/>
      <c r="E825" s="8"/>
      <c r="F825" s="8"/>
      <c r="G825" s="8"/>
      <c r="H825" s="8"/>
    </row>
    <row r="826">
      <c r="B826" s="8"/>
      <c r="C826" s="8"/>
      <c r="D826" s="8"/>
      <c r="E826" s="8"/>
      <c r="F826" s="8"/>
      <c r="G826" s="8"/>
      <c r="H826" s="8"/>
    </row>
    <row r="827">
      <c r="B827" s="8"/>
      <c r="C827" s="8"/>
      <c r="D827" s="8"/>
      <c r="E827" s="8"/>
      <c r="F827" s="8"/>
      <c r="G827" s="8"/>
      <c r="H827" s="8"/>
    </row>
    <row r="828">
      <c r="B828" s="8"/>
      <c r="C828" s="8"/>
      <c r="D828" s="8"/>
      <c r="E828" s="8"/>
      <c r="F828" s="8"/>
      <c r="G828" s="8"/>
      <c r="H828" s="8"/>
    </row>
    <row r="829">
      <c r="B829" s="8"/>
      <c r="C829" s="8"/>
      <c r="D829" s="8"/>
      <c r="E829" s="8"/>
      <c r="F829" s="8"/>
      <c r="G829" s="8"/>
      <c r="H829" s="8"/>
    </row>
    <row r="830">
      <c r="B830" s="8"/>
      <c r="C830" s="8"/>
      <c r="D830" s="8"/>
      <c r="E830" s="8"/>
      <c r="F830" s="8"/>
      <c r="G830" s="8"/>
      <c r="H830" s="8"/>
    </row>
    <row r="831">
      <c r="B831" s="8"/>
      <c r="C831" s="8"/>
      <c r="D831" s="8"/>
      <c r="E831" s="8"/>
      <c r="F831" s="8"/>
      <c r="G831" s="8"/>
      <c r="H831" s="8"/>
    </row>
    <row r="832">
      <c r="B832" s="8"/>
      <c r="C832" s="8"/>
      <c r="D832" s="8"/>
      <c r="E832" s="8"/>
      <c r="F832" s="8"/>
      <c r="G832" s="8"/>
      <c r="H832" s="8"/>
    </row>
    <row r="833">
      <c r="B833" s="8"/>
      <c r="C833" s="8"/>
      <c r="D833" s="8"/>
      <c r="E833" s="8"/>
      <c r="F833" s="8"/>
      <c r="G833" s="8"/>
      <c r="H833" s="8"/>
    </row>
    <row r="834">
      <c r="B834" s="8"/>
      <c r="C834" s="8"/>
      <c r="D834" s="8"/>
      <c r="E834" s="8"/>
      <c r="F834" s="8"/>
      <c r="G834" s="8"/>
      <c r="H834" s="8"/>
    </row>
    <row r="835">
      <c r="B835" s="8"/>
      <c r="C835" s="8"/>
      <c r="D835" s="8"/>
      <c r="E835" s="8"/>
      <c r="F835" s="8"/>
      <c r="G835" s="8"/>
      <c r="H835" s="8"/>
    </row>
    <row r="836">
      <c r="B836" s="8"/>
      <c r="C836" s="8"/>
      <c r="D836" s="8"/>
      <c r="E836" s="8"/>
      <c r="F836" s="8"/>
      <c r="G836" s="8"/>
      <c r="H836" s="8"/>
    </row>
    <row r="837">
      <c r="B837" s="8"/>
      <c r="C837" s="8"/>
      <c r="D837" s="8"/>
      <c r="E837" s="8"/>
      <c r="F837" s="8"/>
      <c r="G837" s="8"/>
      <c r="H837" s="8"/>
    </row>
    <row r="838">
      <c r="B838" s="8"/>
      <c r="C838" s="8"/>
      <c r="D838" s="8"/>
      <c r="E838" s="8"/>
      <c r="F838" s="8"/>
      <c r="G838" s="8"/>
      <c r="H838" s="8"/>
    </row>
    <row r="839">
      <c r="B839" s="8"/>
      <c r="C839" s="8"/>
      <c r="D839" s="8"/>
      <c r="E839" s="8"/>
      <c r="F839" s="8"/>
      <c r="G839" s="8"/>
      <c r="H839" s="8"/>
    </row>
    <row r="840">
      <c r="B840" s="8"/>
      <c r="C840" s="8"/>
      <c r="D840" s="8"/>
      <c r="E840" s="8"/>
      <c r="F840" s="8"/>
      <c r="G840" s="8"/>
      <c r="H840" s="8"/>
    </row>
    <row r="841">
      <c r="B841" s="8"/>
      <c r="C841" s="8"/>
      <c r="D841" s="8"/>
      <c r="E841" s="8"/>
      <c r="F841" s="8"/>
      <c r="G841" s="8"/>
      <c r="H841" s="8"/>
    </row>
    <row r="842">
      <c r="B842" s="8"/>
      <c r="C842" s="8"/>
      <c r="D842" s="8"/>
      <c r="E842" s="8"/>
      <c r="F842" s="8"/>
      <c r="G842" s="8"/>
      <c r="H842" s="8"/>
    </row>
    <row r="843">
      <c r="B843" s="8"/>
      <c r="C843" s="8"/>
      <c r="D843" s="8"/>
      <c r="E843" s="8"/>
      <c r="F843" s="8"/>
      <c r="G843" s="8"/>
      <c r="H843" s="8"/>
    </row>
    <row r="844">
      <c r="B844" s="8"/>
      <c r="C844" s="8"/>
      <c r="D844" s="8"/>
      <c r="E844" s="8"/>
      <c r="F844" s="8"/>
      <c r="G844" s="8"/>
      <c r="H844" s="8"/>
    </row>
    <row r="845">
      <c r="B845" s="8"/>
      <c r="C845" s="8"/>
      <c r="D845" s="8"/>
      <c r="E845" s="8"/>
      <c r="F845" s="8"/>
      <c r="G845" s="8"/>
      <c r="H845" s="8"/>
    </row>
    <row r="846">
      <c r="B846" s="8"/>
      <c r="C846" s="8"/>
      <c r="D846" s="8"/>
      <c r="E846" s="8"/>
      <c r="F846" s="8"/>
      <c r="G846" s="8"/>
      <c r="H846" s="8"/>
    </row>
    <row r="847">
      <c r="B847" s="8"/>
      <c r="C847" s="8"/>
      <c r="D847" s="8"/>
      <c r="E847" s="8"/>
      <c r="F847" s="8"/>
      <c r="G847" s="8"/>
      <c r="H847" s="8"/>
    </row>
    <row r="848">
      <c r="B848" s="8"/>
      <c r="C848" s="8"/>
      <c r="D848" s="8"/>
      <c r="E848" s="8"/>
      <c r="F848" s="8"/>
      <c r="G848" s="8"/>
      <c r="H848" s="8"/>
    </row>
    <row r="849">
      <c r="B849" s="8"/>
      <c r="C849" s="8"/>
      <c r="D849" s="8"/>
      <c r="E849" s="8"/>
      <c r="F849" s="8"/>
      <c r="G849" s="8"/>
      <c r="H849" s="8"/>
    </row>
    <row r="850">
      <c r="B850" s="8"/>
      <c r="C850" s="8"/>
      <c r="D850" s="8"/>
      <c r="E850" s="8"/>
      <c r="F850" s="8"/>
      <c r="G850" s="8"/>
      <c r="H850" s="8"/>
    </row>
    <row r="851">
      <c r="B851" s="8"/>
      <c r="C851" s="8"/>
      <c r="D851" s="8"/>
      <c r="E851" s="8"/>
      <c r="F851" s="8"/>
      <c r="G851" s="8"/>
      <c r="H851" s="8"/>
    </row>
    <row r="852">
      <c r="B852" s="8"/>
      <c r="C852" s="8"/>
      <c r="D852" s="8"/>
      <c r="E852" s="8"/>
      <c r="F852" s="8"/>
      <c r="G852" s="8"/>
      <c r="H852" s="8"/>
    </row>
    <row r="853">
      <c r="B853" s="8"/>
      <c r="C853" s="8"/>
      <c r="D853" s="8"/>
      <c r="E853" s="8"/>
      <c r="F853" s="8"/>
      <c r="G853" s="8"/>
      <c r="H853" s="8"/>
    </row>
    <row r="854">
      <c r="B854" s="8"/>
      <c r="C854" s="8"/>
      <c r="D854" s="8"/>
      <c r="E854" s="8"/>
      <c r="F854" s="8"/>
      <c r="G854" s="8"/>
      <c r="H854" s="8"/>
    </row>
    <row r="855">
      <c r="B855" s="8"/>
      <c r="C855" s="8"/>
      <c r="D855" s="8"/>
      <c r="E855" s="8"/>
      <c r="F855" s="8"/>
      <c r="G855" s="8"/>
      <c r="H855" s="8"/>
    </row>
    <row r="856">
      <c r="B856" s="8"/>
      <c r="C856" s="8"/>
      <c r="D856" s="8"/>
      <c r="E856" s="8"/>
      <c r="F856" s="8"/>
      <c r="G856" s="8"/>
      <c r="H856" s="8"/>
    </row>
    <row r="857">
      <c r="B857" s="8"/>
      <c r="C857" s="8"/>
      <c r="D857" s="8"/>
      <c r="E857" s="8"/>
      <c r="F857" s="8"/>
      <c r="G857" s="8"/>
      <c r="H857" s="8"/>
    </row>
    <row r="858">
      <c r="B858" s="8"/>
      <c r="C858" s="8"/>
      <c r="D858" s="8"/>
      <c r="E858" s="8"/>
      <c r="F858" s="8"/>
      <c r="G858" s="8"/>
      <c r="H858" s="8"/>
    </row>
    <row r="859">
      <c r="B859" s="8"/>
      <c r="C859" s="8"/>
      <c r="D859" s="8"/>
      <c r="E859" s="8"/>
      <c r="F859" s="8"/>
      <c r="G859" s="8"/>
      <c r="H859" s="8"/>
    </row>
    <row r="860">
      <c r="B860" s="8"/>
      <c r="C860" s="8"/>
      <c r="D860" s="8"/>
      <c r="E860" s="8"/>
      <c r="F860" s="8"/>
      <c r="G860" s="8"/>
      <c r="H860" s="8"/>
    </row>
    <row r="861">
      <c r="B861" s="8"/>
      <c r="C861" s="8"/>
      <c r="D861" s="8"/>
      <c r="E861" s="8"/>
      <c r="F861" s="8"/>
      <c r="G861" s="8"/>
      <c r="H861" s="8"/>
    </row>
    <row r="862">
      <c r="B862" s="8"/>
      <c r="C862" s="8"/>
      <c r="D862" s="8"/>
      <c r="E862" s="8"/>
      <c r="F862" s="8"/>
      <c r="G862" s="8"/>
      <c r="H862" s="8"/>
    </row>
    <row r="863">
      <c r="B863" s="8"/>
      <c r="C863" s="8"/>
      <c r="D863" s="8"/>
      <c r="E863" s="8"/>
      <c r="F863" s="8"/>
      <c r="G863" s="8"/>
      <c r="H863" s="8"/>
    </row>
    <row r="864">
      <c r="B864" s="8"/>
      <c r="C864" s="8"/>
      <c r="D864" s="8"/>
      <c r="E864" s="8"/>
      <c r="F864" s="8"/>
      <c r="G864" s="8"/>
      <c r="H864" s="8"/>
    </row>
    <row r="865">
      <c r="B865" s="8"/>
      <c r="C865" s="8"/>
      <c r="D865" s="8"/>
      <c r="E865" s="8"/>
      <c r="F865" s="8"/>
      <c r="G865" s="8"/>
      <c r="H865" s="8"/>
    </row>
    <row r="866">
      <c r="B866" s="8"/>
      <c r="C866" s="8"/>
      <c r="D866" s="8"/>
      <c r="E866" s="8"/>
      <c r="F866" s="8"/>
      <c r="G866" s="8"/>
      <c r="H866" s="8"/>
    </row>
    <row r="867">
      <c r="B867" s="8"/>
      <c r="C867" s="8"/>
      <c r="D867" s="8"/>
      <c r="E867" s="8"/>
      <c r="F867" s="8"/>
      <c r="G867" s="8"/>
      <c r="H867" s="8"/>
    </row>
    <row r="868">
      <c r="B868" s="8"/>
      <c r="C868" s="8"/>
      <c r="D868" s="8"/>
      <c r="E868" s="8"/>
      <c r="F868" s="8"/>
      <c r="G868" s="8"/>
      <c r="H868" s="8"/>
    </row>
    <row r="869">
      <c r="B869" s="8"/>
      <c r="C869" s="8"/>
      <c r="D869" s="8"/>
      <c r="E869" s="8"/>
      <c r="F869" s="8"/>
      <c r="G869" s="8"/>
      <c r="H869" s="8"/>
    </row>
    <row r="870">
      <c r="B870" s="8"/>
      <c r="C870" s="8"/>
      <c r="D870" s="8"/>
      <c r="E870" s="8"/>
      <c r="F870" s="8"/>
      <c r="G870" s="8"/>
      <c r="H870" s="8"/>
    </row>
    <row r="871">
      <c r="B871" s="8"/>
      <c r="C871" s="8"/>
      <c r="D871" s="8"/>
      <c r="E871" s="8"/>
      <c r="F871" s="8"/>
      <c r="G871" s="8"/>
      <c r="H871" s="8"/>
    </row>
    <row r="872">
      <c r="B872" s="8"/>
      <c r="C872" s="8"/>
      <c r="D872" s="8"/>
      <c r="E872" s="8"/>
      <c r="F872" s="8"/>
      <c r="G872" s="8"/>
      <c r="H872" s="8"/>
    </row>
    <row r="873">
      <c r="B873" s="8"/>
      <c r="C873" s="8"/>
      <c r="D873" s="8"/>
      <c r="E873" s="8"/>
      <c r="F873" s="8"/>
      <c r="G873" s="8"/>
      <c r="H873" s="8"/>
    </row>
    <row r="874">
      <c r="B874" s="8"/>
      <c r="C874" s="8"/>
      <c r="D874" s="8"/>
      <c r="E874" s="8"/>
      <c r="F874" s="8"/>
      <c r="G874" s="8"/>
      <c r="H874" s="8"/>
    </row>
    <row r="875">
      <c r="B875" s="8"/>
      <c r="C875" s="8"/>
      <c r="D875" s="8"/>
      <c r="E875" s="8"/>
      <c r="F875" s="8"/>
      <c r="G875" s="8"/>
      <c r="H875" s="8"/>
    </row>
    <row r="876">
      <c r="B876" s="8"/>
      <c r="C876" s="8"/>
      <c r="D876" s="8"/>
      <c r="E876" s="8"/>
      <c r="F876" s="8"/>
      <c r="G876" s="8"/>
      <c r="H876" s="8"/>
    </row>
    <row r="877">
      <c r="B877" s="8"/>
      <c r="C877" s="8"/>
      <c r="D877" s="8"/>
      <c r="E877" s="8"/>
      <c r="F877" s="8"/>
      <c r="G877" s="8"/>
      <c r="H877" s="8"/>
    </row>
    <row r="878">
      <c r="B878" s="8"/>
      <c r="C878" s="8"/>
      <c r="D878" s="8"/>
      <c r="E878" s="8"/>
      <c r="F878" s="8"/>
      <c r="G878" s="8"/>
      <c r="H878" s="8"/>
    </row>
    <row r="879">
      <c r="B879" s="8"/>
      <c r="C879" s="8"/>
      <c r="D879" s="8"/>
      <c r="E879" s="8"/>
      <c r="F879" s="8"/>
      <c r="G879" s="8"/>
      <c r="H879" s="8"/>
    </row>
    <row r="880">
      <c r="B880" s="8"/>
      <c r="C880" s="8"/>
      <c r="D880" s="8"/>
      <c r="E880" s="8"/>
      <c r="F880" s="8"/>
      <c r="G880" s="8"/>
      <c r="H880" s="8"/>
    </row>
    <row r="881">
      <c r="B881" s="8"/>
      <c r="C881" s="8"/>
      <c r="D881" s="8"/>
      <c r="E881" s="8"/>
      <c r="F881" s="8"/>
      <c r="G881" s="8"/>
      <c r="H881" s="8"/>
    </row>
    <row r="882">
      <c r="B882" s="8"/>
      <c r="C882" s="8"/>
      <c r="D882" s="8"/>
      <c r="E882" s="8"/>
      <c r="F882" s="8"/>
      <c r="G882" s="8"/>
      <c r="H882" s="8"/>
    </row>
    <row r="883">
      <c r="B883" s="8"/>
      <c r="C883" s="8"/>
      <c r="D883" s="8"/>
      <c r="E883" s="8"/>
      <c r="F883" s="8"/>
      <c r="G883" s="8"/>
      <c r="H883" s="8"/>
    </row>
    <row r="884">
      <c r="B884" s="8"/>
      <c r="C884" s="8"/>
      <c r="D884" s="8"/>
      <c r="E884" s="8"/>
      <c r="F884" s="8"/>
      <c r="G884" s="8"/>
      <c r="H884" s="8"/>
    </row>
    <row r="885">
      <c r="B885" s="8"/>
      <c r="C885" s="8"/>
      <c r="D885" s="8"/>
      <c r="E885" s="8"/>
      <c r="F885" s="8"/>
      <c r="G885" s="8"/>
      <c r="H885" s="8"/>
    </row>
    <row r="886">
      <c r="B886" s="8"/>
      <c r="C886" s="8"/>
      <c r="D886" s="8"/>
      <c r="E886" s="8"/>
      <c r="F886" s="8"/>
      <c r="G886" s="8"/>
      <c r="H886" s="8"/>
    </row>
    <row r="887">
      <c r="B887" s="8"/>
      <c r="C887" s="8"/>
      <c r="D887" s="8"/>
      <c r="E887" s="8"/>
      <c r="F887" s="8"/>
      <c r="G887" s="8"/>
      <c r="H887" s="8"/>
    </row>
    <row r="888">
      <c r="B888" s="8"/>
      <c r="C888" s="8"/>
      <c r="D888" s="8"/>
      <c r="E888" s="8"/>
      <c r="F888" s="8"/>
      <c r="G888" s="8"/>
      <c r="H888" s="8"/>
    </row>
    <row r="889">
      <c r="B889" s="8"/>
      <c r="C889" s="8"/>
      <c r="D889" s="8"/>
      <c r="E889" s="8"/>
      <c r="F889" s="8"/>
      <c r="G889" s="8"/>
      <c r="H889" s="8"/>
    </row>
    <row r="890">
      <c r="B890" s="8"/>
      <c r="C890" s="8"/>
      <c r="D890" s="8"/>
      <c r="E890" s="8"/>
      <c r="F890" s="8"/>
      <c r="G890" s="8"/>
      <c r="H890" s="8"/>
    </row>
    <row r="891">
      <c r="B891" s="8"/>
      <c r="C891" s="8"/>
      <c r="D891" s="8"/>
      <c r="E891" s="8"/>
      <c r="F891" s="8"/>
      <c r="G891" s="8"/>
      <c r="H891" s="8"/>
    </row>
    <row r="892">
      <c r="B892" s="8"/>
      <c r="C892" s="8"/>
      <c r="D892" s="8"/>
      <c r="E892" s="8"/>
      <c r="F892" s="8"/>
      <c r="G892" s="8"/>
      <c r="H892" s="8"/>
    </row>
    <row r="893">
      <c r="B893" s="8"/>
      <c r="C893" s="8"/>
      <c r="D893" s="8"/>
      <c r="E893" s="8"/>
      <c r="F893" s="8"/>
      <c r="G893" s="8"/>
      <c r="H893" s="8"/>
    </row>
    <row r="894">
      <c r="B894" s="8"/>
      <c r="C894" s="8"/>
      <c r="D894" s="8"/>
      <c r="E894" s="8"/>
      <c r="F894" s="8"/>
      <c r="G894" s="8"/>
      <c r="H894" s="8"/>
    </row>
    <row r="895">
      <c r="B895" s="8"/>
      <c r="C895" s="8"/>
      <c r="D895" s="8"/>
      <c r="E895" s="8"/>
      <c r="F895" s="8"/>
      <c r="G895" s="8"/>
      <c r="H895" s="8"/>
    </row>
    <row r="896">
      <c r="B896" s="8"/>
      <c r="C896" s="8"/>
      <c r="D896" s="8"/>
      <c r="E896" s="8"/>
      <c r="F896" s="8"/>
      <c r="G896" s="8"/>
      <c r="H896" s="8"/>
    </row>
    <row r="897">
      <c r="B897" s="8"/>
      <c r="C897" s="8"/>
      <c r="D897" s="8"/>
      <c r="E897" s="8"/>
      <c r="F897" s="8"/>
      <c r="G897" s="8"/>
      <c r="H897" s="8"/>
    </row>
    <row r="898">
      <c r="B898" s="8"/>
      <c r="C898" s="8"/>
      <c r="D898" s="8"/>
      <c r="E898" s="8"/>
      <c r="F898" s="8"/>
      <c r="G898" s="8"/>
      <c r="H898" s="8"/>
    </row>
    <row r="899">
      <c r="B899" s="8"/>
      <c r="C899" s="8"/>
      <c r="D899" s="8"/>
      <c r="E899" s="8"/>
      <c r="F899" s="8"/>
      <c r="G899" s="8"/>
      <c r="H899" s="8"/>
    </row>
    <row r="900">
      <c r="B900" s="8"/>
      <c r="C900" s="8"/>
      <c r="D900" s="8"/>
      <c r="E900" s="8"/>
      <c r="F900" s="8"/>
      <c r="G900" s="8"/>
      <c r="H900" s="8"/>
    </row>
    <row r="901">
      <c r="B901" s="8"/>
      <c r="C901" s="8"/>
      <c r="D901" s="8"/>
      <c r="E901" s="8"/>
      <c r="F901" s="8"/>
      <c r="G901" s="8"/>
      <c r="H901" s="8"/>
    </row>
    <row r="902">
      <c r="B902" s="8"/>
      <c r="C902" s="8"/>
      <c r="D902" s="8"/>
      <c r="E902" s="8"/>
      <c r="F902" s="8"/>
      <c r="G902" s="8"/>
      <c r="H902" s="8"/>
    </row>
    <row r="903">
      <c r="B903" s="8"/>
      <c r="C903" s="8"/>
      <c r="D903" s="8"/>
      <c r="E903" s="8"/>
      <c r="F903" s="8"/>
      <c r="G903" s="8"/>
      <c r="H903" s="8"/>
    </row>
    <row r="904">
      <c r="B904" s="8"/>
      <c r="C904" s="8"/>
      <c r="D904" s="8"/>
      <c r="E904" s="8"/>
      <c r="F904" s="8"/>
      <c r="G904" s="8"/>
      <c r="H904" s="8"/>
    </row>
    <row r="905">
      <c r="B905" s="8"/>
      <c r="C905" s="8"/>
      <c r="D905" s="8"/>
      <c r="E905" s="8"/>
      <c r="F905" s="8"/>
      <c r="G905" s="8"/>
      <c r="H905" s="8"/>
    </row>
    <row r="906">
      <c r="B906" s="8"/>
      <c r="C906" s="8"/>
      <c r="D906" s="8"/>
      <c r="E906" s="8"/>
      <c r="F906" s="8"/>
      <c r="G906" s="8"/>
      <c r="H906" s="8"/>
    </row>
    <row r="907">
      <c r="B907" s="8"/>
      <c r="C907" s="8"/>
      <c r="D907" s="8"/>
      <c r="E907" s="8"/>
      <c r="F907" s="8"/>
      <c r="G907" s="8"/>
      <c r="H907" s="8"/>
    </row>
    <row r="908">
      <c r="B908" s="8"/>
      <c r="C908" s="8"/>
      <c r="D908" s="8"/>
      <c r="E908" s="8"/>
      <c r="F908" s="8"/>
      <c r="G908" s="8"/>
      <c r="H908" s="8"/>
    </row>
    <row r="909">
      <c r="B909" s="8"/>
      <c r="C909" s="8"/>
      <c r="D909" s="8"/>
      <c r="E909" s="8"/>
      <c r="F909" s="8"/>
      <c r="G909" s="8"/>
      <c r="H909" s="8"/>
    </row>
    <row r="910">
      <c r="B910" s="8"/>
      <c r="C910" s="8"/>
      <c r="D910" s="8"/>
      <c r="E910" s="8"/>
      <c r="F910" s="8"/>
      <c r="G910" s="8"/>
      <c r="H910" s="8"/>
    </row>
    <row r="911">
      <c r="B911" s="8"/>
      <c r="C911" s="8"/>
      <c r="D911" s="8"/>
      <c r="E911" s="8"/>
      <c r="F911" s="8"/>
      <c r="G911" s="8"/>
      <c r="H911" s="8"/>
    </row>
    <row r="912">
      <c r="B912" s="8"/>
      <c r="C912" s="8"/>
      <c r="D912" s="8"/>
      <c r="E912" s="8"/>
      <c r="F912" s="8"/>
      <c r="G912" s="8"/>
      <c r="H912" s="8"/>
    </row>
    <row r="913">
      <c r="B913" s="8"/>
      <c r="C913" s="8"/>
      <c r="D913" s="8"/>
      <c r="E913" s="8"/>
      <c r="F913" s="8"/>
      <c r="G913" s="8"/>
      <c r="H913" s="8"/>
    </row>
    <row r="914">
      <c r="B914" s="8"/>
      <c r="C914" s="8"/>
      <c r="D914" s="8"/>
      <c r="E914" s="8"/>
      <c r="F914" s="8"/>
      <c r="G914" s="8"/>
      <c r="H914" s="8"/>
    </row>
    <row r="915">
      <c r="B915" s="8"/>
      <c r="C915" s="8"/>
      <c r="D915" s="8"/>
      <c r="E915" s="8"/>
      <c r="F915" s="8"/>
      <c r="G915" s="8"/>
      <c r="H915" s="8"/>
    </row>
    <row r="916">
      <c r="B916" s="8"/>
      <c r="C916" s="8"/>
      <c r="D916" s="8"/>
      <c r="E916" s="8"/>
      <c r="F916" s="8"/>
      <c r="G916" s="8"/>
      <c r="H916" s="8"/>
    </row>
    <row r="917">
      <c r="B917" s="8"/>
      <c r="C917" s="8"/>
      <c r="D917" s="8"/>
      <c r="E917" s="8"/>
      <c r="F917" s="8"/>
      <c r="G917" s="8"/>
      <c r="H917" s="8"/>
    </row>
    <row r="918">
      <c r="B918" s="8"/>
      <c r="C918" s="8"/>
      <c r="D918" s="8"/>
      <c r="E918" s="8"/>
      <c r="F918" s="8"/>
      <c r="G918" s="8"/>
      <c r="H918" s="8"/>
    </row>
    <row r="919">
      <c r="B919" s="8"/>
      <c r="C919" s="8"/>
      <c r="D919" s="8"/>
      <c r="E919" s="8"/>
      <c r="F919" s="8"/>
      <c r="G919" s="8"/>
      <c r="H919" s="8"/>
    </row>
    <row r="920">
      <c r="B920" s="8"/>
      <c r="C920" s="8"/>
      <c r="D920" s="8"/>
      <c r="E920" s="8"/>
      <c r="F920" s="8"/>
      <c r="G920" s="8"/>
      <c r="H920" s="8"/>
    </row>
    <row r="921">
      <c r="B921" s="8"/>
      <c r="C921" s="8"/>
      <c r="D921" s="8"/>
      <c r="E921" s="8"/>
      <c r="F921" s="8"/>
      <c r="G921" s="8"/>
      <c r="H921" s="8"/>
    </row>
    <row r="922">
      <c r="B922" s="8"/>
      <c r="C922" s="8"/>
      <c r="D922" s="8"/>
      <c r="E922" s="8"/>
      <c r="F922" s="8"/>
      <c r="G922" s="8"/>
      <c r="H922" s="8"/>
    </row>
    <row r="923">
      <c r="B923" s="8"/>
      <c r="C923" s="8"/>
      <c r="D923" s="8"/>
      <c r="E923" s="8"/>
      <c r="F923" s="8"/>
      <c r="G923" s="8"/>
      <c r="H923" s="8"/>
    </row>
    <row r="924">
      <c r="B924" s="8"/>
      <c r="C924" s="8"/>
      <c r="D924" s="8"/>
      <c r="E924" s="8"/>
      <c r="F924" s="8"/>
      <c r="G924" s="8"/>
      <c r="H924" s="8"/>
    </row>
    <row r="925">
      <c r="B925" s="8"/>
      <c r="C925" s="8"/>
      <c r="D925" s="8"/>
      <c r="E925" s="8"/>
      <c r="F925" s="8"/>
      <c r="G925" s="8"/>
      <c r="H925" s="8"/>
    </row>
    <row r="926">
      <c r="B926" s="8"/>
      <c r="C926" s="8"/>
      <c r="D926" s="8"/>
      <c r="E926" s="8"/>
      <c r="F926" s="8"/>
      <c r="G926" s="8"/>
      <c r="H926" s="8"/>
    </row>
    <row r="927">
      <c r="B927" s="8"/>
      <c r="C927" s="8"/>
      <c r="D927" s="8"/>
      <c r="E927" s="8"/>
      <c r="F927" s="8"/>
      <c r="G927" s="8"/>
      <c r="H927" s="8"/>
    </row>
    <row r="928">
      <c r="B928" s="8"/>
      <c r="C928" s="8"/>
      <c r="D928" s="8"/>
      <c r="E928" s="8"/>
      <c r="F928" s="8"/>
      <c r="G928" s="8"/>
      <c r="H928" s="8"/>
    </row>
    <row r="929">
      <c r="B929" s="8"/>
      <c r="C929" s="8"/>
      <c r="D929" s="8"/>
      <c r="E929" s="8"/>
      <c r="F929" s="8"/>
      <c r="G929" s="8"/>
      <c r="H929" s="8"/>
    </row>
    <row r="930">
      <c r="B930" s="8"/>
      <c r="C930" s="8"/>
      <c r="D930" s="8"/>
      <c r="E930" s="8"/>
      <c r="F930" s="8"/>
      <c r="G930" s="8"/>
      <c r="H930" s="8"/>
    </row>
    <row r="931">
      <c r="B931" s="8"/>
      <c r="C931" s="8"/>
      <c r="D931" s="8"/>
      <c r="E931" s="8"/>
      <c r="F931" s="8"/>
      <c r="G931" s="8"/>
      <c r="H931" s="8"/>
    </row>
    <row r="932">
      <c r="B932" s="8"/>
      <c r="C932" s="8"/>
      <c r="D932" s="8"/>
      <c r="E932" s="8"/>
      <c r="F932" s="8"/>
      <c r="G932" s="8"/>
      <c r="H932" s="8"/>
    </row>
    <row r="933">
      <c r="B933" s="8"/>
      <c r="C933" s="8"/>
      <c r="D933" s="8"/>
      <c r="E933" s="8"/>
      <c r="F933" s="8"/>
      <c r="G933" s="8"/>
      <c r="H933" s="8"/>
    </row>
    <row r="934">
      <c r="B934" s="8"/>
      <c r="C934" s="8"/>
      <c r="D934" s="8"/>
      <c r="E934" s="8"/>
      <c r="F934" s="8"/>
      <c r="G934" s="8"/>
      <c r="H934" s="8"/>
    </row>
    <row r="935">
      <c r="B935" s="8"/>
      <c r="C935" s="8"/>
      <c r="D935" s="8"/>
      <c r="E935" s="8"/>
      <c r="F935" s="8"/>
      <c r="G935" s="8"/>
      <c r="H935" s="8"/>
    </row>
    <row r="936">
      <c r="B936" s="8"/>
      <c r="C936" s="8"/>
      <c r="D936" s="8"/>
      <c r="E936" s="8"/>
      <c r="F936" s="8"/>
      <c r="G936" s="8"/>
      <c r="H936" s="8"/>
    </row>
    <row r="937">
      <c r="B937" s="8"/>
      <c r="C937" s="8"/>
      <c r="D937" s="8"/>
      <c r="E937" s="8"/>
      <c r="F937" s="8"/>
      <c r="G937" s="8"/>
      <c r="H937" s="8"/>
    </row>
    <row r="938">
      <c r="B938" s="8"/>
      <c r="C938" s="8"/>
      <c r="D938" s="8"/>
      <c r="E938" s="8"/>
      <c r="F938" s="8"/>
      <c r="G938" s="8"/>
      <c r="H938" s="8"/>
    </row>
    <row r="939">
      <c r="B939" s="8"/>
      <c r="C939" s="8"/>
      <c r="D939" s="8"/>
      <c r="E939" s="8"/>
      <c r="F939" s="8"/>
      <c r="G939" s="8"/>
      <c r="H939" s="8"/>
    </row>
    <row r="940">
      <c r="B940" s="8"/>
      <c r="C940" s="8"/>
      <c r="D940" s="8"/>
      <c r="E940" s="8"/>
      <c r="F940" s="8"/>
      <c r="G940" s="8"/>
      <c r="H940" s="8"/>
    </row>
    <row r="941">
      <c r="B941" s="8"/>
      <c r="C941" s="8"/>
      <c r="D941" s="8"/>
      <c r="E941" s="8"/>
      <c r="F941" s="8"/>
      <c r="G941" s="8"/>
      <c r="H941" s="8"/>
    </row>
    <row r="942">
      <c r="B942" s="8"/>
      <c r="C942" s="8"/>
      <c r="D942" s="8"/>
      <c r="E942" s="8"/>
      <c r="F942" s="8"/>
      <c r="G942" s="8"/>
      <c r="H942" s="8"/>
    </row>
    <row r="943">
      <c r="B943" s="8"/>
      <c r="C943" s="8"/>
      <c r="D943" s="8"/>
      <c r="E943" s="8"/>
      <c r="F943" s="8"/>
      <c r="G943" s="8"/>
      <c r="H943" s="8"/>
    </row>
    <row r="944">
      <c r="B944" s="8"/>
      <c r="C944" s="8"/>
      <c r="D944" s="8"/>
      <c r="E944" s="8"/>
      <c r="F944" s="8"/>
      <c r="G944" s="8"/>
      <c r="H944" s="8"/>
    </row>
    <row r="945">
      <c r="B945" s="8"/>
      <c r="C945" s="8"/>
      <c r="D945" s="8"/>
      <c r="E945" s="8"/>
      <c r="F945" s="8"/>
      <c r="G945" s="8"/>
      <c r="H945" s="8"/>
    </row>
    <row r="946">
      <c r="B946" s="8"/>
      <c r="C946" s="8"/>
      <c r="D946" s="8"/>
      <c r="E946" s="8"/>
      <c r="F946" s="8"/>
      <c r="G946" s="8"/>
      <c r="H946" s="8"/>
    </row>
    <row r="947">
      <c r="B947" s="8"/>
      <c r="C947" s="8"/>
      <c r="D947" s="8"/>
      <c r="E947" s="8"/>
      <c r="F947" s="8"/>
      <c r="G947" s="8"/>
      <c r="H947" s="8"/>
    </row>
    <row r="948">
      <c r="B948" s="8"/>
      <c r="C948" s="8"/>
      <c r="D948" s="8"/>
      <c r="E948" s="8"/>
      <c r="F948" s="8"/>
      <c r="G948" s="8"/>
      <c r="H948" s="8"/>
    </row>
    <row r="949">
      <c r="B949" s="8"/>
      <c r="C949" s="8"/>
      <c r="D949" s="8"/>
      <c r="E949" s="8"/>
      <c r="F949" s="8"/>
      <c r="G949" s="8"/>
      <c r="H949" s="8"/>
    </row>
    <row r="950">
      <c r="B950" s="8"/>
      <c r="C950" s="8"/>
      <c r="D950" s="8"/>
      <c r="E950" s="8"/>
      <c r="F950" s="8"/>
      <c r="G950" s="8"/>
      <c r="H950" s="8"/>
    </row>
    <row r="951">
      <c r="B951" s="8"/>
      <c r="C951" s="8"/>
      <c r="D951" s="8"/>
      <c r="E951" s="8"/>
      <c r="F951" s="8"/>
      <c r="G951" s="8"/>
      <c r="H951" s="8"/>
    </row>
    <row r="952">
      <c r="B952" s="8"/>
      <c r="C952" s="8"/>
      <c r="D952" s="8"/>
      <c r="E952" s="8"/>
      <c r="F952" s="8"/>
      <c r="G952" s="8"/>
      <c r="H952" s="8"/>
    </row>
    <row r="953">
      <c r="B953" s="8"/>
      <c r="C953" s="8"/>
      <c r="D953" s="8"/>
      <c r="E953" s="8"/>
      <c r="F953" s="8"/>
      <c r="G953" s="8"/>
      <c r="H953" s="8"/>
    </row>
    <row r="954">
      <c r="B954" s="8"/>
      <c r="C954" s="8"/>
      <c r="D954" s="8"/>
      <c r="E954" s="8"/>
      <c r="F954" s="8"/>
      <c r="G954" s="8"/>
      <c r="H954" s="8"/>
    </row>
    <row r="955">
      <c r="B955" s="8"/>
      <c r="C955" s="8"/>
      <c r="D955" s="8"/>
      <c r="E955" s="8"/>
      <c r="F955" s="8"/>
      <c r="G955" s="8"/>
      <c r="H955" s="8"/>
    </row>
    <row r="956">
      <c r="B956" s="8"/>
      <c r="C956" s="8"/>
      <c r="D956" s="8"/>
      <c r="E956" s="8"/>
      <c r="F956" s="8"/>
      <c r="G956" s="8"/>
      <c r="H956" s="8"/>
    </row>
    <row r="957">
      <c r="B957" s="8"/>
      <c r="C957" s="8"/>
      <c r="D957" s="8"/>
      <c r="E957" s="8"/>
      <c r="F957" s="8"/>
      <c r="G957" s="8"/>
      <c r="H957" s="8"/>
    </row>
    <row r="958">
      <c r="B958" s="8"/>
      <c r="C958" s="8"/>
      <c r="D958" s="8"/>
      <c r="E958" s="8"/>
      <c r="F958" s="8"/>
      <c r="G958" s="8"/>
      <c r="H958" s="8"/>
    </row>
    <row r="959">
      <c r="B959" s="8"/>
      <c r="C959" s="8"/>
      <c r="D959" s="8"/>
      <c r="E959" s="8"/>
      <c r="F959" s="8"/>
      <c r="G959" s="8"/>
      <c r="H959" s="8"/>
    </row>
    <row r="960">
      <c r="B960" s="8"/>
      <c r="C960" s="8"/>
      <c r="D960" s="8"/>
      <c r="E960" s="8"/>
      <c r="F960" s="8"/>
      <c r="G960" s="8"/>
      <c r="H960" s="8"/>
    </row>
    <row r="961">
      <c r="B961" s="8"/>
      <c r="C961" s="8"/>
      <c r="D961" s="8"/>
      <c r="E961" s="8"/>
      <c r="F961" s="8"/>
      <c r="G961" s="8"/>
      <c r="H961" s="8"/>
    </row>
    <row r="962">
      <c r="B962" s="8"/>
      <c r="C962" s="8"/>
      <c r="D962" s="8"/>
      <c r="E962" s="8"/>
      <c r="F962" s="8"/>
      <c r="G962" s="8"/>
      <c r="H962" s="8"/>
    </row>
    <row r="963">
      <c r="B963" s="8"/>
      <c r="C963" s="8"/>
      <c r="D963" s="8"/>
      <c r="E963" s="8"/>
      <c r="F963" s="8"/>
      <c r="G963" s="8"/>
      <c r="H963" s="8"/>
    </row>
    <row r="964">
      <c r="B964" s="8"/>
      <c r="C964" s="8"/>
      <c r="D964" s="8"/>
      <c r="E964" s="8"/>
      <c r="F964" s="8"/>
      <c r="G964" s="8"/>
      <c r="H964" s="8"/>
    </row>
    <row r="965">
      <c r="B965" s="8"/>
      <c r="C965" s="8"/>
      <c r="D965" s="8"/>
      <c r="E965" s="8"/>
      <c r="F965" s="8"/>
      <c r="G965" s="8"/>
      <c r="H965" s="8"/>
    </row>
    <row r="966">
      <c r="B966" s="8"/>
      <c r="C966" s="8"/>
      <c r="D966" s="8"/>
      <c r="E966" s="8"/>
      <c r="F966" s="8"/>
      <c r="G966" s="8"/>
      <c r="H966" s="8"/>
    </row>
    <row r="967">
      <c r="B967" s="8"/>
      <c r="C967" s="8"/>
      <c r="D967" s="8"/>
      <c r="E967" s="8"/>
      <c r="F967" s="8"/>
      <c r="G967" s="8"/>
      <c r="H967" s="8"/>
    </row>
    <row r="968">
      <c r="B968" s="8"/>
      <c r="C968" s="8"/>
      <c r="D968" s="8"/>
      <c r="E968" s="8"/>
      <c r="F968" s="8"/>
      <c r="G968" s="8"/>
      <c r="H968" s="8"/>
    </row>
    <row r="969">
      <c r="B969" s="8"/>
      <c r="C969" s="8"/>
      <c r="D969" s="8"/>
      <c r="E969" s="8"/>
      <c r="F969" s="8"/>
      <c r="G969" s="8"/>
      <c r="H969" s="8"/>
    </row>
    <row r="970">
      <c r="B970" s="8"/>
      <c r="C970" s="8"/>
      <c r="D970" s="8"/>
      <c r="E970" s="8"/>
      <c r="F970" s="8"/>
      <c r="G970" s="8"/>
      <c r="H970" s="8"/>
    </row>
    <row r="971">
      <c r="B971" s="8"/>
      <c r="C971" s="8"/>
      <c r="D971" s="8"/>
      <c r="E971" s="8"/>
      <c r="F971" s="8"/>
      <c r="G971" s="8"/>
      <c r="H971" s="8"/>
    </row>
    <row r="972">
      <c r="B972" s="8"/>
      <c r="C972" s="8"/>
      <c r="D972" s="8"/>
      <c r="E972" s="8"/>
      <c r="F972" s="8"/>
      <c r="G972" s="8"/>
      <c r="H972" s="8"/>
    </row>
    <row r="973">
      <c r="B973" s="8"/>
      <c r="C973" s="8"/>
      <c r="D973" s="8"/>
      <c r="E973" s="8"/>
      <c r="F973" s="8"/>
      <c r="G973" s="8"/>
      <c r="H973" s="8"/>
    </row>
    <row r="974">
      <c r="B974" s="8"/>
      <c r="C974" s="8"/>
      <c r="D974" s="8"/>
      <c r="E974" s="8"/>
      <c r="F974" s="8"/>
      <c r="G974" s="8"/>
      <c r="H974" s="8"/>
    </row>
    <row r="975">
      <c r="B975" s="8"/>
      <c r="C975" s="8"/>
      <c r="D975" s="8"/>
      <c r="E975" s="8"/>
      <c r="F975" s="8"/>
      <c r="G975" s="8"/>
      <c r="H975" s="8"/>
    </row>
    <row r="976">
      <c r="B976" s="8"/>
      <c r="C976" s="8"/>
      <c r="D976" s="8"/>
      <c r="E976" s="8"/>
      <c r="F976" s="8"/>
      <c r="G976" s="8"/>
      <c r="H976" s="8"/>
    </row>
    <row r="977">
      <c r="B977" s="8"/>
      <c r="C977" s="8"/>
      <c r="D977" s="8"/>
      <c r="E977" s="8"/>
      <c r="F977" s="8"/>
      <c r="G977" s="8"/>
      <c r="H977" s="8"/>
    </row>
    <row r="978">
      <c r="B978" s="8"/>
      <c r="C978" s="8"/>
      <c r="D978" s="8"/>
      <c r="E978" s="8"/>
      <c r="F978" s="8"/>
      <c r="G978" s="8"/>
      <c r="H978" s="8"/>
    </row>
    <row r="979">
      <c r="B979" s="8"/>
      <c r="C979" s="8"/>
      <c r="D979" s="8"/>
      <c r="E979" s="8"/>
      <c r="F979" s="8"/>
      <c r="G979" s="8"/>
      <c r="H979" s="8"/>
    </row>
    <row r="980">
      <c r="B980" s="8"/>
      <c r="C980" s="8"/>
      <c r="D980" s="8"/>
      <c r="E980" s="8"/>
      <c r="F980" s="8"/>
      <c r="G980" s="8"/>
      <c r="H980" s="8"/>
    </row>
    <row r="981">
      <c r="B981" s="8"/>
      <c r="C981" s="8"/>
      <c r="D981" s="8"/>
      <c r="E981" s="8"/>
      <c r="F981" s="8"/>
      <c r="G981" s="8"/>
      <c r="H981" s="8"/>
    </row>
    <row r="982">
      <c r="B982" s="8"/>
      <c r="C982" s="8"/>
      <c r="D982" s="8"/>
      <c r="E982" s="8"/>
      <c r="F982" s="8"/>
      <c r="G982" s="8"/>
      <c r="H982" s="8"/>
    </row>
    <row r="983">
      <c r="B983" s="8"/>
      <c r="C983" s="8"/>
      <c r="D983" s="8"/>
      <c r="E983" s="8"/>
      <c r="F983" s="8"/>
      <c r="G983" s="8"/>
      <c r="H983" s="8"/>
    </row>
    <row r="984">
      <c r="B984" s="8"/>
      <c r="C984" s="8"/>
      <c r="D984" s="8"/>
      <c r="E984" s="8"/>
      <c r="F984" s="8"/>
      <c r="G984" s="8"/>
      <c r="H984" s="8"/>
    </row>
    <row r="985">
      <c r="B985" s="8"/>
      <c r="C985" s="8"/>
      <c r="D985" s="8"/>
      <c r="E985" s="8"/>
      <c r="F985" s="8"/>
      <c r="G985" s="8"/>
      <c r="H985" s="8"/>
    </row>
    <row r="986">
      <c r="B986" s="8"/>
      <c r="C986" s="8"/>
      <c r="D986" s="8"/>
      <c r="E986" s="8"/>
      <c r="F986" s="8"/>
      <c r="G986" s="8"/>
      <c r="H986" s="8"/>
    </row>
    <row r="987">
      <c r="B987" s="8"/>
      <c r="C987" s="8"/>
      <c r="D987" s="8"/>
      <c r="E987" s="8"/>
      <c r="F987" s="8"/>
      <c r="G987" s="8"/>
      <c r="H987" s="8"/>
    </row>
    <row r="988">
      <c r="B988" s="8"/>
      <c r="C988" s="8"/>
      <c r="D988" s="8"/>
      <c r="E988" s="8"/>
      <c r="F988" s="8"/>
      <c r="G988" s="8"/>
      <c r="H988" s="8"/>
    </row>
    <row r="989">
      <c r="B989" s="8"/>
      <c r="C989" s="8"/>
      <c r="D989" s="8"/>
      <c r="E989" s="8"/>
      <c r="F989" s="8"/>
      <c r="G989" s="8"/>
      <c r="H989" s="8"/>
    </row>
    <row r="990">
      <c r="B990" s="8"/>
      <c r="C990" s="8"/>
      <c r="D990" s="8"/>
      <c r="E990" s="8"/>
      <c r="F990" s="8"/>
      <c r="G990" s="8"/>
      <c r="H990" s="8"/>
    </row>
    <row r="991">
      <c r="B991" s="8"/>
      <c r="C991" s="8"/>
      <c r="D991" s="8"/>
      <c r="E991" s="8"/>
      <c r="F991" s="8"/>
      <c r="G991" s="8"/>
      <c r="H991" s="8"/>
    </row>
    <row r="992">
      <c r="B992" s="8"/>
      <c r="C992" s="8"/>
      <c r="D992" s="8"/>
      <c r="E992" s="8"/>
      <c r="F992" s="8"/>
      <c r="G992" s="8"/>
      <c r="H992" s="8"/>
    </row>
    <row r="993">
      <c r="B993" s="8"/>
      <c r="C993" s="8"/>
      <c r="D993" s="8"/>
      <c r="E993" s="8"/>
      <c r="F993" s="8"/>
      <c r="G993" s="8"/>
      <c r="H993" s="8"/>
    </row>
    <row r="994">
      <c r="B994" s="8"/>
      <c r="C994" s="8"/>
      <c r="D994" s="8"/>
      <c r="E994" s="8"/>
      <c r="F994" s="8"/>
      <c r="G994" s="8"/>
      <c r="H994" s="8"/>
    </row>
    <row r="995">
      <c r="B995" s="8"/>
      <c r="C995" s="8"/>
      <c r="D995" s="8"/>
      <c r="E995" s="8"/>
      <c r="F995" s="8"/>
      <c r="G995" s="8"/>
      <c r="H995" s="8"/>
    </row>
    <row r="996">
      <c r="B996" s="8"/>
      <c r="C996" s="8"/>
      <c r="D996" s="8"/>
      <c r="E996" s="8"/>
      <c r="F996" s="8"/>
      <c r="G996" s="8"/>
      <c r="H996" s="8"/>
    </row>
    <row r="997">
      <c r="B997" s="8"/>
      <c r="C997" s="8"/>
      <c r="D997" s="8"/>
      <c r="E997" s="8"/>
      <c r="F997" s="8"/>
      <c r="G997" s="8"/>
      <c r="H997" s="8"/>
    </row>
    <row r="998">
      <c r="B998" s="8"/>
      <c r="C998" s="8"/>
      <c r="D998" s="8"/>
      <c r="E998" s="8"/>
      <c r="F998" s="8"/>
      <c r="G998" s="8"/>
      <c r="H998" s="8"/>
    </row>
    <row r="999">
      <c r="B999" s="8"/>
      <c r="C999" s="8"/>
      <c r="D999" s="8"/>
      <c r="E999" s="8"/>
      <c r="F999" s="8"/>
      <c r="G999" s="8"/>
      <c r="H999" s="8"/>
    </row>
    <row r="1000">
      <c r="B1000" s="8"/>
      <c r="C1000" s="8"/>
      <c r="D1000" s="8"/>
      <c r="E1000" s="8"/>
      <c r="F1000" s="8"/>
      <c r="G1000" s="8"/>
      <c r="H1000"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8" t="str">
        <f t="array" ref="A1:A470">'CRR 2025'!Q2:Q1000</f>
        <v>Artificial Reef</v>
      </c>
      <c r="B1" s="8" t="str">
        <f>IFERROR(__xludf.DUMMYFUNCTION("byrow(A1:A1000, lambda(A, transpose(UNIQUE(filter(Interventions!C2:C1000,Interventions!B2:B1000=A)))))"),"Concrete")</f>
        <v>Concrete</v>
      </c>
      <c r="C1" s="8" t="str">
        <f>IFERROR(__xludf.DUMMYFUNCTION("""COMPUTED_VALUE"""),"Tires")</f>
        <v>Tires</v>
      </c>
      <c r="D1" s="8" t="str">
        <f>IFERROR(__xludf.DUMMYFUNCTION("""COMPUTED_VALUE"""),"Natural")</f>
        <v>Natural</v>
      </c>
      <c r="E1" s="8" t="str">
        <f>IFERROR(__xludf.DUMMYFUNCTION("""COMPUTED_VALUE"""),"Metal/Wreck")</f>
        <v>Metal/Wreck</v>
      </c>
      <c r="F1" s="8" t="str">
        <f>IFERROR(__xludf.DUMMYFUNCTION("""COMPUTED_VALUE"""),"Engineered/Advanced")</f>
        <v>Engineered/Advanced</v>
      </c>
      <c r="G1" s="8" t="str">
        <f>IFERROR(__xludf.DUMMYFUNCTION("""COMPUTED_VALUE"""),"Recycled/Waste")</f>
        <v>Recycled/Waste</v>
      </c>
      <c r="H1" s="8" t="str">
        <f>IFERROR(__xludf.DUMMYFUNCTION("""COMPUTED_VALUE"""),"Hybrid")</f>
        <v>Hybrid</v>
      </c>
    </row>
    <row r="2">
      <c r="A2" s="8" t="s">
        <v>178</v>
      </c>
      <c r="B2" s="8" t="str">
        <f>IFERROR(__xludf.DUMMYFUNCTION("""COMPUTED_VALUE"""),"Not applicable")</f>
        <v>Not applicable</v>
      </c>
      <c r="C2" s="8"/>
      <c r="D2" s="8"/>
      <c r="E2" s="8"/>
      <c r="F2" s="8"/>
      <c r="G2" s="8"/>
      <c r="H2" s="8"/>
    </row>
    <row r="3">
      <c r="A3" s="8" t="s">
        <v>200</v>
      </c>
      <c r="B3" s="8" t="str">
        <f>IFERROR(__xludf.DUMMYFUNCTION("""COMPUTED_VALUE"""),"Not applicable")</f>
        <v>Not applicable</v>
      </c>
      <c r="C3" s="8"/>
      <c r="D3" s="8"/>
      <c r="E3" s="8"/>
      <c r="F3" s="8"/>
      <c r="G3" s="8"/>
      <c r="H3" s="8"/>
    </row>
    <row r="4">
      <c r="A4" s="8" t="s">
        <v>200</v>
      </c>
      <c r="B4" s="8" t="str">
        <f>IFERROR(__xludf.DUMMYFUNCTION("""COMPUTED_VALUE"""),"Not applicable")</f>
        <v>Not applicable</v>
      </c>
      <c r="C4" s="8"/>
      <c r="D4" s="8"/>
      <c r="E4" s="8"/>
      <c r="F4" s="8"/>
      <c r="G4" s="8"/>
      <c r="H4" s="8"/>
    </row>
    <row r="5">
      <c r="A5" s="8" t="s">
        <v>200</v>
      </c>
      <c r="B5" s="8" t="str">
        <f>IFERROR(__xludf.DUMMYFUNCTION("""COMPUTED_VALUE"""),"Not applicable")</f>
        <v>Not applicable</v>
      </c>
      <c r="C5" s="8"/>
      <c r="D5" s="8"/>
      <c r="E5" s="8"/>
      <c r="F5" s="8"/>
      <c r="G5" s="8"/>
      <c r="H5" s="8"/>
    </row>
    <row r="6">
      <c r="A6" s="8" t="s">
        <v>200</v>
      </c>
      <c r="B6" s="8" t="str">
        <f>IFERROR(__xludf.DUMMYFUNCTION("""COMPUTED_VALUE"""),"Not applicable")</f>
        <v>Not applicable</v>
      </c>
      <c r="C6" s="8"/>
      <c r="D6" s="8"/>
      <c r="E6" s="8"/>
      <c r="F6" s="8"/>
      <c r="G6" s="8"/>
      <c r="H6" s="8"/>
    </row>
    <row r="7">
      <c r="A7" s="8" t="s">
        <v>200</v>
      </c>
      <c r="B7" s="8" t="str">
        <f>IFERROR(__xludf.DUMMYFUNCTION("""COMPUTED_VALUE"""),"Not applicable")</f>
        <v>Not applicable</v>
      </c>
      <c r="C7" s="8"/>
      <c r="D7" s="8"/>
      <c r="E7" s="8"/>
      <c r="F7" s="8"/>
      <c r="G7" s="8"/>
      <c r="H7" s="8"/>
    </row>
    <row r="8">
      <c r="A8" s="8" t="s">
        <v>200</v>
      </c>
      <c r="B8" s="8" t="str">
        <f>IFERROR(__xludf.DUMMYFUNCTION("""COMPUTED_VALUE"""),"Not applicable")</f>
        <v>Not applicable</v>
      </c>
      <c r="C8" s="8"/>
      <c r="D8" s="8"/>
      <c r="E8" s="8"/>
      <c r="F8" s="8"/>
      <c r="G8" s="8"/>
      <c r="H8" s="8"/>
    </row>
    <row r="9">
      <c r="A9" s="8" t="s">
        <v>200</v>
      </c>
      <c r="B9" s="8" t="str">
        <f>IFERROR(__xludf.DUMMYFUNCTION("""COMPUTED_VALUE"""),"Not applicable")</f>
        <v>Not applicable</v>
      </c>
      <c r="C9" s="8"/>
      <c r="D9" s="8"/>
      <c r="E9" s="8"/>
      <c r="F9" s="8"/>
      <c r="G9" s="8"/>
      <c r="H9" s="8"/>
    </row>
    <row r="10">
      <c r="A10" s="8" t="s">
        <v>264</v>
      </c>
      <c r="B10" s="8" t="str">
        <f>IFERROR(__xludf.DUMMYFUNCTION("""COMPUTED_VALUE"""),"#N/A")</f>
        <v>#N/A</v>
      </c>
      <c r="C10" s="8"/>
      <c r="D10" s="8"/>
      <c r="E10" s="8"/>
      <c r="F10" s="8"/>
      <c r="G10" s="8"/>
      <c r="H10" s="8"/>
    </row>
    <row r="11">
      <c r="A11" s="8" t="s">
        <v>151</v>
      </c>
      <c r="B11" s="8" t="str">
        <f>IFERROR(__xludf.DUMMYFUNCTION("""COMPUTED_VALUE"""),"Concrete")</f>
        <v>Concrete</v>
      </c>
      <c r="C11" s="8" t="str">
        <f>IFERROR(__xludf.DUMMYFUNCTION("""COMPUTED_VALUE"""),"Tires")</f>
        <v>Tires</v>
      </c>
      <c r="D11" s="8" t="str">
        <f>IFERROR(__xludf.DUMMYFUNCTION("""COMPUTED_VALUE"""),"Natural")</f>
        <v>Natural</v>
      </c>
      <c r="E11" s="8" t="str">
        <f>IFERROR(__xludf.DUMMYFUNCTION("""COMPUTED_VALUE"""),"Metal/Wreck")</f>
        <v>Metal/Wreck</v>
      </c>
      <c r="F11" s="8" t="str">
        <f>IFERROR(__xludf.DUMMYFUNCTION("""COMPUTED_VALUE"""),"Engineered/Advanced")</f>
        <v>Engineered/Advanced</v>
      </c>
      <c r="G11" s="8" t="str">
        <f>IFERROR(__xludf.DUMMYFUNCTION("""COMPUTED_VALUE"""),"Recycled/Waste")</f>
        <v>Recycled/Waste</v>
      </c>
      <c r="H11" s="8" t="str">
        <f>IFERROR(__xludf.DUMMYFUNCTION("""COMPUTED_VALUE"""),"Hybrid")</f>
        <v>Hybrid</v>
      </c>
    </row>
    <row r="12">
      <c r="A12" s="8" t="s">
        <v>299</v>
      </c>
      <c r="B12" s="8" t="str">
        <f>IFERROR(__xludf.DUMMYFUNCTION("""COMPUTED_VALUE"""),"#N/A")</f>
        <v>#N/A</v>
      </c>
      <c r="C12" s="8"/>
      <c r="D12" s="8"/>
      <c r="E12" s="8"/>
      <c r="F12" s="8"/>
      <c r="G12" s="8"/>
      <c r="H12" s="8"/>
    </row>
    <row r="13">
      <c r="A13" s="8" t="s">
        <v>319</v>
      </c>
      <c r="B13" s="8" t="str">
        <f>IFERROR(__xludf.DUMMYFUNCTION("""COMPUTED_VALUE"""),"Not applicable")</f>
        <v>Not applicable</v>
      </c>
      <c r="C13" s="8"/>
      <c r="D13" s="8"/>
      <c r="E13" s="8"/>
      <c r="F13" s="8"/>
      <c r="G13" s="8"/>
      <c r="H13" s="8"/>
    </row>
    <row r="14">
      <c r="A14" s="8" t="s">
        <v>151</v>
      </c>
      <c r="B14" s="8" t="str">
        <f>IFERROR(__xludf.DUMMYFUNCTION("""COMPUTED_VALUE"""),"Concrete")</f>
        <v>Concrete</v>
      </c>
      <c r="C14" s="8" t="str">
        <f>IFERROR(__xludf.DUMMYFUNCTION("""COMPUTED_VALUE"""),"Tires")</f>
        <v>Tires</v>
      </c>
      <c r="D14" s="8" t="str">
        <f>IFERROR(__xludf.DUMMYFUNCTION("""COMPUTED_VALUE"""),"Natural")</f>
        <v>Natural</v>
      </c>
      <c r="E14" s="8" t="str">
        <f>IFERROR(__xludf.DUMMYFUNCTION("""COMPUTED_VALUE"""),"Metal/Wreck")</f>
        <v>Metal/Wreck</v>
      </c>
      <c r="F14" s="8" t="str">
        <f>IFERROR(__xludf.DUMMYFUNCTION("""COMPUTED_VALUE"""),"Engineered/Advanced")</f>
        <v>Engineered/Advanced</v>
      </c>
      <c r="G14" s="8" t="str">
        <f>IFERROR(__xludf.DUMMYFUNCTION("""COMPUTED_VALUE"""),"Recycled/Waste")</f>
        <v>Recycled/Waste</v>
      </c>
      <c r="H14" s="8" t="str">
        <f>IFERROR(__xludf.DUMMYFUNCTION("""COMPUTED_VALUE"""),"Hybrid")</f>
        <v>Hybrid</v>
      </c>
    </row>
    <row r="15">
      <c r="A15" s="8" t="s">
        <v>151</v>
      </c>
      <c r="B15" s="8" t="str">
        <f>IFERROR(__xludf.DUMMYFUNCTION("""COMPUTED_VALUE"""),"Concrete")</f>
        <v>Concrete</v>
      </c>
      <c r="C15" s="8" t="str">
        <f>IFERROR(__xludf.DUMMYFUNCTION("""COMPUTED_VALUE"""),"Tires")</f>
        <v>Tires</v>
      </c>
      <c r="D15" s="8" t="str">
        <f>IFERROR(__xludf.DUMMYFUNCTION("""COMPUTED_VALUE"""),"Natural")</f>
        <v>Natural</v>
      </c>
      <c r="E15" s="8" t="str">
        <f>IFERROR(__xludf.DUMMYFUNCTION("""COMPUTED_VALUE"""),"Metal/Wreck")</f>
        <v>Metal/Wreck</v>
      </c>
      <c r="F15" s="8" t="str">
        <f>IFERROR(__xludf.DUMMYFUNCTION("""COMPUTED_VALUE"""),"Engineered/Advanced")</f>
        <v>Engineered/Advanced</v>
      </c>
      <c r="G15" s="8" t="str">
        <f>IFERROR(__xludf.DUMMYFUNCTION("""COMPUTED_VALUE"""),"Recycled/Waste")</f>
        <v>Recycled/Waste</v>
      </c>
      <c r="H15" s="8" t="str">
        <f>IFERROR(__xludf.DUMMYFUNCTION("""COMPUTED_VALUE"""),"Hybrid")</f>
        <v>Hybrid</v>
      </c>
    </row>
    <row r="16">
      <c r="A16" s="8" t="s">
        <v>151</v>
      </c>
      <c r="B16" s="8" t="str">
        <f>IFERROR(__xludf.DUMMYFUNCTION("""COMPUTED_VALUE"""),"Concrete")</f>
        <v>Concrete</v>
      </c>
      <c r="C16" s="8" t="str">
        <f>IFERROR(__xludf.DUMMYFUNCTION("""COMPUTED_VALUE"""),"Tires")</f>
        <v>Tires</v>
      </c>
      <c r="D16" s="8" t="str">
        <f>IFERROR(__xludf.DUMMYFUNCTION("""COMPUTED_VALUE"""),"Natural")</f>
        <v>Natural</v>
      </c>
      <c r="E16" s="8" t="str">
        <f>IFERROR(__xludf.DUMMYFUNCTION("""COMPUTED_VALUE"""),"Metal/Wreck")</f>
        <v>Metal/Wreck</v>
      </c>
      <c r="F16" s="8" t="str">
        <f>IFERROR(__xludf.DUMMYFUNCTION("""COMPUTED_VALUE"""),"Engineered/Advanced")</f>
        <v>Engineered/Advanced</v>
      </c>
      <c r="G16" s="8" t="str">
        <f>IFERROR(__xludf.DUMMYFUNCTION("""COMPUTED_VALUE"""),"Recycled/Waste")</f>
        <v>Recycled/Waste</v>
      </c>
      <c r="H16" s="8" t="str">
        <f>IFERROR(__xludf.DUMMYFUNCTION("""COMPUTED_VALUE"""),"Hybrid")</f>
        <v>Hybrid</v>
      </c>
    </row>
    <row r="17">
      <c r="A17" s="8" t="s">
        <v>151</v>
      </c>
      <c r="B17" s="8" t="str">
        <f>IFERROR(__xludf.DUMMYFUNCTION("""COMPUTED_VALUE"""),"Concrete")</f>
        <v>Concrete</v>
      </c>
      <c r="C17" s="8" t="str">
        <f>IFERROR(__xludf.DUMMYFUNCTION("""COMPUTED_VALUE"""),"Tires")</f>
        <v>Tires</v>
      </c>
      <c r="D17" s="8" t="str">
        <f>IFERROR(__xludf.DUMMYFUNCTION("""COMPUTED_VALUE"""),"Natural")</f>
        <v>Natural</v>
      </c>
      <c r="E17" s="8" t="str">
        <f>IFERROR(__xludf.DUMMYFUNCTION("""COMPUTED_VALUE"""),"Metal/Wreck")</f>
        <v>Metal/Wreck</v>
      </c>
      <c r="F17" s="8" t="str">
        <f>IFERROR(__xludf.DUMMYFUNCTION("""COMPUTED_VALUE"""),"Engineered/Advanced")</f>
        <v>Engineered/Advanced</v>
      </c>
      <c r="G17" s="8" t="str">
        <f>IFERROR(__xludf.DUMMYFUNCTION("""COMPUTED_VALUE"""),"Recycled/Waste")</f>
        <v>Recycled/Waste</v>
      </c>
      <c r="H17" s="8" t="str">
        <f>IFERROR(__xludf.DUMMYFUNCTION("""COMPUTED_VALUE"""),"Hybrid")</f>
        <v>Hybrid</v>
      </c>
    </row>
    <row r="18">
      <c r="A18" s="8" t="s">
        <v>151</v>
      </c>
      <c r="B18" s="8" t="str">
        <f>IFERROR(__xludf.DUMMYFUNCTION("""COMPUTED_VALUE"""),"Concrete")</f>
        <v>Concrete</v>
      </c>
      <c r="C18" s="8" t="str">
        <f>IFERROR(__xludf.DUMMYFUNCTION("""COMPUTED_VALUE"""),"Tires")</f>
        <v>Tires</v>
      </c>
      <c r="D18" s="8" t="str">
        <f>IFERROR(__xludf.DUMMYFUNCTION("""COMPUTED_VALUE"""),"Natural")</f>
        <v>Natural</v>
      </c>
      <c r="E18" s="8" t="str">
        <f>IFERROR(__xludf.DUMMYFUNCTION("""COMPUTED_VALUE"""),"Metal/Wreck")</f>
        <v>Metal/Wreck</v>
      </c>
      <c r="F18" s="8" t="str">
        <f>IFERROR(__xludf.DUMMYFUNCTION("""COMPUTED_VALUE"""),"Engineered/Advanced")</f>
        <v>Engineered/Advanced</v>
      </c>
      <c r="G18" s="8" t="str">
        <f>IFERROR(__xludf.DUMMYFUNCTION("""COMPUTED_VALUE"""),"Recycled/Waste")</f>
        <v>Recycled/Waste</v>
      </c>
      <c r="H18" s="8" t="str">
        <f>IFERROR(__xludf.DUMMYFUNCTION("""COMPUTED_VALUE"""),"Hybrid")</f>
        <v>Hybrid</v>
      </c>
    </row>
    <row r="19">
      <c r="A19" s="8" t="s">
        <v>151</v>
      </c>
      <c r="B19" s="8" t="str">
        <f>IFERROR(__xludf.DUMMYFUNCTION("""COMPUTED_VALUE"""),"Concrete")</f>
        <v>Concrete</v>
      </c>
      <c r="C19" s="8" t="str">
        <f>IFERROR(__xludf.DUMMYFUNCTION("""COMPUTED_VALUE"""),"Tires")</f>
        <v>Tires</v>
      </c>
      <c r="D19" s="8" t="str">
        <f>IFERROR(__xludf.DUMMYFUNCTION("""COMPUTED_VALUE"""),"Natural")</f>
        <v>Natural</v>
      </c>
      <c r="E19" s="8" t="str">
        <f>IFERROR(__xludf.DUMMYFUNCTION("""COMPUTED_VALUE"""),"Metal/Wreck")</f>
        <v>Metal/Wreck</v>
      </c>
      <c r="F19" s="8" t="str">
        <f>IFERROR(__xludf.DUMMYFUNCTION("""COMPUTED_VALUE"""),"Engineered/Advanced")</f>
        <v>Engineered/Advanced</v>
      </c>
      <c r="G19" s="8" t="str">
        <f>IFERROR(__xludf.DUMMYFUNCTION("""COMPUTED_VALUE"""),"Recycled/Waste")</f>
        <v>Recycled/Waste</v>
      </c>
      <c r="H19" s="8" t="str">
        <f>IFERROR(__xludf.DUMMYFUNCTION("""COMPUTED_VALUE"""),"Hybrid")</f>
        <v>Hybrid</v>
      </c>
    </row>
    <row r="20">
      <c r="A20" s="8" t="s">
        <v>151</v>
      </c>
      <c r="B20" s="8" t="str">
        <f>IFERROR(__xludf.DUMMYFUNCTION("""COMPUTED_VALUE"""),"Concrete")</f>
        <v>Concrete</v>
      </c>
      <c r="C20" s="8" t="str">
        <f>IFERROR(__xludf.DUMMYFUNCTION("""COMPUTED_VALUE"""),"Tires")</f>
        <v>Tires</v>
      </c>
      <c r="D20" s="8" t="str">
        <f>IFERROR(__xludf.DUMMYFUNCTION("""COMPUTED_VALUE"""),"Natural")</f>
        <v>Natural</v>
      </c>
      <c r="E20" s="8" t="str">
        <f>IFERROR(__xludf.DUMMYFUNCTION("""COMPUTED_VALUE"""),"Metal/Wreck")</f>
        <v>Metal/Wreck</v>
      </c>
      <c r="F20" s="8" t="str">
        <f>IFERROR(__xludf.DUMMYFUNCTION("""COMPUTED_VALUE"""),"Engineered/Advanced")</f>
        <v>Engineered/Advanced</v>
      </c>
      <c r="G20" s="8" t="str">
        <f>IFERROR(__xludf.DUMMYFUNCTION("""COMPUTED_VALUE"""),"Recycled/Waste")</f>
        <v>Recycled/Waste</v>
      </c>
      <c r="H20" s="8" t="str">
        <f>IFERROR(__xludf.DUMMYFUNCTION("""COMPUTED_VALUE"""),"Hybrid")</f>
        <v>Hybrid</v>
      </c>
    </row>
    <row r="21">
      <c r="A21" s="8" t="s">
        <v>151</v>
      </c>
      <c r="B21" s="8" t="str">
        <f>IFERROR(__xludf.DUMMYFUNCTION("""COMPUTED_VALUE"""),"Concrete")</f>
        <v>Concrete</v>
      </c>
      <c r="C21" s="8" t="str">
        <f>IFERROR(__xludf.DUMMYFUNCTION("""COMPUTED_VALUE"""),"Tires")</f>
        <v>Tires</v>
      </c>
      <c r="D21" s="8" t="str">
        <f>IFERROR(__xludf.DUMMYFUNCTION("""COMPUTED_VALUE"""),"Natural")</f>
        <v>Natural</v>
      </c>
      <c r="E21" s="8" t="str">
        <f>IFERROR(__xludf.DUMMYFUNCTION("""COMPUTED_VALUE"""),"Metal/Wreck")</f>
        <v>Metal/Wreck</v>
      </c>
      <c r="F21" s="8" t="str">
        <f>IFERROR(__xludf.DUMMYFUNCTION("""COMPUTED_VALUE"""),"Engineered/Advanced")</f>
        <v>Engineered/Advanced</v>
      </c>
      <c r="G21" s="8" t="str">
        <f>IFERROR(__xludf.DUMMYFUNCTION("""COMPUTED_VALUE"""),"Recycled/Waste")</f>
        <v>Recycled/Waste</v>
      </c>
      <c r="H21" s="8" t="str">
        <f>IFERROR(__xludf.DUMMYFUNCTION("""COMPUTED_VALUE"""),"Hybrid")</f>
        <v>Hybrid</v>
      </c>
    </row>
    <row r="22">
      <c r="A22" s="8" t="s">
        <v>151</v>
      </c>
      <c r="B22" s="8" t="str">
        <f>IFERROR(__xludf.DUMMYFUNCTION("""COMPUTED_VALUE"""),"Concrete")</f>
        <v>Concrete</v>
      </c>
      <c r="C22" s="8" t="str">
        <f>IFERROR(__xludf.DUMMYFUNCTION("""COMPUTED_VALUE"""),"Tires")</f>
        <v>Tires</v>
      </c>
      <c r="D22" s="8" t="str">
        <f>IFERROR(__xludf.DUMMYFUNCTION("""COMPUTED_VALUE"""),"Natural")</f>
        <v>Natural</v>
      </c>
      <c r="E22" s="8" t="str">
        <f>IFERROR(__xludf.DUMMYFUNCTION("""COMPUTED_VALUE"""),"Metal/Wreck")</f>
        <v>Metal/Wreck</v>
      </c>
      <c r="F22" s="8" t="str">
        <f>IFERROR(__xludf.DUMMYFUNCTION("""COMPUTED_VALUE"""),"Engineered/Advanced")</f>
        <v>Engineered/Advanced</v>
      </c>
      <c r="G22" s="8" t="str">
        <f>IFERROR(__xludf.DUMMYFUNCTION("""COMPUTED_VALUE"""),"Recycled/Waste")</f>
        <v>Recycled/Waste</v>
      </c>
      <c r="H22" s="8" t="str">
        <f>IFERROR(__xludf.DUMMYFUNCTION("""COMPUTED_VALUE"""),"Hybrid")</f>
        <v>Hybrid</v>
      </c>
    </row>
    <row r="23">
      <c r="A23" s="8" t="s">
        <v>151</v>
      </c>
      <c r="B23" s="8" t="str">
        <f>IFERROR(__xludf.DUMMYFUNCTION("""COMPUTED_VALUE"""),"Concrete")</f>
        <v>Concrete</v>
      </c>
      <c r="C23" s="8" t="str">
        <f>IFERROR(__xludf.DUMMYFUNCTION("""COMPUTED_VALUE"""),"Tires")</f>
        <v>Tires</v>
      </c>
      <c r="D23" s="8" t="str">
        <f>IFERROR(__xludf.DUMMYFUNCTION("""COMPUTED_VALUE"""),"Natural")</f>
        <v>Natural</v>
      </c>
      <c r="E23" s="8" t="str">
        <f>IFERROR(__xludf.DUMMYFUNCTION("""COMPUTED_VALUE"""),"Metal/Wreck")</f>
        <v>Metal/Wreck</v>
      </c>
      <c r="F23" s="8" t="str">
        <f>IFERROR(__xludf.DUMMYFUNCTION("""COMPUTED_VALUE"""),"Engineered/Advanced")</f>
        <v>Engineered/Advanced</v>
      </c>
      <c r="G23" s="8" t="str">
        <f>IFERROR(__xludf.DUMMYFUNCTION("""COMPUTED_VALUE"""),"Recycled/Waste")</f>
        <v>Recycled/Waste</v>
      </c>
      <c r="H23" s="8" t="str">
        <f>IFERROR(__xludf.DUMMYFUNCTION("""COMPUTED_VALUE"""),"Hybrid")</f>
        <v>Hybrid</v>
      </c>
    </row>
    <row r="24">
      <c r="A24" s="8" t="s">
        <v>151</v>
      </c>
      <c r="B24" s="8" t="str">
        <f>IFERROR(__xludf.DUMMYFUNCTION("""COMPUTED_VALUE"""),"Concrete")</f>
        <v>Concrete</v>
      </c>
      <c r="C24" s="8" t="str">
        <f>IFERROR(__xludf.DUMMYFUNCTION("""COMPUTED_VALUE"""),"Tires")</f>
        <v>Tires</v>
      </c>
      <c r="D24" s="8" t="str">
        <f>IFERROR(__xludf.DUMMYFUNCTION("""COMPUTED_VALUE"""),"Natural")</f>
        <v>Natural</v>
      </c>
      <c r="E24" s="8" t="str">
        <f>IFERROR(__xludf.DUMMYFUNCTION("""COMPUTED_VALUE"""),"Metal/Wreck")</f>
        <v>Metal/Wreck</v>
      </c>
      <c r="F24" s="8" t="str">
        <f>IFERROR(__xludf.DUMMYFUNCTION("""COMPUTED_VALUE"""),"Engineered/Advanced")</f>
        <v>Engineered/Advanced</v>
      </c>
      <c r="G24" s="8" t="str">
        <f>IFERROR(__xludf.DUMMYFUNCTION("""COMPUTED_VALUE"""),"Recycled/Waste")</f>
        <v>Recycled/Waste</v>
      </c>
      <c r="H24" s="8" t="str">
        <f>IFERROR(__xludf.DUMMYFUNCTION("""COMPUTED_VALUE"""),"Hybrid")</f>
        <v>Hybrid</v>
      </c>
    </row>
    <row r="25">
      <c r="A25" s="8" t="s">
        <v>151</v>
      </c>
      <c r="B25" s="8" t="str">
        <f>IFERROR(__xludf.DUMMYFUNCTION("""COMPUTED_VALUE"""),"Concrete")</f>
        <v>Concrete</v>
      </c>
      <c r="C25" s="8" t="str">
        <f>IFERROR(__xludf.DUMMYFUNCTION("""COMPUTED_VALUE"""),"Tires")</f>
        <v>Tires</v>
      </c>
      <c r="D25" s="8" t="str">
        <f>IFERROR(__xludf.DUMMYFUNCTION("""COMPUTED_VALUE"""),"Natural")</f>
        <v>Natural</v>
      </c>
      <c r="E25" s="8" t="str">
        <f>IFERROR(__xludf.DUMMYFUNCTION("""COMPUTED_VALUE"""),"Metal/Wreck")</f>
        <v>Metal/Wreck</v>
      </c>
      <c r="F25" s="8" t="str">
        <f>IFERROR(__xludf.DUMMYFUNCTION("""COMPUTED_VALUE"""),"Engineered/Advanced")</f>
        <v>Engineered/Advanced</v>
      </c>
      <c r="G25" s="8" t="str">
        <f>IFERROR(__xludf.DUMMYFUNCTION("""COMPUTED_VALUE"""),"Recycled/Waste")</f>
        <v>Recycled/Waste</v>
      </c>
      <c r="H25" s="8" t="str">
        <f>IFERROR(__xludf.DUMMYFUNCTION("""COMPUTED_VALUE"""),"Hybrid")</f>
        <v>Hybrid</v>
      </c>
    </row>
    <row r="26">
      <c r="A26" s="8" t="s">
        <v>151</v>
      </c>
      <c r="B26" s="8" t="str">
        <f>IFERROR(__xludf.DUMMYFUNCTION("""COMPUTED_VALUE"""),"Concrete")</f>
        <v>Concrete</v>
      </c>
      <c r="C26" s="8" t="str">
        <f>IFERROR(__xludf.DUMMYFUNCTION("""COMPUTED_VALUE"""),"Tires")</f>
        <v>Tires</v>
      </c>
      <c r="D26" s="8" t="str">
        <f>IFERROR(__xludf.DUMMYFUNCTION("""COMPUTED_VALUE"""),"Natural")</f>
        <v>Natural</v>
      </c>
      <c r="E26" s="8" t="str">
        <f>IFERROR(__xludf.DUMMYFUNCTION("""COMPUTED_VALUE"""),"Metal/Wreck")</f>
        <v>Metal/Wreck</v>
      </c>
      <c r="F26" s="8" t="str">
        <f>IFERROR(__xludf.DUMMYFUNCTION("""COMPUTED_VALUE"""),"Engineered/Advanced")</f>
        <v>Engineered/Advanced</v>
      </c>
      <c r="G26" s="8" t="str">
        <f>IFERROR(__xludf.DUMMYFUNCTION("""COMPUTED_VALUE"""),"Recycled/Waste")</f>
        <v>Recycled/Waste</v>
      </c>
      <c r="H26" s="8" t="str">
        <f>IFERROR(__xludf.DUMMYFUNCTION("""COMPUTED_VALUE"""),"Hybrid")</f>
        <v>Hybrid</v>
      </c>
    </row>
    <row r="27">
      <c r="A27" s="8" t="s">
        <v>151</v>
      </c>
      <c r="B27" s="8" t="str">
        <f>IFERROR(__xludf.DUMMYFUNCTION("""COMPUTED_VALUE"""),"Concrete")</f>
        <v>Concrete</v>
      </c>
      <c r="C27" s="8" t="str">
        <f>IFERROR(__xludf.DUMMYFUNCTION("""COMPUTED_VALUE"""),"Tires")</f>
        <v>Tires</v>
      </c>
      <c r="D27" s="8" t="str">
        <f>IFERROR(__xludf.DUMMYFUNCTION("""COMPUTED_VALUE"""),"Natural")</f>
        <v>Natural</v>
      </c>
      <c r="E27" s="8" t="str">
        <f>IFERROR(__xludf.DUMMYFUNCTION("""COMPUTED_VALUE"""),"Metal/Wreck")</f>
        <v>Metal/Wreck</v>
      </c>
      <c r="F27" s="8" t="str">
        <f>IFERROR(__xludf.DUMMYFUNCTION("""COMPUTED_VALUE"""),"Engineered/Advanced")</f>
        <v>Engineered/Advanced</v>
      </c>
      <c r="G27" s="8" t="str">
        <f>IFERROR(__xludf.DUMMYFUNCTION("""COMPUTED_VALUE"""),"Recycled/Waste")</f>
        <v>Recycled/Waste</v>
      </c>
      <c r="H27" s="8" t="str">
        <f>IFERROR(__xludf.DUMMYFUNCTION("""COMPUTED_VALUE"""),"Hybrid")</f>
        <v>Hybrid</v>
      </c>
    </row>
    <row r="28">
      <c r="A28" s="8" t="s">
        <v>151</v>
      </c>
      <c r="B28" s="8" t="str">
        <f>IFERROR(__xludf.DUMMYFUNCTION("""COMPUTED_VALUE"""),"Concrete")</f>
        <v>Concrete</v>
      </c>
      <c r="C28" s="8" t="str">
        <f>IFERROR(__xludf.DUMMYFUNCTION("""COMPUTED_VALUE"""),"Tires")</f>
        <v>Tires</v>
      </c>
      <c r="D28" s="8" t="str">
        <f>IFERROR(__xludf.DUMMYFUNCTION("""COMPUTED_VALUE"""),"Natural")</f>
        <v>Natural</v>
      </c>
      <c r="E28" s="8" t="str">
        <f>IFERROR(__xludf.DUMMYFUNCTION("""COMPUTED_VALUE"""),"Metal/Wreck")</f>
        <v>Metal/Wreck</v>
      </c>
      <c r="F28" s="8" t="str">
        <f>IFERROR(__xludf.DUMMYFUNCTION("""COMPUTED_VALUE"""),"Engineered/Advanced")</f>
        <v>Engineered/Advanced</v>
      </c>
      <c r="G28" s="8" t="str">
        <f>IFERROR(__xludf.DUMMYFUNCTION("""COMPUTED_VALUE"""),"Recycled/Waste")</f>
        <v>Recycled/Waste</v>
      </c>
      <c r="H28" s="8" t="str">
        <f>IFERROR(__xludf.DUMMYFUNCTION("""COMPUTED_VALUE"""),"Hybrid")</f>
        <v>Hybrid</v>
      </c>
    </row>
    <row r="29">
      <c r="A29" s="8" t="s">
        <v>151</v>
      </c>
      <c r="B29" s="8" t="str">
        <f>IFERROR(__xludf.DUMMYFUNCTION("""COMPUTED_VALUE"""),"Concrete")</f>
        <v>Concrete</v>
      </c>
      <c r="C29" s="8" t="str">
        <f>IFERROR(__xludf.DUMMYFUNCTION("""COMPUTED_VALUE"""),"Tires")</f>
        <v>Tires</v>
      </c>
      <c r="D29" s="8" t="str">
        <f>IFERROR(__xludf.DUMMYFUNCTION("""COMPUTED_VALUE"""),"Natural")</f>
        <v>Natural</v>
      </c>
      <c r="E29" s="8" t="str">
        <f>IFERROR(__xludf.DUMMYFUNCTION("""COMPUTED_VALUE"""),"Metal/Wreck")</f>
        <v>Metal/Wreck</v>
      </c>
      <c r="F29" s="8" t="str">
        <f>IFERROR(__xludf.DUMMYFUNCTION("""COMPUTED_VALUE"""),"Engineered/Advanced")</f>
        <v>Engineered/Advanced</v>
      </c>
      <c r="G29" s="8" t="str">
        <f>IFERROR(__xludf.DUMMYFUNCTION("""COMPUTED_VALUE"""),"Recycled/Waste")</f>
        <v>Recycled/Waste</v>
      </c>
      <c r="H29" s="8" t="str">
        <f>IFERROR(__xludf.DUMMYFUNCTION("""COMPUTED_VALUE"""),"Hybrid")</f>
        <v>Hybrid</v>
      </c>
    </row>
    <row r="30">
      <c r="A30" s="8" t="s">
        <v>151</v>
      </c>
      <c r="B30" s="8" t="str">
        <f>IFERROR(__xludf.DUMMYFUNCTION("""COMPUTED_VALUE"""),"Concrete")</f>
        <v>Concrete</v>
      </c>
      <c r="C30" s="8" t="str">
        <f>IFERROR(__xludf.DUMMYFUNCTION("""COMPUTED_VALUE"""),"Tires")</f>
        <v>Tires</v>
      </c>
      <c r="D30" s="8" t="str">
        <f>IFERROR(__xludf.DUMMYFUNCTION("""COMPUTED_VALUE"""),"Natural")</f>
        <v>Natural</v>
      </c>
      <c r="E30" s="8" t="str">
        <f>IFERROR(__xludf.DUMMYFUNCTION("""COMPUTED_VALUE"""),"Metal/Wreck")</f>
        <v>Metal/Wreck</v>
      </c>
      <c r="F30" s="8" t="str">
        <f>IFERROR(__xludf.DUMMYFUNCTION("""COMPUTED_VALUE"""),"Engineered/Advanced")</f>
        <v>Engineered/Advanced</v>
      </c>
      <c r="G30" s="8" t="str">
        <f>IFERROR(__xludf.DUMMYFUNCTION("""COMPUTED_VALUE"""),"Recycled/Waste")</f>
        <v>Recycled/Waste</v>
      </c>
      <c r="H30" s="8" t="str">
        <f>IFERROR(__xludf.DUMMYFUNCTION("""COMPUTED_VALUE"""),"Hybrid")</f>
        <v>Hybrid</v>
      </c>
    </row>
    <row r="31">
      <c r="A31" s="8" t="s">
        <v>151</v>
      </c>
      <c r="B31" s="8" t="str">
        <f>IFERROR(__xludf.DUMMYFUNCTION("""COMPUTED_VALUE"""),"Concrete")</f>
        <v>Concrete</v>
      </c>
      <c r="C31" s="8" t="str">
        <f>IFERROR(__xludf.DUMMYFUNCTION("""COMPUTED_VALUE"""),"Tires")</f>
        <v>Tires</v>
      </c>
      <c r="D31" s="8" t="str">
        <f>IFERROR(__xludf.DUMMYFUNCTION("""COMPUTED_VALUE"""),"Natural")</f>
        <v>Natural</v>
      </c>
      <c r="E31" s="8" t="str">
        <f>IFERROR(__xludf.DUMMYFUNCTION("""COMPUTED_VALUE"""),"Metal/Wreck")</f>
        <v>Metal/Wreck</v>
      </c>
      <c r="F31" s="8" t="str">
        <f>IFERROR(__xludf.DUMMYFUNCTION("""COMPUTED_VALUE"""),"Engineered/Advanced")</f>
        <v>Engineered/Advanced</v>
      </c>
      <c r="G31" s="8" t="str">
        <f>IFERROR(__xludf.DUMMYFUNCTION("""COMPUTED_VALUE"""),"Recycled/Waste")</f>
        <v>Recycled/Waste</v>
      </c>
      <c r="H31" s="8" t="str">
        <f>IFERROR(__xludf.DUMMYFUNCTION("""COMPUTED_VALUE"""),"Hybrid")</f>
        <v>Hybrid</v>
      </c>
    </row>
    <row r="32">
      <c r="A32" s="8" t="s">
        <v>151</v>
      </c>
      <c r="B32" s="8" t="str">
        <f>IFERROR(__xludf.DUMMYFUNCTION("""COMPUTED_VALUE"""),"Concrete")</f>
        <v>Concrete</v>
      </c>
      <c r="C32" s="8" t="str">
        <f>IFERROR(__xludf.DUMMYFUNCTION("""COMPUTED_VALUE"""),"Tires")</f>
        <v>Tires</v>
      </c>
      <c r="D32" s="8" t="str">
        <f>IFERROR(__xludf.DUMMYFUNCTION("""COMPUTED_VALUE"""),"Natural")</f>
        <v>Natural</v>
      </c>
      <c r="E32" s="8" t="str">
        <f>IFERROR(__xludf.DUMMYFUNCTION("""COMPUTED_VALUE"""),"Metal/Wreck")</f>
        <v>Metal/Wreck</v>
      </c>
      <c r="F32" s="8" t="str">
        <f>IFERROR(__xludf.DUMMYFUNCTION("""COMPUTED_VALUE"""),"Engineered/Advanced")</f>
        <v>Engineered/Advanced</v>
      </c>
      <c r="G32" s="8" t="str">
        <f>IFERROR(__xludf.DUMMYFUNCTION("""COMPUTED_VALUE"""),"Recycled/Waste")</f>
        <v>Recycled/Waste</v>
      </c>
      <c r="H32" s="8" t="str">
        <f>IFERROR(__xludf.DUMMYFUNCTION("""COMPUTED_VALUE"""),"Hybrid")</f>
        <v>Hybrid</v>
      </c>
    </row>
    <row r="33">
      <c r="A33" s="8" t="s">
        <v>151</v>
      </c>
      <c r="B33" s="8" t="str">
        <f>IFERROR(__xludf.DUMMYFUNCTION("""COMPUTED_VALUE"""),"Concrete")</f>
        <v>Concrete</v>
      </c>
      <c r="C33" s="8" t="str">
        <f>IFERROR(__xludf.DUMMYFUNCTION("""COMPUTED_VALUE"""),"Tires")</f>
        <v>Tires</v>
      </c>
      <c r="D33" s="8" t="str">
        <f>IFERROR(__xludf.DUMMYFUNCTION("""COMPUTED_VALUE"""),"Natural")</f>
        <v>Natural</v>
      </c>
      <c r="E33" s="8" t="str">
        <f>IFERROR(__xludf.DUMMYFUNCTION("""COMPUTED_VALUE"""),"Metal/Wreck")</f>
        <v>Metal/Wreck</v>
      </c>
      <c r="F33" s="8" t="str">
        <f>IFERROR(__xludf.DUMMYFUNCTION("""COMPUTED_VALUE"""),"Engineered/Advanced")</f>
        <v>Engineered/Advanced</v>
      </c>
      <c r="G33" s="8" t="str">
        <f>IFERROR(__xludf.DUMMYFUNCTION("""COMPUTED_VALUE"""),"Recycled/Waste")</f>
        <v>Recycled/Waste</v>
      </c>
      <c r="H33" s="8" t="str">
        <f>IFERROR(__xludf.DUMMYFUNCTION("""COMPUTED_VALUE"""),"Hybrid")</f>
        <v>Hybrid</v>
      </c>
    </row>
    <row r="34">
      <c r="A34" s="8" t="s">
        <v>151</v>
      </c>
      <c r="B34" s="8" t="str">
        <f>IFERROR(__xludf.DUMMYFUNCTION("""COMPUTED_VALUE"""),"Concrete")</f>
        <v>Concrete</v>
      </c>
      <c r="C34" s="8" t="str">
        <f>IFERROR(__xludf.DUMMYFUNCTION("""COMPUTED_VALUE"""),"Tires")</f>
        <v>Tires</v>
      </c>
      <c r="D34" s="8" t="str">
        <f>IFERROR(__xludf.DUMMYFUNCTION("""COMPUTED_VALUE"""),"Natural")</f>
        <v>Natural</v>
      </c>
      <c r="E34" s="8" t="str">
        <f>IFERROR(__xludf.DUMMYFUNCTION("""COMPUTED_VALUE"""),"Metal/Wreck")</f>
        <v>Metal/Wreck</v>
      </c>
      <c r="F34" s="8" t="str">
        <f>IFERROR(__xludf.DUMMYFUNCTION("""COMPUTED_VALUE"""),"Engineered/Advanced")</f>
        <v>Engineered/Advanced</v>
      </c>
      <c r="G34" s="8" t="str">
        <f>IFERROR(__xludf.DUMMYFUNCTION("""COMPUTED_VALUE"""),"Recycled/Waste")</f>
        <v>Recycled/Waste</v>
      </c>
      <c r="H34" s="8" t="str">
        <f>IFERROR(__xludf.DUMMYFUNCTION("""COMPUTED_VALUE"""),"Hybrid")</f>
        <v>Hybrid</v>
      </c>
    </row>
    <row r="35">
      <c r="A35" s="8" t="s">
        <v>151</v>
      </c>
      <c r="B35" s="8" t="str">
        <f>IFERROR(__xludf.DUMMYFUNCTION("""COMPUTED_VALUE"""),"Concrete")</f>
        <v>Concrete</v>
      </c>
      <c r="C35" s="8" t="str">
        <f>IFERROR(__xludf.DUMMYFUNCTION("""COMPUTED_VALUE"""),"Tires")</f>
        <v>Tires</v>
      </c>
      <c r="D35" s="8" t="str">
        <f>IFERROR(__xludf.DUMMYFUNCTION("""COMPUTED_VALUE"""),"Natural")</f>
        <v>Natural</v>
      </c>
      <c r="E35" s="8" t="str">
        <f>IFERROR(__xludf.DUMMYFUNCTION("""COMPUTED_VALUE"""),"Metal/Wreck")</f>
        <v>Metal/Wreck</v>
      </c>
      <c r="F35" s="8" t="str">
        <f>IFERROR(__xludf.DUMMYFUNCTION("""COMPUTED_VALUE"""),"Engineered/Advanced")</f>
        <v>Engineered/Advanced</v>
      </c>
      <c r="G35" s="8" t="str">
        <f>IFERROR(__xludf.DUMMYFUNCTION("""COMPUTED_VALUE"""),"Recycled/Waste")</f>
        <v>Recycled/Waste</v>
      </c>
      <c r="H35" s="8" t="str">
        <f>IFERROR(__xludf.DUMMYFUNCTION("""COMPUTED_VALUE"""),"Hybrid")</f>
        <v>Hybrid</v>
      </c>
    </row>
    <row r="36">
      <c r="A36" s="8" t="s">
        <v>151</v>
      </c>
      <c r="B36" s="8" t="str">
        <f>IFERROR(__xludf.DUMMYFUNCTION("""COMPUTED_VALUE"""),"Concrete")</f>
        <v>Concrete</v>
      </c>
      <c r="C36" s="8" t="str">
        <f>IFERROR(__xludf.DUMMYFUNCTION("""COMPUTED_VALUE"""),"Tires")</f>
        <v>Tires</v>
      </c>
      <c r="D36" s="8" t="str">
        <f>IFERROR(__xludf.DUMMYFUNCTION("""COMPUTED_VALUE"""),"Natural")</f>
        <v>Natural</v>
      </c>
      <c r="E36" s="8" t="str">
        <f>IFERROR(__xludf.DUMMYFUNCTION("""COMPUTED_VALUE"""),"Metal/Wreck")</f>
        <v>Metal/Wreck</v>
      </c>
      <c r="F36" s="8" t="str">
        <f>IFERROR(__xludf.DUMMYFUNCTION("""COMPUTED_VALUE"""),"Engineered/Advanced")</f>
        <v>Engineered/Advanced</v>
      </c>
      <c r="G36" s="8" t="str">
        <f>IFERROR(__xludf.DUMMYFUNCTION("""COMPUTED_VALUE"""),"Recycled/Waste")</f>
        <v>Recycled/Waste</v>
      </c>
      <c r="H36" s="8" t="str">
        <f>IFERROR(__xludf.DUMMYFUNCTION("""COMPUTED_VALUE"""),"Hybrid")</f>
        <v>Hybrid</v>
      </c>
    </row>
    <row r="37">
      <c r="A37" s="8" t="s">
        <v>151</v>
      </c>
      <c r="B37" s="8" t="str">
        <f>IFERROR(__xludf.DUMMYFUNCTION("""COMPUTED_VALUE"""),"Concrete")</f>
        <v>Concrete</v>
      </c>
      <c r="C37" s="8" t="str">
        <f>IFERROR(__xludf.DUMMYFUNCTION("""COMPUTED_VALUE"""),"Tires")</f>
        <v>Tires</v>
      </c>
      <c r="D37" s="8" t="str">
        <f>IFERROR(__xludf.DUMMYFUNCTION("""COMPUTED_VALUE"""),"Natural")</f>
        <v>Natural</v>
      </c>
      <c r="E37" s="8" t="str">
        <f>IFERROR(__xludf.DUMMYFUNCTION("""COMPUTED_VALUE"""),"Metal/Wreck")</f>
        <v>Metal/Wreck</v>
      </c>
      <c r="F37" s="8" t="str">
        <f>IFERROR(__xludf.DUMMYFUNCTION("""COMPUTED_VALUE"""),"Engineered/Advanced")</f>
        <v>Engineered/Advanced</v>
      </c>
      <c r="G37" s="8" t="str">
        <f>IFERROR(__xludf.DUMMYFUNCTION("""COMPUTED_VALUE"""),"Recycled/Waste")</f>
        <v>Recycled/Waste</v>
      </c>
      <c r="H37" s="8" t="str">
        <f>IFERROR(__xludf.DUMMYFUNCTION("""COMPUTED_VALUE"""),"Hybrid")</f>
        <v>Hybrid</v>
      </c>
    </row>
    <row r="38">
      <c r="A38" s="8" t="s">
        <v>151</v>
      </c>
      <c r="B38" s="8" t="str">
        <f>IFERROR(__xludf.DUMMYFUNCTION("""COMPUTED_VALUE"""),"Concrete")</f>
        <v>Concrete</v>
      </c>
      <c r="C38" s="8" t="str">
        <f>IFERROR(__xludf.DUMMYFUNCTION("""COMPUTED_VALUE"""),"Tires")</f>
        <v>Tires</v>
      </c>
      <c r="D38" s="8" t="str">
        <f>IFERROR(__xludf.DUMMYFUNCTION("""COMPUTED_VALUE"""),"Natural")</f>
        <v>Natural</v>
      </c>
      <c r="E38" s="8" t="str">
        <f>IFERROR(__xludf.DUMMYFUNCTION("""COMPUTED_VALUE"""),"Metal/Wreck")</f>
        <v>Metal/Wreck</v>
      </c>
      <c r="F38" s="8" t="str">
        <f>IFERROR(__xludf.DUMMYFUNCTION("""COMPUTED_VALUE"""),"Engineered/Advanced")</f>
        <v>Engineered/Advanced</v>
      </c>
      <c r="G38" s="8" t="str">
        <f>IFERROR(__xludf.DUMMYFUNCTION("""COMPUTED_VALUE"""),"Recycled/Waste")</f>
        <v>Recycled/Waste</v>
      </c>
      <c r="H38" s="8" t="str">
        <f>IFERROR(__xludf.DUMMYFUNCTION("""COMPUTED_VALUE"""),"Hybrid")</f>
        <v>Hybrid</v>
      </c>
    </row>
    <row r="39">
      <c r="A39" s="8" t="s">
        <v>151</v>
      </c>
      <c r="B39" s="8" t="str">
        <f>IFERROR(__xludf.DUMMYFUNCTION("""COMPUTED_VALUE"""),"Concrete")</f>
        <v>Concrete</v>
      </c>
      <c r="C39" s="8" t="str">
        <f>IFERROR(__xludf.DUMMYFUNCTION("""COMPUTED_VALUE"""),"Tires")</f>
        <v>Tires</v>
      </c>
      <c r="D39" s="8" t="str">
        <f>IFERROR(__xludf.DUMMYFUNCTION("""COMPUTED_VALUE"""),"Natural")</f>
        <v>Natural</v>
      </c>
      <c r="E39" s="8" t="str">
        <f>IFERROR(__xludf.DUMMYFUNCTION("""COMPUTED_VALUE"""),"Metal/Wreck")</f>
        <v>Metal/Wreck</v>
      </c>
      <c r="F39" s="8" t="str">
        <f>IFERROR(__xludf.DUMMYFUNCTION("""COMPUTED_VALUE"""),"Engineered/Advanced")</f>
        <v>Engineered/Advanced</v>
      </c>
      <c r="G39" s="8" t="str">
        <f>IFERROR(__xludf.DUMMYFUNCTION("""COMPUTED_VALUE"""),"Recycled/Waste")</f>
        <v>Recycled/Waste</v>
      </c>
      <c r="H39" s="8" t="str">
        <f>IFERROR(__xludf.DUMMYFUNCTION("""COMPUTED_VALUE"""),"Hybrid")</f>
        <v>Hybrid</v>
      </c>
    </row>
    <row r="40">
      <c r="A40" s="8" t="s">
        <v>151</v>
      </c>
      <c r="B40" s="8" t="str">
        <f>IFERROR(__xludf.DUMMYFUNCTION("""COMPUTED_VALUE"""),"Concrete")</f>
        <v>Concrete</v>
      </c>
      <c r="C40" s="8" t="str">
        <f>IFERROR(__xludf.DUMMYFUNCTION("""COMPUTED_VALUE"""),"Tires")</f>
        <v>Tires</v>
      </c>
      <c r="D40" s="8" t="str">
        <f>IFERROR(__xludf.DUMMYFUNCTION("""COMPUTED_VALUE"""),"Natural")</f>
        <v>Natural</v>
      </c>
      <c r="E40" s="8" t="str">
        <f>IFERROR(__xludf.DUMMYFUNCTION("""COMPUTED_VALUE"""),"Metal/Wreck")</f>
        <v>Metal/Wreck</v>
      </c>
      <c r="F40" s="8" t="str">
        <f>IFERROR(__xludf.DUMMYFUNCTION("""COMPUTED_VALUE"""),"Engineered/Advanced")</f>
        <v>Engineered/Advanced</v>
      </c>
      <c r="G40" s="8" t="str">
        <f>IFERROR(__xludf.DUMMYFUNCTION("""COMPUTED_VALUE"""),"Recycled/Waste")</f>
        <v>Recycled/Waste</v>
      </c>
      <c r="H40" s="8" t="str">
        <f>IFERROR(__xludf.DUMMYFUNCTION("""COMPUTED_VALUE"""),"Hybrid")</f>
        <v>Hybrid</v>
      </c>
    </row>
    <row r="41">
      <c r="A41" s="8" t="s">
        <v>151</v>
      </c>
      <c r="B41" s="8" t="str">
        <f>IFERROR(__xludf.DUMMYFUNCTION("""COMPUTED_VALUE"""),"Concrete")</f>
        <v>Concrete</v>
      </c>
      <c r="C41" s="8" t="str">
        <f>IFERROR(__xludf.DUMMYFUNCTION("""COMPUTED_VALUE"""),"Tires")</f>
        <v>Tires</v>
      </c>
      <c r="D41" s="8" t="str">
        <f>IFERROR(__xludf.DUMMYFUNCTION("""COMPUTED_VALUE"""),"Natural")</f>
        <v>Natural</v>
      </c>
      <c r="E41" s="8" t="str">
        <f>IFERROR(__xludf.DUMMYFUNCTION("""COMPUTED_VALUE"""),"Metal/Wreck")</f>
        <v>Metal/Wreck</v>
      </c>
      <c r="F41" s="8" t="str">
        <f>IFERROR(__xludf.DUMMYFUNCTION("""COMPUTED_VALUE"""),"Engineered/Advanced")</f>
        <v>Engineered/Advanced</v>
      </c>
      <c r="G41" s="8" t="str">
        <f>IFERROR(__xludf.DUMMYFUNCTION("""COMPUTED_VALUE"""),"Recycled/Waste")</f>
        <v>Recycled/Waste</v>
      </c>
      <c r="H41" s="8" t="str">
        <f>IFERROR(__xludf.DUMMYFUNCTION("""COMPUTED_VALUE"""),"Hybrid")</f>
        <v>Hybrid</v>
      </c>
    </row>
    <row r="42">
      <c r="A42" s="8" t="s">
        <v>151</v>
      </c>
      <c r="B42" s="8" t="str">
        <f>IFERROR(__xludf.DUMMYFUNCTION("""COMPUTED_VALUE"""),"Concrete")</f>
        <v>Concrete</v>
      </c>
      <c r="C42" s="8" t="str">
        <f>IFERROR(__xludf.DUMMYFUNCTION("""COMPUTED_VALUE"""),"Tires")</f>
        <v>Tires</v>
      </c>
      <c r="D42" s="8" t="str">
        <f>IFERROR(__xludf.DUMMYFUNCTION("""COMPUTED_VALUE"""),"Natural")</f>
        <v>Natural</v>
      </c>
      <c r="E42" s="8" t="str">
        <f>IFERROR(__xludf.DUMMYFUNCTION("""COMPUTED_VALUE"""),"Metal/Wreck")</f>
        <v>Metal/Wreck</v>
      </c>
      <c r="F42" s="8" t="str">
        <f>IFERROR(__xludf.DUMMYFUNCTION("""COMPUTED_VALUE"""),"Engineered/Advanced")</f>
        <v>Engineered/Advanced</v>
      </c>
      <c r="G42" s="8" t="str">
        <f>IFERROR(__xludf.DUMMYFUNCTION("""COMPUTED_VALUE"""),"Recycled/Waste")</f>
        <v>Recycled/Waste</v>
      </c>
      <c r="H42" s="8" t="str">
        <f>IFERROR(__xludf.DUMMYFUNCTION("""COMPUTED_VALUE"""),"Hybrid")</f>
        <v>Hybrid</v>
      </c>
    </row>
    <row r="43">
      <c r="A43" s="8" t="s">
        <v>151</v>
      </c>
      <c r="B43" s="8" t="str">
        <f>IFERROR(__xludf.DUMMYFUNCTION("""COMPUTED_VALUE"""),"Concrete")</f>
        <v>Concrete</v>
      </c>
      <c r="C43" s="8" t="str">
        <f>IFERROR(__xludf.DUMMYFUNCTION("""COMPUTED_VALUE"""),"Tires")</f>
        <v>Tires</v>
      </c>
      <c r="D43" s="8" t="str">
        <f>IFERROR(__xludf.DUMMYFUNCTION("""COMPUTED_VALUE"""),"Natural")</f>
        <v>Natural</v>
      </c>
      <c r="E43" s="8" t="str">
        <f>IFERROR(__xludf.DUMMYFUNCTION("""COMPUTED_VALUE"""),"Metal/Wreck")</f>
        <v>Metal/Wreck</v>
      </c>
      <c r="F43" s="8" t="str">
        <f>IFERROR(__xludf.DUMMYFUNCTION("""COMPUTED_VALUE"""),"Engineered/Advanced")</f>
        <v>Engineered/Advanced</v>
      </c>
      <c r="G43" s="8" t="str">
        <f>IFERROR(__xludf.DUMMYFUNCTION("""COMPUTED_VALUE"""),"Recycled/Waste")</f>
        <v>Recycled/Waste</v>
      </c>
      <c r="H43" s="8" t="str">
        <f>IFERROR(__xludf.DUMMYFUNCTION("""COMPUTED_VALUE"""),"Hybrid")</f>
        <v>Hybrid</v>
      </c>
    </row>
    <row r="44">
      <c r="A44" s="8" t="s">
        <v>151</v>
      </c>
      <c r="B44" s="8" t="str">
        <f>IFERROR(__xludf.DUMMYFUNCTION("""COMPUTED_VALUE"""),"Concrete")</f>
        <v>Concrete</v>
      </c>
      <c r="C44" s="8" t="str">
        <f>IFERROR(__xludf.DUMMYFUNCTION("""COMPUTED_VALUE"""),"Tires")</f>
        <v>Tires</v>
      </c>
      <c r="D44" s="8" t="str">
        <f>IFERROR(__xludf.DUMMYFUNCTION("""COMPUTED_VALUE"""),"Natural")</f>
        <v>Natural</v>
      </c>
      <c r="E44" s="8" t="str">
        <f>IFERROR(__xludf.DUMMYFUNCTION("""COMPUTED_VALUE"""),"Metal/Wreck")</f>
        <v>Metal/Wreck</v>
      </c>
      <c r="F44" s="8" t="str">
        <f>IFERROR(__xludf.DUMMYFUNCTION("""COMPUTED_VALUE"""),"Engineered/Advanced")</f>
        <v>Engineered/Advanced</v>
      </c>
      <c r="G44" s="8" t="str">
        <f>IFERROR(__xludf.DUMMYFUNCTION("""COMPUTED_VALUE"""),"Recycled/Waste")</f>
        <v>Recycled/Waste</v>
      </c>
      <c r="H44" s="8" t="str">
        <f>IFERROR(__xludf.DUMMYFUNCTION("""COMPUTED_VALUE"""),"Hybrid")</f>
        <v>Hybrid</v>
      </c>
    </row>
    <row r="45">
      <c r="A45" s="8" t="s">
        <v>151</v>
      </c>
      <c r="B45" s="8" t="str">
        <f>IFERROR(__xludf.DUMMYFUNCTION("""COMPUTED_VALUE"""),"Concrete")</f>
        <v>Concrete</v>
      </c>
      <c r="C45" s="8" t="str">
        <f>IFERROR(__xludf.DUMMYFUNCTION("""COMPUTED_VALUE"""),"Tires")</f>
        <v>Tires</v>
      </c>
      <c r="D45" s="8" t="str">
        <f>IFERROR(__xludf.DUMMYFUNCTION("""COMPUTED_VALUE"""),"Natural")</f>
        <v>Natural</v>
      </c>
      <c r="E45" s="8" t="str">
        <f>IFERROR(__xludf.DUMMYFUNCTION("""COMPUTED_VALUE"""),"Metal/Wreck")</f>
        <v>Metal/Wreck</v>
      </c>
      <c r="F45" s="8" t="str">
        <f>IFERROR(__xludf.DUMMYFUNCTION("""COMPUTED_VALUE"""),"Engineered/Advanced")</f>
        <v>Engineered/Advanced</v>
      </c>
      <c r="G45" s="8" t="str">
        <f>IFERROR(__xludf.DUMMYFUNCTION("""COMPUTED_VALUE"""),"Recycled/Waste")</f>
        <v>Recycled/Waste</v>
      </c>
      <c r="H45" s="8" t="str">
        <f>IFERROR(__xludf.DUMMYFUNCTION("""COMPUTED_VALUE"""),"Hybrid")</f>
        <v>Hybrid</v>
      </c>
    </row>
    <row r="46">
      <c r="A46" s="8" t="s">
        <v>151</v>
      </c>
      <c r="B46" s="8" t="str">
        <f>IFERROR(__xludf.DUMMYFUNCTION("""COMPUTED_VALUE"""),"Concrete")</f>
        <v>Concrete</v>
      </c>
      <c r="C46" s="8" t="str">
        <f>IFERROR(__xludf.DUMMYFUNCTION("""COMPUTED_VALUE"""),"Tires")</f>
        <v>Tires</v>
      </c>
      <c r="D46" s="8" t="str">
        <f>IFERROR(__xludf.DUMMYFUNCTION("""COMPUTED_VALUE"""),"Natural")</f>
        <v>Natural</v>
      </c>
      <c r="E46" s="8" t="str">
        <f>IFERROR(__xludf.DUMMYFUNCTION("""COMPUTED_VALUE"""),"Metal/Wreck")</f>
        <v>Metal/Wreck</v>
      </c>
      <c r="F46" s="8" t="str">
        <f>IFERROR(__xludf.DUMMYFUNCTION("""COMPUTED_VALUE"""),"Engineered/Advanced")</f>
        <v>Engineered/Advanced</v>
      </c>
      <c r="G46" s="8" t="str">
        <f>IFERROR(__xludf.DUMMYFUNCTION("""COMPUTED_VALUE"""),"Recycled/Waste")</f>
        <v>Recycled/Waste</v>
      </c>
      <c r="H46" s="8" t="str">
        <f>IFERROR(__xludf.DUMMYFUNCTION("""COMPUTED_VALUE"""),"Hybrid")</f>
        <v>Hybrid</v>
      </c>
    </row>
    <row r="47">
      <c r="A47" s="8" t="s">
        <v>151</v>
      </c>
      <c r="B47" s="8" t="str">
        <f>IFERROR(__xludf.DUMMYFUNCTION("""COMPUTED_VALUE"""),"Concrete")</f>
        <v>Concrete</v>
      </c>
      <c r="C47" s="8" t="str">
        <f>IFERROR(__xludf.DUMMYFUNCTION("""COMPUTED_VALUE"""),"Tires")</f>
        <v>Tires</v>
      </c>
      <c r="D47" s="8" t="str">
        <f>IFERROR(__xludf.DUMMYFUNCTION("""COMPUTED_VALUE"""),"Natural")</f>
        <v>Natural</v>
      </c>
      <c r="E47" s="8" t="str">
        <f>IFERROR(__xludf.DUMMYFUNCTION("""COMPUTED_VALUE"""),"Metal/Wreck")</f>
        <v>Metal/Wreck</v>
      </c>
      <c r="F47" s="8" t="str">
        <f>IFERROR(__xludf.DUMMYFUNCTION("""COMPUTED_VALUE"""),"Engineered/Advanced")</f>
        <v>Engineered/Advanced</v>
      </c>
      <c r="G47" s="8" t="str">
        <f>IFERROR(__xludf.DUMMYFUNCTION("""COMPUTED_VALUE"""),"Recycled/Waste")</f>
        <v>Recycled/Waste</v>
      </c>
      <c r="H47" s="8" t="str">
        <f>IFERROR(__xludf.DUMMYFUNCTION("""COMPUTED_VALUE"""),"Hybrid")</f>
        <v>Hybrid</v>
      </c>
    </row>
    <row r="48">
      <c r="A48" s="8" t="s">
        <v>151</v>
      </c>
      <c r="B48" s="8" t="str">
        <f>IFERROR(__xludf.DUMMYFUNCTION("""COMPUTED_VALUE"""),"Concrete")</f>
        <v>Concrete</v>
      </c>
      <c r="C48" s="8" t="str">
        <f>IFERROR(__xludf.DUMMYFUNCTION("""COMPUTED_VALUE"""),"Tires")</f>
        <v>Tires</v>
      </c>
      <c r="D48" s="8" t="str">
        <f>IFERROR(__xludf.DUMMYFUNCTION("""COMPUTED_VALUE"""),"Natural")</f>
        <v>Natural</v>
      </c>
      <c r="E48" s="8" t="str">
        <f>IFERROR(__xludf.DUMMYFUNCTION("""COMPUTED_VALUE"""),"Metal/Wreck")</f>
        <v>Metal/Wreck</v>
      </c>
      <c r="F48" s="8" t="str">
        <f>IFERROR(__xludf.DUMMYFUNCTION("""COMPUTED_VALUE"""),"Engineered/Advanced")</f>
        <v>Engineered/Advanced</v>
      </c>
      <c r="G48" s="8" t="str">
        <f>IFERROR(__xludf.DUMMYFUNCTION("""COMPUTED_VALUE"""),"Recycled/Waste")</f>
        <v>Recycled/Waste</v>
      </c>
      <c r="H48" s="8" t="str">
        <f>IFERROR(__xludf.DUMMYFUNCTION("""COMPUTED_VALUE"""),"Hybrid")</f>
        <v>Hybrid</v>
      </c>
    </row>
    <row r="49">
      <c r="A49" s="8" t="s">
        <v>151</v>
      </c>
      <c r="B49" s="8" t="str">
        <f>IFERROR(__xludf.DUMMYFUNCTION("""COMPUTED_VALUE"""),"Concrete")</f>
        <v>Concrete</v>
      </c>
      <c r="C49" s="8" t="str">
        <f>IFERROR(__xludf.DUMMYFUNCTION("""COMPUTED_VALUE"""),"Tires")</f>
        <v>Tires</v>
      </c>
      <c r="D49" s="8" t="str">
        <f>IFERROR(__xludf.DUMMYFUNCTION("""COMPUTED_VALUE"""),"Natural")</f>
        <v>Natural</v>
      </c>
      <c r="E49" s="8" t="str">
        <f>IFERROR(__xludf.DUMMYFUNCTION("""COMPUTED_VALUE"""),"Metal/Wreck")</f>
        <v>Metal/Wreck</v>
      </c>
      <c r="F49" s="8" t="str">
        <f>IFERROR(__xludf.DUMMYFUNCTION("""COMPUTED_VALUE"""),"Engineered/Advanced")</f>
        <v>Engineered/Advanced</v>
      </c>
      <c r="G49" s="8" t="str">
        <f>IFERROR(__xludf.DUMMYFUNCTION("""COMPUTED_VALUE"""),"Recycled/Waste")</f>
        <v>Recycled/Waste</v>
      </c>
      <c r="H49" s="8" t="str">
        <f>IFERROR(__xludf.DUMMYFUNCTION("""COMPUTED_VALUE"""),"Hybrid")</f>
        <v>Hybrid</v>
      </c>
    </row>
    <row r="50">
      <c r="A50" s="8" t="s">
        <v>151</v>
      </c>
      <c r="B50" s="8" t="str">
        <f>IFERROR(__xludf.DUMMYFUNCTION("""COMPUTED_VALUE"""),"Concrete")</f>
        <v>Concrete</v>
      </c>
      <c r="C50" s="8" t="str">
        <f>IFERROR(__xludf.DUMMYFUNCTION("""COMPUTED_VALUE"""),"Tires")</f>
        <v>Tires</v>
      </c>
      <c r="D50" s="8" t="str">
        <f>IFERROR(__xludf.DUMMYFUNCTION("""COMPUTED_VALUE"""),"Natural")</f>
        <v>Natural</v>
      </c>
      <c r="E50" s="8" t="str">
        <f>IFERROR(__xludf.DUMMYFUNCTION("""COMPUTED_VALUE"""),"Metal/Wreck")</f>
        <v>Metal/Wreck</v>
      </c>
      <c r="F50" s="8" t="str">
        <f>IFERROR(__xludf.DUMMYFUNCTION("""COMPUTED_VALUE"""),"Engineered/Advanced")</f>
        <v>Engineered/Advanced</v>
      </c>
      <c r="G50" s="8" t="str">
        <f>IFERROR(__xludf.DUMMYFUNCTION("""COMPUTED_VALUE"""),"Recycled/Waste")</f>
        <v>Recycled/Waste</v>
      </c>
      <c r="H50" s="8" t="str">
        <f>IFERROR(__xludf.DUMMYFUNCTION("""COMPUTED_VALUE"""),"Hybrid")</f>
        <v>Hybrid</v>
      </c>
    </row>
    <row r="51">
      <c r="A51" s="8" t="s">
        <v>151</v>
      </c>
      <c r="B51" s="8" t="str">
        <f>IFERROR(__xludf.DUMMYFUNCTION("""COMPUTED_VALUE"""),"Concrete")</f>
        <v>Concrete</v>
      </c>
      <c r="C51" s="8" t="str">
        <f>IFERROR(__xludf.DUMMYFUNCTION("""COMPUTED_VALUE"""),"Tires")</f>
        <v>Tires</v>
      </c>
      <c r="D51" s="8" t="str">
        <f>IFERROR(__xludf.DUMMYFUNCTION("""COMPUTED_VALUE"""),"Natural")</f>
        <v>Natural</v>
      </c>
      <c r="E51" s="8" t="str">
        <f>IFERROR(__xludf.DUMMYFUNCTION("""COMPUTED_VALUE"""),"Metal/Wreck")</f>
        <v>Metal/Wreck</v>
      </c>
      <c r="F51" s="8" t="str">
        <f>IFERROR(__xludf.DUMMYFUNCTION("""COMPUTED_VALUE"""),"Engineered/Advanced")</f>
        <v>Engineered/Advanced</v>
      </c>
      <c r="G51" s="8" t="str">
        <f>IFERROR(__xludf.DUMMYFUNCTION("""COMPUTED_VALUE"""),"Recycled/Waste")</f>
        <v>Recycled/Waste</v>
      </c>
      <c r="H51" s="8" t="str">
        <f>IFERROR(__xludf.DUMMYFUNCTION("""COMPUTED_VALUE"""),"Hybrid")</f>
        <v>Hybrid</v>
      </c>
    </row>
    <row r="52">
      <c r="A52" s="8" t="s">
        <v>151</v>
      </c>
      <c r="B52" s="8" t="str">
        <f>IFERROR(__xludf.DUMMYFUNCTION("""COMPUTED_VALUE"""),"Concrete")</f>
        <v>Concrete</v>
      </c>
      <c r="C52" s="8" t="str">
        <f>IFERROR(__xludf.DUMMYFUNCTION("""COMPUTED_VALUE"""),"Tires")</f>
        <v>Tires</v>
      </c>
      <c r="D52" s="8" t="str">
        <f>IFERROR(__xludf.DUMMYFUNCTION("""COMPUTED_VALUE"""),"Natural")</f>
        <v>Natural</v>
      </c>
      <c r="E52" s="8" t="str">
        <f>IFERROR(__xludf.DUMMYFUNCTION("""COMPUTED_VALUE"""),"Metal/Wreck")</f>
        <v>Metal/Wreck</v>
      </c>
      <c r="F52" s="8" t="str">
        <f>IFERROR(__xludf.DUMMYFUNCTION("""COMPUTED_VALUE"""),"Engineered/Advanced")</f>
        <v>Engineered/Advanced</v>
      </c>
      <c r="G52" s="8" t="str">
        <f>IFERROR(__xludf.DUMMYFUNCTION("""COMPUTED_VALUE"""),"Recycled/Waste")</f>
        <v>Recycled/Waste</v>
      </c>
      <c r="H52" s="8" t="str">
        <f>IFERROR(__xludf.DUMMYFUNCTION("""COMPUTED_VALUE"""),"Hybrid")</f>
        <v>Hybrid</v>
      </c>
    </row>
    <row r="53">
      <c r="A53" s="8" t="s">
        <v>151</v>
      </c>
      <c r="B53" s="8" t="str">
        <f>IFERROR(__xludf.DUMMYFUNCTION("""COMPUTED_VALUE"""),"Concrete")</f>
        <v>Concrete</v>
      </c>
      <c r="C53" s="8" t="str">
        <f>IFERROR(__xludf.DUMMYFUNCTION("""COMPUTED_VALUE"""),"Tires")</f>
        <v>Tires</v>
      </c>
      <c r="D53" s="8" t="str">
        <f>IFERROR(__xludf.DUMMYFUNCTION("""COMPUTED_VALUE"""),"Natural")</f>
        <v>Natural</v>
      </c>
      <c r="E53" s="8" t="str">
        <f>IFERROR(__xludf.DUMMYFUNCTION("""COMPUTED_VALUE"""),"Metal/Wreck")</f>
        <v>Metal/Wreck</v>
      </c>
      <c r="F53" s="8" t="str">
        <f>IFERROR(__xludf.DUMMYFUNCTION("""COMPUTED_VALUE"""),"Engineered/Advanced")</f>
        <v>Engineered/Advanced</v>
      </c>
      <c r="G53" s="8" t="str">
        <f>IFERROR(__xludf.DUMMYFUNCTION("""COMPUTED_VALUE"""),"Recycled/Waste")</f>
        <v>Recycled/Waste</v>
      </c>
      <c r="H53" s="8" t="str">
        <f>IFERROR(__xludf.DUMMYFUNCTION("""COMPUTED_VALUE"""),"Hybrid")</f>
        <v>Hybrid</v>
      </c>
    </row>
    <row r="54">
      <c r="A54" s="8" t="s">
        <v>151</v>
      </c>
      <c r="B54" s="8" t="str">
        <f>IFERROR(__xludf.DUMMYFUNCTION("""COMPUTED_VALUE"""),"Concrete")</f>
        <v>Concrete</v>
      </c>
      <c r="C54" s="8" t="str">
        <f>IFERROR(__xludf.DUMMYFUNCTION("""COMPUTED_VALUE"""),"Tires")</f>
        <v>Tires</v>
      </c>
      <c r="D54" s="8" t="str">
        <f>IFERROR(__xludf.DUMMYFUNCTION("""COMPUTED_VALUE"""),"Natural")</f>
        <v>Natural</v>
      </c>
      <c r="E54" s="8" t="str">
        <f>IFERROR(__xludf.DUMMYFUNCTION("""COMPUTED_VALUE"""),"Metal/Wreck")</f>
        <v>Metal/Wreck</v>
      </c>
      <c r="F54" s="8" t="str">
        <f>IFERROR(__xludf.DUMMYFUNCTION("""COMPUTED_VALUE"""),"Engineered/Advanced")</f>
        <v>Engineered/Advanced</v>
      </c>
      <c r="G54" s="8" t="str">
        <f>IFERROR(__xludf.DUMMYFUNCTION("""COMPUTED_VALUE"""),"Recycled/Waste")</f>
        <v>Recycled/Waste</v>
      </c>
      <c r="H54" s="8" t="str">
        <f>IFERROR(__xludf.DUMMYFUNCTION("""COMPUTED_VALUE"""),"Hybrid")</f>
        <v>Hybrid</v>
      </c>
    </row>
    <row r="55">
      <c r="A55" s="8" t="s">
        <v>151</v>
      </c>
      <c r="B55" s="8" t="str">
        <f>IFERROR(__xludf.DUMMYFUNCTION("""COMPUTED_VALUE"""),"Concrete")</f>
        <v>Concrete</v>
      </c>
      <c r="C55" s="8" t="str">
        <f>IFERROR(__xludf.DUMMYFUNCTION("""COMPUTED_VALUE"""),"Tires")</f>
        <v>Tires</v>
      </c>
      <c r="D55" s="8" t="str">
        <f>IFERROR(__xludf.DUMMYFUNCTION("""COMPUTED_VALUE"""),"Natural")</f>
        <v>Natural</v>
      </c>
      <c r="E55" s="8" t="str">
        <f>IFERROR(__xludf.DUMMYFUNCTION("""COMPUTED_VALUE"""),"Metal/Wreck")</f>
        <v>Metal/Wreck</v>
      </c>
      <c r="F55" s="8" t="str">
        <f>IFERROR(__xludf.DUMMYFUNCTION("""COMPUTED_VALUE"""),"Engineered/Advanced")</f>
        <v>Engineered/Advanced</v>
      </c>
      <c r="G55" s="8" t="str">
        <f>IFERROR(__xludf.DUMMYFUNCTION("""COMPUTED_VALUE"""),"Recycled/Waste")</f>
        <v>Recycled/Waste</v>
      </c>
      <c r="H55" s="8" t="str">
        <f>IFERROR(__xludf.DUMMYFUNCTION("""COMPUTED_VALUE"""),"Hybrid")</f>
        <v>Hybrid</v>
      </c>
    </row>
    <row r="56">
      <c r="A56" s="8" t="s">
        <v>151</v>
      </c>
      <c r="B56" s="8" t="str">
        <f>IFERROR(__xludf.DUMMYFUNCTION("""COMPUTED_VALUE"""),"Concrete")</f>
        <v>Concrete</v>
      </c>
      <c r="C56" s="8" t="str">
        <f>IFERROR(__xludf.DUMMYFUNCTION("""COMPUTED_VALUE"""),"Tires")</f>
        <v>Tires</v>
      </c>
      <c r="D56" s="8" t="str">
        <f>IFERROR(__xludf.DUMMYFUNCTION("""COMPUTED_VALUE"""),"Natural")</f>
        <v>Natural</v>
      </c>
      <c r="E56" s="8" t="str">
        <f>IFERROR(__xludf.DUMMYFUNCTION("""COMPUTED_VALUE"""),"Metal/Wreck")</f>
        <v>Metal/Wreck</v>
      </c>
      <c r="F56" s="8" t="str">
        <f>IFERROR(__xludf.DUMMYFUNCTION("""COMPUTED_VALUE"""),"Engineered/Advanced")</f>
        <v>Engineered/Advanced</v>
      </c>
      <c r="G56" s="8" t="str">
        <f>IFERROR(__xludf.DUMMYFUNCTION("""COMPUTED_VALUE"""),"Recycled/Waste")</f>
        <v>Recycled/Waste</v>
      </c>
      <c r="H56" s="8" t="str">
        <f>IFERROR(__xludf.DUMMYFUNCTION("""COMPUTED_VALUE"""),"Hybrid")</f>
        <v>Hybrid</v>
      </c>
    </row>
    <row r="57">
      <c r="A57" s="8" t="s">
        <v>151</v>
      </c>
      <c r="B57" s="8" t="str">
        <f>IFERROR(__xludf.DUMMYFUNCTION("""COMPUTED_VALUE"""),"Concrete")</f>
        <v>Concrete</v>
      </c>
      <c r="C57" s="8" t="str">
        <f>IFERROR(__xludf.DUMMYFUNCTION("""COMPUTED_VALUE"""),"Tires")</f>
        <v>Tires</v>
      </c>
      <c r="D57" s="8" t="str">
        <f>IFERROR(__xludf.DUMMYFUNCTION("""COMPUTED_VALUE"""),"Natural")</f>
        <v>Natural</v>
      </c>
      <c r="E57" s="8" t="str">
        <f>IFERROR(__xludf.DUMMYFUNCTION("""COMPUTED_VALUE"""),"Metal/Wreck")</f>
        <v>Metal/Wreck</v>
      </c>
      <c r="F57" s="8" t="str">
        <f>IFERROR(__xludf.DUMMYFUNCTION("""COMPUTED_VALUE"""),"Engineered/Advanced")</f>
        <v>Engineered/Advanced</v>
      </c>
      <c r="G57" s="8" t="str">
        <f>IFERROR(__xludf.DUMMYFUNCTION("""COMPUTED_VALUE"""),"Recycled/Waste")</f>
        <v>Recycled/Waste</v>
      </c>
      <c r="H57" s="8" t="str">
        <f>IFERROR(__xludf.DUMMYFUNCTION("""COMPUTED_VALUE"""),"Hybrid")</f>
        <v>Hybrid</v>
      </c>
    </row>
    <row r="58">
      <c r="A58" s="8" t="s">
        <v>151</v>
      </c>
      <c r="B58" s="8" t="str">
        <f>IFERROR(__xludf.DUMMYFUNCTION("""COMPUTED_VALUE"""),"Concrete")</f>
        <v>Concrete</v>
      </c>
      <c r="C58" s="8" t="str">
        <f>IFERROR(__xludf.DUMMYFUNCTION("""COMPUTED_VALUE"""),"Tires")</f>
        <v>Tires</v>
      </c>
      <c r="D58" s="8" t="str">
        <f>IFERROR(__xludf.DUMMYFUNCTION("""COMPUTED_VALUE"""),"Natural")</f>
        <v>Natural</v>
      </c>
      <c r="E58" s="8" t="str">
        <f>IFERROR(__xludf.DUMMYFUNCTION("""COMPUTED_VALUE"""),"Metal/Wreck")</f>
        <v>Metal/Wreck</v>
      </c>
      <c r="F58" s="8" t="str">
        <f>IFERROR(__xludf.DUMMYFUNCTION("""COMPUTED_VALUE"""),"Engineered/Advanced")</f>
        <v>Engineered/Advanced</v>
      </c>
      <c r="G58" s="8" t="str">
        <f>IFERROR(__xludf.DUMMYFUNCTION("""COMPUTED_VALUE"""),"Recycled/Waste")</f>
        <v>Recycled/Waste</v>
      </c>
      <c r="H58" s="8" t="str">
        <f>IFERROR(__xludf.DUMMYFUNCTION("""COMPUTED_VALUE"""),"Hybrid")</f>
        <v>Hybrid</v>
      </c>
    </row>
    <row r="59">
      <c r="A59" s="8" t="s">
        <v>151</v>
      </c>
      <c r="B59" s="8" t="str">
        <f>IFERROR(__xludf.DUMMYFUNCTION("""COMPUTED_VALUE"""),"Concrete")</f>
        <v>Concrete</v>
      </c>
      <c r="C59" s="8" t="str">
        <f>IFERROR(__xludf.DUMMYFUNCTION("""COMPUTED_VALUE"""),"Tires")</f>
        <v>Tires</v>
      </c>
      <c r="D59" s="8" t="str">
        <f>IFERROR(__xludf.DUMMYFUNCTION("""COMPUTED_VALUE"""),"Natural")</f>
        <v>Natural</v>
      </c>
      <c r="E59" s="8" t="str">
        <f>IFERROR(__xludf.DUMMYFUNCTION("""COMPUTED_VALUE"""),"Metal/Wreck")</f>
        <v>Metal/Wreck</v>
      </c>
      <c r="F59" s="8" t="str">
        <f>IFERROR(__xludf.DUMMYFUNCTION("""COMPUTED_VALUE"""),"Engineered/Advanced")</f>
        <v>Engineered/Advanced</v>
      </c>
      <c r="G59" s="8" t="str">
        <f>IFERROR(__xludf.DUMMYFUNCTION("""COMPUTED_VALUE"""),"Recycled/Waste")</f>
        <v>Recycled/Waste</v>
      </c>
      <c r="H59" s="8" t="str">
        <f>IFERROR(__xludf.DUMMYFUNCTION("""COMPUTED_VALUE"""),"Hybrid")</f>
        <v>Hybrid</v>
      </c>
    </row>
    <row r="60">
      <c r="A60" s="8" t="s">
        <v>151</v>
      </c>
      <c r="B60" s="8" t="str">
        <f>IFERROR(__xludf.DUMMYFUNCTION("""COMPUTED_VALUE"""),"Concrete")</f>
        <v>Concrete</v>
      </c>
      <c r="C60" s="8" t="str">
        <f>IFERROR(__xludf.DUMMYFUNCTION("""COMPUTED_VALUE"""),"Tires")</f>
        <v>Tires</v>
      </c>
      <c r="D60" s="8" t="str">
        <f>IFERROR(__xludf.DUMMYFUNCTION("""COMPUTED_VALUE"""),"Natural")</f>
        <v>Natural</v>
      </c>
      <c r="E60" s="8" t="str">
        <f>IFERROR(__xludf.DUMMYFUNCTION("""COMPUTED_VALUE"""),"Metal/Wreck")</f>
        <v>Metal/Wreck</v>
      </c>
      <c r="F60" s="8" t="str">
        <f>IFERROR(__xludf.DUMMYFUNCTION("""COMPUTED_VALUE"""),"Engineered/Advanced")</f>
        <v>Engineered/Advanced</v>
      </c>
      <c r="G60" s="8" t="str">
        <f>IFERROR(__xludf.DUMMYFUNCTION("""COMPUTED_VALUE"""),"Recycled/Waste")</f>
        <v>Recycled/Waste</v>
      </c>
      <c r="H60" s="8" t="str">
        <f>IFERROR(__xludf.DUMMYFUNCTION("""COMPUTED_VALUE"""),"Hybrid")</f>
        <v>Hybrid</v>
      </c>
    </row>
    <row r="61">
      <c r="A61" s="8" t="s">
        <v>151</v>
      </c>
      <c r="B61" s="8" t="str">
        <f>IFERROR(__xludf.DUMMYFUNCTION("""COMPUTED_VALUE"""),"Concrete")</f>
        <v>Concrete</v>
      </c>
      <c r="C61" s="8" t="str">
        <f>IFERROR(__xludf.DUMMYFUNCTION("""COMPUTED_VALUE"""),"Tires")</f>
        <v>Tires</v>
      </c>
      <c r="D61" s="8" t="str">
        <f>IFERROR(__xludf.DUMMYFUNCTION("""COMPUTED_VALUE"""),"Natural")</f>
        <v>Natural</v>
      </c>
      <c r="E61" s="8" t="str">
        <f>IFERROR(__xludf.DUMMYFUNCTION("""COMPUTED_VALUE"""),"Metal/Wreck")</f>
        <v>Metal/Wreck</v>
      </c>
      <c r="F61" s="8" t="str">
        <f>IFERROR(__xludf.DUMMYFUNCTION("""COMPUTED_VALUE"""),"Engineered/Advanced")</f>
        <v>Engineered/Advanced</v>
      </c>
      <c r="G61" s="8" t="str">
        <f>IFERROR(__xludf.DUMMYFUNCTION("""COMPUTED_VALUE"""),"Recycled/Waste")</f>
        <v>Recycled/Waste</v>
      </c>
      <c r="H61" s="8" t="str">
        <f>IFERROR(__xludf.DUMMYFUNCTION("""COMPUTED_VALUE"""),"Hybrid")</f>
        <v>Hybrid</v>
      </c>
    </row>
    <row r="62">
      <c r="A62" s="8" t="s">
        <v>151</v>
      </c>
      <c r="B62" s="8" t="str">
        <f>IFERROR(__xludf.DUMMYFUNCTION("""COMPUTED_VALUE"""),"Concrete")</f>
        <v>Concrete</v>
      </c>
      <c r="C62" s="8" t="str">
        <f>IFERROR(__xludf.DUMMYFUNCTION("""COMPUTED_VALUE"""),"Tires")</f>
        <v>Tires</v>
      </c>
      <c r="D62" s="8" t="str">
        <f>IFERROR(__xludf.DUMMYFUNCTION("""COMPUTED_VALUE"""),"Natural")</f>
        <v>Natural</v>
      </c>
      <c r="E62" s="8" t="str">
        <f>IFERROR(__xludf.DUMMYFUNCTION("""COMPUTED_VALUE"""),"Metal/Wreck")</f>
        <v>Metal/Wreck</v>
      </c>
      <c r="F62" s="8" t="str">
        <f>IFERROR(__xludf.DUMMYFUNCTION("""COMPUTED_VALUE"""),"Engineered/Advanced")</f>
        <v>Engineered/Advanced</v>
      </c>
      <c r="G62" s="8" t="str">
        <f>IFERROR(__xludf.DUMMYFUNCTION("""COMPUTED_VALUE"""),"Recycled/Waste")</f>
        <v>Recycled/Waste</v>
      </c>
      <c r="H62" s="8" t="str">
        <f>IFERROR(__xludf.DUMMYFUNCTION("""COMPUTED_VALUE"""),"Hybrid")</f>
        <v>Hybrid</v>
      </c>
    </row>
    <row r="63">
      <c r="A63" s="8" t="s">
        <v>151</v>
      </c>
      <c r="B63" s="8" t="str">
        <f>IFERROR(__xludf.DUMMYFUNCTION("""COMPUTED_VALUE"""),"Concrete")</f>
        <v>Concrete</v>
      </c>
      <c r="C63" s="8" t="str">
        <f>IFERROR(__xludf.DUMMYFUNCTION("""COMPUTED_VALUE"""),"Tires")</f>
        <v>Tires</v>
      </c>
      <c r="D63" s="8" t="str">
        <f>IFERROR(__xludf.DUMMYFUNCTION("""COMPUTED_VALUE"""),"Natural")</f>
        <v>Natural</v>
      </c>
      <c r="E63" s="8" t="str">
        <f>IFERROR(__xludf.DUMMYFUNCTION("""COMPUTED_VALUE"""),"Metal/Wreck")</f>
        <v>Metal/Wreck</v>
      </c>
      <c r="F63" s="8" t="str">
        <f>IFERROR(__xludf.DUMMYFUNCTION("""COMPUTED_VALUE"""),"Engineered/Advanced")</f>
        <v>Engineered/Advanced</v>
      </c>
      <c r="G63" s="8" t="str">
        <f>IFERROR(__xludf.DUMMYFUNCTION("""COMPUTED_VALUE"""),"Recycled/Waste")</f>
        <v>Recycled/Waste</v>
      </c>
      <c r="H63" s="8" t="str">
        <f>IFERROR(__xludf.DUMMYFUNCTION("""COMPUTED_VALUE"""),"Hybrid")</f>
        <v>Hybrid</v>
      </c>
    </row>
    <row r="64">
      <c r="A64" s="8" t="s">
        <v>151</v>
      </c>
      <c r="B64" s="8" t="str">
        <f>IFERROR(__xludf.DUMMYFUNCTION("""COMPUTED_VALUE"""),"Concrete")</f>
        <v>Concrete</v>
      </c>
      <c r="C64" s="8" t="str">
        <f>IFERROR(__xludf.DUMMYFUNCTION("""COMPUTED_VALUE"""),"Tires")</f>
        <v>Tires</v>
      </c>
      <c r="D64" s="8" t="str">
        <f>IFERROR(__xludf.DUMMYFUNCTION("""COMPUTED_VALUE"""),"Natural")</f>
        <v>Natural</v>
      </c>
      <c r="E64" s="8" t="str">
        <f>IFERROR(__xludf.DUMMYFUNCTION("""COMPUTED_VALUE"""),"Metal/Wreck")</f>
        <v>Metal/Wreck</v>
      </c>
      <c r="F64" s="8" t="str">
        <f>IFERROR(__xludf.DUMMYFUNCTION("""COMPUTED_VALUE"""),"Engineered/Advanced")</f>
        <v>Engineered/Advanced</v>
      </c>
      <c r="G64" s="8" t="str">
        <f>IFERROR(__xludf.DUMMYFUNCTION("""COMPUTED_VALUE"""),"Recycled/Waste")</f>
        <v>Recycled/Waste</v>
      </c>
      <c r="H64" s="8" t="str">
        <f>IFERROR(__xludf.DUMMYFUNCTION("""COMPUTED_VALUE"""),"Hybrid")</f>
        <v>Hybrid</v>
      </c>
    </row>
    <row r="65">
      <c r="A65" s="8" t="s">
        <v>151</v>
      </c>
      <c r="B65" s="8" t="str">
        <f>IFERROR(__xludf.DUMMYFUNCTION("""COMPUTED_VALUE"""),"Concrete")</f>
        <v>Concrete</v>
      </c>
      <c r="C65" s="8" t="str">
        <f>IFERROR(__xludf.DUMMYFUNCTION("""COMPUTED_VALUE"""),"Tires")</f>
        <v>Tires</v>
      </c>
      <c r="D65" s="8" t="str">
        <f>IFERROR(__xludf.DUMMYFUNCTION("""COMPUTED_VALUE"""),"Natural")</f>
        <v>Natural</v>
      </c>
      <c r="E65" s="8" t="str">
        <f>IFERROR(__xludf.DUMMYFUNCTION("""COMPUTED_VALUE"""),"Metal/Wreck")</f>
        <v>Metal/Wreck</v>
      </c>
      <c r="F65" s="8" t="str">
        <f>IFERROR(__xludf.DUMMYFUNCTION("""COMPUTED_VALUE"""),"Engineered/Advanced")</f>
        <v>Engineered/Advanced</v>
      </c>
      <c r="G65" s="8" t="str">
        <f>IFERROR(__xludf.DUMMYFUNCTION("""COMPUTED_VALUE"""),"Recycled/Waste")</f>
        <v>Recycled/Waste</v>
      </c>
      <c r="H65" s="8" t="str">
        <f>IFERROR(__xludf.DUMMYFUNCTION("""COMPUTED_VALUE"""),"Hybrid")</f>
        <v>Hybrid</v>
      </c>
    </row>
    <row r="66">
      <c r="A66" s="8" t="s">
        <v>151</v>
      </c>
      <c r="B66" s="8" t="str">
        <f>IFERROR(__xludf.DUMMYFUNCTION("""COMPUTED_VALUE"""),"Concrete")</f>
        <v>Concrete</v>
      </c>
      <c r="C66" s="8" t="str">
        <f>IFERROR(__xludf.DUMMYFUNCTION("""COMPUTED_VALUE"""),"Tires")</f>
        <v>Tires</v>
      </c>
      <c r="D66" s="8" t="str">
        <f>IFERROR(__xludf.DUMMYFUNCTION("""COMPUTED_VALUE"""),"Natural")</f>
        <v>Natural</v>
      </c>
      <c r="E66" s="8" t="str">
        <f>IFERROR(__xludf.DUMMYFUNCTION("""COMPUTED_VALUE"""),"Metal/Wreck")</f>
        <v>Metal/Wreck</v>
      </c>
      <c r="F66" s="8" t="str">
        <f>IFERROR(__xludf.DUMMYFUNCTION("""COMPUTED_VALUE"""),"Engineered/Advanced")</f>
        <v>Engineered/Advanced</v>
      </c>
      <c r="G66" s="8" t="str">
        <f>IFERROR(__xludf.DUMMYFUNCTION("""COMPUTED_VALUE"""),"Recycled/Waste")</f>
        <v>Recycled/Waste</v>
      </c>
      <c r="H66" s="8" t="str">
        <f>IFERROR(__xludf.DUMMYFUNCTION("""COMPUTED_VALUE"""),"Hybrid")</f>
        <v>Hybrid</v>
      </c>
    </row>
    <row r="67">
      <c r="A67" s="8" t="s">
        <v>151</v>
      </c>
      <c r="B67" s="8" t="str">
        <f>IFERROR(__xludf.DUMMYFUNCTION("""COMPUTED_VALUE"""),"Concrete")</f>
        <v>Concrete</v>
      </c>
      <c r="C67" s="8" t="str">
        <f>IFERROR(__xludf.DUMMYFUNCTION("""COMPUTED_VALUE"""),"Tires")</f>
        <v>Tires</v>
      </c>
      <c r="D67" s="8" t="str">
        <f>IFERROR(__xludf.DUMMYFUNCTION("""COMPUTED_VALUE"""),"Natural")</f>
        <v>Natural</v>
      </c>
      <c r="E67" s="8" t="str">
        <f>IFERROR(__xludf.DUMMYFUNCTION("""COMPUTED_VALUE"""),"Metal/Wreck")</f>
        <v>Metal/Wreck</v>
      </c>
      <c r="F67" s="8" t="str">
        <f>IFERROR(__xludf.DUMMYFUNCTION("""COMPUTED_VALUE"""),"Engineered/Advanced")</f>
        <v>Engineered/Advanced</v>
      </c>
      <c r="G67" s="8" t="str">
        <f>IFERROR(__xludf.DUMMYFUNCTION("""COMPUTED_VALUE"""),"Recycled/Waste")</f>
        <v>Recycled/Waste</v>
      </c>
      <c r="H67" s="8" t="str">
        <f>IFERROR(__xludf.DUMMYFUNCTION("""COMPUTED_VALUE"""),"Hybrid")</f>
        <v>Hybrid</v>
      </c>
    </row>
    <row r="68">
      <c r="A68" s="8" t="s">
        <v>151</v>
      </c>
      <c r="B68" s="8" t="str">
        <f>IFERROR(__xludf.DUMMYFUNCTION("""COMPUTED_VALUE"""),"Concrete")</f>
        <v>Concrete</v>
      </c>
      <c r="C68" s="8" t="str">
        <f>IFERROR(__xludf.DUMMYFUNCTION("""COMPUTED_VALUE"""),"Tires")</f>
        <v>Tires</v>
      </c>
      <c r="D68" s="8" t="str">
        <f>IFERROR(__xludf.DUMMYFUNCTION("""COMPUTED_VALUE"""),"Natural")</f>
        <v>Natural</v>
      </c>
      <c r="E68" s="8" t="str">
        <f>IFERROR(__xludf.DUMMYFUNCTION("""COMPUTED_VALUE"""),"Metal/Wreck")</f>
        <v>Metal/Wreck</v>
      </c>
      <c r="F68" s="8" t="str">
        <f>IFERROR(__xludf.DUMMYFUNCTION("""COMPUTED_VALUE"""),"Engineered/Advanced")</f>
        <v>Engineered/Advanced</v>
      </c>
      <c r="G68" s="8" t="str">
        <f>IFERROR(__xludf.DUMMYFUNCTION("""COMPUTED_VALUE"""),"Recycled/Waste")</f>
        <v>Recycled/Waste</v>
      </c>
      <c r="H68" s="8" t="str">
        <f>IFERROR(__xludf.DUMMYFUNCTION("""COMPUTED_VALUE"""),"Hybrid")</f>
        <v>Hybrid</v>
      </c>
    </row>
    <row r="69">
      <c r="A69" s="8" t="s">
        <v>151</v>
      </c>
      <c r="B69" s="8" t="str">
        <f>IFERROR(__xludf.DUMMYFUNCTION("""COMPUTED_VALUE"""),"Concrete")</f>
        <v>Concrete</v>
      </c>
      <c r="C69" s="8" t="str">
        <f>IFERROR(__xludf.DUMMYFUNCTION("""COMPUTED_VALUE"""),"Tires")</f>
        <v>Tires</v>
      </c>
      <c r="D69" s="8" t="str">
        <f>IFERROR(__xludf.DUMMYFUNCTION("""COMPUTED_VALUE"""),"Natural")</f>
        <v>Natural</v>
      </c>
      <c r="E69" s="8" t="str">
        <f>IFERROR(__xludf.DUMMYFUNCTION("""COMPUTED_VALUE"""),"Metal/Wreck")</f>
        <v>Metal/Wreck</v>
      </c>
      <c r="F69" s="8" t="str">
        <f>IFERROR(__xludf.DUMMYFUNCTION("""COMPUTED_VALUE"""),"Engineered/Advanced")</f>
        <v>Engineered/Advanced</v>
      </c>
      <c r="G69" s="8" t="str">
        <f>IFERROR(__xludf.DUMMYFUNCTION("""COMPUTED_VALUE"""),"Recycled/Waste")</f>
        <v>Recycled/Waste</v>
      </c>
      <c r="H69" s="8" t="str">
        <f>IFERROR(__xludf.DUMMYFUNCTION("""COMPUTED_VALUE"""),"Hybrid")</f>
        <v>Hybrid</v>
      </c>
    </row>
    <row r="70">
      <c r="A70" s="8" t="s">
        <v>151</v>
      </c>
      <c r="B70" s="8" t="str">
        <f>IFERROR(__xludf.DUMMYFUNCTION("""COMPUTED_VALUE"""),"Concrete")</f>
        <v>Concrete</v>
      </c>
      <c r="C70" s="8" t="str">
        <f>IFERROR(__xludf.DUMMYFUNCTION("""COMPUTED_VALUE"""),"Tires")</f>
        <v>Tires</v>
      </c>
      <c r="D70" s="8" t="str">
        <f>IFERROR(__xludf.DUMMYFUNCTION("""COMPUTED_VALUE"""),"Natural")</f>
        <v>Natural</v>
      </c>
      <c r="E70" s="8" t="str">
        <f>IFERROR(__xludf.DUMMYFUNCTION("""COMPUTED_VALUE"""),"Metal/Wreck")</f>
        <v>Metal/Wreck</v>
      </c>
      <c r="F70" s="8" t="str">
        <f>IFERROR(__xludf.DUMMYFUNCTION("""COMPUTED_VALUE"""),"Engineered/Advanced")</f>
        <v>Engineered/Advanced</v>
      </c>
      <c r="G70" s="8" t="str">
        <f>IFERROR(__xludf.DUMMYFUNCTION("""COMPUTED_VALUE"""),"Recycled/Waste")</f>
        <v>Recycled/Waste</v>
      </c>
      <c r="H70" s="8" t="str">
        <f>IFERROR(__xludf.DUMMYFUNCTION("""COMPUTED_VALUE"""),"Hybrid")</f>
        <v>Hybrid</v>
      </c>
    </row>
    <row r="71">
      <c r="A71" s="8" t="s">
        <v>151</v>
      </c>
      <c r="B71" s="8" t="str">
        <f>IFERROR(__xludf.DUMMYFUNCTION("""COMPUTED_VALUE"""),"Concrete")</f>
        <v>Concrete</v>
      </c>
      <c r="C71" s="8" t="str">
        <f>IFERROR(__xludf.DUMMYFUNCTION("""COMPUTED_VALUE"""),"Tires")</f>
        <v>Tires</v>
      </c>
      <c r="D71" s="8" t="str">
        <f>IFERROR(__xludf.DUMMYFUNCTION("""COMPUTED_VALUE"""),"Natural")</f>
        <v>Natural</v>
      </c>
      <c r="E71" s="8" t="str">
        <f>IFERROR(__xludf.DUMMYFUNCTION("""COMPUTED_VALUE"""),"Metal/Wreck")</f>
        <v>Metal/Wreck</v>
      </c>
      <c r="F71" s="8" t="str">
        <f>IFERROR(__xludf.DUMMYFUNCTION("""COMPUTED_VALUE"""),"Engineered/Advanced")</f>
        <v>Engineered/Advanced</v>
      </c>
      <c r="G71" s="8" t="str">
        <f>IFERROR(__xludf.DUMMYFUNCTION("""COMPUTED_VALUE"""),"Recycled/Waste")</f>
        <v>Recycled/Waste</v>
      </c>
      <c r="H71" s="8" t="str">
        <f>IFERROR(__xludf.DUMMYFUNCTION("""COMPUTED_VALUE"""),"Hybrid")</f>
        <v>Hybrid</v>
      </c>
    </row>
    <row r="72">
      <c r="A72" s="8" t="s">
        <v>151</v>
      </c>
      <c r="B72" s="8" t="str">
        <f>IFERROR(__xludf.DUMMYFUNCTION("""COMPUTED_VALUE"""),"Concrete")</f>
        <v>Concrete</v>
      </c>
      <c r="C72" s="8" t="str">
        <f>IFERROR(__xludf.DUMMYFUNCTION("""COMPUTED_VALUE"""),"Tires")</f>
        <v>Tires</v>
      </c>
      <c r="D72" s="8" t="str">
        <f>IFERROR(__xludf.DUMMYFUNCTION("""COMPUTED_VALUE"""),"Natural")</f>
        <v>Natural</v>
      </c>
      <c r="E72" s="8" t="str">
        <f>IFERROR(__xludf.DUMMYFUNCTION("""COMPUTED_VALUE"""),"Metal/Wreck")</f>
        <v>Metal/Wreck</v>
      </c>
      <c r="F72" s="8" t="str">
        <f>IFERROR(__xludf.DUMMYFUNCTION("""COMPUTED_VALUE"""),"Engineered/Advanced")</f>
        <v>Engineered/Advanced</v>
      </c>
      <c r="G72" s="8" t="str">
        <f>IFERROR(__xludf.DUMMYFUNCTION("""COMPUTED_VALUE"""),"Recycled/Waste")</f>
        <v>Recycled/Waste</v>
      </c>
      <c r="H72" s="8" t="str">
        <f>IFERROR(__xludf.DUMMYFUNCTION("""COMPUTED_VALUE"""),"Hybrid")</f>
        <v>Hybrid</v>
      </c>
    </row>
    <row r="73">
      <c r="A73" s="8" t="s">
        <v>151</v>
      </c>
      <c r="B73" s="8" t="str">
        <f>IFERROR(__xludf.DUMMYFUNCTION("""COMPUTED_VALUE"""),"Concrete")</f>
        <v>Concrete</v>
      </c>
      <c r="C73" s="8" t="str">
        <f>IFERROR(__xludf.DUMMYFUNCTION("""COMPUTED_VALUE"""),"Tires")</f>
        <v>Tires</v>
      </c>
      <c r="D73" s="8" t="str">
        <f>IFERROR(__xludf.DUMMYFUNCTION("""COMPUTED_VALUE"""),"Natural")</f>
        <v>Natural</v>
      </c>
      <c r="E73" s="8" t="str">
        <f>IFERROR(__xludf.DUMMYFUNCTION("""COMPUTED_VALUE"""),"Metal/Wreck")</f>
        <v>Metal/Wreck</v>
      </c>
      <c r="F73" s="8" t="str">
        <f>IFERROR(__xludf.DUMMYFUNCTION("""COMPUTED_VALUE"""),"Engineered/Advanced")</f>
        <v>Engineered/Advanced</v>
      </c>
      <c r="G73" s="8" t="str">
        <f>IFERROR(__xludf.DUMMYFUNCTION("""COMPUTED_VALUE"""),"Recycled/Waste")</f>
        <v>Recycled/Waste</v>
      </c>
      <c r="H73" s="8" t="str">
        <f>IFERROR(__xludf.DUMMYFUNCTION("""COMPUTED_VALUE"""),"Hybrid")</f>
        <v>Hybrid</v>
      </c>
    </row>
    <row r="74">
      <c r="A74" s="8" t="s">
        <v>151</v>
      </c>
      <c r="B74" s="8" t="str">
        <f>IFERROR(__xludf.DUMMYFUNCTION("""COMPUTED_VALUE"""),"Concrete")</f>
        <v>Concrete</v>
      </c>
      <c r="C74" s="8" t="str">
        <f>IFERROR(__xludf.DUMMYFUNCTION("""COMPUTED_VALUE"""),"Tires")</f>
        <v>Tires</v>
      </c>
      <c r="D74" s="8" t="str">
        <f>IFERROR(__xludf.DUMMYFUNCTION("""COMPUTED_VALUE"""),"Natural")</f>
        <v>Natural</v>
      </c>
      <c r="E74" s="8" t="str">
        <f>IFERROR(__xludf.DUMMYFUNCTION("""COMPUTED_VALUE"""),"Metal/Wreck")</f>
        <v>Metal/Wreck</v>
      </c>
      <c r="F74" s="8" t="str">
        <f>IFERROR(__xludf.DUMMYFUNCTION("""COMPUTED_VALUE"""),"Engineered/Advanced")</f>
        <v>Engineered/Advanced</v>
      </c>
      <c r="G74" s="8" t="str">
        <f>IFERROR(__xludf.DUMMYFUNCTION("""COMPUTED_VALUE"""),"Recycled/Waste")</f>
        <v>Recycled/Waste</v>
      </c>
      <c r="H74" s="8" t="str">
        <f>IFERROR(__xludf.DUMMYFUNCTION("""COMPUTED_VALUE"""),"Hybrid")</f>
        <v>Hybrid</v>
      </c>
    </row>
    <row r="75">
      <c r="A75" s="8" t="s">
        <v>151</v>
      </c>
      <c r="B75" s="8" t="str">
        <f>IFERROR(__xludf.DUMMYFUNCTION("""COMPUTED_VALUE"""),"Concrete")</f>
        <v>Concrete</v>
      </c>
      <c r="C75" s="8" t="str">
        <f>IFERROR(__xludf.DUMMYFUNCTION("""COMPUTED_VALUE"""),"Tires")</f>
        <v>Tires</v>
      </c>
      <c r="D75" s="8" t="str">
        <f>IFERROR(__xludf.DUMMYFUNCTION("""COMPUTED_VALUE"""),"Natural")</f>
        <v>Natural</v>
      </c>
      <c r="E75" s="8" t="str">
        <f>IFERROR(__xludf.DUMMYFUNCTION("""COMPUTED_VALUE"""),"Metal/Wreck")</f>
        <v>Metal/Wreck</v>
      </c>
      <c r="F75" s="8" t="str">
        <f>IFERROR(__xludf.DUMMYFUNCTION("""COMPUTED_VALUE"""),"Engineered/Advanced")</f>
        <v>Engineered/Advanced</v>
      </c>
      <c r="G75" s="8" t="str">
        <f>IFERROR(__xludf.DUMMYFUNCTION("""COMPUTED_VALUE"""),"Recycled/Waste")</f>
        <v>Recycled/Waste</v>
      </c>
      <c r="H75" s="8" t="str">
        <f>IFERROR(__xludf.DUMMYFUNCTION("""COMPUTED_VALUE"""),"Hybrid")</f>
        <v>Hybrid</v>
      </c>
    </row>
    <row r="76">
      <c r="A76" s="8" t="s">
        <v>151</v>
      </c>
      <c r="B76" s="8" t="str">
        <f>IFERROR(__xludf.DUMMYFUNCTION("""COMPUTED_VALUE"""),"Concrete")</f>
        <v>Concrete</v>
      </c>
      <c r="C76" s="8" t="str">
        <f>IFERROR(__xludf.DUMMYFUNCTION("""COMPUTED_VALUE"""),"Tires")</f>
        <v>Tires</v>
      </c>
      <c r="D76" s="8" t="str">
        <f>IFERROR(__xludf.DUMMYFUNCTION("""COMPUTED_VALUE"""),"Natural")</f>
        <v>Natural</v>
      </c>
      <c r="E76" s="8" t="str">
        <f>IFERROR(__xludf.DUMMYFUNCTION("""COMPUTED_VALUE"""),"Metal/Wreck")</f>
        <v>Metal/Wreck</v>
      </c>
      <c r="F76" s="8" t="str">
        <f>IFERROR(__xludf.DUMMYFUNCTION("""COMPUTED_VALUE"""),"Engineered/Advanced")</f>
        <v>Engineered/Advanced</v>
      </c>
      <c r="G76" s="8" t="str">
        <f>IFERROR(__xludf.DUMMYFUNCTION("""COMPUTED_VALUE"""),"Recycled/Waste")</f>
        <v>Recycled/Waste</v>
      </c>
      <c r="H76" s="8" t="str">
        <f>IFERROR(__xludf.DUMMYFUNCTION("""COMPUTED_VALUE"""),"Hybrid")</f>
        <v>Hybrid</v>
      </c>
    </row>
    <row r="77">
      <c r="A77" s="8" t="s">
        <v>151</v>
      </c>
      <c r="B77" s="8" t="str">
        <f>IFERROR(__xludf.DUMMYFUNCTION("""COMPUTED_VALUE"""),"Concrete")</f>
        <v>Concrete</v>
      </c>
      <c r="C77" s="8" t="str">
        <f>IFERROR(__xludf.DUMMYFUNCTION("""COMPUTED_VALUE"""),"Tires")</f>
        <v>Tires</v>
      </c>
      <c r="D77" s="8" t="str">
        <f>IFERROR(__xludf.DUMMYFUNCTION("""COMPUTED_VALUE"""),"Natural")</f>
        <v>Natural</v>
      </c>
      <c r="E77" s="8" t="str">
        <f>IFERROR(__xludf.DUMMYFUNCTION("""COMPUTED_VALUE"""),"Metal/Wreck")</f>
        <v>Metal/Wreck</v>
      </c>
      <c r="F77" s="8" t="str">
        <f>IFERROR(__xludf.DUMMYFUNCTION("""COMPUTED_VALUE"""),"Engineered/Advanced")</f>
        <v>Engineered/Advanced</v>
      </c>
      <c r="G77" s="8" t="str">
        <f>IFERROR(__xludf.DUMMYFUNCTION("""COMPUTED_VALUE"""),"Recycled/Waste")</f>
        <v>Recycled/Waste</v>
      </c>
      <c r="H77" s="8" t="str">
        <f>IFERROR(__xludf.DUMMYFUNCTION("""COMPUTED_VALUE"""),"Hybrid")</f>
        <v>Hybrid</v>
      </c>
    </row>
    <row r="78">
      <c r="A78" s="8" t="s">
        <v>151</v>
      </c>
      <c r="B78" s="8" t="str">
        <f>IFERROR(__xludf.DUMMYFUNCTION("""COMPUTED_VALUE"""),"Concrete")</f>
        <v>Concrete</v>
      </c>
      <c r="C78" s="8" t="str">
        <f>IFERROR(__xludf.DUMMYFUNCTION("""COMPUTED_VALUE"""),"Tires")</f>
        <v>Tires</v>
      </c>
      <c r="D78" s="8" t="str">
        <f>IFERROR(__xludf.DUMMYFUNCTION("""COMPUTED_VALUE"""),"Natural")</f>
        <v>Natural</v>
      </c>
      <c r="E78" s="8" t="str">
        <f>IFERROR(__xludf.DUMMYFUNCTION("""COMPUTED_VALUE"""),"Metal/Wreck")</f>
        <v>Metal/Wreck</v>
      </c>
      <c r="F78" s="8" t="str">
        <f>IFERROR(__xludf.DUMMYFUNCTION("""COMPUTED_VALUE"""),"Engineered/Advanced")</f>
        <v>Engineered/Advanced</v>
      </c>
      <c r="G78" s="8" t="str">
        <f>IFERROR(__xludf.DUMMYFUNCTION("""COMPUTED_VALUE"""),"Recycled/Waste")</f>
        <v>Recycled/Waste</v>
      </c>
      <c r="H78" s="8" t="str">
        <f>IFERROR(__xludf.DUMMYFUNCTION("""COMPUTED_VALUE"""),"Hybrid")</f>
        <v>Hybrid</v>
      </c>
    </row>
    <row r="79">
      <c r="A79" s="8" t="s">
        <v>151</v>
      </c>
      <c r="B79" s="8" t="str">
        <f>IFERROR(__xludf.DUMMYFUNCTION("""COMPUTED_VALUE"""),"Concrete")</f>
        <v>Concrete</v>
      </c>
      <c r="C79" s="8" t="str">
        <f>IFERROR(__xludf.DUMMYFUNCTION("""COMPUTED_VALUE"""),"Tires")</f>
        <v>Tires</v>
      </c>
      <c r="D79" s="8" t="str">
        <f>IFERROR(__xludf.DUMMYFUNCTION("""COMPUTED_VALUE"""),"Natural")</f>
        <v>Natural</v>
      </c>
      <c r="E79" s="8" t="str">
        <f>IFERROR(__xludf.DUMMYFUNCTION("""COMPUTED_VALUE"""),"Metal/Wreck")</f>
        <v>Metal/Wreck</v>
      </c>
      <c r="F79" s="8" t="str">
        <f>IFERROR(__xludf.DUMMYFUNCTION("""COMPUTED_VALUE"""),"Engineered/Advanced")</f>
        <v>Engineered/Advanced</v>
      </c>
      <c r="G79" s="8" t="str">
        <f>IFERROR(__xludf.DUMMYFUNCTION("""COMPUTED_VALUE"""),"Recycled/Waste")</f>
        <v>Recycled/Waste</v>
      </c>
      <c r="H79" s="8" t="str">
        <f>IFERROR(__xludf.DUMMYFUNCTION("""COMPUTED_VALUE"""),"Hybrid")</f>
        <v>Hybrid</v>
      </c>
    </row>
    <row r="80">
      <c r="A80" s="8" t="s">
        <v>151</v>
      </c>
      <c r="B80" s="8" t="str">
        <f>IFERROR(__xludf.DUMMYFUNCTION("""COMPUTED_VALUE"""),"Concrete")</f>
        <v>Concrete</v>
      </c>
      <c r="C80" s="8" t="str">
        <f>IFERROR(__xludf.DUMMYFUNCTION("""COMPUTED_VALUE"""),"Tires")</f>
        <v>Tires</v>
      </c>
      <c r="D80" s="8" t="str">
        <f>IFERROR(__xludf.DUMMYFUNCTION("""COMPUTED_VALUE"""),"Natural")</f>
        <v>Natural</v>
      </c>
      <c r="E80" s="8" t="str">
        <f>IFERROR(__xludf.DUMMYFUNCTION("""COMPUTED_VALUE"""),"Metal/Wreck")</f>
        <v>Metal/Wreck</v>
      </c>
      <c r="F80" s="8" t="str">
        <f>IFERROR(__xludf.DUMMYFUNCTION("""COMPUTED_VALUE"""),"Engineered/Advanced")</f>
        <v>Engineered/Advanced</v>
      </c>
      <c r="G80" s="8" t="str">
        <f>IFERROR(__xludf.DUMMYFUNCTION("""COMPUTED_VALUE"""),"Recycled/Waste")</f>
        <v>Recycled/Waste</v>
      </c>
      <c r="H80" s="8" t="str">
        <f>IFERROR(__xludf.DUMMYFUNCTION("""COMPUTED_VALUE"""),"Hybrid")</f>
        <v>Hybrid</v>
      </c>
    </row>
    <row r="81">
      <c r="A81" s="8" t="s">
        <v>151</v>
      </c>
      <c r="B81" s="8" t="str">
        <f>IFERROR(__xludf.DUMMYFUNCTION("""COMPUTED_VALUE"""),"Concrete")</f>
        <v>Concrete</v>
      </c>
      <c r="C81" s="8" t="str">
        <f>IFERROR(__xludf.DUMMYFUNCTION("""COMPUTED_VALUE"""),"Tires")</f>
        <v>Tires</v>
      </c>
      <c r="D81" s="8" t="str">
        <f>IFERROR(__xludf.DUMMYFUNCTION("""COMPUTED_VALUE"""),"Natural")</f>
        <v>Natural</v>
      </c>
      <c r="E81" s="8" t="str">
        <f>IFERROR(__xludf.DUMMYFUNCTION("""COMPUTED_VALUE"""),"Metal/Wreck")</f>
        <v>Metal/Wreck</v>
      </c>
      <c r="F81" s="8" t="str">
        <f>IFERROR(__xludf.DUMMYFUNCTION("""COMPUTED_VALUE"""),"Engineered/Advanced")</f>
        <v>Engineered/Advanced</v>
      </c>
      <c r="G81" s="8" t="str">
        <f>IFERROR(__xludf.DUMMYFUNCTION("""COMPUTED_VALUE"""),"Recycled/Waste")</f>
        <v>Recycled/Waste</v>
      </c>
      <c r="H81" s="8" t="str">
        <f>IFERROR(__xludf.DUMMYFUNCTION("""COMPUTED_VALUE"""),"Hybrid")</f>
        <v>Hybrid</v>
      </c>
    </row>
    <row r="82">
      <c r="A82" s="8" t="s">
        <v>151</v>
      </c>
      <c r="B82" s="8" t="str">
        <f>IFERROR(__xludf.DUMMYFUNCTION("""COMPUTED_VALUE"""),"Concrete")</f>
        <v>Concrete</v>
      </c>
      <c r="C82" s="8" t="str">
        <f>IFERROR(__xludf.DUMMYFUNCTION("""COMPUTED_VALUE"""),"Tires")</f>
        <v>Tires</v>
      </c>
      <c r="D82" s="8" t="str">
        <f>IFERROR(__xludf.DUMMYFUNCTION("""COMPUTED_VALUE"""),"Natural")</f>
        <v>Natural</v>
      </c>
      <c r="E82" s="8" t="str">
        <f>IFERROR(__xludf.DUMMYFUNCTION("""COMPUTED_VALUE"""),"Metal/Wreck")</f>
        <v>Metal/Wreck</v>
      </c>
      <c r="F82" s="8" t="str">
        <f>IFERROR(__xludf.DUMMYFUNCTION("""COMPUTED_VALUE"""),"Engineered/Advanced")</f>
        <v>Engineered/Advanced</v>
      </c>
      <c r="G82" s="8" t="str">
        <f>IFERROR(__xludf.DUMMYFUNCTION("""COMPUTED_VALUE"""),"Recycled/Waste")</f>
        <v>Recycled/Waste</v>
      </c>
      <c r="H82" s="8" t="str">
        <f>IFERROR(__xludf.DUMMYFUNCTION("""COMPUTED_VALUE"""),"Hybrid")</f>
        <v>Hybrid</v>
      </c>
    </row>
    <row r="83">
      <c r="A83" s="8" t="s">
        <v>151</v>
      </c>
      <c r="B83" s="8" t="str">
        <f>IFERROR(__xludf.DUMMYFUNCTION("""COMPUTED_VALUE"""),"Concrete")</f>
        <v>Concrete</v>
      </c>
      <c r="C83" s="8" t="str">
        <f>IFERROR(__xludf.DUMMYFUNCTION("""COMPUTED_VALUE"""),"Tires")</f>
        <v>Tires</v>
      </c>
      <c r="D83" s="8" t="str">
        <f>IFERROR(__xludf.DUMMYFUNCTION("""COMPUTED_VALUE"""),"Natural")</f>
        <v>Natural</v>
      </c>
      <c r="E83" s="8" t="str">
        <f>IFERROR(__xludf.DUMMYFUNCTION("""COMPUTED_VALUE"""),"Metal/Wreck")</f>
        <v>Metal/Wreck</v>
      </c>
      <c r="F83" s="8" t="str">
        <f>IFERROR(__xludf.DUMMYFUNCTION("""COMPUTED_VALUE"""),"Engineered/Advanced")</f>
        <v>Engineered/Advanced</v>
      </c>
      <c r="G83" s="8" t="str">
        <f>IFERROR(__xludf.DUMMYFUNCTION("""COMPUTED_VALUE"""),"Recycled/Waste")</f>
        <v>Recycled/Waste</v>
      </c>
      <c r="H83" s="8" t="str">
        <f>IFERROR(__xludf.DUMMYFUNCTION("""COMPUTED_VALUE"""),"Hybrid")</f>
        <v>Hybrid</v>
      </c>
    </row>
    <row r="84">
      <c r="A84" s="8" t="s">
        <v>319</v>
      </c>
      <c r="B84" s="8" t="str">
        <f>IFERROR(__xludf.DUMMYFUNCTION("""COMPUTED_VALUE"""),"Not applicable")</f>
        <v>Not applicable</v>
      </c>
      <c r="C84" s="8"/>
      <c r="D84" s="8"/>
      <c r="E84" s="8"/>
      <c r="F84" s="8"/>
      <c r="G84" s="8"/>
      <c r="H84" s="8"/>
    </row>
    <row r="85">
      <c r="A85" s="8" t="s">
        <v>319</v>
      </c>
      <c r="B85" s="8" t="str">
        <f>IFERROR(__xludf.DUMMYFUNCTION("""COMPUTED_VALUE"""),"Not applicable")</f>
        <v>Not applicable</v>
      </c>
      <c r="C85" s="8"/>
      <c r="D85" s="8"/>
      <c r="E85" s="8"/>
      <c r="F85" s="8"/>
      <c r="G85" s="8"/>
      <c r="H85" s="8"/>
    </row>
    <row r="86">
      <c r="A86" s="8" t="s">
        <v>151</v>
      </c>
      <c r="B86" s="8" t="str">
        <f>IFERROR(__xludf.DUMMYFUNCTION("""COMPUTED_VALUE"""),"Concrete")</f>
        <v>Concrete</v>
      </c>
      <c r="C86" s="8" t="str">
        <f>IFERROR(__xludf.DUMMYFUNCTION("""COMPUTED_VALUE"""),"Tires")</f>
        <v>Tires</v>
      </c>
      <c r="D86" s="8" t="str">
        <f>IFERROR(__xludf.DUMMYFUNCTION("""COMPUTED_VALUE"""),"Natural")</f>
        <v>Natural</v>
      </c>
      <c r="E86" s="8" t="str">
        <f>IFERROR(__xludf.DUMMYFUNCTION("""COMPUTED_VALUE"""),"Metal/Wreck")</f>
        <v>Metal/Wreck</v>
      </c>
      <c r="F86" s="8" t="str">
        <f>IFERROR(__xludf.DUMMYFUNCTION("""COMPUTED_VALUE"""),"Engineered/Advanced")</f>
        <v>Engineered/Advanced</v>
      </c>
      <c r="G86" s="8" t="str">
        <f>IFERROR(__xludf.DUMMYFUNCTION("""COMPUTED_VALUE"""),"Recycled/Waste")</f>
        <v>Recycled/Waste</v>
      </c>
      <c r="H86" s="8" t="str">
        <f>IFERROR(__xludf.DUMMYFUNCTION("""COMPUTED_VALUE"""),"Hybrid")</f>
        <v>Hybrid</v>
      </c>
    </row>
    <row r="87">
      <c r="A87" s="8" t="s">
        <v>151</v>
      </c>
      <c r="B87" s="8" t="str">
        <f>IFERROR(__xludf.DUMMYFUNCTION("""COMPUTED_VALUE"""),"Concrete")</f>
        <v>Concrete</v>
      </c>
      <c r="C87" s="8" t="str">
        <f>IFERROR(__xludf.DUMMYFUNCTION("""COMPUTED_VALUE"""),"Tires")</f>
        <v>Tires</v>
      </c>
      <c r="D87" s="8" t="str">
        <f>IFERROR(__xludf.DUMMYFUNCTION("""COMPUTED_VALUE"""),"Natural")</f>
        <v>Natural</v>
      </c>
      <c r="E87" s="8" t="str">
        <f>IFERROR(__xludf.DUMMYFUNCTION("""COMPUTED_VALUE"""),"Metal/Wreck")</f>
        <v>Metal/Wreck</v>
      </c>
      <c r="F87" s="8" t="str">
        <f>IFERROR(__xludf.DUMMYFUNCTION("""COMPUTED_VALUE"""),"Engineered/Advanced")</f>
        <v>Engineered/Advanced</v>
      </c>
      <c r="G87" s="8" t="str">
        <f>IFERROR(__xludf.DUMMYFUNCTION("""COMPUTED_VALUE"""),"Recycled/Waste")</f>
        <v>Recycled/Waste</v>
      </c>
      <c r="H87" s="8" t="str">
        <f>IFERROR(__xludf.DUMMYFUNCTION("""COMPUTED_VALUE"""),"Hybrid")</f>
        <v>Hybrid</v>
      </c>
    </row>
    <row r="88">
      <c r="A88" s="8" t="s">
        <v>151</v>
      </c>
      <c r="B88" s="8" t="str">
        <f>IFERROR(__xludf.DUMMYFUNCTION("""COMPUTED_VALUE"""),"Concrete")</f>
        <v>Concrete</v>
      </c>
      <c r="C88" s="8" t="str">
        <f>IFERROR(__xludf.DUMMYFUNCTION("""COMPUTED_VALUE"""),"Tires")</f>
        <v>Tires</v>
      </c>
      <c r="D88" s="8" t="str">
        <f>IFERROR(__xludf.DUMMYFUNCTION("""COMPUTED_VALUE"""),"Natural")</f>
        <v>Natural</v>
      </c>
      <c r="E88" s="8" t="str">
        <f>IFERROR(__xludf.DUMMYFUNCTION("""COMPUTED_VALUE"""),"Metal/Wreck")</f>
        <v>Metal/Wreck</v>
      </c>
      <c r="F88" s="8" t="str">
        <f>IFERROR(__xludf.DUMMYFUNCTION("""COMPUTED_VALUE"""),"Engineered/Advanced")</f>
        <v>Engineered/Advanced</v>
      </c>
      <c r="G88" s="8" t="str">
        <f>IFERROR(__xludf.DUMMYFUNCTION("""COMPUTED_VALUE"""),"Recycled/Waste")</f>
        <v>Recycled/Waste</v>
      </c>
      <c r="H88" s="8" t="str">
        <f>IFERROR(__xludf.DUMMYFUNCTION("""COMPUTED_VALUE"""),"Hybrid")</f>
        <v>Hybrid</v>
      </c>
    </row>
    <row r="89">
      <c r="A89" s="8" t="s">
        <v>151</v>
      </c>
      <c r="B89" s="8" t="str">
        <f>IFERROR(__xludf.DUMMYFUNCTION("""COMPUTED_VALUE"""),"Concrete")</f>
        <v>Concrete</v>
      </c>
      <c r="C89" s="8" t="str">
        <f>IFERROR(__xludf.DUMMYFUNCTION("""COMPUTED_VALUE"""),"Tires")</f>
        <v>Tires</v>
      </c>
      <c r="D89" s="8" t="str">
        <f>IFERROR(__xludf.DUMMYFUNCTION("""COMPUTED_VALUE"""),"Natural")</f>
        <v>Natural</v>
      </c>
      <c r="E89" s="8" t="str">
        <f>IFERROR(__xludf.DUMMYFUNCTION("""COMPUTED_VALUE"""),"Metal/Wreck")</f>
        <v>Metal/Wreck</v>
      </c>
      <c r="F89" s="8" t="str">
        <f>IFERROR(__xludf.DUMMYFUNCTION("""COMPUTED_VALUE"""),"Engineered/Advanced")</f>
        <v>Engineered/Advanced</v>
      </c>
      <c r="G89" s="8" t="str">
        <f>IFERROR(__xludf.DUMMYFUNCTION("""COMPUTED_VALUE"""),"Recycled/Waste")</f>
        <v>Recycled/Waste</v>
      </c>
      <c r="H89" s="8" t="str">
        <f>IFERROR(__xludf.DUMMYFUNCTION("""COMPUTED_VALUE"""),"Hybrid")</f>
        <v>Hybrid</v>
      </c>
    </row>
    <row r="90">
      <c r="A90" s="8" t="s">
        <v>151</v>
      </c>
      <c r="B90" s="8" t="str">
        <f>IFERROR(__xludf.DUMMYFUNCTION("""COMPUTED_VALUE"""),"Concrete")</f>
        <v>Concrete</v>
      </c>
      <c r="C90" s="8" t="str">
        <f>IFERROR(__xludf.DUMMYFUNCTION("""COMPUTED_VALUE"""),"Tires")</f>
        <v>Tires</v>
      </c>
      <c r="D90" s="8" t="str">
        <f>IFERROR(__xludf.DUMMYFUNCTION("""COMPUTED_VALUE"""),"Natural")</f>
        <v>Natural</v>
      </c>
      <c r="E90" s="8" t="str">
        <f>IFERROR(__xludf.DUMMYFUNCTION("""COMPUTED_VALUE"""),"Metal/Wreck")</f>
        <v>Metal/Wreck</v>
      </c>
      <c r="F90" s="8" t="str">
        <f>IFERROR(__xludf.DUMMYFUNCTION("""COMPUTED_VALUE"""),"Engineered/Advanced")</f>
        <v>Engineered/Advanced</v>
      </c>
      <c r="G90" s="8" t="str">
        <f>IFERROR(__xludf.DUMMYFUNCTION("""COMPUTED_VALUE"""),"Recycled/Waste")</f>
        <v>Recycled/Waste</v>
      </c>
      <c r="H90" s="8" t="str">
        <f>IFERROR(__xludf.DUMMYFUNCTION("""COMPUTED_VALUE"""),"Hybrid")</f>
        <v>Hybrid</v>
      </c>
    </row>
    <row r="91">
      <c r="A91" s="8" t="s">
        <v>151</v>
      </c>
      <c r="B91" s="8" t="str">
        <f>IFERROR(__xludf.DUMMYFUNCTION("""COMPUTED_VALUE"""),"Concrete")</f>
        <v>Concrete</v>
      </c>
      <c r="C91" s="8" t="str">
        <f>IFERROR(__xludf.DUMMYFUNCTION("""COMPUTED_VALUE"""),"Tires")</f>
        <v>Tires</v>
      </c>
      <c r="D91" s="8" t="str">
        <f>IFERROR(__xludf.DUMMYFUNCTION("""COMPUTED_VALUE"""),"Natural")</f>
        <v>Natural</v>
      </c>
      <c r="E91" s="8" t="str">
        <f>IFERROR(__xludf.DUMMYFUNCTION("""COMPUTED_VALUE"""),"Metal/Wreck")</f>
        <v>Metal/Wreck</v>
      </c>
      <c r="F91" s="8" t="str">
        <f>IFERROR(__xludf.DUMMYFUNCTION("""COMPUTED_VALUE"""),"Engineered/Advanced")</f>
        <v>Engineered/Advanced</v>
      </c>
      <c r="G91" s="8" t="str">
        <f>IFERROR(__xludf.DUMMYFUNCTION("""COMPUTED_VALUE"""),"Recycled/Waste")</f>
        <v>Recycled/Waste</v>
      </c>
      <c r="H91" s="8" t="str">
        <f>IFERROR(__xludf.DUMMYFUNCTION("""COMPUTED_VALUE"""),"Hybrid")</f>
        <v>Hybrid</v>
      </c>
    </row>
    <row r="92">
      <c r="A92" s="8" t="s">
        <v>151</v>
      </c>
      <c r="B92" s="8" t="str">
        <f>IFERROR(__xludf.DUMMYFUNCTION("""COMPUTED_VALUE"""),"Concrete")</f>
        <v>Concrete</v>
      </c>
      <c r="C92" s="8" t="str">
        <f>IFERROR(__xludf.DUMMYFUNCTION("""COMPUTED_VALUE"""),"Tires")</f>
        <v>Tires</v>
      </c>
      <c r="D92" s="8" t="str">
        <f>IFERROR(__xludf.DUMMYFUNCTION("""COMPUTED_VALUE"""),"Natural")</f>
        <v>Natural</v>
      </c>
      <c r="E92" s="8" t="str">
        <f>IFERROR(__xludf.DUMMYFUNCTION("""COMPUTED_VALUE"""),"Metal/Wreck")</f>
        <v>Metal/Wreck</v>
      </c>
      <c r="F92" s="8" t="str">
        <f>IFERROR(__xludf.DUMMYFUNCTION("""COMPUTED_VALUE"""),"Engineered/Advanced")</f>
        <v>Engineered/Advanced</v>
      </c>
      <c r="G92" s="8" t="str">
        <f>IFERROR(__xludf.DUMMYFUNCTION("""COMPUTED_VALUE"""),"Recycled/Waste")</f>
        <v>Recycled/Waste</v>
      </c>
      <c r="H92" s="8" t="str">
        <f>IFERROR(__xludf.DUMMYFUNCTION("""COMPUTED_VALUE"""),"Hybrid")</f>
        <v>Hybrid</v>
      </c>
    </row>
    <row r="93">
      <c r="A93" s="8" t="s">
        <v>151</v>
      </c>
      <c r="B93" s="8" t="str">
        <f>IFERROR(__xludf.DUMMYFUNCTION("""COMPUTED_VALUE"""),"Concrete")</f>
        <v>Concrete</v>
      </c>
      <c r="C93" s="8" t="str">
        <f>IFERROR(__xludf.DUMMYFUNCTION("""COMPUTED_VALUE"""),"Tires")</f>
        <v>Tires</v>
      </c>
      <c r="D93" s="8" t="str">
        <f>IFERROR(__xludf.DUMMYFUNCTION("""COMPUTED_VALUE"""),"Natural")</f>
        <v>Natural</v>
      </c>
      <c r="E93" s="8" t="str">
        <f>IFERROR(__xludf.DUMMYFUNCTION("""COMPUTED_VALUE"""),"Metal/Wreck")</f>
        <v>Metal/Wreck</v>
      </c>
      <c r="F93" s="8" t="str">
        <f>IFERROR(__xludf.DUMMYFUNCTION("""COMPUTED_VALUE"""),"Engineered/Advanced")</f>
        <v>Engineered/Advanced</v>
      </c>
      <c r="G93" s="8" t="str">
        <f>IFERROR(__xludf.DUMMYFUNCTION("""COMPUTED_VALUE"""),"Recycled/Waste")</f>
        <v>Recycled/Waste</v>
      </c>
      <c r="H93" s="8" t="str">
        <f>IFERROR(__xludf.DUMMYFUNCTION("""COMPUTED_VALUE"""),"Hybrid")</f>
        <v>Hybrid</v>
      </c>
    </row>
    <row r="94">
      <c r="A94" s="8" t="s">
        <v>151</v>
      </c>
      <c r="B94" s="8" t="str">
        <f>IFERROR(__xludf.DUMMYFUNCTION("""COMPUTED_VALUE"""),"Concrete")</f>
        <v>Concrete</v>
      </c>
      <c r="C94" s="8" t="str">
        <f>IFERROR(__xludf.DUMMYFUNCTION("""COMPUTED_VALUE"""),"Tires")</f>
        <v>Tires</v>
      </c>
      <c r="D94" s="8" t="str">
        <f>IFERROR(__xludf.DUMMYFUNCTION("""COMPUTED_VALUE"""),"Natural")</f>
        <v>Natural</v>
      </c>
      <c r="E94" s="8" t="str">
        <f>IFERROR(__xludf.DUMMYFUNCTION("""COMPUTED_VALUE"""),"Metal/Wreck")</f>
        <v>Metal/Wreck</v>
      </c>
      <c r="F94" s="8" t="str">
        <f>IFERROR(__xludf.DUMMYFUNCTION("""COMPUTED_VALUE"""),"Engineered/Advanced")</f>
        <v>Engineered/Advanced</v>
      </c>
      <c r="G94" s="8" t="str">
        <f>IFERROR(__xludf.DUMMYFUNCTION("""COMPUTED_VALUE"""),"Recycled/Waste")</f>
        <v>Recycled/Waste</v>
      </c>
      <c r="H94" s="8" t="str">
        <f>IFERROR(__xludf.DUMMYFUNCTION("""COMPUTED_VALUE"""),"Hybrid")</f>
        <v>Hybrid</v>
      </c>
    </row>
    <row r="95">
      <c r="A95" s="8" t="s">
        <v>151</v>
      </c>
      <c r="B95" s="8" t="str">
        <f>IFERROR(__xludf.DUMMYFUNCTION("""COMPUTED_VALUE"""),"Concrete")</f>
        <v>Concrete</v>
      </c>
      <c r="C95" s="8" t="str">
        <f>IFERROR(__xludf.DUMMYFUNCTION("""COMPUTED_VALUE"""),"Tires")</f>
        <v>Tires</v>
      </c>
      <c r="D95" s="8" t="str">
        <f>IFERROR(__xludf.DUMMYFUNCTION("""COMPUTED_VALUE"""),"Natural")</f>
        <v>Natural</v>
      </c>
      <c r="E95" s="8" t="str">
        <f>IFERROR(__xludf.DUMMYFUNCTION("""COMPUTED_VALUE"""),"Metal/Wreck")</f>
        <v>Metal/Wreck</v>
      </c>
      <c r="F95" s="8" t="str">
        <f>IFERROR(__xludf.DUMMYFUNCTION("""COMPUTED_VALUE"""),"Engineered/Advanced")</f>
        <v>Engineered/Advanced</v>
      </c>
      <c r="G95" s="8" t="str">
        <f>IFERROR(__xludf.DUMMYFUNCTION("""COMPUTED_VALUE"""),"Recycled/Waste")</f>
        <v>Recycled/Waste</v>
      </c>
      <c r="H95" s="8" t="str">
        <f>IFERROR(__xludf.DUMMYFUNCTION("""COMPUTED_VALUE"""),"Hybrid")</f>
        <v>Hybrid</v>
      </c>
    </row>
    <row r="96">
      <c r="A96" s="8" t="s">
        <v>151</v>
      </c>
      <c r="B96" s="8" t="str">
        <f>IFERROR(__xludf.DUMMYFUNCTION("""COMPUTED_VALUE"""),"Concrete")</f>
        <v>Concrete</v>
      </c>
      <c r="C96" s="8" t="str">
        <f>IFERROR(__xludf.DUMMYFUNCTION("""COMPUTED_VALUE"""),"Tires")</f>
        <v>Tires</v>
      </c>
      <c r="D96" s="8" t="str">
        <f>IFERROR(__xludf.DUMMYFUNCTION("""COMPUTED_VALUE"""),"Natural")</f>
        <v>Natural</v>
      </c>
      <c r="E96" s="8" t="str">
        <f>IFERROR(__xludf.DUMMYFUNCTION("""COMPUTED_VALUE"""),"Metal/Wreck")</f>
        <v>Metal/Wreck</v>
      </c>
      <c r="F96" s="8" t="str">
        <f>IFERROR(__xludf.DUMMYFUNCTION("""COMPUTED_VALUE"""),"Engineered/Advanced")</f>
        <v>Engineered/Advanced</v>
      </c>
      <c r="G96" s="8" t="str">
        <f>IFERROR(__xludf.DUMMYFUNCTION("""COMPUTED_VALUE"""),"Recycled/Waste")</f>
        <v>Recycled/Waste</v>
      </c>
      <c r="H96" s="8" t="str">
        <f>IFERROR(__xludf.DUMMYFUNCTION("""COMPUTED_VALUE"""),"Hybrid")</f>
        <v>Hybrid</v>
      </c>
    </row>
    <row r="97">
      <c r="A97" s="8" t="s">
        <v>151</v>
      </c>
      <c r="B97" s="8" t="str">
        <f>IFERROR(__xludf.DUMMYFUNCTION("""COMPUTED_VALUE"""),"Concrete")</f>
        <v>Concrete</v>
      </c>
      <c r="C97" s="8" t="str">
        <f>IFERROR(__xludf.DUMMYFUNCTION("""COMPUTED_VALUE"""),"Tires")</f>
        <v>Tires</v>
      </c>
      <c r="D97" s="8" t="str">
        <f>IFERROR(__xludf.DUMMYFUNCTION("""COMPUTED_VALUE"""),"Natural")</f>
        <v>Natural</v>
      </c>
      <c r="E97" s="8" t="str">
        <f>IFERROR(__xludf.DUMMYFUNCTION("""COMPUTED_VALUE"""),"Metal/Wreck")</f>
        <v>Metal/Wreck</v>
      </c>
      <c r="F97" s="8" t="str">
        <f>IFERROR(__xludf.DUMMYFUNCTION("""COMPUTED_VALUE"""),"Engineered/Advanced")</f>
        <v>Engineered/Advanced</v>
      </c>
      <c r="G97" s="8" t="str">
        <f>IFERROR(__xludf.DUMMYFUNCTION("""COMPUTED_VALUE"""),"Recycled/Waste")</f>
        <v>Recycled/Waste</v>
      </c>
      <c r="H97" s="8" t="str">
        <f>IFERROR(__xludf.DUMMYFUNCTION("""COMPUTED_VALUE"""),"Hybrid")</f>
        <v>Hybrid</v>
      </c>
    </row>
    <row r="98">
      <c r="A98" s="8" t="s">
        <v>151</v>
      </c>
      <c r="B98" s="8" t="str">
        <f>IFERROR(__xludf.DUMMYFUNCTION("""COMPUTED_VALUE"""),"Concrete")</f>
        <v>Concrete</v>
      </c>
      <c r="C98" s="8" t="str">
        <f>IFERROR(__xludf.DUMMYFUNCTION("""COMPUTED_VALUE"""),"Tires")</f>
        <v>Tires</v>
      </c>
      <c r="D98" s="8" t="str">
        <f>IFERROR(__xludf.DUMMYFUNCTION("""COMPUTED_VALUE"""),"Natural")</f>
        <v>Natural</v>
      </c>
      <c r="E98" s="8" t="str">
        <f>IFERROR(__xludf.DUMMYFUNCTION("""COMPUTED_VALUE"""),"Metal/Wreck")</f>
        <v>Metal/Wreck</v>
      </c>
      <c r="F98" s="8" t="str">
        <f>IFERROR(__xludf.DUMMYFUNCTION("""COMPUTED_VALUE"""),"Engineered/Advanced")</f>
        <v>Engineered/Advanced</v>
      </c>
      <c r="G98" s="8" t="str">
        <f>IFERROR(__xludf.DUMMYFUNCTION("""COMPUTED_VALUE"""),"Recycled/Waste")</f>
        <v>Recycled/Waste</v>
      </c>
      <c r="H98" s="8" t="str">
        <f>IFERROR(__xludf.DUMMYFUNCTION("""COMPUTED_VALUE"""),"Hybrid")</f>
        <v>Hybrid</v>
      </c>
    </row>
    <row r="99">
      <c r="A99" s="8" t="s">
        <v>151</v>
      </c>
      <c r="B99" s="8" t="str">
        <f>IFERROR(__xludf.DUMMYFUNCTION("""COMPUTED_VALUE"""),"Concrete")</f>
        <v>Concrete</v>
      </c>
      <c r="C99" s="8" t="str">
        <f>IFERROR(__xludf.DUMMYFUNCTION("""COMPUTED_VALUE"""),"Tires")</f>
        <v>Tires</v>
      </c>
      <c r="D99" s="8" t="str">
        <f>IFERROR(__xludf.DUMMYFUNCTION("""COMPUTED_VALUE"""),"Natural")</f>
        <v>Natural</v>
      </c>
      <c r="E99" s="8" t="str">
        <f>IFERROR(__xludf.DUMMYFUNCTION("""COMPUTED_VALUE"""),"Metal/Wreck")</f>
        <v>Metal/Wreck</v>
      </c>
      <c r="F99" s="8" t="str">
        <f>IFERROR(__xludf.DUMMYFUNCTION("""COMPUTED_VALUE"""),"Engineered/Advanced")</f>
        <v>Engineered/Advanced</v>
      </c>
      <c r="G99" s="8" t="str">
        <f>IFERROR(__xludf.DUMMYFUNCTION("""COMPUTED_VALUE"""),"Recycled/Waste")</f>
        <v>Recycled/Waste</v>
      </c>
      <c r="H99" s="8" t="str">
        <f>IFERROR(__xludf.DUMMYFUNCTION("""COMPUTED_VALUE"""),"Hybrid")</f>
        <v>Hybrid</v>
      </c>
    </row>
    <row r="100">
      <c r="A100" s="8" t="s">
        <v>151</v>
      </c>
      <c r="B100" s="8" t="str">
        <f>IFERROR(__xludf.DUMMYFUNCTION("""COMPUTED_VALUE"""),"Concrete")</f>
        <v>Concrete</v>
      </c>
      <c r="C100" s="8" t="str">
        <f>IFERROR(__xludf.DUMMYFUNCTION("""COMPUTED_VALUE"""),"Tires")</f>
        <v>Tires</v>
      </c>
      <c r="D100" s="8" t="str">
        <f>IFERROR(__xludf.DUMMYFUNCTION("""COMPUTED_VALUE"""),"Natural")</f>
        <v>Natural</v>
      </c>
      <c r="E100" s="8" t="str">
        <f>IFERROR(__xludf.DUMMYFUNCTION("""COMPUTED_VALUE"""),"Metal/Wreck")</f>
        <v>Metal/Wreck</v>
      </c>
      <c r="F100" s="8" t="str">
        <f>IFERROR(__xludf.DUMMYFUNCTION("""COMPUTED_VALUE"""),"Engineered/Advanced")</f>
        <v>Engineered/Advanced</v>
      </c>
      <c r="G100" s="8" t="str">
        <f>IFERROR(__xludf.DUMMYFUNCTION("""COMPUTED_VALUE"""),"Recycled/Waste")</f>
        <v>Recycled/Waste</v>
      </c>
      <c r="H100" s="8" t="str">
        <f>IFERROR(__xludf.DUMMYFUNCTION("""COMPUTED_VALUE"""),"Hybrid")</f>
        <v>Hybrid</v>
      </c>
    </row>
    <row r="101">
      <c r="A101" s="8" t="s">
        <v>151</v>
      </c>
      <c r="B101" s="8" t="str">
        <f>IFERROR(__xludf.DUMMYFUNCTION("""COMPUTED_VALUE"""),"Concrete")</f>
        <v>Concrete</v>
      </c>
      <c r="C101" s="8" t="str">
        <f>IFERROR(__xludf.DUMMYFUNCTION("""COMPUTED_VALUE"""),"Tires")</f>
        <v>Tires</v>
      </c>
      <c r="D101" s="8" t="str">
        <f>IFERROR(__xludf.DUMMYFUNCTION("""COMPUTED_VALUE"""),"Natural")</f>
        <v>Natural</v>
      </c>
      <c r="E101" s="8" t="str">
        <f>IFERROR(__xludf.DUMMYFUNCTION("""COMPUTED_VALUE"""),"Metal/Wreck")</f>
        <v>Metal/Wreck</v>
      </c>
      <c r="F101" s="8" t="str">
        <f>IFERROR(__xludf.DUMMYFUNCTION("""COMPUTED_VALUE"""),"Engineered/Advanced")</f>
        <v>Engineered/Advanced</v>
      </c>
      <c r="G101" s="8" t="str">
        <f>IFERROR(__xludf.DUMMYFUNCTION("""COMPUTED_VALUE"""),"Recycled/Waste")</f>
        <v>Recycled/Waste</v>
      </c>
      <c r="H101" s="8" t="str">
        <f>IFERROR(__xludf.DUMMYFUNCTION("""COMPUTED_VALUE"""),"Hybrid")</f>
        <v>Hybrid</v>
      </c>
    </row>
    <row r="102">
      <c r="A102" s="8" t="s">
        <v>151</v>
      </c>
      <c r="B102" s="8" t="str">
        <f>IFERROR(__xludf.DUMMYFUNCTION("""COMPUTED_VALUE"""),"Concrete")</f>
        <v>Concrete</v>
      </c>
      <c r="C102" s="8" t="str">
        <f>IFERROR(__xludf.DUMMYFUNCTION("""COMPUTED_VALUE"""),"Tires")</f>
        <v>Tires</v>
      </c>
      <c r="D102" s="8" t="str">
        <f>IFERROR(__xludf.DUMMYFUNCTION("""COMPUTED_VALUE"""),"Natural")</f>
        <v>Natural</v>
      </c>
      <c r="E102" s="8" t="str">
        <f>IFERROR(__xludf.DUMMYFUNCTION("""COMPUTED_VALUE"""),"Metal/Wreck")</f>
        <v>Metal/Wreck</v>
      </c>
      <c r="F102" s="8" t="str">
        <f>IFERROR(__xludf.DUMMYFUNCTION("""COMPUTED_VALUE"""),"Engineered/Advanced")</f>
        <v>Engineered/Advanced</v>
      </c>
      <c r="G102" s="8" t="str">
        <f>IFERROR(__xludf.DUMMYFUNCTION("""COMPUTED_VALUE"""),"Recycled/Waste")</f>
        <v>Recycled/Waste</v>
      </c>
      <c r="H102" s="8" t="str">
        <f>IFERROR(__xludf.DUMMYFUNCTION("""COMPUTED_VALUE"""),"Hybrid")</f>
        <v>Hybrid</v>
      </c>
    </row>
    <row r="103">
      <c r="A103" s="8" t="s">
        <v>151</v>
      </c>
      <c r="B103" s="8" t="str">
        <f>IFERROR(__xludf.DUMMYFUNCTION("""COMPUTED_VALUE"""),"Concrete")</f>
        <v>Concrete</v>
      </c>
      <c r="C103" s="8" t="str">
        <f>IFERROR(__xludf.DUMMYFUNCTION("""COMPUTED_VALUE"""),"Tires")</f>
        <v>Tires</v>
      </c>
      <c r="D103" s="8" t="str">
        <f>IFERROR(__xludf.DUMMYFUNCTION("""COMPUTED_VALUE"""),"Natural")</f>
        <v>Natural</v>
      </c>
      <c r="E103" s="8" t="str">
        <f>IFERROR(__xludf.DUMMYFUNCTION("""COMPUTED_VALUE"""),"Metal/Wreck")</f>
        <v>Metal/Wreck</v>
      </c>
      <c r="F103" s="8" t="str">
        <f>IFERROR(__xludf.DUMMYFUNCTION("""COMPUTED_VALUE"""),"Engineered/Advanced")</f>
        <v>Engineered/Advanced</v>
      </c>
      <c r="G103" s="8" t="str">
        <f>IFERROR(__xludf.DUMMYFUNCTION("""COMPUTED_VALUE"""),"Recycled/Waste")</f>
        <v>Recycled/Waste</v>
      </c>
      <c r="H103" s="8" t="str">
        <f>IFERROR(__xludf.DUMMYFUNCTION("""COMPUTED_VALUE"""),"Hybrid")</f>
        <v>Hybrid</v>
      </c>
    </row>
    <row r="104">
      <c r="A104" s="8" t="s">
        <v>151</v>
      </c>
      <c r="B104" s="8" t="str">
        <f>IFERROR(__xludf.DUMMYFUNCTION("""COMPUTED_VALUE"""),"Concrete")</f>
        <v>Concrete</v>
      </c>
      <c r="C104" s="8" t="str">
        <f>IFERROR(__xludf.DUMMYFUNCTION("""COMPUTED_VALUE"""),"Tires")</f>
        <v>Tires</v>
      </c>
      <c r="D104" s="8" t="str">
        <f>IFERROR(__xludf.DUMMYFUNCTION("""COMPUTED_VALUE"""),"Natural")</f>
        <v>Natural</v>
      </c>
      <c r="E104" s="8" t="str">
        <f>IFERROR(__xludf.DUMMYFUNCTION("""COMPUTED_VALUE"""),"Metal/Wreck")</f>
        <v>Metal/Wreck</v>
      </c>
      <c r="F104" s="8" t="str">
        <f>IFERROR(__xludf.DUMMYFUNCTION("""COMPUTED_VALUE"""),"Engineered/Advanced")</f>
        <v>Engineered/Advanced</v>
      </c>
      <c r="G104" s="8" t="str">
        <f>IFERROR(__xludf.DUMMYFUNCTION("""COMPUTED_VALUE"""),"Recycled/Waste")</f>
        <v>Recycled/Waste</v>
      </c>
      <c r="H104" s="8" t="str">
        <f>IFERROR(__xludf.DUMMYFUNCTION("""COMPUTED_VALUE"""),"Hybrid")</f>
        <v>Hybrid</v>
      </c>
    </row>
    <row r="105">
      <c r="A105" s="8" t="s">
        <v>319</v>
      </c>
      <c r="B105" s="8" t="str">
        <f>IFERROR(__xludf.DUMMYFUNCTION("""COMPUTED_VALUE"""),"Not applicable")</f>
        <v>Not applicable</v>
      </c>
      <c r="C105" s="8"/>
      <c r="D105" s="8"/>
      <c r="E105" s="8"/>
      <c r="F105" s="8"/>
      <c r="G105" s="8"/>
      <c r="H105" s="8"/>
    </row>
    <row r="106">
      <c r="A106" s="8" t="s">
        <v>319</v>
      </c>
      <c r="B106" s="8" t="str">
        <f>IFERROR(__xludf.DUMMYFUNCTION("""COMPUTED_VALUE"""),"Not applicable")</f>
        <v>Not applicable</v>
      </c>
      <c r="C106" s="8"/>
      <c r="D106" s="8"/>
      <c r="E106" s="8"/>
      <c r="F106" s="8"/>
      <c r="G106" s="8"/>
      <c r="H106" s="8"/>
    </row>
    <row r="107">
      <c r="A107" s="8" t="s">
        <v>898</v>
      </c>
      <c r="B107" s="8" t="str">
        <f>IFERROR(__xludf.DUMMYFUNCTION("""COMPUTED_VALUE"""),"#N/A")</f>
        <v>#N/A</v>
      </c>
      <c r="C107" s="8"/>
      <c r="D107" s="8"/>
      <c r="E107" s="8"/>
      <c r="F107" s="8"/>
      <c r="G107" s="8"/>
      <c r="H107" s="8"/>
    </row>
    <row r="108">
      <c r="A108" s="8" t="s">
        <v>910</v>
      </c>
      <c r="B108" s="8" t="str">
        <f>IFERROR(__xludf.DUMMYFUNCTION("""COMPUTED_VALUE"""),"#N/A")</f>
        <v>#N/A</v>
      </c>
      <c r="C108" s="8"/>
      <c r="D108" s="8"/>
      <c r="E108" s="8"/>
      <c r="F108" s="8"/>
      <c r="G108" s="8"/>
      <c r="H108" s="8"/>
    </row>
    <row r="109">
      <c r="A109" s="8" t="s">
        <v>926</v>
      </c>
      <c r="B109" s="8" t="str">
        <f>IFERROR(__xludf.DUMMYFUNCTION("""COMPUTED_VALUE"""),"#N/A")</f>
        <v>#N/A</v>
      </c>
      <c r="C109" s="8"/>
      <c r="D109" s="8"/>
      <c r="E109" s="8"/>
      <c r="F109" s="8"/>
      <c r="G109" s="8"/>
      <c r="H109" s="8"/>
    </row>
    <row r="110">
      <c r="A110" s="8" t="s">
        <v>935</v>
      </c>
      <c r="B110" s="8" t="str">
        <f>IFERROR(__xludf.DUMMYFUNCTION("""COMPUTED_VALUE"""),"#N/A")</f>
        <v>#N/A</v>
      </c>
      <c r="C110" s="8"/>
      <c r="D110" s="8"/>
      <c r="E110" s="8"/>
      <c r="F110" s="8"/>
      <c r="G110" s="8"/>
      <c r="H110" s="8"/>
    </row>
    <row r="111">
      <c r="A111" s="8" t="s">
        <v>946</v>
      </c>
      <c r="B111" s="8" t="str">
        <f>IFERROR(__xludf.DUMMYFUNCTION("""COMPUTED_VALUE"""),"#N/A")</f>
        <v>#N/A</v>
      </c>
      <c r="C111" s="8"/>
      <c r="D111" s="8"/>
      <c r="E111" s="8"/>
      <c r="F111" s="8"/>
      <c r="G111" s="8"/>
      <c r="H111" s="8"/>
    </row>
    <row r="112">
      <c r="A112" s="8" t="s">
        <v>946</v>
      </c>
      <c r="B112" s="8" t="str">
        <f>IFERROR(__xludf.DUMMYFUNCTION("""COMPUTED_VALUE"""),"#N/A")</f>
        <v>#N/A</v>
      </c>
      <c r="C112" s="8"/>
      <c r="D112" s="8"/>
      <c r="E112" s="8"/>
      <c r="F112" s="8"/>
      <c r="G112" s="8"/>
      <c r="H112" s="8"/>
    </row>
    <row r="113">
      <c r="A113" s="8" t="s">
        <v>946</v>
      </c>
      <c r="B113" s="8" t="str">
        <f>IFERROR(__xludf.DUMMYFUNCTION("""COMPUTED_VALUE"""),"#N/A")</f>
        <v>#N/A</v>
      </c>
      <c r="C113" s="8"/>
      <c r="D113" s="8"/>
      <c r="E113" s="8"/>
      <c r="F113" s="8"/>
      <c r="G113" s="8"/>
      <c r="H113" s="8"/>
    </row>
    <row r="114">
      <c r="A114" s="8" t="s">
        <v>946</v>
      </c>
      <c r="B114" s="8" t="str">
        <f>IFERROR(__xludf.DUMMYFUNCTION("""COMPUTED_VALUE"""),"#N/A")</f>
        <v>#N/A</v>
      </c>
      <c r="C114" s="8"/>
      <c r="D114" s="8"/>
      <c r="E114" s="8"/>
      <c r="F114" s="8"/>
      <c r="G114" s="8"/>
      <c r="H114" s="8"/>
    </row>
    <row r="115">
      <c r="A115" s="8" t="s">
        <v>946</v>
      </c>
      <c r="B115" s="8" t="str">
        <f>IFERROR(__xludf.DUMMYFUNCTION("""COMPUTED_VALUE"""),"#N/A")</f>
        <v>#N/A</v>
      </c>
      <c r="C115" s="8"/>
      <c r="D115" s="8"/>
      <c r="E115" s="8"/>
      <c r="F115" s="8"/>
      <c r="G115" s="8"/>
      <c r="H115" s="8"/>
    </row>
    <row r="116">
      <c r="A116" s="8" t="s">
        <v>946</v>
      </c>
      <c r="B116" s="8" t="str">
        <f>IFERROR(__xludf.DUMMYFUNCTION("""COMPUTED_VALUE"""),"#N/A")</f>
        <v>#N/A</v>
      </c>
      <c r="C116" s="8"/>
      <c r="D116" s="8"/>
      <c r="E116" s="8"/>
      <c r="F116" s="8"/>
      <c r="G116" s="8"/>
      <c r="H116" s="8"/>
    </row>
    <row r="117">
      <c r="A117" s="8" t="s">
        <v>946</v>
      </c>
      <c r="B117" s="8" t="str">
        <f>IFERROR(__xludf.DUMMYFUNCTION("""COMPUTED_VALUE"""),"#N/A")</f>
        <v>#N/A</v>
      </c>
      <c r="C117" s="8"/>
      <c r="D117" s="8"/>
      <c r="E117" s="8"/>
      <c r="F117" s="8"/>
      <c r="G117" s="8"/>
      <c r="H117" s="8"/>
    </row>
    <row r="118">
      <c r="A118" s="8" t="s">
        <v>946</v>
      </c>
      <c r="B118" s="8" t="str">
        <f>IFERROR(__xludf.DUMMYFUNCTION("""COMPUTED_VALUE"""),"#N/A")</f>
        <v>#N/A</v>
      </c>
      <c r="C118" s="8"/>
      <c r="D118" s="8"/>
      <c r="E118" s="8"/>
      <c r="F118" s="8"/>
      <c r="G118" s="8"/>
      <c r="H118" s="8"/>
    </row>
    <row r="119">
      <c r="A119" s="8" t="s">
        <v>946</v>
      </c>
      <c r="B119" s="8" t="str">
        <f>IFERROR(__xludf.DUMMYFUNCTION("""COMPUTED_VALUE"""),"#N/A")</f>
        <v>#N/A</v>
      </c>
      <c r="C119" s="8"/>
      <c r="D119" s="8"/>
      <c r="E119" s="8"/>
      <c r="F119" s="8"/>
      <c r="G119" s="8"/>
      <c r="H119" s="8"/>
    </row>
    <row r="120">
      <c r="A120" s="8" t="s">
        <v>946</v>
      </c>
      <c r="B120" s="8" t="str">
        <f>IFERROR(__xludf.DUMMYFUNCTION("""COMPUTED_VALUE"""),"#N/A")</f>
        <v>#N/A</v>
      </c>
      <c r="C120" s="8"/>
      <c r="D120" s="8"/>
      <c r="E120" s="8"/>
      <c r="F120" s="8"/>
      <c r="G120" s="8"/>
      <c r="H120" s="8"/>
    </row>
    <row r="121">
      <c r="A121" s="8" t="s">
        <v>946</v>
      </c>
      <c r="B121" s="8" t="str">
        <f>IFERROR(__xludf.DUMMYFUNCTION("""COMPUTED_VALUE"""),"#N/A")</f>
        <v>#N/A</v>
      </c>
      <c r="C121" s="8"/>
      <c r="D121" s="8"/>
      <c r="E121" s="8"/>
      <c r="F121" s="8"/>
      <c r="G121" s="8"/>
      <c r="H121" s="8"/>
    </row>
    <row r="122">
      <c r="A122" s="8" t="s">
        <v>946</v>
      </c>
      <c r="B122" s="8" t="str">
        <f>IFERROR(__xludf.DUMMYFUNCTION("""COMPUTED_VALUE"""),"#N/A")</f>
        <v>#N/A</v>
      </c>
      <c r="C122" s="8"/>
      <c r="D122" s="8"/>
      <c r="E122" s="8"/>
      <c r="F122" s="8"/>
      <c r="G122" s="8"/>
      <c r="H122" s="8"/>
    </row>
    <row r="123">
      <c r="A123" s="8" t="s">
        <v>946</v>
      </c>
      <c r="B123" s="8" t="str">
        <f>IFERROR(__xludf.DUMMYFUNCTION("""COMPUTED_VALUE"""),"#N/A")</f>
        <v>#N/A</v>
      </c>
      <c r="C123" s="8"/>
      <c r="D123" s="8"/>
      <c r="E123" s="8"/>
      <c r="F123" s="8"/>
      <c r="G123" s="8"/>
      <c r="H123" s="8"/>
    </row>
    <row r="124">
      <c r="A124" s="8" t="s">
        <v>946</v>
      </c>
      <c r="B124" s="8" t="str">
        <f>IFERROR(__xludf.DUMMYFUNCTION("""COMPUTED_VALUE"""),"#N/A")</f>
        <v>#N/A</v>
      </c>
      <c r="C124" s="8"/>
      <c r="D124" s="8"/>
      <c r="E124" s="8"/>
      <c r="F124" s="8"/>
      <c r="G124" s="8"/>
      <c r="H124" s="8"/>
    </row>
    <row r="125">
      <c r="A125" s="8" t="s">
        <v>151</v>
      </c>
      <c r="B125" s="8" t="str">
        <f>IFERROR(__xludf.DUMMYFUNCTION("""COMPUTED_VALUE"""),"Concrete")</f>
        <v>Concrete</v>
      </c>
      <c r="C125" s="8" t="str">
        <f>IFERROR(__xludf.DUMMYFUNCTION("""COMPUTED_VALUE"""),"Tires")</f>
        <v>Tires</v>
      </c>
      <c r="D125" s="8" t="str">
        <f>IFERROR(__xludf.DUMMYFUNCTION("""COMPUTED_VALUE"""),"Natural")</f>
        <v>Natural</v>
      </c>
      <c r="E125" s="8" t="str">
        <f>IFERROR(__xludf.DUMMYFUNCTION("""COMPUTED_VALUE"""),"Metal/Wreck")</f>
        <v>Metal/Wreck</v>
      </c>
      <c r="F125" s="8" t="str">
        <f>IFERROR(__xludf.DUMMYFUNCTION("""COMPUTED_VALUE"""),"Engineered/Advanced")</f>
        <v>Engineered/Advanced</v>
      </c>
      <c r="G125" s="8" t="str">
        <f>IFERROR(__xludf.DUMMYFUNCTION("""COMPUTED_VALUE"""),"Recycled/Waste")</f>
        <v>Recycled/Waste</v>
      </c>
      <c r="H125" s="8" t="str">
        <f>IFERROR(__xludf.DUMMYFUNCTION("""COMPUTED_VALUE"""),"Hybrid")</f>
        <v>Hybrid</v>
      </c>
    </row>
    <row r="126">
      <c r="A126" s="8" t="s">
        <v>151</v>
      </c>
      <c r="B126" s="8" t="str">
        <f>IFERROR(__xludf.DUMMYFUNCTION("""COMPUTED_VALUE"""),"Concrete")</f>
        <v>Concrete</v>
      </c>
      <c r="C126" s="8" t="str">
        <f>IFERROR(__xludf.DUMMYFUNCTION("""COMPUTED_VALUE"""),"Tires")</f>
        <v>Tires</v>
      </c>
      <c r="D126" s="8" t="str">
        <f>IFERROR(__xludf.DUMMYFUNCTION("""COMPUTED_VALUE"""),"Natural")</f>
        <v>Natural</v>
      </c>
      <c r="E126" s="8" t="str">
        <f>IFERROR(__xludf.DUMMYFUNCTION("""COMPUTED_VALUE"""),"Metal/Wreck")</f>
        <v>Metal/Wreck</v>
      </c>
      <c r="F126" s="8" t="str">
        <f>IFERROR(__xludf.DUMMYFUNCTION("""COMPUTED_VALUE"""),"Engineered/Advanced")</f>
        <v>Engineered/Advanced</v>
      </c>
      <c r="G126" s="8" t="str">
        <f>IFERROR(__xludf.DUMMYFUNCTION("""COMPUTED_VALUE"""),"Recycled/Waste")</f>
        <v>Recycled/Waste</v>
      </c>
      <c r="H126" s="8" t="str">
        <f>IFERROR(__xludf.DUMMYFUNCTION("""COMPUTED_VALUE"""),"Hybrid")</f>
        <v>Hybrid</v>
      </c>
    </row>
    <row r="127">
      <c r="A127" s="8" t="s">
        <v>319</v>
      </c>
      <c r="B127" s="8" t="str">
        <f>IFERROR(__xludf.DUMMYFUNCTION("""COMPUTED_VALUE"""),"Not applicable")</f>
        <v>Not applicable</v>
      </c>
      <c r="C127" s="8"/>
      <c r="D127" s="8"/>
      <c r="E127" s="8"/>
      <c r="F127" s="8"/>
      <c r="G127" s="8"/>
      <c r="H127" s="8"/>
    </row>
    <row r="128">
      <c r="A128" s="8" t="s">
        <v>319</v>
      </c>
      <c r="B128" s="8" t="str">
        <f>IFERROR(__xludf.DUMMYFUNCTION("""COMPUTED_VALUE"""),"Not applicable")</f>
        <v>Not applicable</v>
      </c>
      <c r="C128" s="8"/>
      <c r="D128" s="8"/>
      <c r="E128" s="8"/>
      <c r="F128" s="8"/>
      <c r="G128" s="8"/>
      <c r="H128" s="8"/>
    </row>
    <row r="129">
      <c r="A129" s="8" t="s">
        <v>319</v>
      </c>
      <c r="B129" s="8" t="str">
        <f>IFERROR(__xludf.DUMMYFUNCTION("""COMPUTED_VALUE"""),"Not applicable")</f>
        <v>Not applicable</v>
      </c>
      <c r="C129" s="8"/>
      <c r="D129" s="8"/>
      <c r="E129" s="8"/>
      <c r="F129" s="8"/>
      <c r="G129" s="8"/>
      <c r="H129" s="8"/>
    </row>
    <row r="130">
      <c r="A130" s="8" t="s">
        <v>1047</v>
      </c>
      <c r="B130" s="8" t="str">
        <f>IFERROR(__xludf.DUMMYFUNCTION("""COMPUTED_VALUE"""),"#N/A")</f>
        <v>#N/A</v>
      </c>
      <c r="C130" s="8"/>
      <c r="D130" s="8"/>
      <c r="E130" s="8"/>
      <c r="F130" s="8"/>
      <c r="G130" s="8"/>
      <c r="H130" s="8"/>
    </row>
    <row r="131">
      <c r="A131" s="8" t="s">
        <v>200</v>
      </c>
      <c r="B131" s="8" t="str">
        <f>IFERROR(__xludf.DUMMYFUNCTION("""COMPUTED_VALUE"""),"Not applicable")</f>
        <v>Not applicable</v>
      </c>
      <c r="C131" s="8"/>
      <c r="D131" s="8"/>
      <c r="E131" s="8"/>
      <c r="F131" s="8"/>
      <c r="G131" s="8"/>
      <c r="H131" s="8"/>
    </row>
    <row r="132">
      <c r="A132" s="8" t="s">
        <v>178</v>
      </c>
      <c r="B132" s="8" t="str">
        <f>IFERROR(__xludf.DUMMYFUNCTION("""COMPUTED_VALUE"""),"Not applicable")</f>
        <v>Not applicable</v>
      </c>
      <c r="C132" s="8"/>
      <c r="D132" s="8"/>
      <c r="E132" s="8"/>
      <c r="F132" s="8"/>
      <c r="G132" s="8"/>
      <c r="H132" s="8"/>
    </row>
    <row r="133">
      <c r="A133" s="8" t="s">
        <v>299</v>
      </c>
      <c r="B133" s="8" t="str">
        <f>IFERROR(__xludf.DUMMYFUNCTION("""COMPUTED_VALUE"""),"#N/A")</f>
        <v>#N/A</v>
      </c>
      <c r="C133" s="8"/>
      <c r="D133" s="8"/>
      <c r="E133" s="8"/>
      <c r="F133" s="8"/>
      <c r="G133" s="8"/>
      <c r="H133" s="8"/>
    </row>
    <row r="134">
      <c r="A134" s="8" t="s">
        <v>319</v>
      </c>
      <c r="B134" s="8" t="str">
        <f>IFERROR(__xludf.DUMMYFUNCTION("""COMPUTED_VALUE"""),"Not applicable")</f>
        <v>Not applicable</v>
      </c>
      <c r="C134" s="8"/>
      <c r="D134" s="8"/>
      <c r="E134" s="8"/>
      <c r="F134" s="8"/>
      <c r="G134" s="8"/>
      <c r="H134" s="8"/>
    </row>
    <row r="135">
      <c r="A135" s="8" t="s">
        <v>178</v>
      </c>
      <c r="B135" s="8" t="str">
        <f>IFERROR(__xludf.DUMMYFUNCTION("""COMPUTED_VALUE"""),"Not applicable")</f>
        <v>Not applicable</v>
      </c>
      <c r="C135" s="8"/>
      <c r="D135" s="8"/>
      <c r="E135" s="8"/>
      <c r="F135" s="8"/>
      <c r="G135" s="8"/>
      <c r="H135" s="8"/>
    </row>
    <row r="136">
      <c r="A136" s="8" t="s">
        <v>319</v>
      </c>
      <c r="B136" s="8" t="str">
        <f>IFERROR(__xludf.DUMMYFUNCTION("""COMPUTED_VALUE"""),"Not applicable")</f>
        <v>Not applicable</v>
      </c>
      <c r="C136" s="8"/>
      <c r="D136" s="8"/>
      <c r="E136" s="8"/>
      <c r="F136" s="8"/>
      <c r="G136" s="8"/>
      <c r="H136" s="8"/>
    </row>
    <row r="137">
      <c r="A137" s="8" t="s">
        <v>319</v>
      </c>
      <c r="B137" s="8" t="str">
        <f>IFERROR(__xludf.DUMMYFUNCTION("""COMPUTED_VALUE"""),"Not applicable")</f>
        <v>Not applicable</v>
      </c>
      <c r="C137" s="8"/>
      <c r="D137" s="8"/>
      <c r="E137" s="8"/>
      <c r="F137" s="8"/>
      <c r="G137" s="8"/>
      <c r="H137" s="8"/>
    </row>
    <row r="138">
      <c r="A138" s="8" t="s">
        <v>151</v>
      </c>
      <c r="B138" s="8" t="str">
        <f>IFERROR(__xludf.DUMMYFUNCTION("""COMPUTED_VALUE"""),"Concrete")</f>
        <v>Concrete</v>
      </c>
      <c r="C138" s="8" t="str">
        <f>IFERROR(__xludf.DUMMYFUNCTION("""COMPUTED_VALUE"""),"Tires")</f>
        <v>Tires</v>
      </c>
      <c r="D138" s="8" t="str">
        <f>IFERROR(__xludf.DUMMYFUNCTION("""COMPUTED_VALUE"""),"Natural")</f>
        <v>Natural</v>
      </c>
      <c r="E138" s="8" t="str">
        <f>IFERROR(__xludf.DUMMYFUNCTION("""COMPUTED_VALUE"""),"Metal/Wreck")</f>
        <v>Metal/Wreck</v>
      </c>
      <c r="F138" s="8" t="str">
        <f>IFERROR(__xludf.DUMMYFUNCTION("""COMPUTED_VALUE"""),"Engineered/Advanced")</f>
        <v>Engineered/Advanced</v>
      </c>
      <c r="G138" s="8" t="str">
        <f>IFERROR(__xludf.DUMMYFUNCTION("""COMPUTED_VALUE"""),"Recycled/Waste")</f>
        <v>Recycled/Waste</v>
      </c>
      <c r="H138" s="8" t="str">
        <f>IFERROR(__xludf.DUMMYFUNCTION("""COMPUTED_VALUE"""),"Hybrid")</f>
        <v>Hybrid</v>
      </c>
    </row>
    <row r="139">
      <c r="A139" s="8" t="s">
        <v>264</v>
      </c>
      <c r="B139" s="8" t="str">
        <f>IFERROR(__xludf.DUMMYFUNCTION("""COMPUTED_VALUE"""),"#N/A")</f>
        <v>#N/A</v>
      </c>
      <c r="C139" s="8"/>
      <c r="D139" s="8"/>
      <c r="E139" s="8"/>
      <c r="F139" s="8"/>
      <c r="G139" s="8"/>
      <c r="H139" s="8"/>
    </row>
    <row r="140">
      <c r="A140" s="8" t="s">
        <v>151</v>
      </c>
      <c r="B140" s="8" t="str">
        <f>IFERROR(__xludf.DUMMYFUNCTION("""COMPUTED_VALUE"""),"Concrete")</f>
        <v>Concrete</v>
      </c>
      <c r="C140" s="8" t="str">
        <f>IFERROR(__xludf.DUMMYFUNCTION("""COMPUTED_VALUE"""),"Tires")</f>
        <v>Tires</v>
      </c>
      <c r="D140" s="8" t="str">
        <f>IFERROR(__xludf.DUMMYFUNCTION("""COMPUTED_VALUE"""),"Natural")</f>
        <v>Natural</v>
      </c>
      <c r="E140" s="8" t="str">
        <f>IFERROR(__xludf.DUMMYFUNCTION("""COMPUTED_VALUE"""),"Metal/Wreck")</f>
        <v>Metal/Wreck</v>
      </c>
      <c r="F140" s="8" t="str">
        <f>IFERROR(__xludf.DUMMYFUNCTION("""COMPUTED_VALUE"""),"Engineered/Advanced")</f>
        <v>Engineered/Advanced</v>
      </c>
      <c r="G140" s="8" t="str">
        <f>IFERROR(__xludf.DUMMYFUNCTION("""COMPUTED_VALUE"""),"Recycled/Waste")</f>
        <v>Recycled/Waste</v>
      </c>
      <c r="H140" s="8" t="str">
        <f>IFERROR(__xludf.DUMMYFUNCTION("""COMPUTED_VALUE"""),"Hybrid")</f>
        <v>Hybrid</v>
      </c>
    </row>
    <row r="141">
      <c r="A141" s="8" t="s">
        <v>319</v>
      </c>
      <c r="B141" s="8" t="str">
        <f>IFERROR(__xludf.DUMMYFUNCTION("""COMPUTED_VALUE"""),"Not applicable")</f>
        <v>Not applicable</v>
      </c>
      <c r="C141" s="8"/>
      <c r="D141" s="8"/>
      <c r="E141" s="8"/>
      <c r="F141" s="8"/>
      <c r="G141" s="8"/>
      <c r="H141" s="8"/>
    </row>
    <row r="142">
      <c r="A142" s="8" t="s">
        <v>178</v>
      </c>
      <c r="B142" s="8" t="str">
        <f>IFERROR(__xludf.DUMMYFUNCTION("""COMPUTED_VALUE"""),"Not applicable")</f>
        <v>Not applicable</v>
      </c>
      <c r="C142" s="8"/>
      <c r="D142" s="8"/>
      <c r="E142" s="8"/>
      <c r="F142" s="8"/>
      <c r="G142" s="8"/>
      <c r="H142" s="8"/>
    </row>
    <row r="143">
      <c r="A143" s="8" t="s">
        <v>319</v>
      </c>
      <c r="B143" s="8" t="str">
        <f>IFERROR(__xludf.DUMMYFUNCTION("""COMPUTED_VALUE"""),"Not applicable")</f>
        <v>Not applicable</v>
      </c>
      <c r="C143" s="8"/>
      <c r="D143" s="8"/>
      <c r="E143" s="8"/>
      <c r="F143" s="8"/>
      <c r="G143" s="8"/>
      <c r="H143" s="8"/>
    </row>
    <row r="144">
      <c r="A144" s="8" t="s">
        <v>319</v>
      </c>
      <c r="B144" s="8" t="str">
        <f>IFERROR(__xludf.DUMMYFUNCTION("""COMPUTED_VALUE"""),"Not applicable")</f>
        <v>Not applicable</v>
      </c>
      <c r="C144" s="8"/>
      <c r="D144" s="8"/>
      <c r="E144" s="8"/>
      <c r="F144" s="8"/>
      <c r="G144" s="8"/>
      <c r="H144" s="8"/>
    </row>
    <row r="145">
      <c r="A145" s="8" t="s">
        <v>319</v>
      </c>
      <c r="B145" s="8" t="str">
        <f>IFERROR(__xludf.DUMMYFUNCTION("""COMPUTED_VALUE"""),"Not applicable")</f>
        <v>Not applicable</v>
      </c>
      <c r="C145" s="8"/>
      <c r="D145" s="8"/>
      <c r="E145" s="8"/>
      <c r="F145" s="8"/>
      <c r="G145" s="8"/>
      <c r="H145" s="8"/>
    </row>
    <row r="146">
      <c r="A146" s="8" t="s">
        <v>319</v>
      </c>
      <c r="B146" s="8" t="str">
        <f>IFERROR(__xludf.DUMMYFUNCTION("""COMPUTED_VALUE"""),"Not applicable")</f>
        <v>Not applicable</v>
      </c>
      <c r="C146" s="8"/>
      <c r="D146" s="8"/>
      <c r="E146" s="8"/>
      <c r="F146" s="8"/>
      <c r="G146" s="8"/>
      <c r="H146" s="8"/>
    </row>
    <row r="147">
      <c r="A147" s="8" t="s">
        <v>319</v>
      </c>
      <c r="B147" s="8" t="str">
        <f>IFERROR(__xludf.DUMMYFUNCTION("""COMPUTED_VALUE"""),"Not applicable")</f>
        <v>Not applicable</v>
      </c>
      <c r="C147" s="8"/>
      <c r="D147" s="8"/>
      <c r="E147" s="8"/>
      <c r="F147" s="8"/>
      <c r="G147" s="8"/>
      <c r="H147" s="8"/>
    </row>
    <row r="148">
      <c r="A148" s="8" t="s">
        <v>319</v>
      </c>
      <c r="B148" s="8" t="str">
        <f>IFERROR(__xludf.DUMMYFUNCTION("""COMPUTED_VALUE"""),"Not applicable")</f>
        <v>Not applicable</v>
      </c>
      <c r="C148" s="8"/>
      <c r="D148" s="8"/>
      <c r="E148" s="8"/>
      <c r="F148" s="8"/>
      <c r="G148" s="8"/>
      <c r="H148" s="8"/>
    </row>
    <row r="149">
      <c r="A149" s="8" t="s">
        <v>319</v>
      </c>
      <c r="B149" s="8" t="str">
        <f>IFERROR(__xludf.DUMMYFUNCTION("""COMPUTED_VALUE"""),"Not applicable")</f>
        <v>Not applicable</v>
      </c>
      <c r="C149" s="8"/>
      <c r="D149" s="8"/>
      <c r="E149" s="8"/>
      <c r="F149" s="8"/>
      <c r="G149" s="8"/>
      <c r="H149" s="8"/>
    </row>
    <row r="150">
      <c r="A150" s="8" t="s">
        <v>319</v>
      </c>
      <c r="B150" s="8" t="str">
        <f>IFERROR(__xludf.DUMMYFUNCTION("""COMPUTED_VALUE"""),"Not applicable")</f>
        <v>Not applicable</v>
      </c>
      <c r="C150" s="8"/>
      <c r="D150" s="8"/>
      <c r="E150" s="8"/>
      <c r="F150" s="8"/>
      <c r="G150" s="8"/>
      <c r="H150" s="8"/>
    </row>
    <row r="151">
      <c r="A151" s="8" t="s">
        <v>319</v>
      </c>
      <c r="B151" s="8" t="str">
        <f>IFERROR(__xludf.DUMMYFUNCTION("""COMPUTED_VALUE"""),"Not applicable")</f>
        <v>Not applicable</v>
      </c>
      <c r="C151" s="8"/>
      <c r="D151" s="8"/>
      <c r="E151" s="8"/>
      <c r="F151" s="8"/>
      <c r="G151" s="8"/>
      <c r="H151" s="8"/>
    </row>
    <row r="152">
      <c r="A152" s="8" t="s">
        <v>319</v>
      </c>
      <c r="B152" s="8" t="str">
        <f>IFERROR(__xludf.DUMMYFUNCTION("""COMPUTED_VALUE"""),"Not applicable")</f>
        <v>Not applicable</v>
      </c>
      <c r="C152" s="8"/>
      <c r="D152" s="8"/>
      <c r="E152" s="8"/>
      <c r="F152" s="8"/>
      <c r="G152" s="8"/>
      <c r="H152" s="8"/>
    </row>
    <row r="153">
      <c r="A153" s="8" t="s">
        <v>319</v>
      </c>
      <c r="B153" s="8" t="str">
        <f>IFERROR(__xludf.DUMMYFUNCTION("""COMPUTED_VALUE"""),"Not applicable")</f>
        <v>Not applicable</v>
      </c>
      <c r="C153" s="8"/>
      <c r="D153" s="8"/>
      <c r="E153" s="8"/>
      <c r="F153" s="8"/>
      <c r="G153" s="8"/>
      <c r="H153" s="8"/>
    </row>
    <row r="154">
      <c r="A154" s="8" t="s">
        <v>319</v>
      </c>
      <c r="B154" s="8" t="str">
        <f>IFERROR(__xludf.DUMMYFUNCTION("""COMPUTED_VALUE"""),"Not applicable")</f>
        <v>Not applicable</v>
      </c>
      <c r="C154" s="8"/>
      <c r="D154" s="8"/>
      <c r="E154" s="8"/>
      <c r="F154" s="8"/>
      <c r="G154" s="8"/>
      <c r="H154" s="8"/>
    </row>
    <row r="155">
      <c r="A155" s="8" t="s">
        <v>319</v>
      </c>
      <c r="B155" s="8" t="str">
        <f>IFERROR(__xludf.DUMMYFUNCTION("""COMPUTED_VALUE"""),"Not applicable")</f>
        <v>Not applicable</v>
      </c>
      <c r="C155" s="8"/>
      <c r="D155" s="8"/>
      <c r="E155" s="8"/>
      <c r="F155" s="8"/>
      <c r="G155" s="8"/>
      <c r="H155" s="8"/>
    </row>
    <row r="156">
      <c r="A156" s="8" t="s">
        <v>319</v>
      </c>
      <c r="B156" s="8" t="str">
        <f>IFERROR(__xludf.DUMMYFUNCTION("""COMPUTED_VALUE"""),"Not applicable")</f>
        <v>Not applicable</v>
      </c>
      <c r="C156" s="8"/>
      <c r="D156" s="8"/>
      <c r="E156" s="8"/>
      <c r="F156" s="8"/>
      <c r="G156" s="8"/>
      <c r="H156" s="8"/>
    </row>
    <row r="157">
      <c r="A157" s="8" t="s">
        <v>319</v>
      </c>
      <c r="B157" s="8" t="str">
        <f>IFERROR(__xludf.DUMMYFUNCTION("""COMPUTED_VALUE"""),"Not applicable")</f>
        <v>Not applicable</v>
      </c>
      <c r="C157" s="8"/>
      <c r="D157" s="8"/>
      <c r="E157" s="8"/>
      <c r="F157" s="8"/>
      <c r="G157" s="8"/>
      <c r="H157" s="8"/>
    </row>
    <row r="158">
      <c r="A158" s="8" t="s">
        <v>319</v>
      </c>
      <c r="B158" s="8" t="str">
        <f>IFERROR(__xludf.DUMMYFUNCTION("""COMPUTED_VALUE"""),"Not applicable")</f>
        <v>Not applicable</v>
      </c>
      <c r="C158" s="8"/>
      <c r="D158" s="8"/>
      <c r="E158" s="8"/>
      <c r="F158" s="8"/>
      <c r="G158" s="8"/>
      <c r="H158" s="8"/>
    </row>
    <row r="159">
      <c r="A159" s="8" t="s">
        <v>319</v>
      </c>
      <c r="B159" s="8" t="str">
        <f>IFERROR(__xludf.DUMMYFUNCTION("""COMPUTED_VALUE"""),"Not applicable")</f>
        <v>Not applicable</v>
      </c>
      <c r="C159" s="8"/>
      <c r="D159" s="8"/>
      <c r="E159" s="8"/>
      <c r="F159" s="8"/>
      <c r="G159" s="8"/>
      <c r="H159" s="8"/>
    </row>
    <row r="160">
      <c r="A160" s="8" t="s">
        <v>319</v>
      </c>
      <c r="B160" s="8" t="str">
        <f>IFERROR(__xludf.DUMMYFUNCTION("""COMPUTED_VALUE"""),"Not applicable")</f>
        <v>Not applicable</v>
      </c>
      <c r="C160" s="8"/>
      <c r="D160" s="8"/>
      <c r="E160" s="8"/>
      <c r="F160" s="8"/>
      <c r="G160" s="8"/>
      <c r="H160" s="8"/>
    </row>
    <row r="161">
      <c r="A161" s="8" t="s">
        <v>319</v>
      </c>
      <c r="B161" s="8" t="str">
        <f>IFERROR(__xludf.DUMMYFUNCTION("""COMPUTED_VALUE"""),"Not applicable")</f>
        <v>Not applicable</v>
      </c>
      <c r="C161" s="8"/>
      <c r="D161" s="8"/>
      <c r="E161" s="8"/>
      <c r="F161" s="8"/>
      <c r="G161" s="8"/>
      <c r="H161" s="8"/>
    </row>
    <row r="162">
      <c r="A162" s="8" t="s">
        <v>319</v>
      </c>
      <c r="B162" s="8" t="str">
        <f>IFERROR(__xludf.DUMMYFUNCTION("""COMPUTED_VALUE"""),"Not applicable")</f>
        <v>Not applicable</v>
      </c>
      <c r="C162" s="8"/>
      <c r="D162" s="8"/>
      <c r="E162" s="8"/>
      <c r="F162" s="8"/>
      <c r="G162" s="8"/>
      <c r="H162" s="8"/>
    </row>
    <row r="163">
      <c r="A163" s="8" t="s">
        <v>319</v>
      </c>
      <c r="B163" s="8" t="str">
        <f>IFERROR(__xludf.DUMMYFUNCTION("""COMPUTED_VALUE"""),"Not applicable")</f>
        <v>Not applicable</v>
      </c>
      <c r="C163" s="8"/>
      <c r="D163" s="8"/>
      <c r="E163" s="8"/>
      <c r="F163" s="8"/>
      <c r="G163" s="8"/>
      <c r="H163" s="8"/>
    </row>
    <row r="164">
      <c r="A164" s="8" t="s">
        <v>151</v>
      </c>
      <c r="B164" s="8" t="str">
        <f>IFERROR(__xludf.DUMMYFUNCTION("""COMPUTED_VALUE"""),"Concrete")</f>
        <v>Concrete</v>
      </c>
      <c r="C164" s="8" t="str">
        <f>IFERROR(__xludf.DUMMYFUNCTION("""COMPUTED_VALUE"""),"Tires")</f>
        <v>Tires</v>
      </c>
      <c r="D164" s="8" t="str">
        <f>IFERROR(__xludf.DUMMYFUNCTION("""COMPUTED_VALUE"""),"Natural")</f>
        <v>Natural</v>
      </c>
      <c r="E164" s="8" t="str">
        <f>IFERROR(__xludf.DUMMYFUNCTION("""COMPUTED_VALUE"""),"Metal/Wreck")</f>
        <v>Metal/Wreck</v>
      </c>
      <c r="F164" s="8" t="str">
        <f>IFERROR(__xludf.DUMMYFUNCTION("""COMPUTED_VALUE"""),"Engineered/Advanced")</f>
        <v>Engineered/Advanced</v>
      </c>
      <c r="G164" s="8" t="str">
        <f>IFERROR(__xludf.DUMMYFUNCTION("""COMPUTED_VALUE"""),"Recycled/Waste")</f>
        <v>Recycled/Waste</v>
      </c>
      <c r="H164" s="8" t="str">
        <f>IFERROR(__xludf.DUMMYFUNCTION("""COMPUTED_VALUE"""),"Hybrid")</f>
        <v>Hybrid</v>
      </c>
    </row>
    <row r="165">
      <c r="A165" s="8" t="s">
        <v>151</v>
      </c>
      <c r="B165" s="8" t="str">
        <f>IFERROR(__xludf.DUMMYFUNCTION("""COMPUTED_VALUE"""),"Concrete")</f>
        <v>Concrete</v>
      </c>
      <c r="C165" s="8" t="str">
        <f>IFERROR(__xludf.DUMMYFUNCTION("""COMPUTED_VALUE"""),"Tires")</f>
        <v>Tires</v>
      </c>
      <c r="D165" s="8" t="str">
        <f>IFERROR(__xludf.DUMMYFUNCTION("""COMPUTED_VALUE"""),"Natural")</f>
        <v>Natural</v>
      </c>
      <c r="E165" s="8" t="str">
        <f>IFERROR(__xludf.DUMMYFUNCTION("""COMPUTED_VALUE"""),"Metal/Wreck")</f>
        <v>Metal/Wreck</v>
      </c>
      <c r="F165" s="8" t="str">
        <f>IFERROR(__xludf.DUMMYFUNCTION("""COMPUTED_VALUE"""),"Engineered/Advanced")</f>
        <v>Engineered/Advanced</v>
      </c>
      <c r="G165" s="8" t="str">
        <f>IFERROR(__xludf.DUMMYFUNCTION("""COMPUTED_VALUE"""),"Recycled/Waste")</f>
        <v>Recycled/Waste</v>
      </c>
      <c r="H165" s="8" t="str">
        <f>IFERROR(__xludf.DUMMYFUNCTION("""COMPUTED_VALUE"""),"Hybrid")</f>
        <v>Hybrid</v>
      </c>
    </row>
    <row r="166">
      <c r="A166" s="8" t="s">
        <v>151</v>
      </c>
      <c r="B166" s="8" t="str">
        <f>IFERROR(__xludf.DUMMYFUNCTION("""COMPUTED_VALUE"""),"Concrete")</f>
        <v>Concrete</v>
      </c>
      <c r="C166" s="8" t="str">
        <f>IFERROR(__xludf.DUMMYFUNCTION("""COMPUTED_VALUE"""),"Tires")</f>
        <v>Tires</v>
      </c>
      <c r="D166" s="8" t="str">
        <f>IFERROR(__xludf.DUMMYFUNCTION("""COMPUTED_VALUE"""),"Natural")</f>
        <v>Natural</v>
      </c>
      <c r="E166" s="8" t="str">
        <f>IFERROR(__xludf.DUMMYFUNCTION("""COMPUTED_VALUE"""),"Metal/Wreck")</f>
        <v>Metal/Wreck</v>
      </c>
      <c r="F166" s="8" t="str">
        <f>IFERROR(__xludf.DUMMYFUNCTION("""COMPUTED_VALUE"""),"Engineered/Advanced")</f>
        <v>Engineered/Advanced</v>
      </c>
      <c r="G166" s="8" t="str">
        <f>IFERROR(__xludf.DUMMYFUNCTION("""COMPUTED_VALUE"""),"Recycled/Waste")</f>
        <v>Recycled/Waste</v>
      </c>
      <c r="H166" s="8" t="str">
        <f>IFERROR(__xludf.DUMMYFUNCTION("""COMPUTED_VALUE"""),"Hybrid")</f>
        <v>Hybrid</v>
      </c>
    </row>
    <row r="167">
      <c r="A167" s="8" t="s">
        <v>151</v>
      </c>
      <c r="B167" s="8" t="str">
        <f>IFERROR(__xludf.DUMMYFUNCTION("""COMPUTED_VALUE"""),"Concrete")</f>
        <v>Concrete</v>
      </c>
      <c r="C167" s="8" t="str">
        <f>IFERROR(__xludf.DUMMYFUNCTION("""COMPUTED_VALUE"""),"Tires")</f>
        <v>Tires</v>
      </c>
      <c r="D167" s="8" t="str">
        <f>IFERROR(__xludf.DUMMYFUNCTION("""COMPUTED_VALUE"""),"Natural")</f>
        <v>Natural</v>
      </c>
      <c r="E167" s="8" t="str">
        <f>IFERROR(__xludf.DUMMYFUNCTION("""COMPUTED_VALUE"""),"Metal/Wreck")</f>
        <v>Metal/Wreck</v>
      </c>
      <c r="F167" s="8" t="str">
        <f>IFERROR(__xludf.DUMMYFUNCTION("""COMPUTED_VALUE"""),"Engineered/Advanced")</f>
        <v>Engineered/Advanced</v>
      </c>
      <c r="G167" s="8" t="str">
        <f>IFERROR(__xludf.DUMMYFUNCTION("""COMPUTED_VALUE"""),"Recycled/Waste")</f>
        <v>Recycled/Waste</v>
      </c>
      <c r="H167" s="8" t="str">
        <f>IFERROR(__xludf.DUMMYFUNCTION("""COMPUTED_VALUE"""),"Hybrid")</f>
        <v>Hybrid</v>
      </c>
    </row>
    <row r="168">
      <c r="A168" s="8" t="s">
        <v>151</v>
      </c>
      <c r="B168" s="8" t="str">
        <f>IFERROR(__xludf.DUMMYFUNCTION("""COMPUTED_VALUE"""),"Concrete")</f>
        <v>Concrete</v>
      </c>
      <c r="C168" s="8" t="str">
        <f>IFERROR(__xludf.DUMMYFUNCTION("""COMPUTED_VALUE"""),"Tires")</f>
        <v>Tires</v>
      </c>
      <c r="D168" s="8" t="str">
        <f>IFERROR(__xludf.DUMMYFUNCTION("""COMPUTED_VALUE"""),"Natural")</f>
        <v>Natural</v>
      </c>
      <c r="E168" s="8" t="str">
        <f>IFERROR(__xludf.DUMMYFUNCTION("""COMPUTED_VALUE"""),"Metal/Wreck")</f>
        <v>Metal/Wreck</v>
      </c>
      <c r="F168" s="8" t="str">
        <f>IFERROR(__xludf.DUMMYFUNCTION("""COMPUTED_VALUE"""),"Engineered/Advanced")</f>
        <v>Engineered/Advanced</v>
      </c>
      <c r="G168" s="8" t="str">
        <f>IFERROR(__xludf.DUMMYFUNCTION("""COMPUTED_VALUE"""),"Recycled/Waste")</f>
        <v>Recycled/Waste</v>
      </c>
      <c r="H168" s="8" t="str">
        <f>IFERROR(__xludf.DUMMYFUNCTION("""COMPUTED_VALUE"""),"Hybrid")</f>
        <v>Hybrid</v>
      </c>
    </row>
    <row r="169">
      <c r="A169" s="8" t="s">
        <v>151</v>
      </c>
      <c r="B169" s="8" t="str">
        <f>IFERROR(__xludf.DUMMYFUNCTION("""COMPUTED_VALUE"""),"Concrete")</f>
        <v>Concrete</v>
      </c>
      <c r="C169" s="8" t="str">
        <f>IFERROR(__xludf.DUMMYFUNCTION("""COMPUTED_VALUE"""),"Tires")</f>
        <v>Tires</v>
      </c>
      <c r="D169" s="8" t="str">
        <f>IFERROR(__xludf.DUMMYFUNCTION("""COMPUTED_VALUE"""),"Natural")</f>
        <v>Natural</v>
      </c>
      <c r="E169" s="8" t="str">
        <f>IFERROR(__xludf.DUMMYFUNCTION("""COMPUTED_VALUE"""),"Metal/Wreck")</f>
        <v>Metal/Wreck</v>
      </c>
      <c r="F169" s="8" t="str">
        <f>IFERROR(__xludf.DUMMYFUNCTION("""COMPUTED_VALUE"""),"Engineered/Advanced")</f>
        <v>Engineered/Advanced</v>
      </c>
      <c r="G169" s="8" t="str">
        <f>IFERROR(__xludf.DUMMYFUNCTION("""COMPUTED_VALUE"""),"Recycled/Waste")</f>
        <v>Recycled/Waste</v>
      </c>
      <c r="H169" s="8" t="str">
        <f>IFERROR(__xludf.DUMMYFUNCTION("""COMPUTED_VALUE"""),"Hybrid")</f>
        <v>Hybrid</v>
      </c>
    </row>
    <row r="170">
      <c r="A170" s="8" t="s">
        <v>319</v>
      </c>
      <c r="B170" s="8" t="str">
        <f>IFERROR(__xludf.DUMMYFUNCTION("""COMPUTED_VALUE"""),"Not applicable")</f>
        <v>Not applicable</v>
      </c>
      <c r="C170" s="8"/>
      <c r="D170" s="8"/>
      <c r="E170" s="8"/>
      <c r="F170" s="8"/>
      <c r="G170" s="8"/>
      <c r="H170" s="8"/>
    </row>
    <row r="171">
      <c r="A171" s="8" t="s">
        <v>151</v>
      </c>
      <c r="B171" s="8" t="str">
        <f>IFERROR(__xludf.DUMMYFUNCTION("""COMPUTED_VALUE"""),"Concrete")</f>
        <v>Concrete</v>
      </c>
      <c r="C171" s="8" t="str">
        <f>IFERROR(__xludf.DUMMYFUNCTION("""COMPUTED_VALUE"""),"Tires")</f>
        <v>Tires</v>
      </c>
      <c r="D171" s="8" t="str">
        <f>IFERROR(__xludf.DUMMYFUNCTION("""COMPUTED_VALUE"""),"Natural")</f>
        <v>Natural</v>
      </c>
      <c r="E171" s="8" t="str">
        <f>IFERROR(__xludf.DUMMYFUNCTION("""COMPUTED_VALUE"""),"Metal/Wreck")</f>
        <v>Metal/Wreck</v>
      </c>
      <c r="F171" s="8" t="str">
        <f>IFERROR(__xludf.DUMMYFUNCTION("""COMPUTED_VALUE"""),"Engineered/Advanced")</f>
        <v>Engineered/Advanced</v>
      </c>
      <c r="G171" s="8" t="str">
        <f>IFERROR(__xludf.DUMMYFUNCTION("""COMPUTED_VALUE"""),"Recycled/Waste")</f>
        <v>Recycled/Waste</v>
      </c>
      <c r="H171" s="8" t="str">
        <f>IFERROR(__xludf.DUMMYFUNCTION("""COMPUTED_VALUE"""),"Hybrid")</f>
        <v>Hybrid</v>
      </c>
    </row>
    <row r="172">
      <c r="A172" s="8" t="s">
        <v>151</v>
      </c>
      <c r="B172" s="8" t="str">
        <f>IFERROR(__xludf.DUMMYFUNCTION("""COMPUTED_VALUE"""),"Concrete")</f>
        <v>Concrete</v>
      </c>
      <c r="C172" s="8" t="str">
        <f>IFERROR(__xludf.DUMMYFUNCTION("""COMPUTED_VALUE"""),"Tires")</f>
        <v>Tires</v>
      </c>
      <c r="D172" s="8" t="str">
        <f>IFERROR(__xludf.DUMMYFUNCTION("""COMPUTED_VALUE"""),"Natural")</f>
        <v>Natural</v>
      </c>
      <c r="E172" s="8" t="str">
        <f>IFERROR(__xludf.DUMMYFUNCTION("""COMPUTED_VALUE"""),"Metal/Wreck")</f>
        <v>Metal/Wreck</v>
      </c>
      <c r="F172" s="8" t="str">
        <f>IFERROR(__xludf.DUMMYFUNCTION("""COMPUTED_VALUE"""),"Engineered/Advanced")</f>
        <v>Engineered/Advanced</v>
      </c>
      <c r="G172" s="8" t="str">
        <f>IFERROR(__xludf.DUMMYFUNCTION("""COMPUTED_VALUE"""),"Recycled/Waste")</f>
        <v>Recycled/Waste</v>
      </c>
      <c r="H172" s="8" t="str">
        <f>IFERROR(__xludf.DUMMYFUNCTION("""COMPUTED_VALUE"""),"Hybrid")</f>
        <v>Hybrid</v>
      </c>
    </row>
    <row r="173">
      <c r="A173" s="8" t="s">
        <v>151</v>
      </c>
      <c r="B173" s="8" t="str">
        <f>IFERROR(__xludf.DUMMYFUNCTION("""COMPUTED_VALUE"""),"Concrete")</f>
        <v>Concrete</v>
      </c>
      <c r="C173" s="8" t="str">
        <f>IFERROR(__xludf.DUMMYFUNCTION("""COMPUTED_VALUE"""),"Tires")</f>
        <v>Tires</v>
      </c>
      <c r="D173" s="8" t="str">
        <f>IFERROR(__xludf.DUMMYFUNCTION("""COMPUTED_VALUE"""),"Natural")</f>
        <v>Natural</v>
      </c>
      <c r="E173" s="8" t="str">
        <f>IFERROR(__xludf.DUMMYFUNCTION("""COMPUTED_VALUE"""),"Metal/Wreck")</f>
        <v>Metal/Wreck</v>
      </c>
      <c r="F173" s="8" t="str">
        <f>IFERROR(__xludf.DUMMYFUNCTION("""COMPUTED_VALUE"""),"Engineered/Advanced")</f>
        <v>Engineered/Advanced</v>
      </c>
      <c r="G173" s="8" t="str">
        <f>IFERROR(__xludf.DUMMYFUNCTION("""COMPUTED_VALUE"""),"Recycled/Waste")</f>
        <v>Recycled/Waste</v>
      </c>
      <c r="H173" s="8" t="str">
        <f>IFERROR(__xludf.DUMMYFUNCTION("""COMPUTED_VALUE"""),"Hybrid")</f>
        <v>Hybrid</v>
      </c>
    </row>
    <row r="174">
      <c r="A174" s="8" t="s">
        <v>151</v>
      </c>
      <c r="B174" s="8" t="str">
        <f>IFERROR(__xludf.DUMMYFUNCTION("""COMPUTED_VALUE"""),"Concrete")</f>
        <v>Concrete</v>
      </c>
      <c r="C174" s="8" t="str">
        <f>IFERROR(__xludf.DUMMYFUNCTION("""COMPUTED_VALUE"""),"Tires")</f>
        <v>Tires</v>
      </c>
      <c r="D174" s="8" t="str">
        <f>IFERROR(__xludf.DUMMYFUNCTION("""COMPUTED_VALUE"""),"Natural")</f>
        <v>Natural</v>
      </c>
      <c r="E174" s="8" t="str">
        <f>IFERROR(__xludf.DUMMYFUNCTION("""COMPUTED_VALUE"""),"Metal/Wreck")</f>
        <v>Metal/Wreck</v>
      </c>
      <c r="F174" s="8" t="str">
        <f>IFERROR(__xludf.DUMMYFUNCTION("""COMPUTED_VALUE"""),"Engineered/Advanced")</f>
        <v>Engineered/Advanced</v>
      </c>
      <c r="G174" s="8" t="str">
        <f>IFERROR(__xludf.DUMMYFUNCTION("""COMPUTED_VALUE"""),"Recycled/Waste")</f>
        <v>Recycled/Waste</v>
      </c>
      <c r="H174" s="8" t="str">
        <f>IFERROR(__xludf.DUMMYFUNCTION("""COMPUTED_VALUE"""),"Hybrid")</f>
        <v>Hybrid</v>
      </c>
    </row>
    <row r="175">
      <c r="A175" s="8" t="s">
        <v>151</v>
      </c>
      <c r="B175" s="8" t="str">
        <f>IFERROR(__xludf.DUMMYFUNCTION("""COMPUTED_VALUE"""),"Concrete")</f>
        <v>Concrete</v>
      </c>
      <c r="C175" s="8" t="str">
        <f>IFERROR(__xludf.DUMMYFUNCTION("""COMPUTED_VALUE"""),"Tires")</f>
        <v>Tires</v>
      </c>
      <c r="D175" s="8" t="str">
        <f>IFERROR(__xludf.DUMMYFUNCTION("""COMPUTED_VALUE"""),"Natural")</f>
        <v>Natural</v>
      </c>
      <c r="E175" s="8" t="str">
        <f>IFERROR(__xludf.DUMMYFUNCTION("""COMPUTED_VALUE"""),"Metal/Wreck")</f>
        <v>Metal/Wreck</v>
      </c>
      <c r="F175" s="8" t="str">
        <f>IFERROR(__xludf.DUMMYFUNCTION("""COMPUTED_VALUE"""),"Engineered/Advanced")</f>
        <v>Engineered/Advanced</v>
      </c>
      <c r="G175" s="8" t="str">
        <f>IFERROR(__xludf.DUMMYFUNCTION("""COMPUTED_VALUE"""),"Recycled/Waste")</f>
        <v>Recycled/Waste</v>
      </c>
      <c r="H175" s="8" t="str">
        <f>IFERROR(__xludf.DUMMYFUNCTION("""COMPUTED_VALUE"""),"Hybrid")</f>
        <v>Hybrid</v>
      </c>
    </row>
    <row r="176">
      <c r="A176" s="8" t="s">
        <v>151</v>
      </c>
      <c r="B176" s="8" t="str">
        <f>IFERROR(__xludf.DUMMYFUNCTION("""COMPUTED_VALUE"""),"Concrete")</f>
        <v>Concrete</v>
      </c>
      <c r="C176" s="8" t="str">
        <f>IFERROR(__xludf.DUMMYFUNCTION("""COMPUTED_VALUE"""),"Tires")</f>
        <v>Tires</v>
      </c>
      <c r="D176" s="8" t="str">
        <f>IFERROR(__xludf.DUMMYFUNCTION("""COMPUTED_VALUE"""),"Natural")</f>
        <v>Natural</v>
      </c>
      <c r="E176" s="8" t="str">
        <f>IFERROR(__xludf.DUMMYFUNCTION("""COMPUTED_VALUE"""),"Metal/Wreck")</f>
        <v>Metal/Wreck</v>
      </c>
      <c r="F176" s="8" t="str">
        <f>IFERROR(__xludf.DUMMYFUNCTION("""COMPUTED_VALUE"""),"Engineered/Advanced")</f>
        <v>Engineered/Advanced</v>
      </c>
      <c r="G176" s="8" t="str">
        <f>IFERROR(__xludf.DUMMYFUNCTION("""COMPUTED_VALUE"""),"Recycled/Waste")</f>
        <v>Recycled/Waste</v>
      </c>
      <c r="H176" s="8" t="str">
        <f>IFERROR(__xludf.DUMMYFUNCTION("""COMPUTED_VALUE"""),"Hybrid")</f>
        <v>Hybrid</v>
      </c>
    </row>
    <row r="177">
      <c r="A177" s="8" t="s">
        <v>151</v>
      </c>
      <c r="B177" s="8" t="str">
        <f>IFERROR(__xludf.DUMMYFUNCTION("""COMPUTED_VALUE"""),"Concrete")</f>
        <v>Concrete</v>
      </c>
      <c r="C177" s="8" t="str">
        <f>IFERROR(__xludf.DUMMYFUNCTION("""COMPUTED_VALUE"""),"Tires")</f>
        <v>Tires</v>
      </c>
      <c r="D177" s="8" t="str">
        <f>IFERROR(__xludf.DUMMYFUNCTION("""COMPUTED_VALUE"""),"Natural")</f>
        <v>Natural</v>
      </c>
      <c r="E177" s="8" t="str">
        <f>IFERROR(__xludf.DUMMYFUNCTION("""COMPUTED_VALUE"""),"Metal/Wreck")</f>
        <v>Metal/Wreck</v>
      </c>
      <c r="F177" s="8" t="str">
        <f>IFERROR(__xludf.DUMMYFUNCTION("""COMPUTED_VALUE"""),"Engineered/Advanced")</f>
        <v>Engineered/Advanced</v>
      </c>
      <c r="G177" s="8" t="str">
        <f>IFERROR(__xludf.DUMMYFUNCTION("""COMPUTED_VALUE"""),"Recycled/Waste")</f>
        <v>Recycled/Waste</v>
      </c>
      <c r="H177" s="8" t="str">
        <f>IFERROR(__xludf.DUMMYFUNCTION("""COMPUTED_VALUE"""),"Hybrid")</f>
        <v>Hybrid</v>
      </c>
    </row>
    <row r="178">
      <c r="A178" s="8" t="s">
        <v>151</v>
      </c>
      <c r="B178" s="8" t="str">
        <f>IFERROR(__xludf.DUMMYFUNCTION("""COMPUTED_VALUE"""),"Concrete")</f>
        <v>Concrete</v>
      </c>
      <c r="C178" s="8" t="str">
        <f>IFERROR(__xludf.DUMMYFUNCTION("""COMPUTED_VALUE"""),"Tires")</f>
        <v>Tires</v>
      </c>
      <c r="D178" s="8" t="str">
        <f>IFERROR(__xludf.DUMMYFUNCTION("""COMPUTED_VALUE"""),"Natural")</f>
        <v>Natural</v>
      </c>
      <c r="E178" s="8" t="str">
        <f>IFERROR(__xludf.DUMMYFUNCTION("""COMPUTED_VALUE"""),"Metal/Wreck")</f>
        <v>Metal/Wreck</v>
      </c>
      <c r="F178" s="8" t="str">
        <f>IFERROR(__xludf.DUMMYFUNCTION("""COMPUTED_VALUE"""),"Engineered/Advanced")</f>
        <v>Engineered/Advanced</v>
      </c>
      <c r="G178" s="8" t="str">
        <f>IFERROR(__xludf.DUMMYFUNCTION("""COMPUTED_VALUE"""),"Recycled/Waste")</f>
        <v>Recycled/Waste</v>
      </c>
      <c r="H178" s="8" t="str">
        <f>IFERROR(__xludf.DUMMYFUNCTION("""COMPUTED_VALUE"""),"Hybrid")</f>
        <v>Hybrid</v>
      </c>
    </row>
    <row r="179">
      <c r="A179" s="8" t="s">
        <v>151</v>
      </c>
      <c r="B179" s="8" t="str">
        <f>IFERROR(__xludf.DUMMYFUNCTION("""COMPUTED_VALUE"""),"Concrete")</f>
        <v>Concrete</v>
      </c>
      <c r="C179" s="8" t="str">
        <f>IFERROR(__xludf.DUMMYFUNCTION("""COMPUTED_VALUE"""),"Tires")</f>
        <v>Tires</v>
      </c>
      <c r="D179" s="8" t="str">
        <f>IFERROR(__xludf.DUMMYFUNCTION("""COMPUTED_VALUE"""),"Natural")</f>
        <v>Natural</v>
      </c>
      <c r="E179" s="8" t="str">
        <f>IFERROR(__xludf.DUMMYFUNCTION("""COMPUTED_VALUE"""),"Metal/Wreck")</f>
        <v>Metal/Wreck</v>
      </c>
      <c r="F179" s="8" t="str">
        <f>IFERROR(__xludf.DUMMYFUNCTION("""COMPUTED_VALUE"""),"Engineered/Advanced")</f>
        <v>Engineered/Advanced</v>
      </c>
      <c r="G179" s="8" t="str">
        <f>IFERROR(__xludf.DUMMYFUNCTION("""COMPUTED_VALUE"""),"Recycled/Waste")</f>
        <v>Recycled/Waste</v>
      </c>
      <c r="H179" s="8" t="str">
        <f>IFERROR(__xludf.DUMMYFUNCTION("""COMPUTED_VALUE"""),"Hybrid")</f>
        <v>Hybrid</v>
      </c>
    </row>
    <row r="180">
      <c r="A180" s="8" t="s">
        <v>151</v>
      </c>
      <c r="B180" s="8" t="str">
        <f>IFERROR(__xludf.DUMMYFUNCTION("""COMPUTED_VALUE"""),"Concrete")</f>
        <v>Concrete</v>
      </c>
      <c r="C180" s="8" t="str">
        <f>IFERROR(__xludf.DUMMYFUNCTION("""COMPUTED_VALUE"""),"Tires")</f>
        <v>Tires</v>
      </c>
      <c r="D180" s="8" t="str">
        <f>IFERROR(__xludf.DUMMYFUNCTION("""COMPUTED_VALUE"""),"Natural")</f>
        <v>Natural</v>
      </c>
      <c r="E180" s="8" t="str">
        <f>IFERROR(__xludf.DUMMYFUNCTION("""COMPUTED_VALUE"""),"Metal/Wreck")</f>
        <v>Metal/Wreck</v>
      </c>
      <c r="F180" s="8" t="str">
        <f>IFERROR(__xludf.DUMMYFUNCTION("""COMPUTED_VALUE"""),"Engineered/Advanced")</f>
        <v>Engineered/Advanced</v>
      </c>
      <c r="G180" s="8" t="str">
        <f>IFERROR(__xludf.DUMMYFUNCTION("""COMPUTED_VALUE"""),"Recycled/Waste")</f>
        <v>Recycled/Waste</v>
      </c>
      <c r="H180" s="8" t="str">
        <f>IFERROR(__xludf.DUMMYFUNCTION("""COMPUTED_VALUE"""),"Hybrid")</f>
        <v>Hybrid</v>
      </c>
    </row>
    <row r="181">
      <c r="A181" s="8" t="s">
        <v>151</v>
      </c>
      <c r="B181" s="8" t="str">
        <f>IFERROR(__xludf.DUMMYFUNCTION("""COMPUTED_VALUE"""),"Concrete")</f>
        <v>Concrete</v>
      </c>
      <c r="C181" s="8" t="str">
        <f>IFERROR(__xludf.DUMMYFUNCTION("""COMPUTED_VALUE"""),"Tires")</f>
        <v>Tires</v>
      </c>
      <c r="D181" s="8" t="str">
        <f>IFERROR(__xludf.DUMMYFUNCTION("""COMPUTED_VALUE"""),"Natural")</f>
        <v>Natural</v>
      </c>
      <c r="E181" s="8" t="str">
        <f>IFERROR(__xludf.DUMMYFUNCTION("""COMPUTED_VALUE"""),"Metal/Wreck")</f>
        <v>Metal/Wreck</v>
      </c>
      <c r="F181" s="8" t="str">
        <f>IFERROR(__xludf.DUMMYFUNCTION("""COMPUTED_VALUE"""),"Engineered/Advanced")</f>
        <v>Engineered/Advanced</v>
      </c>
      <c r="G181" s="8" t="str">
        <f>IFERROR(__xludf.DUMMYFUNCTION("""COMPUTED_VALUE"""),"Recycled/Waste")</f>
        <v>Recycled/Waste</v>
      </c>
      <c r="H181" s="8" t="str">
        <f>IFERROR(__xludf.DUMMYFUNCTION("""COMPUTED_VALUE"""),"Hybrid")</f>
        <v>Hybrid</v>
      </c>
    </row>
    <row r="182">
      <c r="A182" s="8" t="s">
        <v>151</v>
      </c>
      <c r="B182" s="8" t="str">
        <f>IFERROR(__xludf.DUMMYFUNCTION("""COMPUTED_VALUE"""),"Concrete")</f>
        <v>Concrete</v>
      </c>
      <c r="C182" s="8" t="str">
        <f>IFERROR(__xludf.DUMMYFUNCTION("""COMPUTED_VALUE"""),"Tires")</f>
        <v>Tires</v>
      </c>
      <c r="D182" s="8" t="str">
        <f>IFERROR(__xludf.DUMMYFUNCTION("""COMPUTED_VALUE"""),"Natural")</f>
        <v>Natural</v>
      </c>
      <c r="E182" s="8" t="str">
        <f>IFERROR(__xludf.DUMMYFUNCTION("""COMPUTED_VALUE"""),"Metal/Wreck")</f>
        <v>Metal/Wreck</v>
      </c>
      <c r="F182" s="8" t="str">
        <f>IFERROR(__xludf.DUMMYFUNCTION("""COMPUTED_VALUE"""),"Engineered/Advanced")</f>
        <v>Engineered/Advanced</v>
      </c>
      <c r="G182" s="8" t="str">
        <f>IFERROR(__xludf.DUMMYFUNCTION("""COMPUTED_VALUE"""),"Recycled/Waste")</f>
        <v>Recycled/Waste</v>
      </c>
      <c r="H182" s="8" t="str">
        <f>IFERROR(__xludf.DUMMYFUNCTION("""COMPUTED_VALUE"""),"Hybrid")</f>
        <v>Hybrid</v>
      </c>
    </row>
    <row r="183">
      <c r="A183" s="8" t="s">
        <v>151</v>
      </c>
      <c r="B183" s="8" t="str">
        <f>IFERROR(__xludf.DUMMYFUNCTION("""COMPUTED_VALUE"""),"Concrete")</f>
        <v>Concrete</v>
      </c>
      <c r="C183" s="8" t="str">
        <f>IFERROR(__xludf.DUMMYFUNCTION("""COMPUTED_VALUE"""),"Tires")</f>
        <v>Tires</v>
      </c>
      <c r="D183" s="8" t="str">
        <f>IFERROR(__xludf.DUMMYFUNCTION("""COMPUTED_VALUE"""),"Natural")</f>
        <v>Natural</v>
      </c>
      <c r="E183" s="8" t="str">
        <f>IFERROR(__xludf.DUMMYFUNCTION("""COMPUTED_VALUE"""),"Metal/Wreck")</f>
        <v>Metal/Wreck</v>
      </c>
      <c r="F183" s="8" t="str">
        <f>IFERROR(__xludf.DUMMYFUNCTION("""COMPUTED_VALUE"""),"Engineered/Advanced")</f>
        <v>Engineered/Advanced</v>
      </c>
      <c r="G183" s="8" t="str">
        <f>IFERROR(__xludf.DUMMYFUNCTION("""COMPUTED_VALUE"""),"Recycled/Waste")</f>
        <v>Recycled/Waste</v>
      </c>
      <c r="H183" s="8" t="str">
        <f>IFERROR(__xludf.DUMMYFUNCTION("""COMPUTED_VALUE"""),"Hybrid")</f>
        <v>Hybrid</v>
      </c>
    </row>
    <row r="184">
      <c r="A184" s="8" t="s">
        <v>151</v>
      </c>
      <c r="B184" s="8" t="str">
        <f>IFERROR(__xludf.DUMMYFUNCTION("""COMPUTED_VALUE"""),"Concrete")</f>
        <v>Concrete</v>
      </c>
      <c r="C184" s="8" t="str">
        <f>IFERROR(__xludf.DUMMYFUNCTION("""COMPUTED_VALUE"""),"Tires")</f>
        <v>Tires</v>
      </c>
      <c r="D184" s="8" t="str">
        <f>IFERROR(__xludf.DUMMYFUNCTION("""COMPUTED_VALUE"""),"Natural")</f>
        <v>Natural</v>
      </c>
      <c r="E184" s="8" t="str">
        <f>IFERROR(__xludf.DUMMYFUNCTION("""COMPUTED_VALUE"""),"Metal/Wreck")</f>
        <v>Metal/Wreck</v>
      </c>
      <c r="F184" s="8" t="str">
        <f>IFERROR(__xludf.DUMMYFUNCTION("""COMPUTED_VALUE"""),"Engineered/Advanced")</f>
        <v>Engineered/Advanced</v>
      </c>
      <c r="G184" s="8" t="str">
        <f>IFERROR(__xludf.DUMMYFUNCTION("""COMPUTED_VALUE"""),"Recycled/Waste")</f>
        <v>Recycled/Waste</v>
      </c>
      <c r="H184" s="8" t="str">
        <f>IFERROR(__xludf.DUMMYFUNCTION("""COMPUTED_VALUE"""),"Hybrid")</f>
        <v>Hybrid</v>
      </c>
    </row>
    <row r="185">
      <c r="A185" s="8" t="s">
        <v>151</v>
      </c>
      <c r="B185" s="8" t="str">
        <f>IFERROR(__xludf.DUMMYFUNCTION("""COMPUTED_VALUE"""),"Concrete")</f>
        <v>Concrete</v>
      </c>
      <c r="C185" s="8" t="str">
        <f>IFERROR(__xludf.DUMMYFUNCTION("""COMPUTED_VALUE"""),"Tires")</f>
        <v>Tires</v>
      </c>
      <c r="D185" s="8" t="str">
        <f>IFERROR(__xludf.DUMMYFUNCTION("""COMPUTED_VALUE"""),"Natural")</f>
        <v>Natural</v>
      </c>
      <c r="E185" s="8" t="str">
        <f>IFERROR(__xludf.DUMMYFUNCTION("""COMPUTED_VALUE"""),"Metal/Wreck")</f>
        <v>Metal/Wreck</v>
      </c>
      <c r="F185" s="8" t="str">
        <f>IFERROR(__xludf.DUMMYFUNCTION("""COMPUTED_VALUE"""),"Engineered/Advanced")</f>
        <v>Engineered/Advanced</v>
      </c>
      <c r="G185" s="8" t="str">
        <f>IFERROR(__xludf.DUMMYFUNCTION("""COMPUTED_VALUE"""),"Recycled/Waste")</f>
        <v>Recycled/Waste</v>
      </c>
      <c r="H185" s="8" t="str">
        <f>IFERROR(__xludf.DUMMYFUNCTION("""COMPUTED_VALUE"""),"Hybrid")</f>
        <v>Hybrid</v>
      </c>
    </row>
    <row r="186">
      <c r="A186" s="8" t="s">
        <v>151</v>
      </c>
      <c r="B186" s="8" t="str">
        <f>IFERROR(__xludf.DUMMYFUNCTION("""COMPUTED_VALUE"""),"Concrete")</f>
        <v>Concrete</v>
      </c>
      <c r="C186" s="8" t="str">
        <f>IFERROR(__xludf.DUMMYFUNCTION("""COMPUTED_VALUE"""),"Tires")</f>
        <v>Tires</v>
      </c>
      <c r="D186" s="8" t="str">
        <f>IFERROR(__xludf.DUMMYFUNCTION("""COMPUTED_VALUE"""),"Natural")</f>
        <v>Natural</v>
      </c>
      <c r="E186" s="8" t="str">
        <f>IFERROR(__xludf.DUMMYFUNCTION("""COMPUTED_VALUE"""),"Metal/Wreck")</f>
        <v>Metal/Wreck</v>
      </c>
      <c r="F186" s="8" t="str">
        <f>IFERROR(__xludf.DUMMYFUNCTION("""COMPUTED_VALUE"""),"Engineered/Advanced")</f>
        <v>Engineered/Advanced</v>
      </c>
      <c r="G186" s="8" t="str">
        <f>IFERROR(__xludf.DUMMYFUNCTION("""COMPUTED_VALUE"""),"Recycled/Waste")</f>
        <v>Recycled/Waste</v>
      </c>
      <c r="H186" s="8" t="str">
        <f>IFERROR(__xludf.DUMMYFUNCTION("""COMPUTED_VALUE"""),"Hybrid")</f>
        <v>Hybrid</v>
      </c>
    </row>
    <row r="187">
      <c r="A187" s="8" t="s">
        <v>151</v>
      </c>
      <c r="B187" s="8" t="str">
        <f>IFERROR(__xludf.DUMMYFUNCTION("""COMPUTED_VALUE"""),"Concrete")</f>
        <v>Concrete</v>
      </c>
      <c r="C187" s="8" t="str">
        <f>IFERROR(__xludf.DUMMYFUNCTION("""COMPUTED_VALUE"""),"Tires")</f>
        <v>Tires</v>
      </c>
      <c r="D187" s="8" t="str">
        <f>IFERROR(__xludf.DUMMYFUNCTION("""COMPUTED_VALUE"""),"Natural")</f>
        <v>Natural</v>
      </c>
      <c r="E187" s="8" t="str">
        <f>IFERROR(__xludf.DUMMYFUNCTION("""COMPUTED_VALUE"""),"Metal/Wreck")</f>
        <v>Metal/Wreck</v>
      </c>
      <c r="F187" s="8" t="str">
        <f>IFERROR(__xludf.DUMMYFUNCTION("""COMPUTED_VALUE"""),"Engineered/Advanced")</f>
        <v>Engineered/Advanced</v>
      </c>
      <c r="G187" s="8" t="str">
        <f>IFERROR(__xludf.DUMMYFUNCTION("""COMPUTED_VALUE"""),"Recycled/Waste")</f>
        <v>Recycled/Waste</v>
      </c>
      <c r="H187" s="8" t="str">
        <f>IFERROR(__xludf.DUMMYFUNCTION("""COMPUTED_VALUE"""),"Hybrid")</f>
        <v>Hybrid</v>
      </c>
    </row>
    <row r="188">
      <c r="A188" s="8" t="s">
        <v>151</v>
      </c>
      <c r="B188" s="8" t="str">
        <f>IFERROR(__xludf.DUMMYFUNCTION("""COMPUTED_VALUE"""),"Concrete")</f>
        <v>Concrete</v>
      </c>
      <c r="C188" s="8" t="str">
        <f>IFERROR(__xludf.DUMMYFUNCTION("""COMPUTED_VALUE"""),"Tires")</f>
        <v>Tires</v>
      </c>
      <c r="D188" s="8" t="str">
        <f>IFERROR(__xludf.DUMMYFUNCTION("""COMPUTED_VALUE"""),"Natural")</f>
        <v>Natural</v>
      </c>
      <c r="E188" s="8" t="str">
        <f>IFERROR(__xludf.DUMMYFUNCTION("""COMPUTED_VALUE"""),"Metal/Wreck")</f>
        <v>Metal/Wreck</v>
      </c>
      <c r="F188" s="8" t="str">
        <f>IFERROR(__xludf.DUMMYFUNCTION("""COMPUTED_VALUE"""),"Engineered/Advanced")</f>
        <v>Engineered/Advanced</v>
      </c>
      <c r="G188" s="8" t="str">
        <f>IFERROR(__xludf.DUMMYFUNCTION("""COMPUTED_VALUE"""),"Recycled/Waste")</f>
        <v>Recycled/Waste</v>
      </c>
      <c r="H188" s="8" t="str">
        <f>IFERROR(__xludf.DUMMYFUNCTION("""COMPUTED_VALUE"""),"Hybrid")</f>
        <v>Hybrid</v>
      </c>
    </row>
    <row r="189">
      <c r="A189" s="8" t="s">
        <v>151</v>
      </c>
      <c r="B189" s="8" t="str">
        <f>IFERROR(__xludf.DUMMYFUNCTION("""COMPUTED_VALUE"""),"Concrete")</f>
        <v>Concrete</v>
      </c>
      <c r="C189" s="8" t="str">
        <f>IFERROR(__xludf.DUMMYFUNCTION("""COMPUTED_VALUE"""),"Tires")</f>
        <v>Tires</v>
      </c>
      <c r="D189" s="8" t="str">
        <f>IFERROR(__xludf.DUMMYFUNCTION("""COMPUTED_VALUE"""),"Natural")</f>
        <v>Natural</v>
      </c>
      <c r="E189" s="8" t="str">
        <f>IFERROR(__xludf.DUMMYFUNCTION("""COMPUTED_VALUE"""),"Metal/Wreck")</f>
        <v>Metal/Wreck</v>
      </c>
      <c r="F189" s="8" t="str">
        <f>IFERROR(__xludf.DUMMYFUNCTION("""COMPUTED_VALUE"""),"Engineered/Advanced")</f>
        <v>Engineered/Advanced</v>
      </c>
      <c r="G189" s="8" t="str">
        <f>IFERROR(__xludf.DUMMYFUNCTION("""COMPUTED_VALUE"""),"Recycled/Waste")</f>
        <v>Recycled/Waste</v>
      </c>
      <c r="H189" s="8" t="str">
        <f>IFERROR(__xludf.DUMMYFUNCTION("""COMPUTED_VALUE"""),"Hybrid")</f>
        <v>Hybrid</v>
      </c>
    </row>
    <row r="190">
      <c r="A190" s="8" t="s">
        <v>151</v>
      </c>
      <c r="B190" s="8" t="str">
        <f>IFERROR(__xludf.DUMMYFUNCTION("""COMPUTED_VALUE"""),"Concrete")</f>
        <v>Concrete</v>
      </c>
      <c r="C190" s="8" t="str">
        <f>IFERROR(__xludf.DUMMYFUNCTION("""COMPUTED_VALUE"""),"Tires")</f>
        <v>Tires</v>
      </c>
      <c r="D190" s="8" t="str">
        <f>IFERROR(__xludf.DUMMYFUNCTION("""COMPUTED_VALUE"""),"Natural")</f>
        <v>Natural</v>
      </c>
      <c r="E190" s="8" t="str">
        <f>IFERROR(__xludf.DUMMYFUNCTION("""COMPUTED_VALUE"""),"Metal/Wreck")</f>
        <v>Metal/Wreck</v>
      </c>
      <c r="F190" s="8" t="str">
        <f>IFERROR(__xludf.DUMMYFUNCTION("""COMPUTED_VALUE"""),"Engineered/Advanced")</f>
        <v>Engineered/Advanced</v>
      </c>
      <c r="G190" s="8" t="str">
        <f>IFERROR(__xludf.DUMMYFUNCTION("""COMPUTED_VALUE"""),"Recycled/Waste")</f>
        <v>Recycled/Waste</v>
      </c>
      <c r="H190" s="8" t="str">
        <f>IFERROR(__xludf.DUMMYFUNCTION("""COMPUTED_VALUE"""),"Hybrid")</f>
        <v>Hybrid</v>
      </c>
    </row>
    <row r="191">
      <c r="A191" s="8" t="s">
        <v>151</v>
      </c>
      <c r="B191" s="8" t="str">
        <f>IFERROR(__xludf.DUMMYFUNCTION("""COMPUTED_VALUE"""),"Concrete")</f>
        <v>Concrete</v>
      </c>
      <c r="C191" s="8" t="str">
        <f>IFERROR(__xludf.DUMMYFUNCTION("""COMPUTED_VALUE"""),"Tires")</f>
        <v>Tires</v>
      </c>
      <c r="D191" s="8" t="str">
        <f>IFERROR(__xludf.DUMMYFUNCTION("""COMPUTED_VALUE"""),"Natural")</f>
        <v>Natural</v>
      </c>
      <c r="E191" s="8" t="str">
        <f>IFERROR(__xludf.DUMMYFUNCTION("""COMPUTED_VALUE"""),"Metal/Wreck")</f>
        <v>Metal/Wreck</v>
      </c>
      <c r="F191" s="8" t="str">
        <f>IFERROR(__xludf.DUMMYFUNCTION("""COMPUTED_VALUE"""),"Engineered/Advanced")</f>
        <v>Engineered/Advanced</v>
      </c>
      <c r="G191" s="8" t="str">
        <f>IFERROR(__xludf.DUMMYFUNCTION("""COMPUTED_VALUE"""),"Recycled/Waste")</f>
        <v>Recycled/Waste</v>
      </c>
      <c r="H191" s="8" t="str">
        <f>IFERROR(__xludf.DUMMYFUNCTION("""COMPUTED_VALUE"""),"Hybrid")</f>
        <v>Hybrid</v>
      </c>
    </row>
    <row r="192">
      <c r="A192" s="8" t="s">
        <v>151</v>
      </c>
      <c r="B192" s="8" t="str">
        <f>IFERROR(__xludf.DUMMYFUNCTION("""COMPUTED_VALUE"""),"Concrete")</f>
        <v>Concrete</v>
      </c>
      <c r="C192" s="8" t="str">
        <f>IFERROR(__xludf.DUMMYFUNCTION("""COMPUTED_VALUE"""),"Tires")</f>
        <v>Tires</v>
      </c>
      <c r="D192" s="8" t="str">
        <f>IFERROR(__xludf.DUMMYFUNCTION("""COMPUTED_VALUE"""),"Natural")</f>
        <v>Natural</v>
      </c>
      <c r="E192" s="8" t="str">
        <f>IFERROR(__xludf.DUMMYFUNCTION("""COMPUTED_VALUE"""),"Metal/Wreck")</f>
        <v>Metal/Wreck</v>
      </c>
      <c r="F192" s="8" t="str">
        <f>IFERROR(__xludf.DUMMYFUNCTION("""COMPUTED_VALUE"""),"Engineered/Advanced")</f>
        <v>Engineered/Advanced</v>
      </c>
      <c r="G192" s="8" t="str">
        <f>IFERROR(__xludf.DUMMYFUNCTION("""COMPUTED_VALUE"""),"Recycled/Waste")</f>
        <v>Recycled/Waste</v>
      </c>
      <c r="H192" s="8" t="str">
        <f>IFERROR(__xludf.DUMMYFUNCTION("""COMPUTED_VALUE"""),"Hybrid")</f>
        <v>Hybrid</v>
      </c>
    </row>
    <row r="193">
      <c r="A193" s="8" t="s">
        <v>151</v>
      </c>
      <c r="B193" s="8" t="str">
        <f>IFERROR(__xludf.DUMMYFUNCTION("""COMPUTED_VALUE"""),"Concrete")</f>
        <v>Concrete</v>
      </c>
      <c r="C193" s="8" t="str">
        <f>IFERROR(__xludf.DUMMYFUNCTION("""COMPUTED_VALUE"""),"Tires")</f>
        <v>Tires</v>
      </c>
      <c r="D193" s="8" t="str">
        <f>IFERROR(__xludf.DUMMYFUNCTION("""COMPUTED_VALUE"""),"Natural")</f>
        <v>Natural</v>
      </c>
      <c r="E193" s="8" t="str">
        <f>IFERROR(__xludf.DUMMYFUNCTION("""COMPUTED_VALUE"""),"Metal/Wreck")</f>
        <v>Metal/Wreck</v>
      </c>
      <c r="F193" s="8" t="str">
        <f>IFERROR(__xludf.DUMMYFUNCTION("""COMPUTED_VALUE"""),"Engineered/Advanced")</f>
        <v>Engineered/Advanced</v>
      </c>
      <c r="G193" s="8" t="str">
        <f>IFERROR(__xludf.DUMMYFUNCTION("""COMPUTED_VALUE"""),"Recycled/Waste")</f>
        <v>Recycled/Waste</v>
      </c>
      <c r="H193" s="8" t="str">
        <f>IFERROR(__xludf.DUMMYFUNCTION("""COMPUTED_VALUE"""),"Hybrid")</f>
        <v>Hybrid</v>
      </c>
    </row>
    <row r="194">
      <c r="A194" s="8" t="s">
        <v>151</v>
      </c>
      <c r="B194" s="8" t="str">
        <f>IFERROR(__xludf.DUMMYFUNCTION("""COMPUTED_VALUE"""),"Concrete")</f>
        <v>Concrete</v>
      </c>
      <c r="C194" s="8" t="str">
        <f>IFERROR(__xludf.DUMMYFUNCTION("""COMPUTED_VALUE"""),"Tires")</f>
        <v>Tires</v>
      </c>
      <c r="D194" s="8" t="str">
        <f>IFERROR(__xludf.DUMMYFUNCTION("""COMPUTED_VALUE"""),"Natural")</f>
        <v>Natural</v>
      </c>
      <c r="E194" s="8" t="str">
        <f>IFERROR(__xludf.DUMMYFUNCTION("""COMPUTED_VALUE"""),"Metal/Wreck")</f>
        <v>Metal/Wreck</v>
      </c>
      <c r="F194" s="8" t="str">
        <f>IFERROR(__xludf.DUMMYFUNCTION("""COMPUTED_VALUE"""),"Engineered/Advanced")</f>
        <v>Engineered/Advanced</v>
      </c>
      <c r="G194" s="8" t="str">
        <f>IFERROR(__xludf.DUMMYFUNCTION("""COMPUTED_VALUE"""),"Recycled/Waste")</f>
        <v>Recycled/Waste</v>
      </c>
      <c r="H194" s="8" t="str">
        <f>IFERROR(__xludf.DUMMYFUNCTION("""COMPUTED_VALUE"""),"Hybrid")</f>
        <v>Hybrid</v>
      </c>
    </row>
    <row r="195">
      <c r="A195" s="8" t="s">
        <v>151</v>
      </c>
      <c r="B195" s="8" t="str">
        <f>IFERROR(__xludf.DUMMYFUNCTION("""COMPUTED_VALUE"""),"Concrete")</f>
        <v>Concrete</v>
      </c>
      <c r="C195" s="8" t="str">
        <f>IFERROR(__xludf.DUMMYFUNCTION("""COMPUTED_VALUE"""),"Tires")</f>
        <v>Tires</v>
      </c>
      <c r="D195" s="8" t="str">
        <f>IFERROR(__xludf.DUMMYFUNCTION("""COMPUTED_VALUE"""),"Natural")</f>
        <v>Natural</v>
      </c>
      <c r="E195" s="8" t="str">
        <f>IFERROR(__xludf.DUMMYFUNCTION("""COMPUTED_VALUE"""),"Metal/Wreck")</f>
        <v>Metal/Wreck</v>
      </c>
      <c r="F195" s="8" t="str">
        <f>IFERROR(__xludf.DUMMYFUNCTION("""COMPUTED_VALUE"""),"Engineered/Advanced")</f>
        <v>Engineered/Advanced</v>
      </c>
      <c r="G195" s="8" t="str">
        <f>IFERROR(__xludf.DUMMYFUNCTION("""COMPUTED_VALUE"""),"Recycled/Waste")</f>
        <v>Recycled/Waste</v>
      </c>
      <c r="H195" s="8" t="str">
        <f>IFERROR(__xludf.DUMMYFUNCTION("""COMPUTED_VALUE"""),"Hybrid")</f>
        <v>Hybrid</v>
      </c>
    </row>
    <row r="196">
      <c r="A196" s="8" t="s">
        <v>151</v>
      </c>
      <c r="B196" s="8" t="str">
        <f>IFERROR(__xludf.DUMMYFUNCTION("""COMPUTED_VALUE"""),"Concrete")</f>
        <v>Concrete</v>
      </c>
      <c r="C196" s="8" t="str">
        <f>IFERROR(__xludf.DUMMYFUNCTION("""COMPUTED_VALUE"""),"Tires")</f>
        <v>Tires</v>
      </c>
      <c r="D196" s="8" t="str">
        <f>IFERROR(__xludf.DUMMYFUNCTION("""COMPUTED_VALUE"""),"Natural")</f>
        <v>Natural</v>
      </c>
      <c r="E196" s="8" t="str">
        <f>IFERROR(__xludf.DUMMYFUNCTION("""COMPUTED_VALUE"""),"Metal/Wreck")</f>
        <v>Metal/Wreck</v>
      </c>
      <c r="F196" s="8" t="str">
        <f>IFERROR(__xludf.DUMMYFUNCTION("""COMPUTED_VALUE"""),"Engineered/Advanced")</f>
        <v>Engineered/Advanced</v>
      </c>
      <c r="G196" s="8" t="str">
        <f>IFERROR(__xludf.DUMMYFUNCTION("""COMPUTED_VALUE"""),"Recycled/Waste")</f>
        <v>Recycled/Waste</v>
      </c>
      <c r="H196" s="8" t="str">
        <f>IFERROR(__xludf.DUMMYFUNCTION("""COMPUTED_VALUE"""),"Hybrid")</f>
        <v>Hybrid</v>
      </c>
    </row>
    <row r="197">
      <c r="A197" s="8" t="s">
        <v>151</v>
      </c>
      <c r="B197" s="8" t="str">
        <f>IFERROR(__xludf.DUMMYFUNCTION("""COMPUTED_VALUE"""),"Concrete")</f>
        <v>Concrete</v>
      </c>
      <c r="C197" s="8" t="str">
        <f>IFERROR(__xludf.DUMMYFUNCTION("""COMPUTED_VALUE"""),"Tires")</f>
        <v>Tires</v>
      </c>
      <c r="D197" s="8" t="str">
        <f>IFERROR(__xludf.DUMMYFUNCTION("""COMPUTED_VALUE"""),"Natural")</f>
        <v>Natural</v>
      </c>
      <c r="E197" s="8" t="str">
        <f>IFERROR(__xludf.DUMMYFUNCTION("""COMPUTED_VALUE"""),"Metal/Wreck")</f>
        <v>Metal/Wreck</v>
      </c>
      <c r="F197" s="8" t="str">
        <f>IFERROR(__xludf.DUMMYFUNCTION("""COMPUTED_VALUE"""),"Engineered/Advanced")</f>
        <v>Engineered/Advanced</v>
      </c>
      <c r="G197" s="8" t="str">
        <f>IFERROR(__xludf.DUMMYFUNCTION("""COMPUTED_VALUE"""),"Recycled/Waste")</f>
        <v>Recycled/Waste</v>
      </c>
      <c r="H197" s="8" t="str">
        <f>IFERROR(__xludf.DUMMYFUNCTION("""COMPUTED_VALUE"""),"Hybrid")</f>
        <v>Hybrid</v>
      </c>
    </row>
    <row r="198">
      <c r="A198" s="8" t="s">
        <v>151</v>
      </c>
      <c r="B198" s="8" t="str">
        <f>IFERROR(__xludf.DUMMYFUNCTION("""COMPUTED_VALUE"""),"Concrete")</f>
        <v>Concrete</v>
      </c>
      <c r="C198" s="8" t="str">
        <f>IFERROR(__xludf.DUMMYFUNCTION("""COMPUTED_VALUE"""),"Tires")</f>
        <v>Tires</v>
      </c>
      <c r="D198" s="8" t="str">
        <f>IFERROR(__xludf.DUMMYFUNCTION("""COMPUTED_VALUE"""),"Natural")</f>
        <v>Natural</v>
      </c>
      <c r="E198" s="8" t="str">
        <f>IFERROR(__xludf.DUMMYFUNCTION("""COMPUTED_VALUE"""),"Metal/Wreck")</f>
        <v>Metal/Wreck</v>
      </c>
      <c r="F198" s="8" t="str">
        <f>IFERROR(__xludf.DUMMYFUNCTION("""COMPUTED_VALUE"""),"Engineered/Advanced")</f>
        <v>Engineered/Advanced</v>
      </c>
      <c r="G198" s="8" t="str">
        <f>IFERROR(__xludf.DUMMYFUNCTION("""COMPUTED_VALUE"""),"Recycled/Waste")</f>
        <v>Recycled/Waste</v>
      </c>
      <c r="H198" s="8" t="str">
        <f>IFERROR(__xludf.DUMMYFUNCTION("""COMPUTED_VALUE"""),"Hybrid")</f>
        <v>Hybrid</v>
      </c>
    </row>
    <row r="199">
      <c r="A199" s="8" t="s">
        <v>151</v>
      </c>
      <c r="B199" s="8" t="str">
        <f>IFERROR(__xludf.DUMMYFUNCTION("""COMPUTED_VALUE"""),"Concrete")</f>
        <v>Concrete</v>
      </c>
      <c r="C199" s="8" t="str">
        <f>IFERROR(__xludf.DUMMYFUNCTION("""COMPUTED_VALUE"""),"Tires")</f>
        <v>Tires</v>
      </c>
      <c r="D199" s="8" t="str">
        <f>IFERROR(__xludf.DUMMYFUNCTION("""COMPUTED_VALUE"""),"Natural")</f>
        <v>Natural</v>
      </c>
      <c r="E199" s="8" t="str">
        <f>IFERROR(__xludf.DUMMYFUNCTION("""COMPUTED_VALUE"""),"Metal/Wreck")</f>
        <v>Metal/Wreck</v>
      </c>
      <c r="F199" s="8" t="str">
        <f>IFERROR(__xludf.DUMMYFUNCTION("""COMPUTED_VALUE"""),"Engineered/Advanced")</f>
        <v>Engineered/Advanced</v>
      </c>
      <c r="G199" s="8" t="str">
        <f>IFERROR(__xludf.DUMMYFUNCTION("""COMPUTED_VALUE"""),"Recycled/Waste")</f>
        <v>Recycled/Waste</v>
      </c>
      <c r="H199" s="8" t="str">
        <f>IFERROR(__xludf.DUMMYFUNCTION("""COMPUTED_VALUE"""),"Hybrid")</f>
        <v>Hybrid</v>
      </c>
    </row>
    <row r="200">
      <c r="A200" s="8" t="s">
        <v>151</v>
      </c>
      <c r="B200" s="8" t="str">
        <f>IFERROR(__xludf.DUMMYFUNCTION("""COMPUTED_VALUE"""),"Concrete")</f>
        <v>Concrete</v>
      </c>
      <c r="C200" s="8" t="str">
        <f>IFERROR(__xludf.DUMMYFUNCTION("""COMPUTED_VALUE"""),"Tires")</f>
        <v>Tires</v>
      </c>
      <c r="D200" s="8" t="str">
        <f>IFERROR(__xludf.DUMMYFUNCTION("""COMPUTED_VALUE"""),"Natural")</f>
        <v>Natural</v>
      </c>
      <c r="E200" s="8" t="str">
        <f>IFERROR(__xludf.DUMMYFUNCTION("""COMPUTED_VALUE"""),"Metal/Wreck")</f>
        <v>Metal/Wreck</v>
      </c>
      <c r="F200" s="8" t="str">
        <f>IFERROR(__xludf.DUMMYFUNCTION("""COMPUTED_VALUE"""),"Engineered/Advanced")</f>
        <v>Engineered/Advanced</v>
      </c>
      <c r="G200" s="8" t="str">
        <f>IFERROR(__xludf.DUMMYFUNCTION("""COMPUTED_VALUE"""),"Recycled/Waste")</f>
        <v>Recycled/Waste</v>
      </c>
      <c r="H200" s="8" t="str">
        <f>IFERROR(__xludf.DUMMYFUNCTION("""COMPUTED_VALUE"""),"Hybrid")</f>
        <v>Hybrid</v>
      </c>
    </row>
    <row r="201">
      <c r="A201" s="8" t="s">
        <v>151</v>
      </c>
      <c r="B201" s="8" t="str">
        <f>IFERROR(__xludf.DUMMYFUNCTION("""COMPUTED_VALUE"""),"Concrete")</f>
        <v>Concrete</v>
      </c>
      <c r="C201" s="8" t="str">
        <f>IFERROR(__xludf.DUMMYFUNCTION("""COMPUTED_VALUE"""),"Tires")</f>
        <v>Tires</v>
      </c>
      <c r="D201" s="8" t="str">
        <f>IFERROR(__xludf.DUMMYFUNCTION("""COMPUTED_VALUE"""),"Natural")</f>
        <v>Natural</v>
      </c>
      <c r="E201" s="8" t="str">
        <f>IFERROR(__xludf.DUMMYFUNCTION("""COMPUTED_VALUE"""),"Metal/Wreck")</f>
        <v>Metal/Wreck</v>
      </c>
      <c r="F201" s="8" t="str">
        <f>IFERROR(__xludf.DUMMYFUNCTION("""COMPUTED_VALUE"""),"Engineered/Advanced")</f>
        <v>Engineered/Advanced</v>
      </c>
      <c r="G201" s="8" t="str">
        <f>IFERROR(__xludf.DUMMYFUNCTION("""COMPUTED_VALUE"""),"Recycled/Waste")</f>
        <v>Recycled/Waste</v>
      </c>
      <c r="H201" s="8" t="str">
        <f>IFERROR(__xludf.DUMMYFUNCTION("""COMPUTED_VALUE"""),"Hybrid")</f>
        <v>Hybrid</v>
      </c>
    </row>
    <row r="202">
      <c r="A202" s="8" t="s">
        <v>151</v>
      </c>
      <c r="B202" s="8" t="str">
        <f>IFERROR(__xludf.DUMMYFUNCTION("""COMPUTED_VALUE"""),"Concrete")</f>
        <v>Concrete</v>
      </c>
      <c r="C202" s="8" t="str">
        <f>IFERROR(__xludf.DUMMYFUNCTION("""COMPUTED_VALUE"""),"Tires")</f>
        <v>Tires</v>
      </c>
      <c r="D202" s="8" t="str">
        <f>IFERROR(__xludf.DUMMYFUNCTION("""COMPUTED_VALUE"""),"Natural")</f>
        <v>Natural</v>
      </c>
      <c r="E202" s="8" t="str">
        <f>IFERROR(__xludf.DUMMYFUNCTION("""COMPUTED_VALUE"""),"Metal/Wreck")</f>
        <v>Metal/Wreck</v>
      </c>
      <c r="F202" s="8" t="str">
        <f>IFERROR(__xludf.DUMMYFUNCTION("""COMPUTED_VALUE"""),"Engineered/Advanced")</f>
        <v>Engineered/Advanced</v>
      </c>
      <c r="G202" s="8" t="str">
        <f>IFERROR(__xludf.DUMMYFUNCTION("""COMPUTED_VALUE"""),"Recycled/Waste")</f>
        <v>Recycled/Waste</v>
      </c>
      <c r="H202" s="8" t="str">
        <f>IFERROR(__xludf.DUMMYFUNCTION("""COMPUTED_VALUE"""),"Hybrid")</f>
        <v>Hybrid</v>
      </c>
    </row>
    <row r="203">
      <c r="A203" s="8" t="s">
        <v>151</v>
      </c>
      <c r="B203" s="8" t="str">
        <f>IFERROR(__xludf.DUMMYFUNCTION("""COMPUTED_VALUE"""),"Concrete")</f>
        <v>Concrete</v>
      </c>
      <c r="C203" s="8" t="str">
        <f>IFERROR(__xludf.DUMMYFUNCTION("""COMPUTED_VALUE"""),"Tires")</f>
        <v>Tires</v>
      </c>
      <c r="D203" s="8" t="str">
        <f>IFERROR(__xludf.DUMMYFUNCTION("""COMPUTED_VALUE"""),"Natural")</f>
        <v>Natural</v>
      </c>
      <c r="E203" s="8" t="str">
        <f>IFERROR(__xludf.DUMMYFUNCTION("""COMPUTED_VALUE"""),"Metal/Wreck")</f>
        <v>Metal/Wreck</v>
      </c>
      <c r="F203" s="8" t="str">
        <f>IFERROR(__xludf.DUMMYFUNCTION("""COMPUTED_VALUE"""),"Engineered/Advanced")</f>
        <v>Engineered/Advanced</v>
      </c>
      <c r="G203" s="8" t="str">
        <f>IFERROR(__xludf.DUMMYFUNCTION("""COMPUTED_VALUE"""),"Recycled/Waste")</f>
        <v>Recycled/Waste</v>
      </c>
      <c r="H203" s="8" t="str">
        <f>IFERROR(__xludf.DUMMYFUNCTION("""COMPUTED_VALUE"""),"Hybrid")</f>
        <v>Hybrid</v>
      </c>
    </row>
    <row r="204">
      <c r="A204" s="8" t="s">
        <v>151</v>
      </c>
      <c r="B204" s="8" t="str">
        <f>IFERROR(__xludf.DUMMYFUNCTION("""COMPUTED_VALUE"""),"Concrete")</f>
        <v>Concrete</v>
      </c>
      <c r="C204" s="8" t="str">
        <f>IFERROR(__xludf.DUMMYFUNCTION("""COMPUTED_VALUE"""),"Tires")</f>
        <v>Tires</v>
      </c>
      <c r="D204" s="8" t="str">
        <f>IFERROR(__xludf.DUMMYFUNCTION("""COMPUTED_VALUE"""),"Natural")</f>
        <v>Natural</v>
      </c>
      <c r="E204" s="8" t="str">
        <f>IFERROR(__xludf.DUMMYFUNCTION("""COMPUTED_VALUE"""),"Metal/Wreck")</f>
        <v>Metal/Wreck</v>
      </c>
      <c r="F204" s="8" t="str">
        <f>IFERROR(__xludf.DUMMYFUNCTION("""COMPUTED_VALUE"""),"Engineered/Advanced")</f>
        <v>Engineered/Advanced</v>
      </c>
      <c r="G204" s="8" t="str">
        <f>IFERROR(__xludf.DUMMYFUNCTION("""COMPUTED_VALUE"""),"Recycled/Waste")</f>
        <v>Recycled/Waste</v>
      </c>
      <c r="H204" s="8" t="str">
        <f>IFERROR(__xludf.DUMMYFUNCTION("""COMPUTED_VALUE"""),"Hybrid")</f>
        <v>Hybrid</v>
      </c>
    </row>
    <row r="205">
      <c r="A205" s="8" t="s">
        <v>151</v>
      </c>
      <c r="B205" s="8" t="str">
        <f>IFERROR(__xludf.DUMMYFUNCTION("""COMPUTED_VALUE"""),"Concrete")</f>
        <v>Concrete</v>
      </c>
      <c r="C205" s="8" t="str">
        <f>IFERROR(__xludf.DUMMYFUNCTION("""COMPUTED_VALUE"""),"Tires")</f>
        <v>Tires</v>
      </c>
      <c r="D205" s="8" t="str">
        <f>IFERROR(__xludf.DUMMYFUNCTION("""COMPUTED_VALUE"""),"Natural")</f>
        <v>Natural</v>
      </c>
      <c r="E205" s="8" t="str">
        <f>IFERROR(__xludf.DUMMYFUNCTION("""COMPUTED_VALUE"""),"Metal/Wreck")</f>
        <v>Metal/Wreck</v>
      </c>
      <c r="F205" s="8" t="str">
        <f>IFERROR(__xludf.DUMMYFUNCTION("""COMPUTED_VALUE"""),"Engineered/Advanced")</f>
        <v>Engineered/Advanced</v>
      </c>
      <c r="G205" s="8" t="str">
        <f>IFERROR(__xludf.DUMMYFUNCTION("""COMPUTED_VALUE"""),"Recycled/Waste")</f>
        <v>Recycled/Waste</v>
      </c>
      <c r="H205" s="8" t="str">
        <f>IFERROR(__xludf.DUMMYFUNCTION("""COMPUTED_VALUE"""),"Hybrid")</f>
        <v>Hybrid</v>
      </c>
    </row>
    <row r="206">
      <c r="A206" s="8" t="s">
        <v>151</v>
      </c>
      <c r="B206" s="8" t="str">
        <f>IFERROR(__xludf.DUMMYFUNCTION("""COMPUTED_VALUE"""),"Concrete")</f>
        <v>Concrete</v>
      </c>
      <c r="C206" s="8" t="str">
        <f>IFERROR(__xludf.DUMMYFUNCTION("""COMPUTED_VALUE"""),"Tires")</f>
        <v>Tires</v>
      </c>
      <c r="D206" s="8" t="str">
        <f>IFERROR(__xludf.DUMMYFUNCTION("""COMPUTED_VALUE"""),"Natural")</f>
        <v>Natural</v>
      </c>
      <c r="E206" s="8" t="str">
        <f>IFERROR(__xludf.DUMMYFUNCTION("""COMPUTED_VALUE"""),"Metal/Wreck")</f>
        <v>Metal/Wreck</v>
      </c>
      <c r="F206" s="8" t="str">
        <f>IFERROR(__xludf.DUMMYFUNCTION("""COMPUTED_VALUE"""),"Engineered/Advanced")</f>
        <v>Engineered/Advanced</v>
      </c>
      <c r="G206" s="8" t="str">
        <f>IFERROR(__xludf.DUMMYFUNCTION("""COMPUTED_VALUE"""),"Recycled/Waste")</f>
        <v>Recycled/Waste</v>
      </c>
      <c r="H206" s="8" t="str">
        <f>IFERROR(__xludf.DUMMYFUNCTION("""COMPUTED_VALUE"""),"Hybrid")</f>
        <v>Hybrid</v>
      </c>
    </row>
    <row r="207">
      <c r="A207" s="8" t="s">
        <v>151</v>
      </c>
      <c r="B207" s="8" t="str">
        <f>IFERROR(__xludf.DUMMYFUNCTION("""COMPUTED_VALUE"""),"Concrete")</f>
        <v>Concrete</v>
      </c>
      <c r="C207" s="8" t="str">
        <f>IFERROR(__xludf.DUMMYFUNCTION("""COMPUTED_VALUE"""),"Tires")</f>
        <v>Tires</v>
      </c>
      <c r="D207" s="8" t="str">
        <f>IFERROR(__xludf.DUMMYFUNCTION("""COMPUTED_VALUE"""),"Natural")</f>
        <v>Natural</v>
      </c>
      <c r="E207" s="8" t="str">
        <f>IFERROR(__xludf.DUMMYFUNCTION("""COMPUTED_VALUE"""),"Metal/Wreck")</f>
        <v>Metal/Wreck</v>
      </c>
      <c r="F207" s="8" t="str">
        <f>IFERROR(__xludf.DUMMYFUNCTION("""COMPUTED_VALUE"""),"Engineered/Advanced")</f>
        <v>Engineered/Advanced</v>
      </c>
      <c r="G207" s="8" t="str">
        <f>IFERROR(__xludf.DUMMYFUNCTION("""COMPUTED_VALUE"""),"Recycled/Waste")</f>
        <v>Recycled/Waste</v>
      </c>
      <c r="H207" s="8" t="str">
        <f>IFERROR(__xludf.DUMMYFUNCTION("""COMPUTED_VALUE"""),"Hybrid")</f>
        <v>Hybrid</v>
      </c>
    </row>
    <row r="208">
      <c r="A208" s="8" t="s">
        <v>151</v>
      </c>
      <c r="B208" s="8" t="str">
        <f>IFERROR(__xludf.DUMMYFUNCTION("""COMPUTED_VALUE"""),"Concrete")</f>
        <v>Concrete</v>
      </c>
      <c r="C208" s="8" t="str">
        <f>IFERROR(__xludf.DUMMYFUNCTION("""COMPUTED_VALUE"""),"Tires")</f>
        <v>Tires</v>
      </c>
      <c r="D208" s="8" t="str">
        <f>IFERROR(__xludf.DUMMYFUNCTION("""COMPUTED_VALUE"""),"Natural")</f>
        <v>Natural</v>
      </c>
      <c r="E208" s="8" t="str">
        <f>IFERROR(__xludf.DUMMYFUNCTION("""COMPUTED_VALUE"""),"Metal/Wreck")</f>
        <v>Metal/Wreck</v>
      </c>
      <c r="F208" s="8" t="str">
        <f>IFERROR(__xludf.DUMMYFUNCTION("""COMPUTED_VALUE"""),"Engineered/Advanced")</f>
        <v>Engineered/Advanced</v>
      </c>
      <c r="G208" s="8" t="str">
        <f>IFERROR(__xludf.DUMMYFUNCTION("""COMPUTED_VALUE"""),"Recycled/Waste")</f>
        <v>Recycled/Waste</v>
      </c>
      <c r="H208" s="8" t="str">
        <f>IFERROR(__xludf.DUMMYFUNCTION("""COMPUTED_VALUE"""),"Hybrid")</f>
        <v>Hybrid</v>
      </c>
    </row>
    <row r="209">
      <c r="A209" s="8" t="s">
        <v>151</v>
      </c>
      <c r="B209" s="8" t="str">
        <f>IFERROR(__xludf.DUMMYFUNCTION("""COMPUTED_VALUE"""),"Concrete")</f>
        <v>Concrete</v>
      </c>
      <c r="C209" s="8" t="str">
        <f>IFERROR(__xludf.DUMMYFUNCTION("""COMPUTED_VALUE"""),"Tires")</f>
        <v>Tires</v>
      </c>
      <c r="D209" s="8" t="str">
        <f>IFERROR(__xludf.DUMMYFUNCTION("""COMPUTED_VALUE"""),"Natural")</f>
        <v>Natural</v>
      </c>
      <c r="E209" s="8" t="str">
        <f>IFERROR(__xludf.DUMMYFUNCTION("""COMPUTED_VALUE"""),"Metal/Wreck")</f>
        <v>Metal/Wreck</v>
      </c>
      <c r="F209" s="8" t="str">
        <f>IFERROR(__xludf.DUMMYFUNCTION("""COMPUTED_VALUE"""),"Engineered/Advanced")</f>
        <v>Engineered/Advanced</v>
      </c>
      <c r="G209" s="8" t="str">
        <f>IFERROR(__xludf.DUMMYFUNCTION("""COMPUTED_VALUE"""),"Recycled/Waste")</f>
        <v>Recycled/Waste</v>
      </c>
      <c r="H209" s="8" t="str">
        <f>IFERROR(__xludf.DUMMYFUNCTION("""COMPUTED_VALUE"""),"Hybrid")</f>
        <v>Hybrid</v>
      </c>
    </row>
    <row r="210">
      <c r="A210" s="8" t="s">
        <v>151</v>
      </c>
      <c r="B210" s="8" t="str">
        <f>IFERROR(__xludf.DUMMYFUNCTION("""COMPUTED_VALUE"""),"Concrete")</f>
        <v>Concrete</v>
      </c>
      <c r="C210" s="8" t="str">
        <f>IFERROR(__xludf.DUMMYFUNCTION("""COMPUTED_VALUE"""),"Tires")</f>
        <v>Tires</v>
      </c>
      <c r="D210" s="8" t="str">
        <f>IFERROR(__xludf.DUMMYFUNCTION("""COMPUTED_VALUE"""),"Natural")</f>
        <v>Natural</v>
      </c>
      <c r="E210" s="8" t="str">
        <f>IFERROR(__xludf.DUMMYFUNCTION("""COMPUTED_VALUE"""),"Metal/Wreck")</f>
        <v>Metal/Wreck</v>
      </c>
      <c r="F210" s="8" t="str">
        <f>IFERROR(__xludf.DUMMYFUNCTION("""COMPUTED_VALUE"""),"Engineered/Advanced")</f>
        <v>Engineered/Advanced</v>
      </c>
      <c r="G210" s="8" t="str">
        <f>IFERROR(__xludf.DUMMYFUNCTION("""COMPUTED_VALUE"""),"Recycled/Waste")</f>
        <v>Recycled/Waste</v>
      </c>
      <c r="H210" s="8" t="str">
        <f>IFERROR(__xludf.DUMMYFUNCTION("""COMPUTED_VALUE"""),"Hybrid")</f>
        <v>Hybrid</v>
      </c>
    </row>
    <row r="211">
      <c r="A211" s="8" t="s">
        <v>151</v>
      </c>
      <c r="B211" s="8" t="str">
        <f>IFERROR(__xludf.DUMMYFUNCTION("""COMPUTED_VALUE"""),"Concrete")</f>
        <v>Concrete</v>
      </c>
      <c r="C211" s="8" t="str">
        <f>IFERROR(__xludf.DUMMYFUNCTION("""COMPUTED_VALUE"""),"Tires")</f>
        <v>Tires</v>
      </c>
      <c r="D211" s="8" t="str">
        <f>IFERROR(__xludf.DUMMYFUNCTION("""COMPUTED_VALUE"""),"Natural")</f>
        <v>Natural</v>
      </c>
      <c r="E211" s="8" t="str">
        <f>IFERROR(__xludf.DUMMYFUNCTION("""COMPUTED_VALUE"""),"Metal/Wreck")</f>
        <v>Metal/Wreck</v>
      </c>
      <c r="F211" s="8" t="str">
        <f>IFERROR(__xludf.DUMMYFUNCTION("""COMPUTED_VALUE"""),"Engineered/Advanced")</f>
        <v>Engineered/Advanced</v>
      </c>
      <c r="G211" s="8" t="str">
        <f>IFERROR(__xludf.DUMMYFUNCTION("""COMPUTED_VALUE"""),"Recycled/Waste")</f>
        <v>Recycled/Waste</v>
      </c>
      <c r="H211" s="8" t="str">
        <f>IFERROR(__xludf.DUMMYFUNCTION("""COMPUTED_VALUE"""),"Hybrid")</f>
        <v>Hybrid</v>
      </c>
    </row>
    <row r="212">
      <c r="A212" s="8" t="s">
        <v>151</v>
      </c>
      <c r="B212" s="8" t="str">
        <f>IFERROR(__xludf.DUMMYFUNCTION("""COMPUTED_VALUE"""),"Concrete")</f>
        <v>Concrete</v>
      </c>
      <c r="C212" s="8" t="str">
        <f>IFERROR(__xludf.DUMMYFUNCTION("""COMPUTED_VALUE"""),"Tires")</f>
        <v>Tires</v>
      </c>
      <c r="D212" s="8" t="str">
        <f>IFERROR(__xludf.DUMMYFUNCTION("""COMPUTED_VALUE"""),"Natural")</f>
        <v>Natural</v>
      </c>
      <c r="E212" s="8" t="str">
        <f>IFERROR(__xludf.DUMMYFUNCTION("""COMPUTED_VALUE"""),"Metal/Wreck")</f>
        <v>Metal/Wreck</v>
      </c>
      <c r="F212" s="8" t="str">
        <f>IFERROR(__xludf.DUMMYFUNCTION("""COMPUTED_VALUE"""),"Engineered/Advanced")</f>
        <v>Engineered/Advanced</v>
      </c>
      <c r="G212" s="8" t="str">
        <f>IFERROR(__xludf.DUMMYFUNCTION("""COMPUTED_VALUE"""),"Recycled/Waste")</f>
        <v>Recycled/Waste</v>
      </c>
      <c r="H212" s="8" t="str">
        <f>IFERROR(__xludf.DUMMYFUNCTION("""COMPUTED_VALUE"""),"Hybrid")</f>
        <v>Hybrid</v>
      </c>
    </row>
    <row r="213">
      <c r="A213" s="8" t="s">
        <v>151</v>
      </c>
      <c r="B213" s="8" t="str">
        <f>IFERROR(__xludf.DUMMYFUNCTION("""COMPUTED_VALUE"""),"Concrete")</f>
        <v>Concrete</v>
      </c>
      <c r="C213" s="8" t="str">
        <f>IFERROR(__xludf.DUMMYFUNCTION("""COMPUTED_VALUE"""),"Tires")</f>
        <v>Tires</v>
      </c>
      <c r="D213" s="8" t="str">
        <f>IFERROR(__xludf.DUMMYFUNCTION("""COMPUTED_VALUE"""),"Natural")</f>
        <v>Natural</v>
      </c>
      <c r="E213" s="8" t="str">
        <f>IFERROR(__xludf.DUMMYFUNCTION("""COMPUTED_VALUE"""),"Metal/Wreck")</f>
        <v>Metal/Wreck</v>
      </c>
      <c r="F213" s="8" t="str">
        <f>IFERROR(__xludf.DUMMYFUNCTION("""COMPUTED_VALUE"""),"Engineered/Advanced")</f>
        <v>Engineered/Advanced</v>
      </c>
      <c r="G213" s="8" t="str">
        <f>IFERROR(__xludf.DUMMYFUNCTION("""COMPUTED_VALUE"""),"Recycled/Waste")</f>
        <v>Recycled/Waste</v>
      </c>
      <c r="H213" s="8" t="str">
        <f>IFERROR(__xludf.DUMMYFUNCTION("""COMPUTED_VALUE"""),"Hybrid")</f>
        <v>Hybrid</v>
      </c>
    </row>
    <row r="214">
      <c r="A214" s="8" t="s">
        <v>151</v>
      </c>
      <c r="B214" s="8" t="str">
        <f>IFERROR(__xludf.DUMMYFUNCTION("""COMPUTED_VALUE"""),"Concrete")</f>
        <v>Concrete</v>
      </c>
      <c r="C214" s="8" t="str">
        <f>IFERROR(__xludf.DUMMYFUNCTION("""COMPUTED_VALUE"""),"Tires")</f>
        <v>Tires</v>
      </c>
      <c r="D214" s="8" t="str">
        <f>IFERROR(__xludf.DUMMYFUNCTION("""COMPUTED_VALUE"""),"Natural")</f>
        <v>Natural</v>
      </c>
      <c r="E214" s="8" t="str">
        <f>IFERROR(__xludf.DUMMYFUNCTION("""COMPUTED_VALUE"""),"Metal/Wreck")</f>
        <v>Metal/Wreck</v>
      </c>
      <c r="F214" s="8" t="str">
        <f>IFERROR(__xludf.DUMMYFUNCTION("""COMPUTED_VALUE"""),"Engineered/Advanced")</f>
        <v>Engineered/Advanced</v>
      </c>
      <c r="G214" s="8" t="str">
        <f>IFERROR(__xludf.DUMMYFUNCTION("""COMPUTED_VALUE"""),"Recycled/Waste")</f>
        <v>Recycled/Waste</v>
      </c>
      <c r="H214" s="8" t="str">
        <f>IFERROR(__xludf.DUMMYFUNCTION("""COMPUTED_VALUE"""),"Hybrid")</f>
        <v>Hybrid</v>
      </c>
    </row>
    <row r="215">
      <c r="A215" s="8" t="s">
        <v>151</v>
      </c>
      <c r="B215" s="8" t="str">
        <f>IFERROR(__xludf.DUMMYFUNCTION("""COMPUTED_VALUE"""),"Concrete")</f>
        <v>Concrete</v>
      </c>
      <c r="C215" s="8" t="str">
        <f>IFERROR(__xludf.DUMMYFUNCTION("""COMPUTED_VALUE"""),"Tires")</f>
        <v>Tires</v>
      </c>
      <c r="D215" s="8" t="str">
        <f>IFERROR(__xludf.DUMMYFUNCTION("""COMPUTED_VALUE"""),"Natural")</f>
        <v>Natural</v>
      </c>
      <c r="E215" s="8" t="str">
        <f>IFERROR(__xludf.DUMMYFUNCTION("""COMPUTED_VALUE"""),"Metal/Wreck")</f>
        <v>Metal/Wreck</v>
      </c>
      <c r="F215" s="8" t="str">
        <f>IFERROR(__xludf.DUMMYFUNCTION("""COMPUTED_VALUE"""),"Engineered/Advanced")</f>
        <v>Engineered/Advanced</v>
      </c>
      <c r="G215" s="8" t="str">
        <f>IFERROR(__xludf.DUMMYFUNCTION("""COMPUTED_VALUE"""),"Recycled/Waste")</f>
        <v>Recycled/Waste</v>
      </c>
      <c r="H215" s="8" t="str">
        <f>IFERROR(__xludf.DUMMYFUNCTION("""COMPUTED_VALUE"""),"Hybrid")</f>
        <v>Hybrid</v>
      </c>
    </row>
    <row r="216">
      <c r="A216" s="8" t="s">
        <v>151</v>
      </c>
      <c r="B216" s="8" t="str">
        <f>IFERROR(__xludf.DUMMYFUNCTION("""COMPUTED_VALUE"""),"Concrete")</f>
        <v>Concrete</v>
      </c>
      <c r="C216" s="8" t="str">
        <f>IFERROR(__xludf.DUMMYFUNCTION("""COMPUTED_VALUE"""),"Tires")</f>
        <v>Tires</v>
      </c>
      <c r="D216" s="8" t="str">
        <f>IFERROR(__xludf.DUMMYFUNCTION("""COMPUTED_VALUE"""),"Natural")</f>
        <v>Natural</v>
      </c>
      <c r="E216" s="8" t="str">
        <f>IFERROR(__xludf.DUMMYFUNCTION("""COMPUTED_VALUE"""),"Metal/Wreck")</f>
        <v>Metal/Wreck</v>
      </c>
      <c r="F216" s="8" t="str">
        <f>IFERROR(__xludf.DUMMYFUNCTION("""COMPUTED_VALUE"""),"Engineered/Advanced")</f>
        <v>Engineered/Advanced</v>
      </c>
      <c r="G216" s="8" t="str">
        <f>IFERROR(__xludf.DUMMYFUNCTION("""COMPUTED_VALUE"""),"Recycled/Waste")</f>
        <v>Recycled/Waste</v>
      </c>
      <c r="H216" s="8" t="str">
        <f>IFERROR(__xludf.DUMMYFUNCTION("""COMPUTED_VALUE"""),"Hybrid")</f>
        <v>Hybrid</v>
      </c>
    </row>
    <row r="217">
      <c r="A217" s="8" t="s">
        <v>178</v>
      </c>
      <c r="B217" s="8" t="str">
        <f>IFERROR(__xludf.DUMMYFUNCTION("""COMPUTED_VALUE"""),"Not applicable")</f>
        <v>Not applicable</v>
      </c>
      <c r="C217" s="8"/>
      <c r="D217" s="8"/>
      <c r="E217" s="8"/>
      <c r="F217" s="8"/>
      <c r="G217" s="8"/>
      <c r="H217" s="8"/>
    </row>
    <row r="218">
      <c r="A218" s="8" t="s">
        <v>151</v>
      </c>
      <c r="B218" s="8" t="str">
        <f>IFERROR(__xludf.DUMMYFUNCTION("""COMPUTED_VALUE"""),"Concrete")</f>
        <v>Concrete</v>
      </c>
      <c r="C218" s="8" t="str">
        <f>IFERROR(__xludf.DUMMYFUNCTION("""COMPUTED_VALUE"""),"Tires")</f>
        <v>Tires</v>
      </c>
      <c r="D218" s="8" t="str">
        <f>IFERROR(__xludf.DUMMYFUNCTION("""COMPUTED_VALUE"""),"Natural")</f>
        <v>Natural</v>
      </c>
      <c r="E218" s="8" t="str">
        <f>IFERROR(__xludf.DUMMYFUNCTION("""COMPUTED_VALUE"""),"Metal/Wreck")</f>
        <v>Metal/Wreck</v>
      </c>
      <c r="F218" s="8" t="str">
        <f>IFERROR(__xludf.DUMMYFUNCTION("""COMPUTED_VALUE"""),"Engineered/Advanced")</f>
        <v>Engineered/Advanced</v>
      </c>
      <c r="G218" s="8" t="str">
        <f>IFERROR(__xludf.DUMMYFUNCTION("""COMPUTED_VALUE"""),"Recycled/Waste")</f>
        <v>Recycled/Waste</v>
      </c>
      <c r="H218" s="8" t="str">
        <f>IFERROR(__xludf.DUMMYFUNCTION("""COMPUTED_VALUE"""),"Hybrid")</f>
        <v>Hybrid</v>
      </c>
    </row>
    <row r="219">
      <c r="A219" s="8" t="s">
        <v>151</v>
      </c>
      <c r="B219" s="8" t="str">
        <f>IFERROR(__xludf.DUMMYFUNCTION("""COMPUTED_VALUE"""),"Concrete")</f>
        <v>Concrete</v>
      </c>
      <c r="C219" s="8" t="str">
        <f>IFERROR(__xludf.DUMMYFUNCTION("""COMPUTED_VALUE"""),"Tires")</f>
        <v>Tires</v>
      </c>
      <c r="D219" s="8" t="str">
        <f>IFERROR(__xludf.DUMMYFUNCTION("""COMPUTED_VALUE"""),"Natural")</f>
        <v>Natural</v>
      </c>
      <c r="E219" s="8" t="str">
        <f>IFERROR(__xludf.DUMMYFUNCTION("""COMPUTED_VALUE"""),"Metal/Wreck")</f>
        <v>Metal/Wreck</v>
      </c>
      <c r="F219" s="8" t="str">
        <f>IFERROR(__xludf.DUMMYFUNCTION("""COMPUTED_VALUE"""),"Engineered/Advanced")</f>
        <v>Engineered/Advanced</v>
      </c>
      <c r="G219" s="8" t="str">
        <f>IFERROR(__xludf.DUMMYFUNCTION("""COMPUTED_VALUE"""),"Recycled/Waste")</f>
        <v>Recycled/Waste</v>
      </c>
      <c r="H219" s="8" t="str">
        <f>IFERROR(__xludf.DUMMYFUNCTION("""COMPUTED_VALUE"""),"Hybrid")</f>
        <v>Hybrid</v>
      </c>
    </row>
    <row r="220">
      <c r="A220" s="8" t="s">
        <v>178</v>
      </c>
      <c r="B220" s="8" t="str">
        <f>IFERROR(__xludf.DUMMYFUNCTION("""COMPUTED_VALUE"""),"Not applicable")</f>
        <v>Not applicable</v>
      </c>
      <c r="C220" s="8"/>
      <c r="D220" s="8"/>
      <c r="E220" s="8"/>
      <c r="F220" s="8"/>
      <c r="G220" s="8"/>
      <c r="H220" s="8"/>
    </row>
    <row r="221">
      <c r="A221" s="8" t="s">
        <v>151</v>
      </c>
      <c r="B221" s="8" t="str">
        <f>IFERROR(__xludf.DUMMYFUNCTION("""COMPUTED_VALUE"""),"Concrete")</f>
        <v>Concrete</v>
      </c>
      <c r="C221" s="8" t="str">
        <f>IFERROR(__xludf.DUMMYFUNCTION("""COMPUTED_VALUE"""),"Tires")</f>
        <v>Tires</v>
      </c>
      <c r="D221" s="8" t="str">
        <f>IFERROR(__xludf.DUMMYFUNCTION("""COMPUTED_VALUE"""),"Natural")</f>
        <v>Natural</v>
      </c>
      <c r="E221" s="8" t="str">
        <f>IFERROR(__xludf.DUMMYFUNCTION("""COMPUTED_VALUE"""),"Metal/Wreck")</f>
        <v>Metal/Wreck</v>
      </c>
      <c r="F221" s="8" t="str">
        <f>IFERROR(__xludf.DUMMYFUNCTION("""COMPUTED_VALUE"""),"Engineered/Advanced")</f>
        <v>Engineered/Advanced</v>
      </c>
      <c r="G221" s="8" t="str">
        <f>IFERROR(__xludf.DUMMYFUNCTION("""COMPUTED_VALUE"""),"Recycled/Waste")</f>
        <v>Recycled/Waste</v>
      </c>
      <c r="H221" s="8" t="str">
        <f>IFERROR(__xludf.DUMMYFUNCTION("""COMPUTED_VALUE"""),"Hybrid")</f>
        <v>Hybrid</v>
      </c>
    </row>
    <row r="222">
      <c r="A222" s="8" t="s">
        <v>151</v>
      </c>
      <c r="B222" s="8" t="str">
        <f>IFERROR(__xludf.DUMMYFUNCTION("""COMPUTED_VALUE"""),"Concrete")</f>
        <v>Concrete</v>
      </c>
      <c r="C222" s="8" t="str">
        <f>IFERROR(__xludf.DUMMYFUNCTION("""COMPUTED_VALUE"""),"Tires")</f>
        <v>Tires</v>
      </c>
      <c r="D222" s="8" t="str">
        <f>IFERROR(__xludf.DUMMYFUNCTION("""COMPUTED_VALUE"""),"Natural")</f>
        <v>Natural</v>
      </c>
      <c r="E222" s="8" t="str">
        <f>IFERROR(__xludf.DUMMYFUNCTION("""COMPUTED_VALUE"""),"Metal/Wreck")</f>
        <v>Metal/Wreck</v>
      </c>
      <c r="F222" s="8" t="str">
        <f>IFERROR(__xludf.DUMMYFUNCTION("""COMPUTED_VALUE"""),"Engineered/Advanced")</f>
        <v>Engineered/Advanced</v>
      </c>
      <c r="G222" s="8" t="str">
        <f>IFERROR(__xludf.DUMMYFUNCTION("""COMPUTED_VALUE"""),"Recycled/Waste")</f>
        <v>Recycled/Waste</v>
      </c>
      <c r="H222" s="8" t="str">
        <f>IFERROR(__xludf.DUMMYFUNCTION("""COMPUTED_VALUE"""),"Hybrid")</f>
        <v>Hybrid</v>
      </c>
    </row>
    <row r="223">
      <c r="A223" s="8" t="s">
        <v>151</v>
      </c>
      <c r="B223" s="8" t="str">
        <f>IFERROR(__xludf.DUMMYFUNCTION("""COMPUTED_VALUE"""),"Concrete")</f>
        <v>Concrete</v>
      </c>
      <c r="C223" s="8" t="str">
        <f>IFERROR(__xludf.DUMMYFUNCTION("""COMPUTED_VALUE"""),"Tires")</f>
        <v>Tires</v>
      </c>
      <c r="D223" s="8" t="str">
        <f>IFERROR(__xludf.DUMMYFUNCTION("""COMPUTED_VALUE"""),"Natural")</f>
        <v>Natural</v>
      </c>
      <c r="E223" s="8" t="str">
        <f>IFERROR(__xludf.DUMMYFUNCTION("""COMPUTED_VALUE"""),"Metal/Wreck")</f>
        <v>Metal/Wreck</v>
      </c>
      <c r="F223" s="8" t="str">
        <f>IFERROR(__xludf.DUMMYFUNCTION("""COMPUTED_VALUE"""),"Engineered/Advanced")</f>
        <v>Engineered/Advanced</v>
      </c>
      <c r="G223" s="8" t="str">
        <f>IFERROR(__xludf.DUMMYFUNCTION("""COMPUTED_VALUE"""),"Recycled/Waste")</f>
        <v>Recycled/Waste</v>
      </c>
      <c r="H223" s="8" t="str">
        <f>IFERROR(__xludf.DUMMYFUNCTION("""COMPUTED_VALUE"""),"Hybrid")</f>
        <v>Hybrid</v>
      </c>
    </row>
    <row r="224">
      <c r="A224" s="8" t="s">
        <v>151</v>
      </c>
      <c r="B224" s="8" t="str">
        <f>IFERROR(__xludf.DUMMYFUNCTION("""COMPUTED_VALUE"""),"Concrete")</f>
        <v>Concrete</v>
      </c>
      <c r="C224" s="8" t="str">
        <f>IFERROR(__xludf.DUMMYFUNCTION("""COMPUTED_VALUE"""),"Tires")</f>
        <v>Tires</v>
      </c>
      <c r="D224" s="8" t="str">
        <f>IFERROR(__xludf.DUMMYFUNCTION("""COMPUTED_VALUE"""),"Natural")</f>
        <v>Natural</v>
      </c>
      <c r="E224" s="8" t="str">
        <f>IFERROR(__xludf.DUMMYFUNCTION("""COMPUTED_VALUE"""),"Metal/Wreck")</f>
        <v>Metal/Wreck</v>
      </c>
      <c r="F224" s="8" t="str">
        <f>IFERROR(__xludf.DUMMYFUNCTION("""COMPUTED_VALUE"""),"Engineered/Advanced")</f>
        <v>Engineered/Advanced</v>
      </c>
      <c r="G224" s="8" t="str">
        <f>IFERROR(__xludf.DUMMYFUNCTION("""COMPUTED_VALUE"""),"Recycled/Waste")</f>
        <v>Recycled/Waste</v>
      </c>
      <c r="H224" s="8" t="str">
        <f>IFERROR(__xludf.DUMMYFUNCTION("""COMPUTED_VALUE"""),"Hybrid")</f>
        <v>Hybrid</v>
      </c>
    </row>
    <row r="225">
      <c r="A225" s="8" t="s">
        <v>151</v>
      </c>
      <c r="B225" s="8" t="str">
        <f>IFERROR(__xludf.DUMMYFUNCTION("""COMPUTED_VALUE"""),"Concrete")</f>
        <v>Concrete</v>
      </c>
      <c r="C225" s="8" t="str">
        <f>IFERROR(__xludf.DUMMYFUNCTION("""COMPUTED_VALUE"""),"Tires")</f>
        <v>Tires</v>
      </c>
      <c r="D225" s="8" t="str">
        <f>IFERROR(__xludf.DUMMYFUNCTION("""COMPUTED_VALUE"""),"Natural")</f>
        <v>Natural</v>
      </c>
      <c r="E225" s="8" t="str">
        <f>IFERROR(__xludf.DUMMYFUNCTION("""COMPUTED_VALUE"""),"Metal/Wreck")</f>
        <v>Metal/Wreck</v>
      </c>
      <c r="F225" s="8" t="str">
        <f>IFERROR(__xludf.DUMMYFUNCTION("""COMPUTED_VALUE"""),"Engineered/Advanced")</f>
        <v>Engineered/Advanced</v>
      </c>
      <c r="G225" s="8" t="str">
        <f>IFERROR(__xludf.DUMMYFUNCTION("""COMPUTED_VALUE"""),"Recycled/Waste")</f>
        <v>Recycled/Waste</v>
      </c>
      <c r="H225" s="8" t="str">
        <f>IFERROR(__xludf.DUMMYFUNCTION("""COMPUTED_VALUE"""),"Hybrid")</f>
        <v>Hybrid</v>
      </c>
    </row>
    <row r="226">
      <c r="A226" s="8" t="s">
        <v>151</v>
      </c>
      <c r="B226" s="8" t="str">
        <f>IFERROR(__xludf.DUMMYFUNCTION("""COMPUTED_VALUE"""),"Concrete")</f>
        <v>Concrete</v>
      </c>
      <c r="C226" s="8" t="str">
        <f>IFERROR(__xludf.DUMMYFUNCTION("""COMPUTED_VALUE"""),"Tires")</f>
        <v>Tires</v>
      </c>
      <c r="D226" s="8" t="str">
        <f>IFERROR(__xludf.DUMMYFUNCTION("""COMPUTED_VALUE"""),"Natural")</f>
        <v>Natural</v>
      </c>
      <c r="E226" s="8" t="str">
        <f>IFERROR(__xludf.DUMMYFUNCTION("""COMPUTED_VALUE"""),"Metal/Wreck")</f>
        <v>Metal/Wreck</v>
      </c>
      <c r="F226" s="8" t="str">
        <f>IFERROR(__xludf.DUMMYFUNCTION("""COMPUTED_VALUE"""),"Engineered/Advanced")</f>
        <v>Engineered/Advanced</v>
      </c>
      <c r="G226" s="8" t="str">
        <f>IFERROR(__xludf.DUMMYFUNCTION("""COMPUTED_VALUE"""),"Recycled/Waste")</f>
        <v>Recycled/Waste</v>
      </c>
      <c r="H226" s="8" t="str">
        <f>IFERROR(__xludf.DUMMYFUNCTION("""COMPUTED_VALUE"""),"Hybrid")</f>
        <v>Hybrid</v>
      </c>
    </row>
    <row r="227">
      <c r="A227" s="8" t="s">
        <v>151</v>
      </c>
      <c r="B227" s="8" t="str">
        <f>IFERROR(__xludf.DUMMYFUNCTION("""COMPUTED_VALUE"""),"Concrete")</f>
        <v>Concrete</v>
      </c>
      <c r="C227" s="8" t="str">
        <f>IFERROR(__xludf.DUMMYFUNCTION("""COMPUTED_VALUE"""),"Tires")</f>
        <v>Tires</v>
      </c>
      <c r="D227" s="8" t="str">
        <f>IFERROR(__xludf.DUMMYFUNCTION("""COMPUTED_VALUE"""),"Natural")</f>
        <v>Natural</v>
      </c>
      <c r="E227" s="8" t="str">
        <f>IFERROR(__xludf.DUMMYFUNCTION("""COMPUTED_VALUE"""),"Metal/Wreck")</f>
        <v>Metal/Wreck</v>
      </c>
      <c r="F227" s="8" t="str">
        <f>IFERROR(__xludf.DUMMYFUNCTION("""COMPUTED_VALUE"""),"Engineered/Advanced")</f>
        <v>Engineered/Advanced</v>
      </c>
      <c r="G227" s="8" t="str">
        <f>IFERROR(__xludf.DUMMYFUNCTION("""COMPUTED_VALUE"""),"Recycled/Waste")</f>
        <v>Recycled/Waste</v>
      </c>
      <c r="H227" s="8" t="str">
        <f>IFERROR(__xludf.DUMMYFUNCTION("""COMPUTED_VALUE"""),"Hybrid")</f>
        <v>Hybrid</v>
      </c>
    </row>
    <row r="228">
      <c r="A228" s="8" t="s">
        <v>319</v>
      </c>
      <c r="B228" s="8" t="str">
        <f>IFERROR(__xludf.DUMMYFUNCTION("""COMPUTED_VALUE"""),"Not applicable")</f>
        <v>Not applicable</v>
      </c>
      <c r="C228" s="8"/>
      <c r="D228" s="8"/>
      <c r="E228" s="8"/>
      <c r="F228" s="8"/>
      <c r="G228" s="8"/>
      <c r="H228" s="8"/>
    </row>
    <row r="229">
      <c r="A229" s="8" t="s">
        <v>151</v>
      </c>
      <c r="B229" s="8" t="str">
        <f>IFERROR(__xludf.DUMMYFUNCTION("""COMPUTED_VALUE"""),"Concrete")</f>
        <v>Concrete</v>
      </c>
      <c r="C229" s="8" t="str">
        <f>IFERROR(__xludf.DUMMYFUNCTION("""COMPUTED_VALUE"""),"Tires")</f>
        <v>Tires</v>
      </c>
      <c r="D229" s="8" t="str">
        <f>IFERROR(__xludf.DUMMYFUNCTION("""COMPUTED_VALUE"""),"Natural")</f>
        <v>Natural</v>
      </c>
      <c r="E229" s="8" t="str">
        <f>IFERROR(__xludf.DUMMYFUNCTION("""COMPUTED_VALUE"""),"Metal/Wreck")</f>
        <v>Metal/Wreck</v>
      </c>
      <c r="F229" s="8" t="str">
        <f>IFERROR(__xludf.DUMMYFUNCTION("""COMPUTED_VALUE"""),"Engineered/Advanced")</f>
        <v>Engineered/Advanced</v>
      </c>
      <c r="G229" s="8" t="str">
        <f>IFERROR(__xludf.DUMMYFUNCTION("""COMPUTED_VALUE"""),"Recycled/Waste")</f>
        <v>Recycled/Waste</v>
      </c>
      <c r="H229" s="8" t="str">
        <f>IFERROR(__xludf.DUMMYFUNCTION("""COMPUTED_VALUE"""),"Hybrid")</f>
        <v>Hybrid</v>
      </c>
    </row>
    <row r="230">
      <c r="A230" s="8" t="s">
        <v>151</v>
      </c>
      <c r="B230" s="8" t="str">
        <f>IFERROR(__xludf.DUMMYFUNCTION("""COMPUTED_VALUE"""),"Concrete")</f>
        <v>Concrete</v>
      </c>
      <c r="C230" s="8" t="str">
        <f>IFERROR(__xludf.DUMMYFUNCTION("""COMPUTED_VALUE"""),"Tires")</f>
        <v>Tires</v>
      </c>
      <c r="D230" s="8" t="str">
        <f>IFERROR(__xludf.DUMMYFUNCTION("""COMPUTED_VALUE"""),"Natural")</f>
        <v>Natural</v>
      </c>
      <c r="E230" s="8" t="str">
        <f>IFERROR(__xludf.DUMMYFUNCTION("""COMPUTED_VALUE"""),"Metal/Wreck")</f>
        <v>Metal/Wreck</v>
      </c>
      <c r="F230" s="8" t="str">
        <f>IFERROR(__xludf.DUMMYFUNCTION("""COMPUTED_VALUE"""),"Engineered/Advanced")</f>
        <v>Engineered/Advanced</v>
      </c>
      <c r="G230" s="8" t="str">
        <f>IFERROR(__xludf.DUMMYFUNCTION("""COMPUTED_VALUE"""),"Recycled/Waste")</f>
        <v>Recycled/Waste</v>
      </c>
      <c r="H230" s="8" t="str">
        <f>IFERROR(__xludf.DUMMYFUNCTION("""COMPUTED_VALUE"""),"Hybrid")</f>
        <v>Hybrid</v>
      </c>
    </row>
    <row r="231">
      <c r="A231" s="8" t="s">
        <v>151</v>
      </c>
      <c r="B231" s="8" t="str">
        <f>IFERROR(__xludf.DUMMYFUNCTION("""COMPUTED_VALUE"""),"Concrete")</f>
        <v>Concrete</v>
      </c>
      <c r="C231" s="8" t="str">
        <f>IFERROR(__xludf.DUMMYFUNCTION("""COMPUTED_VALUE"""),"Tires")</f>
        <v>Tires</v>
      </c>
      <c r="D231" s="8" t="str">
        <f>IFERROR(__xludf.DUMMYFUNCTION("""COMPUTED_VALUE"""),"Natural")</f>
        <v>Natural</v>
      </c>
      <c r="E231" s="8" t="str">
        <f>IFERROR(__xludf.DUMMYFUNCTION("""COMPUTED_VALUE"""),"Metal/Wreck")</f>
        <v>Metal/Wreck</v>
      </c>
      <c r="F231" s="8" t="str">
        <f>IFERROR(__xludf.DUMMYFUNCTION("""COMPUTED_VALUE"""),"Engineered/Advanced")</f>
        <v>Engineered/Advanced</v>
      </c>
      <c r="G231" s="8" t="str">
        <f>IFERROR(__xludf.DUMMYFUNCTION("""COMPUTED_VALUE"""),"Recycled/Waste")</f>
        <v>Recycled/Waste</v>
      </c>
      <c r="H231" s="8" t="str">
        <f>IFERROR(__xludf.DUMMYFUNCTION("""COMPUTED_VALUE"""),"Hybrid")</f>
        <v>Hybrid</v>
      </c>
    </row>
    <row r="232">
      <c r="A232" s="8" t="s">
        <v>151</v>
      </c>
      <c r="B232" s="8" t="str">
        <f>IFERROR(__xludf.DUMMYFUNCTION("""COMPUTED_VALUE"""),"Concrete")</f>
        <v>Concrete</v>
      </c>
      <c r="C232" s="8" t="str">
        <f>IFERROR(__xludf.DUMMYFUNCTION("""COMPUTED_VALUE"""),"Tires")</f>
        <v>Tires</v>
      </c>
      <c r="D232" s="8" t="str">
        <f>IFERROR(__xludf.DUMMYFUNCTION("""COMPUTED_VALUE"""),"Natural")</f>
        <v>Natural</v>
      </c>
      <c r="E232" s="8" t="str">
        <f>IFERROR(__xludf.DUMMYFUNCTION("""COMPUTED_VALUE"""),"Metal/Wreck")</f>
        <v>Metal/Wreck</v>
      </c>
      <c r="F232" s="8" t="str">
        <f>IFERROR(__xludf.DUMMYFUNCTION("""COMPUTED_VALUE"""),"Engineered/Advanced")</f>
        <v>Engineered/Advanced</v>
      </c>
      <c r="G232" s="8" t="str">
        <f>IFERROR(__xludf.DUMMYFUNCTION("""COMPUTED_VALUE"""),"Recycled/Waste")</f>
        <v>Recycled/Waste</v>
      </c>
      <c r="H232" s="8" t="str">
        <f>IFERROR(__xludf.DUMMYFUNCTION("""COMPUTED_VALUE"""),"Hybrid")</f>
        <v>Hybrid</v>
      </c>
    </row>
    <row r="233">
      <c r="A233" s="8" t="s">
        <v>151</v>
      </c>
      <c r="B233" s="8" t="str">
        <f>IFERROR(__xludf.DUMMYFUNCTION("""COMPUTED_VALUE"""),"Concrete")</f>
        <v>Concrete</v>
      </c>
      <c r="C233" s="8" t="str">
        <f>IFERROR(__xludf.DUMMYFUNCTION("""COMPUTED_VALUE"""),"Tires")</f>
        <v>Tires</v>
      </c>
      <c r="D233" s="8" t="str">
        <f>IFERROR(__xludf.DUMMYFUNCTION("""COMPUTED_VALUE"""),"Natural")</f>
        <v>Natural</v>
      </c>
      <c r="E233" s="8" t="str">
        <f>IFERROR(__xludf.DUMMYFUNCTION("""COMPUTED_VALUE"""),"Metal/Wreck")</f>
        <v>Metal/Wreck</v>
      </c>
      <c r="F233" s="8" t="str">
        <f>IFERROR(__xludf.DUMMYFUNCTION("""COMPUTED_VALUE"""),"Engineered/Advanced")</f>
        <v>Engineered/Advanced</v>
      </c>
      <c r="G233" s="8" t="str">
        <f>IFERROR(__xludf.DUMMYFUNCTION("""COMPUTED_VALUE"""),"Recycled/Waste")</f>
        <v>Recycled/Waste</v>
      </c>
      <c r="H233" s="8" t="str">
        <f>IFERROR(__xludf.DUMMYFUNCTION("""COMPUTED_VALUE"""),"Hybrid")</f>
        <v>Hybrid</v>
      </c>
    </row>
    <row r="234">
      <c r="A234" s="8" t="s">
        <v>151</v>
      </c>
      <c r="B234" s="8" t="str">
        <f>IFERROR(__xludf.DUMMYFUNCTION("""COMPUTED_VALUE"""),"Concrete")</f>
        <v>Concrete</v>
      </c>
      <c r="C234" s="8" t="str">
        <f>IFERROR(__xludf.DUMMYFUNCTION("""COMPUTED_VALUE"""),"Tires")</f>
        <v>Tires</v>
      </c>
      <c r="D234" s="8" t="str">
        <f>IFERROR(__xludf.DUMMYFUNCTION("""COMPUTED_VALUE"""),"Natural")</f>
        <v>Natural</v>
      </c>
      <c r="E234" s="8" t="str">
        <f>IFERROR(__xludf.DUMMYFUNCTION("""COMPUTED_VALUE"""),"Metal/Wreck")</f>
        <v>Metal/Wreck</v>
      </c>
      <c r="F234" s="8" t="str">
        <f>IFERROR(__xludf.DUMMYFUNCTION("""COMPUTED_VALUE"""),"Engineered/Advanced")</f>
        <v>Engineered/Advanced</v>
      </c>
      <c r="G234" s="8" t="str">
        <f>IFERROR(__xludf.DUMMYFUNCTION("""COMPUTED_VALUE"""),"Recycled/Waste")</f>
        <v>Recycled/Waste</v>
      </c>
      <c r="H234" s="8" t="str">
        <f>IFERROR(__xludf.DUMMYFUNCTION("""COMPUTED_VALUE"""),"Hybrid")</f>
        <v>Hybrid</v>
      </c>
    </row>
    <row r="235">
      <c r="A235" s="8" t="s">
        <v>151</v>
      </c>
      <c r="B235" s="8" t="str">
        <f>IFERROR(__xludf.DUMMYFUNCTION("""COMPUTED_VALUE"""),"Concrete")</f>
        <v>Concrete</v>
      </c>
      <c r="C235" s="8" t="str">
        <f>IFERROR(__xludf.DUMMYFUNCTION("""COMPUTED_VALUE"""),"Tires")</f>
        <v>Tires</v>
      </c>
      <c r="D235" s="8" t="str">
        <f>IFERROR(__xludf.DUMMYFUNCTION("""COMPUTED_VALUE"""),"Natural")</f>
        <v>Natural</v>
      </c>
      <c r="E235" s="8" t="str">
        <f>IFERROR(__xludf.DUMMYFUNCTION("""COMPUTED_VALUE"""),"Metal/Wreck")</f>
        <v>Metal/Wreck</v>
      </c>
      <c r="F235" s="8" t="str">
        <f>IFERROR(__xludf.DUMMYFUNCTION("""COMPUTED_VALUE"""),"Engineered/Advanced")</f>
        <v>Engineered/Advanced</v>
      </c>
      <c r="G235" s="8" t="str">
        <f>IFERROR(__xludf.DUMMYFUNCTION("""COMPUTED_VALUE"""),"Recycled/Waste")</f>
        <v>Recycled/Waste</v>
      </c>
      <c r="H235" s="8" t="str">
        <f>IFERROR(__xludf.DUMMYFUNCTION("""COMPUTED_VALUE"""),"Hybrid")</f>
        <v>Hybrid</v>
      </c>
    </row>
    <row r="236">
      <c r="A236" s="8" t="s">
        <v>151</v>
      </c>
      <c r="B236" s="8" t="str">
        <f>IFERROR(__xludf.DUMMYFUNCTION("""COMPUTED_VALUE"""),"Concrete")</f>
        <v>Concrete</v>
      </c>
      <c r="C236" s="8" t="str">
        <f>IFERROR(__xludf.DUMMYFUNCTION("""COMPUTED_VALUE"""),"Tires")</f>
        <v>Tires</v>
      </c>
      <c r="D236" s="8" t="str">
        <f>IFERROR(__xludf.DUMMYFUNCTION("""COMPUTED_VALUE"""),"Natural")</f>
        <v>Natural</v>
      </c>
      <c r="E236" s="8" t="str">
        <f>IFERROR(__xludf.DUMMYFUNCTION("""COMPUTED_VALUE"""),"Metal/Wreck")</f>
        <v>Metal/Wreck</v>
      </c>
      <c r="F236" s="8" t="str">
        <f>IFERROR(__xludf.DUMMYFUNCTION("""COMPUTED_VALUE"""),"Engineered/Advanced")</f>
        <v>Engineered/Advanced</v>
      </c>
      <c r="G236" s="8" t="str">
        <f>IFERROR(__xludf.DUMMYFUNCTION("""COMPUTED_VALUE"""),"Recycled/Waste")</f>
        <v>Recycled/Waste</v>
      </c>
      <c r="H236" s="8" t="str">
        <f>IFERROR(__xludf.DUMMYFUNCTION("""COMPUTED_VALUE"""),"Hybrid")</f>
        <v>Hybrid</v>
      </c>
    </row>
    <row r="237">
      <c r="A237" s="8" t="s">
        <v>319</v>
      </c>
      <c r="B237" s="8" t="str">
        <f>IFERROR(__xludf.DUMMYFUNCTION("""COMPUTED_VALUE"""),"Not applicable")</f>
        <v>Not applicable</v>
      </c>
      <c r="C237" s="8"/>
      <c r="D237" s="8"/>
      <c r="E237" s="8"/>
      <c r="F237" s="8"/>
      <c r="G237" s="8"/>
      <c r="H237" s="8"/>
    </row>
    <row r="238">
      <c r="A238" s="8" t="s">
        <v>319</v>
      </c>
      <c r="B238" s="8" t="str">
        <f>IFERROR(__xludf.DUMMYFUNCTION("""COMPUTED_VALUE"""),"Not applicable")</f>
        <v>Not applicable</v>
      </c>
      <c r="C238" s="8"/>
      <c r="D238" s="8"/>
      <c r="E238" s="8"/>
      <c r="F238" s="8"/>
      <c r="G238" s="8"/>
      <c r="H238" s="8"/>
    </row>
    <row r="239">
      <c r="A239" s="8" t="s">
        <v>319</v>
      </c>
      <c r="B239" s="8" t="str">
        <f>IFERROR(__xludf.DUMMYFUNCTION("""COMPUTED_VALUE"""),"Not applicable")</f>
        <v>Not applicable</v>
      </c>
      <c r="C239" s="8"/>
      <c r="D239" s="8"/>
      <c r="E239" s="8"/>
      <c r="F239" s="8"/>
      <c r="G239" s="8"/>
      <c r="H239" s="8"/>
    </row>
    <row r="240">
      <c r="A240" s="8" t="s">
        <v>319</v>
      </c>
      <c r="B240" s="8" t="str">
        <f>IFERROR(__xludf.DUMMYFUNCTION("""COMPUTED_VALUE"""),"Not applicable")</f>
        <v>Not applicable</v>
      </c>
      <c r="C240" s="8"/>
      <c r="D240" s="8"/>
      <c r="E240" s="8"/>
      <c r="F240" s="8"/>
      <c r="G240" s="8"/>
      <c r="H240" s="8"/>
    </row>
    <row r="241">
      <c r="A241" s="8" t="s">
        <v>319</v>
      </c>
      <c r="B241" s="8" t="str">
        <f>IFERROR(__xludf.DUMMYFUNCTION("""COMPUTED_VALUE"""),"Not applicable")</f>
        <v>Not applicable</v>
      </c>
      <c r="C241" s="8"/>
      <c r="D241" s="8"/>
      <c r="E241" s="8"/>
      <c r="F241" s="8"/>
      <c r="G241" s="8"/>
      <c r="H241" s="8"/>
    </row>
    <row r="242">
      <c r="A242" s="8" t="s">
        <v>319</v>
      </c>
      <c r="B242" s="8" t="str">
        <f>IFERROR(__xludf.DUMMYFUNCTION("""COMPUTED_VALUE"""),"Not applicable")</f>
        <v>Not applicable</v>
      </c>
      <c r="C242" s="8"/>
      <c r="D242" s="8"/>
      <c r="E242" s="8"/>
      <c r="F242" s="8"/>
      <c r="G242" s="8"/>
      <c r="H242" s="8"/>
    </row>
    <row r="243">
      <c r="A243" s="8" t="s">
        <v>319</v>
      </c>
      <c r="B243" s="8" t="str">
        <f>IFERROR(__xludf.DUMMYFUNCTION("""COMPUTED_VALUE"""),"Not applicable")</f>
        <v>Not applicable</v>
      </c>
      <c r="C243" s="8"/>
      <c r="D243" s="8"/>
      <c r="E243" s="8"/>
      <c r="F243" s="8"/>
      <c r="G243" s="8"/>
      <c r="H243" s="8"/>
    </row>
    <row r="244">
      <c r="A244" s="8" t="s">
        <v>149</v>
      </c>
      <c r="B244" s="8" t="str">
        <f>IFERROR(__xludf.DUMMYFUNCTION("""COMPUTED_VALUE"""),"Unknown")</f>
        <v>Unknown</v>
      </c>
      <c r="C244" s="8"/>
      <c r="D244" s="8"/>
      <c r="E244" s="8"/>
      <c r="F244" s="8"/>
      <c r="G244" s="8"/>
      <c r="H244" s="8"/>
    </row>
    <row r="245">
      <c r="A245" s="8" t="s">
        <v>149</v>
      </c>
      <c r="B245" s="8" t="str">
        <f>IFERROR(__xludf.DUMMYFUNCTION("""COMPUTED_VALUE"""),"Unknown")</f>
        <v>Unknown</v>
      </c>
      <c r="C245" s="8"/>
      <c r="D245" s="8"/>
      <c r="E245" s="8"/>
      <c r="F245" s="8"/>
      <c r="G245" s="8"/>
      <c r="H245" s="8"/>
    </row>
    <row r="246">
      <c r="A246" s="8" t="s">
        <v>151</v>
      </c>
      <c r="B246" s="8" t="str">
        <f>IFERROR(__xludf.DUMMYFUNCTION("""COMPUTED_VALUE"""),"Concrete")</f>
        <v>Concrete</v>
      </c>
      <c r="C246" s="8" t="str">
        <f>IFERROR(__xludf.DUMMYFUNCTION("""COMPUTED_VALUE"""),"Tires")</f>
        <v>Tires</v>
      </c>
      <c r="D246" s="8" t="str">
        <f>IFERROR(__xludf.DUMMYFUNCTION("""COMPUTED_VALUE"""),"Natural")</f>
        <v>Natural</v>
      </c>
      <c r="E246" s="8" t="str">
        <f>IFERROR(__xludf.DUMMYFUNCTION("""COMPUTED_VALUE"""),"Metal/Wreck")</f>
        <v>Metal/Wreck</v>
      </c>
      <c r="F246" s="8" t="str">
        <f>IFERROR(__xludf.DUMMYFUNCTION("""COMPUTED_VALUE"""),"Engineered/Advanced")</f>
        <v>Engineered/Advanced</v>
      </c>
      <c r="G246" s="8" t="str">
        <f>IFERROR(__xludf.DUMMYFUNCTION("""COMPUTED_VALUE"""),"Recycled/Waste")</f>
        <v>Recycled/Waste</v>
      </c>
      <c r="H246" s="8" t="str">
        <f>IFERROR(__xludf.DUMMYFUNCTION("""COMPUTED_VALUE"""),"Hybrid")</f>
        <v>Hybrid</v>
      </c>
    </row>
    <row r="247">
      <c r="A247" s="8" t="s">
        <v>151</v>
      </c>
      <c r="B247" s="8" t="str">
        <f>IFERROR(__xludf.DUMMYFUNCTION("""COMPUTED_VALUE"""),"Concrete")</f>
        <v>Concrete</v>
      </c>
      <c r="C247" s="8" t="str">
        <f>IFERROR(__xludf.DUMMYFUNCTION("""COMPUTED_VALUE"""),"Tires")</f>
        <v>Tires</v>
      </c>
      <c r="D247" s="8" t="str">
        <f>IFERROR(__xludf.DUMMYFUNCTION("""COMPUTED_VALUE"""),"Natural")</f>
        <v>Natural</v>
      </c>
      <c r="E247" s="8" t="str">
        <f>IFERROR(__xludf.DUMMYFUNCTION("""COMPUTED_VALUE"""),"Metal/Wreck")</f>
        <v>Metal/Wreck</v>
      </c>
      <c r="F247" s="8" t="str">
        <f>IFERROR(__xludf.DUMMYFUNCTION("""COMPUTED_VALUE"""),"Engineered/Advanced")</f>
        <v>Engineered/Advanced</v>
      </c>
      <c r="G247" s="8" t="str">
        <f>IFERROR(__xludf.DUMMYFUNCTION("""COMPUTED_VALUE"""),"Recycled/Waste")</f>
        <v>Recycled/Waste</v>
      </c>
      <c r="H247" s="8" t="str">
        <f>IFERROR(__xludf.DUMMYFUNCTION("""COMPUTED_VALUE"""),"Hybrid")</f>
        <v>Hybrid</v>
      </c>
    </row>
    <row r="248">
      <c r="A248" s="8" t="s">
        <v>151</v>
      </c>
      <c r="B248" s="8" t="str">
        <f>IFERROR(__xludf.DUMMYFUNCTION("""COMPUTED_VALUE"""),"Concrete")</f>
        <v>Concrete</v>
      </c>
      <c r="C248" s="8" t="str">
        <f>IFERROR(__xludf.DUMMYFUNCTION("""COMPUTED_VALUE"""),"Tires")</f>
        <v>Tires</v>
      </c>
      <c r="D248" s="8" t="str">
        <f>IFERROR(__xludf.DUMMYFUNCTION("""COMPUTED_VALUE"""),"Natural")</f>
        <v>Natural</v>
      </c>
      <c r="E248" s="8" t="str">
        <f>IFERROR(__xludf.DUMMYFUNCTION("""COMPUTED_VALUE"""),"Metal/Wreck")</f>
        <v>Metal/Wreck</v>
      </c>
      <c r="F248" s="8" t="str">
        <f>IFERROR(__xludf.DUMMYFUNCTION("""COMPUTED_VALUE"""),"Engineered/Advanced")</f>
        <v>Engineered/Advanced</v>
      </c>
      <c r="G248" s="8" t="str">
        <f>IFERROR(__xludf.DUMMYFUNCTION("""COMPUTED_VALUE"""),"Recycled/Waste")</f>
        <v>Recycled/Waste</v>
      </c>
      <c r="H248" s="8" t="str">
        <f>IFERROR(__xludf.DUMMYFUNCTION("""COMPUTED_VALUE"""),"Hybrid")</f>
        <v>Hybrid</v>
      </c>
    </row>
    <row r="249">
      <c r="A249" s="8" t="s">
        <v>151</v>
      </c>
      <c r="B249" s="8" t="str">
        <f>IFERROR(__xludf.DUMMYFUNCTION("""COMPUTED_VALUE"""),"Concrete")</f>
        <v>Concrete</v>
      </c>
      <c r="C249" s="8" t="str">
        <f>IFERROR(__xludf.DUMMYFUNCTION("""COMPUTED_VALUE"""),"Tires")</f>
        <v>Tires</v>
      </c>
      <c r="D249" s="8" t="str">
        <f>IFERROR(__xludf.DUMMYFUNCTION("""COMPUTED_VALUE"""),"Natural")</f>
        <v>Natural</v>
      </c>
      <c r="E249" s="8" t="str">
        <f>IFERROR(__xludf.DUMMYFUNCTION("""COMPUTED_VALUE"""),"Metal/Wreck")</f>
        <v>Metal/Wreck</v>
      </c>
      <c r="F249" s="8" t="str">
        <f>IFERROR(__xludf.DUMMYFUNCTION("""COMPUTED_VALUE"""),"Engineered/Advanced")</f>
        <v>Engineered/Advanced</v>
      </c>
      <c r="G249" s="8" t="str">
        <f>IFERROR(__xludf.DUMMYFUNCTION("""COMPUTED_VALUE"""),"Recycled/Waste")</f>
        <v>Recycled/Waste</v>
      </c>
      <c r="H249" s="8" t="str">
        <f>IFERROR(__xludf.DUMMYFUNCTION("""COMPUTED_VALUE"""),"Hybrid")</f>
        <v>Hybrid</v>
      </c>
    </row>
    <row r="250">
      <c r="A250" s="8" t="s">
        <v>151</v>
      </c>
      <c r="B250" s="8" t="str">
        <f>IFERROR(__xludf.DUMMYFUNCTION("""COMPUTED_VALUE"""),"Concrete")</f>
        <v>Concrete</v>
      </c>
      <c r="C250" s="8" t="str">
        <f>IFERROR(__xludf.DUMMYFUNCTION("""COMPUTED_VALUE"""),"Tires")</f>
        <v>Tires</v>
      </c>
      <c r="D250" s="8" t="str">
        <f>IFERROR(__xludf.DUMMYFUNCTION("""COMPUTED_VALUE"""),"Natural")</f>
        <v>Natural</v>
      </c>
      <c r="E250" s="8" t="str">
        <f>IFERROR(__xludf.DUMMYFUNCTION("""COMPUTED_VALUE"""),"Metal/Wreck")</f>
        <v>Metal/Wreck</v>
      </c>
      <c r="F250" s="8" t="str">
        <f>IFERROR(__xludf.DUMMYFUNCTION("""COMPUTED_VALUE"""),"Engineered/Advanced")</f>
        <v>Engineered/Advanced</v>
      </c>
      <c r="G250" s="8" t="str">
        <f>IFERROR(__xludf.DUMMYFUNCTION("""COMPUTED_VALUE"""),"Recycled/Waste")</f>
        <v>Recycled/Waste</v>
      </c>
      <c r="H250" s="8" t="str">
        <f>IFERROR(__xludf.DUMMYFUNCTION("""COMPUTED_VALUE"""),"Hybrid")</f>
        <v>Hybrid</v>
      </c>
    </row>
    <row r="251">
      <c r="A251" s="8" t="s">
        <v>151</v>
      </c>
      <c r="B251" s="8" t="str">
        <f>IFERROR(__xludf.DUMMYFUNCTION("""COMPUTED_VALUE"""),"Concrete")</f>
        <v>Concrete</v>
      </c>
      <c r="C251" s="8" t="str">
        <f>IFERROR(__xludf.DUMMYFUNCTION("""COMPUTED_VALUE"""),"Tires")</f>
        <v>Tires</v>
      </c>
      <c r="D251" s="8" t="str">
        <f>IFERROR(__xludf.DUMMYFUNCTION("""COMPUTED_VALUE"""),"Natural")</f>
        <v>Natural</v>
      </c>
      <c r="E251" s="8" t="str">
        <f>IFERROR(__xludf.DUMMYFUNCTION("""COMPUTED_VALUE"""),"Metal/Wreck")</f>
        <v>Metal/Wreck</v>
      </c>
      <c r="F251" s="8" t="str">
        <f>IFERROR(__xludf.DUMMYFUNCTION("""COMPUTED_VALUE"""),"Engineered/Advanced")</f>
        <v>Engineered/Advanced</v>
      </c>
      <c r="G251" s="8" t="str">
        <f>IFERROR(__xludf.DUMMYFUNCTION("""COMPUTED_VALUE"""),"Recycled/Waste")</f>
        <v>Recycled/Waste</v>
      </c>
      <c r="H251" s="8" t="str">
        <f>IFERROR(__xludf.DUMMYFUNCTION("""COMPUTED_VALUE"""),"Hybrid")</f>
        <v>Hybrid</v>
      </c>
    </row>
    <row r="252">
      <c r="A252" s="8" t="s">
        <v>319</v>
      </c>
      <c r="B252" s="8" t="str">
        <f>IFERROR(__xludf.DUMMYFUNCTION("""COMPUTED_VALUE"""),"Not applicable")</f>
        <v>Not applicable</v>
      </c>
      <c r="C252" s="8"/>
      <c r="D252" s="8"/>
      <c r="E252" s="8"/>
      <c r="F252" s="8"/>
      <c r="G252" s="8"/>
      <c r="H252" s="8"/>
    </row>
    <row r="253">
      <c r="A253" s="8" t="s">
        <v>151</v>
      </c>
      <c r="B253" s="8" t="str">
        <f>IFERROR(__xludf.DUMMYFUNCTION("""COMPUTED_VALUE"""),"Concrete")</f>
        <v>Concrete</v>
      </c>
      <c r="C253" s="8" t="str">
        <f>IFERROR(__xludf.DUMMYFUNCTION("""COMPUTED_VALUE"""),"Tires")</f>
        <v>Tires</v>
      </c>
      <c r="D253" s="8" t="str">
        <f>IFERROR(__xludf.DUMMYFUNCTION("""COMPUTED_VALUE"""),"Natural")</f>
        <v>Natural</v>
      </c>
      <c r="E253" s="8" t="str">
        <f>IFERROR(__xludf.DUMMYFUNCTION("""COMPUTED_VALUE"""),"Metal/Wreck")</f>
        <v>Metal/Wreck</v>
      </c>
      <c r="F253" s="8" t="str">
        <f>IFERROR(__xludf.DUMMYFUNCTION("""COMPUTED_VALUE"""),"Engineered/Advanced")</f>
        <v>Engineered/Advanced</v>
      </c>
      <c r="G253" s="8" t="str">
        <f>IFERROR(__xludf.DUMMYFUNCTION("""COMPUTED_VALUE"""),"Recycled/Waste")</f>
        <v>Recycled/Waste</v>
      </c>
      <c r="H253" s="8" t="str">
        <f>IFERROR(__xludf.DUMMYFUNCTION("""COMPUTED_VALUE"""),"Hybrid")</f>
        <v>Hybrid</v>
      </c>
    </row>
    <row r="254">
      <c r="A254" s="8" t="s">
        <v>151</v>
      </c>
      <c r="B254" s="8" t="str">
        <f>IFERROR(__xludf.DUMMYFUNCTION("""COMPUTED_VALUE"""),"Concrete")</f>
        <v>Concrete</v>
      </c>
      <c r="C254" s="8" t="str">
        <f>IFERROR(__xludf.DUMMYFUNCTION("""COMPUTED_VALUE"""),"Tires")</f>
        <v>Tires</v>
      </c>
      <c r="D254" s="8" t="str">
        <f>IFERROR(__xludf.DUMMYFUNCTION("""COMPUTED_VALUE"""),"Natural")</f>
        <v>Natural</v>
      </c>
      <c r="E254" s="8" t="str">
        <f>IFERROR(__xludf.DUMMYFUNCTION("""COMPUTED_VALUE"""),"Metal/Wreck")</f>
        <v>Metal/Wreck</v>
      </c>
      <c r="F254" s="8" t="str">
        <f>IFERROR(__xludf.DUMMYFUNCTION("""COMPUTED_VALUE"""),"Engineered/Advanced")</f>
        <v>Engineered/Advanced</v>
      </c>
      <c r="G254" s="8" t="str">
        <f>IFERROR(__xludf.DUMMYFUNCTION("""COMPUTED_VALUE"""),"Recycled/Waste")</f>
        <v>Recycled/Waste</v>
      </c>
      <c r="H254" s="8" t="str">
        <f>IFERROR(__xludf.DUMMYFUNCTION("""COMPUTED_VALUE"""),"Hybrid")</f>
        <v>Hybrid</v>
      </c>
    </row>
    <row r="255">
      <c r="A255" s="8" t="s">
        <v>151</v>
      </c>
      <c r="B255" s="8" t="str">
        <f>IFERROR(__xludf.DUMMYFUNCTION("""COMPUTED_VALUE"""),"Concrete")</f>
        <v>Concrete</v>
      </c>
      <c r="C255" s="8" t="str">
        <f>IFERROR(__xludf.DUMMYFUNCTION("""COMPUTED_VALUE"""),"Tires")</f>
        <v>Tires</v>
      </c>
      <c r="D255" s="8" t="str">
        <f>IFERROR(__xludf.DUMMYFUNCTION("""COMPUTED_VALUE"""),"Natural")</f>
        <v>Natural</v>
      </c>
      <c r="E255" s="8" t="str">
        <f>IFERROR(__xludf.DUMMYFUNCTION("""COMPUTED_VALUE"""),"Metal/Wreck")</f>
        <v>Metal/Wreck</v>
      </c>
      <c r="F255" s="8" t="str">
        <f>IFERROR(__xludf.DUMMYFUNCTION("""COMPUTED_VALUE"""),"Engineered/Advanced")</f>
        <v>Engineered/Advanced</v>
      </c>
      <c r="G255" s="8" t="str">
        <f>IFERROR(__xludf.DUMMYFUNCTION("""COMPUTED_VALUE"""),"Recycled/Waste")</f>
        <v>Recycled/Waste</v>
      </c>
      <c r="H255" s="8" t="str">
        <f>IFERROR(__xludf.DUMMYFUNCTION("""COMPUTED_VALUE"""),"Hybrid")</f>
        <v>Hybrid</v>
      </c>
    </row>
    <row r="256">
      <c r="A256" s="8" t="s">
        <v>151</v>
      </c>
      <c r="B256" s="8" t="str">
        <f>IFERROR(__xludf.DUMMYFUNCTION("""COMPUTED_VALUE"""),"Concrete")</f>
        <v>Concrete</v>
      </c>
      <c r="C256" s="8" t="str">
        <f>IFERROR(__xludf.DUMMYFUNCTION("""COMPUTED_VALUE"""),"Tires")</f>
        <v>Tires</v>
      </c>
      <c r="D256" s="8" t="str">
        <f>IFERROR(__xludf.DUMMYFUNCTION("""COMPUTED_VALUE"""),"Natural")</f>
        <v>Natural</v>
      </c>
      <c r="E256" s="8" t="str">
        <f>IFERROR(__xludf.DUMMYFUNCTION("""COMPUTED_VALUE"""),"Metal/Wreck")</f>
        <v>Metal/Wreck</v>
      </c>
      <c r="F256" s="8" t="str">
        <f>IFERROR(__xludf.DUMMYFUNCTION("""COMPUTED_VALUE"""),"Engineered/Advanced")</f>
        <v>Engineered/Advanced</v>
      </c>
      <c r="G256" s="8" t="str">
        <f>IFERROR(__xludf.DUMMYFUNCTION("""COMPUTED_VALUE"""),"Recycled/Waste")</f>
        <v>Recycled/Waste</v>
      </c>
      <c r="H256" s="8" t="str">
        <f>IFERROR(__xludf.DUMMYFUNCTION("""COMPUTED_VALUE"""),"Hybrid")</f>
        <v>Hybrid</v>
      </c>
    </row>
    <row r="257">
      <c r="A257" s="8" t="s">
        <v>151</v>
      </c>
      <c r="B257" s="8" t="str">
        <f>IFERROR(__xludf.DUMMYFUNCTION("""COMPUTED_VALUE"""),"Concrete")</f>
        <v>Concrete</v>
      </c>
      <c r="C257" s="8" t="str">
        <f>IFERROR(__xludf.DUMMYFUNCTION("""COMPUTED_VALUE"""),"Tires")</f>
        <v>Tires</v>
      </c>
      <c r="D257" s="8" t="str">
        <f>IFERROR(__xludf.DUMMYFUNCTION("""COMPUTED_VALUE"""),"Natural")</f>
        <v>Natural</v>
      </c>
      <c r="E257" s="8" t="str">
        <f>IFERROR(__xludf.DUMMYFUNCTION("""COMPUTED_VALUE"""),"Metal/Wreck")</f>
        <v>Metal/Wreck</v>
      </c>
      <c r="F257" s="8" t="str">
        <f>IFERROR(__xludf.DUMMYFUNCTION("""COMPUTED_VALUE"""),"Engineered/Advanced")</f>
        <v>Engineered/Advanced</v>
      </c>
      <c r="G257" s="8" t="str">
        <f>IFERROR(__xludf.DUMMYFUNCTION("""COMPUTED_VALUE"""),"Recycled/Waste")</f>
        <v>Recycled/Waste</v>
      </c>
      <c r="H257" s="8" t="str">
        <f>IFERROR(__xludf.DUMMYFUNCTION("""COMPUTED_VALUE"""),"Hybrid")</f>
        <v>Hybrid</v>
      </c>
    </row>
    <row r="258">
      <c r="A258" s="8" t="s">
        <v>200</v>
      </c>
      <c r="B258" s="8" t="str">
        <f>IFERROR(__xludf.DUMMYFUNCTION("""COMPUTED_VALUE"""),"Not applicable")</f>
        <v>Not applicable</v>
      </c>
      <c r="C258" s="8"/>
      <c r="D258" s="8"/>
      <c r="E258" s="8"/>
      <c r="F258" s="8"/>
      <c r="G258" s="8"/>
      <c r="H258" s="8"/>
    </row>
    <row r="259">
      <c r="A259" s="8" t="s">
        <v>200</v>
      </c>
      <c r="B259" s="8" t="str">
        <f>IFERROR(__xludf.DUMMYFUNCTION("""COMPUTED_VALUE"""),"Not applicable")</f>
        <v>Not applicable</v>
      </c>
      <c r="C259" s="8"/>
      <c r="D259" s="8"/>
      <c r="E259" s="8"/>
      <c r="F259" s="8"/>
      <c r="G259" s="8"/>
      <c r="H259" s="8"/>
    </row>
    <row r="260">
      <c r="A260" s="8" t="s">
        <v>319</v>
      </c>
      <c r="B260" s="8" t="str">
        <f>IFERROR(__xludf.DUMMYFUNCTION("""COMPUTED_VALUE"""),"Not applicable")</f>
        <v>Not applicable</v>
      </c>
      <c r="C260" s="8"/>
      <c r="D260" s="8"/>
      <c r="E260" s="8"/>
      <c r="F260" s="8"/>
      <c r="G260" s="8"/>
      <c r="H260" s="8"/>
    </row>
    <row r="261">
      <c r="A261" s="8" t="s">
        <v>200</v>
      </c>
      <c r="B261" s="8" t="str">
        <f>IFERROR(__xludf.DUMMYFUNCTION("""COMPUTED_VALUE"""),"Not applicable")</f>
        <v>Not applicable</v>
      </c>
      <c r="C261" s="8"/>
      <c r="D261" s="8"/>
      <c r="E261" s="8"/>
      <c r="F261" s="8"/>
      <c r="G261" s="8"/>
      <c r="H261" s="8"/>
    </row>
    <row r="262">
      <c r="A262" s="8" t="s">
        <v>200</v>
      </c>
      <c r="B262" s="8" t="str">
        <f>IFERROR(__xludf.DUMMYFUNCTION("""COMPUTED_VALUE"""),"Not applicable")</f>
        <v>Not applicable</v>
      </c>
      <c r="C262" s="8"/>
      <c r="D262" s="8"/>
      <c r="E262" s="8"/>
      <c r="F262" s="8"/>
      <c r="G262" s="8"/>
      <c r="H262" s="8"/>
    </row>
    <row r="263">
      <c r="A263" s="8" t="s">
        <v>200</v>
      </c>
      <c r="B263" s="8" t="str">
        <f>IFERROR(__xludf.DUMMYFUNCTION("""COMPUTED_VALUE"""),"Not applicable")</f>
        <v>Not applicable</v>
      </c>
      <c r="C263" s="8"/>
      <c r="D263" s="8"/>
      <c r="E263" s="8"/>
      <c r="F263" s="8"/>
      <c r="G263" s="8"/>
      <c r="H263" s="8"/>
    </row>
    <row r="264">
      <c r="A264" s="8" t="s">
        <v>200</v>
      </c>
      <c r="B264" s="8" t="str">
        <f>IFERROR(__xludf.DUMMYFUNCTION("""COMPUTED_VALUE"""),"Not applicable")</f>
        <v>Not applicable</v>
      </c>
      <c r="C264" s="8"/>
      <c r="D264" s="8"/>
      <c r="E264" s="8"/>
      <c r="F264" s="8"/>
      <c r="G264" s="8"/>
      <c r="H264" s="8"/>
    </row>
    <row r="265">
      <c r="A265" s="8" t="s">
        <v>200</v>
      </c>
      <c r="B265" s="8" t="str">
        <f>IFERROR(__xludf.DUMMYFUNCTION("""COMPUTED_VALUE"""),"Not applicable")</f>
        <v>Not applicable</v>
      </c>
      <c r="C265" s="8"/>
      <c r="D265" s="8"/>
      <c r="E265" s="8"/>
      <c r="F265" s="8"/>
      <c r="G265" s="8"/>
      <c r="H265" s="8"/>
    </row>
    <row r="266">
      <c r="A266" s="8" t="s">
        <v>151</v>
      </c>
      <c r="B266" s="8" t="str">
        <f>IFERROR(__xludf.DUMMYFUNCTION("""COMPUTED_VALUE"""),"Concrete")</f>
        <v>Concrete</v>
      </c>
      <c r="C266" s="8" t="str">
        <f>IFERROR(__xludf.DUMMYFUNCTION("""COMPUTED_VALUE"""),"Tires")</f>
        <v>Tires</v>
      </c>
      <c r="D266" s="8" t="str">
        <f>IFERROR(__xludf.DUMMYFUNCTION("""COMPUTED_VALUE"""),"Natural")</f>
        <v>Natural</v>
      </c>
      <c r="E266" s="8" t="str">
        <f>IFERROR(__xludf.DUMMYFUNCTION("""COMPUTED_VALUE"""),"Metal/Wreck")</f>
        <v>Metal/Wreck</v>
      </c>
      <c r="F266" s="8" t="str">
        <f>IFERROR(__xludf.DUMMYFUNCTION("""COMPUTED_VALUE"""),"Engineered/Advanced")</f>
        <v>Engineered/Advanced</v>
      </c>
      <c r="G266" s="8" t="str">
        <f>IFERROR(__xludf.DUMMYFUNCTION("""COMPUTED_VALUE"""),"Recycled/Waste")</f>
        <v>Recycled/Waste</v>
      </c>
      <c r="H266" s="8" t="str">
        <f>IFERROR(__xludf.DUMMYFUNCTION("""COMPUTED_VALUE"""),"Hybrid")</f>
        <v>Hybrid</v>
      </c>
    </row>
    <row r="267">
      <c r="A267" s="8" t="s">
        <v>151</v>
      </c>
      <c r="B267" s="8" t="str">
        <f>IFERROR(__xludf.DUMMYFUNCTION("""COMPUTED_VALUE"""),"Concrete")</f>
        <v>Concrete</v>
      </c>
      <c r="C267" s="8" t="str">
        <f>IFERROR(__xludf.DUMMYFUNCTION("""COMPUTED_VALUE"""),"Tires")</f>
        <v>Tires</v>
      </c>
      <c r="D267" s="8" t="str">
        <f>IFERROR(__xludf.DUMMYFUNCTION("""COMPUTED_VALUE"""),"Natural")</f>
        <v>Natural</v>
      </c>
      <c r="E267" s="8" t="str">
        <f>IFERROR(__xludf.DUMMYFUNCTION("""COMPUTED_VALUE"""),"Metal/Wreck")</f>
        <v>Metal/Wreck</v>
      </c>
      <c r="F267" s="8" t="str">
        <f>IFERROR(__xludf.DUMMYFUNCTION("""COMPUTED_VALUE"""),"Engineered/Advanced")</f>
        <v>Engineered/Advanced</v>
      </c>
      <c r="G267" s="8" t="str">
        <f>IFERROR(__xludf.DUMMYFUNCTION("""COMPUTED_VALUE"""),"Recycled/Waste")</f>
        <v>Recycled/Waste</v>
      </c>
      <c r="H267" s="8" t="str">
        <f>IFERROR(__xludf.DUMMYFUNCTION("""COMPUTED_VALUE"""),"Hybrid")</f>
        <v>Hybrid</v>
      </c>
    </row>
    <row r="268">
      <c r="A268" s="8" t="s">
        <v>264</v>
      </c>
      <c r="B268" s="8" t="str">
        <f>IFERROR(__xludf.DUMMYFUNCTION("""COMPUTED_VALUE"""),"#N/A")</f>
        <v>#N/A</v>
      </c>
      <c r="C268" s="8"/>
      <c r="D268" s="8"/>
      <c r="E268" s="8"/>
      <c r="F268" s="8"/>
      <c r="G268" s="8"/>
      <c r="H268" s="8"/>
    </row>
    <row r="269">
      <c r="A269" s="8" t="s">
        <v>151</v>
      </c>
      <c r="B269" s="8" t="str">
        <f>IFERROR(__xludf.DUMMYFUNCTION("""COMPUTED_VALUE"""),"Concrete")</f>
        <v>Concrete</v>
      </c>
      <c r="C269" s="8" t="str">
        <f>IFERROR(__xludf.DUMMYFUNCTION("""COMPUTED_VALUE"""),"Tires")</f>
        <v>Tires</v>
      </c>
      <c r="D269" s="8" t="str">
        <f>IFERROR(__xludf.DUMMYFUNCTION("""COMPUTED_VALUE"""),"Natural")</f>
        <v>Natural</v>
      </c>
      <c r="E269" s="8" t="str">
        <f>IFERROR(__xludf.DUMMYFUNCTION("""COMPUTED_VALUE"""),"Metal/Wreck")</f>
        <v>Metal/Wreck</v>
      </c>
      <c r="F269" s="8" t="str">
        <f>IFERROR(__xludf.DUMMYFUNCTION("""COMPUTED_VALUE"""),"Engineered/Advanced")</f>
        <v>Engineered/Advanced</v>
      </c>
      <c r="G269" s="8" t="str">
        <f>IFERROR(__xludf.DUMMYFUNCTION("""COMPUTED_VALUE"""),"Recycled/Waste")</f>
        <v>Recycled/Waste</v>
      </c>
      <c r="H269" s="8" t="str">
        <f>IFERROR(__xludf.DUMMYFUNCTION("""COMPUTED_VALUE"""),"Hybrid")</f>
        <v>Hybrid</v>
      </c>
    </row>
    <row r="270">
      <c r="A270" s="8" t="s">
        <v>151</v>
      </c>
      <c r="B270" s="8" t="str">
        <f>IFERROR(__xludf.DUMMYFUNCTION("""COMPUTED_VALUE"""),"Concrete")</f>
        <v>Concrete</v>
      </c>
      <c r="C270" s="8" t="str">
        <f>IFERROR(__xludf.DUMMYFUNCTION("""COMPUTED_VALUE"""),"Tires")</f>
        <v>Tires</v>
      </c>
      <c r="D270" s="8" t="str">
        <f>IFERROR(__xludf.DUMMYFUNCTION("""COMPUTED_VALUE"""),"Natural")</f>
        <v>Natural</v>
      </c>
      <c r="E270" s="8" t="str">
        <f>IFERROR(__xludf.DUMMYFUNCTION("""COMPUTED_VALUE"""),"Metal/Wreck")</f>
        <v>Metal/Wreck</v>
      </c>
      <c r="F270" s="8" t="str">
        <f>IFERROR(__xludf.DUMMYFUNCTION("""COMPUTED_VALUE"""),"Engineered/Advanced")</f>
        <v>Engineered/Advanced</v>
      </c>
      <c r="G270" s="8" t="str">
        <f>IFERROR(__xludf.DUMMYFUNCTION("""COMPUTED_VALUE"""),"Recycled/Waste")</f>
        <v>Recycled/Waste</v>
      </c>
      <c r="H270" s="8" t="str">
        <f>IFERROR(__xludf.DUMMYFUNCTION("""COMPUTED_VALUE"""),"Hybrid")</f>
        <v>Hybrid</v>
      </c>
    </row>
    <row r="271">
      <c r="A271" s="8" t="s">
        <v>151</v>
      </c>
      <c r="B271" s="8" t="str">
        <f>IFERROR(__xludf.DUMMYFUNCTION("""COMPUTED_VALUE"""),"Concrete")</f>
        <v>Concrete</v>
      </c>
      <c r="C271" s="8" t="str">
        <f>IFERROR(__xludf.DUMMYFUNCTION("""COMPUTED_VALUE"""),"Tires")</f>
        <v>Tires</v>
      </c>
      <c r="D271" s="8" t="str">
        <f>IFERROR(__xludf.DUMMYFUNCTION("""COMPUTED_VALUE"""),"Natural")</f>
        <v>Natural</v>
      </c>
      <c r="E271" s="8" t="str">
        <f>IFERROR(__xludf.DUMMYFUNCTION("""COMPUTED_VALUE"""),"Metal/Wreck")</f>
        <v>Metal/Wreck</v>
      </c>
      <c r="F271" s="8" t="str">
        <f>IFERROR(__xludf.DUMMYFUNCTION("""COMPUTED_VALUE"""),"Engineered/Advanced")</f>
        <v>Engineered/Advanced</v>
      </c>
      <c r="G271" s="8" t="str">
        <f>IFERROR(__xludf.DUMMYFUNCTION("""COMPUTED_VALUE"""),"Recycled/Waste")</f>
        <v>Recycled/Waste</v>
      </c>
      <c r="H271" s="8" t="str">
        <f>IFERROR(__xludf.DUMMYFUNCTION("""COMPUTED_VALUE"""),"Hybrid")</f>
        <v>Hybrid</v>
      </c>
    </row>
    <row r="272">
      <c r="A272" s="8" t="s">
        <v>151</v>
      </c>
      <c r="B272" s="8" t="str">
        <f>IFERROR(__xludf.DUMMYFUNCTION("""COMPUTED_VALUE"""),"Concrete")</f>
        <v>Concrete</v>
      </c>
      <c r="C272" s="8" t="str">
        <f>IFERROR(__xludf.DUMMYFUNCTION("""COMPUTED_VALUE"""),"Tires")</f>
        <v>Tires</v>
      </c>
      <c r="D272" s="8" t="str">
        <f>IFERROR(__xludf.DUMMYFUNCTION("""COMPUTED_VALUE"""),"Natural")</f>
        <v>Natural</v>
      </c>
      <c r="E272" s="8" t="str">
        <f>IFERROR(__xludf.DUMMYFUNCTION("""COMPUTED_VALUE"""),"Metal/Wreck")</f>
        <v>Metal/Wreck</v>
      </c>
      <c r="F272" s="8" t="str">
        <f>IFERROR(__xludf.DUMMYFUNCTION("""COMPUTED_VALUE"""),"Engineered/Advanced")</f>
        <v>Engineered/Advanced</v>
      </c>
      <c r="G272" s="8" t="str">
        <f>IFERROR(__xludf.DUMMYFUNCTION("""COMPUTED_VALUE"""),"Recycled/Waste")</f>
        <v>Recycled/Waste</v>
      </c>
      <c r="H272" s="8" t="str">
        <f>IFERROR(__xludf.DUMMYFUNCTION("""COMPUTED_VALUE"""),"Hybrid")</f>
        <v>Hybrid</v>
      </c>
    </row>
    <row r="273">
      <c r="A273" s="8" t="s">
        <v>151</v>
      </c>
      <c r="B273" s="8" t="str">
        <f>IFERROR(__xludf.DUMMYFUNCTION("""COMPUTED_VALUE"""),"Concrete")</f>
        <v>Concrete</v>
      </c>
      <c r="C273" s="8" t="str">
        <f>IFERROR(__xludf.DUMMYFUNCTION("""COMPUTED_VALUE"""),"Tires")</f>
        <v>Tires</v>
      </c>
      <c r="D273" s="8" t="str">
        <f>IFERROR(__xludf.DUMMYFUNCTION("""COMPUTED_VALUE"""),"Natural")</f>
        <v>Natural</v>
      </c>
      <c r="E273" s="8" t="str">
        <f>IFERROR(__xludf.DUMMYFUNCTION("""COMPUTED_VALUE"""),"Metal/Wreck")</f>
        <v>Metal/Wreck</v>
      </c>
      <c r="F273" s="8" t="str">
        <f>IFERROR(__xludf.DUMMYFUNCTION("""COMPUTED_VALUE"""),"Engineered/Advanced")</f>
        <v>Engineered/Advanced</v>
      </c>
      <c r="G273" s="8" t="str">
        <f>IFERROR(__xludf.DUMMYFUNCTION("""COMPUTED_VALUE"""),"Recycled/Waste")</f>
        <v>Recycled/Waste</v>
      </c>
      <c r="H273" s="8" t="str">
        <f>IFERROR(__xludf.DUMMYFUNCTION("""COMPUTED_VALUE"""),"Hybrid")</f>
        <v>Hybrid</v>
      </c>
    </row>
    <row r="274">
      <c r="A274" s="8" t="s">
        <v>200</v>
      </c>
      <c r="B274" s="8" t="str">
        <f>IFERROR(__xludf.DUMMYFUNCTION("""COMPUTED_VALUE"""),"Not applicable")</f>
        <v>Not applicable</v>
      </c>
      <c r="C274" s="8"/>
      <c r="D274" s="8"/>
      <c r="E274" s="8"/>
      <c r="F274" s="8"/>
      <c r="G274" s="8"/>
      <c r="H274" s="8"/>
    </row>
    <row r="275">
      <c r="A275" s="8" t="s">
        <v>200</v>
      </c>
      <c r="B275" s="8" t="str">
        <f>IFERROR(__xludf.DUMMYFUNCTION("""COMPUTED_VALUE"""),"Not applicable")</f>
        <v>Not applicable</v>
      </c>
      <c r="C275" s="8"/>
      <c r="D275" s="8"/>
      <c r="E275" s="8"/>
      <c r="F275" s="8"/>
      <c r="G275" s="8"/>
      <c r="H275" s="8"/>
    </row>
    <row r="276">
      <c r="A276" s="8" t="s">
        <v>151</v>
      </c>
      <c r="B276" s="8" t="str">
        <f>IFERROR(__xludf.DUMMYFUNCTION("""COMPUTED_VALUE"""),"Concrete")</f>
        <v>Concrete</v>
      </c>
      <c r="C276" s="8" t="str">
        <f>IFERROR(__xludf.DUMMYFUNCTION("""COMPUTED_VALUE"""),"Tires")</f>
        <v>Tires</v>
      </c>
      <c r="D276" s="8" t="str">
        <f>IFERROR(__xludf.DUMMYFUNCTION("""COMPUTED_VALUE"""),"Natural")</f>
        <v>Natural</v>
      </c>
      <c r="E276" s="8" t="str">
        <f>IFERROR(__xludf.DUMMYFUNCTION("""COMPUTED_VALUE"""),"Metal/Wreck")</f>
        <v>Metal/Wreck</v>
      </c>
      <c r="F276" s="8" t="str">
        <f>IFERROR(__xludf.DUMMYFUNCTION("""COMPUTED_VALUE"""),"Engineered/Advanced")</f>
        <v>Engineered/Advanced</v>
      </c>
      <c r="G276" s="8" t="str">
        <f>IFERROR(__xludf.DUMMYFUNCTION("""COMPUTED_VALUE"""),"Recycled/Waste")</f>
        <v>Recycled/Waste</v>
      </c>
      <c r="H276" s="8" t="str">
        <f>IFERROR(__xludf.DUMMYFUNCTION("""COMPUTED_VALUE"""),"Hybrid")</f>
        <v>Hybrid</v>
      </c>
    </row>
    <row r="277">
      <c r="A277" s="8" t="s">
        <v>151</v>
      </c>
      <c r="B277" s="8" t="str">
        <f>IFERROR(__xludf.DUMMYFUNCTION("""COMPUTED_VALUE"""),"Concrete")</f>
        <v>Concrete</v>
      </c>
      <c r="C277" s="8" t="str">
        <f>IFERROR(__xludf.DUMMYFUNCTION("""COMPUTED_VALUE"""),"Tires")</f>
        <v>Tires</v>
      </c>
      <c r="D277" s="8" t="str">
        <f>IFERROR(__xludf.DUMMYFUNCTION("""COMPUTED_VALUE"""),"Natural")</f>
        <v>Natural</v>
      </c>
      <c r="E277" s="8" t="str">
        <f>IFERROR(__xludf.DUMMYFUNCTION("""COMPUTED_VALUE"""),"Metal/Wreck")</f>
        <v>Metal/Wreck</v>
      </c>
      <c r="F277" s="8" t="str">
        <f>IFERROR(__xludf.DUMMYFUNCTION("""COMPUTED_VALUE"""),"Engineered/Advanced")</f>
        <v>Engineered/Advanced</v>
      </c>
      <c r="G277" s="8" t="str">
        <f>IFERROR(__xludf.DUMMYFUNCTION("""COMPUTED_VALUE"""),"Recycled/Waste")</f>
        <v>Recycled/Waste</v>
      </c>
      <c r="H277" s="8" t="str">
        <f>IFERROR(__xludf.DUMMYFUNCTION("""COMPUTED_VALUE"""),"Hybrid")</f>
        <v>Hybrid</v>
      </c>
    </row>
    <row r="278">
      <c r="A278" s="8" t="s">
        <v>151</v>
      </c>
      <c r="B278" s="8" t="str">
        <f>IFERROR(__xludf.DUMMYFUNCTION("""COMPUTED_VALUE"""),"Concrete")</f>
        <v>Concrete</v>
      </c>
      <c r="C278" s="8" t="str">
        <f>IFERROR(__xludf.DUMMYFUNCTION("""COMPUTED_VALUE"""),"Tires")</f>
        <v>Tires</v>
      </c>
      <c r="D278" s="8" t="str">
        <f>IFERROR(__xludf.DUMMYFUNCTION("""COMPUTED_VALUE"""),"Natural")</f>
        <v>Natural</v>
      </c>
      <c r="E278" s="8" t="str">
        <f>IFERROR(__xludf.DUMMYFUNCTION("""COMPUTED_VALUE"""),"Metal/Wreck")</f>
        <v>Metal/Wreck</v>
      </c>
      <c r="F278" s="8" t="str">
        <f>IFERROR(__xludf.DUMMYFUNCTION("""COMPUTED_VALUE"""),"Engineered/Advanced")</f>
        <v>Engineered/Advanced</v>
      </c>
      <c r="G278" s="8" t="str">
        <f>IFERROR(__xludf.DUMMYFUNCTION("""COMPUTED_VALUE"""),"Recycled/Waste")</f>
        <v>Recycled/Waste</v>
      </c>
      <c r="H278" s="8" t="str">
        <f>IFERROR(__xludf.DUMMYFUNCTION("""COMPUTED_VALUE"""),"Hybrid")</f>
        <v>Hybrid</v>
      </c>
    </row>
    <row r="279">
      <c r="A279" s="8" t="s">
        <v>151</v>
      </c>
      <c r="B279" s="8" t="str">
        <f>IFERROR(__xludf.DUMMYFUNCTION("""COMPUTED_VALUE"""),"Concrete")</f>
        <v>Concrete</v>
      </c>
      <c r="C279" s="8" t="str">
        <f>IFERROR(__xludf.DUMMYFUNCTION("""COMPUTED_VALUE"""),"Tires")</f>
        <v>Tires</v>
      </c>
      <c r="D279" s="8" t="str">
        <f>IFERROR(__xludf.DUMMYFUNCTION("""COMPUTED_VALUE"""),"Natural")</f>
        <v>Natural</v>
      </c>
      <c r="E279" s="8" t="str">
        <f>IFERROR(__xludf.DUMMYFUNCTION("""COMPUTED_VALUE"""),"Metal/Wreck")</f>
        <v>Metal/Wreck</v>
      </c>
      <c r="F279" s="8" t="str">
        <f>IFERROR(__xludf.DUMMYFUNCTION("""COMPUTED_VALUE"""),"Engineered/Advanced")</f>
        <v>Engineered/Advanced</v>
      </c>
      <c r="G279" s="8" t="str">
        <f>IFERROR(__xludf.DUMMYFUNCTION("""COMPUTED_VALUE"""),"Recycled/Waste")</f>
        <v>Recycled/Waste</v>
      </c>
      <c r="H279" s="8" t="str">
        <f>IFERROR(__xludf.DUMMYFUNCTION("""COMPUTED_VALUE"""),"Hybrid")</f>
        <v>Hybrid</v>
      </c>
    </row>
    <row r="280">
      <c r="A280" s="8" t="s">
        <v>151</v>
      </c>
      <c r="B280" s="8" t="str">
        <f>IFERROR(__xludf.DUMMYFUNCTION("""COMPUTED_VALUE"""),"Concrete")</f>
        <v>Concrete</v>
      </c>
      <c r="C280" s="8" t="str">
        <f>IFERROR(__xludf.DUMMYFUNCTION("""COMPUTED_VALUE"""),"Tires")</f>
        <v>Tires</v>
      </c>
      <c r="D280" s="8" t="str">
        <f>IFERROR(__xludf.DUMMYFUNCTION("""COMPUTED_VALUE"""),"Natural")</f>
        <v>Natural</v>
      </c>
      <c r="E280" s="8" t="str">
        <f>IFERROR(__xludf.DUMMYFUNCTION("""COMPUTED_VALUE"""),"Metal/Wreck")</f>
        <v>Metal/Wreck</v>
      </c>
      <c r="F280" s="8" t="str">
        <f>IFERROR(__xludf.DUMMYFUNCTION("""COMPUTED_VALUE"""),"Engineered/Advanced")</f>
        <v>Engineered/Advanced</v>
      </c>
      <c r="G280" s="8" t="str">
        <f>IFERROR(__xludf.DUMMYFUNCTION("""COMPUTED_VALUE"""),"Recycled/Waste")</f>
        <v>Recycled/Waste</v>
      </c>
      <c r="H280" s="8" t="str">
        <f>IFERROR(__xludf.DUMMYFUNCTION("""COMPUTED_VALUE"""),"Hybrid")</f>
        <v>Hybrid</v>
      </c>
    </row>
    <row r="281">
      <c r="A281" s="8" t="s">
        <v>151</v>
      </c>
      <c r="B281" s="8" t="str">
        <f>IFERROR(__xludf.DUMMYFUNCTION("""COMPUTED_VALUE"""),"Concrete")</f>
        <v>Concrete</v>
      </c>
      <c r="C281" s="8" t="str">
        <f>IFERROR(__xludf.DUMMYFUNCTION("""COMPUTED_VALUE"""),"Tires")</f>
        <v>Tires</v>
      </c>
      <c r="D281" s="8" t="str">
        <f>IFERROR(__xludf.DUMMYFUNCTION("""COMPUTED_VALUE"""),"Natural")</f>
        <v>Natural</v>
      </c>
      <c r="E281" s="8" t="str">
        <f>IFERROR(__xludf.DUMMYFUNCTION("""COMPUTED_VALUE"""),"Metal/Wreck")</f>
        <v>Metal/Wreck</v>
      </c>
      <c r="F281" s="8" t="str">
        <f>IFERROR(__xludf.DUMMYFUNCTION("""COMPUTED_VALUE"""),"Engineered/Advanced")</f>
        <v>Engineered/Advanced</v>
      </c>
      <c r="G281" s="8" t="str">
        <f>IFERROR(__xludf.DUMMYFUNCTION("""COMPUTED_VALUE"""),"Recycled/Waste")</f>
        <v>Recycled/Waste</v>
      </c>
      <c r="H281" s="8" t="str">
        <f>IFERROR(__xludf.DUMMYFUNCTION("""COMPUTED_VALUE"""),"Hybrid")</f>
        <v>Hybrid</v>
      </c>
    </row>
    <row r="282">
      <c r="A282" s="8" t="s">
        <v>151</v>
      </c>
      <c r="B282" s="8" t="str">
        <f>IFERROR(__xludf.DUMMYFUNCTION("""COMPUTED_VALUE"""),"Concrete")</f>
        <v>Concrete</v>
      </c>
      <c r="C282" s="8" t="str">
        <f>IFERROR(__xludf.DUMMYFUNCTION("""COMPUTED_VALUE"""),"Tires")</f>
        <v>Tires</v>
      </c>
      <c r="D282" s="8" t="str">
        <f>IFERROR(__xludf.DUMMYFUNCTION("""COMPUTED_VALUE"""),"Natural")</f>
        <v>Natural</v>
      </c>
      <c r="E282" s="8" t="str">
        <f>IFERROR(__xludf.DUMMYFUNCTION("""COMPUTED_VALUE"""),"Metal/Wreck")</f>
        <v>Metal/Wreck</v>
      </c>
      <c r="F282" s="8" t="str">
        <f>IFERROR(__xludf.DUMMYFUNCTION("""COMPUTED_VALUE"""),"Engineered/Advanced")</f>
        <v>Engineered/Advanced</v>
      </c>
      <c r="G282" s="8" t="str">
        <f>IFERROR(__xludf.DUMMYFUNCTION("""COMPUTED_VALUE"""),"Recycled/Waste")</f>
        <v>Recycled/Waste</v>
      </c>
      <c r="H282" s="8" t="str">
        <f>IFERROR(__xludf.DUMMYFUNCTION("""COMPUTED_VALUE"""),"Hybrid")</f>
        <v>Hybrid</v>
      </c>
    </row>
    <row r="283">
      <c r="A283" s="8" t="s">
        <v>151</v>
      </c>
      <c r="B283" s="8" t="str">
        <f>IFERROR(__xludf.DUMMYFUNCTION("""COMPUTED_VALUE"""),"Concrete")</f>
        <v>Concrete</v>
      </c>
      <c r="C283" s="8" t="str">
        <f>IFERROR(__xludf.DUMMYFUNCTION("""COMPUTED_VALUE"""),"Tires")</f>
        <v>Tires</v>
      </c>
      <c r="D283" s="8" t="str">
        <f>IFERROR(__xludf.DUMMYFUNCTION("""COMPUTED_VALUE"""),"Natural")</f>
        <v>Natural</v>
      </c>
      <c r="E283" s="8" t="str">
        <f>IFERROR(__xludf.DUMMYFUNCTION("""COMPUTED_VALUE"""),"Metal/Wreck")</f>
        <v>Metal/Wreck</v>
      </c>
      <c r="F283" s="8" t="str">
        <f>IFERROR(__xludf.DUMMYFUNCTION("""COMPUTED_VALUE"""),"Engineered/Advanced")</f>
        <v>Engineered/Advanced</v>
      </c>
      <c r="G283" s="8" t="str">
        <f>IFERROR(__xludf.DUMMYFUNCTION("""COMPUTED_VALUE"""),"Recycled/Waste")</f>
        <v>Recycled/Waste</v>
      </c>
      <c r="H283" s="8" t="str">
        <f>IFERROR(__xludf.DUMMYFUNCTION("""COMPUTED_VALUE"""),"Hybrid")</f>
        <v>Hybrid</v>
      </c>
    </row>
    <row r="284">
      <c r="A284" s="8" t="s">
        <v>151</v>
      </c>
      <c r="B284" s="8" t="str">
        <f>IFERROR(__xludf.DUMMYFUNCTION("""COMPUTED_VALUE"""),"Concrete")</f>
        <v>Concrete</v>
      </c>
      <c r="C284" s="8" t="str">
        <f>IFERROR(__xludf.DUMMYFUNCTION("""COMPUTED_VALUE"""),"Tires")</f>
        <v>Tires</v>
      </c>
      <c r="D284" s="8" t="str">
        <f>IFERROR(__xludf.DUMMYFUNCTION("""COMPUTED_VALUE"""),"Natural")</f>
        <v>Natural</v>
      </c>
      <c r="E284" s="8" t="str">
        <f>IFERROR(__xludf.DUMMYFUNCTION("""COMPUTED_VALUE"""),"Metal/Wreck")</f>
        <v>Metal/Wreck</v>
      </c>
      <c r="F284" s="8" t="str">
        <f>IFERROR(__xludf.DUMMYFUNCTION("""COMPUTED_VALUE"""),"Engineered/Advanced")</f>
        <v>Engineered/Advanced</v>
      </c>
      <c r="G284" s="8" t="str">
        <f>IFERROR(__xludf.DUMMYFUNCTION("""COMPUTED_VALUE"""),"Recycled/Waste")</f>
        <v>Recycled/Waste</v>
      </c>
      <c r="H284" s="8" t="str">
        <f>IFERROR(__xludf.DUMMYFUNCTION("""COMPUTED_VALUE"""),"Hybrid")</f>
        <v>Hybrid</v>
      </c>
    </row>
    <row r="285">
      <c r="A285" s="8" t="s">
        <v>151</v>
      </c>
      <c r="B285" s="8" t="str">
        <f>IFERROR(__xludf.DUMMYFUNCTION("""COMPUTED_VALUE"""),"Concrete")</f>
        <v>Concrete</v>
      </c>
      <c r="C285" s="8" t="str">
        <f>IFERROR(__xludf.DUMMYFUNCTION("""COMPUTED_VALUE"""),"Tires")</f>
        <v>Tires</v>
      </c>
      <c r="D285" s="8" t="str">
        <f>IFERROR(__xludf.DUMMYFUNCTION("""COMPUTED_VALUE"""),"Natural")</f>
        <v>Natural</v>
      </c>
      <c r="E285" s="8" t="str">
        <f>IFERROR(__xludf.DUMMYFUNCTION("""COMPUTED_VALUE"""),"Metal/Wreck")</f>
        <v>Metal/Wreck</v>
      </c>
      <c r="F285" s="8" t="str">
        <f>IFERROR(__xludf.DUMMYFUNCTION("""COMPUTED_VALUE"""),"Engineered/Advanced")</f>
        <v>Engineered/Advanced</v>
      </c>
      <c r="G285" s="8" t="str">
        <f>IFERROR(__xludf.DUMMYFUNCTION("""COMPUTED_VALUE"""),"Recycled/Waste")</f>
        <v>Recycled/Waste</v>
      </c>
      <c r="H285" s="8" t="str">
        <f>IFERROR(__xludf.DUMMYFUNCTION("""COMPUTED_VALUE"""),"Hybrid")</f>
        <v>Hybrid</v>
      </c>
    </row>
    <row r="286">
      <c r="A286" s="8" t="s">
        <v>178</v>
      </c>
      <c r="B286" s="8" t="str">
        <f>IFERROR(__xludf.DUMMYFUNCTION("""COMPUTED_VALUE"""),"Not applicable")</f>
        <v>Not applicable</v>
      </c>
      <c r="C286" s="8"/>
      <c r="D286" s="8"/>
      <c r="E286" s="8"/>
      <c r="F286" s="8"/>
      <c r="G286" s="8"/>
      <c r="H286" s="8"/>
    </row>
    <row r="287">
      <c r="A287" s="8" t="s">
        <v>151</v>
      </c>
      <c r="B287" s="8" t="str">
        <f>IFERROR(__xludf.DUMMYFUNCTION("""COMPUTED_VALUE"""),"Concrete")</f>
        <v>Concrete</v>
      </c>
      <c r="C287" s="8" t="str">
        <f>IFERROR(__xludf.DUMMYFUNCTION("""COMPUTED_VALUE"""),"Tires")</f>
        <v>Tires</v>
      </c>
      <c r="D287" s="8" t="str">
        <f>IFERROR(__xludf.DUMMYFUNCTION("""COMPUTED_VALUE"""),"Natural")</f>
        <v>Natural</v>
      </c>
      <c r="E287" s="8" t="str">
        <f>IFERROR(__xludf.DUMMYFUNCTION("""COMPUTED_VALUE"""),"Metal/Wreck")</f>
        <v>Metal/Wreck</v>
      </c>
      <c r="F287" s="8" t="str">
        <f>IFERROR(__xludf.DUMMYFUNCTION("""COMPUTED_VALUE"""),"Engineered/Advanced")</f>
        <v>Engineered/Advanced</v>
      </c>
      <c r="G287" s="8" t="str">
        <f>IFERROR(__xludf.DUMMYFUNCTION("""COMPUTED_VALUE"""),"Recycled/Waste")</f>
        <v>Recycled/Waste</v>
      </c>
      <c r="H287" s="8" t="str">
        <f>IFERROR(__xludf.DUMMYFUNCTION("""COMPUTED_VALUE"""),"Hybrid")</f>
        <v>Hybrid</v>
      </c>
    </row>
    <row r="288">
      <c r="A288" s="8" t="s">
        <v>178</v>
      </c>
      <c r="B288" s="8" t="str">
        <f>IFERROR(__xludf.DUMMYFUNCTION("""COMPUTED_VALUE"""),"Not applicable")</f>
        <v>Not applicable</v>
      </c>
      <c r="C288" s="8"/>
      <c r="D288" s="8"/>
      <c r="E288" s="8"/>
      <c r="F288" s="8"/>
      <c r="G288" s="8"/>
      <c r="H288" s="8"/>
    </row>
    <row r="289">
      <c r="A289" s="8" t="s">
        <v>151</v>
      </c>
      <c r="B289" s="8" t="str">
        <f>IFERROR(__xludf.DUMMYFUNCTION("""COMPUTED_VALUE"""),"Concrete")</f>
        <v>Concrete</v>
      </c>
      <c r="C289" s="8" t="str">
        <f>IFERROR(__xludf.DUMMYFUNCTION("""COMPUTED_VALUE"""),"Tires")</f>
        <v>Tires</v>
      </c>
      <c r="D289" s="8" t="str">
        <f>IFERROR(__xludf.DUMMYFUNCTION("""COMPUTED_VALUE"""),"Natural")</f>
        <v>Natural</v>
      </c>
      <c r="E289" s="8" t="str">
        <f>IFERROR(__xludf.DUMMYFUNCTION("""COMPUTED_VALUE"""),"Metal/Wreck")</f>
        <v>Metal/Wreck</v>
      </c>
      <c r="F289" s="8" t="str">
        <f>IFERROR(__xludf.DUMMYFUNCTION("""COMPUTED_VALUE"""),"Engineered/Advanced")</f>
        <v>Engineered/Advanced</v>
      </c>
      <c r="G289" s="8" t="str">
        <f>IFERROR(__xludf.DUMMYFUNCTION("""COMPUTED_VALUE"""),"Recycled/Waste")</f>
        <v>Recycled/Waste</v>
      </c>
      <c r="H289" s="8" t="str">
        <f>IFERROR(__xludf.DUMMYFUNCTION("""COMPUTED_VALUE"""),"Hybrid")</f>
        <v>Hybrid</v>
      </c>
    </row>
    <row r="290">
      <c r="A290" s="8" t="s">
        <v>151</v>
      </c>
      <c r="B290" s="8" t="str">
        <f>IFERROR(__xludf.DUMMYFUNCTION("""COMPUTED_VALUE"""),"Concrete")</f>
        <v>Concrete</v>
      </c>
      <c r="C290" s="8" t="str">
        <f>IFERROR(__xludf.DUMMYFUNCTION("""COMPUTED_VALUE"""),"Tires")</f>
        <v>Tires</v>
      </c>
      <c r="D290" s="8" t="str">
        <f>IFERROR(__xludf.DUMMYFUNCTION("""COMPUTED_VALUE"""),"Natural")</f>
        <v>Natural</v>
      </c>
      <c r="E290" s="8" t="str">
        <f>IFERROR(__xludf.DUMMYFUNCTION("""COMPUTED_VALUE"""),"Metal/Wreck")</f>
        <v>Metal/Wreck</v>
      </c>
      <c r="F290" s="8" t="str">
        <f>IFERROR(__xludf.DUMMYFUNCTION("""COMPUTED_VALUE"""),"Engineered/Advanced")</f>
        <v>Engineered/Advanced</v>
      </c>
      <c r="G290" s="8" t="str">
        <f>IFERROR(__xludf.DUMMYFUNCTION("""COMPUTED_VALUE"""),"Recycled/Waste")</f>
        <v>Recycled/Waste</v>
      </c>
      <c r="H290" s="8" t="str">
        <f>IFERROR(__xludf.DUMMYFUNCTION("""COMPUTED_VALUE"""),"Hybrid")</f>
        <v>Hybrid</v>
      </c>
    </row>
    <row r="291">
      <c r="A291" s="8" t="s">
        <v>151</v>
      </c>
      <c r="B291" s="8" t="str">
        <f>IFERROR(__xludf.DUMMYFUNCTION("""COMPUTED_VALUE"""),"Concrete")</f>
        <v>Concrete</v>
      </c>
      <c r="C291" s="8" t="str">
        <f>IFERROR(__xludf.DUMMYFUNCTION("""COMPUTED_VALUE"""),"Tires")</f>
        <v>Tires</v>
      </c>
      <c r="D291" s="8" t="str">
        <f>IFERROR(__xludf.DUMMYFUNCTION("""COMPUTED_VALUE"""),"Natural")</f>
        <v>Natural</v>
      </c>
      <c r="E291" s="8" t="str">
        <f>IFERROR(__xludf.DUMMYFUNCTION("""COMPUTED_VALUE"""),"Metal/Wreck")</f>
        <v>Metal/Wreck</v>
      </c>
      <c r="F291" s="8" t="str">
        <f>IFERROR(__xludf.DUMMYFUNCTION("""COMPUTED_VALUE"""),"Engineered/Advanced")</f>
        <v>Engineered/Advanced</v>
      </c>
      <c r="G291" s="8" t="str">
        <f>IFERROR(__xludf.DUMMYFUNCTION("""COMPUTED_VALUE"""),"Recycled/Waste")</f>
        <v>Recycled/Waste</v>
      </c>
      <c r="H291" s="8" t="str">
        <f>IFERROR(__xludf.DUMMYFUNCTION("""COMPUTED_VALUE"""),"Hybrid")</f>
        <v>Hybrid</v>
      </c>
    </row>
    <row r="292">
      <c r="A292" s="8" t="s">
        <v>264</v>
      </c>
      <c r="B292" s="8" t="str">
        <f>IFERROR(__xludf.DUMMYFUNCTION("""COMPUTED_VALUE"""),"#N/A")</f>
        <v>#N/A</v>
      </c>
      <c r="C292" s="8"/>
      <c r="D292" s="8"/>
      <c r="E292" s="8"/>
      <c r="F292" s="8"/>
      <c r="G292" s="8"/>
      <c r="H292" s="8"/>
    </row>
    <row r="293">
      <c r="A293" s="8" t="s">
        <v>151</v>
      </c>
      <c r="B293" s="8" t="str">
        <f>IFERROR(__xludf.DUMMYFUNCTION("""COMPUTED_VALUE"""),"Concrete")</f>
        <v>Concrete</v>
      </c>
      <c r="C293" s="8" t="str">
        <f>IFERROR(__xludf.DUMMYFUNCTION("""COMPUTED_VALUE"""),"Tires")</f>
        <v>Tires</v>
      </c>
      <c r="D293" s="8" t="str">
        <f>IFERROR(__xludf.DUMMYFUNCTION("""COMPUTED_VALUE"""),"Natural")</f>
        <v>Natural</v>
      </c>
      <c r="E293" s="8" t="str">
        <f>IFERROR(__xludf.DUMMYFUNCTION("""COMPUTED_VALUE"""),"Metal/Wreck")</f>
        <v>Metal/Wreck</v>
      </c>
      <c r="F293" s="8" t="str">
        <f>IFERROR(__xludf.DUMMYFUNCTION("""COMPUTED_VALUE"""),"Engineered/Advanced")</f>
        <v>Engineered/Advanced</v>
      </c>
      <c r="G293" s="8" t="str">
        <f>IFERROR(__xludf.DUMMYFUNCTION("""COMPUTED_VALUE"""),"Recycled/Waste")</f>
        <v>Recycled/Waste</v>
      </c>
      <c r="H293" s="8" t="str">
        <f>IFERROR(__xludf.DUMMYFUNCTION("""COMPUTED_VALUE"""),"Hybrid")</f>
        <v>Hybrid</v>
      </c>
    </row>
    <row r="294">
      <c r="A294" s="8" t="s">
        <v>151</v>
      </c>
      <c r="B294" s="8" t="str">
        <f>IFERROR(__xludf.DUMMYFUNCTION("""COMPUTED_VALUE"""),"Concrete")</f>
        <v>Concrete</v>
      </c>
      <c r="C294" s="8" t="str">
        <f>IFERROR(__xludf.DUMMYFUNCTION("""COMPUTED_VALUE"""),"Tires")</f>
        <v>Tires</v>
      </c>
      <c r="D294" s="8" t="str">
        <f>IFERROR(__xludf.DUMMYFUNCTION("""COMPUTED_VALUE"""),"Natural")</f>
        <v>Natural</v>
      </c>
      <c r="E294" s="8" t="str">
        <f>IFERROR(__xludf.DUMMYFUNCTION("""COMPUTED_VALUE"""),"Metal/Wreck")</f>
        <v>Metal/Wreck</v>
      </c>
      <c r="F294" s="8" t="str">
        <f>IFERROR(__xludf.DUMMYFUNCTION("""COMPUTED_VALUE"""),"Engineered/Advanced")</f>
        <v>Engineered/Advanced</v>
      </c>
      <c r="G294" s="8" t="str">
        <f>IFERROR(__xludf.DUMMYFUNCTION("""COMPUTED_VALUE"""),"Recycled/Waste")</f>
        <v>Recycled/Waste</v>
      </c>
      <c r="H294" s="8" t="str">
        <f>IFERROR(__xludf.DUMMYFUNCTION("""COMPUTED_VALUE"""),"Hybrid")</f>
        <v>Hybrid</v>
      </c>
    </row>
    <row r="295">
      <c r="A295" s="8" t="s">
        <v>149</v>
      </c>
      <c r="B295" s="8" t="str">
        <f>IFERROR(__xludf.DUMMYFUNCTION("""COMPUTED_VALUE"""),"Unknown")</f>
        <v>Unknown</v>
      </c>
      <c r="C295" s="8"/>
      <c r="D295" s="8"/>
      <c r="E295" s="8"/>
      <c r="F295" s="8"/>
      <c r="G295" s="8"/>
      <c r="H295" s="8"/>
    </row>
    <row r="296">
      <c r="A296" s="8" t="s">
        <v>151</v>
      </c>
      <c r="B296" s="8" t="str">
        <f>IFERROR(__xludf.DUMMYFUNCTION("""COMPUTED_VALUE"""),"Concrete")</f>
        <v>Concrete</v>
      </c>
      <c r="C296" s="8" t="str">
        <f>IFERROR(__xludf.DUMMYFUNCTION("""COMPUTED_VALUE"""),"Tires")</f>
        <v>Tires</v>
      </c>
      <c r="D296" s="8" t="str">
        <f>IFERROR(__xludf.DUMMYFUNCTION("""COMPUTED_VALUE"""),"Natural")</f>
        <v>Natural</v>
      </c>
      <c r="E296" s="8" t="str">
        <f>IFERROR(__xludf.DUMMYFUNCTION("""COMPUTED_VALUE"""),"Metal/Wreck")</f>
        <v>Metal/Wreck</v>
      </c>
      <c r="F296" s="8" t="str">
        <f>IFERROR(__xludf.DUMMYFUNCTION("""COMPUTED_VALUE"""),"Engineered/Advanced")</f>
        <v>Engineered/Advanced</v>
      </c>
      <c r="G296" s="8" t="str">
        <f>IFERROR(__xludf.DUMMYFUNCTION("""COMPUTED_VALUE"""),"Recycled/Waste")</f>
        <v>Recycled/Waste</v>
      </c>
      <c r="H296" s="8" t="str">
        <f>IFERROR(__xludf.DUMMYFUNCTION("""COMPUTED_VALUE"""),"Hybrid")</f>
        <v>Hybrid</v>
      </c>
    </row>
    <row r="297">
      <c r="A297" s="8" t="s">
        <v>151</v>
      </c>
      <c r="B297" s="8" t="str">
        <f>IFERROR(__xludf.DUMMYFUNCTION("""COMPUTED_VALUE"""),"Concrete")</f>
        <v>Concrete</v>
      </c>
      <c r="C297" s="8" t="str">
        <f>IFERROR(__xludf.DUMMYFUNCTION("""COMPUTED_VALUE"""),"Tires")</f>
        <v>Tires</v>
      </c>
      <c r="D297" s="8" t="str">
        <f>IFERROR(__xludf.DUMMYFUNCTION("""COMPUTED_VALUE"""),"Natural")</f>
        <v>Natural</v>
      </c>
      <c r="E297" s="8" t="str">
        <f>IFERROR(__xludf.DUMMYFUNCTION("""COMPUTED_VALUE"""),"Metal/Wreck")</f>
        <v>Metal/Wreck</v>
      </c>
      <c r="F297" s="8" t="str">
        <f>IFERROR(__xludf.DUMMYFUNCTION("""COMPUTED_VALUE"""),"Engineered/Advanced")</f>
        <v>Engineered/Advanced</v>
      </c>
      <c r="G297" s="8" t="str">
        <f>IFERROR(__xludf.DUMMYFUNCTION("""COMPUTED_VALUE"""),"Recycled/Waste")</f>
        <v>Recycled/Waste</v>
      </c>
      <c r="H297" s="8" t="str">
        <f>IFERROR(__xludf.DUMMYFUNCTION("""COMPUTED_VALUE"""),"Hybrid")</f>
        <v>Hybrid</v>
      </c>
    </row>
    <row r="298">
      <c r="A298" s="8" t="s">
        <v>151</v>
      </c>
      <c r="B298" s="8" t="str">
        <f>IFERROR(__xludf.DUMMYFUNCTION("""COMPUTED_VALUE"""),"Concrete")</f>
        <v>Concrete</v>
      </c>
      <c r="C298" s="8" t="str">
        <f>IFERROR(__xludf.DUMMYFUNCTION("""COMPUTED_VALUE"""),"Tires")</f>
        <v>Tires</v>
      </c>
      <c r="D298" s="8" t="str">
        <f>IFERROR(__xludf.DUMMYFUNCTION("""COMPUTED_VALUE"""),"Natural")</f>
        <v>Natural</v>
      </c>
      <c r="E298" s="8" t="str">
        <f>IFERROR(__xludf.DUMMYFUNCTION("""COMPUTED_VALUE"""),"Metal/Wreck")</f>
        <v>Metal/Wreck</v>
      </c>
      <c r="F298" s="8" t="str">
        <f>IFERROR(__xludf.DUMMYFUNCTION("""COMPUTED_VALUE"""),"Engineered/Advanced")</f>
        <v>Engineered/Advanced</v>
      </c>
      <c r="G298" s="8" t="str">
        <f>IFERROR(__xludf.DUMMYFUNCTION("""COMPUTED_VALUE"""),"Recycled/Waste")</f>
        <v>Recycled/Waste</v>
      </c>
      <c r="H298" s="8" t="str">
        <f>IFERROR(__xludf.DUMMYFUNCTION("""COMPUTED_VALUE"""),"Hybrid")</f>
        <v>Hybrid</v>
      </c>
    </row>
    <row r="299">
      <c r="A299" s="8" t="s">
        <v>151</v>
      </c>
      <c r="B299" s="8" t="str">
        <f>IFERROR(__xludf.DUMMYFUNCTION("""COMPUTED_VALUE"""),"Concrete")</f>
        <v>Concrete</v>
      </c>
      <c r="C299" s="8" t="str">
        <f>IFERROR(__xludf.DUMMYFUNCTION("""COMPUTED_VALUE"""),"Tires")</f>
        <v>Tires</v>
      </c>
      <c r="D299" s="8" t="str">
        <f>IFERROR(__xludf.DUMMYFUNCTION("""COMPUTED_VALUE"""),"Natural")</f>
        <v>Natural</v>
      </c>
      <c r="E299" s="8" t="str">
        <f>IFERROR(__xludf.DUMMYFUNCTION("""COMPUTED_VALUE"""),"Metal/Wreck")</f>
        <v>Metal/Wreck</v>
      </c>
      <c r="F299" s="8" t="str">
        <f>IFERROR(__xludf.DUMMYFUNCTION("""COMPUTED_VALUE"""),"Engineered/Advanced")</f>
        <v>Engineered/Advanced</v>
      </c>
      <c r="G299" s="8" t="str">
        <f>IFERROR(__xludf.DUMMYFUNCTION("""COMPUTED_VALUE"""),"Recycled/Waste")</f>
        <v>Recycled/Waste</v>
      </c>
      <c r="H299" s="8" t="str">
        <f>IFERROR(__xludf.DUMMYFUNCTION("""COMPUTED_VALUE"""),"Hybrid")</f>
        <v>Hybrid</v>
      </c>
    </row>
    <row r="300">
      <c r="A300" s="8" t="s">
        <v>151</v>
      </c>
      <c r="B300" s="8" t="str">
        <f>IFERROR(__xludf.DUMMYFUNCTION("""COMPUTED_VALUE"""),"Concrete")</f>
        <v>Concrete</v>
      </c>
      <c r="C300" s="8" t="str">
        <f>IFERROR(__xludf.DUMMYFUNCTION("""COMPUTED_VALUE"""),"Tires")</f>
        <v>Tires</v>
      </c>
      <c r="D300" s="8" t="str">
        <f>IFERROR(__xludf.DUMMYFUNCTION("""COMPUTED_VALUE"""),"Natural")</f>
        <v>Natural</v>
      </c>
      <c r="E300" s="8" t="str">
        <f>IFERROR(__xludf.DUMMYFUNCTION("""COMPUTED_VALUE"""),"Metal/Wreck")</f>
        <v>Metal/Wreck</v>
      </c>
      <c r="F300" s="8" t="str">
        <f>IFERROR(__xludf.DUMMYFUNCTION("""COMPUTED_VALUE"""),"Engineered/Advanced")</f>
        <v>Engineered/Advanced</v>
      </c>
      <c r="G300" s="8" t="str">
        <f>IFERROR(__xludf.DUMMYFUNCTION("""COMPUTED_VALUE"""),"Recycled/Waste")</f>
        <v>Recycled/Waste</v>
      </c>
      <c r="H300" s="8" t="str">
        <f>IFERROR(__xludf.DUMMYFUNCTION("""COMPUTED_VALUE"""),"Hybrid")</f>
        <v>Hybrid</v>
      </c>
    </row>
    <row r="301">
      <c r="A301" s="8" t="s">
        <v>151</v>
      </c>
      <c r="B301" s="8" t="str">
        <f>IFERROR(__xludf.DUMMYFUNCTION("""COMPUTED_VALUE"""),"Concrete")</f>
        <v>Concrete</v>
      </c>
      <c r="C301" s="8" t="str">
        <f>IFERROR(__xludf.DUMMYFUNCTION("""COMPUTED_VALUE"""),"Tires")</f>
        <v>Tires</v>
      </c>
      <c r="D301" s="8" t="str">
        <f>IFERROR(__xludf.DUMMYFUNCTION("""COMPUTED_VALUE"""),"Natural")</f>
        <v>Natural</v>
      </c>
      <c r="E301" s="8" t="str">
        <f>IFERROR(__xludf.DUMMYFUNCTION("""COMPUTED_VALUE"""),"Metal/Wreck")</f>
        <v>Metal/Wreck</v>
      </c>
      <c r="F301" s="8" t="str">
        <f>IFERROR(__xludf.DUMMYFUNCTION("""COMPUTED_VALUE"""),"Engineered/Advanced")</f>
        <v>Engineered/Advanced</v>
      </c>
      <c r="G301" s="8" t="str">
        <f>IFERROR(__xludf.DUMMYFUNCTION("""COMPUTED_VALUE"""),"Recycled/Waste")</f>
        <v>Recycled/Waste</v>
      </c>
      <c r="H301" s="8" t="str">
        <f>IFERROR(__xludf.DUMMYFUNCTION("""COMPUTED_VALUE"""),"Hybrid")</f>
        <v>Hybrid</v>
      </c>
    </row>
    <row r="302">
      <c r="A302" s="8" t="s">
        <v>151</v>
      </c>
      <c r="B302" s="8" t="str">
        <f>IFERROR(__xludf.DUMMYFUNCTION("""COMPUTED_VALUE"""),"Concrete")</f>
        <v>Concrete</v>
      </c>
      <c r="C302" s="8" t="str">
        <f>IFERROR(__xludf.DUMMYFUNCTION("""COMPUTED_VALUE"""),"Tires")</f>
        <v>Tires</v>
      </c>
      <c r="D302" s="8" t="str">
        <f>IFERROR(__xludf.DUMMYFUNCTION("""COMPUTED_VALUE"""),"Natural")</f>
        <v>Natural</v>
      </c>
      <c r="E302" s="8" t="str">
        <f>IFERROR(__xludf.DUMMYFUNCTION("""COMPUTED_VALUE"""),"Metal/Wreck")</f>
        <v>Metal/Wreck</v>
      </c>
      <c r="F302" s="8" t="str">
        <f>IFERROR(__xludf.DUMMYFUNCTION("""COMPUTED_VALUE"""),"Engineered/Advanced")</f>
        <v>Engineered/Advanced</v>
      </c>
      <c r="G302" s="8" t="str">
        <f>IFERROR(__xludf.DUMMYFUNCTION("""COMPUTED_VALUE"""),"Recycled/Waste")</f>
        <v>Recycled/Waste</v>
      </c>
      <c r="H302" s="8" t="str">
        <f>IFERROR(__xludf.DUMMYFUNCTION("""COMPUTED_VALUE"""),"Hybrid")</f>
        <v>Hybrid</v>
      </c>
    </row>
    <row r="303">
      <c r="A303" s="8" t="s">
        <v>151</v>
      </c>
      <c r="B303" s="8" t="str">
        <f>IFERROR(__xludf.DUMMYFUNCTION("""COMPUTED_VALUE"""),"Concrete")</f>
        <v>Concrete</v>
      </c>
      <c r="C303" s="8" t="str">
        <f>IFERROR(__xludf.DUMMYFUNCTION("""COMPUTED_VALUE"""),"Tires")</f>
        <v>Tires</v>
      </c>
      <c r="D303" s="8" t="str">
        <f>IFERROR(__xludf.DUMMYFUNCTION("""COMPUTED_VALUE"""),"Natural")</f>
        <v>Natural</v>
      </c>
      <c r="E303" s="8" t="str">
        <f>IFERROR(__xludf.DUMMYFUNCTION("""COMPUTED_VALUE"""),"Metal/Wreck")</f>
        <v>Metal/Wreck</v>
      </c>
      <c r="F303" s="8" t="str">
        <f>IFERROR(__xludf.DUMMYFUNCTION("""COMPUTED_VALUE"""),"Engineered/Advanced")</f>
        <v>Engineered/Advanced</v>
      </c>
      <c r="G303" s="8" t="str">
        <f>IFERROR(__xludf.DUMMYFUNCTION("""COMPUTED_VALUE"""),"Recycled/Waste")</f>
        <v>Recycled/Waste</v>
      </c>
      <c r="H303" s="8" t="str">
        <f>IFERROR(__xludf.DUMMYFUNCTION("""COMPUTED_VALUE"""),"Hybrid")</f>
        <v>Hybrid</v>
      </c>
    </row>
    <row r="304">
      <c r="A304" s="8" t="s">
        <v>151</v>
      </c>
      <c r="B304" s="8" t="str">
        <f>IFERROR(__xludf.DUMMYFUNCTION("""COMPUTED_VALUE"""),"Concrete")</f>
        <v>Concrete</v>
      </c>
      <c r="C304" s="8" t="str">
        <f>IFERROR(__xludf.DUMMYFUNCTION("""COMPUTED_VALUE"""),"Tires")</f>
        <v>Tires</v>
      </c>
      <c r="D304" s="8" t="str">
        <f>IFERROR(__xludf.DUMMYFUNCTION("""COMPUTED_VALUE"""),"Natural")</f>
        <v>Natural</v>
      </c>
      <c r="E304" s="8" t="str">
        <f>IFERROR(__xludf.DUMMYFUNCTION("""COMPUTED_VALUE"""),"Metal/Wreck")</f>
        <v>Metal/Wreck</v>
      </c>
      <c r="F304" s="8" t="str">
        <f>IFERROR(__xludf.DUMMYFUNCTION("""COMPUTED_VALUE"""),"Engineered/Advanced")</f>
        <v>Engineered/Advanced</v>
      </c>
      <c r="G304" s="8" t="str">
        <f>IFERROR(__xludf.DUMMYFUNCTION("""COMPUTED_VALUE"""),"Recycled/Waste")</f>
        <v>Recycled/Waste</v>
      </c>
      <c r="H304" s="8" t="str">
        <f>IFERROR(__xludf.DUMMYFUNCTION("""COMPUTED_VALUE"""),"Hybrid")</f>
        <v>Hybrid</v>
      </c>
    </row>
    <row r="305">
      <c r="A305" s="8" t="s">
        <v>151</v>
      </c>
      <c r="B305" s="8" t="str">
        <f>IFERROR(__xludf.DUMMYFUNCTION("""COMPUTED_VALUE"""),"Concrete")</f>
        <v>Concrete</v>
      </c>
      <c r="C305" s="8" t="str">
        <f>IFERROR(__xludf.DUMMYFUNCTION("""COMPUTED_VALUE"""),"Tires")</f>
        <v>Tires</v>
      </c>
      <c r="D305" s="8" t="str">
        <f>IFERROR(__xludf.DUMMYFUNCTION("""COMPUTED_VALUE"""),"Natural")</f>
        <v>Natural</v>
      </c>
      <c r="E305" s="8" t="str">
        <f>IFERROR(__xludf.DUMMYFUNCTION("""COMPUTED_VALUE"""),"Metal/Wreck")</f>
        <v>Metal/Wreck</v>
      </c>
      <c r="F305" s="8" t="str">
        <f>IFERROR(__xludf.DUMMYFUNCTION("""COMPUTED_VALUE"""),"Engineered/Advanced")</f>
        <v>Engineered/Advanced</v>
      </c>
      <c r="G305" s="8" t="str">
        <f>IFERROR(__xludf.DUMMYFUNCTION("""COMPUTED_VALUE"""),"Recycled/Waste")</f>
        <v>Recycled/Waste</v>
      </c>
      <c r="H305" s="8" t="str">
        <f>IFERROR(__xludf.DUMMYFUNCTION("""COMPUTED_VALUE"""),"Hybrid")</f>
        <v>Hybrid</v>
      </c>
    </row>
    <row r="306">
      <c r="A306" s="8" t="s">
        <v>151</v>
      </c>
      <c r="B306" s="8" t="str">
        <f>IFERROR(__xludf.DUMMYFUNCTION("""COMPUTED_VALUE"""),"Concrete")</f>
        <v>Concrete</v>
      </c>
      <c r="C306" s="8" t="str">
        <f>IFERROR(__xludf.DUMMYFUNCTION("""COMPUTED_VALUE"""),"Tires")</f>
        <v>Tires</v>
      </c>
      <c r="D306" s="8" t="str">
        <f>IFERROR(__xludf.DUMMYFUNCTION("""COMPUTED_VALUE"""),"Natural")</f>
        <v>Natural</v>
      </c>
      <c r="E306" s="8" t="str">
        <f>IFERROR(__xludf.DUMMYFUNCTION("""COMPUTED_VALUE"""),"Metal/Wreck")</f>
        <v>Metal/Wreck</v>
      </c>
      <c r="F306" s="8" t="str">
        <f>IFERROR(__xludf.DUMMYFUNCTION("""COMPUTED_VALUE"""),"Engineered/Advanced")</f>
        <v>Engineered/Advanced</v>
      </c>
      <c r="G306" s="8" t="str">
        <f>IFERROR(__xludf.DUMMYFUNCTION("""COMPUTED_VALUE"""),"Recycled/Waste")</f>
        <v>Recycled/Waste</v>
      </c>
      <c r="H306" s="8" t="str">
        <f>IFERROR(__xludf.DUMMYFUNCTION("""COMPUTED_VALUE"""),"Hybrid")</f>
        <v>Hybrid</v>
      </c>
    </row>
    <row r="307">
      <c r="A307" s="8" t="s">
        <v>151</v>
      </c>
      <c r="B307" s="8" t="str">
        <f>IFERROR(__xludf.DUMMYFUNCTION("""COMPUTED_VALUE"""),"Concrete")</f>
        <v>Concrete</v>
      </c>
      <c r="C307" s="8" t="str">
        <f>IFERROR(__xludf.DUMMYFUNCTION("""COMPUTED_VALUE"""),"Tires")</f>
        <v>Tires</v>
      </c>
      <c r="D307" s="8" t="str">
        <f>IFERROR(__xludf.DUMMYFUNCTION("""COMPUTED_VALUE"""),"Natural")</f>
        <v>Natural</v>
      </c>
      <c r="E307" s="8" t="str">
        <f>IFERROR(__xludf.DUMMYFUNCTION("""COMPUTED_VALUE"""),"Metal/Wreck")</f>
        <v>Metal/Wreck</v>
      </c>
      <c r="F307" s="8" t="str">
        <f>IFERROR(__xludf.DUMMYFUNCTION("""COMPUTED_VALUE"""),"Engineered/Advanced")</f>
        <v>Engineered/Advanced</v>
      </c>
      <c r="G307" s="8" t="str">
        <f>IFERROR(__xludf.DUMMYFUNCTION("""COMPUTED_VALUE"""),"Recycled/Waste")</f>
        <v>Recycled/Waste</v>
      </c>
      <c r="H307" s="8" t="str">
        <f>IFERROR(__xludf.DUMMYFUNCTION("""COMPUTED_VALUE"""),"Hybrid")</f>
        <v>Hybrid</v>
      </c>
    </row>
    <row r="308">
      <c r="A308" s="8" t="s">
        <v>151</v>
      </c>
      <c r="B308" s="8" t="str">
        <f>IFERROR(__xludf.DUMMYFUNCTION("""COMPUTED_VALUE"""),"Concrete")</f>
        <v>Concrete</v>
      </c>
      <c r="C308" s="8" t="str">
        <f>IFERROR(__xludf.DUMMYFUNCTION("""COMPUTED_VALUE"""),"Tires")</f>
        <v>Tires</v>
      </c>
      <c r="D308" s="8" t="str">
        <f>IFERROR(__xludf.DUMMYFUNCTION("""COMPUTED_VALUE"""),"Natural")</f>
        <v>Natural</v>
      </c>
      <c r="E308" s="8" t="str">
        <f>IFERROR(__xludf.DUMMYFUNCTION("""COMPUTED_VALUE"""),"Metal/Wreck")</f>
        <v>Metal/Wreck</v>
      </c>
      <c r="F308" s="8" t="str">
        <f>IFERROR(__xludf.DUMMYFUNCTION("""COMPUTED_VALUE"""),"Engineered/Advanced")</f>
        <v>Engineered/Advanced</v>
      </c>
      <c r="G308" s="8" t="str">
        <f>IFERROR(__xludf.DUMMYFUNCTION("""COMPUTED_VALUE"""),"Recycled/Waste")</f>
        <v>Recycled/Waste</v>
      </c>
      <c r="H308" s="8" t="str">
        <f>IFERROR(__xludf.DUMMYFUNCTION("""COMPUTED_VALUE"""),"Hybrid")</f>
        <v>Hybrid</v>
      </c>
    </row>
    <row r="309">
      <c r="A309" s="8" t="s">
        <v>151</v>
      </c>
      <c r="B309" s="8" t="str">
        <f>IFERROR(__xludf.DUMMYFUNCTION("""COMPUTED_VALUE"""),"Concrete")</f>
        <v>Concrete</v>
      </c>
      <c r="C309" s="8" t="str">
        <f>IFERROR(__xludf.DUMMYFUNCTION("""COMPUTED_VALUE"""),"Tires")</f>
        <v>Tires</v>
      </c>
      <c r="D309" s="8" t="str">
        <f>IFERROR(__xludf.DUMMYFUNCTION("""COMPUTED_VALUE"""),"Natural")</f>
        <v>Natural</v>
      </c>
      <c r="E309" s="8" t="str">
        <f>IFERROR(__xludf.DUMMYFUNCTION("""COMPUTED_VALUE"""),"Metal/Wreck")</f>
        <v>Metal/Wreck</v>
      </c>
      <c r="F309" s="8" t="str">
        <f>IFERROR(__xludf.DUMMYFUNCTION("""COMPUTED_VALUE"""),"Engineered/Advanced")</f>
        <v>Engineered/Advanced</v>
      </c>
      <c r="G309" s="8" t="str">
        <f>IFERROR(__xludf.DUMMYFUNCTION("""COMPUTED_VALUE"""),"Recycled/Waste")</f>
        <v>Recycled/Waste</v>
      </c>
      <c r="H309" s="8" t="str">
        <f>IFERROR(__xludf.DUMMYFUNCTION("""COMPUTED_VALUE"""),"Hybrid")</f>
        <v>Hybrid</v>
      </c>
    </row>
    <row r="310">
      <c r="A310" s="8" t="s">
        <v>264</v>
      </c>
      <c r="B310" s="8" t="str">
        <f>IFERROR(__xludf.DUMMYFUNCTION("""COMPUTED_VALUE"""),"#N/A")</f>
        <v>#N/A</v>
      </c>
      <c r="C310" s="8"/>
      <c r="D310" s="8"/>
      <c r="E310" s="8"/>
      <c r="F310" s="8"/>
      <c r="G310" s="8"/>
      <c r="H310" s="8"/>
    </row>
    <row r="311">
      <c r="A311" s="8" t="s">
        <v>2226</v>
      </c>
      <c r="B311" s="8" t="str">
        <f>IFERROR(__xludf.DUMMYFUNCTION("""COMPUTED_VALUE"""),"#N/A")</f>
        <v>#N/A</v>
      </c>
      <c r="C311" s="8"/>
      <c r="D311" s="8"/>
      <c r="E311" s="8"/>
      <c r="F311" s="8"/>
      <c r="G311" s="8"/>
      <c r="H311" s="8"/>
    </row>
    <row r="312">
      <c r="A312" s="8" t="s">
        <v>264</v>
      </c>
      <c r="B312" s="8" t="str">
        <f>IFERROR(__xludf.DUMMYFUNCTION("""COMPUTED_VALUE"""),"#N/A")</f>
        <v>#N/A</v>
      </c>
      <c r="C312" s="8"/>
      <c r="D312" s="8"/>
      <c r="E312" s="8"/>
      <c r="F312" s="8"/>
      <c r="G312" s="8"/>
      <c r="H312" s="8"/>
    </row>
    <row r="313">
      <c r="A313" s="8" t="s">
        <v>178</v>
      </c>
      <c r="B313" s="8" t="str">
        <f>IFERROR(__xludf.DUMMYFUNCTION("""COMPUTED_VALUE"""),"Not applicable")</f>
        <v>Not applicable</v>
      </c>
      <c r="C313" s="8"/>
      <c r="D313" s="8"/>
      <c r="E313" s="8"/>
      <c r="F313" s="8"/>
      <c r="G313" s="8"/>
      <c r="H313" s="8"/>
    </row>
    <row r="314">
      <c r="A314" s="8" t="s">
        <v>264</v>
      </c>
      <c r="B314" s="8" t="str">
        <f>IFERROR(__xludf.DUMMYFUNCTION("""COMPUTED_VALUE"""),"#N/A")</f>
        <v>#N/A</v>
      </c>
      <c r="C314" s="8"/>
      <c r="D314" s="8"/>
      <c r="E314" s="8"/>
      <c r="F314" s="8"/>
      <c r="G314" s="8"/>
      <c r="H314" s="8"/>
    </row>
    <row r="315">
      <c r="A315" s="8" t="s">
        <v>319</v>
      </c>
      <c r="B315" s="8" t="str">
        <f>IFERROR(__xludf.DUMMYFUNCTION("""COMPUTED_VALUE"""),"Not applicable")</f>
        <v>Not applicable</v>
      </c>
      <c r="C315" s="8"/>
      <c r="D315" s="8"/>
      <c r="E315" s="8"/>
      <c r="F315" s="8"/>
      <c r="G315" s="8"/>
      <c r="H315" s="8"/>
    </row>
    <row r="316">
      <c r="A316" s="8" t="s">
        <v>151</v>
      </c>
      <c r="B316" s="8" t="str">
        <f>IFERROR(__xludf.DUMMYFUNCTION("""COMPUTED_VALUE"""),"Concrete")</f>
        <v>Concrete</v>
      </c>
      <c r="C316" s="8" t="str">
        <f>IFERROR(__xludf.DUMMYFUNCTION("""COMPUTED_VALUE"""),"Tires")</f>
        <v>Tires</v>
      </c>
      <c r="D316" s="8" t="str">
        <f>IFERROR(__xludf.DUMMYFUNCTION("""COMPUTED_VALUE"""),"Natural")</f>
        <v>Natural</v>
      </c>
      <c r="E316" s="8" t="str">
        <f>IFERROR(__xludf.DUMMYFUNCTION("""COMPUTED_VALUE"""),"Metal/Wreck")</f>
        <v>Metal/Wreck</v>
      </c>
      <c r="F316" s="8" t="str">
        <f>IFERROR(__xludf.DUMMYFUNCTION("""COMPUTED_VALUE"""),"Engineered/Advanced")</f>
        <v>Engineered/Advanced</v>
      </c>
      <c r="G316" s="8" t="str">
        <f>IFERROR(__xludf.DUMMYFUNCTION("""COMPUTED_VALUE"""),"Recycled/Waste")</f>
        <v>Recycled/Waste</v>
      </c>
      <c r="H316" s="8" t="str">
        <f>IFERROR(__xludf.DUMMYFUNCTION("""COMPUTED_VALUE"""),"Hybrid")</f>
        <v>Hybrid</v>
      </c>
    </row>
    <row r="317">
      <c r="A317" s="8" t="s">
        <v>178</v>
      </c>
      <c r="B317" s="8" t="str">
        <f>IFERROR(__xludf.DUMMYFUNCTION("""COMPUTED_VALUE"""),"Not applicable")</f>
        <v>Not applicable</v>
      </c>
      <c r="C317" s="8"/>
      <c r="D317" s="8"/>
      <c r="E317" s="8"/>
      <c r="F317" s="8"/>
      <c r="G317" s="8"/>
      <c r="H317" s="8"/>
    </row>
    <row r="318">
      <c r="A318" s="8" t="s">
        <v>151</v>
      </c>
      <c r="B318" s="8" t="str">
        <f>IFERROR(__xludf.DUMMYFUNCTION("""COMPUTED_VALUE"""),"Concrete")</f>
        <v>Concrete</v>
      </c>
      <c r="C318" s="8" t="str">
        <f>IFERROR(__xludf.DUMMYFUNCTION("""COMPUTED_VALUE"""),"Tires")</f>
        <v>Tires</v>
      </c>
      <c r="D318" s="8" t="str">
        <f>IFERROR(__xludf.DUMMYFUNCTION("""COMPUTED_VALUE"""),"Natural")</f>
        <v>Natural</v>
      </c>
      <c r="E318" s="8" t="str">
        <f>IFERROR(__xludf.DUMMYFUNCTION("""COMPUTED_VALUE"""),"Metal/Wreck")</f>
        <v>Metal/Wreck</v>
      </c>
      <c r="F318" s="8" t="str">
        <f>IFERROR(__xludf.DUMMYFUNCTION("""COMPUTED_VALUE"""),"Engineered/Advanced")</f>
        <v>Engineered/Advanced</v>
      </c>
      <c r="G318" s="8" t="str">
        <f>IFERROR(__xludf.DUMMYFUNCTION("""COMPUTED_VALUE"""),"Recycled/Waste")</f>
        <v>Recycled/Waste</v>
      </c>
      <c r="H318" s="8" t="str">
        <f>IFERROR(__xludf.DUMMYFUNCTION("""COMPUTED_VALUE"""),"Hybrid")</f>
        <v>Hybrid</v>
      </c>
    </row>
    <row r="319">
      <c r="A319" s="8" t="s">
        <v>151</v>
      </c>
      <c r="B319" s="8" t="str">
        <f>IFERROR(__xludf.DUMMYFUNCTION("""COMPUTED_VALUE"""),"Concrete")</f>
        <v>Concrete</v>
      </c>
      <c r="C319" s="8" t="str">
        <f>IFERROR(__xludf.DUMMYFUNCTION("""COMPUTED_VALUE"""),"Tires")</f>
        <v>Tires</v>
      </c>
      <c r="D319" s="8" t="str">
        <f>IFERROR(__xludf.DUMMYFUNCTION("""COMPUTED_VALUE"""),"Natural")</f>
        <v>Natural</v>
      </c>
      <c r="E319" s="8" t="str">
        <f>IFERROR(__xludf.DUMMYFUNCTION("""COMPUTED_VALUE"""),"Metal/Wreck")</f>
        <v>Metal/Wreck</v>
      </c>
      <c r="F319" s="8" t="str">
        <f>IFERROR(__xludf.DUMMYFUNCTION("""COMPUTED_VALUE"""),"Engineered/Advanced")</f>
        <v>Engineered/Advanced</v>
      </c>
      <c r="G319" s="8" t="str">
        <f>IFERROR(__xludf.DUMMYFUNCTION("""COMPUTED_VALUE"""),"Recycled/Waste")</f>
        <v>Recycled/Waste</v>
      </c>
      <c r="H319" s="8" t="str">
        <f>IFERROR(__xludf.DUMMYFUNCTION("""COMPUTED_VALUE"""),"Hybrid")</f>
        <v>Hybrid</v>
      </c>
    </row>
    <row r="320">
      <c r="A320" s="8" t="s">
        <v>151</v>
      </c>
      <c r="B320" s="8" t="str">
        <f>IFERROR(__xludf.DUMMYFUNCTION("""COMPUTED_VALUE"""),"Concrete")</f>
        <v>Concrete</v>
      </c>
      <c r="C320" s="8" t="str">
        <f>IFERROR(__xludf.DUMMYFUNCTION("""COMPUTED_VALUE"""),"Tires")</f>
        <v>Tires</v>
      </c>
      <c r="D320" s="8" t="str">
        <f>IFERROR(__xludf.DUMMYFUNCTION("""COMPUTED_VALUE"""),"Natural")</f>
        <v>Natural</v>
      </c>
      <c r="E320" s="8" t="str">
        <f>IFERROR(__xludf.DUMMYFUNCTION("""COMPUTED_VALUE"""),"Metal/Wreck")</f>
        <v>Metal/Wreck</v>
      </c>
      <c r="F320" s="8" t="str">
        <f>IFERROR(__xludf.DUMMYFUNCTION("""COMPUTED_VALUE"""),"Engineered/Advanced")</f>
        <v>Engineered/Advanced</v>
      </c>
      <c r="G320" s="8" t="str">
        <f>IFERROR(__xludf.DUMMYFUNCTION("""COMPUTED_VALUE"""),"Recycled/Waste")</f>
        <v>Recycled/Waste</v>
      </c>
      <c r="H320" s="8" t="str">
        <f>IFERROR(__xludf.DUMMYFUNCTION("""COMPUTED_VALUE"""),"Hybrid")</f>
        <v>Hybrid</v>
      </c>
    </row>
    <row r="321">
      <c r="A321" s="8" t="s">
        <v>151</v>
      </c>
      <c r="B321" s="8" t="str">
        <f>IFERROR(__xludf.DUMMYFUNCTION("""COMPUTED_VALUE"""),"Concrete")</f>
        <v>Concrete</v>
      </c>
      <c r="C321" s="8" t="str">
        <f>IFERROR(__xludf.DUMMYFUNCTION("""COMPUTED_VALUE"""),"Tires")</f>
        <v>Tires</v>
      </c>
      <c r="D321" s="8" t="str">
        <f>IFERROR(__xludf.DUMMYFUNCTION("""COMPUTED_VALUE"""),"Natural")</f>
        <v>Natural</v>
      </c>
      <c r="E321" s="8" t="str">
        <f>IFERROR(__xludf.DUMMYFUNCTION("""COMPUTED_VALUE"""),"Metal/Wreck")</f>
        <v>Metal/Wreck</v>
      </c>
      <c r="F321" s="8" t="str">
        <f>IFERROR(__xludf.DUMMYFUNCTION("""COMPUTED_VALUE"""),"Engineered/Advanced")</f>
        <v>Engineered/Advanced</v>
      </c>
      <c r="G321" s="8" t="str">
        <f>IFERROR(__xludf.DUMMYFUNCTION("""COMPUTED_VALUE"""),"Recycled/Waste")</f>
        <v>Recycled/Waste</v>
      </c>
      <c r="H321" s="8" t="str">
        <f>IFERROR(__xludf.DUMMYFUNCTION("""COMPUTED_VALUE"""),"Hybrid")</f>
        <v>Hybrid</v>
      </c>
    </row>
    <row r="322">
      <c r="A322" s="8" t="s">
        <v>178</v>
      </c>
      <c r="B322" s="8" t="str">
        <f>IFERROR(__xludf.DUMMYFUNCTION("""COMPUTED_VALUE"""),"Not applicable")</f>
        <v>Not applicable</v>
      </c>
      <c r="C322" s="8"/>
      <c r="D322" s="8"/>
      <c r="E322" s="8"/>
      <c r="F322" s="8"/>
      <c r="G322" s="8"/>
      <c r="H322" s="8"/>
    </row>
    <row r="323">
      <c r="A323" s="8" t="s">
        <v>319</v>
      </c>
      <c r="B323" s="8" t="str">
        <f>IFERROR(__xludf.DUMMYFUNCTION("""COMPUTED_VALUE"""),"Not applicable")</f>
        <v>Not applicable</v>
      </c>
      <c r="C323" s="8"/>
      <c r="D323" s="8"/>
      <c r="E323" s="8"/>
      <c r="F323" s="8"/>
      <c r="G323" s="8"/>
      <c r="H323" s="8"/>
    </row>
    <row r="324">
      <c r="A324" s="8" t="s">
        <v>926</v>
      </c>
      <c r="B324" s="8" t="str">
        <f>IFERROR(__xludf.DUMMYFUNCTION("""COMPUTED_VALUE"""),"#N/A")</f>
        <v>#N/A</v>
      </c>
      <c r="C324" s="8"/>
      <c r="D324" s="8"/>
      <c r="E324" s="8"/>
      <c r="F324" s="8"/>
      <c r="G324" s="8"/>
      <c r="H324" s="8"/>
    </row>
    <row r="325">
      <c r="A325" s="8" t="s">
        <v>926</v>
      </c>
      <c r="B325" s="8" t="str">
        <f>IFERROR(__xludf.DUMMYFUNCTION("""COMPUTED_VALUE"""),"#N/A")</f>
        <v>#N/A</v>
      </c>
      <c r="C325" s="8"/>
      <c r="D325" s="8"/>
      <c r="E325" s="8"/>
      <c r="F325" s="8"/>
      <c r="G325" s="8"/>
      <c r="H325" s="8"/>
    </row>
    <row r="326">
      <c r="A326" s="8" t="s">
        <v>926</v>
      </c>
      <c r="B326" s="8" t="str">
        <f>IFERROR(__xludf.DUMMYFUNCTION("""COMPUTED_VALUE"""),"#N/A")</f>
        <v>#N/A</v>
      </c>
      <c r="C326" s="8"/>
      <c r="D326" s="8"/>
      <c r="E326" s="8"/>
      <c r="F326" s="8"/>
      <c r="G326" s="8"/>
      <c r="H326" s="8"/>
    </row>
    <row r="327">
      <c r="A327" s="8" t="s">
        <v>151</v>
      </c>
      <c r="B327" s="8" t="str">
        <f>IFERROR(__xludf.DUMMYFUNCTION("""COMPUTED_VALUE"""),"Concrete")</f>
        <v>Concrete</v>
      </c>
      <c r="C327" s="8" t="str">
        <f>IFERROR(__xludf.DUMMYFUNCTION("""COMPUTED_VALUE"""),"Tires")</f>
        <v>Tires</v>
      </c>
      <c r="D327" s="8" t="str">
        <f>IFERROR(__xludf.DUMMYFUNCTION("""COMPUTED_VALUE"""),"Natural")</f>
        <v>Natural</v>
      </c>
      <c r="E327" s="8" t="str">
        <f>IFERROR(__xludf.DUMMYFUNCTION("""COMPUTED_VALUE"""),"Metal/Wreck")</f>
        <v>Metal/Wreck</v>
      </c>
      <c r="F327" s="8" t="str">
        <f>IFERROR(__xludf.DUMMYFUNCTION("""COMPUTED_VALUE"""),"Engineered/Advanced")</f>
        <v>Engineered/Advanced</v>
      </c>
      <c r="G327" s="8" t="str">
        <f>IFERROR(__xludf.DUMMYFUNCTION("""COMPUTED_VALUE"""),"Recycled/Waste")</f>
        <v>Recycled/Waste</v>
      </c>
      <c r="H327" s="8" t="str">
        <f>IFERROR(__xludf.DUMMYFUNCTION("""COMPUTED_VALUE"""),"Hybrid")</f>
        <v>Hybrid</v>
      </c>
    </row>
    <row r="328">
      <c r="A328" s="8" t="s">
        <v>151</v>
      </c>
      <c r="B328" s="8" t="str">
        <f>IFERROR(__xludf.DUMMYFUNCTION("""COMPUTED_VALUE"""),"Concrete")</f>
        <v>Concrete</v>
      </c>
      <c r="C328" s="8" t="str">
        <f>IFERROR(__xludf.DUMMYFUNCTION("""COMPUTED_VALUE"""),"Tires")</f>
        <v>Tires</v>
      </c>
      <c r="D328" s="8" t="str">
        <f>IFERROR(__xludf.DUMMYFUNCTION("""COMPUTED_VALUE"""),"Natural")</f>
        <v>Natural</v>
      </c>
      <c r="E328" s="8" t="str">
        <f>IFERROR(__xludf.DUMMYFUNCTION("""COMPUTED_VALUE"""),"Metal/Wreck")</f>
        <v>Metal/Wreck</v>
      </c>
      <c r="F328" s="8" t="str">
        <f>IFERROR(__xludf.DUMMYFUNCTION("""COMPUTED_VALUE"""),"Engineered/Advanced")</f>
        <v>Engineered/Advanced</v>
      </c>
      <c r="G328" s="8" t="str">
        <f>IFERROR(__xludf.DUMMYFUNCTION("""COMPUTED_VALUE"""),"Recycled/Waste")</f>
        <v>Recycled/Waste</v>
      </c>
      <c r="H328" s="8" t="str">
        <f>IFERROR(__xludf.DUMMYFUNCTION("""COMPUTED_VALUE"""),"Hybrid")</f>
        <v>Hybrid</v>
      </c>
    </row>
    <row r="329">
      <c r="A329" s="8" t="s">
        <v>319</v>
      </c>
      <c r="B329" s="8" t="str">
        <f>IFERROR(__xludf.DUMMYFUNCTION("""COMPUTED_VALUE"""),"Not applicable")</f>
        <v>Not applicable</v>
      </c>
      <c r="C329" s="8"/>
      <c r="D329" s="8"/>
      <c r="E329" s="8"/>
      <c r="F329" s="8"/>
      <c r="G329" s="8"/>
      <c r="H329" s="8"/>
    </row>
    <row r="330">
      <c r="A330" s="8" t="s">
        <v>151</v>
      </c>
      <c r="B330" s="8" t="str">
        <f>IFERROR(__xludf.DUMMYFUNCTION("""COMPUTED_VALUE"""),"Concrete")</f>
        <v>Concrete</v>
      </c>
      <c r="C330" s="8" t="str">
        <f>IFERROR(__xludf.DUMMYFUNCTION("""COMPUTED_VALUE"""),"Tires")</f>
        <v>Tires</v>
      </c>
      <c r="D330" s="8" t="str">
        <f>IFERROR(__xludf.DUMMYFUNCTION("""COMPUTED_VALUE"""),"Natural")</f>
        <v>Natural</v>
      </c>
      <c r="E330" s="8" t="str">
        <f>IFERROR(__xludf.DUMMYFUNCTION("""COMPUTED_VALUE"""),"Metal/Wreck")</f>
        <v>Metal/Wreck</v>
      </c>
      <c r="F330" s="8" t="str">
        <f>IFERROR(__xludf.DUMMYFUNCTION("""COMPUTED_VALUE"""),"Engineered/Advanced")</f>
        <v>Engineered/Advanced</v>
      </c>
      <c r="G330" s="8" t="str">
        <f>IFERROR(__xludf.DUMMYFUNCTION("""COMPUTED_VALUE"""),"Recycled/Waste")</f>
        <v>Recycled/Waste</v>
      </c>
      <c r="H330" s="8" t="str">
        <f>IFERROR(__xludf.DUMMYFUNCTION("""COMPUTED_VALUE"""),"Hybrid")</f>
        <v>Hybrid</v>
      </c>
    </row>
    <row r="331">
      <c r="A331" s="8" t="s">
        <v>264</v>
      </c>
      <c r="B331" s="8" t="str">
        <f>IFERROR(__xludf.DUMMYFUNCTION("""COMPUTED_VALUE"""),"#N/A")</f>
        <v>#N/A</v>
      </c>
      <c r="C331" s="8"/>
      <c r="D331" s="8"/>
      <c r="E331" s="8"/>
      <c r="F331" s="8"/>
      <c r="G331" s="8"/>
      <c r="H331" s="8"/>
    </row>
    <row r="332">
      <c r="A332" s="8" t="s">
        <v>151</v>
      </c>
      <c r="B332" s="8" t="str">
        <f>IFERROR(__xludf.DUMMYFUNCTION("""COMPUTED_VALUE"""),"Concrete")</f>
        <v>Concrete</v>
      </c>
      <c r="C332" s="8" t="str">
        <f>IFERROR(__xludf.DUMMYFUNCTION("""COMPUTED_VALUE"""),"Tires")</f>
        <v>Tires</v>
      </c>
      <c r="D332" s="8" t="str">
        <f>IFERROR(__xludf.DUMMYFUNCTION("""COMPUTED_VALUE"""),"Natural")</f>
        <v>Natural</v>
      </c>
      <c r="E332" s="8" t="str">
        <f>IFERROR(__xludf.DUMMYFUNCTION("""COMPUTED_VALUE"""),"Metal/Wreck")</f>
        <v>Metal/Wreck</v>
      </c>
      <c r="F332" s="8" t="str">
        <f>IFERROR(__xludf.DUMMYFUNCTION("""COMPUTED_VALUE"""),"Engineered/Advanced")</f>
        <v>Engineered/Advanced</v>
      </c>
      <c r="G332" s="8" t="str">
        <f>IFERROR(__xludf.DUMMYFUNCTION("""COMPUTED_VALUE"""),"Recycled/Waste")</f>
        <v>Recycled/Waste</v>
      </c>
      <c r="H332" s="8" t="str">
        <f>IFERROR(__xludf.DUMMYFUNCTION("""COMPUTED_VALUE"""),"Hybrid")</f>
        <v>Hybrid</v>
      </c>
    </row>
    <row r="333">
      <c r="A333" s="8" t="s">
        <v>319</v>
      </c>
      <c r="B333" s="8" t="str">
        <f>IFERROR(__xludf.DUMMYFUNCTION("""COMPUTED_VALUE"""),"Not applicable")</f>
        <v>Not applicable</v>
      </c>
      <c r="C333" s="8"/>
      <c r="D333" s="8"/>
      <c r="E333" s="8"/>
      <c r="F333" s="8"/>
      <c r="G333" s="8"/>
      <c r="H333" s="8"/>
    </row>
    <row r="334">
      <c r="A334" s="8" t="s">
        <v>151</v>
      </c>
      <c r="B334" s="8" t="str">
        <f>IFERROR(__xludf.DUMMYFUNCTION("""COMPUTED_VALUE"""),"Concrete")</f>
        <v>Concrete</v>
      </c>
      <c r="C334" s="8" t="str">
        <f>IFERROR(__xludf.DUMMYFUNCTION("""COMPUTED_VALUE"""),"Tires")</f>
        <v>Tires</v>
      </c>
      <c r="D334" s="8" t="str">
        <f>IFERROR(__xludf.DUMMYFUNCTION("""COMPUTED_VALUE"""),"Natural")</f>
        <v>Natural</v>
      </c>
      <c r="E334" s="8" t="str">
        <f>IFERROR(__xludf.DUMMYFUNCTION("""COMPUTED_VALUE"""),"Metal/Wreck")</f>
        <v>Metal/Wreck</v>
      </c>
      <c r="F334" s="8" t="str">
        <f>IFERROR(__xludf.DUMMYFUNCTION("""COMPUTED_VALUE"""),"Engineered/Advanced")</f>
        <v>Engineered/Advanced</v>
      </c>
      <c r="G334" s="8" t="str">
        <f>IFERROR(__xludf.DUMMYFUNCTION("""COMPUTED_VALUE"""),"Recycled/Waste")</f>
        <v>Recycled/Waste</v>
      </c>
      <c r="H334" s="8" t="str">
        <f>IFERROR(__xludf.DUMMYFUNCTION("""COMPUTED_VALUE"""),"Hybrid")</f>
        <v>Hybrid</v>
      </c>
    </row>
    <row r="335">
      <c r="A335" s="8" t="s">
        <v>151</v>
      </c>
      <c r="B335" s="8" t="str">
        <f>IFERROR(__xludf.DUMMYFUNCTION("""COMPUTED_VALUE"""),"Concrete")</f>
        <v>Concrete</v>
      </c>
      <c r="C335" s="8" t="str">
        <f>IFERROR(__xludf.DUMMYFUNCTION("""COMPUTED_VALUE"""),"Tires")</f>
        <v>Tires</v>
      </c>
      <c r="D335" s="8" t="str">
        <f>IFERROR(__xludf.DUMMYFUNCTION("""COMPUTED_VALUE"""),"Natural")</f>
        <v>Natural</v>
      </c>
      <c r="E335" s="8" t="str">
        <f>IFERROR(__xludf.DUMMYFUNCTION("""COMPUTED_VALUE"""),"Metal/Wreck")</f>
        <v>Metal/Wreck</v>
      </c>
      <c r="F335" s="8" t="str">
        <f>IFERROR(__xludf.DUMMYFUNCTION("""COMPUTED_VALUE"""),"Engineered/Advanced")</f>
        <v>Engineered/Advanced</v>
      </c>
      <c r="G335" s="8" t="str">
        <f>IFERROR(__xludf.DUMMYFUNCTION("""COMPUTED_VALUE"""),"Recycled/Waste")</f>
        <v>Recycled/Waste</v>
      </c>
      <c r="H335" s="8" t="str">
        <f>IFERROR(__xludf.DUMMYFUNCTION("""COMPUTED_VALUE"""),"Hybrid")</f>
        <v>Hybrid</v>
      </c>
    </row>
    <row r="336">
      <c r="A336" s="8" t="s">
        <v>151</v>
      </c>
      <c r="B336" s="8" t="str">
        <f>IFERROR(__xludf.DUMMYFUNCTION("""COMPUTED_VALUE"""),"Concrete")</f>
        <v>Concrete</v>
      </c>
      <c r="C336" s="8" t="str">
        <f>IFERROR(__xludf.DUMMYFUNCTION("""COMPUTED_VALUE"""),"Tires")</f>
        <v>Tires</v>
      </c>
      <c r="D336" s="8" t="str">
        <f>IFERROR(__xludf.DUMMYFUNCTION("""COMPUTED_VALUE"""),"Natural")</f>
        <v>Natural</v>
      </c>
      <c r="E336" s="8" t="str">
        <f>IFERROR(__xludf.DUMMYFUNCTION("""COMPUTED_VALUE"""),"Metal/Wreck")</f>
        <v>Metal/Wreck</v>
      </c>
      <c r="F336" s="8" t="str">
        <f>IFERROR(__xludf.DUMMYFUNCTION("""COMPUTED_VALUE"""),"Engineered/Advanced")</f>
        <v>Engineered/Advanced</v>
      </c>
      <c r="G336" s="8" t="str">
        <f>IFERROR(__xludf.DUMMYFUNCTION("""COMPUTED_VALUE"""),"Recycled/Waste")</f>
        <v>Recycled/Waste</v>
      </c>
      <c r="H336" s="8" t="str">
        <f>IFERROR(__xludf.DUMMYFUNCTION("""COMPUTED_VALUE"""),"Hybrid")</f>
        <v>Hybrid</v>
      </c>
    </row>
    <row r="337">
      <c r="A337" s="8" t="s">
        <v>151</v>
      </c>
      <c r="B337" s="8" t="str">
        <f>IFERROR(__xludf.DUMMYFUNCTION("""COMPUTED_VALUE"""),"Concrete")</f>
        <v>Concrete</v>
      </c>
      <c r="C337" s="8" t="str">
        <f>IFERROR(__xludf.DUMMYFUNCTION("""COMPUTED_VALUE"""),"Tires")</f>
        <v>Tires</v>
      </c>
      <c r="D337" s="8" t="str">
        <f>IFERROR(__xludf.DUMMYFUNCTION("""COMPUTED_VALUE"""),"Natural")</f>
        <v>Natural</v>
      </c>
      <c r="E337" s="8" t="str">
        <f>IFERROR(__xludf.DUMMYFUNCTION("""COMPUTED_VALUE"""),"Metal/Wreck")</f>
        <v>Metal/Wreck</v>
      </c>
      <c r="F337" s="8" t="str">
        <f>IFERROR(__xludf.DUMMYFUNCTION("""COMPUTED_VALUE"""),"Engineered/Advanced")</f>
        <v>Engineered/Advanced</v>
      </c>
      <c r="G337" s="8" t="str">
        <f>IFERROR(__xludf.DUMMYFUNCTION("""COMPUTED_VALUE"""),"Recycled/Waste")</f>
        <v>Recycled/Waste</v>
      </c>
      <c r="H337" s="8" t="str">
        <f>IFERROR(__xludf.DUMMYFUNCTION("""COMPUTED_VALUE"""),"Hybrid")</f>
        <v>Hybrid</v>
      </c>
    </row>
    <row r="338">
      <c r="A338" s="8" t="s">
        <v>151</v>
      </c>
      <c r="B338" s="8" t="str">
        <f>IFERROR(__xludf.DUMMYFUNCTION("""COMPUTED_VALUE"""),"Concrete")</f>
        <v>Concrete</v>
      </c>
      <c r="C338" s="8" t="str">
        <f>IFERROR(__xludf.DUMMYFUNCTION("""COMPUTED_VALUE"""),"Tires")</f>
        <v>Tires</v>
      </c>
      <c r="D338" s="8" t="str">
        <f>IFERROR(__xludf.DUMMYFUNCTION("""COMPUTED_VALUE"""),"Natural")</f>
        <v>Natural</v>
      </c>
      <c r="E338" s="8" t="str">
        <f>IFERROR(__xludf.DUMMYFUNCTION("""COMPUTED_VALUE"""),"Metal/Wreck")</f>
        <v>Metal/Wreck</v>
      </c>
      <c r="F338" s="8" t="str">
        <f>IFERROR(__xludf.DUMMYFUNCTION("""COMPUTED_VALUE"""),"Engineered/Advanced")</f>
        <v>Engineered/Advanced</v>
      </c>
      <c r="G338" s="8" t="str">
        <f>IFERROR(__xludf.DUMMYFUNCTION("""COMPUTED_VALUE"""),"Recycled/Waste")</f>
        <v>Recycled/Waste</v>
      </c>
      <c r="H338" s="8" t="str">
        <f>IFERROR(__xludf.DUMMYFUNCTION("""COMPUTED_VALUE"""),"Hybrid")</f>
        <v>Hybrid</v>
      </c>
    </row>
    <row r="339">
      <c r="A339" s="8" t="s">
        <v>151</v>
      </c>
      <c r="B339" s="8" t="str">
        <f>IFERROR(__xludf.DUMMYFUNCTION("""COMPUTED_VALUE"""),"Concrete")</f>
        <v>Concrete</v>
      </c>
      <c r="C339" s="8" t="str">
        <f>IFERROR(__xludf.DUMMYFUNCTION("""COMPUTED_VALUE"""),"Tires")</f>
        <v>Tires</v>
      </c>
      <c r="D339" s="8" t="str">
        <f>IFERROR(__xludf.DUMMYFUNCTION("""COMPUTED_VALUE"""),"Natural")</f>
        <v>Natural</v>
      </c>
      <c r="E339" s="8" t="str">
        <f>IFERROR(__xludf.DUMMYFUNCTION("""COMPUTED_VALUE"""),"Metal/Wreck")</f>
        <v>Metal/Wreck</v>
      </c>
      <c r="F339" s="8" t="str">
        <f>IFERROR(__xludf.DUMMYFUNCTION("""COMPUTED_VALUE"""),"Engineered/Advanced")</f>
        <v>Engineered/Advanced</v>
      </c>
      <c r="G339" s="8" t="str">
        <f>IFERROR(__xludf.DUMMYFUNCTION("""COMPUTED_VALUE"""),"Recycled/Waste")</f>
        <v>Recycled/Waste</v>
      </c>
      <c r="H339" s="8" t="str">
        <f>IFERROR(__xludf.DUMMYFUNCTION("""COMPUTED_VALUE"""),"Hybrid")</f>
        <v>Hybrid</v>
      </c>
    </row>
    <row r="340">
      <c r="A340" s="8" t="s">
        <v>151</v>
      </c>
      <c r="B340" s="8" t="str">
        <f>IFERROR(__xludf.DUMMYFUNCTION("""COMPUTED_VALUE"""),"Concrete")</f>
        <v>Concrete</v>
      </c>
      <c r="C340" s="8" t="str">
        <f>IFERROR(__xludf.DUMMYFUNCTION("""COMPUTED_VALUE"""),"Tires")</f>
        <v>Tires</v>
      </c>
      <c r="D340" s="8" t="str">
        <f>IFERROR(__xludf.DUMMYFUNCTION("""COMPUTED_VALUE"""),"Natural")</f>
        <v>Natural</v>
      </c>
      <c r="E340" s="8" t="str">
        <f>IFERROR(__xludf.DUMMYFUNCTION("""COMPUTED_VALUE"""),"Metal/Wreck")</f>
        <v>Metal/Wreck</v>
      </c>
      <c r="F340" s="8" t="str">
        <f>IFERROR(__xludf.DUMMYFUNCTION("""COMPUTED_VALUE"""),"Engineered/Advanced")</f>
        <v>Engineered/Advanced</v>
      </c>
      <c r="G340" s="8" t="str">
        <f>IFERROR(__xludf.DUMMYFUNCTION("""COMPUTED_VALUE"""),"Recycled/Waste")</f>
        <v>Recycled/Waste</v>
      </c>
      <c r="H340" s="8" t="str">
        <f>IFERROR(__xludf.DUMMYFUNCTION("""COMPUTED_VALUE"""),"Hybrid")</f>
        <v>Hybrid</v>
      </c>
    </row>
    <row r="341">
      <c r="A341" s="8" t="s">
        <v>151</v>
      </c>
      <c r="B341" s="8" t="str">
        <f>IFERROR(__xludf.DUMMYFUNCTION("""COMPUTED_VALUE"""),"Concrete")</f>
        <v>Concrete</v>
      </c>
      <c r="C341" s="8" t="str">
        <f>IFERROR(__xludf.DUMMYFUNCTION("""COMPUTED_VALUE"""),"Tires")</f>
        <v>Tires</v>
      </c>
      <c r="D341" s="8" t="str">
        <f>IFERROR(__xludf.DUMMYFUNCTION("""COMPUTED_VALUE"""),"Natural")</f>
        <v>Natural</v>
      </c>
      <c r="E341" s="8" t="str">
        <f>IFERROR(__xludf.DUMMYFUNCTION("""COMPUTED_VALUE"""),"Metal/Wreck")</f>
        <v>Metal/Wreck</v>
      </c>
      <c r="F341" s="8" t="str">
        <f>IFERROR(__xludf.DUMMYFUNCTION("""COMPUTED_VALUE"""),"Engineered/Advanced")</f>
        <v>Engineered/Advanced</v>
      </c>
      <c r="G341" s="8" t="str">
        <f>IFERROR(__xludf.DUMMYFUNCTION("""COMPUTED_VALUE"""),"Recycled/Waste")</f>
        <v>Recycled/Waste</v>
      </c>
      <c r="H341" s="8" t="str">
        <f>IFERROR(__xludf.DUMMYFUNCTION("""COMPUTED_VALUE"""),"Hybrid")</f>
        <v>Hybrid</v>
      </c>
    </row>
    <row r="342">
      <c r="A342" s="8" t="s">
        <v>178</v>
      </c>
      <c r="B342" s="8" t="str">
        <f>IFERROR(__xludf.DUMMYFUNCTION("""COMPUTED_VALUE"""),"Not applicable")</f>
        <v>Not applicable</v>
      </c>
      <c r="C342" s="8"/>
      <c r="D342" s="8"/>
      <c r="E342" s="8"/>
      <c r="F342" s="8"/>
      <c r="G342" s="8"/>
      <c r="H342" s="8"/>
    </row>
    <row r="343">
      <c r="A343" s="8" t="s">
        <v>151</v>
      </c>
      <c r="B343" s="8" t="str">
        <f>IFERROR(__xludf.DUMMYFUNCTION("""COMPUTED_VALUE"""),"Concrete")</f>
        <v>Concrete</v>
      </c>
      <c r="C343" s="8" t="str">
        <f>IFERROR(__xludf.DUMMYFUNCTION("""COMPUTED_VALUE"""),"Tires")</f>
        <v>Tires</v>
      </c>
      <c r="D343" s="8" t="str">
        <f>IFERROR(__xludf.DUMMYFUNCTION("""COMPUTED_VALUE"""),"Natural")</f>
        <v>Natural</v>
      </c>
      <c r="E343" s="8" t="str">
        <f>IFERROR(__xludf.DUMMYFUNCTION("""COMPUTED_VALUE"""),"Metal/Wreck")</f>
        <v>Metal/Wreck</v>
      </c>
      <c r="F343" s="8" t="str">
        <f>IFERROR(__xludf.DUMMYFUNCTION("""COMPUTED_VALUE"""),"Engineered/Advanced")</f>
        <v>Engineered/Advanced</v>
      </c>
      <c r="G343" s="8" t="str">
        <f>IFERROR(__xludf.DUMMYFUNCTION("""COMPUTED_VALUE"""),"Recycled/Waste")</f>
        <v>Recycled/Waste</v>
      </c>
      <c r="H343" s="8" t="str">
        <f>IFERROR(__xludf.DUMMYFUNCTION("""COMPUTED_VALUE"""),"Hybrid")</f>
        <v>Hybrid</v>
      </c>
    </row>
    <row r="344">
      <c r="A344" s="8" t="s">
        <v>178</v>
      </c>
      <c r="B344" s="8" t="str">
        <f>IFERROR(__xludf.DUMMYFUNCTION("""COMPUTED_VALUE"""),"Not applicable")</f>
        <v>Not applicable</v>
      </c>
      <c r="C344" s="8"/>
      <c r="D344" s="8"/>
      <c r="E344" s="8"/>
      <c r="F344" s="8"/>
      <c r="G344" s="8"/>
      <c r="H344" s="8"/>
    </row>
    <row r="345">
      <c r="A345" s="8" t="s">
        <v>2481</v>
      </c>
      <c r="B345" s="8" t="str">
        <f>IFERROR(__xludf.DUMMYFUNCTION("""COMPUTED_VALUE"""),"Not applicable")</f>
        <v>Not applicable</v>
      </c>
      <c r="C345" s="8"/>
      <c r="D345" s="8"/>
      <c r="E345" s="8"/>
      <c r="F345" s="8"/>
      <c r="G345" s="8"/>
      <c r="H345" s="8"/>
    </row>
    <row r="346">
      <c r="A346" s="8" t="s">
        <v>151</v>
      </c>
      <c r="B346" s="8" t="str">
        <f>IFERROR(__xludf.DUMMYFUNCTION("""COMPUTED_VALUE"""),"Concrete")</f>
        <v>Concrete</v>
      </c>
      <c r="C346" s="8" t="str">
        <f>IFERROR(__xludf.DUMMYFUNCTION("""COMPUTED_VALUE"""),"Tires")</f>
        <v>Tires</v>
      </c>
      <c r="D346" s="8" t="str">
        <f>IFERROR(__xludf.DUMMYFUNCTION("""COMPUTED_VALUE"""),"Natural")</f>
        <v>Natural</v>
      </c>
      <c r="E346" s="8" t="str">
        <f>IFERROR(__xludf.DUMMYFUNCTION("""COMPUTED_VALUE"""),"Metal/Wreck")</f>
        <v>Metal/Wreck</v>
      </c>
      <c r="F346" s="8" t="str">
        <f>IFERROR(__xludf.DUMMYFUNCTION("""COMPUTED_VALUE"""),"Engineered/Advanced")</f>
        <v>Engineered/Advanced</v>
      </c>
      <c r="G346" s="8" t="str">
        <f>IFERROR(__xludf.DUMMYFUNCTION("""COMPUTED_VALUE"""),"Recycled/Waste")</f>
        <v>Recycled/Waste</v>
      </c>
      <c r="H346" s="8" t="str">
        <f>IFERROR(__xludf.DUMMYFUNCTION("""COMPUTED_VALUE"""),"Hybrid")</f>
        <v>Hybrid</v>
      </c>
    </row>
    <row r="347">
      <c r="A347" s="8" t="s">
        <v>151</v>
      </c>
      <c r="B347" s="8" t="str">
        <f>IFERROR(__xludf.DUMMYFUNCTION("""COMPUTED_VALUE"""),"Concrete")</f>
        <v>Concrete</v>
      </c>
      <c r="C347" s="8" t="str">
        <f>IFERROR(__xludf.DUMMYFUNCTION("""COMPUTED_VALUE"""),"Tires")</f>
        <v>Tires</v>
      </c>
      <c r="D347" s="8" t="str">
        <f>IFERROR(__xludf.DUMMYFUNCTION("""COMPUTED_VALUE"""),"Natural")</f>
        <v>Natural</v>
      </c>
      <c r="E347" s="8" t="str">
        <f>IFERROR(__xludf.DUMMYFUNCTION("""COMPUTED_VALUE"""),"Metal/Wreck")</f>
        <v>Metal/Wreck</v>
      </c>
      <c r="F347" s="8" t="str">
        <f>IFERROR(__xludf.DUMMYFUNCTION("""COMPUTED_VALUE"""),"Engineered/Advanced")</f>
        <v>Engineered/Advanced</v>
      </c>
      <c r="G347" s="8" t="str">
        <f>IFERROR(__xludf.DUMMYFUNCTION("""COMPUTED_VALUE"""),"Recycled/Waste")</f>
        <v>Recycled/Waste</v>
      </c>
      <c r="H347" s="8" t="str">
        <f>IFERROR(__xludf.DUMMYFUNCTION("""COMPUTED_VALUE"""),"Hybrid")</f>
        <v>Hybrid</v>
      </c>
    </row>
    <row r="348">
      <c r="A348" s="8" t="s">
        <v>151</v>
      </c>
      <c r="B348" s="8" t="str">
        <f>IFERROR(__xludf.DUMMYFUNCTION("""COMPUTED_VALUE"""),"Concrete")</f>
        <v>Concrete</v>
      </c>
      <c r="C348" s="8" t="str">
        <f>IFERROR(__xludf.DUMMYFUNCTION("""COMPUTED_VALUE"""),"Tires")</f>
        <v>Tires</v>
      </c>
      <c r="D348" s="8" t="str">
        <f>IFERROR(__xludf.DUMMYFUNCTION("""COMPUTED_VALUE"""),"Natural")</f>
        <v>Natural</v>
      </c>
      <c r="E348" s="8" t="str">
        <f>IFERROR(__xludf.DUMMYFUNCTION("""COMPUTED_VALUE"""),"Metal/Wreck")</f>
        <v>Metal/Wreck</v>
      </c>
      <c r="F348" s="8" t="str">
        <f>IFERROR(__xludf.DUMMYFUNCTION("""COMPUTED_VALUE"""),"Engineered/Advanced")</f>
        <v>Engineered/Advanced</v>
      </c>
      <c r="G348" s="8" t="str">
        <f>IFERROR(__xludf.DUMMYFUNCTION("""COMPUTED_VALUE"""),"Recycled/Waste")</f>
        <v>Recycled/Waste</v>
      </c>
      <c r="H348" s="8" t="str">
        <f>IFERROR(__xludf.DUMMYFUNCTION("""COMPUTED_VALUE"""),"Hybrid")</f>
        <v>Hybrid</v>
      </c>
    </row>
    <row r="349">
      <c r="A349" s="8" t="s">
        <v>151</v>
      </c>
      <c r="B349" s="8" t="str">
        <f>IFERROR(__xludf.DUMMYFUNCTION("""COMPUTED_VALUE"""),"Concrete")</f>
        <v>Concrete</v>
      </c>
      <c r="C349" s="8" t="str">
        <f>IFERROR(__xludf.DUMMYFUNCTION("""COMPUTED_VALUE"""),"Tires")</f>
        <v>Tires</v>
      </c>
      <c r="D349" s="8" t="str">
        <f>IFERROR(__xludf.DUMMYFUNCTION("""COMPUTED_VALUE"""),"Natural")</f>
        <v>Natural</v>
      </c>
      <c r="E349" s="8" t="str">
        <f>IFERROR(__xludf.DUMMYFUNCTION("""COMPUTED_VALUE"""),"Metal/Wreck")</f>
        <v>Metal/Wreck</v>
      </c>
      <c r="F349" s="8" t="str">
        <f>IFERROR(__xludf.DUMMYFUNCTION("""COMPUTED_VALUE"""),"Engineered/Advanced")</f>
        <v>Engineered/Advanced</v>
      </c>
      <c r="G349" s="8" t="str">
        <f>IFERROR(__xludf.DUMMYFUNCTION("""COMPUTED_VALUE"""),"Recycled/Waste")</f>
        <v>Recycled/Waste</v>
      </c>
      <c r="H349" s="8" t="str">
        <f>IFERROR(__xludf.DUMMYFUNCTION("""COMPUTED_VALUE"""),"Hybrid")</f>
        <v>Hybrid</v>
      </c>
    </row>
    <row r="350">
      <c r="A350" s="8" t="s">
        <v>151</v>
      </c>
      <c r="B350" s="8" t="str">
        <f>IFERROR(__xludf.DUMMYFUNCTION("""COMPUTED_VALUE"""),"Concrete")</f>
        <v>Concrete</v>
      </c>
      <c r="C350" s="8" t="str">
        <f>IFERROR(__xludf.DUMMYFUNCTION("""COMPUTED_VALUE"""),"Tires")</f>
        <v>Tires</v>
      </c>
      <c r="D350" s="8" t="str">
        <f>IFERROR(__xludf.DUMMYFUNCTION("""COMPUTED_VALUE"""),"Natural")</f>
        <v>Natural</v>
      </c>
      <c r="E350" s="8" t="str">
        <f>IFERROR(__xludf.DUMMYFUNCTION("""COMPUTED_VALUE"""),"Metal/Wreck")</f>
        <v>Metal/Wreck</v>
      </c>
      <c r="F350" s="8" t="str">
        <f>IFERROR(__xludf.DUMMYFUNCTION("""COMPUTED_VALUE"""),"Engineered/Advanced")</f>
        <v>Engineered/Advanced</v>
      </c>
      <c r="G350" s="8" t="str">
        <f>IFERROR(__xludf.DUMMYFUNCTION("""COMPUTED_VALUE"""),"Recycled/Waste")</f>
        <v>Recycled/Waste</v>
      </c>
      <c r="H350" s="8" t="str">
        <f>IFERROR(__xludf.DUMMYFUNCTION("""COMPUTED_VALUE"""),"Hybrid")</f>
        <v>Hybrid</v>
      </c>
    </row>
    <row r="351">
      <c r="A351" s="8" t="s">
        <v>319</v>
      </c>
      <c r="B351" s="8" t="str">
        <f>IFERROR(__xludf.DUMMYFUNCTION("""COMPUTED_VALUE"""),"Not applicable")</f>
        <v>Not applicable</v>
      </c>
      <c r="C351" s="8"/>
      <c r="D351" s="8"/>
      <c r="E351" s="8"/>
      <c r="F351" s="8"/>
      <c r="G351" s="8"/>
      <c r="H351" s="8"/>
    </row>
    <row r="352">
      <c r="A352" s="8" t="s">
        <v>151</v>
      </c>
      <c r="B352" s="8" t="str">
        <f>IFERROR(__xludf.DUMMYFUNCTION("""COMPUTED_VALUE"""),"Concrete")</f>
        <v>Concrete</v>
      </c>
      <c r="C352" s="8" t="str">
        <f>IFERROR(__xludf.DUMMYFUNCTION("""COMPUTED_VALUE"""),"Tires")</f>
        <v>Tires</v>
      </c>
      <c r="D352" s="8" t="str">
        <f>IFERROR(__xludf.DUMMYFUNCTION("""COMPUTED_VALUE"""),"Natural")</f>
        <v>Natural</v>
      </c>
      <c r="E352" s="8" t="str">
        <f>IFERROR(__xludf.DUMMYFUNCTION("""COMPUTED_VALUE"""),"Metal/Wreck")</f>
        <v>Metal/Wreck</v>
      </c>
      <c r="F352" s="8" t="str">
        <f>IFERROR(__xludf.DUMMYFUNCTION("""COMPUTED_VALUE"""),"Engineered/Advanced")</f>
        <v>Engineered/Advanced</v>
      </c>
      <c r="G352" s="8" t="str">
        <f>IFERROR(__xludf.DUMMYFUNCTION("""COMPUTED_VALUE"""),"Recycled/Waste")</f>
        <v>Recycled/Waste</v>
      </c>
      <c r="H352" s="8" t="str">
        <f>IFERROR(__xludf.DUMMYFUNCTION("""COMPUTED_VALUE"""),"Hybrid")</f>
        <v>Hybrid</v>
      </c>
    </row>
    <row r="353">
      <c r="A353" s="8" t="s">
        <v>151</v>
      </c>
      <c r="B353" s="8" t="str">
        <f>IFERROR(__xludf.DUMMYFUNCTION("""COMPUTED_VALUE"""),"Concrete")</f>
        <v>Concrete</v>
      </c>
      <c r="C353" s="8" t="str">
        <f>IFERROR(__xludf.DUMMYFUNCTION("""COMPUTED_VALUE"""),"Tires")</f>
        <v>Tires</v>
      </c>
      <c r="D353" s="8" t="str">
        <f>IFERROR(__xludf.DUMMYFUNCTION("""COMPUTED_VALUE"""),"Natural")</f>
        <v>Natural</v>
      </c>
      <c r="E353" s="8" t="str">
        <f>IFERROR(__xludf.DUMMYFUNCTION("""COMPUTED_VALUE"""),"Metal/Wreck")</f>
        <v>Metal/Wreck</v>
      </c>
      <c r="F353" s="8" t="str">
        <f>IFERROR(__xludf.DUMMYFUNCTION("""COMPUTED_VALUE"""),"Engineered/Advanced")</f>
        <v>Engineered/Advanced</v>
      </c>
      <c r="G353" s="8" t="str">
        <f>IFERROR(__xludf.DUMMYFUNCTION("""COMPUTED_VALUE"""),"Recycled/Waste")</f>
        <v>Recycled/Waste</v>
      </c>
      <c r="H353" s="8" t="str">
        <f>IFERROR(__xludf.DUMMYFUNCTION("""COMPUTED_VALUE"""),"Hybrid")</f>
        <v>Hybrid</v>
      </c>
    </row>
    <row r="354">
      <c r="A354" s="8" t="s">
        <v>151</v>
      </c>
      <c r="B354" s="8" t="str">
        <f>IFERROR(__xludf.DUMMYFUNCTION("""COMPUTED_VALUE"""),"Concrete")</f>
        <v>Concrete</v>
      </c>
      <c r="C354" s="8" t="str">
        <f>IFERROR(__xludf.DUMMYFUNCTION("""COMPUTED_VALUE"""),"Tires")</f>
        <v>Tires</v>
      </c>
      <c r="D354" s="8" t="str">
        <f>IFERROR(__xludf.DUMMYFUNCTION("""COMPUTED_VALUE"""),"Natural")</f>
        <v>Natural</v>
      </c>
      <c r="E354" s="8" t="str">
        <f>IFERROR(__xludf.DUMMYFUNCTION("""COMPUTED_VALUE"""),"Metal/Wreck")</f>
        <v>Metal/Wreck</v>
      </c>
      <c r="F354" s="8" t="str">
        <f>IFERROR(__xludf.DUMMYFUNCTION("""COMPUTED_VALUE"""),"Engineered/Advanced")</f>
        <v>Engineered/Advanced</v>
      </c>
      <c r="G354" s="8" t="str">
        <f>IFERROR(__xludf.DUMMYFUNCTION("""COMPUTED_VALUE"""),"Recycled/Waste")</f>
        <v>Recycled/Waste</v>
      </c>
      <c r="H354" s="8" t="str">
        <f>IFERROR(__xludf.DUMMYFUNCTION("""COMPUTED_VALUE"""),"Hybrid")</f>
        <v>Hybrid</v>
      </c>
    </row>
    <row r="355">
      <c r="A355" s="8" t="s">
        <v>151</v>
      </c>
      <c r="B355" s="8" t="str">
        <f>IFERROR(__xludf.DUMMYFUNCTION("""COMPUTED_VALUE"""),"Concrete")</f>
        <v>Concrete</v>
      </c>
      <c r="C355" s="8" t="str">
        <f>IFERROR(__xludf.DUMMYFUNCTION("""COMPUTED_VALUE"""),"Tires")</f>
        <v>Tires</v>
      </c>
      <c r="D355" s="8" t="str">
        <f>IFERROR(__xludf.DUMMYFUNCTION("""COMPUTED_VALUE"""),"Natural")</f>
        <v>Natural</v>
      </c>
      <c r="E355" s="8" t="str">
        <f>IFERROR(__xludf.DUMMYFUNCTION("""COMPUTED_VALUE"""),"Metal/Wreck")</f>
        <v>Metal/Wreck</v>
      </c>
      <c r="F355" s="8" t="str">
        <f>IFERROR(__xludf.DUMMYFUNCTION("""COMPUTED_VALUE"""),"Engineered/Advanced")</f>
        <v>Engineered/Advanced</v>
      </c>
      <c r="G355" s="8" t="str">
        <f>IFERROR(__xludf.DUMMYFUNCTION("""COMPUTED_VALUE"""),"Recycled/Waste")</f>
        <v>Recycled/Waste</v>
      </c>
      <c r="H355" s="8" t="str">
        <f>IFERROR(__xludf.DUMMYFUNCTION("""COMPUTED_VALUE"""),"Hybrid")</f>
        <v>Hybrid</v>
      </c>
    </row>
    <row r="356">
      <c r="A356" s="8" t="s">
        <v>2566</v>
      </c>
      <c r="B356" s="8" t="str">
        <f>IFERROR(__xludf.DUMMYFUNCTION("""COMPUTED_VALUE"""),"#N/A")</f>
        <v>#N/A</v>
      </c>
      <c r="C356" s="8"/>
      <c r="D356" s="8"/>
      <c r="E356" s="8"/>
      <c r="F356" s="8"/>
      <c r="G356" s="8"/>
      <c r="H356" s="8"/>
    </row>
    <row r="357">
      <c r="A357" s="8" t="s">
        <v>151</v>
      </c>
      <c r="B357" s="8" t="str">
        <f>IFERROR(__xludf.DUMMYFUNCTION("""COMPUTED_VALUE"""),"Concrete")</f>
        <v>Concrete</v>
      </c>
      <c r="C357" s="8" t="str">
        <f>IFERROR(__xludf.DUMMYFUNCTION("""COMPUTED_VALUE"""),"Tires")</f>
        <v>Tires</v>
      </c>
      <c r="D357" s="8" t="str">
        <f>IFERROR(__xludf.DUMMYFUNCTION("""COMPUTED_VALUE"""),"Natural")</f>
        <v>Natural</v>
      </c>
      <c r="E357" s="8" t="str">
        <f>IFERROR(__xludf.DUMMYFUNCTION("""COMPUTED_VALUE"""),"Metal/Wreck")</f>
        <v>Metal/Wreck</v>
      </c>
      <c r="F357" s="8" t="str">
        <f>IFERROR(__xludf.DUMMYFUNCTION("""COMPUTED_VALUE"""),"Engineered/Advanced")</f>
        <v>Engineered/Advanced</v>
      </c>
      <c r="G357" s="8" t="str">
        <f>IFERROR(__xludf.DUMMYFUNCTION("""COMPUTED_VALUE"""),"Recycled/Waste")</f>
        <v>Recycled/Waste</v>
      </c>
      <c r="H357" s="8" t="str">
        <f>IFERROR(__xludf.DUMMYFUNCTION("""COMPUTED_VALUE"""),"Hybrid")</f>
        <v>Hybrid</v>
      </c>
    </row>
    <row r="358">
      <c r="A358" s="8" t="s">
        <v>151</v>
      </c>
      <c r="B358" s="8" t="str">
        <f>IFERROR(__xludf.DUMMYFUNCTION("""COMPUTED_VALUE"""),"Concrete")</f>
        <v>Concrete</v>
      </c>
      <c r="C358" s="8" t="str">
        <f>IFERROR(__xludf.DUMMYFUNCTION("""COMPUTED_VALUE"""),"Tires")</f>
        <v>Tires</v>
      </c>
      <c r="D358" s="8" t="str">
        <f>IFERROR(__xludf.DUMMYFUNCTION("""COMPUTED_VALUE"""),"Natural")</f>
        <v>Natural</v>
      </c>
      <c r="E358" s="8" t="str">
        <f>IFERROR(__xludf.DUMMYFUNCTION("""COMPUTED_VALUE"""),"Metal/Wreck")</f>
        <v>Metal/Wreck</v>
      </c>
      <c r="F358" s="8" t="str">
        <f>IFERROR(__xludf.DUMMYFUNCTION("""COMPUTED_VALUE"""),"Engineered/Advanced")</f>
        <v>Engineered/Advanced</v>
      </c>
      <c r="G358" s="8" t="str">
        <f>IFERROR(__xludf.DUMMYFUNCTION("""COMPUTED_VALUE"""),"Recycled/Waste")</f>
        <v>Recycled/Waste</v>
      </c>
      <c r="H358" s="8" t="str">
        <f>IFERROR(__xludf.DUMMYFUNCTION("""COMPUTED_VALUE"""),"Hybrid")</f>
        <v>Hybrid</v>
      </c>
    </row>
    <row r="359">
      <c r="A359" s="8" t="s">
        <v>151</v>
      </c>
      <c r="B359" s="8" t="str">
        <f>IFERROR(__xludf.DUMMYFUNCTION("""COMPUTED_VALUE"""),"Concrete")</f>
        <v>Concrete</v>
      </c>
      <c r="C359" s="8" t="str">
        <f>IFERROR(__xludf.DUMMYFUNCTION("""COMPUTED_VALUE"""),"Tires")</f>
        <v>Tires</v>
      </c>
      <c r="D359" s="8" t="str">
        <f>IFERROR(__xludf.DUMMYFUNCTION("""COMPUTED_VALUE"""),"Natural")</f>
        <v>Natural</v>
      </c>
      <c r="E359" s="8" t="str">
        <f>IFERROR(__xludf.DUMMYFUNCTION("""COMPUTED_VALUE"""),"Metal/Wreck")</f>
        <v>Metal/Wreck</v>
      </c>
      <c r="F359" s="8" t="str">
        <f>IFERROR(__xludf.DUMMYFUNCTION("""COMPUTED_VALUE"""),"Engineered/Advanced")</f>
        <v>Engineered/Advanced</v>
      </c>
      <c r="G359" s="8" t="str">
        <f>IFERROR(__xludf.DUMMYFUNCTION("""COMPUTED_VALUE"""),"Recycled/Waste")</f>
        <v>Recycled/Waste</v>
      </c>
      <c r="H359" s="8" t="str">
        <f>IFERROR(__xludf.DUMMYFUNCTION("""COMPUTED_VALUE"""),"Hybrid")</f>
        <v>Hybrid</v>
      </c>
    </row>
    <row r="360">
      <c r="A360" s="8" t="s">
        <v>151</v>
      </c>
      <c r="B360" s="8" t="str">
        <f>IFERROR(__xludf.DUMMYFUNCTION("""COMPUTED_VALUE"""),"Concrete")</f>
        <v>Concrete</v>
      </c>
      <c r="C360" s="8" t="str">
        <f>IFERROR(__xludf.DUMMYFUNCTION("""COMPUTED_VALUE"""),"Tires")</f>
        <v>Tires</v>
      </c>
      <c r="D360" s="8" t="str">
        <f>IFERROR(__xludf.DUMMYFUNCTION("""COMPUTED_VALUE"""),"Natural")</f>
        <v>Natural</v>
      </c>
      <c r="E360" s="8" t="str">
        <f>IFERROR(__xludf.DUMMYFUNCTION("""COMPUTED_VALUE"""),"Metal/Wreck")</f>
        <v>Metal/Wreck</v>
      </c>
      <c r="F360" s="8" t="str">
        <f>IFERROR(__xludf.DUMMYFUNCTION("""COMPUTED_VALUE"""),"Engineered/Advanced")</f>
        <v>Engineered/Advanced</v>
      </c>
      <c r="G360" s="8" t="str">
        <f>IFERROR(__xludf.DUMMYFUNCTION("""COMPUTED_VALUE"""),"Recycled/Waste")</f>
        <v>Recycled/Waste</v>
      </c>
      <c r="H360" s="8" t="str">
        <f>IFERROR(__xludf.DUMMYFUNCTION("""COMPUTED_VALUE"""),"Hybrid")</f>
        <v>Hybrid</v>
      </c>
    </row>
    <row r="361">
      <c r="A361" s="8" t="s">
        <v>151</v>
      </c>
      <c r="B361" s="8" t="str">
        <f>IFERROR(__xludf.DUMMYFUNCTION("""COMPUTED_VALUE"""),"Concrete")</f>
        <v>Concrete</v>
      </c>
      <c r="C361" s="8" t="str">
        <f>IFERROR(__xludf.DUMMYFUNCTION("""COMPUTED_VALUE"""),"Tires")</f>
        <v>Tires</v>
      </c>
      <c r="D361" s="8" t="str">
        <f>IFERROR(__xludf.DUMMYFUNCTION("""COMPUTED_VALUE"""),"Natural")</f>
        <v>Natural</v>
      </c>
      <c r="E361" s="8" t="str">
        <f>IFERROR(__xludf.DUMMYFUNCTION("""COMPUTED_VALUE"""),"Metal/Wreck")</f>
        <v>Metal/Wreck</v>
      </c>
      <c r="F361" s="8" t="str">
        <f>IFERROR(__xludf.DUMMYFUNCTION("""COMPUTED_VALUE"""),"Engineered/Advanced")</f>
        <v>Engineered/Advanced</v>
      </c>
      <c r="G361" s="8" t="str">
        <f>IFERROR(__xludf.DUMMYFUNCTION("""COMPUTED_VALUE"""),"Recycled/Waste")</f>
        <v>Recycled/Waste</v>
      </c>
      <c r="H361" s="8" t="str">
        <f>IFERROR(__xludf.DUMMYFUNCTION("""COMPUTED_VALUE"""),"Hybrid")</f>
        <v>Hybrid</v>
      </c>
    </row>
    <row r="362">
      <c r="A362" s="8" t="s">
        <v>319</v>
      </c>
      <c r="B362" s="8" t="str">
        <f>IFERROR(__xludf.DUMMYFUNCTION("""COMPUTED_VALUE"""),"Not applicable")</f>
        <v>Not applicable</v>
      </c>
      <c r="C362" s="8"/>
      <c r="D362" s="8"/>
      <c r="E362" s="8"/>
      <c r="F362" s="8"/>
      <c r="G362" s="8"/>
      <c r="H362" s="8"/>
    </row>
    <row r="363">
      <c r="A363" s="8" t="s">
        <v>151</v>
      </c>
      <c r="B363" s="8" t="str">
        <f>IFERROR(__xludf.DUMMYFUNCTION("""COMPUTED_VALUE"""),"Concrete")</f>
        <v>Concrete</v>
      </c>
      <c r="C363" s="8" t="str">
        <f>IFERROR(__xludf.DUMMYFUNCTION("""COMPUTED_VALUE"""),"Tires")</f>
        <v>Tires</v>
      </c>
      <c r="D363" s="8" t="str">
        <f>IFERROR(__xludf.DUMMYFUNCTION("""COMPUTED_VALUE"""),"Natural")</f>
        <v>Natural</v>
      </c>
      <c r="E363" s="8" t="str">
        <f>IFERROR(__xludf.DUMMYFUNCTION("""COMPUTED_VALUE"""),"Metal/Wreck")</f>
        <v>Metal/Wreck</v>
      </c>
      <c r="F363" s="8" t="str">
        <f>IFERROR(__xludf.DUMMYFUNCTION("""COMPUTED_VALUE"""),"Engineered/Advanced")</f>
        <v>Engineered/Advanced</v>
      </c>
      <c r="G363" s="8" t="str">
        <f>IFERROR(__xludf.DUMMYFUNCTION("""COMPUTED_VALUE"""),"Recycled/Waste")</f>
        <v>Recycled/Waste</v>
      </c>
      <c r="H363" s="8" t="str">
        <f>IFERROR(__xludf.DUMMYFUNCTION("""COMPUTED_VALUE"""),"Hybrid")</f>
        <v>Hybrid</v>
      </c>
    </row>
    <row r="364">
      <c r="A364" s="8" t="s">
        <v>151</v>
      </c>
      <c r="B364" s="8" t="str">
        <f>IFERROR(__xludf.DUMMYFUNCTION("""COMPUTED_VALUE"""),"Concrete")</f>
        <v>Concrete</v>
      </c>
      <c r="C364" s="8" t="str">
        <f>IFERROR(__xludf.DUMMYFUNCTION("""COMPUTED_VALUE"""),"Tires")</f>
        <v>Tires</v>
      </c>
      <c r="D364" s="8" t="str">
        <f>IFERROR(__xludf.DUMMYFUNCTION("""COMPUTED_VALUE"""),"Natural")</f>
        <v>Natural</v>
      </c>
      <c r="E364" s="8" t="str">
        <f>IFERROR(__xludf.DUMMYFUNCTION("""COMPUTED_VALUE"""),"Metal/Wreck")</f>
        <v>Metal/Wreck</v>
      </c>
      <c r="F364" s="8" t="str">
        <f>IFERROR(__xludf.DUMMYFUNCTION("""COMPUTED_VALUE"""),"Engineered/Advanced")</f>
        <v>Engineered/Advanced</v>
      </c>
      <c r="G364" s="8" t="str">
        <f>IFERROR(__xludf.DUMMYFUNCTION("""COMPUTED_VALUE"""),"Recycled/Waste")</f>
        <v>Recycled/Waste</v>
      </c>
      <c r="H364" s="8" t="str">
        <f>IFERROR(__xludf.DUMMYFUNCTION("""COMPUTED_VALUE"""),"Hybrid")</f>
        <v>Hybrid</v>
      </c>
    </row>
    <row r="365">
      <c r="A365" s="8" t="s">
        <v>178</v>
      </c>
      <c r="B365" s="8" t="str">
        <f>IFERROR(__xludf.DUMMYFUNCTION("""COMPUTED_VALUE"""),"Not applicable")</f>
        <v>Not applicable</v>
      </c>
      <c r="C365" s="8"/>
      <c r="D365" s="8"/>
      <c r="E365" s="8"/>
      <c r="F365" s="8"/>
      <c r="G365" s="8"/>
      <c r="H365" s="8"/>
    </row>
    <row r="366">
      <c r="A366" s="8" t="s">
        <v>151</v>
      </c>
      <c r="B366" s="8" t="str">
        <f>IFERROR(__xludf.DUMMYFUNCTION("""COMPUTED_VALUE"""),"Concrete")</f>
        <v>Concrete</v>
      </c>
      <c r="C366" s="8" t="str">
        <f>IFERROR(__xludf.DUMMYFUNCTION("""COMPUTED_VALUE"""),"Tires")</f>
        <v>Tires</v>
      </c>
      <c r="D366" s="8" t="str">
        <f>IFERROR(__xludf.DUMMYFUNCTION("""COMPUTED_VALUE"""),"Natural")</f>
        <v>Natural</v>
      </c>
      <c r="E366" s="8" t="str">
        <f>IFERROR(__xludf.DUMMYFUNCTION("""COMPUTED_VALUE"""),"Metal/Wreck")</f>
        <v>Metal/Wreck</v>
      </c>
      <c r="F366" s="8" t="str">
        <f>IFERROR(__xludf.DUMMYFUNCTION("""COMPUTED_VALUE"""),"Engineered/Advanced")</f>
        <v>Engineered/Advanced</v>
      </c>
      <c r="G366" s="8" t="str">
        <f>IFERROR(__xludf.DUMMYFUNCTION("""COMPUTED_VALUE"""),"Recycled/Waste")</f>
        <v>Recycled/Waste</v>
      </c>
      <c r="H366" s="8" t="str">
        <f>IFERROR(__xludf.DUMMYFUNCTION("""COMPUTED_VALUE"""),"Hybrid")</f>
        <v>Hybrid</v>
      </c>
    </row>
    <row r="367">
      <c r="A367" s="8" t="s">
        <v>151</v>
      </c>
      <c r="B367" s="8" t="str">
        <f>IFERROR(__xludf.DUMMYFUNCTION("""COMPUTED_VALUE"""),"Concrete")</f>
        <v>Concrete</v>
      </c>
      <c r="C367" s="8" t="str">
        <f>IFERROR(__xludf.DUMMYFUNCTION("""COMPUTED_VALUE"""),"Tires")</f>
        <v>Tires</v>
      </c>
      <c r="D367" s="8" t="str">
        <f>IFERROR(__xludf.DUMMYFUNCTION("""COMPUTED_VALUE"""),"Natural")</f>
        <v>Natural</v>
      </c>
      <c r="E367" s="8" t="str">
        <f>IFERROR(__xludf.DUMMYFUNCTION("""COMPUTED_VALUE"""),"Metal/Wreck")</f>
        <v>Metal/Wreck</v>
      </c>
      <c r="F367" s="8" t="str">
        <f>IFERROR(__xludf.DUMMYFUNCTION("""COMPUTED_VALUE"""),"Engineered/Advanced")</f>
        <v>Engineered/Advanced</v>
      </c>
      <c r="G367" s="8" t="str">
        <f>IFERROR(__xludf.DUMMYFUNCTION("""COMPUTED_VALUE"""),"Recycled/Waste")</f>
        <v>Recycled/Waste</v>
      </c>
      <c r="H367" s="8" t="str">
        <f>IFERROR(__xludf.DUMMYFUNCTION("""COMPUTED_VALUE"""),"Hybrid")</f>
        <v>Hybrid</v>
      </c>
    </row>
    <row r="368">
      <c r="A368" s="8" t="s">
        <v>151</v>
      </c>
      <c r="B368" s="8" t="str">
        <f>IFERROR(__xludf.DUMMYFUNCTION("""COMPUTED_VALUE"""),"Concrete")</f>
        <v>Concrete</v>
      </c>
      <c r="C368" s="8" t="str">
        <f>IFERROR(__xludf.DUMMYFUNCTION("""COMPUTED_VALUE"""),"Tires")</f>
        <v>Tires</v>
      </c>
      <c r="D368" s="8" t="str">
        <f>IFERROR(__xludf.DUMMYFUNCTION("""COMPUTED_VALUE"""),"Natural")</f>
        <v>Natural</v>
      </c>
      <c r="E368" s="8" t="str">
        <f>IFERROR(__xludf.DUMMYFUNCTION("""COMPUTED_VALUE"""),"Metal/Wreck")</f>
        <v>Metal/Wreck</v>
      </c>
      <c r="F368" s="8" t="str">
        <f>IFERROR(__xludf.DUMMYFUNCTION("""COMPUTED_VALUE"""),"Engineered/Advanced")</f>
        <v>Engineered/Advanced</v>
      </c>
      <c r="G368" s="8" t="str">
        <f>IFERROR(__xludf.DUMMYFUNCTION("""COMPUTED_VALUE"""),"Recycled/Waste")</f>
        <v>Recycled/Waste</v>
      </c>
      <c r="H368" s="8" t="str">
        <f>IFERROR(__xludf.DUMMYFUNCTION("""COMPUTED_VALUE"""),"Hybrid")</f>
        <v>Hybrid</v>
      </c>
    </row>
    <row r="369">
      <c r="A369" s="8" t="s">
        <v>151</v>
      </c>
      <c r="B369" s="8" t="str">
        <f>IFERROR(__xludf.DUMMYFUNCTION("""COMPUTED_VALUE"""),"Concrete")</f>
        <v>Concrete</v>
      </c>
      <c r="C369" s="8" t="str">
        <f>IFERROR(__xludf.DUMMYFUNCTION("""COMPUTED_VALUE"""),"Tires")</f>
        <v>Tires</v>
      </c>
      <c r="D369" s="8" t="str">
        <f>IFERROR(__xludf.DUMMYFUNCTION("""COMPUTED_VALUE"""),"Natural")</f>
        <v>Natural</v>
      </c>
      <c r="E369" s="8" t="str">
        <f>IFERROR(__xludf.DUMMYFUNCTION("""COMPUTED_VALUE"""),"Metal/Wreck")</f>
        <v>Metal/Wreck</v>
      </c>
      <c r="F369" s="8" t="str">
        <f>IFERROR(__xludf.DUMMYFUNCTION("""COMPUTED_VALUE"""),"Engineered/Advanced")</f>
        <v>Engineered/Advanced</v>
      </c>
      <c r="G369" s="8" t="str">
        <f>IFERROR(__xludf.DUMMYFUNCTION("""COMPUTED_VALUE"""),"Recycled/Waste")</f>
        <v>Recycled/Waste</v>
      </c>
      <c r="H369" s="8" t="str">
        <f>IFERROR(__xludf.DUMMYFUNCTION("""COMPUTED_VALUE"""),"Hybrid")</f>
        <v>Hybrid</v>
      </c>
    </row>
    <row r="370">
      <c r="A370" s="8" t="s">
        <v>151</v>
      </c>
      <c r="B370" s="8" t="str">
        <f>IFERROR(__xludf.DUMMYFUNCTION("""COMPUTED_VALUE"""),"Concrete")</f>
        <v>Concrete</v>
      </c>
      <c r="C370" s="8" t="str">
        <f>IFERROR(__xludf.DUMMYFUNCTION("""COMPUTED_VALUE"""),"Tires")</f>
        <v>Tires</v>
      </c>
      <c r="D370" s="8" t="str">
        <f>IFERROR(__xludf.DUMMYFUNCTION("""COMPUTED_VALUE"""),"Natural")</f>
        <v>Natural</v>
      </c>
      <c r="E370" s="8" t="str">
        <f>IFERROR(__xludf.DUMMYFUNCTION("""COMPUTED_VALUE"""),"Metal/Wreck")</f>
        <v>Metal/Wreck</v>
      </c>
      <c r="F370" s="8" t="str">
        <f>IFERROR(__xludf.DUMMYFUNCTION("""COMPUTED_VALUE"""),"Engineered/Advanced")</f>
        <v>Engineered/Advanced</v>
      </c>
      <c r="G370" s="8" t="str">
        <f>IFERROR(__xludf.DUMMYFUNCTION("""COMPUTED_VALUE"""),"Recycled/Waste")</f>
        <v>Recycled/Waste</v>
      </c>
      <c r="H370" s="8" t="str">
        <f>IFERROR(__xludf.DUMMYFUNCTION("""COMPUTED_VALUE"""),"Hybrid")</f>
        <v>Hybrid</v>
      </c>
    </row>
    <row r="371">
      <c r="A371" s="8" t="s">
        <v>151</v>
      </c>
      <c r="B371" s="8" t="str">
        <f>IFERROR(__xludf.DUMMYFUNCTION("""COMPUTED_VALUE"""),"Concrete")</f>
        <v>Concrete</v>
      </c>
      <c r="C371" s="8" t="str">
        <f>IFERROR(__xludf.DUMMYFUNCTION("""COMPUTED_VALUE"""),"Tires")</f>
        <v>Tires</v>
      </c>
      <c r="D371" s="8" t="str">
        <f>IFERROR(__xludf.DUMMYFUNCTION("""COMPUTED_VALUE"""),"Natural")</f>
        <v>Natural</v>
      </c>
      <c r="E371" s="8" t="str">
        <f>IFERROR(__xludf.DUMMYFUNCTION("""COMPUTED_VALUE"""),"Metal/Wreck")</f>
        <v>Metal/Wreck</v>
      </c>
      <c r="F371" s="8" t="str">
        <f>IFERROR(__xludf.DUMMYFUNCTION("""COMPUTED_VALUE"""),"Engineered/Advanced")</f>
        <v>Engineered/Advanced</v>
      </c>
      <c r="G371" s="8" t="str">
        <f>IFERROR(__xludf.DUMMYFUNCTION("""COMPUTED_VALUE"""),"Recycled/Waste")</f>
        <v>Recycled/Waste</v>
      </c>
      <c r="H371" s="8" t="str">
        <f>IFERROR(__xludf.DUMMYFUNCTION("""COMPUTED_VALUE"""),"Hybrid")</f>
        <v>Hybrid</v>
      </c>
    </row>
    <row r="372">
      <c r="A372" s="8" t="s">
        <v>151</v>
      </c>
      <c r="B372" s="8" t="str">
        <f>IFERROR(__xludf.DUMMYFUNCTION("""COMPUTED_VALUE"""),"Concrete")</f>
        <v>Concrete</v>
      </c>
      <c r="C372" s="8" t="str">
        <f>IFERROR(__xludf.DUMMYFUNCTION("""COMPUTED_VALUE"""),"Tires")</f>
        <v>Tires</v>
      </c>
      <c r="D372" s="8" t="str">
        <f>IFERROR(__xludf.DUMMYFUNCTION("""COMPUTED_VALUE"""),"Natural")</f>
        <v>Natural</v>
      </c>
      <c r="E372" s="8" t="str">
        <f>IFERROR(__xludf.DUMMYFUNCTION("""COMPUTED_VALUE"""),"Metal/Wreck")</f>
        <v>Metal/Wreck</v>
      </c>
      <c r="F372" s="8" t="str">
        <f>IFERROR(__xludf.DUMMYFUNCTION("""COMPUTED_VALUE"""),"Engineered/Advanced")</f>
        <v>Engineered/Advanced</v>
      </c>
      <c r="G372" s="8" t="str">
        <f>IFERROR(__xludf.DUMMYFUNCTION("""COMPUTED_VALUE"""),"Recycled/Waste")</f>
        <v>Recycled/Waste</v>
      </c>
      <c r="H372" s="8" t="str">
        <f>IFERROR(__xludf.DUMMYFUNCTION("""COMPUTED_VALUE"""),"Hybrid")</f>
        <v>Hybrid</v>
      </c>
    </row>
    <row r="373">
      <c r="A373" s="8" t="s">
        <v>151</v>
      </c>
      <c r="B373" s="8" t="str">
        <f>IFERROR(__xludf.DUMMYFUNCTION("""COMPUTED_VALUE"""),"Concrete")</f>
        <v>Concrete</v>
      </c>
      <c r="C373" s="8" t="str">
        <f>IFERROR(__xludf.DUMMYFUNCTION("""COMPUTED_VALUE"""),"Tires")</f>
        <v>Tires</v>
      </c>
      <c r="D373" s="8" t="str">
        <f>IFERROR(__xludf.DUMMYFUNCTION("""COMPUTED_VALUE"""),"Natural")</f>
        <v>Natural</v>
      </c>
      <c r="E373" s="8" t="str">
        <f>IFERROR(__xludf.DUMMYFUNCTION("""COMPUTED_VALUE"""),"Metal/Wreck")</f>
        <v>Metal/Wreck</v>
      </c>
      <c r="F373" s="8" t="str">
        <f>IFERROR(__xludf.DUMMYFUNCTION("""COMPUTED_VALUE"""),"Engineered/Advanced")</f>
        <v>Engineered/Advanced</v>
      </c>
      <c r="G373" s="8" t="str">
        <f>IFERROR(__xludf.DUMMYFUNCTION("""COMPUTED_VALUE"""),"Recycled/Waste")</f>
        <v>Recycled/Waste</v>
      </c>
      <c r="H373" s="8" t="str">
        <f>IFERROR(__xludf.DUMMYFUNCTION("""COMPUTED_VALUE"""),"Hybrid")</f>
        <v>Hybrid</v>
      </c>
    </row>
    <row r="374">
      <c r="A374" s="8" t="s">
        <v>151</v>
      </c>
      <c r="B374" s="8" t="str">
        <f>IFERROR(__xludf.DUMMYFUNCTION("""COMPUTED_VALUE"""),"Concrete")</f>
        <v>Concrete</v>
      </c>
      <c r="C374" s="8" t="str">
        <f>IFERROR(__xludf.DUMMYFUNCTION("""COMPUTED_VALUE"""),"Tires")</f>
        <v>Tires</v>
      </c>
      <c r="D374" s="8" t="str">
        <f>IFERROR(__xludf.DUMMYFUNCTION("""COMPUTED_VALUE"""),"Natural")</f>
        <v>Natural</v>
      </c>
      <c r="E374" s="8" t="str">
        <f>IFERROR(__xludf.DUMMYFUNCTION("""COMPUTED_VALUE"""),"Metal/Wreck")</f>
        <v>Metal/Wreck</v>
      </c>
      <c r="F374" s="8" t="str">
        <f>IFERROR(__xludf.DUMMYFUNCTION("""COMPUTED_VALUE"""),"Engineered/Advanced")</f>
        <v>Engineered/Advanced</v>
      </c>
      <c r="G374" s="8" t="str">
        <f>IFERROR(__xludf.DUMMYFUNCTION("""COMPUTED_VALUE"""),"Recycled/Waste")</f>
        <v>Recycled/Waste</v>
      </c>
      <c r="H374" s="8" t="str">
        <f>IFERROR(__xludf.DUMMYFUNCTION("""COMPUTED_VALUE"""),"Hybrid")</f>
        <v>Hybrid</v>
      </c>
    </row>
    <row r="375">
      <c r="A375" s="8" t="s">
        <v>151</v>
      </c>
      <c r="B375" s="8" t="str">
        <f>IFERROR(__xludf.DUMMYFUNCTION("""COMPUTED_VALUE"""),"Concrete")</f>
        <v>Concrete</v>
      </c>
      <c r="C375" s="8" t="str">
        <f>IFERROR(__xludf.DUMMYFUNCTION("""COMPUTED_VALUE"""),"Tires")</f>
        <v>Tires</v>
      </c>
      <c r="D375" s="8" t="str">
        <f>IFERROR(__xludf.DUMMYFUNCTION("""COMPUTED_VALUE"""),"Natural")</f>
        <v>Natural</v>
      </c>
      <c r="E375" s="8" t="str">
        <f>IFERROR(__xludf.DUMMYFUNCTION("""COMPUTED_VALUE"""),"Metal/Wreck")</f>
        <v>Metal/Wreck</v>
      </c>
      <c r="F375" s="8" t="str">
        <f>IFERROR(__xludf.DUMMYFUNCTION("""COMPUTED_VALUE"""),"Engineered/Advanced")</f>
        <v>Engineered/Advanced</v>
      </c>
      <c r="G375" s="8" t="str">
        <f>IFERROR(__xludf.DUMMYFUNCTION("""COMPUTED_VALUE"""),"Recycled/Waste")</f>
        <v>Recycled/Waste</v>
      </c>
      <c r="H375" s="8" t="str">
        <f>IFERROR(__xludf.DUMMYFUNCTION("""COMPUTED_VALUE"""),"Hybrid")</f>
        <v>Hybrid</v>
      </c>
    </row>
    <row r="376">
      <c r="A376" s="8" t="s">
        <v>151</v>
      </c>
      <c r="B376" s="8" t="str">
        <f>IFERROR(__xludf.DUMMYFUNCTION("""COMPUTED_VALUE"""),"Concrete")</f>
        <v>Concrete</v>
      </c>
      <c r="C376" s="8" t="str">
        <f>IFERROR(__xludf.DUMMYFUNCTION("""COMPUTED_VALUE"""),"Tires")</f>
        <v>Tires</v>
      </c>
      <c r="D376" s="8" t="str">
        <f>IFERROR(__xludf.DUMMYFUNCTION("""COMPUTED_VALUE"""),"Natural")</f>
        <v>Natural</v>
      </c>
      <c r="E376" s="8" t="str">
        <f>IFERROR(__xludf.DUMMYFUNCTION("""COMPUTED_VALUE"""),"Metal/Wreck")</f>
        <v>Metal/Wreck</v>
      </c>
      <c r="F376" s="8" t="str">
        <f>IFERROR(__xludf.DUMMYFUNCTION("""COMPUTED_VALUE"""),"Engineered/Advanced")</f>
        <v>Engineered/Advanced</v>
      </c>
      <c r="G376" s="8" t="str">
        <f>IFERROR(__xludf.DUMMYFUNCTION("""COMPUTED_VALUE"""),"Recycled/Waste")</f>
        <v>Recycled/Waste</v>
      </c>
      <c r="H376" s="8" t="str">
        <f>IFERROR(__xludf.DUMMYFUNCTION("""COMPUTED_VALUE"""),"Hybrid")</f>
        <v>Hybrid</v>
      </c>
    </row>
    <row r="377">
      <c r="A377" s="8" t="s">
        <v>151</v>
      </c>
      <c r="B377" s="8" t="str">
        <f>IFERROR(__xludf.DUMMYFUNCTION("""COMPUTED_VALUE"""),"Concrete")</f>
        <v>Concrete</v>
      </c>
      <c r="C377" s="8" t="str">
        <f>IFERROR(__xludf.DUMMYFUNCTION("""COMPUTED_VALUE"""),"Tires")</f>
        <v>Tires</v>
      </c>
      <c r="D377" s="8" t="str">
        <f>IFERROR(__xludf.DUMMYFUNCTION("""COMPUTED_VALUE"""),"Natural")</f>
        <v>Natural</v>
      </c>
      <c r="E377" s="8" t="str">
        <f>IFERROR(__xludf.DUMMYFUNCTION("""COMPUTED_VALUE"""),"Metal/Wreck")</f>
        <v>Metal/Wreck</v>
      </c>
      <c r="F377" s="8" t="str">
        <f>IFERROR(__xludf.DUMMYFUNCTION("""COMPUTED_VALUE"""),"Engineered/Advanced")</f>
        <v>Engineered/Advanced</v>
      </c>
      <c r="G377" s="8" t="str">
        <f>IFERROR(__xludf.DUMMYFUNCTION("""COMPUTED_VALUE"""),"Recycled/Waste")</f>
        <v>Recycled/Waste</v>
      </c>
      <c r="H377" s="8" t="str">
        <f>IFERROR(__xludf.DUMMYFUNCTION("""COMPUTED_VALUE"""),"Hybrid")</f>
        <v>Hybrid</v>
      </c>
    </row>
    <row r="378">
      <c r="A378" s="8" t="s">
        <v>151</v>
      </c>
      <c r="B378" s="8" t="str">
        <f>IFERROR(__xludf.DUMMYFUNCTION("""COMPUTED_VALUE"""),"Concrete")</f>
        <v>Concrete</v>
      </c>
      <c r="C378" s="8" t="str">
        <f>IFERROR(__xludf.DUMMYFUNCTION("""COMPUTED_VALUE"""),"Tires")</f>
        <v>Tires</v>
      </c>
      <c r="D378" s="8" t="str">
        <f>IFERROR(__xludf.DUMMYFUNCTION("""COMPUTED_VALUE"""),"Natural")</f>
        <v>Natural</v>
      </c>
      <c r="E378" s="8" t="str">
        <f>IFERROR(__xludf.DUMMYFUNCTION("""COMPUTED_VALUE"""),"Metal/Wreck")</f>
        <v>Metal/Wreck</v>
      </c>
      <c r="F378" s="8" t="str">
        <f>IFERROR(__xludf.DUMMYFUNCTION("""COMPUTED_VALUE"""),"Engineered/Advanced")</f>
        <v>Engineered/Advanced</v>
      </c>
      <c r="G378" s="8" t="str">
        <f>IFERROR(__xludf.DUMMYFUNCTION("""COMPUTED_VALUE"""),"Recycled/Waste")</f>
        <v>Recycled/Waste</v>
      </c>
      <c r="H378" s="8" t="str">
        <f>IFERROR(__xludf.DUMMYFUNCTION("""COMPUTED_VALUE"""),"Hybrid")</f>
        <v>Hybrid</v>
      </c>
    </row>
    <row r="379">
      <c r="A379" s="8" t="s">
        <v>151</v>
      </c>
      <c r="B379" s="8" t="str">
        <f>IFERROR(__xludf.DUMMYFUNCTION("""COMPUTED_VALUE"""),"Concrete")</f>
        <v>Concrete</v>
      </c>
      <c r="C379" s="8" t="str">
        <f>IFERROR(__xludf.DUMMYFUNCTION("""COMPUTED_VALUE"""),"Tires")</f>
        <v>Tires</v>
      </c>
      <c r="D379" s="8" t="str">
        <f>IFERROR(__xludf.DUMMYFUNCTION("""COMPUTED_VALUE"""),"Natural")</f>
        <v>Natural</v>
      </c>
      <c r="E379" s="8" t="str">
        <f>IFERROR(__xludf.DUMMYFUNCTION("""COMPUTED_VALUE"""),"Metal/Wreck")</f>
        <v>Metal/Wreck</v>
      </c>
      <c r="F379" s="8" t="str">
        <f>IFERROR(__xludf.DUMMYFUNCTION("""COMPUTED_VALUE"""),"Engineered/Advanced")</f>
        <v>Engineered/Advanced</v>
      </c>
      <c r="G379" s="8" t="str">
        <f>IFERROR(__xludf.DUMMYFUNCTION("""COMPUTED_VALUE"""),"Recycled/Waste")</f>
        <v>Recycled/Waste</v>
      </c>
      <c r="H379" s="8" t="str">
        <f>IFERROR(__xludf.DUMMYFUNCTION("""COMPUTED_VALUE"""),"Hybrid")</f>
        <v>Hybrid</v>
      </c>
    </row>
    <row r="380">
      <c r="A380" s="8" t="s">
        <v>151</v>
      </c>
      <c r="B380" s="8" t="str">
        <f>IFERROR(__xludf.DUMMYFUNCTION("""COMPUTED_VALUE"""),"Concrete")</f>
        <v>Concrete</v>
      </c>
      <c r="C380" s="8" t="str">
        <f>IFERROR(__xludf.DUMMYFUNCTION("""COMPUTED_VALUE"""),"Tires")</f>
        <v>Tires</v>
      </c>
      <c r="D380" s="8" t="str">
        <f>IFERROR(__xludf.DUMMYFUNCTION("""COMPUTED_VALUE"""),"Natural")</f>
        <v>Natural</v>
      </c>
      <c r="E380" s="8" t="str">
        <f>IFERROR(__xludf.DUMMYFUNCTION("""COMPUTED_VALUE"""),"Metal/Wreck")</f>
        <v>Metal/Wreck</v>
      </c>
      <c r="F380" s="8" t="str">
        <f>IFERROR(__xludf.DUMMYFUNCTION("""COMPUTED_VALUE"""),"Engineered/Advanced")</f>
        <v>Engineered/Advanced</v>
      </c>
      <c r="G380" s="8" t="str">
        <f>IFERROR(__xludf.DUMMYFUNCTION("""COMPUTED_VALUE"""),"Recycled/Waste")</f>
        <v>Recycled/Waste</v>
      </c>
      <c r="H380" s="8" t="str">
        <f>IFERROR(__xludf.DUMMYFUNCTION("""COMPUTED_VALUE"""),"Hybrid")</f>
        <v>Hybrid</v>
      </c>
    </row>
    <row r="381">
      <c r="A381" s="8" t="s">
        <v>151</v>
      </c>
      <c r="B381" s="8" t="str">
        <f>IFERROR(__xludf.DUMMYFUNCTION("""COMPUTED_VALUE"""),"Concrete")</f>
        <v>Concrete</v>
      </c>
      <c r="C381" s="8" t="str">
        <f>IFERROR(__xludf.DUMMYFUNCTION("""COMPUTED_VALUE"""),"Tires")</f>
        <v>Tires</v>
      </c>
      <c r="D381" s="8" t="str">
        <f>IFERROR(__xludf.DUMMYFUNCTION("""COMPUTED_VALUE"""),"Natural")</f>
        <v>Natural</v>
      </c>
      <c r="E381" s="8" t="str">
        <f>IFERROR(__xludf.DUMMYFUNCTION("""COMPUTED_VALUE"""),"Metal/Wreck")</f>
        <v>Metal/Wreck</v>
      </c>
      <c r="F381" s="8" t="str">
        <f>IFERROR(__xludf.DUMMYFUNCTION("""COMPUTED_VALUE"""),"Engineered/Advanced")</f>
        <v>Engineered/Advanced</v>
      </c>
      <c r="G381" s="8" t="str">
        <f>IFERROR(__xludf.DUMMYFUNCTION("""COMPUTED_VALUE"""),"Recycled/Waste")</f>
        <v>Recycled/Waste</v>
      </c>
      <c r="H381" s="8" t="str">
        <f>IFERROR(__xludf.DUMMYFUNCTION("""COMPUTED_VALUE"""),"Hybrid")</f>
        <v>Hybrid</v>
      </c>
    </row>
    <row r="382">
      <c r="A382" s="8" t="s">
        <v>151</v>
      </c>
      <c r="B382" s="8" t="str">
        <f>IFERROR(__xludf.DUMMYFUNCTION("""COMPUTED_VALUE"""),"Concrete")</f>
        <v>Concrete</v>
      </c>
      <c r="C382" s="8" t="str">
        <f>IFERROR(__xludf.DUMMYFUNCTION("""COMPUTED_VALUE"""),"Tires")</f>
        <v>Tires</v>
      </c>
      <c r="D382" s="8" t="str">
        <f>IFERROR(__xludf.DUMMYFUNCTION("""COMPUTED_VALUE"""),"Natural")</f>
        <v>Natural</v>
      </c>
      <c r="E382" s="8" t="str">
        <f>IFERROR(__xludf.DUMMYFUNCTION("""COMPUTED_VALUE"""),"Metal/Wreck")</f>
        <v>Metal/Wreck</v>
      </c>
      <c r="F382" s="8" t="str">
        <f>IFERROR(__xludf.DUMMYFUNCTION("""COMPUTED_VALUE"""),"Engineered/Advanced")</f>
        <v>Engineered/Advanced</v>
      </c>
      <c r="G382" s="8" t="str">
        <f>IFERROR(__xludf.DUMMYFUNCTION("""COMPUTED_VALUE"""),"Recycled/Waste")</f>
        <v>Recycled/Waste</v>
      </c>
      <c r="H382" s="8" t="str">
        <f>IFERROR(__xludf.DUMMYFUNCTION("""COMPUTED_VALUE"""),"Hybrid")</f>
        <v>Hybrid</v>
      </c>
    </row>
    <row r="383">
      <c r="A383" s="8" t="s">
        <v>151</v>
      </c>
      <c r="B383" s="8" t="str">
        <f>IFERROR(__xludf.DUMMYFUNCTION("""COMPUTED_VALUE"""),"Concrete")</f>
        <v>Concrete</v>
      </c>
      <c r="C383" s="8" t="str">
        <f>IFERROR(__xludf.DUMMYFUNCTION("""COMPUTED_VALUE"""),"Tires")</f>
        <v>Tires</v>
      </c>
      <c r="D383" s="8" t="str">
        <f>IFERROR(__xludf.DUMMYFUNCTION("""COMPUTED_VALUE"""),"Natural")</f>
        <v>Natural</v>
      </c>
      <c r="E383" s="8" t="str">
        <f>IFERROR(__xludf.DUMMYFUNCTION("""COMPUTED_VALUE"""),"Metal/Wreck")</f>
        <v>Metal/Wreck</v>
      </c>
      <c r="F383" s="8" t="str">
        <f>IFERROR(__xludf.DUMMYFUNCTION("""COMPUTED_VALUE"""),"Engineered/Advanced")</f>
        <v>Engineered/Advanced</v>
      </c>
      <c r="G383" s="8" t="str">
        <f>IFERROR(__xludf.DUMMYFUNCTION("""COMPUTED_VALUE"""),"Recycled/Waste")</f>
        <v>Recycled/Waste</v>
      </c>
      <c r="H383" s="8" t="str">
        <f>IFERROR(__xludf.DUMMYFUNCTION("""COMPUTED_VALUE"""),"Hybrid")</f>
        <v>Hybrid</v>
      </c>
    </row>
    <row r="384">
      <c r="A384" s="8" t="s">
        <v>151</v>
      </c>
      <c r="B384" s="8" t="str">
        <f>IFERROR(__xludf.DUMMYFUNCTION("""COMPUTED_VALUE"""),"Concrete")</f>
        <v>Concrete</v>
      </c>
      <c r="C384" s="8" t="str">
        <f>IFERROR(__xludf.DUMMYFUNCTION("""COMPUTED_VALUE"""),"Tires")</f>
        <v>Tires</v>
      </c>
      <c r="D384" s="8" t="str">
        <f>IFERROR(__xludf.DUMMYFUNCTION("""COMPUTED_VALUE"""),"Natural")</f>
        <v>Natural</v>
      </c>
      <c r="E384" s="8" t="str">
        <f>IFERROR(__xludf.DUMMYFUNCTION("""COMPUTED_VALUE"""),"Metal/Wreck")</f>
        <v>Metal/Wreck</v>
      </c>
      <c r="F384" s="8" t="str">
        <f>IFERROR(__xludf.DUMMYFUNCTION("""COMPUTED_VALUE"""),"Engineered/Advanced")</f>
        <v>Engineered/Advanced</v>
      </c>
      <c r="G384" s="8" t="str">
        <f>IFERROR(__xludf.DUMMYFUNCTION("""COMPUTED_VALUE"""),"Recycled/Waste")</f>
        <v>Recycled/Waste</v>
      </c>
      <c r="H384" s="8" t="str">
        <f>IFERROR(__xludf.DUMMYFUNCTION("""COMPUTED_VALUE"""),"Hybrid")</f>
        <v>Hybrid</v>
      </c>
    </row>
    <row r="385">
      <c r="A385" s="8" t="s">
        <v>151</v>
      </c>
      <c r="B385" s="8" t="str">
        <f>IFERROR(__xludf.DUMMYFUNCTION("""COMPUTED_VALUE"""),"Concrete")</f>
        <v>Concrete</v>
      </c>
      <c r="C385" s="8" t="str">
        <f>IFERROR(__xludf.DUMMYFUNCTION("""COMPUTED_VALUE"""),"Tires")</f>
        <v>Tires</v>
      </c>
      <c r="D385" s="8" t="str">
        <f>IFERROR(__xludf.DUMMYFUNCTION("""COMPUTED_VALUE"""),"Natural")</f>
        <v>Natural</v>
      </c>
      <c r="E385" s="8" t="str">
        <f>IFERROR(__xludf.DUMMYFUNCTION("""COMPUTED_VALUE"""),"Metal/Wreck")</f>
        <v>Metal/Wreck</v>
      </c>
      <c r="F385" s="8" t="str">
        <f>IFERROR(__xludf.DUMMYFUNCTION("""COMPUTED_VALUE"""),"Engineered/Advanced")</f>
        <v>Engineered/Advanced</v>
      </c>
      <c r="G385" s="8" t="str">
        <f>IFERROR(__xludf.DUMMYFUNCTION("""COMPUTED_VALUE"""),"Recycled/Waste")</f>
        <v>Recycled/Waste</v>
      </c>
      <c r="H385" s="8" t="str">
        <f>IFERROR(__xludf.DUMMYFUNCTION("""COMPUTED_VALUE"""),"Hybrid")</f>
        <v>Hybrid</v>
      </c>
    </row>
    <row r="386">
      <c r="A386" s="8" t="s">
        <v>151</v>
      </c>
      <c r="B386" s="8" t="str">
        <f>IFERROR(__xludf.DUMMYFUNCTION("""COMPUTED_VALUE"""),"Concrete")</f>
        <v>Concrete</v>
      </c>
      <c r="C386" s="8" t="str">
        <f>IFERROR(__xludf.DUMMYFUNCTION("""COMPUTED_VALUE"""),"Tires")</f>
        <v>Tires</v>
      </c>
      <c r="D386" s="8" t="str">
        <f>IFERROR(__xludf.DUMMYFUNCTION("""COMPUTED_VALUE"""),"Natural")</f>
        <v>Natural</v>
      </c>
      <c r="E386" s="8" t="str">
        <f>IFERROR(__xludf.DUMMYFUNCTION("""COMPUTED_VALUE"""),"Metal/Wreck")</f>
        <v>Metal/Wreck</v>
      </c>
      <c r="F386" s="8" t="str">
        <f>IFERROR(__xludf.DUMMYFUNCTION("""COMPUTED_VALUE"""),"Engineered/Advanced")</f>
        <v>Engineered/Advanced</v>
      </c>
      <c r="G386" s="8" t="str">
        <f>IFERROR(__xludf.DUMMYFUNCTION("""COMPUTED_VALUE"""),"Recycled/Waste")</f>
        <v>Recycled/Waste</v>
      </c>
      <c r="H386" s="8" t="str">
        <f>IFERROR(__xludf.DUMMYFUNCTION("""COMPUTED_VALUE"""),"Hybrid")</f>
        <v>Hybrid</v>
      </c>
    </row>
    <row r="387">
      <c r="A387" s="8" t="s">
        <v>151</v>
      </c>
      <c r="B387" s="8" t="str">
        <f>IFERROR(__xludf.DUMMYFUNCTION("""COMPUTED_VALUE"""),"Concrete")</f>
        <v>Concrete</v>
      </c>
      <c r="C387" s="8" t="str">
        <f>IFERROR(__xludf.DUMMYFUNCTION("""COMPUTED_VALUE"""),"Tires")</f>
        <v>Tires</v>
      </c>
      <c r="D387" s="8" t="str">
        <f>IFERROR(__xludf.DUMMYFUNCTION("""COMPUTED_VALUE"""),"Natural")</f>
        <v>Natural</v>
      </c>
      <c r="E387" s="8" t="str">
        <f>IFERROR(__xludf.DUMMYFUNCTION("""COMPUTED_VALUE"""),"Metal/Wreck")</f>
        <v>Metal/Wreck</v>
      </c>
      <c r="F387" s="8" t="str">
        <f>IFERROR(__xludf.DUMMYFUNCTION("""COMPUTED_VALUE"""),"Engineered/Advanced")</f>
        <v>Engineered/Advanced</v>
      </c>
      <c r="G387" s="8" t="str">
        <f>IFERROR(__xludf.DUMMYFUNCTION("""COMPUTED_VALUE"""),"Recycled/Waste")</f>
        <v>Recycled/Waste</v>
      </c>
      <c r="H387" s="8" t="str">
        <f>IFERROR(__xludf.DUMMYFUNCTION("""COMPUTED_VALUE"""),"Hybrid")</f>
        <v>Hybrid</v>
      </c>
    </row>
    <row r="388">
      <c r="A388" s="8" t="s">
        <v>319</v>
      </c>
      <c r="B388" s="8" t="str">
        <f>IFERROR(__xludf.DUMMYFUNCTION("""COMPUTED_VALUE"""),"Not applicable")</f>
        <v>Not applicable</v>
      </c>
      <c r="C388" s="8"/>
      <c r="D388" s="8"/>
      <c r="E388" s="8"/>
      <c r="F388" s="8"/>
      <c r="G388" s="8"/>
      <c r="H388" s="8"/>
    </row>
    <row r="389">
      <c r="A389" s="8" t="s">
        <v>151</v>
      </c>
      <c r="B389" s="8" t="str">
        <f>IFERROR(__xludf.DUMMYFUNCTION("""COMPUTED_VALUE"""),"Concrete")</f>
        <v>Concrete</v>
      </c>
      <c r="C389" s="8" t="str">
        <f>IFERROR(__xludf.DUMMYFUNCTION("""COMPUTED_VALUE"""),"Tires")</f>
        <v>Tires</v>
      </c>
      <c r="D389" s="8" t="str">
        <f>IFERROR(__xludf.DUMMYFUNCTION("""COMPUTED_VALUE"""),"Natural")</f>
        <v>Natural</v>
      </c>
      <c r="E389" s="8" t="str">
        <f>IFERROR(__xludf.DUMMYFUNCTION("""COMPUTED_VALUE"""),"Metal/Wreck")</f>
        <v>Metal/Wreck</v>
      </c>
      <c r="F389" s="8" t="str">
        <f>IFERROR(__xludf.DUMMYFUNCTION("""COMPUTED_VALUE"""),"Engineered/Advanced")</f>
        <v>Engineered/Advanced</v>
      </c>
      <c r="G389" s="8" t="str">
        <f>IFERROR(__xludf.DUMMYFUNCTION("""COMPUTED_VALUE"""),"Recycled/Waste")</f>
        <v>Recycled/Waste</v>
      </c>
      <c r="H389" s="8" t="str">
        <f>IFERROR(__xludf.DUMMYFUNCTION("""COMPUTED_VALUE"""),"Hybrid")</f>
        <v>Hybrid</v>
      </c>
    </row>
    <row r="390">
      <c r="A390" s="8" t="s">
        <v>151</v>
      </c>
      <c r="B390" s="8" t="str">
        <f>IFERROR(__xludf.DUMMYFUNCTION("""COMPUTED_VALUE"""),"Concrete")</f>
        <v>Concrete</v>
      </c>
      <c r="C390" s="8" t="str">
        <f>IFERROR(__xludf.DUMMYFUNCTION("""COMPUTED_VALUE"""),"Tires")</f>
        <v>Tires</v>
      </c>
      <c r="D390" s="8" t="str">
        <f>IFERROR(__xludf.DUMMYFUNCTION("""COMPUTED_VALUE"""),"Natural")</f>
        <v>Natural</v>
      </c>
      <c r="E390" s="8" t="str">
        <f>IFERROR(__xludf.DUMMYFUNCTION("""COMPUTED_VALUE"""),"Metal/Wreck")</f>
        <v>Metal/Wreck</v>
      </c>
      <c r="F390" s="8" t="str">
        <f>IFERROR(__xludf.DUMMYFUNCTION("""COMPUTED_VALUE"""),"Engineered/Advanced")</f>
        <v>Engineered/Advanced</v>
      </c>
      <c r="G390" s="8" t="str">
        <f>IFERROR(__xludf.DUMMYFUNCTION("""COMPUTED_VALUE"""),"Recycled/Waste")</f>
        <v>Recycled/Waste</v>
      </c>
      <c r="H390" s="8" t="str">
        <f>IFERROR(__xludf.DUMMYFUNCTION("""COMPUTED_VALUE"""),"Hybrid")</f>
        <v>Hybrid</v>
      </c>
    </row>
    <row r="391">
      <c r="A391" s="8" t="s">
        <v>178</v>
      </c>
      <c r="B391" s="8" t="str">
        <f>IFERROR(__xludf.DUMMYFUNCTION("""COMPUTED_VALUE"""),"Not applicable")</f>
        <v>Not applicable</v>
      </c>
      <c r="C391" s="8"/>
      <c r="D391" s="8"/>
      <c r="E391" s="8"/>
      <c r="F391" s="8"/>
      <c r="G391" s="8"/>
      <c r="H391" s="8"/>
    </row>
    <row r="392">
      <c r="A392" s="8" t="s">
        <v>151</v>
      </c>
      <c r="B392" s="8" t="str">
        <f>IFERROR(__xludf.DUMMYFUNCTION("""COMPUTED_VALUE"""),"Concrete")</f>
        <v>Concrete</v>
      </c>
      <c r="C392" s="8" t="str">
        <f>IFERROR(__xludf.DUMMYFUNCTION("""COMPUTED_VALUE"""),"Tires")</f>
        <v>Tires</v>
      </c>
      <c r="D392" s="8" t="str">
        <f>IFERROR(__xludf.DUMMYFUNCTION("""COMPUTED_VALUE"""),"Natural")</f>
        <v>Natural</v>
      </c>
      <c r="E392" s="8" t="str">
        <f>IFERROR(__xludf.DUMMYFUNCTION("""COMPUTED_VALUE"""),"Metal/Wreck")</f>
        <v>Metal/Wreck</v>
      </c>
      <c r="F392" s="8" t="str">
        <f>IFERROR(__xludf.DUMMYFUNCTION("""COMPUTED_VALUE"""),"Engineered/Advanced")</f>
        <v>Engineered/Advanced</v>
      </c>
      <c r="G392" s="8" t="str">
        <f>IFERROR(__xludf.DUMMYFUNCTION("""COMPUTED_VALUE"""),"Recycled/Waste")</f>
        <v>Recycled/Waste</v>
      </c>
      <c r="H392" s="8" t="str">
        <f>IFERROR(__xludf.DUMMYFUNCTION("""COMPUTED_VALUE"""),"Hybrid")</f>
        <v>Hybrid</v>
      </c>
    </row>
    <row r="393">
      <c r="A393" s="8" t="s">
        <v>319</v>
      </c>
      <c r="B393" s="8" t="str">
        <f>IFERROR(__xludf.DUMMYFUNCTION("""COMPUTED_VALUE"""),"Not applicable")</f>
        <v>Not applicable</v>
      </c>
      <c r="C393" s="8"/>
      <c r="D393" s="8"/>
      <c r="E393" s="8"/>
      <c r="F393" s="8"/>
      <c r="G393" s="8"/>
      <c r="H393" s="8"/>
    </row>
    <row r="394">
      <c r="A394" s="8" t="s">
        <v>151</v>
      </c>
      <c r="B394" s="8" t="str">
        <f>IFERROR(__xludf.DUMMYFUNCTION("""COMPUTED_VALUE"""),"Concrete")</f>
        <v>Concrete</v>
      </c>
      <c r="C394" s="8" t="str">
        <f>IFERROR(__xludf.DUMMYFUNCTION("""COMPUTED_VALUE"""),"Tires")</f>
        <v>Tires</v>
      </c>
      <c r="D394" s="8" t="str">
        <f>IFERROR(__xludf.DUMMYFUNCTION("""COMPUTED_VALUE"""),"Natural")</f>
        <v>Natural</v>
      </c>
      <c r="E394" s="8" t="str">
        <f>IFERROR(__xludf.DUMMYFUNCTION("""COMPUTED_VALUE"""),"Metal/Wreck")</f>
        <v>Metal/Wreck</v>
      </c>
      <c r="F394" s="8" t="str">
        <f>IFERROR(__xludf.DUMMYFUNCTION("""COMPUTED_VALUE"""),"Engineered/Advanced")</f>
        <v>Engineered/Advanced</v>
      </c>
      <c r="G394" s="8" t="str">
        <f>IFERROR(__xludf.DUMMYFUNCTION("""COMPUTED_VALUE"""),"Recycled/Waste")</f>
        <v>Recycled/Waste</v>
      </c>
      <c r="H394" s="8" t="str">
        <f>IFERROR(__xludf.DUMMYFUNCTION("""COMPUTED_VALUE"""),"Hybrid")</f>
        <v>Hybrid</v>
      </c>
    </row>
    <row r="395">
      <c r="A395" s="8" t="s">
        <v>151</v>
      </c>
      <c r="B395" s="8" t="str">
        <f>IFERROR(__xludf.DUMMYFUNCTION("""COMPUTED_VALUE"""),"Concrete")</f>
        <v>Concrete</v>
      </c>
      <c r="C395" s="8" t="str">
        <f>IFERROR(__xludf.DUMMYFUNCTION("""COMPUTED_VALUE"""),"Tires")</f>
        <v>Tires</v>
      </c>
      <c r="D395" s="8" t="str">
        <f>IFERROR(__xludf.DUMMYFUNCTION("""COMPUTED_VALUE"""),"Natural")</f>
        <v>Natural</v>
      </c>
      <c r="E395" s="8" t="str">
        <f>IFERROR(__xludf.DUMMYFUNCTION("""COMPUTED_VALUE"""),"Metal/Wreck")</f>
        <v>Metal/Wreck</v>
      </c>
      <c r="F395" s="8" t="str">
        <f>IFERROR(__xludf.DUMMYFUNCTION("""COMPUTED_VALUE"""),"Engineered/Advanced")</f>
        <v>Engineered/Advanced</v>
      </c>
      <c r="G395" s="8" t="str">
        <f>IFERROR(__xludf.DUMMYFUNCTION("""COMPUTED_VALUE"""),"Recycled/Waste")</f>
        <v>Recycled/Waste</v>
      </c>
      <c r="H395" s="8" t="str">
        <f>IFERROR(__xludf.DUMMYFUNCTION("""COMPUTED_VALUE"""),"Hybrid")</f>
        <v>Hybrid</v>
      </c>
    </row>
    <row r="396">
      <c r="A396" s="8" t="s">
        <v>151</v>
      </c>
      <c r="B396" s="8" t="str">
        <f>IFERROR(__xludf.DUMMYFUNCTION("""COMPUTED_VALUE"""),"Concrete")</f>
        <v>Concrete</v>
      </c>
      <c r="C396" s="8" t="str">
        <f>IFERROR(__xludf.DUMMYFUNCTION("""COMPUTED_VALUE"""),"Tires")</f>
        <v>Tires</v>
      </c>
      <c r="D396" s="8" t="str">
        <f>IFERROR(__xludf.DUMMYFUNCTION("""COMPUTED_VALUE"""),"Natural")</f>
        <v>Natural</v>
      </c>
      <c r="E396" s="8" t="str">
        <f>IFERROR(__xludf.DUMMYFUNCTION("""COMPUTED_VALUE"""),"Metal/Wreck")</f>
        <v>Metal/Wreck</v>
      </c>
      <c r="F396" s="8" t="str">
        <f>IFERROR(__xludf.DUMMYFUNCTION("""COMPUTED_VALUE"""),"Engineered/Advanced")</f>
        <v>Engineered/Advanced</v>
      </c>
      <c r="G396" s="8" t="str">
        <f>IFERROR(__xludf.DUMMYFUNCTION("""COMPUTED_VALUE"""),"Recycled/Waste")</f>
        <v>Recycled/Waste</v>
      </c>
      <c r="H396" s="8" t="str">
        <f>IFERROR(__xludf.DUMMYFUNCTION("""COMPUTED_VALUE"""),"Hybrid")</f>
        <v>Hybrid</v>
      </c>
    </row>
    <row r="397">
      <c r="A397" s="8" t="s">
        <v>151</v>
      </c>
      <c r="B397" s="8" t="str">
        <f>IFERROR(__xludf.DUMMYFUNCTION("""COMPUTED_VALUE"""),"Concrete")</f>
        <v>Concrete</v>
      </c>
      <c r="C397" s="8" t="str">
        <f>IFERROR(__xludf.DUMMYFUNCTION("""COMPUTED_VALUE"""),"Tires")</f>
        <v>Tires</v>
      </c>
      <c r="D397" s="8" t="str">
        <f>IFERROR(__xludf.DUMMYFUNCTION("""COMPUTED_VALUE"""),"Natural")</f>
        <v>Natural</v>
      </c>
      <c r="E397" s="8" t="str">
        <f>IFERROR(__xludf.DUMMYFUNCTION("""COMPUTED_VALUE"""),"Metal/Wreck")</f>
        <v>Metal/Wreck</v>
      </c>
      <c r="F397" s="8" t="str">
        <f>IFERROR(__xludf.DUMMYFUNCTION("""COMPUTED_VALUE"""),"Engineered/Advanced")</f>
        <v>Engineered/Advanced</v>
      </c>
      <c r="G397" s="8" t="str">
        <f>IFERROR(__xludf.DUMMYFUNCTION("""COMPUTED_VALUE"""),"Recycled/Waste")</f>
        <v>Recycled/Waste</v>
      </c>
      <c r="H397" s="8" t="str">
        <f>IFERROR(__xludf.DUMMYFUNCTION("""COMPUTED_VALUE"""),"Hybrid")</f>
        <v>Hybrid</v>
      </c>
    </row>
    <row r="398">
      <c r="A398" s="8" t="s">
        <v>151</v>
      </c>
      <c r="B398" s="8" t="str">
        <f>IFERROR(__xludf.DUMMYFUNCTION("""COMPUTED_VALUE"""),"Concrete")</f>
        <v>Concrete</v>
      </c>
      <c r="C398" s="8" t="str">
        <f>IFERROR(__xludf.DUMMYFUNCTION("""COMPUTED_VALUE"""),"Tires")</f>
        <v>Tires</v>
      </c>
      <c r="D398" s="8" t="str">
        <f>IFERROR(__xludf.DUMMYFUNCTION("""COMPUTED_VALUE"""),"Natural")</f>
        <v>Natural</v>
      </c>
      <c r="E398" s="8" t="str">
        <f>IFERROR(__xludf.DUMMYFUNCTION("""COMPUTED_VALUE"""),"Metal/Wreck")</f>
        <v>Metal/Wreck</v>
      </c>
      <c r="F398" s="8" t="str">
        <f>IFERROR(__xludf.DUMMYFUNCTION("""COMPUTED_VALUE"""),"Engineered/Advanced")</f>
        <v>Engineered/Advanced</v>
      </c>
      <c r="G398" s="8" t="str">
        <f>IFERROR(__xludf.DUMMYFUNCTION("""COMPUTED_VALUE"""),"Recycled/Waste")</f>
        <v>Recycled/Waste</v>
      </c>
      <c r="H398" s="8" t="str">
        <f>IFERROR(__xludf.DUMMYFUNCTION("""COMPUTED_VALUE"""),"Hybrid")</f>
        <v>Hybrid</v>
      </c>
    </row>
    <row r="399">
      <c r="A399" s="8" t="s">
        <v>151</v>
      </c>
      <c r="B399" s="8" t="str">
        <f>IFERROR(__xludf.DUMMYFUNCTION("""COMPUTED_VALUE"""),"Concrete")</f>
        <v>Concrete</v>
      </c>
      <c r="C399" s="8" t="str">
        <f>IFERROR(__xludf.DUMMYFUNCTION("""COMPUTED_VALUE"""),"Tires")</f>
        <v>Tires</v>
      </c>
      <c r="D399" s="8" t="str">
        <f>IFERROR(__xludf.DUMMYFUNCTION("""COMPUTED_VALUE"""),"Natural")</f>
        <v>Natural</v>
      </c>
      <c r="E399" s="8" t="str">
        <f>IFERROR(__xludf.DUMMYFUNCTION("""COMPUTED_VALUE"""),"Metal/Wreck")</f>
        <v>Metal/Wreck</v>
      </c>
      <c r="F399" s="8" t="str">
        <f>IFERROR(__xludf.DUMMYFUNCTION("""COMPUTED_VALUE"""),"Engineered/Advanced")</f>
        <v>Engineered/Advanced</v>
      </c>
      <c r="G399" s="8" t="str">
        <f>IFERROR(__xludf.DUMMYFUNCTION("""COMPUTED_VALUE"""),"Recycled/Waste")</f>
        <v>Recycled/Waste</v>
      </c>
      <c r="H399" s="8" t="str">
        <f>IFERROR(__xludf.DUMMYFUNCTION("""COMPUTED_VALUE"""),"Hybrid")</f>
        <v>Hybrid</v>
      </c>
    </row>
    <row r="400">
      <c r="A400" s="8" t="s">
        <v>151</v>
      </c>
      <c r="B400" s="8" t="str">
        <f>IFERROR(__xludf.DUMMYFUNCTION("""COMPUTED_VALUE"""),"Concrete")</f>
        <v>Concrete</v>
      </c>
      <c r="C400" s="8" t="str">
        <f>IFERROR(__xludf.DUMMYFUNCTION("""COMPUTED_VALUE"""),"Tires")</f>
        <v>Tires</v>
      </c>
      <c r="D400" s="8" t="str">
        <f>IFERROR(__xludf.DUMMYFUNCTION("""COMPUTED_VALUE"""),"Natural")</f>
        <v>Natural</v>
      </c>
      <c r="E400" s="8" t="str">
        <f>IFERROR(__xludf.DUMMYFUNCTION("""COMPUTED_VALUE"""),"Metal/Wreck")</f>
        <v>Metal/Wreck</v>
      </c>
      <c r="F400" s="8" t="str">
        <f>IFERROR(__xludf.DUMMYFUNCTION("""COMPUTED_VALUE"""),"Engineered/Advanced")</f>
        <v>Engineered/Advanced</v>
      </c>
      <c r="G400" s="8" t="str">
        <f>IFERROR(__xludf.DUMMYFUNCTION("""COMPUTED_VALUE"""),"Recycled/Waste")</f>
        <v>Recycled/Waste</v>
      </c>
      <c r="H400" s="8" t="str">
        <f>IFERROR(__xludf.DUMMYFUNCTION("""COMPUTED_VALUE"""),"Hybrid")</f>
        <v>Hybrid</v>
      </c>
    </row>
    <row r="401">
      <c r="A401" s="8" t="s">
        <v>151</v>
      </c>
      <c r="B401" s="8" t="str">
        <f>IFERROR(__xludf.DUMMYFUNCTION("""COMPUTED_VALUE"""),"Concrete")</f>
        <v>Concrete</v>
      </c>
      <c r="C401" s="8" t="str">
        <f>IFERROR(__xludf.DUMMYFUNCTION("""COMPUTED_VALUE"""),"Tires")</f>
        <v>Tires</v>
      </c>
      <c r="D401" s="8" t="str">
        <f>IFERROR(__xludf.DUMMYFUNCTION("""COMPUTED_VALUE"""),"Natural")</f>
        <v>Natural</v>
      </c>
      <c r="E401" s="8" t="str">
        <f>IFERROR(__xludf.DUMMYFUNCTION("""COMPUTED_VALUE"""),"Metal/Wreck")</f>
        <v>Metal/Wreck</v>
      </c>
      <c r="F401" s="8" t="str">
        <f>IFERROR(__xludf.DUMMYFUNCTION("""COMPUTED_VALUE"""),"Engineered/Advanced")</f>
        <v>Engineered/Advanced</v>
      </c>
      <c r="G401" s="8" t="str">
        <f>IFERROR(__xludf.DUMMYFUNCTION("""COMPUTED_VALUE"""),"Recycled/Waste")</f>
        <v>Recycled/Waste</v>
      </c>
      <c r="H401" s="8" t="str">
        <f>IFERROR(__xludf.DUMMYFUNCTION("""COMPUTED_VALUE"""),"Hybrid")</f>
        <v>Hybrid</v>
      </c>
    </row>
    <row r="402">
      <c r="A402" s="8" t="s">
        <v>151</v>
      </c>
      <c r="B402" s="8" t="str">
        <f>IFERROR(__xludf.DUMMYFUNCTION("""COMPUTED_VALUE"""),"Concrete")</f>
        <v>Concrete</v>
      </c>
      <c r="C402" s="8" t="str">
        <f>IFERROR(__xludf.DUMMYFUNCTION("""COMPUTED_VALUE"""),"Tires")</f>
        <v>Tires</v>
      </c>
      <c r="D402" s="8" t="str">
        <f>IFERROR(__xludf.DUMMYFUNCTION("""COMPUTED_VALUE"""),"Natural")</f>
        <v>Natural</v>
      </c>
      <c r="E402" s="8" t="str">
        <f>IFERROR(__xludf.DUMMYFUNCTION("""COMPUTED_VALUE"""),"Metal/Wreck")</f>
        <v>Metal/Wreck</v>
      </c>
      <c r="F402" s="8" t="str">
        <f>IFERROR(__xludf.DUMMYFUNCTION("""COMPUTED_VALUE"""),"Engineered/Advanced")</f>
        <v>Engineered/Advanced</v>
      </c>
      <c r="G402" s="8" t="str">
        <f>IFERROR(__xludf.DUMMYFUNCTION("""COMPUTED_VALUE"""),"Recycled/Waste")</f>
        <v>Recycled/Waste</v>
      </c>
      <c r="H402" s="8" t="str">
        <f>IFERROR(__xludf.DUMMYFUNCTION("""COMPUTED_VALUE"""),"Hybrid")</f>
        <v>Hybrid</v>
      </c>
    </row>
    <row r="403">
      <c r="A403" s="8" t="s">
        <v>151</v>
      </c>
      <c r="B403" s="8" t="str">
        <f>IFERROR(__xludf.DUMMYFUNCTION("""COMPUTED_VALUE"""),"Concrete")</f>
        <v>Concrete</v>
      </c>
      <c r="C403" s="8" t="str">
        <f>IFERROR(__xludf.DUMMYFUNCTION("""COMPUTED_VALUE"""),"Tires")</f>
        <v>Tires</v>
      </c>
      <c r="D403" s="8" t="str">
        <f>IFERROR(__xludf.DUMMYFUNCTION("""COMPUTED_VALUE"""),"Natural")</f>
        <v>Natural</v>
      </c>
      <c r="E403" s="8" t="str">
        <f>IFERROR(__xludf.DUMMYFUNCTION("""COMPUTED_VALUE"""),"Metal/Wreck")</f>
        <v>Metal/Wreck</v>
      </c>
      <c r="F403" s="8" t="str">
        <f>IFERROR(__xludf.DUMMYFUNCTION("""COMPUTED_VALUE"""),"Engineered/Advanced")</f>
        <v>Engineered/Advanced</v>
      </c>
      <c r="G403" s="8" t="str">
        <f>IFERROR(__xludf.DUMMYFUNCTION("""COMPUTED_VALUE"""),"Recycled/Waste")</f>
        <v>Recycled/Waste</v>
      </c>
      <c r="H403" s="8" t="str">
        <f>IFERROR(__xludf.DUMMYFUNCTION("""COMPUTED_VALUE"""),"Hybrid")</f>
        <v>Hybrid</v>
      </c>
    </row>
    <row r="404">
      <c r="A404" s="8" t="s">
        <v>151</v>
      </c>
      <c r="B404" s="8" t="str">
        <f>IFERROR(__xludf.DUMMYFUNCTION("""COMPUTED_VALUE"""),"Concrete")</f>
        <v>Concrete</v>
      </c>
      <c r="C404" s="8" t="str">
        <f>IFERROR(__xludf.DUMMYFUNCTION("""COMPUTED_VALUE"""),"Tires")</f>
        <v>Tires</v>
      </c>
      <c r="D404" s="8" t="str">
        <f>IFERROR(__xludf.DUMMYFUNCTION("""COMPUTED_VALUE"""),"Natural")</f>
        <v>Natural</v>
      </c>
      <c r="E404" s="8" t="str">
        <f>IFERROR(__xludf.DUMMYFUNCTION("""COMPUTED_VALUE"""),"Metal/Wreck")</f>
        <v>Metal/Wreck</v>
      </c>
      <c r="F404" s="8" t="str">
        <f>IFERROR(__xludf.DUMMYFUNCTION("""COMPUTED_VALUE"""),"Engineered/Advanced")</f>
        <v>Engineered/Advanced</v>
      </c>
      <c r="G404" s="8" t="str">
        <f>IFERROR(__xludf.DUMMYFUNCTION("""COMPUTED_VALUE"""),"Recycled/Waste")</f>
        <v>Recycled/Waste</v>
      </c>
      <c r="H404" s="8" t="str">
        <f>IFERROR(__xludf.DUMMYFUNCTION("""COMPUTED_VALUE"""),"Hybrid")</f>
        <v>Hybrid</v>
      </c>
    </row>
    <row r="405">
      <c r="A405" s="8" t="s">
        <v>151</v>
      </c>
      <c r="B405" s="8" t="str">
        <f>IFERROR(__xludf.DUMMYFUNCTION("""COMPUTED_VALUE"""),"Concrete")</f>
        <v>Concrete</v>
      </c>
      <c r="C405" s="8" t="str">
        <f>IFERROR(__xludf.DUMMYFUNCTION("""COMPUTED_VALUE"""),"Tires")</f>
        <v>Tires</v>
      </c>
      <c r="D405" s="8" t="str">
        <f>IFERROR(__xludf.DUMMYFUNCTION("""COMPUTED_VALUE"""),"Natural")</f>
        <v>Natural</v>
      </c>
      <c r="E405" s="8" t="str">
        <f>IFERROR(__xludf.DUMMYFUNCTION("""COMPUTED_VALUE"""),"Metal/Wreck")</f>
        <v>Metal/Wreck</v>
      </c>
      <c r="F405" s="8" t="str">
        <f>IFERROR(__xludf.DUMMYFUNCTION("""COMPUTED_VALUE"""),"Engineered/Advanced")</f>
        <v>Engineered/Advanced</v>
      </c>
      <c r="G405" s="8" t="str">
        <f>IFERROR(__xludf.DUMMYFUNCTION("""COMPUTED_VALUE"""),"Recycled/Waste")</f>
        <v>Recycled/Waste</v>
      </c>
      <c r="H405" s="8" t="str">
        <f>IFERROR(__xludf.DUMMYFUNCTION("""COMPUTED_VALUE"""),"Hybrid")</f>
        <v>Hybrid</v>
      </c>
    </row>
    <row r="406">
      <c r="A406" s="8" t="s">
        <v>151</v>
      </c>
      <c r="B406" s="8" t="str">
        <f>IFERROR(__xludf.DUMMYFUNCTION("""COMPUTED_VALUE"""),"Concrete")</f>
        <v>Concrete</v>
      </c>
      <c r="C406" s="8" t="str">
        <f>IFERROR(__xludf.DUMMYFUNCTION("""COMPUTED_VALUE"""),"Tires")</f>
        <v>Tires</v>
      </c>
      <c r="D406" s="8" t="str">
        <f>IFERROR(__xludf.DUMMYFUNCTION("""COMPUTED_VALUE"""),"Natural")</f>
        <v>Natural</v>
      </c>
      <c r="E406" s="8" t="str">
        <f>IFERROR(__xludf.DUMMYFUNCTION("""COMPUTED_VALUE"""),"Metal/Wreck")</f>
        <v>Metal/Wreck</v>
      </c>
      <c r="F406" s="8" t="str">
        <f>IFERROR(__xludf.DUMMYFUNCTION("""COMPUTED_VALUE"""),"Engineered/Advanced")</f>
        <v>Engineered/Advanced</v>
      </c>
      <c r="G406" s="8" t="str">
        <f>IFERROR(__xludf.DUMMYFUNCTION("""COMPUTED_VALUE"""),"Recycled/Waste")</f>
        <v>Recycled/Waste</v>
      </c>
      <c r="H406" s="8" t="str">
        <f>IFERROR(__xludf.DUMMYFUNCTION("""COMPUTED_VALUE"""),"Hybrid")</f>
        <v>Hybrid</v>
      </c>
    </row>
    <row r="407">
      <c r="A407" s="8" t="s">
        <v>151</v>
      </c>
      <c r="B407" s="8" t="str">
        <f>IFERROR(__xludf.DUMMYFUNCTION("""COMPUTED_VALUE"""),"Concrete")</f>
        <v>Concrete</v>
      </c>
      <c r="C407" s="8" t="str">
        <f>IFERROR(__xludf.DUMMYFUNCTION("""COMPUTED_VALUE"""),"Tires")</f>
        <v>Tires</v>
      </c>
      <c r="D407" s="8" t="str">
        <f>IFERROR(__xludf.DUMMYFUNCTION("""COMPUTED_VALUE"""),"Natural")</f>
        <v>Natural</v>
      </c>
      <c r="E407" s="8" t="str">
        <f>IFERROR(__xludf.DUMMYFUNCTION("""COMPUTED_VALUE"""),"Metal/Wreck")</f>
        <v>Metal/Wreck</v>
      </c>
      <c r="F407" s="8" t="str">
        <f>IFERROR(__xludf.DUMMYFUNCTION("""COMPUTED_VALUE"""),"Engineered/Advanced")</f>
        <v>Engineered/Advanced</v>
      </c>
      <c r="G407" s="8" t="str">
        <f>IFERROR(__xludf.DUMMYFUNCTION("""COMPUTED_VALUE"""),"Recycled/Waste")</f>
        <v>Recycled/Waste</v>
      </c>
      <c r="H407" s="8" t="str">
        <f>IFERROR(__xludf.DUMMYFUNCTION("""COMPUTED_VALUE"""),"Hybrid")</f>
        <v>Hybrid</v>
      </c>
    </row>
    <row r="408">
      <c r="A408" s="8" t="s">
        <v>151</v>
      </c>
      <c r="B408" s="8" t="str">
        <f>IFERROR(__xludf.DUMMYFUNCTION("""COMPUTED_VALUE"""),"Concrete")</f>
        <v>Concrete</v>
      </c>
      <c r="C408" s="8" t="str">
        <f>IFERROR(__xludf.DUMMYFUNCTION("""COMPUTED_VALUE"""),"Tires")</f>
        <v>Tires</v>
      </c>
      <c r="D408" s="8" t="str">
        <f>IFERROR(__xludf.DUMMYFUNCTION("""COMPUTED_VALUE"""),"Natural")</f>
        <v>Natural</v>
      </c>
      <c r="E408" s="8" t="str">
        <f>IFERROR(__xludf.DUMMYFUNCTION("""COMPUTED_VALUE"""),"Metal/Wreck")</f>
        <v>Metal/Wreck</v>
      </c>
      <c r="F408" s="8" t="str">
        <f>IFERROR(__xludf.DUMMYFUNCTION("""COMPUTED_VALUE"""),"Engineered/Advanced")</f>
        <v>Engineered/Advanced</v>
      </c>
      <c r="G408" s="8" t="str">
        <f>IFERROR(__xludf.DUMMYFUNCTION("""COMPUTED_VALUE"""),"Recycled/Waste")</f>
        <v>Recycled/Waste</v>
      </c>
      <c r="H408" s="8" t="str">
        <f>IFERROR(__xludf.DUMMYFUNCTION("""COMPUTED_VALUE"""),"Hybrid")</f>
        <v>Hybrid</v>
      </c>
    </row>
    <row r="409">
      <c r="A409" s="8" t="s">
        <v>151</v>
      </c>
      <c r="B409" s="8" t="str">
        <f>IFERROR(__xludf.DUMMYFUNCTION("""COMPUTED_VALUE"""),"Concrete")</f>
        <v>Concrete</v>
      </c>
      <c r="C409" s="8" t="str">
        <f>IFERROR(__xludf.DUMMYFUNCTION("""COMPUTED_VALUE"""),"Tires")</f>
        <v>Tires</v>
      </c>
      <c r="D409" s="8" t="str">
        <f>IFERROR(__xludf.DUMMYFUNCTION("""COMPUTED_VALUE"""),"Natural")</f>
        <v>Natural</v>
      </c>
      <c r="E409" s="8" t="str">
        <f>IFERROR(__xludf.DUMMYFUNCTION("""COMPUTED_VALUE"""),"Metal/Wreck")</f>
        <v>Metal/Wreck</v>
      </c>
      <c r="F409" s="8" t="str">
        <f>IFERROR(__xludf.DUMMYFUNCTION("""COMPUTED_VALUE"""),"Engineered/Advanced")</f>
        <v>Engineered/Advanced</v>
      </c>
      <c r="G409" s="8" t="str">
        <f>IFERROR(__xludf.DUMMYFUNCTION("""COMPUTED_VALUE"""),"Recycled/Waste")</f>
        <v>Recycled/Waste</v>
      </c>
      <c r="H409" s="8" t="str">
        <f>IFERROR(__xludf.DUMMYFUNCTION("""COMPUTED_VALUE"""),"Hybrid")</f>
        <v>Hybrid</v>
      </c>
    </row>
    <row r="410">
      <c r="A410" s="8" t="s">
        <v>2898</v>
      </c>
      <c r="B410" s="8" t="str">
        <f>IFERROR(__xludf.DUMMYFUNCTION("""COMPUTED_VALUE"""),"Not applicable")</f>
        <v>Not applicable</v>
      </c>
      <c r="C410" s="8"/>
      <c r="D410" s="8"/>
      <c r="E410" s="8"/>
      <c r="F410" s="8"/>
      <c r="G410" s="8"/>
      <c r="H410" s="8"/>
    </row>
    <row r="411">
      <c r="A411" s="8" t="s">
        <v>299</v>
      </c>
      <c r="B411" s="8" t="str">
        <f>IFERROR(__xludf.DUMMYFUNCTION("""COMPUTED_VALUE"""),"#N/A")</f>
        <v>#N/A</v>
      </c>
      <c r="C411" s="8"/>
      <c r="D411" s="8"/>
      <c r="E411" s="8"/>
      <c r="F411" s="8"/>
      <c r="G411" s="8"/>
      <c r="H411" s="8"/>
    </row>
    <row r="412">
      <c r="A412" s="8" t="s">
        <v>299</v>
      </c>
      <c r="B412" s="8" t="str">
        <f>IFERROR(__xludf.DUMMYFUNCTION("""COMPUTED_VALUE"""),"#N/A")</f>
        <v>#N/A</v>
      </c>
      <c r="C412" s="8"/>
      <c r="D412" s="8"/>
      <c r="E412" s="8"/>
      <c r="F412" s="8"/>
      <c r="G412" s="8"/>
      <c r="H412" s="8"/>
    </row>
    <row r="413">
      <c r="A413" s="8" t="s">
        <v>299</v>
      </c>
      <c r="B413" s="8" t="str">
        <f>IFERROR(__xludf.DUMMYFUNCTION("""COMPUTED_VALUE"""),"#N/A")</f>
        <v>#N/A</v>
      </c>
      <c r="C413" s="8"/>
      <c r="D413" s="8"/>
      <c r="E413" s="8"/>
      <c r="F413" s="8"/>
      <c r="G413" s="8"/>
      <c r="H413" s="8"/>
    </row>
    <row r="414">
      <c r="A414" s="8" t="s">
        <v>200</v>
      </c>
      <c r="B414" s="8" t="str">
        <f>IFERROR(__xludf.DUMMYFUNCTION("""COMPUTED_VALUE"""),"Not applicable")</f>
        <v>Not applicable</v>
      </c>
      <c r="C414" s="8"/>
      <c r="D414" s="8"/>
      <c r="E414" s="8"/>
      <c r="F414" s="8"/>
      <c r="G414" s="8"/>
      <c r="H414" s="8"/>
    </row>
    <row r="415">
      <c r="A415" s="8" t="s">
        <v>151</v>
      </c>
      <c r="B415" s="8" t="str">
        <f>IFERROR(__xludf.DUMMYFUNCTION("""COMPUTED_VALUE"""),"Concrete")</f>
        <v>Concrete</v>
      </c>
      <c r="C415" s="8" t="str">
        <f>IFERROR(__xludf.DUMMYFUNCTION("""COMPUTED_VALUE"""),"Tires")</f>
        <v>Tires</v>
      </c>
      <c r="D415" s="8" t="str">
        <f>IFERROR(__xludf.DUMMYFUNCTION("""COMPUTED_VALUE"""),"Natural")</f>
        <v>Natural</v>
      </c>
      <c r="E415" s="8" t="str">
        <f>IFERROR(__xludf.DUMMYFUNCTION("""COMPUTED_VALUE"""),"Metal/Wreck")</f>
        <v>Metal/Wreck</v>
      </c>
      <c r="F415" s="8" t="str">
        <f>IFERROR(__xludf.DUMMYFUNCTION("""COMPUTED_VALUE"""),"Engineered/Advanced")</f>
        <v>Engineered/Advanced</v>
      </c>
      <c r="G415" s="8" t="str">
        <f>IFERROR(__xludf.DUMMYFUNCTION("""COMPUTED_VALUE"""),"Recycled/Waste")</f>
        <v>Recycled/Waste</v>
      </c>
      <c r="H415" s="8" t="str">
        <f>IFERROR(__xludf.DUMMYFUNCTION("""COMPUTED_VALUE"""),"Hybrid")</f>
        <v>Hybrid</v>
      </c>
    </row>
    <row r="416">
      <c r="A416" s="8" t="s">
        <v>178</v>
      </c>
      <c r="B416" s="8" t="str">
        <f>IFERROR(__xludf.DUMMYFUNCTION("""COMPUTED_VALUE"""),"Not applicable")</f>
        <v>Not applicable</v>
      </c>
      <c r="C416" s="8"/>
      <c r="D416" s="8"/>
      <c r="E416" s="8"/>
      <c r="F416" s="8"/>
      <c r="G416" s="8"/>
      <c r="H416" s="8"/>
    </row>
    <row r="417">
      <c r="A417" s="8" t="s">
        <v>178</v>
      </c>
      <c r="B417" s="8" t="str">
        <f>IFERROR(__xludf.DUMMYFUNCTION("""COMPUTED_VALUE"""),"Not applicable")</f>
        <v>Not applicable</v>
      </c>
      <c r="C417" s="8"/>
      <c r="D417" s="8"/>
      <c r="E417" s="8"/>
      <c r="F417" s="8"/>
      <c r="G417" s="8"/>
      <c r="H417" s="8"/>
    </row>
    <row r="418">
      <c r="A418" s="8" t="s">
        <v>178</v>
      </c>
      <c r="B418" s="8" t="str">
        <f>IFERROR(__xludf.DUMMYFUNCTION("""COMPUTED_VALUE"""),"Not applicable")</f>
        <v>Not applicable</v>
      </c>
      <c r="C418" s="8"/>
      <c r="D418" s="8"/>
      <c r="E418" s="8"/>
      <c r="F418" s="8"/>
      <c r="G418" s="8"/>
      <c r="H418" s="8"/>
    </row>
    <row r="419">
      <c r="A419" s="8" t="s">
        <v>178</v>
      </c>
      <c r="B419" s="8" t="str">
        <f>IFERROR(__xludf.DUMMYFUNCTION("""COMPUTED_VALUE"""),"Not applicable")</f>
        <v>Not applicable</v>
      </c>
      <c r="C419" s="8"/>
      <c r="D419" s="8"/>
      <c r="E419" s="8"/>
      <c r="F419" s="8"/>
      <c r="G419" s="8"/>
      <c r="H419" s="8"/>
    </row>
    <row r="420">
      <c r="A420" s="8" t="s">
        <v>299</v>
      </c>
      <c r="B420" s="8" t="str">
        <f>IFERROR(__xludf.DUMMYFUNCTION("""COMPUTED_VALUE"""),"#N/A")</f>
        <v>#N/A</v>
      </c>
      <c r="C420" s="8"/>
      <c r="D420" s="8"/>
      <c r="E420" s="8"/>
      <c r="F420" s="8"/>
      <c r="G420" s="8"/>
      <c r="H420" s="8"/>
    </row>
    <row r="421">
      <c r="A421" s="8" t="s">
        <v>200</v>
      </c>
      <c r="B421" s="8" t="str">
        <f>IFERROR(__xludf.DUMMYFUNCTION("""COMPUTED_VALUE"""),"Not applicable")</f>
        <v>Not applicable</v>
      </c>
      <c r="C421" s="8"/>
      <c r="D421" s="8"/>
      <c r="E421" s="8"/>
      <c r="F421" s="8"/>
      <c r="G421" s="8"/>
      <c r="H421" s="8"/>
    </row>
    <row r="422">
      <c r="A422" s="8" t="s">
        <v>178</v>
      </c>
      <c r="B422" s="8" t="str">
        <f>IFERROR(__xludf.DUMMYFUNCTION("""COMPUTED_VALUE"""),"Not applicable")</f>
        <v>Not applicable</v>
      </c>
      <c r="C422" s="8"/>
      <c r="D422" s="8"/>
      <c r="E422" s="8"/>
      <c r="F422" s="8"/>
      <c r="G422" s="8"/>
      <c r="H422" s="8"/>
    </row>
    <row r="423">
      <c r="A423" s="8" t="s">
        <v>2990</v>
      </c>
      <c r="B423" s="8" t="str">
        <f>IFERROR(__xludf.DUMMYFUNCTION("""COMPUTED_VALUE"""),"#N/A")</f>
        <v>#N/A</v>
      </c>
      <c r="C423" s="8"/>
      <c r="D423" s="8"/>
      <c r="E423" s="8"/>
      <c r="F423" s="8"/>
      <c r="G423" s="8"/>
      <c r="H423" s="8"/>
    </row>
    <row r="424">
      <c r="A424" s="8" t="s">
        <v>178</v>
      </c>
      <c r="B424" s="8" t="str">
        <f>IFERROR(__xludf.DUMMYFUNCTION("""COMPUTED_VALUE"""),"Not applicable")</f>
        <v>Not applicable</v>
      </c>
      <c r="C424" s="8"/>
      <c r="D424" s="8"/>
      <c r="E424" s="8"/>
      <c r="F424" s="8"/>
      <c r="G424" s="8"/>
      <c r="H424" s="8"/>
    </row>
    <row r="425">
      <c r="A425" s="8" t="s">
        <v>200</v>
      </c>
      <c r="B425" s="8" t="str">
        <f>IFERROR(__xludf.DUMMYFUNCTION("""COMPUTED_VALUE"""),"Not applicable")</f>
        <v>Not applicable</v>
      </c>
      <c r="C425" s="8"/>
      <c r="D425" s="8"/>
      <c r="E425" s="8"/>
      <c r="F425" s="8"/>
      <c r="G425" s="8"/>
      <c r="H425" s="8"/>
    </row>
    <row r="426">
      <c r="A426" s="8" t="s">
        <v>151</v>
      </c>
      <c r="B426" s="8" t="str">
        <f>IFERROR(__xludf.DUMMYFUNCTION("""COMPUTED_VALUE"""),"Concrete")</f>
        <v>Concrete</v>
      </c>
      <c r="C426" s="8" t="str">
        <f>IFERROR(__xludf.DUMMYFUNCTION("""COMPUTED_VALUE"""),"Tires")</f>
        <v>Tires</v>
      </c>
      <c r="D426" s="8" t="str">
        <f>IFERROR(__xludf.DUMMYFUNCTION("""COMPUTED_VALUE"""),"Natural")</f>
        <v>Natural</v>
      </c>
      <c r="E426" s="8" t="str">
        <f>IFERROR(__xludf.DUMMYFUNCTION("""COMPUTED_VALUE"""),"Metal/Wreck")</f>
        <v>Metal/Wreck</v>
      </c>
      <c r="F426" s="8" t="str">
        <f>IFERROR(__xludf.DUMMYFUNCTION("""COMPUTED_VALUE"""),"Engineered/Advanced")</f>
        <v>Engineered/Advanced</v>
      </c>
      <c r="G426" s="8" t="str">
        <f>IFERROR(__xludf.DUMMYFUNCTION("""COMPUTED_VALUE"""),"Recycled/Waste")</f>
        <v>Recycled/Waste</v>
      </c>
      <c r="H426" s="8" t="str">
        <f>IFERROR(__xludf.DUMMYFUNCTION("""COMPUTED_VALUE"""),"Hybrid")</f>
        <v>Hybrid</v>
      </c>
    </row>
    <row r="427">
      <c r="A427" s="8" t="s">
        <v>151</v>
      </c>
      <c r="B427" s="8" t="str">
        <f>IFERROR(__xludf.DUMMYFUNCTION("""COMPUTED_VALUE"""),"Concrete")</f>
        <v>Concrete</v>
      </c>
      <c r="C427" s="8" t="str">
        <f>IFERROR(__xludf.DUMMYFUNCTION("""COMPUTED_VALUE"""),"Tires")</f>
        <v>Tires</v>
      </c>
      <c r="D427" s="8" t="str">
        <f>IFERROR(__xludf.DUMMYFUNCTION("""COMPUTED_VALUE"""),"Natural")</f>
        <v>Natural</v>
      </c>
      <c r="E427" s="8" t="str">
        <f>IFERROR(__xludf.DUMMYFUNCTION("""COMPUTED_VALUE"""),"Metal/Wreck")</f>
        <v>Metal/Wreck</v>
      </c>
      <c r="F427" s="8" t="str">
        <f>IFERROR(__xludf.DUMMYFUNCTION("""COMPUTED_VALUE"""),"Engineered/Advanced")</f>
        <v>Engineered/Advanced</v>
      </c>
      <c r="G427" s="8" t="str">
        <f>IFERROR(__xludf.DUMMYFUNCTION("""COMPUTED_VALUE"""),"Recycled/Waste")</f>
        <v>Recycled/Waste</v>
      </c>
      <c r="H427" s="8" t="str">
        <f>IFERROR(__xludf.DUMMYFUNCTION("""COMPUTED_VALUE"""),"Hybrid")</f>
        <v>Hybrid</v>
      </c>
    </row>
    <row r="428">
      <c r="A428" s="8" t="s">
        <v>178</v>
      </c>
      <c r="B428" s="8" t="str">
        <f>IFERROR(__xludf.DUMMYFUNCTION("""COMPUTED_VALUE"""),"Not applicable")</f>
        <v>Not applicable</v>
      </c>
      <c r="C428" s="8"/>
      <c r="D428" s="8"/>
      <c r="E428" s="8"/>
      <c r="F428" s="8"/>
      <c r="G428" s="8"/>
      <c r="H428" s="8"/>
    </row>
    <row r="429">
      <c r="A429" s="8" t="s">
        <v>178</v>
      </c>
      <c r="B429" s="8" t="str">
        <f>IFERROR(__xludf.DUMMYFUNCTION("""COMPUTED_VALUE"""),"Not applicable")</f>
        <v>Not applicable</v>
      </c>
      <c r="C429" s="8"/>
      <c r="D429" s="8"/>
      <c r="E429" s="8"/>
      <c r="F429" s="8"/>
      <c r="G429" s="8"/>
      <c r="H429" s="8"/>
    </row>
    <row r="430">
      <c r="A430" s="8" t="s">
        <v>178</v>
      </c>
      <c r="B430" s="8" t="str">
        <f>IFERROR(__xludf.DUMMYFUNCTION("""COMPUTED_VALUE"""),"Not applicable")</f>
        <v>Not applicable</v>
      </c>
      <c r="C430" s="8"/>
      <c r="D430" s="8"/>
      <c r="E430" s="8"/>
      <c r="F430" s="8"/>
      <c r="G430" s="8"/>
      <c r="H430" s="8"/>
    </row>
    <row r="431">
      <c r="A431" s="8" t="s">
        <v>926</v>
      </c>
      <c r="B431" s="8" t="str">
        <f>IFERROR(__xludf.DUMMYFUNCTION("""COMPUTED_VALUE"""),"#N/A")</f>
        <v>#N/A</v>
      </c>
      <c r="C431" s="8"/>
      <c r="D431" s="8"/>
      <c r="E431" s="8"/>
      <c r="F431" s="8"/>
      <c r="G431" s="8"/>
      <c r="H431" s="8"/>
    </row>
    <row r="432">
      <c r="A432" s="8" t="s">
        <v>151</v>
      </c>
      <c r="B432" s="8" t="str">
        <f>IFERROR(__xludf.DUMMYFUNCTION("""COMPUTED_VALUE"""),"Concrete")</f>
        <v>Concrete</v>
      </c>
      <c r="C432" s="8" t="str">
        <f>IFERROR(__xludf.DUMMYFUNCTION("""COMPUTED_VALUE"""),"Tires")</f>
        <v>Tires</v>
      </c>
      <c r="D432" s="8" t="str">
        <f>IFERROR(__xludf.DUMMYFUNCTION("""COMPUTED_VALUE"""),"Natural")</f>
        <v>Natural</v>
      </c>
      <c r="E432" s="8" t="str">
        <f>IFERROR(__xludf.DUMMYFUNCTION("""COMPUTED_VALUE"""),"Metal/Wreck")</f>
        <v>Metal/Wreck</v>
      </c>
      <c r="F432" s="8" t="str">
        <f>IFERROR(__xludf.DUMMYFUNCTION("""COMPUTED_VALUE"""),"Engineered/Advanced")</f>
        <v>Engineered/Advanced</v>
      </c>
      <c r="G432" s="8" t="str">
        <f>IFERROR(__xludf.DUMMYFUNCTION("""COMPUTED_VALUE"""),"Recycled/Waste")</f>
        <v>Recycled/Waste</v>
      </c>
      <c r="H432" s="8" t="str">
        <f>IFERROR(__xludf.DUMMYFUNCTION("""COMPUTED_VALUE"""),"Hybrid")</f>
        <v>Hybrid</v>
      </c>
    </row>
    <row r="433">
      <c r="A433" s="8" t="s">
        <v>151</v>
      </c>
      <c r="B433" s="8" t="str">
        <f>IFERROR(__xludf.DUMMYFUNCTION("""COMPUTED_VALUE"""),"Concrete")</f>
        <v>Concrete</v>
      </c>
      <c r="C433" s="8" t="str">
        <f>IFERROR(__xludf.DUMMYFUNCTION("""COMPUTED_VALUE"""),"Tires")</f>
        <v>Tires</v>
      </c>
      <c r="D433" s="8" t="str">
        <f>IFERROR(__xludf.DUMMYFUNCTION("""COMPUTED_VALUE"""),"Natural")</f>
        <v>Natural</v>
      </c>
      <c r="E433" s="8" t="str">
        <f>IFERROR(__xludf.DUMMYFUNCTION("""COMPUTED_VALUE"""),"Metal/Wreck")</f>
        <v>Metal/Wreck</v>
      </c>
      <c r="F433" s="8" t="str">
        <f>IFERROR(__xludf.DUMMYFUNCTION("""COMPUTED_VALUE"""),"Engineered/Advanced")</f>
        <v>Engineered/Advanced</v>
      </c>
      <c r="G433" s="8" t="str">
        <f>IFERROR(__xludf.DUMMYFUNCTION("""COMPUTED_VALUE"""),"Recycled/Waste")</f>
        <v>Recycled/Waste</v>
      </c>
      <c r="H433" s="8" t="str">
        <f>IFERROR(__xludf.DUMMYFUNCTION("""COMPUTED_VALUE"""),"Hybrid")</f>
        <v>Hybrid</v>
      </c>
    </row>
    <row r="434">
      <c r="A434" s="8" t="s">
        <v>151</v>
      </c>
      <c r="B434" s="8" t="str">
        <f>IFERROR(__xludf.DUMMYFUNCTION("""COMPUTED_VALUE"""),"Concrete")</f>
        <v>Concrete</v>
      </c>
      <c r="C434" s="8" t="str">
        <f>IFERROR(__xludf.DUMMYFUNCTION("""COMPUTED_VALUE"""),"Tires")</f>
        <v>Tires</v>
      </c>
      <c r="D434" s="8" t="str">
        <f>IFERROR(__xludf.DUMMYFUNCTION("""COMPUTED_VALUE"""),"Natural")</f>
        <v>Natural</v>
      </c>
      <c r="E434" s="8" t="str">
        <f>IFERROR(__xludf.DUMMYFUNCTION("""COMPUTED_VALUE"""),"Metal/Wreck")</f>
        <v>Metal/Wreck</v>
      </c>
      <c r="F434" s="8" t="str">
        <f>IFERROR(__xludf.DUMMYFUNCTION("""COMPUTED_VALUE"""),"Engineered/Advanced")</f>
        <v>Engineered/Advanced</v>
      </c>
      <c r="G434" s="8" t="str">
        <f>IFERROR(__xludf.DUMMYFUNCTION("""COMPUTED_VALUE"""),"Recycled/Waste")</f>
        <v>Recycled/Waste</v>
      </c>
      <c r="H434" s="8" t="str">
        <f>IFERROR(__xludf.DUMMYFUNCTION("""COMPUTED_VALUE"""),"Hybrid")</f>
        <v>Hybrid</v>
      </c>
    </row>
    <row r="435">
      <c r="A435" s="8" t="s">
        <v>151</v>
      </c>
      <c r="B435" s="8" t="str">
        <f>IFERROR(__xludf.DUMMYFUNCTION("""COMPUTED_VALUE"""),"Concrete")</f>
        <v>Concrete</v>
      </c>
      <c r="C435" s="8" t="str">
        <f>IFERROR(__xludf.DUMMYFUNCTION("""COMPUTED_VALUE"""),"Tires")</f>
        <v>Tires</v>
      </c>
      <c r="D435" s="8" t="str">
        <f>IFERROR(__xludf.DUMMYFUNCTION("""COMPUTED_VALUE"""),"Natural")</f>
        <v>Natural</v>
      </c>
      <c r="E435" s="8" t="str">
        <f>IFERROR(__xludf.DUMMYFUNCTION("""COMPUTED_VALUE"""),"Metal/Wreck")</f>
        <v>Metal/Wreck</v>
      </c>
      <c r="F435" s="8" t="str">
        <f>IFERROR(__xludf.DUMMYFUNCTION("""COMPUTED_VALUE"""),"Engineered/Advanced")</f>
        <v>Engineered/Advanced</v>
      </c>
      <c r="G435" s="8" t="str">
        <f>IFERROR(__xludf.DUMMYFUNCTION("""COMPUTED_VALUE"""),"Recycled/Waste")</f>
        <v>Recycled/Waste</v>
      </c>
      <c r="H435" s="8" t="str">
        <f>IFERROR(__xludf.DUMMYFUNCTION("""COMPUTED_VALUE"""),"Hybrid")</f>
        <v>Hybrid</v>
      </c>
    </row>
    <row r="436">
      <c r="A436" s="8" t="s">
        <v>319</v>
      </c>
      <c r="B436" s="8" t="str">
        <f>IFERROR(__xludf.DUMMYFUNCTION("""COMPUTED_VALUE"""),"Not applicable")</f>
        <v>Not applicable</v>
      </c>
      <c r="C436" s="8"/>
      <c r="D436" s="8"/>
      <c r="E436" s="8"/>
      <c r="F436" s="8"/>
      <c r="G436" s="8"/>
      <c r="H436" s="8"/>
    </row>
    <row r="437">
      <c r="A437" s="8" t="s">
        <v>151</v>
      </c>
      <c r="B437" s="8" t="str">
        <f>IFERROR(__xludf.DUMMYFUNCTION("""COMPUTED_VALUE"""),"Concrete")</f>
        <v>Concrete</v>
      </c>
      <c r="C437" s="8" t="str">
        <f>IFERROR(__xludf.DUMMYFUNCTION("""COMPUTED_VALUE"""),"Tires")</f>
        <v>Tires</v>
      </c>
      <c r="D437" s="8" t="str">
        <f>IFERROR(__xludf.DUMMYFUNCTION("""COMPUTED_VALUE"""),"Natural")</f>
        <v>Natural</v>
      </c>
      <c r="E437" s="8" t="str">
        <f>IFERROR(__xludf.DUMMYFUNCTION("""COMPUTED_VALUE"""),"Metal/Wreck")</f>
        <v>Metal/Wreck</v>
      </c>
      <c r="F437" s="8" t="str">
        <f>IFERROR(__xludf.DUMMYFUNCTION("""COMPUTED_VALUE"""),"Engineered/Advanced")</f>
        <v>Engineered/Advanced</v>
      </c>
      <c r="G437" s="8" t="str">
        <f>IFERROR(__xludf.DUMMYFUNCTION("""COMPUTED_VALUE"""),"Recycled/Waste")</f>
        <v>Recycled/Waste</v>
      </c>
      <c r="H437" s="8" t="str">
        <f>IFERROR(__xludf.DUMMYFUNCTION("""COMPUTED_VALUE"""),"Hybrid")</f>
        <v>Hybrid</v>
      </c>
    </row>
    <row r="438">
      <c r="A438" s="8" t="s">
        <v>151</v>
      </c>
      <c r="B438" s="8" t="str">
        <f>IFERROR(__xludf.DUMMYFUNCTION("""COMPUTED_VALUE"""),"Concrete")</f>
        <v>Concrete</v>
      </c>
      <c r="C438" s="8" t="str">
        <f>IFERROR(__xludf.DUMMYFUNCTION("""COMPUTED_VALUE"""),"Tires")</f>
        <v>Tires</v>
      </c>
      <c r="D438" s="8" t="str">
        <f>IFERROR(__xludf.DUMMYFUNCTION("""COMPUTED_VALUE"""),"Natural")</f>
        <v>Natural</v>
      </c>
      <c r="E438" s="8" t="str">
        <f>IFERROR(__xludf.DUMMYFUNCTION("""COMPUTED_VALUE"""),"Metal/Wreck")</f>
        <v>Metal/Wreck</v>
      </c>
      <c r="F438" s="8" t="str">
        <f>IFERROR(__xludf.DUMMYFUNCTION("""COMPUTED_VALUE"""),"Engineered/Advanced")</f>
        <v>Engineered/Advanced</v>
      </c>
      <c r="G438" s="8" t="str">
        <f>IFERROR(__xludf.DUMMYFUNCTION("""COMPUTED_VALUE"""),"Recycled/Waste")</f>
        <v>Recycled/Waste</v>
      </c>
      <c r="H438" s="8" t="str">
        <f>IFERROR(__xludf.DUMMYFUNCTION("""COMPUTED_VALUE"""),"Hybrid")</f>
        <v>Hybrid</v>
      </c>
    </row>
    <row r="439">
      <c r="A439" s="8" t="s">
        <v>151</v>
      </c>
      <c r="B439" s="8" t="str">
        <f>IFERROR(__xludf.DUMMYFUNCTION("""COMPUTED_VALUE"""),"Concrete")</f>
        <v>Concrete</v>
      </c>
      <c r="C439" s="8" t="str">
        <f>IFERROR(__xludf.DUMMYFUNCTION("""COMPUTED_VALUE"""),"Tires")</f>
        <v>Tires</v>
      </c>
      <c r="D439" s="8" t="str">
        <f>IFERROR(__xludf.DUMMYFUNCTION("""COMPUTED_VALUE"""),"Natural")</f>
        <v>Natural</v>
      </c>
      <c r="E439" s="8" t="str">
        <f>IFERROR(__xludf.DUMMYFUNCTION("""COMPUTED_VALUE"""),"Metal/Wreck")</f>
        <v>Metal/Wreck</v>
      </c>
      <c r="F439" s="8" t="str">
        <f>IFERROR(__xludf.DUMMYFUNCTION("""COMPUTED_VALUE"""),"Engineered/Advanced")</f>
        <v>Engineered/Advanced</v>
      </c>
      <c r="G439" s="8" t="str">
        <f>IFERROR(__xludf.DUMMYFUNCTION("""COMPUTED_VALUE"""),"Recycled/Waste")</f>
        <v>Recycled/Waste</v>
      </c>
      <c r="H439" s="8" t="str">
        <f>IFERROR(__xludf.DUMMYFUNCTION("""COMPUTED_VALUE"""),"Hybrid")</f>
        <v>Hybrid</v>
      </c>
    </row>
    <row r="440">
      <c r="A440" s="8" t="s">
        <v>151</v>
      </c>
      <c r="B440" s="8" t="str">
        <f>IFERROR(__xludf.DUMMYFUNCTION("""COMPUTED_VALUE"""),"Concrete")</f>
        <v>Concrete</v>
      </c>
      <c r="C440" s="8" t="str">
        <f>IFERROR(__xludf.DUMMYFUNCTION("""COMPUTED_VALUE"""),"Tires")</f>
        <v>Tires</v>
      </c>
      <c r="D440" s="8" t="str">
        <f>IFERROR(__xludf.DUMMYFUNCTION("""COMPUTED_VALUE"""),"Natural")</f>
        <v>Natural</v>
      </c>
      <c r="E440" s="8" t="str">
        <f>IFERROR(__xludf.DUMMYFUNCTION("""COMPUTED_VALUE"""),"Metal/Wreck")</f>
        <v>Metal/Wreck</v>
      </c>
      <c r="F440" s="8" t="str">
        <f>IFERROR(__xludf.DUMMYFUNCTION("""COMPUTED_VALUE"""),"Engineered/Advanced")</f>
        <v>Engineered/Advanced</v>
      </c>
      <c r="G440" s="8" t="str">
        <f>IFERROR(__xludf.DUMMYFUNCTION("""COMPUTED_VALUE"""),"Recycled/Waste")</f>
        <v>Recycled/Waste</v>
      </c>
      <c r="H440" s="8" t="str">
        <f>IFERROR(__xludf.DUMMYFUNCTION("""COMPUTED_VALUE"""),"Hybrid")</f>
        <v>Hybrid</v>
      </c>
    </row>
    <row r="441">
      <c r="A441" s="8" t="s">
        <v>319</v>
      </c>
      <c r="B441" s="8" t="str">
        <f>IFERROR(__xludf.DUMMYFUNCTION("""COMPUTED_VALUE"""),"Not applicable")</f>
        <v>Not applicable</v>
      </c>
      <c r="C441" s="8"/>
      <c r="D441" s="8"/>
      <c r="E441" s="8"/>
      <c r="F441" s="8"/>
      <c r="G441" s="8"/>
      <c r="H441" s="8"/>
    </row>
    <row r="442">
      <c r="A442" s="8" t="s">
        <v>151</v>
      </c>
      <c r="B442" s="8" t="str">
        <f>IFERROR(__xludf.DUMMYFUNCTION("""COMPUTED_VALUE"""),"Concrete")</f>
        <v>Concrete</v>
      </c>
      <c r="C442" s="8" t="str">
        <f>IFERROR(__xludf.DUMMYFUNCTION("""COMPUTED_VALUE"""),"Tires")</f>
        <v>Tires</v>
      </c>
      <c r="D442" s="8" t="str">
        <f>IFERROR(__xludf.DUMMYFUNCTION("""COMPUTED_VALUE"""),"Natural")</f>
        <v>Natural</v>
      </c>
      <c r="E442" s="8" t="str">
        <f>IFERROR(__xludf.DUMMYFUNCTION("""COMPUTED_VALUE"""),"Metal/Wreck")</f>
        <v>Metal/Wreck</v>
      </c>
      <c r="F442" s="8" t="str">
        <f>IFERROR(__xludf.DUMMYFUNCTION("""COMPUTED_VALUE"""),"Engineered/Advanced")</f>
        <v>Engineered/Advanced</v>
      </c>
      <c r="G442" s="8" t="str">
        <f>IFERROR(__xludf.DUMMYFUNCTION("""COMPUTED_VALUE"""),"Recycled/Waste")</f>
        <v>Recycled/Waste</v>
      </c>
      <c r="H442" s="8" t="str">
        <f>IFERROR(__xludf.DUMMYFUNCTION("""COMPUTED_VALUE"""),"Hybrid")</f>
        <v>Hybrid</v>
      </c>
    </row>
    <row r="443">
      <c r="A443" s="8" t="s">
        <v>151</v>
      </c>
      <c r="B443" s="8" t="str">
        <f>IFERROR(__xludf.DUMMYFUNCTION("""COMPUTED_VALUE"""),"Concrete")</f>
        <v>Concrete</v>
      </c>
      <c r="C443" s="8" t="str">
        <f>IFERROR(__xludf.DUMMYFUNCTION("""COMPUTED_VALUE"""),"Tires")</f>
        <v>Tires</v>
      </c>
      <c r="D443" s="8" t="str">
        <f>IFERROR(__xludf.DUMMYFUNCTION("""COMPUTED_VALUE"""),"Natural")</f>
        <v>Natural</v>
      </c>
      <c r="E443" s="8" t="str">
        <f>IFERROR(__xludf.DUMMYFUNCTION("""COMPUTED_VALUE"""),"Metal/Wreck")</f>
        <v>Metal/Wreck</v>
      </c>
      <c r="F443" s="8" t="str">
        <f>IFERROR(__xludf.DUMMYFUNCTION("""COMPUTED_VALUE"""),"Engineered/Advanced")</f>
        <v>Engineered/Advanced</v>
      </c>
      <c r="G443" s="8" t="str">
        <f>IFERROR(__xludf.DUMMYFUNCTION("""COMPUTED_VALUE"""),"Recycled/Waste")</f>
        <v>Recycled/Waste</v>
      </c>
      <c r="H443" s="8" t="str">
        <f>IFERROR(__xludf.DUMMYFUNCTION("""COMPUTED_VALUE"""),"Hybrid")</f>
        <v>Hybrid</v>
      </c>
    </row>
    <row r="444">
      <c r="A444" s="8" t="s">
        <v>151</v>
      </c>
      <c r="B444" s="8" t="str">
        <f>IFERROR(__xludf.DUMMYFUNCTION("""COMPUTED_VALUE"""),"Concrete")</f>
        <v>Concrete</v>
      </c>
      <c r="C444" s="8" t="str">
        <f>IFERROR(__xludf.DUMMYFUNCTION("""COMPUTED_VALUE"""),"Tires")</f>
        <v>Tires</v>
      </c>
      <c r="D444" s="8" t="str">
        <f>IFERROR(__xludf.DUMMYFUNCTION("""COMPUTED_VALUE"""),"Natural")</f>
        <v>Natural</v>
      </c>
      <c r="E444" s="8" t="str">
        <f>IFERROR(__xludf.DUMMYFUNCTION("""COMPUTED_VALUE"""),"Metal/Wreck")</f>
        <v>Metal/Wreck</v>
      </c>
      <c r="F444" s="8" t="str">
        <f>IFERROR(__xludf.DUMMYFUNCTION("""COMPUTED_VALUE"""),"Engineered/Advanced")</f>
        <v>Engineered/Advanced</v>
      </c>
      <c r="G444" s="8" t="str">
        <f>IFERROR(__xludf.DUMMYFUNCTION("""COMPUTED_VALUE"""),"Recycled/Waste")</f>
        <v>Recycled/Waste</v>
      </c>
      <c r="H444" s="8" t="str">
        <f>IFERROR(__xludf.DUMMYFUNCTION("""COMPUTED_VALUE"""),"Hybrid")</f>
        <v>Hybrid</v>
      </c>
    </row>
    <row r="445">
      <c r="A445" s="8" t="s">
        <v>151</v>
      </c>
      <c r="B445" s="8" t="str">
        <f>IFERROR(__xludf.DUMMYFUNCTION("""COMPUTED_VALUE"""),"Concrete")</f>
        <v>Concrete</v>
      </c>
      <c r="C445" s="8" t="str">
        <f>IFERROR(__xludf.DUMMYFUNCTION("""COMPUTED_VALUE"""),"Tires")</f>
        <v>Tires</v>
      </c>
      <c r="D445" s="8" t="str">
        <f>IFERROR(__xludf.DUMMYFUNCTION("""COMPUTED_VALUE"""),"Natural")</f>
        <v>Natural</v>
      </c>
      <c r="E445" s="8" t="str">
        <f>IFERROR(__xludf.DUMMYFUNCTION("""COMPUTED_VALUE"""),"Metal/Wreck")</f>
        <v>Metal/Wreck</v>
      </c>
      <c r="F445" s="8" t="str">
        <f>IFERROR(__xludf.DUMMYFUNCTION("""COMPUTED_VALUE"""),"Engineered/Advanced")</f>
        <v>Engineered/Advanced</v>
      </c>
      <c r="G445" s="8" t="str">
        <f>IFERROR(__xludf.DUMMYFUNCTION("""COMPUTED_VALUE"""),"Recycled/Waste")</f>
        <v>Recycled/Waste</v>
      </c>
      <c r="H445" s="8" t="str">
        <f>IFERROR(__xludf.DUMMYFUNCTION("""COMPUTED_VALUE"""),"Hybrid")</f>
        <v>Hybrid</v>
      </c>
    </row>
    <row r="446">
      <c r="A446" s="8" t="s">
        <v>151</v>
      </c>
      <c r="B446" s="8" t="str">
        <f>IFERROR(__xludf.DUMMYFUNCTION("""COMPUTED_VALUE"""),"Concrete")</f>
        <v>Concrete</v>
      </c>
      <c r="C446" s="8" t="str">
        <f>IFERROR(__xludf.DUMMYFUNCTION("""COMPUTED_VALUE"""),"Tires")</f>
        <v>Tires</v>
      </c>
      <c r="D446" s="8" t="str">
        <f>IFERROR(__xludf.DUMMYFUNCTION("""COMPUTED_VALUE"""),"Natural")</f>
        <v>Natural</v>
      </c>
      <c r="E446" s="8" t="str">
        <f>IFERROR(__xludf.DUMMYFUNCTION("""COMPUTED_VALUE"""),"Metal/Wreck")</f>
        <v>Metal/Wreck</v>
      </c>
      <c r="F446" s="8" t="str">
        <f>IFERROR(__xludf.DUMMYFUNCTION("""COMPUTED_VALUE"""),"Engineered/Advanced")</f>
        <v>Engineered/Advanced</v>
      </c>
      <c r="G446" s="8" t="str">
        <f>IFERROR(__xludf.DUMMYFUNCTION("""COMPUTED_VALUE"""),"Recycled/Waste")</f>
        <v>Recycled/Waste</v>
      </c>
      <c r="H446" s="8" t="str">
        <f>IFERROR(__xludf.DUMMYFUNCTION("""COMPUTED_VALUE"""),"Hybrid")</f>
        <v>Hybrid</v>
      </c>
    </row>
    <row r="447">
      <c r="A447" s="8" t="s">
        <v>151</v>
      </c>
      <c r="B447" s="8" t="str">
        <f>IFERROR(__xludf.DUMMYFUNCTION("""COMPUTED_VALUE"""),"Concrete")</f>
        <v>Concrete</v>
      </c>
      <c r="C447" s="8" t="str">
        <f>IFERROR(__xludf.DUMMYFUNCTION("""COMPUTED_VALUE"""),"Tires")</f>
        <v>Tires</v>
      </c>
      <c r="D447" s="8" t="str">
        <f>IFERROR(__xludf.DUMMYFUNCTION("""COMPUTED_VALUE"""),"Natural")</f>
        <v>Natural</v>
      </c>
      <c r="E447" s="8" t="str">
        <f>IFERROR(__xludf.DUMMYFUNCTION("""COMPUTED_VALUE"""),"Metal/Wreck")</f>
        <v>Metal/Wreck</v>
      </c>
      <c r="F447" s="8" t="str">
        <f>IFERROR(__xludf.DUMMYFUNCTION("""COMPUTED_VALUE"""),"Engineered/Advanced")</f>
        <v>Engineered/Advanced</v>
      </c>
      <c r="G447" s="8" t="str">
        <f>IFERROR(__xludf.DUMMYFUNCTION("""COMPUTED_VALUE"""),"Recycled/Waste")</f>
        <v>Recycled/Waste</v>
      </c>
      <c r="H447" s="8" t="str">
        <f>IFERROR(__xludf.DUMMYFUNCTION("""COMPUTED_VALUE"""),"Hybrid")</f>
        <v>Hybrid</v>
      </c>
    </row>
    <row r="448">
      <c r="A448" s="8" t="s">
        <v>151</v>
      </c>
      <c r="B448" s="8" t="str">
        <f>IFERROR(__xludf.DUMMYFUNCTION("""COMPUTED_VALUE"""),"Concrete")</f>
        <v>Concrete</v>
      </c>
      <c r="C448" s="8" t="str">
        <f>IFERROR(__xludf.DUMMYFUNCTION("""COMPUTED_VALUE"""),"Tires")</f>
        <v>Tires</v>
      </c>
      <c r="D448" s="8" t="str">
        <f>IFERROR(__xludf.DUMMYFUNCTION("""COMPUTED_VALUE"""),"Natural")</f>
        <v>Natural</v>
      </c>
      <c r="E448" s="8" t="str">
        <f>IFERROR(__xludf.DUMMYFUNCTION("""COMPUTED_VALUE"""),"Metal/Wreck")</f>
        <v>Metal/Wreck</v>
      </c>
      <c r="F448" s="8" t="str">
        <f>IFERROR(__xludf.DUMMYFUNCTION("""COMPUTED_VALUE"""),"Engineered/Advanced")</f>
        <v>Engineered/Advanced</v>
      </c>
      <c r="G448" s="8" t="str">
        <f>IFERROR(__xludf.DUMMYFUNCTION("""COMPUTED_VALUE"""),"Recycled/Waste")</f>
        <v>Recycled/Waste</v>
      </c>
      <c r="H448" s="8" t="str">
        <f>IFERROR(__xludf.DUMMYFUNCTION("""COMPUTED_VALUE"""),"Hybrid")</f>
        <v>Hybrid</v>
      </c>
    </row>
    <row r="449">
      <c r="A449" s="8" t="s">
        <v>151</v>
      </c>
      <c r="B449" s="8" t="str">
        <f>IFERROR(__xludf.DUMMYFUNCTION("""COMPUTED_VALUE"""),"Concrete")</f>
        <v>Concrete</v>
      </c>
      <c r="C449" s="8" t="str">
        <f>IFERROR(__xludf.DUMMYFUNCTION("""COMPUTED_VALUE"""),"Tires")</f>
        <v>Tires</v>
      </c>
      <c r="D449" s="8" t="str">
        <f>IFERROR(__xludf.DUMMYFUNCTION("""COMPUTED_VALUE"""),"Natural")</f>
        <v>Natural</v>
      </c>
      <c r="E449" s="8" t="str">
        <f>IFERROR(__xludf.DUMMYFUNCTION("""COMPUTED_VALUE"""),"Metal/Wreck")</f>
        <v>Metal/Wreck</v>
      </c>
      <c r="F449" s="8" t="str">
        <f>IFERROR(__xludf.DUMMYFUNCTION("""COMPUTED_VALUE"""),"Engineered/Advanced")</f>
        <v>Engineered/Advanced</v>
      </c>
      <c r="G449" s="8" t="str">
        <f>IFERROR(__xludf.DUMMYFUNCTION("""COMPUTED_VALUE"""),"Recycled/Waste")</f>
        <v>Recycled/Waste</v>
      </c>
      <c r="H449" s="8" t="str">
        <f>IFERROR(__xludf.DUMMYFUNCTION("""COMPUTED_VALUE"""),"Hybrid")</f>
        <v>Hybrid</v>
      </c>
    </row>
    <row r="450">
      <c r="A450" s="8" t="s">
        <v>151</v>
      </c>
      <c r="B450" s="8" t="str">
        <f>IFERROR(__xludf.DUMMYFUNCTION("""COMPUTED_VALUE"""),"Concrete")</f>
        <v>Concrete</v>
      </c>
      <c r="C450" s="8" t="str">
        <f>IFERROR(__xludf.DUMMYFUNCTION("""COMPUTED_VALUE"""),"Tires")</f>
        <v>Tires</v>
      </c>
      <c r="D450" s="8" t="str">
        <f>IFERROR(__xludf.DUMMYFUNCTION("""COMPUTED_VALUE"""),"Natural")</f>
        <v>Natural</v>
      </c>
      <c r="E450" s="8" t="str">
        <f>IFERROR(__xludf.DUMMYFUNCTION("""COMPUTED_VALUE"""),"Metal/Wreck")</f>
        <v>Metal/Wreck</v>
      </c>
      <c r="F450" s="8" t="str">
        <f>IFERROR(__xludf.DUMMYFUNCTION("""COMPUTED_VALUE"""),"Engineered/Advanced")</f>
        <v>Engineered/Advanced</v>
      </c>
      <c r="G450" s="8" t="str">
        <f>IFERROR(__xludf.DUMMYFUNCTION("""COMPUTED_VALUE"""),"Recycled/Waste")</f>
        <v>Recycled/Waste</v>
      </c>
      <c r="H450" s="8" t="str">
        <f>IFERROR(__xludf.DUMMYFUNCTION("""COMPUTED_VALUE"""),"Hybrid")</f>
        <v>Hybrid</v>
      </c>
    </row>
    <row r="451">
      <c r="A451" s="8" t="s">
        <v>151</v>
      </c>
      <c r="B451" s="8" t="str">
        <f>IFERROR(__xludf.DUMMYFUNCTION("""COMPUTED_VALUE"""),"Concrete")</f>
        <v>Concrete</v>
      </c>
      <c r="C451" s="8" t="str">
        <f>IFERROR(__xludf.DUMMYFUNCTION("""COMPUTED_VALUE"""),"Tires")</f>
        <v>Tires</v>
      </c>
      <c r="D451" s="8" t="str">
        <f>IFERROR(__xludf.DUMMYFUNCTION("""COMPUTED_VALUE"""),"Natural")</f>
        <v>Natural</v>
      </c>
      <c r="E451" s="8" t="str">
        <f>IFERROR(__xludf.DUMMYFUNCTION("""COMPUTED_VALUE"""),"Metal/Wreck")</f>
        <v>Metal/Wreck</v>
      </c>
      <c r="F451" s="8" t="str">
        <f>IFERROR(__xludf.DUMMYFUNCTION("""COMPUTED_VALUE"""),"Engineered/Advanced")</f>
        <v>Engineered/Advanced</v>
      </c>
      <c r="G451" s="8" t="str">
        <f>IFERROR(__xludf.DUMMYFUNCTION("""COMPUTED_VALUE"""),"Recycled/Waste")</f>
        <v>Recycled/Waste</v>
      </c>
      <c r="H451" s="8" t="str">
        <f>IFERROR(__xludf.DUMMYFUNCTION("""COMPUTED_VALUE"""),"Hybrid")</f>
        <v>Hybrid</v>
      </c>
    </row>
    <row r="452">
      <c r="A452" s="8" t="s">
        <v>151</v>
      </c>
      <c r="B452" s="8" t="str">
        <f>IFERROR(__xludf.DUMMYFUNCTION("""COMPUTED_VALUE"""),"Concrete")</f>
        <v>Concrete</v>
      </c>
      <c r="C452" s="8" t="str">
        <f>IFERROR(__xludf.DUMMYFUNCTION("""COMPUTED_VALUE"""),"Tires")</f>
        <v>Tires</v>
      </c>
      <c r="D452" s="8" t="str">
        <f>IFERROR(__xludf.DUMMYFUNCTION("""COMPUTED_VALUE"""),"Natural")</f>
        <v>Natural</v>
      </c>
      <c r="E452" s="8" t="str">
        <f>IFERROR(__xludf.DUMMYFUNCTION("""COMPUTED_VALUE"""),"Metal/Wreck")</f>
        <v>Metal/Wreck</v>
      </c>
      <c r="F452" s="8" t="str">
        <f>IFERROR(__xludf.DUMMYFUNCTION("""COMPUTED_VALUE"""),"Engineered/Advanced")</f>
        <v>Engineered/Advanced</v>
      </c>
      <c r="G452" s="8" t="str">
        <f>IFERROR(__xludf.DUMMYFUNCTION("""COMPUTED_VALUE"""),"Recycled/Waste")</f>
        <v>Recycled/Waste</v>
      </c>
      <c r="H452" s="8" t="str">
        <f>IFERROR(__xludf.DUMMYFUNCTION("""COMPUTED_VALUE"""),"Hybrid")</f>
        <v>Hybrid</v>
      </c>
    </row>
    <row r="453">
      <c r="A453" s="8" t="s">
        <v>151</v>
      </c>
      <c r="B453" s="8" t="str">
        <f>IFERROR(__xludf.DUMMYFUNCTION("""COMPUTED_VALUE"""),"Concrete")</f>
        <v>Concrete</v>
      </c>
      <c r="C453" s="8" t="str">
        <f>IFERROR(__xludf.DUMMYFUNCTION("""COMPUTED_VALUE"""),"Tires")</f>
        <v>Tires</v>
      </c>
      <c r="D453" s="8" t="str">
        <f>IFERROR(__xludf.DUMMYFUNCTION("""COMPUTED_VALUE"""),"Natural")</f>
        <v>Natural</v>
      </c>
      <c r="E453" s="8" t="str">
        <f>IFERROR(__xludf.DUMMYFUNCTION("""COMPUTED_VALUE"""),"Metal/Wreck")</f>
        <v>Metal/Wreck</v>
      </c>
      <c r="F453" s="8" t="str">
        <f>IFERROR(__xludf.DUMMYFUNCTION("""COMPUTED_VALUE"""),"Engineered/Advanced")</f>
        <v>Engineered/Advanced</v>
      </c>
      <c r="G453" s="8" t="str">
        <f>IFERROR(__xludf.DUMMYFUNCTION("""COMPUTED_VALUE"""),"Recycled/Waste")</f>
        <v>Recycled/Waste</v>
      </c>
      <c r="H453" s="8" t="str">
        <f>IFERROR(__xludf.DUMMYFUNCTION("""COMPUTED_VALUE"""),"Hybrid")</f>
        <v>Hybrid</v>
      </c>
    </row>
    <row r="454">
      <c r="A454" s="8" t="s">
        <v>151</v>
      </c>
      <c r="B454" s="8" t="str">
        <f>IFERROR(__xludf.DUMMYFUNCTION("""COMPUTED_VALUE"""),"Concrete")</f>
        <v>Concrete</v>
      </c>
      <c r="C454" s="8" t="str">
        <f>IFERROR(__xludf.DUMMYFUNCTION("""COMPUTED_VALUE"""),"Tires")</f>
        <v>Tires</v>
      </c>
      <c r="D454" s="8" t="str">
        <f>IFERROR(__xludf.DUMMYFUNCTION("""COMPUTED_VALUE"""),"Natural")</f>
        <v>Natural</v>
      </c>
      <c r="E454" s="8" t="str">
        <f>IFERROR(__xludf.DUMMYFUNCTION("""COMPUTED_VALUE"""),"Metal/Wreck")</f>
        <v>Metal/Wreck</v>
      </c>
      <c r="F454" s="8" t="str">
        <f>IFERROR(__xludf.DUMMYFUNCTION("""COMPUTED_VALUE"""),"Engineered/Advanced")</f>
        <v>Engineered/Advanced</v>
      </c>
      <c r="G454" s="8" t="str">
        <f>IFERROR(__xludf.DUMMYFUNCTION("""COMPUTED_VALUE"""),"Recycled/Waste")</f>
        <v>Recycled/Waste</v>
      </c>
      <c r="H454" s="8" t="str">
        <f>IFERROR(__xludf.DUMMYFUNCTION("""COMPUTED_VALUE"""),"Hybrid")</f>
        <v>Hybrid</v>
      </c>
    </row>
    <row r="455">
      <c r="A455" s="8" t="s">
        <v>178</v>
      </c>
      <c r="B455" s="8" t="str">
        <f>IFERROR(__xludf.DUMMYFUNCTION("""COMPUTED_VALUE"""),"Not applicable")</f>
        <v>Not applicable</v>
      </c>
      <c r="C455" s="8"/>
      <c r="D455" s="8"/>
      <c r="E455" s="8"/>
      <c r="F455" s="8"/>
      <c r="G455" s="8"/>
      <c r="H455" s="8"/>
    </row>
    <row r="456">
      <c r="A456" s="8" t="s">
        <v>178</v>
      </c>
      <c r="B456" s="8" t="str">
        <f>IFERROR(__xludf.DUMMYFUNCTION("""COMPUTED_VALUE"""),"Not applicable")</f>
        <v>Not applicable</v>
      </c>
      <c r="C456" s="8"/>
      <c r="D456" s="8"/>
      <c r="E456" s="8"/>
      <c r="F456" s="8"/>
      <c r="G456" s="8"/>
      <c r="H456" s="8"/>
    </row>
    <row r="457">
      <c r="A457" s="8" t="s">
        <v>264</v>
      </c>
      <c r="B457" s="8" t="str">
        <f>IFERROR(__xludf.DUMMYFUNCTION("""COMPUTED_VALUE"""),"#N/A")</f>
        <v>#N/A</v>
      </c>
      <c r="C457" s="8"/>
      <c r="D457" s="8"/>
      <c r="E457" s="8"/>
      <c r="F457" s="8"/>
      <c r="G457" s="8"/>
      <c r="H457" s="8"/>
    </row>
    <row r="458">
      <c r="A458" s="8" t="s">
        <v>151</v>
      </c>
      <c r="B458" s="8" t="str">
        <f>IFERROR(__xludf.DUMMYFUNCTION("""COMPUTED_VALUE"""),"Concrete")</f>
        <v>Concrete</v>
      </c>
      <c r="C458" s="8" t="str">
        <f>IFERROR(__xludf.DUMMYFUNCTION("""COMPUTED_VALUE"""),"Tires")</f>
        <v>Tires</v>
      </c>
      <c r="D458" s="8" t="str">
        <f>IFERROR(__xludf.DUMMYFUNCTION("""COMPUTED_VALUE"""),"Natural")</f>
        <v>Natural</v>
      </c>
      <c r="E458" s="8" t="str">
        <f>IFERROR(__xludf.DUMMYFUNCTION("""COMPUTED_VALUE"""),"Metal/Wreck")</f>
        <v>Metal/Wreck</v>
      </c>
      <c r="F458" s="8" t="str">
        <f>IFERROR(__xludf.DUMMYFUNCTION("""COMPUTED_VALUE"""),"Engineered/Advanced")</f>
        <v>Engineered/Advanced</v>
      </c>
      <c r="G458" s="8" t="str">
        <f>IFERROR(__xludf.DUMMYFUNCTION("""COMPUTED_VALUE"""),"Recycled/Waste")</f>
        <v>Recycled/Waste</v>
      </c>
      <c r="H458" s="8" t="str">
        <f>IFERROR(__xludf.DUMMYFUNCTION("""COMPUTED_VALUE"""),"Hybrid")</f>
        <v>Hybrid</v>
      </c>
    </row>
    <row r="459">
      <c r="A459" s="8" t="s">
        <v>319</v>
      </c>
      <c r="B459" s="8" t="str">
        <f>IFERROR(__xludf.DUMMYFUNCTION("""COMPUTED_VALUE"""),"Not applicable")</f>
        <v>Not applicable</v>
      </c>
      <c r="C459" s="8"/>
      <c r="D459" s="8"/>
      <c r="E459" s="8"/>
      <c r="F459" s="8"/>
      <c r="G459" s="8"/>
      <c r="H459" s="8"/>
    </row>
    <row r="460">
      <c r="A460" s="8" t="s">
        <v>151</v>
      </c>
      <c r="B460" s="8" t="str">
        <f>IFERROR(__xludf.DUMMYFUNCTION("""COMPUTED_VALUE"""),"Concrete")</f>
        <v>Concrete</v>
      </c>
      <c r="C460" s="8" t="str">
        <f>IFERROR(__xludf.DUMMYFUNCTION("""COMPUTED_VALUE"""),"Tires")</f>
        <v>Tires</v>
      </c>
      <c r="D460" s="8" t="str">
        <f>IFERROR(__xludf.DUMMYFUNCTION("""COMPUTED_VALUE"""),"Natural")</f>
        <v>Natural</v>
      </c>
      <c r="E460" s="8" t="str">
        <f>IFERROR(__xludf.DUMMYFUNCTION("""COMPUTED_VALUE"""),"Metal/Wreck")</f>
        <v>Metal/Wreck</v>
      </c>
      <c r="F460" s="8" t="str">
        <f>IFERROR(__xludf.DUMMYFUNCTION("""COMPUTED_VALUE"""),"Engineered/Advanced")</f>
        <v>Engineered/Advanced</v>
      </c>
      <c r="G460" s="8" t="str">
        <f>IFERROR(__xludf.DUMMYFUNCTION("""COMPUTED_VALUE"""),"Recycled/Waste")</f>
        <v>Recycled/Waste</v>
      </c>
      <c r="H460" s="8" t="str">
        <f>IFERROR(__xludf.DUMMYFUNCTION("""COMPUTED_VALUE"""),"Hybrid")</f>
        <v>Hybrid</v>
      </c>
    </row>
    <row r="461">
      <c r="A461" s="8" t="s">
        <v>151</v>
      </c>
      <c r="B461" s="8" t="str">
        <f>IFERROR(__xludf.DUMMYFUNCTION("""COMPUTED_VALUE"""),"Concrete")</f>
        <v>Concrete</v>
      </c>
      <c r="C461" s="8" t="str">
        <f>IFERROR(__xludf.DUMMYFUNCTION("""COMPUTED_VALUE"""),"Tires")</f>
        <v>Tires</v>
      </c>
      <c r="D461" s="8" t="str">
        <f>IFERROR(__xludf.DUMMYFUNCTION("""COMPUTED_VALUE"""),"Natural")</f>
        <v>Natural</v>
      </c>
      <c r="E461" s="8" t="str">
        <f>IFERROR(__xludf.DUMMYFUNCTION("""COMPUTED_VALUE"""),"Metal/Wreck")</f>
        <v>Metal/Wreck</v>
      </c>
      <c r="F461" s="8" t="str">
        <f>IFERROR(__xludf.DUMMYFUNCTION("""COMPUTED_VALUE"""),"Engineered/Advanced")</f>
        <v>Engineered/Advanced</v>
      </c>
      <c r="G461" s="8" t="str">
        <f>IFERROR(__xludf.DUMMYFUNCTION("""COMPUTED_VALUE"""),"Recycled/Waste")</f>
        <v>Recycled/Waste</v>
      </c>
      <c r="H461" s="8" t="str">
        <f>IFERROR(__xludf.DUMMYFUNCTION("""COMPUTED_VALUE"""),"Hybrid")</f>
        <v>Hybrid</v>
      </c>
    </row>
    <row r="462">
      <c r="A462" s="8" t="s">
        <v>151</v>
      </c>
      <c r="B462" s="8" t="str">
        <f>IFERROR(__xludf.DUMMYFUNCTION("""COMPUTED_VALUE"""),"Concrete")</f>
        <v>Concrete</v>
      </c>
      <c r="C462" s="8" t="str">
        <f>IFERROR(__xludf.DUMMYFUNCTION("""COMPUTED_VALUE"""),"Tires")</f>
        <v>Tires</v>
      </c>
      <c r="D462" s="8" t="str">
        <f>IFERROR(__xludf.DUMMYFUNCTION("""COMPUTED_VALUE"""),"Natural")</f>
        <v>Natural</v>
      </c>
      <c r="E462" s="8" t="str">
        <f>IFERROR(__xludf.DUMMYFUNCTION("""COMPUTED_VALUE"""),"Metal/Wreck")</f>
        <v>Metal/Wreck</v>
      </c>
      <c r="F462" s="8" t="str">
        <f>IFERROR(__xludf.DUMMYFUNCTION("""COMPUTED_VALUE"""),"Engineered/Advanced")</f>
        <v>Engineered/Advanced</v>
      </c>
      <c r="G462" s="8" t="str">
        <f>IFERROR(__xludf.DUMMYFUNCTION("""COMPUTED_VALUE"""),"Recycled/Waste")</f>
        <v>Recycled/Waste</v>
      </c>
      <c r="H462" s="8" t="str">
        <f>IFERROR(__xludf.DUMMYFUNCTION("""COMPUTED_VALUE"""),"Hybrid")</f>
        <v>Hybrid</v>
      </c>
    </row>
    <row r="463">
      <c r="A463" s="8" t="s">
        <v>151</v>
      </c>
      <c r="B463" s="8" t="str">
        <f>IFERROR(__xludf.DUMMYFUNCTION("""COMPUTED_VALUE"""),"Concrete")</f>
        <v>Concrete</v>
      </c>
      <c r="C463" s="8" t="str">
        <f>IFERROR(__xludf.DUMMYFUNCTION("""COMPUTED_VALUE"""),"Tires")</f>
        <v>Tires</v>
      </c>
      <c r="D463" s="8" t="str">
        <f>IFERROR(__xludf.DUMMYFUNCTION("""COMPUTED_VALUE"""),"Natural")</f>
        <v>Natural</v>
      </c>
      <c r="E463" s="8" t="str">
        <f>IFERROR(__xludf.DUMMYFUNCTION("""COMPUTED_VALUE"""),"Metal/Wreck")</f>
        <v>Metal/Wreck</v>
      </c>
      <c r="F463" s="8" t="str">
        <f>IFERROR(__xludf.DUMMYFUNCTION("""COMPUTED_VALUE"""),"Engineered/Advanced")</f>
        <v>Engineered/Advanced</v>
      </c>
      <c r="G463" s="8" t="str">
        <f>IFERROR(__xludf.DUMMYFUNCTION("""COMPUTED_VALUE"""),"Recycled/Waste")</f>
        <v>Recycled/Waste</v>
      </c>
      <c r="H463" s="8" t="str">
        <f>IFERROR(__xludf.DUMMYFUNCTION("""COMPUTED_VALUE"""),"Hybrid")</f>
        <v>Hybrid</v>
      </c>
    </row>
    <row r="464">
      <c r="A464" s="8" t="s">
        <v>264</v>
      </c>
      <c r="B464" s="8" t="str">
        <f>IFERROR(__xludf.DUMMYFUNCTION("""COMPUTED_VALUE"""),"#N/A")</f>
        <v>#N/A</v>
      </c>
      <c r="C464" s="8"/>
      <c r="D464" s="8"/>
      <c r="E464" s="8"/>
      <c r="F464" s="8"/>
      <c r="G464" s="8"/>
      <c r="H464" s="8"/>
    </row>
    <row r="465">
      <c r="A465" s="8" t="s">
        <v>151</v>
      </c>
      <c r="B465" s="8" t="str">
        <f>IFERROR(__xludf.DUMMYFUNCTION("""COMPUTED_VALUE"""),"Concrete")</f>
        <v>Concrete</v>
      </c>
      <c r="C465" s="8" t="str">
        <f>IFERROR(__xludf.DUMMYFUNCTION("""COMPUTED_VALUE"""),"Tires")</f>
        <v>Tires</v>
      </c>
      <c r="D465" s="8" t="str">
        <f>IFERROR(__xludf.DUMMYFUNCTION("""COMPUTED_VALUE"""),"Natural")</f>
        <v>Natural</v>
      </c>
      <c r="E465" s="8" t="str">
        <f>IFERROR(__xludf.DUMMYFUNCTION("""COMPUTED_VALUE"""),"Metal/Wreck")</f>
        <v>Metal/Wreck</v>
      </c>
      <c r="F465" s="8" t="str">
        <f>IFERROR(__xludf.DUMMYFUNCTION("""COMPUTED_VALUE"""),"Engineered/Advanced")</f>
        <v>Engineered/Advanced</v>
      </c>
      <c r="G465" s="8" t="str">
        <f>IFERROR(__xludf.DUMMYFUNCTION("""COMPUTED_VALUE"""),"Recycled/Waste")</f>
        <v>Recycled/Waste</v>
      </c>
      <c r="H465" s="8" t="str">
        <f>IFERROR(__xludf.DUMMYFUNCTION("""COMPUTED_VALUE"""),"Hybrid")</f>
        <v>Hybrid</v>
      </c>
    </row>
    <row r="466">
      <c r="A466" s="8" t="s">
        <v>151</v>
      </c>
      <c r="B466" s="8" t="str">
        <f>IFERROR(__xludf.DUMMYFUNCTION("""COMPUTED_VALUE"""),"Concrete")</f>
        <v>Concrete</v>
      </c>
      <c r="C466" s="8" t="str">
        <f>IFERROR(__xludf.DUMMYFUNCTION("""COMPUTED_VALUE"""),"Tires")</f>
        <v>Tires</v>
      </c>
      <c r="D466" s="8" t="str">
        <f>IFERROR(__xludf.DUMMYFUNCTION("""COMPUTED_VALUE"""),"Natural")</f>
        <v>Natural</v>
      </c>
      <c r="E466" s="8" t="str">
        <f>IFERROR(__xludf.DUMMYFUNCTION("""COMPUTED_VALUE"""),"Metal/Wreck")</f>
        <v>Metal/Wreck</v>
      </c>
      <c r="F466" s="8" t="str">
        <f>IFERROR(__xludf.DUMMYFUNCTION("""COMPUTED_VALUE"""),"Engineered/Advanced")</f>
        <v>Engineered/Advanced</v>
      </c>
      <c r="G466" s="8" t="str">
        <f>IFERROR(__xludf.DUMMYFUNCTION("""COMPUTED_VALUE"""),"Recycled/Waste")</f>
        <v>Recycled/Waste</v>
      </c>
      <c r="H466" s="8" t="str">
        <f>IFERROR(__xludf.DUMMYFUNCTION("""COMPUTED_VALUE"""),"Hybrid")</f>
        <v>Hybrid</v>
      </c>
    </row>
    <row r="467">
      <c r="A467" s="8" t="s">
        <v>151</v>
      </c>
      <c r="B467" s="8" t="str">
        <f>IFERROR(__xludf.DUMMYFUNCTION("""COMPUTED_VALUE"""),"Concrete")</f>
        <v>Concrete</v>
      </c>
      <c r="C467" s="8" t="str">
        <f>IFERROR(__xludf.DUMMYFUNCTION("""COMPUTED_VALUE"""),"Tires")</f>
        <v>Tires</v>
      </c>
      <c r="D467" s="8" t="str">
        <f>IFERROR(__xludf.DUMMYFUNCTION("""COMPUTED_VALUE"""),"Natural")</f>
        <v>Natural</v>
      </c>
      <c r="E467" s="8" t="str">
        <f>IFERROR(__xludf.DUMMYFUNCTION("""COMPUTED_VALUE"""),"Metal/Wreck")</f>
        <v>Metal/Wreck</v>
      </c>
      <c r="F467" s="8" t="str">
        <f>IFERROR(__xludf.DUMMYFUNCTION("""COMPUTED_VALUE"""),"Engineered/Advanced")</f>
        <v>Engineered/Advanced</v>
      </c>
      <c r="G467" s="8" t="str">
        <f>IFERROR(__xludf.DUMMYFUNCTION("""COMPUTED_VALUE"""),"Recycled/Waste")</f>
        <v>Recycled/Waste</v>
      </c>
      <c r="H467" s="8" t="str">
        <f>IFERROR(__xludf.DUMMYFUNCTION("""COMPUTED_VALUE"""),"Hybrid")</f>
        <v>Hybrid</v>
      </c>
    </row>
    <row r="468">
      <c r="A468" s="8" t="s">
        <v>151</v>
      </c>
      <c r="B468" s="8" t="str">
        <f>IFERROR(__xludf.DUMMYFUNCTION("""COMPUTED_VALUE"""),"Concrete")</f>
        <v>Concrete</v>
      </c>
      <c r="C468" s="8" t="str">
        <f>IFERROR(__xludf.DUMMYFUNCTION("""COMPUTED_VALUE"""),"Tires")</f>
        <v>Tires</v>
      </c>
      <c r="D468" s="8" t="str">
        <f>IFERROR(__xludf.DUMMYFUNCTION("""COMPUTED_VALUE"""),"Natural")</f>
        <v>Natural</v>
      </c>
      <c r="E468" s="8" t="str">
        <f>IFERROR(__xludf.DUMMYFUNCTION("""COMPUTED_VALUE"""),"Metal/Wreck")</f>
        <v>Metal/Wreck</v>
      </c>
      <c r="F468" s="8" t="str">
        <f>IFERROR(__xludf.DUMMYFUNCTION("""COMPUTED_VALUE"""),"Engineered/Advanced")</f>
        <v>Engineered/Advanced</v>
      </c>
      <c r="G468" s="8" t="str">
        <f>IFERROR(__xludf.DUMMYFUNCTION("""COMPUTED_VALUE"""),"Recycled/Waste")</f>
        <v>Recycled/Waste</v>
      </c>
      <c r="H468" s="8" t="str">
        <f>IFERROR(__xludf.DUMMYFUNCTION("""COMPUTED_VALUE"""),"Hybrid")</f>
        <v>Hybrid</v>
      </c>
    </row>
    <row r="469">
      <c r="A469" s="8" t="s">
        <v>151</v>
      </c>
      <c r="B469" s="8" t="str">
        <f>IFERROR(__xludf.DUMMYFUNCTION("""COMPUTED_VALUE"""),"Concrete")</f>
        <v>Concrete</v>
      </c>
      <c r="C469" s="8" t="str">
        <f>IFERROR(__xludf.DUMMYFUNCTION("""COMPUTED_VALUE"""),"Tires")</f>
        <v>Tires</v>
      </c>
      <c r="D469" s="8" t="str">
        <f>IFERROR(__xludf.DUMMYFUNCTION("""COMPUTED_VALUE"""),"Natural")</f>
        <v>Natural</v>
      </c>
      <c r="E469" s="8" t="str">
        <f>IFERROR(__xludf.DUMMYFUNCTION("""COMPUTED_VALUE"""),"Metal/Wreck")</f>
        <v>Metal/Wreck</v>
      </c>
      <c r="F469" s="8" t="str">
        <f>IFERROR(__xludf.DUMMYFUNCTION("""COMPUTED_VALUE"""),"Engineered/Advanced")</f>
        <v>Engineered/Advanced</v>
      </c>
      <c r="G469" s="8" t="str">
        <f>IFERROR(__xludf.DUMMYFUNCTION("""COMPUTED_VALUE"""),"Recycled/Waste")</f>
        <v>Recycled/Waste</v>
      </c>
      <c r="H469" s="8" t="str">
        <f>IFERROR(__xludf.DUMMYFUNCTION("""COMPUTED_VALUE"""),"Hybrid")</f>
        <v>Hybrid</v>
      </c>
    </row>
    <row r="470">
      <c r="A470" s="8" t="s">
        <v>151</v>
      </c>
      <c r="B470" s="8" t="str">
        <f>IFERROR(__xludf.DUMMYFUNCTION("""COMPUTED_VALUE"""),"Concrete")</f>
        <v>Concrete</v>
      </c>
      <c r="C470" s="8" t="str">
        <f>IFERROR(__xludf.DUMMYFUNCTION("""COMPUTED_VALUE"""),"Tires")</f>
        <v>Tires</v>
      </c>
      <c r="D470" s="8" t="str">
        <f>IFERROR(__xludf.DUMMYFUNCTION("""COMPUTED_VALUE"""),"Natural")</f>
        <v>Natural</v>
      </c>
      <c r="E470" s="8" t="str">
        <f>IFERROR(__xludf.DUMMYFUNCTION("""COMPUTED_VALUE"""),"Metal/Wreck")</f>
        <v>Metal/Wreck</v>
      </c>
      <c r="F470" s="8" t="str">
        <f>IFERROR(__xludf.DUMMYFUNCTION("""COMPUTED_VALUE"""),"Engineered/Advanced")</f>
        <v>Engineered/Advanced</v>
      </c>
      <c r="G470" s="8" t="str">
        <f>IFERROR(__xludf.DUMMYFUNCTION("""COMPUTED_VALUE"""),"Recycled/Waste")</f>
        <v>Recycled/Waste</v>
      </c>
      <c r="H470" s="8" t="str">
        <f>IFERROR(__xludf.DUMMYFUNCTION("""COMPUTED_VALUE"""),"Hybrid")</f>
        <v>Hybrid</v>
      </c>
    </row>
    <row r="471">
      <c r="B471" s="8"/>
      <c r="C471" s="8"/>
      <c r="D471" s="8"/>
      <c r="E471" s="8"/>
      <c r="F471" s="8"/>
      <c r="G471" s="8"/>
      <c r="H471" s="8"/>
    </row>
    <row r="472">
      <c r="B472" s="8"/>
      <c r="C472" s="8"/>
      <c r="D472" s="8"/>
      <c r="E472" s="8"/>
      <c r="F472" s="8"/>
      <c r="G472" s="8"/>
      <c r="H472" s="8"/>
    </row>
    <row r="473">
      <c r="B473" s="8"/>
      <c r="C473" s="8"/>
      <c r="D473" s="8"/>
      <c r="E473" s="8"/>
      <c r="F473" s="8"/>
      <c r="G473" s="8"/>
      <c r="H473" s="8"/>
    </row>
    <row r="474">
      <c r="B474" s="8"/>
      <c r="C474" s="8"/>
      <c r="D474" s="8"/>
      <c r="E474" s="8"/>
      <c r="F474" s="8"/>
      <c r="G474" s="8"/>
      <c r="H474" s="8"/>
    </row>
    <row r="475">
      <c r="B475" s="8"/>
      <c r="C475" s="8"/>
      <c r="D475" s="8"/>
      <c r="E475" s="8"/>
      <c r="F475" s="8"/>
      <c r="G475" s="8"/>
      <c r="H475" s="8"/>
    </row>
    <row r="476">
      <c r="B476" s="8"/>
      <c r="C476" s="8"/>
      <c r="D476" s="8"/>
      <c r="E476" s="8"/>
      <c r="F476" s="8"/>
      <c r="G476" s="8"/>
      <c r="H476" s="8"/>
    </row>
    <row r="477">
      <c r="B477" s="8"/>
      <c r="C477" s="8"/>
      <c r="D477" s="8"/>
      <c r="E477" s="8"/>
      <c r="F477" s="8"/>
      <c r="G477" s="8"/>
      <c r="H477" s="8"/>
    </row>
    <row r="478">
      <c r="B478" s="8"/>
      <c r="C478" s="8"/>
      <c r="D478" s="8"/>
      <c r="E478" s="8"/>
      <c r="F478" s="8"/>
      <c r="G478" s="8"/>
      <c r="H478" s="8"/>
    </row>
    <row r="479">
      <c r="B479" s="8"/>
      <c r="C479" s="8"/>
      <c r="D479" s="8"/>
      <c r="E479" s="8"/>
      <c r="F479" s="8"/>
      <c r="G479" s="8"/>
      <c r="H479" s="8"/>
    </row>
    <row r="480">
      <c r="B480" s="8"/>
      <c r="C480" s="8"/>
      <c r="D480" s="8"/>
      <c r="E480" s="8"/>
      <c r="F480" s="8"/>
      <c r="G480" s="8"/>
      <c r="H480" s="8"/>
    </row>
    <row r="481">
      <c r="B481" s="8"/>
      <c r="C481" s="8"/>
      <c r="D481" s="8"/>
      <c r="E481" s="8"/>
      <c r="F481" s="8"/>
      <c r="G481" s="8"/>
      <c r="H481" s="8"/>
    </row>
    <row r="482">
      <c r="B482" s="8"/>
      <c r="C482" s="8"/>
      <c r="D482" s="8"/>
      <c r="E482" s="8"/>
      <c r="F482" s="8"/>
      <c r="G482" s="8"/>
      <c r="H482" s="8"/>
    </row>
    <row r="483">
      <c r="B483" s="8"/>
      <c r="C483" s="8"/>
      <c r="D483" s="8"/>
      <c r="E483" s="8"/>
      <c r="F483" s="8"/>
      <c r="G483" s="8"/>
      <c r="H483" s="8"/>
    </row>
    <row r="484">
      <c r="B484" s="8"/>
      <c r="C484" s="8"/>
      <c r="D484" s="8"/>
      <c r="E484" s="8"/>
      <c r="F484" s="8"/>
      <c r="G484" s="8"/>
      <c r="H484" s="8"/>
    </row>
    <row r="485">
      <c r="B485" s="8"/>
      <c r="C485" s="8"/>
      <c r="D485" s="8"/>
      <c r="E485" s="8"/>
      <c r="F485" s="8"/>
      <c r="G485" s="8"/>
      <c r="H485" s="8"/>
    </row>
    <row r="486">
      <c r="B486" s="8"/>
      <c r="C486" s="8"/>
      <c r="D486" s="8"/>
      <c r="E486" s="8"/>
      <c r="F486" s="8"/>
      <c r="G486" s="8"/>
      <c r="H486" s="8"/>
    </row>
    <row r="487">
      <c r="B487" s="8"/>
      <c r="C487" s="8"/>
      <c r="D487" s="8"/>
      <c r="E487" s="8"/>
      <c r="F487" s="8"/>
      <c r="G487" s="8"/>
      <c r="H487" s="8"/>
    </row>
    <row r="488">
      <c r="B488" s="8"/>
      <c r="C488" s="8"/>
      <c r="D488" s="8"/>
      <c r="E488" s="8"/>
      <c r="F488" s="8"/>
      <c r="G488" s="8"/>
      <c r="H488" s="8"/>
    </row>
    <row r="489">
      <c r="B489" s="8"/>
      <c r="C489" s="8"/>
      <c r="D489" s="8"/>
      <c r="E489" s="8"/>
      <c r="F489" s="8"/>
      <c r="G489" s="8"/>
      <c r="H489" s="8"/>
    </row>
    <row r="490">
      <c r="B490" s="8"/>
      <c r="C490" s="8"/>
      <c r="D490" s="8"/>
      <c r="E490" s="8"/>
      <c r="F490" s="8"/>
      <c r="G490" s="8"/>
      <c r="H490" s="8"/>
    </row>
    <row r="491">
      <c r="B491" s="8"/>
      <c r="C491" s="8"/>
      <c r="D491" s="8"/>
      <c r="E491" s="8"/>
      <c r="F491" s="8"/>
      <c r="G491" s="8"/>
      <c r="H491" s="8"/>
    </row>
    <row r="492">
      <c r="B492" s="8"/>
      <c r="C492" s="8"/>
      <c r="D492" s="8"/>
      <c r="E492" s="8"/>
      <c r="F492" s="8"/>
      <c r="G492" s="8"/>
      <c r="H492" s="8"/>
    </row>
    <row r="493">
      <c r="B493" s="8"/>
      <c r="C493" s="8"/>
      <c r="D493" s="8"/>
      <c r="E493" s="8"/>
      <c r="F493" s="8"/>
      <c r="G493" s="8"/>
      <c r="H493" s="8"/>
    </row>
    <row r="494">
      <c r="B494" s="8"/>
      <c r="C494" s="8"/>
      <c r="D494" s="8"/>
      <c r="E494" s="8"/>
      <c r="F494" s="8"/>
      <c r="G494" s="8"/>
      <c r="H494" s="8"/>
    </row>
    <row r="495">
      <c r="B495" s="8"/>
      <c r="C495" s="8"/>
      <c r="D495" s="8"/>
      <c r="E495" s="8"/>
      <c r="F495" s="8"/>
      <c r="G495" s="8"/>
      <c r="H495" s="8"/>
    </row>
    <row r="496">
      <c r="B496" s="8"/>
      <c r="C496" s="8"/>
      <c r="D496" s="8"/>
      <c r="E496" s="8"/>
      <c r="F496" s="8"/>
      <c r="G496" s="8"/>
      <c r="H496" s="8"/>
    </row>
    <row r="497">
      <c r="B497" s="8"/>
      <c r="C497" s="8"/>
      <c r="D497" s="8"/>
      <c r="E497" s="8"/>
      <c r="F497" s="8"/>
      <c r="G497" s="8"/>
      <c r="H497" s="8"/>
    </row>
    <row r="498">
      <c r="B498" s="8"/>
      <c r="C498" s="8"/>
      <c r="D498" s="8"/>
      <c r="E498" s="8"/>
      <c r="F498" s="8"/>
      <c r="G498" s="8"/>
      <c r="H498" s="8"/>
    </row>
    <row r="499">
      <c r="B499" s="8"/>
      <c r="C499" s="8"/>
      <c r="D499" s="8"/>
      <c r="E499" s="8"/>
      <c r="F499" s="8"/>
      <c r="G499" s="8"/>
      <c r="H499" s="8"/>
    </row>
    <row r="500">
      <c r="B500" s="8"/>
      <c r="C500" s="8"/>
      <c r="D500" s="8"/>
      <c r="E500" s="8"/>
      <c r="F500" s="8"/>
      <c r="G500" s="8"/>
      <c r="H500" s="8"/>
    </row>
    <row r="501">
      <c r="B501" s="8"/>
      <c r="C501" s="8"/>
      <c r="D501" s="8"/>
      <c r="E501" s="8"/>
      <c r="F501" s="8"/>
      <c r="G501" s="8"/>
      <c r="H501" s="8"/>
    </row>
    <row r="502">
      <c r="B502" s="8"/>
      <c r="C502" s="8"/>
      <c r="D502" s="8"/>
      <c r="E502" s="8"/>
      <c r="F502" s="8"/>
      <c r="G502" s="8"/>
      <c r="H502" s="8"/>
    </row>
    <row r="503">
      <c r="B503" s="8"/>
      <c r="C503" s="8"/>
      <c r="D503" s="8"/>
      <c r="E503" s="8"/>
      <c r="F503" s="8"/>
      <c r="G503" s="8"/>
      <c r="H503" s="8"/>
    </row>
    <row r="504">
      <c r="B504" s="8"/>
      <c r="C504" s="8"/>
      <c r="D504" s="8"/>
      <c r="E504" s="8"/>
      <c r="F504" s="8"/>
      <c r="G504" s="8"/>
      <c r="H504" s="8"/>
    </row>
    <row r="505">
      <c r="B505" s="8"/>
      <c r="C505" s="8"/>
      <c r="D505" s="8"/>
      <c r="E505" s="8"/>
      <c r="F505" s="8"/>
      <c r="G505" s="8"/>
      <c r="H505" s="8"/>
    </row>
    <row r="506">
      <c r="B506" s="8"/>
      <c r="C506" s="8"/>
      <c r="D506" s="8"/>
      <c r="E506" s="8"/>
      <c r="F506" s="8"/>
      <c r="G506" s="8"/>
      <c r="H506" s="8"/>
    </row>
    <row r="507">
      <c r="B507" s="8"/>
      <c r="C507" s="8"/>
      <c r="D507" s="8"/>
      <c r="E507" s="8"/>
      <c r="F507" s="8"/>
      <c r="G507" s="8"/>
      <c r="H507" s="8"/>
    </row>
    <row r="508">
      <c r="B508" s="8"/>
      <c r="C508" s="8"/>
      <c r="D508" s="8"/>
      <c r="E508" s="8"/>
      <c r="F508" s="8"/>
      <c r="G508" s="8"/>
      <c r="H508" s="8"/>
    </row>
    <row r="509">
      <c r="B509" s="8"/>
      <c r="C509" s="8"/>
      <c r="D509" s="8"/>
      <c r="E509" s="8"/>
      <c r="F509" s="8"/>
      <c r="G509" s="8"/>
      <c r="H509" s="8"/>
    </row>
    <row r="510">
      <c r="B510" s="8"/>
      <c r="C510" s="8"/>
      <c r="D510" s="8"/>
      <c r="E510" s="8"/>
      <c r="F510" s="8"/>
      <c r="G510" s="8"/>
      <c r="H510" s="8"/>
    </row>
    <row r="511">
      <c r="B511" s="8"/>
      <c r="C511" s="8"/>
      <c r="D511" s="8"/>
      <c r="E511" s="8"/>
      <c r="F511" s="8"/>
      <c r="G511" s="8"/>
      <c r="H511" s="8"/>
    </row>
    <row r="512">
      <c r="B512" s="8"/>
      <c r="C512" s="8"/>
      <c r="D512" s="8"/>
      <c r="E512" s="8"/>
      <c r="F512" s="8"/>
      <c r="G512" s="8"/>
      <c r="H512" s="8"/>
    </row>
    <row r="513">
      <c r="B513" s="8"/>
      <c r="C513" s="8"/>
      <c r="D513" s="8"/>
      <c r="E513" s="8"/>
      <c r="F513" s="8"/>
      <c r="G513" s="8"/>
      <c r="H513" s="8"/>
    </row>
    <row r="514">
      <c r="B514" s="8"/>
      <c r="C514" s="8"/>
      <c r="D514" s="8"/>
      <c r="E514" s="8"/>
      <c r="F514" s="8"/>
      <c r="G514" s="8"/>
      <c r="H514" s="8"/>
    </row>
    <row r="515">
      <c r="B515" s="8"/>
      <c r="C515" s="8"/>
      <c r="D515" s="8"/>
      <c r="E515" s="8"/>
      <c r="F515" s="8"/>
      <c r="G515" s="8"/>
      <c r="H515" s="8"/>
    </row>
    <row r="516">
      <c r="B516" s="8"/>
      <c r="C516" s="8"/>
      <c r="D516" s="8"/>
      <c r="E516" s="8"/>
      <c r="F516" s="8"/>
      <c r="G516" s="8"/>
      <c r="H516" s="8"/>
    </row>
    <row r="517">
      <c r="B517" s="8"/>
      <c r="C517" s="8"/>
      <c r="D517" s="8"/>
      <c r="E517" s="8"/>
      <c r="F517" s="8"/>
      <c r="G517" s="8"/>
      <c r="H517" s="8"/>
    </row>
    <row r="518">
      <c r="B518" s="8"/>
      <c r="C518" s="8"/>
      <c r="D518" s="8"/>
      <c r="E518" s="8"/>
      <c r="F518" s="8"/>
      <c r="G518" s="8"/>
      <c r="H518" s="8"/>
    </row>
    <row r="519">
      <c r="B519" s="8"/>
      <c r="C519" s="8"/>
      <c r="D519" s="8"/>
      <c r="E519" s="8"/>
      <c r="F519" s="8"/>
      <c r="G519" s="8"/>
      <c r="H519" s="8"/>
    </row>
    <row r="520">
      <c r="B520" s="8"/>
      <c r="C520" s="8"/>
      <c r="D520" s="8"/>
      <c r="E520" s="8"/>
      <c r="F520" s="8"/>
      <c r="G520" s="8"/>
      <c r="H520" s="8"/>
    </row>
    <row r="521">
      <c r="B521" s="8"/>
      <c r="C521" s="8"/>
      <c r="D521" s="8"/>
      <c r="E521" s="8"/>
      <c r="F521" s="8"/>
      <c r="G521" s="8"/>
      <c r="H521" s="8"/>
    </row>
    <row r="522">
      <c r="B522" s="8"/>
      <c r="C522" s="8"/>
      <c r="D522" s="8"/>
      <c r="E522" s="8"/>
      <c r="F522" s="8"/>
      <c r="G522" s="8"/>
      <c r="H522" s="8"/>
    </row>
    <row r="523">
      <c r="B523" s="8"/>
      <c r="C523" s="8"/>
      <c r="D523" s="8"/>
      <c r="E523" s="8"/>
      <c r="F523" s="8"/>
      <c r="G523" s="8"/>
      <c r="H523" s="8"/>
    </row>
    <row r="524">
      <c r="B524" s="8"/>
      <c r="C524" s="8"/>
      <c r="D524" s="8"/>
      <c r="E524" s="8"/>
      <c r="F524" s="8"/>
      <c r="G524" s="8"/>
      <c r="H524" s="8"/>
    </row>
    <row r="525">
      <c r="B525" s="8"/>
      <c r="C525" s="8"/>
      <c r="D525" s="8"/>
      <c r="E525" s="8"/>
      <c r="F525" s="8"/>
      <c r="G525" s="8"/>
      <c r="H525" s="8"/>
    </row>
    <row r="526">
      <c r="B526" s="8"/>
      <c r="C526" s="8"/>
      <c r="D526" s="8"/>
      <c r="E526" s="8"/>
      <c r="F526" s="8"/>
      <c r="G526" s="8"/>
      <c r="H526" s="8"/>
    </row>
    <row r="527">
      <c r="B527" s="8"/>
      <c r="C527" s="8"/>
      <c r="D527" s="8"/>
      <c r="E527" s="8"/>
      <c r="F527" s="8"/>
      <c r="G527" s="8"/>
      <c r="H527" s="8"/>
    </row>
    <row r="528">
      <c r="B528" s="8"/>
      <c r="C528" s="8"/>
      <c r="D528" s="8"/>
      <c r="E528" s="8"/>
      <c r="F528" s="8"/>
      <c r="G528" s="8"/>
      <c r="H528" s="8"/>
    </row>
    <row r="529">
      <c r="B529" s="8"/>
      <c r="C529" s="8"/>
      <c r="D529" s="8"/>
      <c r="E529" s="8"/>
      <c r="F529" s="8"/>
      <c r="G529" s="8"/>
      <c r="H529" s="8"/>
    </row>
    <row r="530">
      <c r="B530" s="8"/>
      <c r="C530" s="8"/>
      <c r="D530" s="8"/>
      <c r="E530" s="8"/>
      <c r="F530" s="8"/>
      <c r="G530" s="8"/>
      <c r="H530" s="8"/>
    </row>
    <row r="531">
      <c r="B531" s="8"/>
      <c r="C531" s="8"/>
      <c r="D531" s="8"/>
      <c r="E531" s="8"/>
      <c r="F531" s="8"/>
      <c r="G531" s="8"/>
      <c r="H531" s="8"/>
    </row>
    <row r="532">
      <c r="B532" s="8"/>
      <c r="C532" s="8"/>
      <c r="D532" s="8"/>
      <c r="E532" s="8"/>
      <c r="F532" s="8"/>
      <c r="G532" s="8"/>
      <c r="H532" s="8"/>
    </row>
    <row r="533">
      <c r="B533" s="8"/>
      <c r="C533" s="8"/>
      <c r="D533" s="8"/>
      <c r="E533" s="8"/>
      <c r="F533" s="8"/>
      <c r="G533" s="8"/>
      <c r="H533" s="8"/>
    </row>
    <row r="534">
      <c r="B534" s="8"/>
      <c r="C534" s="8"/>
      <c r="D534" s="8"/>
      <c r="E534" s="8"/>
      <c r="F534" s="8"/>
      <c r="G534" s="8"/>
      <c r="H534" s="8"/>
    </row>
    <row r="535">
      <c r="B535" s="8"/>
      <c r="C535" s="8"/>
      <c r="D535" s="8"/>
      <c r="E535" s="8"/>
      <c r="F535" s="8"/>
      <c r="G535" s="8"/>
      <c r="H535" s="8"/>
    </row>
    <row r="536">
      <c r="B536" s="8"/>
      <c r="C536" s="8"/>
      <c r="D536" s="8"/>
      <c r="E536" s="8"/>
      <c r="F536" s="8"/>
      <c r="G536" s="8"/>
      <c r="H536" s="8"/>
    </row>
    <row r="537">
      <c r="B537" s="8"/>
      <c r="C537" s="8"/>
      <c r="D537" s="8"/>
      <c r="E537" s="8"/>
      <c r="F537" s="8"/>
      <c r="G537" s="8"/>
      <c r="H537" s="8"/>
    </row>
    <row r="538">
      <c r="B538" s="8"/>
      <c r="C538" s="8"/>
      <c r="D538" s="8"/>
      <c r="E538" s="8"/>
      <c r="F538" s="8"/>
      <c r="G538" s="8"/>
      <c r="H538" s="8"/>
    </row>
    <row r="539">
      <c r="B539" s="8"/>
      <c r="C539" s="8"/>
      <c r="D539" s="8"/>
      <c r="E539" s="8"/>
      <c r="F539" s="8"/>
      <c r="G539" s="8"/>
      <c r="H539" s="8"/>
    </row>
    <row r="540">
      <c r="B540" s="8"/>
      <c r="C540" s="8"/>
      <c r="D540" s="8"/>
      <c r="E540" s="8"/>
      <c r="F540" s="8"/>
      <c r="G540" s="8"/>
      <c r="H540" s="8"/>
    </row>
    <row r="541">
      <c r="B541" s="8"/>
      <c r="C541" s="8"/>
      <c r="D541" s="8"/>
      <c r="E541" s="8"/>
      <c r="F541" s="8"/>
      <c r="G541" s="8"/>
      <c r="H541" s="8"/>
    </row>
    <row r="542">
      <c r="B542" s="8"/>
      <c r="C542" s="8"/>
      <c r="D542" s="8"/>
      <c r="E542" s="8"/>
      <c r="F542" s="8"/>
      <c r="G542" s="8"/>
      <c r="H542" s="8"/>
    </row>
    <row r="543">
      <c r="B543" s="8"/>
      <c r="C543" s="8"/>
      <c r="D543" s="8"/>
      <c r="E543" s="8"/>
      <c r="F543" s="8"/>
      <c r="G543" s="8"/>
      <c r="H543" s="8"/>
    </row>
    <row r="544">
      <c r="B544" s="8"/>
      <c r="C544" s="8"/>
      <c r="D544" s="8"/>
      <c r="E544" s="8"/>
      <c r="F544" s="8"/>
      <c r="G544" s="8"/>
      <c r="H544" s="8"/>
    </row>
    <row r="545">
      <c r="B545" s="8"/>
      <c r="C545" s="8"/>
      <c r="D545" s="8"/>
      <c r="E545" s="8"/>
      <c r="F545" s="8"/>
      <c r="G545" s="8"/>
      <c r="H545" s="8"/>
    </row>
    <row r="546">
      <c r="B546" s="8"/>
      <c r="C546" s="8"/>
      <c r="D546" s="8"/>
      <c r="E546" s="8"/>
      <c r="F546" s="8"/>
      <c r="G546" s="8"/>
      <c r="H546" s="8"/>
    </row>
    <row r="547">
      <c r="B547" s="8"/>
      <c r="C547" s="8"/>
      <c r="D547" s="8"/>
      <c r="E547" s="8"/>
      <c r="F547" s="8"/>
      <c r="G547" s="8"/>
      <c r="H547" s="8"/>
    </row>
    <row r="548">
      <c r="B548" s="8"/>
      <c r="C548" s="8"/>
      <c r="D548" s="8"/>
      <c r="E548" s="8"/>
      <c r="F548" s="8"/>
      <c r="G548" s="8"/>
      <c r="H548" s="8"/>
    </row>
    <row r="549">
      <c r="B549" s="8"/>
      <c r="C549" s="8"/>
      <c r="D549" s="8"/>
      <c r="E549" s="8"/>
      <c r="F549" s="8"/>
      <c r="G549" s="8"/>
      <c r="H549" s="8"/>
    </row>
    <row r="550">
      <c r="B550" s="8"/>
      <c r="C550" s="8"/>
      <c r="D550" s="8"/>
      <c r="E550" s="8"/>
      <c r="F550" s="8"/>
      <c r="G550" s="8"/>
      <c r="H550" s="8"/>
    </row>
    <row r="551">
      <c r="B551" s="8"/>
      <c r="C551" s="8"/>
      <c r="D551" s="8"/>
      <c r="E551" s="8"/>
      <c r="F551" s="8"/>
      <c r="G551" s="8"/>
      <c r="H551" s="8"/>
    </row>
    <row r="552">
      <c r="B552" s="8"/>
      <c r="C552" s="8"/>
      <c r="D552" s="8"/>
      <c r="E552" s="8"/>
      <c r="F552" s="8"/>
      <c r="G552" s="8"/>
      <c r="H552" s="8"/>
    </row>
    <row r="553">
      <c r="B553" s="8"/>
      <c r="C553" s="8"/>
      <c r="D553" s="8"/>
      <c r="E553" s="8"/>
      <c r="F553" s="8"/>
      <c r="G553" s="8"/>
      <c r="H553" s="8"/>
    </row>
    <row r="554">
      <c r="B554" s="8"/>
      <c r="C554" s="8"/>
      <c r="D554" s="8"/>
      <c r="E554" s="8"/>
      <c r="F554" s="8"/>
      <c r="G554" s="8"/>
      <c r="H554" s="8"/>
    </row>
    <row r="555">
      <c r="B555" s="8"/>
      <c r="C555" s="8"/>
      <c r="D555" s="8"/>
      <c r="E555" s="8"/>
      <c r="F555" s="8"/>
      <c r="G555" s="8"/>
      <c r="H555" s="8"/>
    </row>
    <row r="556">
      <c r="B556" s="8"/>
      <c r="C556" s="8"/>
      <c r="D556" s="8"/>
      <c r="E556" s="8"/>
      <c r="F556" s="8"/>
      <c r="G556" s="8"/>
      <c r="H556" s="8"/>
    </row>
    <row r="557">
      <c r="B557" s="8"/>
      <c r="C557" s="8"/>
      <c r="D557" s="8"/>
      <c r="E557" s="8"/>
      <c r="F557" s="8"/>
      <c r="G557" s="8"/>
      <c r="H557" s="8"/>
    </row>
    <row r="558">
      <c r="B558" s="8"/>
      <c r="C558" s="8"/>
      <c r="D558" s="8"/>
      <c r="E558" s="8"/>
      <c r="F558" s="8"/>
      <c r="G558" s="8"/>
      <c r="H558" s="8"/>
    </row>
    <row r="559">
      <c r="B559" s="8"/>
      <c r="C559" s="8"/>
      <c r="D559" s="8"/>
      <c r="E559" s="8"/>
      <c r="F559" s="8"/>
      <c r="G559" s="8"/>
      <c r="H559" s="8"/>
    </row>
    <row r="560">
      <c r="B560" s="8"/>
      <c r="C560" s="8"/>
      <c r="D560" s="8"/>
      <c r="E560" s="8"/>
      <c r="F560" s="8"/>
      <c r="G560" s="8"/>
      <c r="H560" s="8"/>
    </row>
    <row r="561">
      <c r="B561" s="8"/>
      <c r="C561" s="8"/>
      <c r="D561" s="8"/>
      <c r="E561" s="8"/>
      <c r="F561" s="8"/>
      <c r="G561" s="8"/>
      <c r="H561" s="8"/>
    </row>
    <row r="562">
      <c r="B562" s="8"/>
      <c r="C562" s="8"/>
      <c r="D562" s="8"/>
      <c r="E562" s="8"/>
      <c r="F562" s="8"/>
      <c r="G562" s="8"/>
      <c r="H562" s="8"/>
    </row>
    <row r="563">
      <c r="B563" s="8"/>
      <c r="C563" s="8"/>
      <c r="D563" s="8"/>
      <c r="E563" s="8"/>
      <c r="F563" s="8"/>
      <c r="G563" s="8"/>
      <c r="H563" s="8"/>
    </row>
    <row r="564">
      <c r="B564" s="8"/>
      <c r="C564" s="8"/>
      <c r="D564" s="8"/>
      <c r="E564" s="8"/>
      <c r="F564" s="8"/>
      <c r="G564" s="8"/>
      <c r="H564" s="8"/>
    </row>
    <row r="565">
      <c r="B565" s="8"/>
      <c r="C565" s="8"/>
      <c r="D565" s="8"/>
      <c r="E565" s="8"/>
      <c r="F565" s="8"/>
      <c r="G565" s="8"/>
      <c r="H565" s="8"/>
    </row>
    <row r="566">
      <c r="B566" s="8"/>
      <c r="C566" s="8"/>
      <c r="D566" s="8"/>
      <c r="E566" s="8"/>
      <c r="F566" s="8"/>
      <c r="G566" s="8"/>
      <c r="H566" s="8"/>
    </row>
    <row r="567">
      <c r="B567" s="8"/>
      <c r="C567" s="8"/>
      <c r="D567" s="8"/>
      <c r="E567" s="8"/>
      <c r="F567" s="8"/>
      <c r="G567" s="8"/>
      <c r="H567" s="8"/>
    </row>
    <row r="568">
      <c r="B568" s="8"/>
      <c r="C568" s="8"/>
      <c r="D568" s="8"/>
      <c r="E568" s="8"/>
      <c r="F568" s="8"/>
      <c r="G568" s="8"/>
      <c r="H568" s="8"/>
    </row>
    <row r="569">
      <c r="B569" s="8"/>
      <c r="C569" s="8"/>
      <c r="D569" s="8"/>
      <c r="E569" s="8"/>
      <c r="F569" s="8"/>
      <c r="G569" s="8"/>
      <c r="H569" s="8"/>
    </row>
    <row r="570">
      <c r="B570" s="8"/>
      <c r="C570" s="8"/>
      <c r="D570" s="8"/>
      <c r="E570" s="8"/>
      <c r="F570" s="8"/>
      <c r="G570" s="8"/>
      <c r="H570" s="8"/>
    </row>
    <row r="571">
      <c r="B571" s="8"/>
      <c r="C571" s="8"/>
      <c r="D571" s="8"/>
      <c r="E571" s="8"/>
      <c r="F571" s="8"/>
      <c r="G571" s="8"/>
      <c r="H571" s="8"/>
    </row>
    <row r="572">
      <c r="B572" s="8"/>
      <c r="C572" s="8"/>
      <c r="D572" s="8"/>
      <c r="E572" s="8"/>
      <c r="F572" s="8"/>
      <c r="G572" s="8"/>
      <c r="H572" s="8"/>
    </row>
    <row r="573">
      <c r="B573" s="8"/>
      <c r="C573" s="8"/>
      <c r="D573" s="8"/>
      <c r="E573" s="8"/>
      <c r="F573" s="8"/>
      <c r="G573" s="8"/>
      <c r="H573" s="8"/>
    </row>
    <row r="574">
      <c r="B574" s="8"/>
      <c r="C574" s="8"/>
      <c r="D574" s="8"/>
      <c r="E574" s="8"/>
      <c r="F574" s="8"/>
      <c r="G574" s="8"/>
      <c r="H574" s="8"/>
    </row>
    <row r="575">
      <c r="B575" s="8"/>
      <c r="C575" s="8"/>
      <c r="D575" s="8"/>
      <c r="E575" s="8"/>
      <c r="F575" s="8"/>
      <c r="G575" s="8"/>
      <c r="H575" s="8"/>
    </row>
    <row r="576">
      <c r="B576" s="8"/>
      <c r="C576" s="8"/>
      <c r="D576" s="8"/>
      <c r="E576" s="8"/>
      <c r="F576" s="8"/>
      <c r="G576" s="8"/>
      <c r="H576" s="8"/>
    </row>
    <row r="577">
      <c r="B577" s="8"/>
      <c r="C577" s="8"/>
      <c r="D577" s="8"/>
      <c r="E577" s="8"/>
      <c r="F577" s="8"/>
      <c r="G577" s="8"/>
      <c r="H577" s="8"/>
    </row>
    <row r="578">
      <c r="B578" s="8"/>
      <c r="C578" s="8"/>
      <c r="D578" s="8"/>
      <c r="E578" s="8"/>
      <c r="F578" s="8"/>
      <c r="G578" s="8"/>
      <c r="H578" s="8"/>
    </row>
    <row r="579">
      <c r="B579" s="8"/>
      <c r="C579" s="8"/>
      <c r="D579" s="8"/>
      <c r="E579" s="8"/>
      <c r="F579" s="8"/>
      <c r="G579" s="8"/>
      <c r="H579" s="8"/>
    </row>
    <row r="580">
      <c r="B580" s="8"/>
      <c r="C580" s="8"/>
      <c r="D580" s="8"/>
      <c r="E580" s="8"/>
      <c r="F580" s="8"/>
      <c r="G580" s="8"/>
      <c r="H580" s="8"/>
    </row>
    <row r="581">
      <c r="B581" s="8"/>
      <c r="C581" s="8"/>
      <c r="D581" s="8"/>
      <c r="E581" s="8"/>
      <c r="F581" s="8"/>
      <c r="G581" s="8"/>
      <c r="H581" s="8"/>
    </row>
    <row r="582">
      <c r="B582" s="8"/>
      <c r="C582" s="8"/>
      <c r="D582" s="8"/>
      <c r="E582" s="8"/>
      <c r="F582" s="8"/>
      <c r="G582" s="8"/>
      <c r="H582" s="8"/>
    </row>
    <row r="583">
      <c r="B583" s="8"/>
      <c r="C583" s="8"/>
      <c r="D583" s="8"/>
      <c r="E583" s="8"/>
      <c r="F583" s="8"/>
      <c r="G583" s="8"/>
      <c r="H583" s="8"/>
    </row>
    <row r="584">
      <c r="B584" s="8"/>
      <c r="C584" s="8"/>
      <c r="D584" s="8"/>
      <c r="E584" s="8"/>
      <c r="F584" s="8"/>
      <c r="G584" s="8"/>
      <c r="H584" s="8"/>
    </row>
    <row r="585">
      <c r="B585" s="8"/>
      <c r="C585" s="8"/>
      <c r="D585" s="8"/>
      <c r="E585" s="8"/>
      <c r="F585" s="8"/>
      <c r="G585" s="8"/>
      <c r="H585" s="8"/>
    </row>
    <row r="586">
      <c r="B586" s="8"/>
      <c r="C586" s="8"/>
      <c r="D586" s="8"/>
      <c r="E586" s="8"/>
      <c r="F586" s="8"/>
      <c r="G586" s="8"/>
      <c r="H586" s="8"/>
    </row>
    <row r="587">
      <c r="B587" s="8"/>
      <c r="C587" s="8"/>
      <c r="D587" s="8"/>
      <c r="E587" s="8"/>
      <c r="F587" s="8"/>
      <c r="G587" s="8"/>
      <c r="H587" s="8"/>
    </row>
    <row r="588">
      <c r="B588" s="8"/>
      <c r="C588" s="8"/>
      <c r="D588" s="8"/>
      <c r="E588" s="8"/>
      <c r="F588" s="8"/>
      <c r="G588" s="8"/>
      <c r="H588" s="8"/>
    </row>
    <row r="589">
      <c r="B589" s="8"/>
      <c r="C589" s="8"/>
      <c r="D589" s="8"/>
      <c r="E589" s="8"/>
      <c r="F589" s="8"/>
      <c r="G589" s="8"/>
      <c r="H589" s="8"/>
    </row>
    <row r="590">
      <c r="B590" s="8"/>
      <c r="C590" s="8"/>
      <c r="D590" s="8"/>
      <c r="E590" s="8"/>
      <c r="F590" s="8"/>
      <c r="G590" s="8"/>
      <c r="H590" s="8"/>
    </row>
    <row r="591">
      <c r="B591" s="8"/>
      <c r="C591" s="8"/>
      <c r="D591" s="8"/>
      <c r="E591" s="8"/>
      <c r="F591" s="8"/>
      <c r="G591" s="8"/>
      <c r="H591" s="8"/>
    </row>
    <row r="592">
      <c r="B592" s="8"/>
      <c r="C592" s="8"/>
      <c r="D592" s="8"/>
      <c r="E592" s="8"/>
      <c r="F592" s="8"/>
      <c r="G592" s="8"/>
      <c r="H592" s="8"/>
    </row>
    <row r="593">
      <c r="B593" s="8"/>
      <c r="C593" s="8"/>
      <c r="D593" s="8"/>
      <c r="E593" s="8"/>
      <c r="F593" s="8"/>
      <c r="G593" s="8"/>
      <c r="H593" s="8"/>
    </row>
    <row r="594">
      <c r="B594" s="8"/>
      <c r="C594" s="8"/>
      <c r="D594" s="8"/>
      <c r="E594" s="8"/>
      <c r="F594" s="8"/>
      <c r="G594" s="8"/>
      <c r="H594" s="8"/>
    </row>
    <row r="595">
      <c r="B595" s="8"/>
      <c r="C595" s="8"/>
      <c r="D595" s="8"/>
      <c r="E595" s="8"/>
      <c r="F595" s="8"/>
      <c r="G595" s="8"/>
      <c r="H595" s="8"/>
    </row>
    <row r="596">
      <c r="B596" s="8"/>
      <c r="C596" s="8"/>
      <c r="D596" s="8"/>
      <c r="E596" s="8"/>
      <c r="F596" s="8"/>
      <c r="G596" s="8"/>
      <c r="H596" s="8"/>
    </row>
    <row r="597">
      <c r="B597" s="8"/>
      <c r="C597" s="8"/>
      <c r="D597" s="8"/>
      <c r="E597" s="8"/>
      <c r="F597" s="8"/>
      <c r="G597" s="8"/>
      <c r="H597" s="8"/>
    </row>
    <row r="598">
      <c r="B598" s="8"/>
      <c r="C598" s="8"/>
      <c r="D598" s="8"/>
      <c r="E598" s="8"/>
      <c r="F598" s="8"/>
      <c r="G598" s="8"/>
      <c r="H598" s="8"/>
    </row>
    <row r="599">
      <c r="B599" s="8"/>
      <c r="C599" s="8"/>
      <c r="D599" s="8"/>
      <c r="E599" s="8"/>
      <c r="F599" s="8"/>
      <c r="G599" s="8"/>
      <c r="H599" s="8"/>
    </row>
    <row r="600">
      <c r="B600" s="8"/>
      <c r="C600" s="8"/>
      <c r="D600" s="8"/>
      <c r="E600" s="8"/>
      <c r="F600" s="8"/>
      <c r="G600" s="8"/>
      <c r="H600" s="8"/>
    </row>
    <row r="601">
      <c r="B601" s="8"/>
      <c r="C601" s="8"/>
      <c r="D601" s="8"/>
      <c r="E601" s="8"/>
      <c r="F601" s="8"/>
      <c r="G601" s="8"/>
      <c r="H601" s="8"/>
    </row>
    <row r="602">
      <c r="B602" s="8"/>
      <c r="C602" s="8"/>
      <c r="D602" s="8"/>
      <c r="E602" s="8"/>
      <c r="F602" s="8"/>
      <c r="G602" s="8"/>
      <c r="H602" s="8"/>
    </row>
    <row r="603">
      <c r="B603" s="8"/>
      <c r="C603" s="8"/>
      <c r="D603" s="8"/>
      <c r="E603" s="8"/>
      <c r="F603" s="8"/>
      <c r="G603" s="8"/>
      <c r="H603" s="8"/>
    </row>
    <row r="604">
      <c r="B604" s="8"/>
      <c r="C604" s="8"/>
      <c r="D604" s="8"/>
      <c r="E604" s="8"/>
      <c r="F604" s="8"/>
      <c r="G604" s="8"/>
      <c r="H604" s="8"/>
    </row>
    <row r="605">
      <c r="B605" s="8"/>
      <c r="C605" s="8"/>
      <c r="D605" s="8"/>
      <c r="E605" s="8"/>
      <c r="F605" s="8"/>
      <c r="G605" s="8"/>
      <c r="H605" s="8"/>
    </row>
    <row r="606">
      <c r="B606" s="8"/>
      <c r="C606" s="8"/>
      <c r="D606" s="8"/>
      <c r="E606" s="8"/>
      <c r="F606" s="8"/>
      <c r="G606" s="8"/>
      <c r="H606" s="8"/>
    </row>
    <row r="607">
      <c r="B607" s="8"/>
      <c r="C607" s="8"/>
      <c r="D607" s="8"/>
      <c r="E607" s="8"/>
      <c r="F607" s="8"/>
      <c r="G607" s="8"/>
      <c r="H607" s="8"/>
    </row>
    <row r="608">
      <c r="B608" s="8"/>
      <c r="C608" s="8"/>
      <c r="D608" s="8"/>
      <c r="E608" s="8"/>
      <c r="F608" s="8"/>
      <c r="G608" s="8"/>
      <c r="H608" s="8"/>
    </row>
    <row r="609">
      <c r="B609" s="8"/>
      <c r="C609" s="8"/>
      <c r="D609" s="8"/>
      <c r="E609" s="8"/>
      <c r="F609" s="8"/>
      <c r="G609" s="8"/>
      <c r="H609" s="8"/>
    </row>
    <row r="610">
      <c r="B610" s="8"/>
      <c r="C610" s="8"/>
      <c r="D610" s="8"/>
      <c r="E610" s="8"/>
      <c r="F610" s="8"/>
      <c r="G610" s="8"/>
      <c r="H610" s="8"/>
    </row>
    <row r="611">
      <c r="B611" s="8"/>
      <c r="C611" s="8"/>
      <c r="D611" s="8"/>
      <c r="E611" s="8"/>
      <c r="F611" s="8"/>
      <c r="G611" s="8"/>
      <c r="H611" s="8"/>
    </row>
    <row r="612">
      <c r="B612" s="8"/>
      <c r="C612" s="8"/>
      <c r="D612" s="8"/>
      <c r="E612" s="8"/>
      <c r="F612" s="8"/>
      <c r="G612" s="8"/>
      <c r="H612" s="8"/>
    </row>
    <row r="613">
      <c r="B613" s="8"/>
      <c r="C613" s="8"/>
      <c r="D613" s="8"/>
      <c r="E613" s="8"/>
      <c r="F613" s="8"/>
      <c r="G613" s="8"/>
      <c r="H613" s="8"/>
    </row>
    <row r="614">
      <c r="B614" s="8"/>
      <c r="C614" s="8"/>
      <c r="D614" s="8"/>
      <c r="E614" s="8"/>
      <c r="F614" s="8"/>
      <c r="G614" s="8"/>
      <c r="H614" s="8"/>
    </row>
    <row r="615">
      <c r="B615" s="8"/>
      <c r="C615" s="8"/>
      <c r="D615" s="8"/>
      <c r="E615" s="8"/>
      <c r="F615" s="8"/>
      <c r="G615" s="8"/>
      <c r="H615" s="8"/>
    </row>
    <row r="616">
      <c r="B616" s="8"/>
      <c r="C616" s="8"/>
      <c r="D616" s="8"/>
      <c r="E616" s="8"/>
      <c r="F616" s="8"/>
      <c r="G616" s="8"/>
      <c r="H616" s="8"/>
    </row>
    <row r="617">
      <c r="B617" s="8"/>
      <c r="C617" s="8"/>
      <c r="D617" s="8"/>
      <c r="E617" s="8"/>
      <c r="F617" s="8"/>
      <c r="G617" s="8"/>
      <c r="H617" s="8"/>
    </row>
    <row r="618">
      <c r="B618" s="8"/>
      <c r="C618" s="8"/>
      <c r="D618" s="8"/>
      <c r="E618" s="8"/>
      <c r="F618" s="8"/>
      <c r="G618" s="8"/>
      <c r="H618" s="8"/>
    </row>
    <row r="619">
      <c r="B619" s="8"/>
      <c r="C619" s="8"/>
      <c r="D619" s="8"/>
      <c r="E619" s="8"/>
      <c r="F619" s="8"/>
      <c r="G619" s="8"/>
      <c r="H619" s="8"/>
    </row>
    <row r="620">
      <c r="B620" s="8"/>
      <c r="C620" s="8"/>
      <c r="D620" s="8"/>
      <c r="E620" s="8"/>
      <c r="F620" s="8"/>
      <c r="G620" s="8"/>
      <c r="H620" s="8"/>
    </row>
    <row r="621">
      <c r="B621" s="8"/>
      <c r="C621" s="8"/>
      <c r="D621" s="8"/>
      <c r="E621" s="8"/>
      <c r="F621" s="8"/>
      <c r="G621" s="8"/>
      <c r="H621" s="8"/>
    </row>
    <row r="622">
      <c r="B622" s="8"/>
      <c r="C622" s="8"/>
      <c r="D622" s="8"/>
      <c r="E622" s="8"/>
      <c r="F622" s="8"/>
      <c r="G622" s="8"/>
      <c r="H622" s="8"/>
    </row>
    <row r="623">
      <c r="B623" s="8"/>
      <c r="C623" s="8"/>
      <c r="D623" s="8"/>
      <c r="E623" s="8"/>
      <c r="F623" s="8"/>
      <c r="G623" s="8"/>
      <c r="H623" s="8"/>
    </row>
    <row r="624">
      <c r="B624" s="8"/>
      <c r="C624" s="8"/>
      <c r="D624" s="8"/>
      <c r="E624" s="8"/>
      <c r="F624" s="8"/>
      <c r="G624" s="8"/>
      <c r="H624" s="8"/>
    </row>
    <row r="625">
      <c r="B625" s="8"/>
      <c r="C625" s="8"/>
      <c r="D625" s="8"/>
      <c r="E625" s="8"/>
      <c r="F625" s="8"/>
      <c r="G625" s="8"/>
      <c r="H625" s="8"/>
    </row>
    <row r="626">
      <c r="B626" s="8"/>
      <c r="C626" s="8"/>
      <c r="D626" s="8"/>
      <c r="E626" s="8"/>
      <c r="F626" s="8"/>
      <c r="G626" s="8"/>
      <c r="H626" s="8"/>
    </row>
    <row r="627">
      <c r="B627" s="8"/>
      <c r="C627" s="8"/>
      <c r="D627" s="8"/>
      <c r="E627" s="8"/>
      <c r="F627" s="8"/>
      <c r="G627" s="8"/>
      <c r="H627" s="8"/>
    </row>
    <row r="628">
      <c r="B628" s="8"/>
      <c r="C628" s="8"/>
      <c r="D628" s="8"/>
      <c r="E628" s="8"/>
      <c r="F628" s="8"/>
      <c r="G628" s="8"/>
      <c r="H628" s="8"/>
    </row>
    <row r="629">
      <c r="B629" s="8"/>
      <c r="C629" s="8"/>
      <c r="D629" s="8"/>
      <c r="E629" s="8"/>
      <c r="F629" s="8"/>
      <c r="G629" s="8"/>
      <c r="H629" s="8"/>
    </row>
    <row r="630">
      <c r="B630" s="8"/>
      <c r="C630" s="8"/>
      <c r="D630" s="8"/>
      <c r="E630" s="8"/>
      <c r="F630" s="8"/>
      <c r="G630" s="8"/>
      <c r="H630" s="8"/>
    </row>
    <row r="631">
      <c r="B631" s="8"/>
      <c r="C631" s="8"/>
      <c r="D631" s="8"/>
      <c r="E631" s="8"/>
      <c r="F631" s="8"/>
      <c r="G631" s="8"/>
      <c r="H631" s="8"/>
    </row>
    <row r="632">
      <c r="B632" s="8"/>
      <c r="C632" s="8"/>
      <c r="D632" s="8"/>
      <c r="E632" s="8"/>
      <c r="F632" s="8"/>
      <c r="G632" s="8"/>
      <c r="H632" s="8"/>
    </row>
    <row r="633">
      <c r="B633" s="8"/>
      <c r="C633" s="8"/>
      <c r="D633" s="8"/>
      <c r="E633" s="8"/>
      <c r="F633" s="8"/>
      <c r="G633" s="8"/>
      <c r="H633" s="8"/>
    </row>
    <row r="634">
      <c r="B634" s="8"/>
      <c r="C634" s="8"/>
      <c r="D634" s="8"/>
      <c r="E634" s="8"/>
      <c r="F634" s="8"/>
      <c r="G634" s="8"/>
      <c r="H634" s="8"/>
    </row>
    <row r="635">
      <c r="B635" s="8"/>
      <c r="C635" s="8"/>
      <c r="D635" s="8"/>
      <c r="E635" s="8"/>
      <c r="F635" s="8"/>
      <c r="G635" s="8"/>
      <c r="H635" s="8"/>
    </row>
    <row r="636">
      <c r="B636" s="8"/>
      <c r="C636" s="8"/>
      <c r="D636" s="8"/>
      <c r="E636" s="8"/>
      <c r="F636" s="8"/>
      <c r="G636" s="8"/>
      <c r="H636" s="8"/>
    </row>
    <row r="637">
      <c r="B637" s="8"/>
      <c r="C637" s="8"/>
      <c r="D637" s="8"/>
      <c r="E637" s="8"/>
      <c r="F637" s="8"/>
      <c r="G637" s="8"/>
      <c r="H637" s="8"/>
    </row>
    <row r="638">
      <c r="B638" s="8"/>
      <c r="C638" s="8"/>
      <c r="D638" s="8"/>
      <c r="E638" s="8"/>
      <c r="F638" s="8"/>
      <c r="G638" s="8"/>
      <c r="H638" s="8"/>
    </row>
    <row r="639">
      <c r="B639" s="8"/>
      <c r="C639" s="8"/>
      <c r="D639" s="8"/>
      <c r="E639" s="8"/>
      <c r="F639" s="8"/>
      <c r="G639" s="8"/>
      <c r="H639" s="8"/>
    </row>
    <row r="640">
      <c r="B640" s="8"/>
      <c r="C640" s="8"/>
      <c r="D640" s="8"/>
      <c r="E640" s="8"/>
      <c r="F640" s="8"/>
      <c r="G640" s="8"/>
      <c r="H640" s="8"/>
    </row>
    <row r="641">
      <c r="B641" s="8"/>
      <c r="C641" s="8"/>
      <c r="D641" s="8"/>
      <c r="E641" s="8"/>
      <c r="F641" s="8"/>
      <c r="G641" s="8"/>
      <c r="H641" s="8"/>
    </row>
    <row r="642">
      <c r="B642" s="8"/>
      <c r="C642" s="8"/>
      <c r="D642" s="8"/>
      <c r="E642" s="8"/>
      <c r="F642" s="8"/>
      <c r="G642" s="8"/>
      <c r="H642" s="8"/>
    </row>
    <row r="643">
      <c r="B643" s="8"/>
      <c r="C643" s="8"/>
      <c r="D643" s="8"/>
      <c r="E643" s="8"/>
      <c r="F643" s="8"/>
      <c r="G643" s="8"/>
      <c r="H643" s="8"/>
    </row>
    <row r="644">
      <c r="B644" s="8"/>
      <c r="C644" s="8"/>
      <c r="D644" s="8"/>
      <c r="E644" s="8"/>
      <c r="F644" s="8"/>
      <c r="G644" s="8"/>
      <c r="H644" s="8"/>
    </row>
    <row r="645">
      <c r="B645" s="8"/>
      <c r="C645" s="8"/>
      <c r="D645" s="8"/>
      <c r="E645" s="8"/>
      <c r="F645" s="8"/>
      <c r="G645" s="8"/>
      <c r="H645" s="8"/>
    </row>
    <row r="646">
      <c r="B646" s="8"/>
      <c r="C646" s="8"/>
      <c r="D646" s="8"/>
      <c r="E646" s="8"/>
      <c r="F646" s="8"/>
      <c r="G646" s="8"/>
      <c r="H646" s="8"/>
    </row>
    <row r="647">
      <c r="B647" s="8"/>
      <c r="C647" s="8"/>
      <c r="D647" s="8"/>
      <c r="E647" s="8"/>
      <c r="F647" s="8"/>
      <c r="G647" s="8"/>
      <c r="H647" s="8"/>
    </row>
    <row r="648">
      <c r="B648" s="8"/>
      <c r="C648" s="8"/>
      <c r="D648" s="8"/>
      <c r="E648" s="8"/>
      <c r="F648" s="8"/>
      <c r="G648" s="8"/>
      <c r="H648" s="8"/>
    </row>
    <row r="649">
      <c r="B649" s="8"/>
      <c r="C649" s="8"/>
      <c r="D649" s="8"/>
      <c r="E649" s="8"/>
      <c r="F649" s="8"/>
      <c r="G649" s="8"/>
      <c r="H649" s="8"/>
    </row>
    <row r="650">
      <c r="B650" s="8"/>
      <c r="C650" s="8"/>
      <c r="D650" s="8"/>
      <c r="E650" s="8"/>
      <c r="F650" s="8"/>
      <c r="G650" s="8"/>
      <c r="H650" s="8"/>
    </row>
    <row r="651">
      <c r="B651" s="8"/>
      <c r="C651" s="8"/>
      <c r="D651" s="8"/>
      <c r="E651" s="8"/>
      <c r="F651" s="8"/>
      <c r="G651" s="8"/>
      <c r="H651" s="8"/>
    </row>
    <row r="652">
      <c r="B652" s="8"/>
      <c r="C652" s="8"/>
      <c r="D652" s="8"/>
      <c r="E652" s="8"/>
      <c r="F652" s="8"/>
      <c r="G652" s="8"/>
      <c r="H652" s="8"/>
    </row>
    <row r="653">
      <c r="B653" s="8"/>
      <c r="C653" s="8"/>
      <c r="D653" s="8"/>
      <c r="E653" s="8"/>
      <c r="F653" s="8"/>
      <c r="G653" s="8"/>
      <c r="H653" s="8"/>
    </row>
    <row r="654">
      <c r="B654" s="8"/>
      <c r="C654" s="8"/>
      <c r="D654" s="8"/>
      <c r="E654" s="8"/>
      <c r="F654" s="8"/>
      <c r="G654" s="8"/>
      <c r="H654" s="8"/>
    </row>
    <row r="655">
      <c r="B655" s="8"/>
      <c r="C655" s="8"/>
      <c r="D655" s="8"/>
      <c r="E655" s="8"/>
      <c r="F655" s="8"/>
      <c r="G655" s="8"/>
      <c r="H655" s="8"/>
    </row>
    <row r="656">
      <c r="B656" s="8"/>
      <c r="C656" s="8"/>
      <c r="D656" s="8"/>
      <c r="E656" s="8"/>
      <c r="F656" s="8"/>
      <c r="G656" s="8"/>
      <c r="H656" s="8"/>
    </row>
    <row r="657">
      <c r="B657" s="8"/>
      <c r="C657" s="8"/>
      <c r="D657" s="8"/>
      <c r="E657" s="8"/>
      <c r="F657" s="8"/>
      <c r="G657" s="8"/>
      <c r="H657" s="8"/>
    </row>
    <row r="658">
      <c r="B658" s="8"/>
      <c r="C658" s="8"/>
      <c r="D658" s="8"/>
      <c r="E658" s="8"/>
      <c r="F658" s="8"/>
      <c r="G658" s="8"/>
      <c r="H658" s="8"/>
    </row>
    <row r="659">
      <c r="B659" s="8"/>
      <c r="C659" s="8"/>
      <c r="D659" s="8"/>
      <c r="E659" s="8"/>
      <c r="F659" s="8"/>
      <c r="G659" s="8"/>
      <c r="H659" s="8"/>
    </row>
    <row r="660">
      <c r="B660" s="8"/>
      <c r="C660" s="8"/>
      <c r="D660" s="8"/>
      <c r="E660" s="8"/>
      <c r="F660" s="8"/>
      <c r="G660" s="8"/>
      <c r="H660" s="8"/>
    </row>
    <row r="661">
      <c r="B661" s="8"/>
      <c r="C661" s="8"/>
      <c r="D661" s="8"/>
      <c r="E661" s="8"/>
      <c r="F661" s="8"/>
      <c r="G661" s="8"/>
      <c r="H661" s="8"/>
    </row>
    <row r="662">
      <c r="B662" s="8"/>
      <c r="C662" s="8"/>
      <c r="D662" s="8"/>
      <c r="E662" s="8"/>
      <c r="F662" s="8"/>
      <c r="G662" s="8"/>
      <c r="H662" s="8"/>
    </row>
    <row r="663">
      <c r="B663" s="8"/>
      <c r="C663" s="8"/>
      <c r="D663" s="8"/>
      <c r="E663" s="8"/>
      <c r="F663" s="8"/>
      <c r="G663" s="8"/>
      <c r="H663" s="8"/>
    </row>
    <row r="664">
      <c r="B664" s="8"/>
      <c r="C664" s="8"/>
      <c r="D664" s="8"/>
      <c r="E664" s="8"/>
      <c r="F664" s="8"/>
      <c r="G664" s="8"/>
      <c r="H664" s="8"/>
    </row>
    <row r="665">
      <c r="B665" s="8"/>
      <c r="C665" s="8"/>
      <c r="D665" s="8"/>
      <c r="E665" s="8"/>
      <c r="F665" s="8"/>
      <c r="G665" s="8"/>
      <c r="H665" s="8"/>
    </row>
    <row r="666">
      <c r="B666" s="8"/>
      <c r="C666" s="8"/>
      <c r="D666" s="8"/>
      <c r="E666" s="8"/>
      <c r="F666" s="8"/>
      <c r="G666" s="8"/>
      <c r="H666" s="8"/>
    </row>
    <row r="667">
      <c r="B667" s="8"/>
      <c r="C667" s="8"/>
      <c r="D667" s="8"/>
      <c r="E667" s="8"/>
      <c r="F667" s="8"/>
      <c r="G667" s="8"/>
      <c r="H667" s="8"/>
    </row>
    <row r="668">
      <c r="B668" s="8"/>
      <c r="C668" s="8"/>
      <c r="D668" s="8"/>
      <c r="E668" s="8"/>
      <c r="F668" s="8"/>
      <c r="G668" s="8"/>
      <c r="H668" s="8"/>
    </row>
    <row r="669">
      <c r="B669" s="8"/>
      <c r="C669" s="8"/>
      <c r="D669" s="8"/>
      <c r="E669" s="8"/>
      <c r="F669" s="8"/>
      <c r="G669" s="8"/>
      <c r="H669" s="8"/>
    </row>
    <row r="670">
      <c r="B670" s="8"/>
      <c r="C670" s="8"/>
      <c r="D670" s="8"/>
      <c r="E670" s="8"/>
      <c r="F670" s="8"/>
      <c r="G670" s="8"/>
      <c r="H670" s="8"/>
    </row>
    <row r="671">
      <c r="B671" s="8"/>
      <c r="C671" s="8"/>
      <c r="D671" s="8"/>
      <c r="E671" s="8"/>
      <c r="F671" s="8"/>
      <c r="G671" s="8"/>
      <c r="H671" s="8"/>
    </row>
    <row r="672">
      <c r="B672" s="8"/>
      <c r="C672" s="8"/>
      <c r="D672" s="8"/>
      <c r="E672" s="8"/>
      <c r="F672" s="8"/>
      <c r="G672" s="8"/>
      <c r="H672" s="8"/>
    </row>
    <row r="673">
      <c r="B673" s="8"/>
      <c r="C673" s="8"/>
      <c r="D673" s="8"/>
      <c r="E673" s="8"/>
      <c r="F673" s="8"/>
      <c r="G673" s="8"/>
      <c r="H673" s="8"/>
    </row>
    <row r="674">
      <c r="B674" s="8"/>
      <c r="C674" s="8"/>
      <c r="D674" s="8"/>
      <c r="E674" s="8"/>
      <c r="F674" s="8"/>
      <c r="G674" s="8"/>
      <c r="H674" s="8"/>
    </row>
    <row r="675">
      <c r="B675" s="8"/>
      <c r="C675" s="8"/>
      <c r="D675" s="8"/>
      <c r="E675" s="8"/>
      <c r="F675" s="8"/>
      <c r="G675" s="8"/>
      <c r="H675" s="8"/>
    </row>
    <row r="676">
      <c r="B676" s="8"/>
      <c r="C676" s="8"/>
      <c r="D676" s="8"/>
      <c r="E676" s="8"/>
      <c r="F676" s="8"/>
      <c r="G676" s="8"/>
      <c r="H676" s="8"/>
    </row>
    <row r="677">
      <c r="B677" s="8"/>
      <c r="C677" s="8"/>
      <c r="D677" s="8"/>
      <c r="E677" s="8"/>
      <c r="F677" s="8"/>
      <c r="G677" s="8"/>
      <c r="H677" s="8"/>
    </row>
    <row r="678">
      <c r="B678" s="8"/>
      <c r="C678" s="8"/>
      <c r="D678" s="8"/>
      <c r="E678" s="8"/>
      <c r="F678" s="8"/>
      <c r="G678" s="8"/>
      <c r="H678" s="8"/>
    </row>
    <row r="679">
      <c r="B679" s="8"/>
      <c r="C679" s="8"/>
      <c r="D679" s="8"/>
      <c r="E679" s="8"/>
      <c r="F679" s="8"/>
      <c r="G679" s="8"/>
      <c r="H679" s="8"/>
    </row>
    <row r="680">
      <c r="B680" s="8"/>
      <c r="C680" s="8"/>
      <c r="D680" s="8"/>
      <c r="E680" s="8"/>
      <c r="F680" s="8"/>
      <c r="G680" s="8"/>
      <c r="H680" s="8"/>
    </row>
    <row r="681">
      <c r="B681" s="8"/>
      <c r="C681" s="8"/>
      <c r="D681" s="8"/>
      <c r="E681" s="8"/>
      <c r="F681" s="8"/>
      <c r="G681" s="8"/>
      <c r="H681" s="8"/>
    </row>
    <row r="682">
      <c r="B682" s="8"/>
      <c r="C682" s="8"/>
      <c r="D682" s="8"/>
      <c r="E682" s="8"/>
      <c r="F682" s="8"/>
      <c r="G682" s="8"/>
      <c r="H682" s="8"/>
    </row>
    <row r="683">
      <c r="B683" s="8"/>
      <c r="C683" s="8"/>
      <c r="D683" s="8"/>
      <c r="E683" s="8"/>
      <c r="F683" s="8"/>
      <c r="G683" s="8"/>
      <c r="H683" s="8"/>
    </row>
    <row r="684">
      <c r="B684" s="8"/>
      <c r="C684" s="8"/>
      <c r="D684" s="8"/>
      <c r="E684" s="8"/>
      <c r="F684" s="8"/>
      <c r="G684" s="8"/>
      <c r="H684" s="8"/>
    </row>
    <row r="685">
      <c r="B685" s="8"/>
      <c r="C685" s="8"/>
      <c r="D685" s="8"/>
      <c r="E685" s="8"/>
      <c r="F685" s="8"/>
      <c r="G685" s="8"/>
      <c r="H685" s="8"/>
    </row>
    <row r="686">
      <c r="B686" s="8"/>
      <c r="C686" s="8"/>
      <c r="D686" s="8"/>
      <c r="E686" s="8"/>
      <c r="F686" s="8"/>
      <c r="G686" s="8"/>
      <c r="H686" s="8"/>
    </row>
    <row r="687">
      <c r="B687" s="8"/>
      <c r="C687" s="8"/>
      <c r="D687" s="8"/>
      <c r="E687" s="8"/>
      <c r="F687" s="8"/>
      <c r="G687" s="8"/>
      <c r="H687" s="8"/>
    </row>
    <row r="688">
      <c r="B688" s="8"/>
      <c r="C688" s="8"/>
      <c r="D688" s="8"/>
      <c r="E688" s="8"/>
      <c r="F688" s="8"/>
      <c r="G688" s="8"/>
      <c r="H688" s="8"/>
    </row>
    <row r="689">
      <c r="B689" s="8"/>
      <c r="C689" s="8"/>
      <c r="D689" s="8"/>
      <c r="E689" s="8"/>
      <c r="F689" s="8"/>
      <c r="G689" s="8"/>
      <c r="H689" s="8"/>
    </row>
    <row r="690">
      <c r="B690" s="8"/>
      <c r="C690" s="8"/>
      <c r="D690" s="8"/>
      <c r="E690" s="8"/>
      <c r="F690" s="8"/>
      <c r="G690" s="8"/>
      <c r="H690" s="8"/>
    </row>
    <row r="691">
      <c r="B691" s="8"/>
      <c r="C691" s="8"/>
      <c r="D691" s="8"/>
      <c r="E691" s="8"/>
      <c r="F691" s="8"/>
      <c r="G691" s="8"/>
      <c r="H691" s="8"/>
    </row>
    <row r="692">
      <c r="B692" s="8"/>
      <c r="C692" s="8"/>
      <c r="D692" s="8"/>
      <c r="E692" s="8"/>
      <c r="F692" s="8"/>
      <c r="G692" s="8"/>
      <c r="H692" s="8"/>
    </row>
    <row r="693">
      <c r="B693" s="8"/>
      <c r="C693" s="8"/>
      <c r="D693" s="8"/>
      <c r="E693" s="8"/>
      <c r="F693" s="8"/>
      <c r="G693" s="8"/>
      <c r="H693" s="8"/>
    </row>
    <row r="694">
      <c r="B694" s="8"/>
      <c r="C694" s="8"/>
      <c r="D694" s="8"/>
      <c r="E694" s="8"/>
      <c r="F694" s="8"/>
      <c r="G694" s="8"/>
      <c r="H694" s="8"/>
    </row>
    <row r="695">
      <c r="B695" s="8"/>
      <c r="C695" s="8"/>
      <c r="D695" s="8"/>
      <c r="E695" s="8"/>
      <c r="F695" s="8"/>
      <c r="G695" s="8"/>
      <c r="H695" s="8"/>
    </row>
    <row r="696">
      <c r="B696" s="8"/>
      <c r="C696" s="8"/>
      <c r="D696" s="8"/>
      <c r="E696" s="8"/>
      <c r="F696" s="8"/>
      <c r="G696" s="8"/>
      <c r="H696" s="8"/>
    </row>
    <row r="697">
      <c r="B697" s="8"/>
      <c r="C697" s="8"/>
      <c r="D697" s="8"/>
      <c r="E697" s="8"/>
      <c r="F697" s="8"/>
      <c r="G697" s="8"/>
      <c r="H697" s="8"/>
    </row>
    <row r="698">
      <c r="B698" s="8"/>
      <c r="C698" s="8"/>
      <c r="D698" s="8"/>
      <c r="E698" s="8"/>
      <c r="F698" s="8"/>
      <c r="G698" s="8"/>
      <c r="H698" s="8"/>
    </row>
    <row r="699">
      <c r="B699" s="8"/>
      <c r="C699" s="8"/>
      <c r="D699" s="8"/>
      <c r="E699" s="8"/>
      <c r="F699" s="8"/>
      <c r="G699" s="8"/>
      <c r="H699" s="8"/>
    </row>
    <row r="700">
      <c r="B700" s="8"/>
      <c r="C700" s="8"/>
      <c r="D700" s="8"/>
      <c r="E700" s="8"/>
      <c r="F700" s="8"/>
      <c r="G700" s="8"/>
      <c r="H700" s="8"/>
    </row>
    <row r="701">
      <c r="B701" s="8"/>
      <c r="C701" s="8"/>
      <c r="D701" s="8"/>
      <c r="E701" s="8"/>
      <c r="F701" s="8"/>
      <c r="G701" s="8"/>
      <c r="H701" s="8"/>
    </row>
    <row r="702">
      <c r="B702" s="8"/>
      <c r="C702" s="8"/>
      <c r="D702" s="8"/>
      <c r="E702" s="8"/>
      <c r="F702" s="8"/>
      <c r="G702" s="8"/>
      <c r="H702" s="8"/>
    </row>
    <row r="703">
      <c r="B703" s="8"/>
      <c r="C703" s="8"/>
      <c r="D703" s="8"/>
      <c r="E703" s="8"/>
      <c r="F703" s="8"/>
      <c r="G703" s="8"/>
      <c r="H703" s="8"/>
    </row>
    <row r="704">
      <c r="B704" s="8"/>
      <c r="C704" s="8"/>
      <c r="D704" s="8"/>
      <c r="E704" s="8"/>
      <c r="F704" s="8"/>
      <c r="G704" s="8"/>
      <c r="H704" s="8"/>
    </row>
    <row r="705">
      <c r="B705" s="8"/>
      <c r="C705" s="8"/>
      <c r="D705" s="8"/>
      <c r="E705" s="8"/>
      <c r="F705" s="8"/>
      <c r="G705" s="8"/>
      <c r="H705" s="8"/>
    </row>
    <row r="706">
      <c r="B706" s="8"/>
      <c r="C706" s="8"/>
      <c r="D706" s="8"/>
      <c r="E706" s="8"/>
      <c r="F706" s="8"/>
      <c r="G706" s="8"/>
      <c r="H706" s="8"/>
    </row>
    <row r="707">
      <c r="B707" s="8"/>
      <c r="C707" s="8"/>
      <c r="D707" s="8"/>
      <c r="E707" s="8"/>
      <c r="F707" s="8"/>
      <c r="G707" s="8"/>
      <c r="H707" s="8"/>
    </row>
    <row r="708">
      <c r="B708" s="8"/>
      <c r="C708" s="8"/>
      <c r="D708" s="8"/>
      <c r="E708" s="8"/>
      <c r="F708" s="8"/>
      <c r="G708" s="8"/>
      <c r="H708" s="8"/>
    </row>
    <row r="709">
      <c r="B709" s="8"/>
      <c r="C709" s="8"/>
      <c r="D709" s="8"/>
      <c r="E709" s="8"/>
      <c r="F709" s="8"/>
      <c r="G709" s="8"/>
      <c r="H709" s="8"/>
    </row>
    <row r="710">
      <c r="B710" s="8"/>
      <c r="C710" s="8"/>
      <c r="D710" s="8"/>
      <c r="E710" s="8"/>
      <c r="F710" s="8"/>
      <c r="G710" s="8"/>
      <c r="H710" s="8"/>
    </row>
    <row r="711">
      <c r="B711" s="8"/>
      <c r="C711" s="8"/>
      <c r="D711" s="8"/>
      <c r="E711" s="8"/>
      <c r="F711" s="8"/>
      <c r="G711" s="8"/>
      <c r="H711" s="8"/>
    </row>
    <row r="712">
      <c r="B712" s="8"/>
      <c r="C712" s="8"/>
      <c r="D712" s="8"/>
      <c r="E712" s="8"/>
      <c r="F712" s="8"/>
      <c r="G712" s="8"/>
      <c r="H712" s="8"/>
    </row>
    <row r="713">
      <c r="B713" s="8"/>
      <c r="C713" s="8"/>
      <c r="D713" s="8"/>
      <c r="E713" s="8"/>
      <c r="F713" s="8"/>
      <c r="G713" s="8"/>
      <c r="H713" s="8"/>
    </row>
    <row r="714">
      <c r="B714" s="8"/>
      <c r="C714" s="8"/>
      <c r="D714" s="8"/>
      <c r="E714" s="8"/>
      <c r="F714" s="8"/>
      <c r="G714" s="8"/>
      <c r="H714" s="8"/>
    </row>
    <row r="715">
      <c r="B715" s="8"/>
      <c r="C715" s="8"/>
      <c r="D715" s="8"/>
      <c r="E715" s="8"/>
      <c r="F715" s="8"/>
      <c r="G715" s="8"/>
      <c r="H715" s="8"/>
    </row>
    <row r="716">
      <c r="B716" s="8"/>
      <c r="C716" s="8"/>
      <c r="D716" s="8"/>
      <c r="E716" s="8"/>
      <c r="F716" s="8"/>
      <c r="G716" s="8"/>
      <c r="H716" s="8"/>
    </row>
    <row r="717">
      <c r="B717" s="8"/>
      <c r="C717" s="8"/>
      <c r="D717" s="8"/>
      <c r="E717" s="8"/>
      <c r="F717" s="8"/>
      <c r="G717" s="8"/>
      <c r="H717" s="8"/>
    </row>
    <row r="718">
      <c r="B718" s="8"/>
      <c r="C718" s="8"/>
      <c r="D718" s="8"/>
      <c r="E718" s="8"/>
      <c r="F718" s="8"/>
      <c r="G718" s="8"/>
      <c r="H718" s="8"/>
    </row>
    <row r="719">
      <c r="B719" s="8"/>
      <c r="C719" s="8"/>
      <c r="D719" s="8"/>
      <c r="E719" s="8"/>
      <c r="F719" s="8"/>
      <c r="G719" s="8"/>
      <c r="H719" s="8"/>
    </row>
    <row r="720">
      <c r="B720" s="8"/>
      <c r="C720" s="8"/>
      <c r="D720" s="8"/>
      <c r="E720" s="8"/>
      <c r="F720" s="8"/>
      <c r="G720" s="8"/>
      <c r="H720" s="8"/>
    </row>
    <row r="721">
      <c r="B721" s="8"/>
      <c r="C721" s="8"/>
      <c r="D721" s="8"/>
      <c r="E721" s="8"/>
      <c r="F721" s="8"/>
      <c r="G721" s="8"/>
      <c r="H721" s="8"/>
    </row>
    <row r="722">
      <c r="B722" s="8"/>
      <c r="C722" s="8"/>
      <c r="D722" s="8"/>
      <c r="E722" s="8"/>
      <c r="F722" s="8"/>
      <c r="G722" s="8"/>
      <c r="H722" s="8"/>
    </row>
    <row r="723">
      <c r="B723" s="8"/>
      <c r="C723" s="8"/>
      <c r="D723" s="8"/>
      <c r="E723" s="8"/>
      <c r="F723" s="8"/>
      <c r="G723" s="8"/>
      <c r="H723" s="8"/>
    </row>
    <row r="724">
      <c r="B724" s="8"/>
      <c r="C724" s="8"/>
      <c r="D724" s="8"/>
      <c r="E724" s="8"/>
      <c r="F724" s="8"/>
      <c r="G724" s="8"/>
      <c r="H724" s="8"/>
    </row>
    <row r="725">
      <c r="B725" s="8"/>
      <c r="C725" s="8"/>
      <c r="D725" s="8"/>
      <c r="E725" s="8"/>
      <c r="F725" s="8"/>
      <c r="G725" s="8"/>
      <c r="H725" s="8"/>
    </row>
    <row r="726">
      <c r="B726" s="8"/>
      <c r="C726" s="8"/>
      <c r="D726" s="8"/>
      <c r="E726" s="8"/>
      <c r="F726" s="8"/>
      <c r="G726" s="8"/>
      <c r="H726" s="8"/>
    </row>
    <row r="727">
      <c r="B727" s="8"/>
      <c r="C727" s="8"/>
      <c r="D727" s="8"/>
      <c r="E727" s="8"/>
      <c r="F727" s="8"/>
      <c r="G727" s="8"/>
      <c r="H727" s="8"/>
    </row>
    <row r="728">
      <c r="B728" s="8"/>
      <c r="C728" s="8"/>
      <c r="D728" s="8"/>
      <c r="E728" s="8"/>
      <c r="F728" s="8"/>
      <c r="G728" s="8"/>
      <c r="H728" s="8"/>
    </row>
    <row r="729">
      <c r="B729" s="8"/>
      <c r="C729" s="8"/>
      <c r="D729" s="8"/>
      <c r="E729" s="8"/>
      <c r="F729" s="8"/>
      <c r="G729" s="8"/>
      <c r="H729" s="8"/>
    </row>
    <row r="730">
      <c r="B730" s="8"/>
      <c r="C730" s="8"/>
      <c r="D730" s="8"/>
      <c r="E730" s="8"/>
      <c r="F730" s="8"/>
      <c r="G730" s="8"/>
      <c r="H730" s="8"/>
    </row>
    <row r="731">
      <c r="B731" s="8"/>
      <c r="C731" s="8"/>
      <c r="D731" s="8"/>
      <c r="E731" s="8"/>
      <c r="F731" s="8"/>
      <c r="G731" s="8"/>
      <c r="H731" s="8"/>
    </row>
    <row r="732">
      <c r="B732" s="8"/>
      <c r="C732" s="8"/>
      <c r="D732" s="8"/>
      <c r="E732" s="8"/>
      <c r="F732" s="8"/>
      <c r="G732" s="8"/>
      <c r="H732" s="8"/>
    </row>
    <row r="733">
      <c r="B733" s="8"/>
      <c r="C733" s="8"/>
      <c r="D733" s="8"/>
      <c r="E733" s="8"/>
      <c r="F733" s="8"/>
      <c r="G733" s="8"/>
      <c r="H733" s="8"/>
    </row>
    <row r="734">
      <c r="B734" s="8"/>
      <c r="C734" s="8"/>
      <c r="D734" s="8"/>
      <c r="E734" s="8"/>
      <c r="F734" s="8"/>
      <c r="G734" s="8"/>
      <c r="H734" s="8"/>
    </row>
    <row r="735">
      <c r="B735" s="8"/>
      <c r="C735" s="8"/>
      <c r="D735" s="8"/>
      <c r="E735" s="8"/>
      <c r="F735" s="8"/>
      <c r="G735" s="8"/>
      <c r="H735" s="8"/>
    </row>
    <row r="736">
      <c r="B736" s="8"/>
      <c r="C736" s="8"/>
      <c r="D736" s="8"/>
      <c r="E736" s="8"/>
      <c r="F736" s="8"/>
      <c r="G736" s="8"/>
      <c r="H736" s="8"/>
    </row>
    <row r="737">
      <c r="B737" s="8"/>
      <c r="C737" s="8"/>
      <c r="D737" s="8"/>
      <c r="E737" s="8"/>
      <c r="F737" s="8"/>
      <c r="G737" s="8"/>
      <c r="H737" s="8"/>
    </row>
    <row r="738">
      <c r="B738" s="8"/>
      <c r="C738" s="8"/>
      <c r="D738" s="8"/>
      <c r="E738" s="8"/>
      <c r="F738" s="8"/>
      <c r="G738" s="8"/>
      <c r="H738" s="8"/>
    </row>
    <row r="739">
      <c r="B739" s="8"/>
      <c r="C739" s="8"/>
      <c r="D739" s="8"/>
      <c r="E739" s="8"/>
      <c r="F739" s="8"/>
      <c r="G739" s="8"/>
      <c r="H739" s="8"/>
    </row>
    <row r="740">
      <c r="B740" s="8"/>
      <c r="C740" s="8"/>
      <c r="D740" s="8"/>
      <c r="E740" s="8"/>
      <c r="F740" s="8"/>
      <c r="G740" s="8"/>
      <c r="H740" s="8"/>
    </row>
    <row r="741">
      <c r="B741" s="8"/>
      <c r="C741" s="8"/>
      <c r="D741" s="8"/>
      <c r="E741" s="8"/>
      <c r="F741" s="8"/>
      <c r="G741" s="8"/>
      <c r="H741" s="8"/>
    </row>
    <row r="742">
      <c r="B742" s="8"/>
      <c r="C742" s="8"/>
      <c r="D742" s="8"/>
      <c r="E742" s="8"/>
      <c r="F742" s="8"/>
      <c r="G742" s="8"/>
      <c r="H742" s="8"/>
    </row>
    <row r="743">
      <c r="B743" s="8"/>
      <c r="C743" s="8"/>
      <c r="D743" s="8"/>
      <c r="E743" s="8"/>
      <c r="F743" s="8"/>
      <c r="G743" s="8"/>
      <c r="H743" s="8"/>
    </row>
    <row r="744">
      <c r="B744" s="8"/>
      <c r="C744" s="8"/>
      <c r="D744" s="8"/>
      <c r="E744" s="8"/>
      <c r="F744" s="8"/>
      <c r="G744" s="8"/>
      <c r="H744" s="8"/>
    </row>
    <row r="745">
      <c r="B745" s="8"/>
      <c r="C745" s="8"/>
      <c r="D745" s="8"/>
      <c r="E745" s="8"/>
      <c r="F745" s="8"/>
      <c r="G745" s="8"/>
      <c r="H745" s="8"/>
    </row>
    <row r="746">
      <c r="B746" s="8"/>
      <c r="C746" s="8"/>
      <c r="D746" s="8"/>
      <c r="E746" s="8"/>
      <c r="F746" s="8"/>
      <c r="G746" s="8"/>
      <c r="H746" s="8"/>
    </row>
    <row r="747">
      <c r="B747" s="8"/>
      <c r="C747" s="8"/>
      <c r="D747" s="8"/>
      <c r="E747" s="8"/>
      <c r="F747" s="8"/>
      <c r="G747" s="8"/>
      <c r="H747" s="8"/>
    </row>
    <row r="748">
      <c r="B748" s="8"/>
      <c r="C748" s="8"/>
      <c r="D748" s="8"/>
      <c r="E748" s="8"/>
      <c r="F748" s="8"/>
      <c r="G748" s="8"/>
      <c r="H748" s="8"/>
    </row>
    <row r="749">
      <c r="B749" s="8"/>
      <c r="C749" s="8"/>
      <c r="D749" s="8"/>
      <c r="E749" s="8"/>
      <c r="F749" s="8"/>
      <c r="G749" s="8"/>
      <c r="H749" s="8"/>
    </row>
    <row r="750">
      <c r="B750" s="8"/>
      <c r="C750" s="8"/>
      <c r="D750" s="8"/>
      <c r="E750" s="8"/>
      <c r="F750" s="8"/>
      <c r="G750" s="8"/>
      <c r="H750" s="8"/>
    </row>
    <row r="751">
      <c r="B751" s="8"/>
      <c r="C751" s="8"/>
      <c r="D751" s="8"/>
      <c r="E751" s="8"/>
      <c r="F751" s="8"/>
      <c r="G751" s="8"/>
      <c r="H751" s="8"/>
    </row>
    <row r="752">
      <c r="B752" s="8"/>
      <c r="C752" s="8"/>
      <c r="D752" s="8"/>
      <c r="E752" s="8"/>
      <c r="F752" s="8"/>
      <c r="G752" s="8"/>
      <c r="H752" s="8"/>
    </row>
    <row r="753">
      <c r="B753" s="8"/>
      <c r="C753" s="8"/>
      <c r="D753" s="8"/>
      <c r="E753" s="8"/>
      <c r="F753" s="8"/>
      <c r="G753" s="8"/>
      <c r="H753" s="8"/>
    </row>
    <row r="754">
      <c r="B754" s="8"/>
      <c r="C754" s="8"/>
      <c r="D754" s="8"/>
      <c r="E754" s="8"/>
      <c r="F754" s="8"/>
      <c r="G754" s="8"/>
      <c r="H754" s="8"/>
    </row>
    <row r="755">
      <c r="B755" s="8"/>
      <c r="C755" s="8"/>
      <c r="D755" s="8"/>
      <c r="E755" s="8"/>
      <c r="F755" s="8"/>
      <c r="G755" s="8"/>
      <c r="H755" s="8"/>
    </row>
    <row r="756">
      <c r="B756" s="8"/>
      <c r="C756" s="8"/>
      <c r="D756" s="8"/>
      <c r="E756" s="8"/>
      <c r="F756" s="8"/>
      <c r="G756" s="8"/>
      <c r="H756" s="8"/>
    </row>
    <row r="757">
      <c r="B757" s="8"/>
      <c r="C757" s="8"/>
      <c r="D757" s="8"/>
      <c r="E757" s="8"/>
      <c r="F757" s="8"/>
      <c r="G757" s="8"/>
      <c r="H757" s="8"/>
    </row>
    <row r="758">
      <c r="B758" s="8"/>
      <c r="C758" s="8"/>
      <c r="D758" s="8"/>
      <c r="E758" s="8"/>
      <c r="F758" s="8"/>
      <c r="G758" s="8"/>
      <c r="H758" s="8"/>
    </row>
    <row r="759">
      <c r="B759" s="8"/>
      <c r="C759" s="8"/>
      <c r="D759" s="8"/>
      <c r="E759" s="8"/>
      <c r="F759" s="8"/>
      <c r="G759" s="8"/>
      <c r="H759" s="8"/>
    </row>
    <row r="760">
      <c r="B760" s="8"/>
      <c r="C760" s="8"/>
      <c r="D760" s="8"/>
      <c r="E760" s="8"/>
      <c r="F760" s="8"/>
      <c r="G760" s="8"/>
      <c r="H760" s="8"/>
    </row>
    <row r="761">
      <c r="B761" s="8"/>
      <c r="C761" s="8"/>
      <c r="D761" s="8"/>
      <c r="E761" s="8"/>
      <c r="F761" s="8"/>
      <c r="G761" s="8"/>
      <c r="H761" s="8"/>
    </row>
    <row r="762">
      <c r="B762" s="8"/>
      <c r="C762" s="8"/>
      <c r="D762" s="8"/>
      <c r="E762" s="8"/>
      <c r="F762" s="8"/>
      <c r="G762" s="8"/>
      <c r="H762" s="8"/>
    </row>
    <row r="763">
      <c r="B763" s="8"/>
      <c r="C763" s="8"/>
      <c r="D763" s="8"/>
      <c r="E763" s="8"/>
      <c r="F763" s="8"/>
      <c r="G763" s="8"/>
      <c r="H763" s="8"/>
    </row>
    <row r="764">
      <c r="B764" s="8"/>
      <c r="C764" s="8"/>
      <c r="D764" s="8"/>
      <c r="E764" s="8"/>
      <c r="F764" s="8"/>
      <c r="G764" s="8"/>
      <c r="H764" s="8"/>
    </row>
    <row r="765">
      <c r="B765" s="8"/>
      <c r="C765" s="8"/>
      <c r="D765" s="8"/>
      <c r="E765" s="8"/>
      <c r="F765" s="8"/>
      <c r="G765" s="8"/>
      <c r="H765" s="8"/>
    </row>
    <row r="766">
      <c r="B766" s="8"/>
      <c r="C766" s="8"/>
      <c r="D766" s="8"/>
      <c r="E766" s="8"/>
      <c r="F766" s="8"/>
      <c r="G766" s="8"/>
      <c r="H766" s="8"/>
    </row>
    <row r="767">
      <c r="B767" s="8"/>
      <c r="C767" s="8"/>
      <c r="D767" s="8"/>
      <c r="E767" s="8"/>
      <c r="F767" s="8"/>
      <c r="G767" s="8"/>
      <c r="H767" s="8"/>
    </row>
    <row r="768">
      <c r="B768" s="8"/>
      <c r="C768" s="8"/>
      <c r="D768" s="8"/>
      <c r="E768" s="8"/>
      <c r="F768" s="8"/>
      <c r="G768" s="8"/>
      <c r="H768" s="8"/>
    </row>
    <row r="769">
      <c r="B769" s="8"/>
      <c r="C769" s="8"/>
      <c r="D769" s="8"/>
      <c r="E769" s="8"/>
      <c r="F769" s="8"/>
      <c r="G769" s="8"/>
      <c r="H769" s="8"/>
    </row>
    <row r="770">
      <c r="B770" s="8"/>
      <c r="C770" s="8"/>
      <c r="D770" s="8"/>
      <c r="E770" s="8"/>
      <c r="F770" s="8"/>
      <c r="G770" s="8"/>
      <c r="H770" s="8"/>
    </row>
    <row r="771">
      <c r="B771" s="8"/>
      <c r="C771" s="8"/>
      <c r="D771" s="8"/>
      <c r="E771" s="8"/>
      <c r="F771" s="8"/>
      <c r="G771" s="8"/>
      <c r="H771" s="8"/>
    </row>
    <row r="772">
      <c r="B772" s="8"/>
      <c r="C772" s="8"/>
      <c r="D772" s="8"/>
      <c r="E772" s="8"/>
      <c r="F772" s="8"/>
      <c r="G772" s="8"/>
      <c r="H772" s="8"/>
    </row>
    <row r="773">
      <c r="B773" s="8"/>
      <c r="C773" s="8"/>
      <c r="D773" s="8"/>
      <c r="E773" s="8"/>
      <c r="F773" s="8"/>
      <c r="G773" s="8"/>
      <c r="H773" s="8"/>
    </row>
    <row r="774">
      <c r="B774" s="8"/>
      <c r="C774" s="8"/>
      <c r="D774" s="8"/>
      <c r="E774" s="8"/>
      <c r="F774" s="8"/>
      <c r="G774" s="8"/>
      <c r="H774" s="8"/>
    </row>
    <row r="775">
      <c r="B775" s="8"/>
      <c r="C775" s="8"/>
      <c r="D775" s="8"/>
      <c r="E775" s="8"/>
      <c r="F775" s="8"/>
      <c r="G775" s="8"/>
      <c r="H775" s="8"/>
    </row>
    <row r="776">
      <c r="B776" s="8"/>
      <c r="C776" s="8"/>
      <c r="D776" s="8"/>
      <c r="E776" s="8"/>
      <c r="F776" s="8"/>
      <c r="G776" s="8"/>
      <c r="H776" s="8"/>
    </row>
    <row r="777">
      <c r="B777" s="8"/>
      <c r="C777" s="8"/>
      <c r="D777" s="8"/>
      <c r="E777" s="8"/>
      <c r="F777" s="8"/>
      <c r="G777" s="8"/>
      <c r="H777" s="8"/>
    </row>
    <row r="778">
      <c r="B778" s="8"/>
      <c r="C778" s="8"/>
      <c r="D778" s="8"/>
      <c r="E778" s="8"/>
      <c r="F778" s="8"/>
      <c r="G778" s="8"/>
      <c r="H778" s="8"/>
    </row>
    <row r="779">
      <c r="B779" s="8"/>
      <c r="C779" s="8"/>
      <c r="D779" s="8"/>
      <c r="E779" s="8"/>
      <c r="F779" s="8"/>
      <c r="G779" s="8"/>
      <c r="H779" s="8"/>
    </row>
    <row r="780">
      <c r="B780" s="8"/>
      <c r="C780" s="8"/>
      <c r="D780" s="8"/>
      <c r="E780" s="8"/>
      <c r="F780" s="8"/>
      <c r="G780" s="8"/>
      <c r="H780" s="8"/>
    </row>
    <row r="781">
      <c r="B781" s="8"/>
      <c r="C781" s="8"/>
      <c r="D781" s="8"/>
      <c r="E781" s="8"/>
      <c r="F781" s="8"/>
      <c r="G781" s="8"/>
      <c r="H781" s="8"/>
    </row>
    <row r="782">
      <c r="B782" s="8"/>
      <c r="C782" s="8"/>
      <c r="D782" s="8"/>
      <c r="E782" s="8"/>
      <c r="F782" s="8"/>
      <c r="G782" s="8"/>
      <c r="H782" s="8"/>
    </row>
    <row r="783">
      <c r="B783" s="8"/>
      <c r="C783" s="8"/>
      <c r="D783" s="8"/>
      <c r="E783" s="8"/>
      <c r="F783" s="8"/>
      <c r="G783" s="8"/>
      <c r="H783" s="8"/>
    </row>
    <row r="784">
      <c r="B784" s="8"/>
      <c r="C784" s="8"/>
      <c r="D784" s="8"/>
      <c r="E784" s="8"/>
      <c r="F784" s="8"/>
      <c r="G784" s="8"/>
      <c r="H784" s="8"/>
    </row>
    <row r="785">
      <c r="B785" s="8"/>
      <c r="C785" s="8"/>
      <c r="D785" s="8"/>
      <c r="E785" s="8"/>
      <c r="F785" s="8"/>
      <c r="G785" s="8"/>
      <c r="H785" s="8"/>
    </row>
    <row r="786">
      <c r="B786" s="8"/>
      <c r="C786" s="8"/>
      <c r="D786" s="8"/>
      <c r="E786" s="8"/>
      <c r="F786" s="8"/>
      <c r="G786" s="8"/>
      <c r="H786" s="8"/>
    </row>
    <row r="787">
      <c r="B787" s="8"/>
      <c r="C787" s="8"/>
      <c r="D787" s="8"/>
      <c r="E787" s="8"/>
      <c r="F787" s="8"/>
      <c r="G787" s="8"/>
      <c r="H787" s="8"/>
    </row>
    <row r="788">
      <c r="B788" s="8"/>
      <c r="C788" s="8"/>
      <c r="D788" s="8"/>
      <c r="E788" s="8"/>
      <c r="F788" s="8"/>
      <c r="G788" s="8"/>
      <c r="H788" s="8"/>
    </row>
    <row r="789">
      <c r="B789" s="8"/>
      <c r="C789" s="8"/>
      <c r="D789" s="8"/>
      <c r="E789" s="8"/>
      <c r="F789" s="8"/>
      <c r="G789" s="8"/>
      <c r="H789" s="8"/>
    </row>
    <row r="790">
      <c r="B790" s="8"/>
      <c r="C790" s="8"/>
      <c r="D790" s="8"/>
      <c r="E790" s="8"/>
      <c r="F790" s="8"/>
      <c r="G790" s="8"/>
      <c r="H790" s="8"/>
    </row>
    <row r="791">
      <c r="B791" s="8"/>
      <c r="C791" s="8"/>
      <c r="D791" s="8"/>
      <c r="E791" s="8"/>
      <c r="F791" s="8"/>
      <c r="G791" s="8"/>
      <c r="H791" s="8"/>
    </row>
    <row r="792">
      <c r="B792" s="8"/>
      <c r="C792" s="8"/>
      <c r="D792" s="8"/>
      <c r="E792" s="8"/>
      <c r="F792" s="8"/>
      <c r="G792" s="8"/>
      <c r="H792" s="8"/>
    </row>
    <row r="793">
      <c r="B793" s="8"/>
      <c r="C793" s="8"/>
      <c r="D793" s="8"/>
      <c r="E793" s="8"/>
      <c r="F793" s="8"/>
      <c r="G793" s="8"/>
      <c r="H793" s="8"/>
    </row>
    <row r="794">
      <c r="B794" s="8"/>
      <c r="C794" s="8"/>
      <c r="D794" s="8"/>
      <c r="E794" s="8"/>
      <c r="F794" s="8"/>
      <c r="G794" s="8"/>
      <c r="H794" s="8"/>
    </row>
    <row r="795">
      <c r="B795" s="8"/>
      <c r="C795" s="8"/>
      <c r="D795" s="8"/>
      <c r="E795" s="8"/>
      <c r="F795" s="8"/>
      <c r="G795" s="8"/>
      <c r="H795" s="8"/>
    </row>
    <row r="796">
      <c r="B796" s="8"/>
      <c r="C796" s="8"/>
      <c r="D796" s="8"/>
      <c r="E796" s="8"/>
      <c r="F796" s="8"/>
      <c r="G796" s="8"/>
      <c r="H796" s="8"/>
    </row>
    <row r="797">
      <c r="B797" s="8"/>
      <c r="C797" s="8"/>
      <c r="D797" s="8"/>
      <c r="E797" s="8"/>
      <c r="F797" s="8"/>
      <c r="G797" s="8"/>
      <c r="H797" s="8"/>
    </row>
    <row r="798">
      <c r="B798" s="8"/>
      <c r="C798" s="8"/>
      <c r="D798" s="8"/>
      <c r="E798" s="8"/>
      <c r="F798" s="8"/>
      <c r="G798" s="8"/>
      <c r="H798" s="8"/>
    </row>
    <row r="799">
      <c r="B799" s="8"/>
      <c r="C799" s="8"/>
      <c r="D799" s="8"/>
      <c r="E799" s="8"/>
      <c r="F799" s="8"/>
      <c r="G799" s="8"/>
      <c r="H799" s="8"/>
    </row>
    <row r="800">
      <c r="B800" s="8"/>
      <c r="C800" s="8"/>
      <c r="D800" s="8"/>
      <c r="E800" s="8"/>
      <c r="F800" s="8"/>
      <c r="G800" s="8"/>
      <c r="H800" s="8"/>
    </row>
    <row r="801">
      <c r="B801" s="8"/>
      <c r="C801" s="8"/>
      <c r="D801" s="8"/>
      <c r="E801" s="8"/>
      <c r="F801" s="8"/>
      <c r="G801" s="8"/>
      <c r="H801" s="8"/>
    </row>
    <row r="802">
      <c r="B802" s="8"/>
      <c r="C802" s="8"/>
      <c r="D802" s="8"/>
      <c r="E802" s="8"/>
      <c r="F802" s="8"/>
      <c r="G802" s="8"/>
      <c r="H802" s="8"/>
    </row>
    <row r="803">
      <c r="B803" s="8"/>
      <c r="C803" s="8"/>
      <c r="D803" s="8"/>
      <c r="E803" s="8"/>
      <c r="F803" s="8"/>
      <c r="G803" s="8"/>
      <c r="H803" s="8"/>
    </row>
    <row r="804">
      <c r="B804" s="8"/>
      <c r="C804" s="8"/>
      <c r="D804" s="8"/>
      <c r="E804" s="8"/>
      <c r="F804" s="8"/>
      <c r="G804" s="8"/>
      <c r="H804" s="8"/>
    </row>
    <row r="805">
      <c r="B805" s="8"/>
      <c r="C805" s="8"/>
      <c r="D805" s="8"/>
      <c r="E805" s="8"/>
      <c r="F805" s="8"/>
      <c r="G805" s="8"/>
      <c r="H805" s="8"/>
    </row>
    <row r="806">
      <c r="B806" s="8"/>
      <c r="C806" s="8"/>
      <c r="D806" s="8"/>
      <c r="E806" s="8"/>
      <c r="F806" s="8"/>
      <c r="G806" s="8"/>
      <c r="H806" s="8"/>
    </row>
    <row r="807">
      <c r="B807" s="8"/>
      <c r="C807" s="8"/>
      <c r="D807" s="8"/>
      <c r="E807" s="8"/>
      <c r="F807" s="8"/>
      <c r="G807" s="8"/>
      <c r="H807" s="8"/>
    </row>
    <row r="808">
      <c r="B808" s="8"/>
      <c r="C808" s="8"/>
      <c r="D808" s="8"/>
      <c r="E808" s="8"/>
      <c r="F808" s="8"/>
      <c r="G808" s="8"/>
      <c r="H808" s="8"/>
    </row>
    <row r="809">
      <c r="B809" s="8"/>
      <c r="C809" s="8"/>
      <c r="D809" s="8"/>
      <c r="E809" s="8"/>
      <c r="F809" s="8"/>
      <c r="G809" s="8"/>
      <c r="H809" s="8"/>
    </row>
    <row r="810">
      <c r="B810" s="8"/>
      <c r="C810" s="8"/>
      <c r="D810" s="8"/>
      <c r="E810" s="8"/>
      <c r="F810" s="8"/>
      <c r="G810" s="8"/>
      <c r="H810" s="8"/>
    </row>
    <row r="811">
      <c r="B811" s="8"/>
      <c r="C811" s="8"/>
      <c r="D811" s="8"/>
      <c r="E811" s="8"/>
      <c r="F811" s="8"/>
      <c r="G811" s="8"/>
      <c r="H811" s="8"/>
    </row>
    <row r="812">
      <c r="B812" s="8"/>
      <c r="C812" s="8"/>
      <c r="D812" s="8"/>
      <c r="E812" s="8"/>
      <c r="F812" s="8"/>
      <c r="G812" s="8"/>
      <c r="H812" s="8"/>
    </row>
    <row r="813">
      <c r="B813" s="8"/>
      <c r="C813" s="8"/>
      <c r="D813" s="8"/>
      <c r="E813" s="8"/>
      <c r="F813" s="8"/>
      <c r="G813" s="8"/>
      <c r="H813" s="8"/>
    </row>
    <row r="814">
      <c r="B814" s="8"/>
      <c r="C814" s="8"/>
      <c r="D814" s="8"/>
      <c r="E814" s="8"/>
      <c r="F814" s="8"/>
      <c r="G814" s="8"/>
      <c r="H814" s="8"/>
    </row>
    <row r="815">
      <c r="B815" s="8"/>
      <c r="C815" s="8"/>
      <c r="D815" s="8"/>
      <c r="E815" s="8"/>
      <c r="F815" s="8"/>
      <c r="G815" s="8"/>
      <c r="H815" s="8"/>
    </row>
    <row r="816">
      <c r="B816" s="8"/>
      <c r="C816" s="8"/>
      <c r="D816" s="8"/>
      <c r="E816" s="8"/>
      <c r="F816" s="8"/>
      <c r="G816" s="8"/>
      <c r="H816" s="8"/>
    </row>
    <row r="817">
      <c r="B817" s="8"/>
      <c r="C817" s="8"/>
      <c r="D817" s="8"/>
      <c r="E817" s="8"/>
      <c r="F817" s="8"/>
      <c r="G817" s="8"/>
      <c r="H817" s="8"/>
    </row>
    <row r="818">
      <c r="B818" s="8"/>
      <c r="C818" s="8"/>
      <c r="D818" s="8"/>
      <c r="E818" s="8"/>
      <c r="F818" s="8"/>
      <c r="G818" s="8"/>
      <c r="H818" s="8"/>
    </row>
    <row r="819">
      <c r="B819" s="8"/>
      <c r="C819" s="8"/>
      <c r="D819" s="8"/>
      <c r="E819" s="8"/>
      <c r="F819" s="8"/>
      <c r="G819" s="8"/>
      <c r="H819" s="8"/>
    </row>
    <row r="820">
      <c r="B820" s="8"/>
      <c r="C820" s="8"/>
      <c r="D820" s="8"/>
      <c r="E820" s="8"/>
      <c r="F820" s="8"/>
      <c r="G820" s="8"/>
      <c r="H820" s="8"/>
    </row>
    <row r="821">
      <c r="B821" s="8"/>
      <c r="C821" s="8"/>
      <c r="D821" s="8"/>
      <c r="E821" s="8"/>
      <c r="F821" s="8"/>
      <c r="G821" s="8"/>
      <c r="H821" s="8"/>
    </row>
    <row r="822">
      <c r="B822" s="8"/>
      <c r="C822" s="8"/>
      <c r="D822" s="8"/>
      <c r="E822" s="8"/>
      <c r="F822" s="8"/>
      <c r="G822" s="8"/>
      <c r="H822" s="8"/>
    </row>
    <row r="823">
      <c r="B823" s="8"/>
      <c r="C823" s="8"/>
      <c r="D823" s="8"/>
      <c r="E823" s="8"/>
      <c r="F823" s="8"/>
      <c r="G823" s="8"/>
      <c r="H823" s="8"/>
    </row>
    <row r="824">
      <c r="B824" s="8"/>
      <c r="C824" s="8"/>
      <c r="D824" s="8"/>
      <c r="E824" s="8"/>
      <c r="F824" s="8"/>
      <c r="G824" s="8"/>
      <c r="H824" s="8"/>
    </row>
    <row r="825">
      <c r="B825" s="8"/>
      <c r="C825" s="8"/>
      <c r="D825" s="8"/>
      <c r="E825" s="8"/>
      <c r="F825" s="8"/>
      <c r="G825" s="8"/>
      <c r="H825" s="8"/>
    </row>
    <row r="826">
      <c r="B826" s="8"/>
      <c r="C826" s="8"/>
      <c r="D826" s="8"/>
      <c r="E826" s="8"/>
      <c r="F826" s="8"/>
      <c r="G826" s="8"/>
      <c r="H826" s="8"/>
    </row>
    <row r="827">
      <c r="B827" s="8"/>
      <c r="C827" s="8"/>
      <c r="D827" s="8"/>
      <c r="E827" s="8"/>
      <c r="F827" s="8"/>
      <c r="G827" s="8"/>
      <c r="H827" s="8"/>
    </row>
    <row r="828">
      <c r="B828" s="8"/>
      <c r="C828" s="8"/>
      <c r="D828" s="8"/>
      <c r="E828" s="8"/>
      <c r="F828" s="8"/>
      <c r="G828" s="8"/>
      <c r="H828" s="8"/>
    </row>
    <row r="829">
      <c r="B829" s="8"/>
      <c r="C829" s="8"/>
      <c r="D829" s="8"/>
      <c r="E829" s="8"/>
      <c r="F829" s="8"/>
      <c r="G829" s="8"/>
      <c r="H829" s="8"/>
    </row>
    <row r="830">
      <c r="B830" s="8"/>
      <c r="C830" s="8"/>
      <c r="D830" s="8"/>
      <c r="E830" s="8"/>
      <c r="F830" s="8"/>
      <c r="G830" s="8"/>
      <c r="H830" s="8"/>
    </row>
    <row r="831">
      <c r="B831" s="8"/>
      <c r="C831" s="8"/>
      <c r="D831" s="8"/>
      <c r="E831" s="8"/>
      <c r="F831" s="8"/>
      <c r="G831" s="8"/>
      <c r="H831" s="8"/>
    </row>
    <row r="832">
      <c r="B832" s="8"/>
      <c r="C832" s="8"/>
      <c r="D832" s="8"/>
      <c r="E832" s="8"/>
      <c r="F832" s="8"/>
      <c r="G832" s="8"/>
      <c r="H832" s="8"/>
    </row>
    <row r="833">
      <c r="B833" s="8"/>
      <c r="C833" s="8"/>
      <c r="D833" s="8"/>
      <c r="E833" s="8"/>
      <c r="F833" s="8"/>
      <c r="G833" s="8"/>
      <c r="H833" s="8"/>
    </row>
    <row r="834">
      <c r="B834" s="8"/>
      <c r="C834" s="8"/>
      <c r="D834" s="8"/>
      <c r="E834" s="8"/>
      <c r="F834" s="8"/>
      <c r="G834" s="8"/>
      <c r="H834" s="8"/>
    </row>
    <row r="835">
      <c r="B835" s="8"/>
      <c r="C835" s="8"/>
      <c r="D835" s="8"/>
      <c r="E835" s="8"/>
      <c r="F835" s="8"/>
      <c r="G835" s="8"/>
      <c r="H835" s="8"/>
    </row>
    <row r="836">
      <c r="B836" s="8"/>
      <c r="C836" s="8"/>
      <c r="D836" s="8"/>
      <c r="E836" s="8"/>
      <c r="F836" s="8"/>
      <c r="G836" s="8"/>
      <c r="H836" s="8"/>
    </row>
    <row r="837">
      <c r="B837" s="8"/>
      <c r="C837" s="8"/>
      <c r="D837" s="8"/>
      <c r="E837" s="8"/>
      <c r="F837" s="8"/>
      <c r="G837" s="8"/>
      <c r="H837" s="8"/>
    </row>
    <row r="838">
      <c r="B838" s="8"/>
      <c r="C838" s="8"/>
      <c r="D838" s="8"/>
      <c r="E838" s="8"/>
      <c r="F838" s="8"/>
      <c r="G838" s="8"/>
      <c r="H838" s="8"/>
    </row>
    <row r="839">
      <c r="B839" s="8"/>
      <c r="C839" s="8"/>
      <c r="D839" s="8"/>
      <c r="E839" s="8"/>
      <c r="F839" s="8"/>
      <c r="G839" s="8"/>
      <c r="H839" s="8"/>
    </row>
    <row r="840">
      <c r="B840" s="8"/>
      <c r="C840" s="8"/>
      <c r="D840" s="8"/>
      <c r="E840" s="8"/>
      <c r="F840" s="8"/>
      <c r="G840" s="8"/>
      <c r="H840" s="8"/>
    </row>
    <row r="841">
      <c r="B841" s="8"/>
      <c r="C841" s="8"/>
      <c r="D841" s="8"/>
      <c r="E841" s="8"/>
      <c r="F841" s="8"/>
      <c r="G841" s="8"/>
      <c r="H841" s="8"/>
    </row>
    <row r="842">
      <c r="B842" s="8"/>
      <c r="C842" s="8"/>
      <c r="D842" s="8"/>
      <c r="E842" s="8"/>
      <c r="F842" s="8"/>
      <c r="G842" s="8"/>
      <c r="H842" s="8"/>
    </row>
    <row r="843">
      <c r="B843" s="8"/>
      <c r="C843" s="8"/>
      <c r="D843" s="8"/>
      <c r="E843" s="8"/>
      <c r="F843" s="8"/>
      <c r="G843" s="8"/>
      <c r="H843" s="8"/>
    </row>
    <row r="844">
      <c r="B844" s="8"/>
      <c r="C844" s="8"/>
      <c r="D844" s="8"/>
      <c r="E844" s="8"/>
      <c r="F844" s="8"/>
      <c r="G844" s="8"/>
      <c r="H844" s="8"/>
    </row>
    <row r="845">
      <c r="B845" s="8"/>
      <c r="C845" s="8"/>
      <c r="D845" s="8"/>
      <c r="E845" s="8"/>
      <c r="F845" s="8"/>
      <c r="G845" s="8"/>
      <c r="H845" s="8"/>
    </row>
    <row r="846">
      <c r="B846" s="8"/>
      <c r="C846" s="8"/>
      <c r="D846" s="8"/>
      <c r="E846" s="8"/>
      <c r="F846" s="8"/>
      <c r="G846" s="8"/>
      <c r="H846" s="8"/>
    </row>
    <row r="847">
      <c r="B847" s="8"/>
      <c r="C847" s="8"/>
      <c r="D847" s="8"/>
      <c r="E847" s="8"/>
      <c r="F847" s="8"/>
      <c r="G847" s="8"/>
      <c r="H847" s="8"/>
    </row>
    <row r="848">
      <c r="B848" s="8"/>
      <c r="C848" s="8"/>
      <c r="D848" s="8"/>
      <c r="E848" s="8"/>
      <c r="F848" s="8"/>
      <c r="G848" s="8"/>
      <c r="H848" s="8"/>
    </row>
    <row r="849">
      <c r="B849" s="8"/>
      <c r="C849" s="8"/>
      <c r="D849" s="8"/>
      <c r="E849" s="8"/>
      <c r="F849" s="8"/>
      <c r="G849" s="8"/>
      <c r="H849" s="8"/>
    </row>
    <row r="850">
      <c r="B850" s="8"/>
      <c r="C850" s="8"/>
      <c r="D850" s="8"/>
      <c r="E850" s="8"/>
      <c r="F850" s="8"/>
      <c r="G850" s="8"/>
      <c r="H850" s="8"/>
    </row>
    <row r="851">
      <c r="B851" s="8"/>
      <c r="C851" s="8"/>
      <c r="D851" s="8"/>
      <c r="E851" s="8"/>
      <c r="F851" s="8"/>
      <c r="G851" s="8"/>
      <c r="H851" s="8"/>
    </row>
    <row r="852">
      <c r="B852" s="8"/>
      <c r="C852" s="8"/>
      <c r="D852" s="8"/>
      <c r="E852" s="8"/>
      <c r="F852" s="8"/>
      <c r="G852" s="8"/>
      <c r="H852" s="8"/>
    </row>
    <row r="853">
      <c r="B853" s="8"/>
      <c r="C853" s="8"/>
      <c r="D853" s="8"/>
      <c r="E853" s="8"/>
      <c r="F853" s="8"/>
      <c r="G853" s="8"/>
      <c r="H853" s="8"/>
    </row>
    <row r="854">
      <c r="B854" s="8"/>
      <c r="C854" s="8"/>
      <c r="D854" s="8"/>
      <c r="E854" s="8"/>
      <c r="F854" s="8"/>
      <c r="G854" s="8"/>
      <c r="H854" s="8"/>
    </row>
    <row r="855">
      <c r="B855" s="8"/>
      <c r="C855" s="8"/>
      <c r="D855" s="8"/>
      <c r="E855" s="8"/>
      <c r="F855" s="8"/>
      <c r="G855" s="8"/>
      <c r="H855" s="8"/>
    </row>
    <row r="856">
      <c r="B856" s="8"/>
      <c r="C856" s="8"/>
      <c r="D856" s="8"/>
      <c r="E856" s="8"/>
      <c r="F856" s="8"/>
      <c r="G856" s="8"/>
      <c r="H856" s="8"/>
    </row>
    <row r="857">
      <c r="B857" s="8"/>
      <c r="C857" s="8"/>
      <c r="D857" s="8"/>
      <c r="E857" s="8"/>
      <c r="F857" s="8"/>
      <c r="G857" s="8"/>
      <c r="H857" s="8"/>
    </row>
    <row r="858">
      <c r="B858" s="8"/>
      <c r="C858" s="8"/>
      <c r="D858" s="8"/>
      <c r="E858" s="8"/>
      <c r="F858" s="8"/>
      <c r="G858" s="8"/>
      <c r="H858" s="8"/>
    </row>
    <row r="859">
      <c r="B859" s="8"/>
      <c r="C859" s="8"/>
      <c r="D859" s="8"/>
      <c r="E859" s="8"/>
      <c r="F859" s="8"/>
      <c r="G859" s="8"/>
      <c r="H859" s="8"/>
    </row>
    <row r="860">
      <c r="B860" s="8"/>
      <c r="C860" s="8"/>
      <c r="D860" s="8"/>
      <c r="E860" s="8"/>
      <c r="F860" s="8"/>
      <c r="G860" s="8"/>
      <c r="H860" s="8"/>
    </row>
    <row r="861">
      <c r="B861" s="8"/>
      <c r="C861" s="8"/>
      <c r="D861" s="8"/>
      <c r="E861" s="8"/>
      <c r="F861" s="8"/>
      <c r="G861" s="8"/>
      <c r="H861" s="8"/>
    </row>
    <row r="862">
      <c r="B862" s="8"/>
      <c r="C862" s="8"/>
      <c r="D862" s="8"/>
      <c r="E862" s="8"/>
      <c r="F862" s="8"/>
      <c r="G862" s="8"/>
      <c r="H862" s="8"/>
    </row>
    <row r="863">
      <c r="B863" s="8"/>
      <c r="C863" s="8"/>
      <c r="D863" s="8"/>
      <c r="E863" s="8"/>
      <c r="F863" s="8"/>
      <c r="G863" s="8"/>
      <c r="H863" s="8"/>
    </row>
    <row r="864">
      <c r="B864" s="8"/>
      <c r="C864" s="8"/>
      <c r="D864" s="8"/>
      <c r="E864" s="8"/>
      <c r="F864" s="8"/>
      <c r="G864" s="8"/>
      <c r="H864" s="8"/>
    </row>
    <row r="865">
      <c r="B865" s="8"/>
      <c r="C865" s="8"/>
      <c r="D865" s="8"/>
      <c r="E865" s="8"/>
      <c r="F865" s="8"/>
      <c r="G865" s="8"/>
      <c r="H865" s="8"/>
    </row>
    <row r="866">
      <c r="B866" s="8"/>
      <c r="C866" s="8"/>
      <c r="D866" s="8"/>
      <c r="E866" s="8"/>
      <c r="F866" s="8"/>
      <c r="G866" s="8"/>
      <c r="H866" s="8"/>
    </row>
    <row r="867">
      <c r="B867" s="8"/>
      <c r="C867" s="8"/>
      <c r="D867" s="8"/>
      <c r="E867" s="8"/>
      <c r="F867" s="8"/>
      <c r="G867" s="8"/>
      <c r="H867" s="8"/>
    </row>
    <row r="868">
      <c r="B868" s="8"/>
      <c r="C868" s="8"/>
      <c r="D868" s="8"/>
      <c r="E868" s="8"/>
      <c r="F868" s="8"/>
      <c r="G868" s="8"/>
      <c r="H868" s="8"/>
    </row>
    <row r="869">
      <c r="B869" s="8"/>
      <c r="C869" s="8"/>
      <c r="D869" s="8"/>
      <c r="E869" s="8"/>
      <c r="F869" s="8"/>
      <c r="G869" s="8"/>
      <c r="H869" s="8"/>
    </row>
    <row r="870">
      <c r="B870" s="8"/>
      <c r="C870" s="8"/>
      <c r="D870" s="8"/>
      <c r="E870" s="8"/>
      <c r="F870" s="8"/>
      <c r="G870" s="8"/>
      <c r="H870" s="8"/>
    </row>
    <row r="871">
      <c r="B871" s="8"/>
      <c r="C871" s="8"/>
      <c r="D871" s="8"/>
      <c r="E871" s="8"/>
      <c r="F871" s="8"/>
      <c r="G871" s="8"/>
      <c r="H871" s="8"/>
    </row>
    <row r="872">
      <c r="B872" s="8"/>
      <c r="C872" s="8"/>
      <c r="D872" s="8"/>
      <c r="E872" s="8"/>
      <c r="F872" s="8"/>
      <c r="G872" s="8"/>
      <c r="H872" s="8"/>
    </row>
    <row r="873">
      <c r="B873" s="8"/>
      <c r="C873" s="8"/>
      <c r="D873" s="8"/>
      <c r="E873" s="8"/>
      <c r="F873" s="8"/>
      <c r="G873" s="8"/>
      <c r="H873" s="8"/>
    </row>
    <row r="874">
      <c r="B874" s="8"/>
      <c r="C874" s="8"/>
      <c r="D874" s="8"/>
      <c r="E874" s="8"/>
      <c r="F874" s="8"/>
      <c r="G874" s="8"/>
      <c r="H874" s="8"/>
    </row>
    <row r="875">
      <c r="B875" s="8"/>
      <c r="C875" s="8"/>
      <c r="D875" s="8"/>
      <c r="E875" s="8"/>
      <c r="F875" s="8"/>
      <c r="G875" s="8"/>
      <c r="H875" s="8"/>
    </row>
    <row r="876">
      <c r="B876" s="8"/>
      <c r="C876" s="8"/>
      <c r="D876" s="8"/>
      <c r="E876" s="8"/>
      <c r="F876" s="8"/>
      <c r="G876" s="8"/>
      <c r="H876" s="8"/>
    </row>
    <row r="877">
      <c r="B877" s="8"/>
      <c r="C877" s="8"/>
      <c r="D877" s="8"/>
      <c r="E877" s="8"/>
      <c r="F877" s="8"/>
      <c r="G877" s="8"/>
      <c r="H877" s="8"/>
    </row>
    <row r="878">
      <c r="B878" s="8"/>
      <c r="C878" s="8"/>
      <c r="D878" s="8"/>
      <c r="E878" s="8"/>
      <c r="F878" s="8"/>
      <c r="G878" s="8"/>
      <c r="H878" s="8"/>
    </row>
    <row r="879">
      <c r="B879" s="8"/>
      <c r="C879" s="8"/>
      <c r="D879" s="8"/>
      <c r="E879" s="8"/>
      <c r="F879" s="8"/>
      <c r="G879" s="8"/>
      <c r="H879" s="8"/>
    </row>
    <row r="880">
      <c r="B880" s="8"/>
      <c r="C880" s="8"/>
      <c r="D880" s="8"/>
      <c r="E880" s="8"/>
      <c r="F880" s="8"/>
      <c r="G880" s="8"/>
      <c r="H880" s="8"/>
    </row>
    <row r="881">
      <c r="B881" s="8"/>
      <c r="C881" s="8"/>
      <c r="D881" s="8"/>
      <c r="E881" s="8"/>
      <c r="F881" s="8"/>
      <c r="G881" s="8"/>
      <c r="H881" s="8"/>
    </row>
    <row r="882">
      <c r="B882" s="8"/>
      <c r="C882" s="8"/>
      <c r="D882" s="8"/>
      <c r="E882" s="8"/>
      <c r="F882" s="8"/>
      <c r="G882" s="8"/>
      <c r="H882" s="8"/>
    </row>
    <row r="883">
      <c r="B883" s="8"/>
      <c r="C883" s="8"/>
      <c r="D883" s="8"/>
      <c r="E883" s="8"/>
      <c r="F883" s="8"/>
      <c r="G883" s="8"/>
      <c r="H883" s="8"/>
    </row>
    <row r="884">
      <c r="B884" s="8"/>
      <c r="C884" s="8"/>
      <c r="D884" s="8"/>
      <c r="E884" s="8"/>
      <c r="F884" s="8"/>
      <c r="G884" s="8"/>
      <c r="H884" s="8"/>
    </row>
    <row r="885">
      <c r="B885" s="8"/>
      <c r="C885" s="8"/>
      <c r="D885" s="8"/>
      <c r="E885" s="8"/>
      <c r="F885" s="8"/>
      <c r="G885" s="8"/>
      <c r="H885" s="8"/>
    </row>
    <row r="886">
      <c r="B886" s="8"/>
      <c r="C886" s="8"/>
      <c r="D886" s="8"/>
      <c r="E886" s="8"/>
      <c r="F886" s="8"/>
      <c r="G886" s="8"/>
      <c r="H886" s="8"/>
    </row>
    <row r="887">
      <c r="B887" s="8"/>
      <c r="C887" s="8"/>
      <c r="D887" s="8"/>
      <c r="E887" s="8"/>
      <c r="F887" s="8"/>
      <c r="G887" s="8"/>
      <c r="H887" s="8"/>
    </row>
    <row r="888">
      <c r="B888" s="8"/>
      <c r="C888" s="8"/>
      <c r="D888" s="8"/>
      <c r="E888" s="8"/>
      <c r="F888" s="8"/>
      <c r="G888" s="8"/>
      <c r="H888" s="8"/>
    </row>
    <row r="889">
      <c r="B889" s="8"/>
      <c r="C889" s="8"/>
      <c r="D889" s="8"/>
      <c r="E889" s="8"/>
      <c r="F889" s="8"/>
      <c r="G889" s="8"/>
      <c r="H889" s="8"/>
    </row>
    <row r="890">
      <c r="B890" s="8"/>
      <c r="C890" s="8"/>
      <c r="D890" s="8"/>
      <c r="E890" s="8"/>
      <c r="F890" s="8"/>
      <c r="G890" s="8"/>
      <c r="H890" s="8"/>
    </row>
    <row r="891">
      <c r="B891" s="8"/>
      <c r="C891" s="8"/>
      <c r="D891" s="8"/>
      <c r="E891" s="8"/>
      <c r="F891" s="8"/>
      <c r="G891" s="8"/>
      <c r="H891" s="8"/>
    </row>
    <row r="892">
      <c r="B892" s="8"/>
      <c r="C892" s="8"/>
      <c r="D892" s="8"/>
      <c r="E892" s="8"/>
      <c r="F892" s="8"/>
      <c r="G892" s="8"/>
      <c r="H892" s="8"/>
    </row>
    <row r="893">
      <c r="B893" s="8"/>
      <c r="C893" s="8"/>
      <c r="D893" s="8"/>
      <c r="E893" s="8"/>
      <c r="F893" s="8"/>
      <c r="G893" s="8"/>
      <c r="H893" s="8"/>
    </row>
    <row r="894">
      <c r="B894" s="8"/>
      <c r="C894" s="8"/>
      <c r="D894" s="8"/>
      <c r="E894" s="8"/>
      <c r="F894" s="8"/>
      <c r="G894" s="8"/>
      <c r="H894" s="8"/>
    </row>
    <row r="895">
      <c r="B895" s="8"/>
      <c r="C895" s="8"/>
      <c r="D895" s="8"/>
      <c r="E895" s="8"/>
      <c r="F895" s="8"/>
      <c r="G895" s="8"/>
      <c r="H895" s="8"/>
    </row>
    <row r="896">
      <c r="B896" s="8"/>
      <c r="C896" s="8"/>
      <c r="D896" s="8"/>
      <c r="E896" s="8"/>
      <c r="F896" s="8"/>
      <c r="G896" s="8"/>
      <c r="H896" s="8"/>
    </row>
    <row r="897">
      <c r="B897" s="8"/>
      <c r="C897" s="8"/>
      <c r="D897" s="8"/>
      <c r="E897" s="8"/>
      <c r="F897" s="8"/>
      <c r="G897" s="8"/>
      <c r="H897" s="8"/>
    </row>
    <row r="898">
      <c r="B898" s="8"/>
      <c r="C898" s="8"/>
      <c r="D898" s="8"/>
      <c r="E898" s="8"/>
      <c r="F898" s="8"/>
      <c r="G898" s="8"/>
      <c r="H898" s="8"/>
    </row>
    <row r="899">
      <c r="B899" s="8"/>
      <c r="C899" s="8"/>
      <c r="D899" s="8"/>
      <c r="E899" s="8"/>
      <c r="F899" s="8"/>
      <c r="G899" s="8"/>
      <c r="H899" s="8"/>
    </row>
    <row r="900">
      <c r="B900" s="8"/>
      <c r="C900" s="8"/>
      <c r="D900" s="8"/>
      <c r="E900" s="8"/>
      <c r="F900" s="8"/>
      <c r="G900" s="8"/>
      <c r="H900" s="8"/>
    </row>
    <row r="901">
      <c r="B901" s="8"/>
      <c r="C901" s="8"/>
      <c r="D901" s="8"/>
      <c r="E901" s="8"/>
      <c r="F901" s="8"/>
      <c r="G901" s="8"/>
      <c r="H901" s="8"/>
    </row>
    <row r="902">
      <c r="B902" s="8"/>
      <c r="C902" s="8"/>
      <c r="D902" s="8"/>
      <c r="E902" s="8"/>
      <c r="F902" s="8"/>
      <c r="G902" s="8"/>
      <c r="H902" s="8"/>
    </row>
    <row r="903">
      <c r="B903" s="8"/>
      <c r="C903" s="8"/>
      <c r="D903" s="8"/>
      <c r="E903" s="8"/>
      <c r="F903" s="8"/>
      <c r="G903" s="8"/>
      <c r="H903" s="8"/>
    </row>
    <row r="904">
      <c r="B904" s="8"/>
      <c r="C904" s="8"/>
      <c r="D904" s="8"/>
      <c r="E904" s="8"/>
      <c r="F904" s="8"/>
      <c r="G904" s="8"/>
      <c r="H904" s="8"/>
    </row>
    <row r="905">
      <c r="B905" s="8"/>
      <c r="C905" s="8"/>
      <c r="D905" s="8"/>
      <c r="E905" s="8"/>
      <c r="F905" s="8"/>
      <c r="G905" s="8"/>
      <c r="H905" s="8"/>
    </row>
    <row r="906">
      <c r="B906" s="8"/>
      <c r="C906" s="8"/>
      <c r="D906" s="8"/>
      <c r="E906" s="8"/>
      <c r="F906" s="8"/>
      <c r="G906" s="8"/>
      <c r="H906" s="8"/>
    </row>
    <row r="907">
      <c r="B907" s="8"/>
      <c r="C907" s="8"/>
      <c r="D907" s="8"/>
      <c r="E907" s="8"/>
      <c r="F907" s="8"/>
      <c r="G907" s="8"/>
      <c r="H907" s="8"/>
    </row>
    <row r="908">
      <c r="B908" s="8"/>
      <c r="C908" s="8"/>
      <c r="D908" s="8"/>
      <c r="E908" s="8"/>
      <c r="F908" s="8"/>
      <c r="G908" s="8"/>
      <c r="H908" s="8"/>
    </row>
    <row r="909">
      <c r="B909" s="8"/>
      <c r="C909" s="8"/>
      <c r="D909" s="8"/>
      <c r="E909" s="8"/>
      <c r="F909" s="8"/>
      <c r="G909" s="8"/>
      <c r="H909" s="8"/>
    </row>
    <row r="910">
      <c r="B910" s="8"/>
      <c r="C910" s="8"/>
      <c r="D910" s="8"/>
      <c r="E910" s="8"/>
      <c r="F910" s="8"/>
      <c r="G910" s="8"/>
      <c r="H910" s="8"/>
    </row>
    <row r="911">
      <c r="B911" s="8"/>
      <c r="C911" s="8"/>
      <c r="D911" s="8"/>
      <c r="E911" s="8"/>
      <c r="F911" s="8"/>
      <c r="G911" s="8"/>
      <c r="H911" s="8"/>
    </row>
    <row r="912">
      <c r="B912" s="8"/>
      <c r="C912" s="8"/>
      <c r="D912" s="8"/>
      <c r="E912" s="8"/>
      <c r="F912" s="8"/>
      <c r="G912" s="8"/>
      <c r="H912" s="8"/>
    </row>
    <row r="913">
      <c r="B913" s="8"/>
      <c r="C913" s="8"/>
      <c r="D913" s="8"/>
      <c r="E913" s="8"/>
      <c r="F913" s="8"/>
      <c r="G913" s="8"/>
      <c r="H913" s="8"/>
    </row>
    <row r="914">
      <c r="B914" s="8"/>
      <c r="C914" s="8"/>
      <c r="D914" s="8"/>
      <c r="E914" s="8"/>
      <c r="F914" s="8"/>
      <c r="G914" s="8"/>
      <c r="H914" s="8"/>
    </row>
    <row r="915">
      <c r="B915" s="8"/>
      <c r="C915" s="8"/>
      <c r="D915" s="8"/>
      <c r="E915" s="8"/>
      <c r="F915" s="8"/>
      <c r="G915" s="8"/>
      <c r="H915" s="8"/>
    </row>
    <row r="916">
      <c r="B916" s="8"/>
      <c r="C916" s="8"/>
      <c r="D916" s="8"/>
      <c r="E916" s="8"/>
      <c r="F916" s="8"/>
      <c r="G916" s="8"/>
      <c r="H916" s="8"/>
    </row>
    <row r="917">
      <c r="B917" s="8"/>
      <c r="C917" s="8"/>
      <c r="D917" s="8"/>
      <c r="E917" s="8"/>
      <c r="F917" s="8"/>
      <c r="G917" s="8"/>
      <c r="H917" s="8"/>
    </row>
    <row r="918">
      <c r="B918" s="8"/>
      <c r="C918" s="8"/>
      <c r="D918" s="8"/>
      <c r="E918" s="8"/>
      <c r="F918" s="8"/>
      <c r="G918" s="8"/>
      <c r="H918" s="8"/>
    </row>
    <row r="919">
      <c r="B919" s="8"/>
      <c r="C919" s="8"/>
      <c r="D919" s="8"/>
      <c r="E919" s="8"/>
      <c r="F919" s="8"/>
      <c r="G919" s="8"/>
      <c r="H919" s="8"/>
    </row>
    <row r="920">
      <c r="B920" s="8"/>
      <c r="C920" s="8"/>
      <c r="D920" s="8"/>
      <c r="E920" s="8"/>
      <c r="F920" s="8"/>
      <c r="G920" s="8"/>
      <c r="H920" s="8"/>
    </row>
    <row r="921">
      <c r="B921" s="8"/>
      <c r="C921" s="8"/>
      <c r="D921" s="8"/>
      <c r="E921" s="8"/>
      <c r="F921" s="8"/>
      <c r="G921" s="8"/>
      <c r="H921" s="8"/>
    </row>
    <row r="922">
      <c r="B922" s="8"/>
      <c r="C922" s="8"/>
      <c r="D922" s="8"/>
      <c r="E922" s="8"/>
      <c r="F922" s="8"/>
      <c r="G922" s="8"/>
      <c r="H922" s="8"/>
    </row>
    <row r="923">
      <c r="B923" s="8"/>
      <c r="C923" s="8"/>
      <c r="D923" s="8"/>
      <c r="E923" s="8"/>
      <c r="F923" s="8"/>
      <c r="G923" s="8"/>
      <c r="H923" s="8"/>
    </row>
    <row r="924">
      <c r="B924" s="8"/>
      <c r="C924" s="8"/>
      <c r="D924" s="8"/>
      <c r="E924" s="8"/>
      <c r="F924" s="8"/>
      <c r="G924" s="8"/>
      <c r="H924" s="8"/>
    </row>
    <row r="925">
      <c r="B925" s="8"/>
      <c r="C925" s="8"/>
      <c r="D925" s="8"/>
      <c r="E925" s="8"/>
      <c r="F925" s="8"/>
      <c r="G925" s="8"/>
      <c r="H925" s="8"/>
    </row>
    <row r="926">
      <c r="B926" s="8"/>
      <c r="C926" s="8"/>
      <c r="D926" s="8"/>
      <c r="E926" s="8"/>
      <c r="F926" s="8"/>
      <c r="G926" s="8"/>
      <c r="H926" s="8"/>
    </row>
    <row r="927">
      <c r="B927" s="8"/>
      <c r="C927" s="8"/>
      <c r="D927" s="8"/>
      <c r="E927" s="8"/>
      <c r="F927" s="8"/>
      <c r="G927" s="8"/>
      <c r="H927" s="8"/>
    </row>
    <row r="928">
      <c r="B928" s="8"/>
      <c r="C928" s="8"/>
      <c r="D928" s="8"/>
      <c r="E928" s="8"/>
      <c r="F928" s="8"/>
      <c r="G928" s="8"/>
      <c r="H928" s="8"/>
    </row>
    <row r="929">
      <c r="B929" s="8"/>
      <c r="C929" s="8"/>
      <c r="D929" s="8"/>
      <c r="E929" s="8"/>
      <c r="F929" s="8"/>
      <c r="G929" s="8"/>
      <c r="H929" s="8"/>
    </row>
    <row r="930">
      <c r="B930" s="8"/>
      <c r="C930" s="8"/>
      <c r="D930" s="8"/>
      <c r="E930" s="8"/>
      <c r="F930" s="8"/>
      <c r="G930" s="8"/>
      <c r="H930" s="8"/>
    </row>
    <row r="931">
      <c r="B931" s="8"/>
      <c r="C931" s="8"/>
      <c r="D931" s="8"/>
      <c r="E931" s="8"/>
      <c r="F931" s="8"/>
      <c r="G931" s="8"/>
      <c r="H931" s="8"/>
    </row>
    <row r="932">
      <c r="B932" s="8"/>
      <c r="C932" s="8"/>
      <c r="D932" s="8"/>
      <c r="E932" s="8"/>
      <c r="F932" s="8"/>
      <c r="G932" s="8"/>
      <c r="H932" s="8"/>
    </row>
    <row r="933">
      <c r="B933" s="8"/>
      <c r="C933" s="8"/>
      <c r="D933" s="8"/>
      <c r="E933" s="8"/>
      <c r="F933" s="8"/>
      <c r="G933" s="8"/>
      <c r="H933" s="8"/>
    </row>
    <row r="934">
      <c r="B934" s="8"/>
      <c r="C934" s="8"/>
      <c r="D934" s="8"/>
      <c r="E934" s="8"/>
      <c r="F934" s="8"/>
      <c r="G934" s="8"/>
      <c r="H934" s="8"/>
    </row>
    <row r="935">
      <c r="B935" s="8"/>
      <c r="C935" s="8"/>
      <c r="D935" s="8"/>
      <c r="E935" s="8"/>
      <c r="F935" s="8"/>
      <c r="G935" s="8"/>
      <c r="H935" s="8"/>
    </row>
    <row r="936">
      <c r="B936" s="8"/>
      <c r="C936" s="8"/>
      <c r="D936" s="8"/>
      <c r="E936" s="8"/>
      <c r="F936" s="8"/>
      <c r="G936" s="8"/>
      <c r="H936" s="8"/>
    </row>
    <row r="937">
      <c r="B937" s="8"/>
      <c r="C937" s="8"/>
      <c r="D937" s="8"/>
      <c r="E937" s="8"/>
      <c r="F937" s="8"/>
      <c r="G937" s="8"/>
      <c r="H937" s="8"/>
    </row>
    <row r="938">
      <c r="B938" s="8"/>
      <c r="C938" s="8"/>
      <c r="D938" s="8"/>
      <c r="E938" s="8"/>
      <c r="F938" s="8"/>
      <c r="G938" s="8"/>
      <c r="H938" s="8"/>
    </row>
    <row r="939">
      <c r="B939" s="8"/>
      <c r="C939" s="8"/>
      <c r="D939" s="8"/>
      <c r="E939" s="8"/>
      <c r="F939" s="8"/>
      <c r="G939" s="8"/>
      <c r="H939" s="8"/>
    </row>
    <row r="940">
      <c r="B940" s="8"/>
      <c r="C940" s="8"/>
      <c r="D940" s="8"/>
      <c r="E940" s="8"/>
      <c r="F940" s="8"/>
      <c r="G940" s="8"/>
      <c r="H940" s="8"/>
    </row>
    <row r="941">
      <c r="B941" s="8"/>
      <c r="C941" s="8"/>
      <c r="D941" s="8"/>
      <c r="E941" s="8"/>
      <c r="F941" s="8"/>
      <c r="G941" s="8"/>
      <c r="H941" s="8"/>
    </row>
    <row r="942">
      <c r="B942" s="8"/>
      <c r="C942" s="8"/>
      <c r="D942" s="8"/>
      <c r="E942" s="8"/>
      <c r="F942" s="8"/>
      <c r="G942" s="8"/>
      <c r="H942" s="8"/>
    </row>
    <row r="943">
      <c r="B943" s="8"/>
      <c r="C943" s="8"/>
      <c r="D943" s="8"/>
      <c r="E943" s="8"/>
      <c r="F943" s="8"/>
      <c r="G943" s="8"/>
      <c r="H943" s="8"/>
    </row>
    <row r="944">
      <c r="B944" s="8"/>
      <c r="C944" s="8"/>
      <c r="D944" s="8"/>
      <c r="E944" s="8"/>
      <c r="F944" s="8"/>
      <c r="G944" s="8"/>
      <c r="H944" s="8"/>
    </row>
    <row r="945">
      <c r="B945" s="8"/>
      <c r="C945" s="8"/>
      <c r="D945" s="8"/>
      <c r="E945" s="8"/>
      <c r="F945" s="8"/>
      <c r="G945" s="8"/>
      <c r="H945" s="8"/>
    </row>
    <row r="946">
      <c r="B946" s="8"/>
      <c r="C946" s="8"/>
      <c r="D946" s="8"/>
      <c r="E946" s="8"/>
      <c r="F946" s="8"/>
      <c r="G946" s="8"/>
      <c r="H946" s="8"/>
    </row>
    <row r="947">
      <c r="B947" s="8"/>
      <c r="C947" s="8"/>
      <c r="D947" s="8"/>
      <c r="E947" s="8"/>
      <c r="F947" s="8"/>
      <c r="G947" s="8"/>
      <c r="H947" s="8"/>
    </row>
    <row r="948">
      <c r="B948" s="8"/>
      <c r="C948" s="8"/>
      <c r="D948" s="8"/>
      <c r="E948" s="8"/>
      <c r="F948" s="8"/>
      <c r="G948" s="8"/>
      <c r="H948" s="8"/>
    </row>
    <row r="949">
      <c r="B949" s="8"/>
      <c r="C949" s="8"/>
      <c r="D949" s="8"/>
      <c r="E949" s="8"/>
      <c r="F949" s="8"/>
      <c r="G949" s="8"/>
      <c r="H949" s="8"/>
    </row>
    <row r="950">
      <c r="B950" s="8"/>
      <c r="C950" s="8"/>
      <c r="D950" s="8"/>
      <c r="E950" s="8"/>
      <c r="F950" s="8"/>
      <c r="G950" s="8"/>
      <c r="H950" s="8"/>
    </row>
    <row r="951">
      <c r="B951" s="8"/>
      <c r="C951" s="8"/>
      <c r="D951" s="8"/>
      <c r="E951" s="8"/>
      <c r="F951" s="8"/>
      <c r="G951" s="8"/>
      <c r="H951" s="8"/>
    </row>
    <row r="952">
      <c r="B952" s="8"/>
      <c r="C952" s="8"/>
      <c r="D952" s="8"/>
      <c r="E952" s="8"/>
      <c r="F952" s="8"/>
      <c r="G952" s="8"/>
      <c r="H952" s="8"/>
    </row>
    <row r="953">
      <c r="B953" s="8"/>
      <c r="C953" s="8"/>
      <c r="D953" s="8"/>
      <c r="E953" s="8"/>
      <c r="F953" s="8"/>
      <c r="G953" s="8"/>
      <c r="H953" s="8"/>
    </row>
    <row r="954">
      <c r="B954" s="8"/>
      <c r="C954" s="8"/>
      <c r="D954" s="8"/>
      <c r="E954" s="8"/>
      <c r="F954" s="8"/>
      <c r="G954" s="8"/>
      <c r="H954" s="8"/>
    </row>
    <row r="955">
      <c r="B955" s="8"/>
      <c r="C955" s="8"/>
      <c r="D955" s="8"/>
      <c r="E955" s="8"/>
      <c r="F955" s="8"/>
      <c r="G955" s="8"/>
      <c r="H955" s="8"/>
    </row>
    <row r="956">
      <c r="B956" s="8"/>
      <c r="C956" s="8"/>
      <c r="D956" s="8"/>
      <c r="E956" s="8"/>
      <c r="F956" s="8"/>
      <c r="G956" s="8"/>
      <c r="H956" s="8"/>
    </row>
    <row r="957">
      <c r="B957" s="8"/>
      <c r="C957" s="8"/>
      <c r="D957" s="8"/>
      <c r="E957" s="8"/>
      <c r="F957" s="8"/>
      <c r="G957" s="8"/>
      <c r="H957" s="8"/>
    </row>
    <row r="958">
      <c r="B958" s="8"/>
      <c r="C958" s="8"/>
      <c r="D958" s="8"/>
      <c r="E958" s="8"/>
      <c r="F958" s="8"/>
      <c r="G958" s="8"/>
      <c r="H958" s="8"/>
    </row>
    <row r="959">
      <c r="B959" s="8"/>
      <c r="C959" s="8"/>
      <c r="D959" s="8"/>
      <c r="E959" s="8"/>
      <c r="F959" s="8"/>
      <c r="G959" s="8"/>
      <c r="H959" s="8"/>
    </row>
    <row r="960">
      <c r="B960" s="8"/>
      <c r="C960" s="8"/>
      <c r="D960" s="8"/>
      <c r="E960" s="8"/>
      <c r="F960" s="8"/>
      <c r="G960" s="8"/>
      <c r="H960" s="8"/>
    </row>
    <row r="961">
      <c r="B961" s="8"/>
      <c r="C961" s="8"/>
      <c r="D961" s="8"/>
      <c r="E961" s="8"/>
      <c r="F961" s="8"/>
      <c r="G961" s="8"/>
      <c r="H961" s="8"/>
    </row>
    <row r="962">
      <c r="B962" s="8"/>
      <c r="C962" s="8"/>
      <c r="D962" s="8"/>
      <c r="E962" s="8"/>
      <c r="F962" s="8"/>
      <c r="G962" s="8"/>
      <c r="H962" s="8"/>
    </row>
    <row r="963">
      <c r="B963" s="8"/>
      <c r="C963" s="8"/>
      <c r="D963" s="8"/>
      <c r="E963" s="8"/>
      <c r="F963" s="8"/>
      <c r="G963" s="8"/>
      <c r="H963" s="8"/>
    </row>
    <row r="964">
      <c r="B964" s="8"/>
      <c r="C964" s="8"/>
      <c r="D964" s="8"/>
      <c r="E964" s="8"/>
      <c r="F964" s="8"/>
      <c r="G964" s="8"/>
      <c r="H964" s="8"/>
    </row>
    <row r="965">
      <c r="B965" s="8"/>
      <c r="C965" s="8"/>
      <c r="D965" s="8"/>
      <c r="E965" s="8"/>
      <c r="F965" s="8"/>
      <c r="G965" s="8"/>
      <c r="H965" s="8"/>
    </row>
    <row r="966">
      <c r="B966" s="8"/>
      <c r="C966" s="8"/>
      <c r="D966" s="8"/>
      <c r="E966" s="8"/>
      <c r="F966" s="8"/>
      <c r="G966" s="8"/>
      <c r="H966" s="8"/>
    </row>
    <row r="967">
      <c r="B967" s="8"/>
      <c r="C967" s="8"/>
      <c r="D967" s="8"/>
      <c r="E967" s="8"/>
      <c r="F967" s="8"/>
      <c r="G967" s="8"/>
      <c r="H967" s="8"/>
    </row>
    <row r="968">
      <c r="B968" s="8"/>
      <c r="C968" s="8"/>
      <c r="D968" s="8"/>
      <c r="E968" s="8"/>
      <c r="F968" s="8"/>
      <c r="G968" s="8"/>
      <c r="H968" s="8"/>
    </row>
    <row r="969">
      <c r="B969" s="8"/>
      <c r="C969" s="8"/>
      <c r="D969" s="8"/>
      <c r="E969" s="8"/>
      <c r="F969" s="8"/>
      <c r="G969" s="8"/>
      <c r="H969" s="8"/>
    </row>
    <row r="970">
      <c r="B970" s="8"/>
      <c r="C970" s="8"/>
      <c r="D970" s="8"/>
      <c r="E970" s="8"/>
      <c r="F970" s="8"/>
      <c r="G970" s="8"/>
      <c r="H970" s="8"/>
    </row>
    <row r="971">
      <c r="B971" s="8"/>
      <c r="C971" s="8"/>
      <c r="D971" s="8"/>
      <c r="E971" s="8"/>
      <c r="F971" s="8"/>
      <c r="G971" s="8"/>
      <c r="H971" s="8"/>
    </row>
    <row r="972">
      <c r="B972" s="8"/>
      <c r="C972" s="8"/>
      <c r="D972" s="8"/>
      <c r="E972" s="8"/>
      <c r="F972" s="8"/>
      <c r="G972" s="8"/>
      <c r="H972" s="8"/>
    </row>
    <row r="973">
      <c r="B973" s="8"/>
      <c r="C973" s="8"/>
      <c r="D973" s="8"/>
      <c r="E973" s="8"/>
      <c r="F973" s="8"/>
      <c r="G973" s="8"/>
      <c r="H973" s="8"/>
    </row>
    <row r="974">
      <c r="B974" s="8"/>
      <c r="C974" s="8"/>
      <c r="D974" s="8"/>
      <c r="E974" s="8"/>
      <c r="F974" s="8"/>
      <c r="G974" s="8"/>
      <c r="H974" s="8"/>
    </row>
    <row r="975">
      <c r="B975" s="8"/>
      <c r="C975" s="8"/>
      <c r="D975" s="8"/>
      <c r="E975" s="8"/>
      <c r="F975" s="8"/>
      <c r="G975" s="8"/>
      <c r="H975" s="8"/>
    </row>
    <row r="976">
      <c r="B976" s="8"/>
      <c r="C976" s="8"/>
      <c r="D976" s="8"/>
      <c r="E976" s="8"/>
      <c r="F976" s="8"/>
      <c r="G976" s="8"/>
      <c r="H976" s="8"/>
    </row>
    <row r="977">
      <c r="B977" s="8"/>
      <c r="C977" s="8"/>
      <c r="D977" s="8"/>
      <c r="E977" s="8"/>
      <c r="F977" s="8"/>
      <c r="G977" s="8"/>
      <c r="H977" s="8"/>
    </row>
    <row r="978">
      <c r="B978" s="8"/>
      <c r="C978" s="8"/>
      <c r="D978" s="8"/>
      <c r="E978" s="8"/>
      <c r="F978" s="8"/>
      <c r="G978" s="8"/>
      <c r="H978" s="8"/>
    </row>
    <row r="979">
      <c r="B979" s="8"/>
      <c r="C979" s="8"/>
      <c r="D979" s="8"/>
      <c r="E979" s="8"/>
      <c r="F979" s="8"/>
      <c r="G979" s="8"/>
      <c r="H979" s="8"/>
    </row>
    <row r="980">
      <c r="B980" s="8"/>
      <c r="C980" s="8"/>
      <c r="D980" s="8"/>
      <c r="E980" s="8"/>
      <c r="F980" s="8"/>
      <c r="G980" s="8"/>
      <c r="H980" s="8"/>
    </row>
    <row r="981">
      <c r="B981" s="8"/>
      <c r="C981" s="8"/>
      <c r="D981" s="8"/>
      <c r="E981" s="8"/>
      <c r="F981" s="8"/>
      <c r="G981" s="8"/>
      <c r="H981" s="8"/>
    </row>
    <row r="982">
      <c r="B982" s="8"/>
      <c r="C982" s="8"/>
      <c r="D982" s="8"/>
      <c r="E982" s="8"/>
      <c r="F982" s="8"/>
      <c r="G982" s="8"/>
      <c r="H982" s="8"/>
    </row>
    <row r="983">
      <c r="B983" s="8"/>
      <c r="C983" s="8"/>
      <c r="D983" s="8"/>
      <c r="E983" s="8"/>
      <c r="F983" s="8"/>
      <c r="G983" s="8"/>
      <c r="H983" s="8"/>
    </row>
    <row r="984">
      <c r="B984" s="8"/>
      <c r="C984" s="8"/>
      <c r="D984" s="8"/>
      <c r="E984" s="8"/>
      <c r="F984" s="8"/>
      <c r="G984" s="8"/>
      <c r="H984" s="8"/>
    </row>
    <row r="985">
      <c r="B985" s="8"/>
      <c r="C985" s="8"/>
      <c r="D985" s="8"/>
      <c r="E985" s="8"/>
      <c r="F985" s="8"/>
      <c r="G985" s="8"/>
      <c r="H985" s="8"/>
    </row>
    <row r="986">
      <c r="B986" s="8"/>
      <c r="C986" s="8"/>
      <c r="D986" s="8"/>
      <c r="E986" s="8"/>
      <c r="F986" s="8"/>
      <c r="G986" s="8"/>
      <c r="H986" s="8"/>
    </row>
    <row r="987">
      <c r="B987" s="8"/>
      <c r="C987" s="8"/>
      <c r="D987" s="8"/>
      <c r="E987" s="8"/>
      <c r="F987" s="8"/>
      <c r="G987" s="8"/>
      <c r="H987" s="8"/>
    </row>
    <row r="988">
      <c r="B988" s="8"/>
      <c r="C988" s="8"/>
      <c r="D988" s="8"/>
      <c r="E988" s="8"/>
      <c r="F988" s="8"/>
      <c r="G988" s="8"/>
      <c r="H988" s="8"/>
    </row>
    <row r="989">
      <c r="B989" s="8"/>
      <c r="C989" s="8"/>
      <c r="D989" s="8"/>
      <c r="E989" s="8"/>
      <c r="F989" s="8"/>
      <c r="G989" s="8"/>
      <c r="H989" s="8"/>
    </row>
    <row r="990">
      <c r="B990" s="8"/>
      <c r="C990" s="8"/>
      <c r="D990" s="8"/>
      <c r="E990" s="8"/>
      <c r="F990" s="8"/>
      <c r="G990" s="8"/>
      <c r="H990" s="8"/>
    </row>
    <row r="991">
      <c r="B991" s="8"/>
      <c r="C991" s="8"/>
      <c r="D991" s="8"/>
      <c r="E991" s="8"/>
      <c r="F991" s="8"/>
      <c r="G991" s="8"/>
      <c r="H991" s="8"/>
    </row>
    <row r="992">
      <c r="B992" s="8"/>
      <c r="C992" s="8"/>
      <c r="D992" s="8"/>
      <c r="E992" s="8"/>
      <c r="F992" s="8"/>
      <c r="G992" s="8"/>
      <c r="H992" s="8"/>
    </row>
    <row r="993">
      <c r="B993" s="8"/>
      <c r="C993" s="8"/>
      <c r="D993" s="8"/>
      <c r="E993" s="8"/>
      <c r="F993" s="8"/>
      <c r="G993" s="8"/>
      <c r="H993" s="8"/>
    </row>
    <row r="994">
      <c r="B994" s="8"/>
      <c r="C994" s="8"/>
      <c r="D994" s="8"/>
      <c r="E994" s="8"/>
      <c r="F994" s="8"/>
      <c r="G994" s="8"/>
      <c r="H994" s="8"/>
    </row>
    <row r="995">
      <c r="B995" s="8"/>
      <c r="C995" s="8"/>
      <c r="D995" s="8"/>
      <c r="E995" s="8"/>
      <c r="F995" s="8"/>
      <c r="G995" s="8"/>
      <c r="H995" s="8"/>
    </row>
    <row r="996">
      <c r="B996" s="8"/>
      <c r="C996" s="8"/>
      <c r="D996" s="8"/>
      <c r="E996" s="8"/>
      <c r="F996" s="8"/>
      <c r="G996" s="8"/>
      <c r="H996" s="8"/>
    </row>
    <row r="997">
      <c r="B997" s="8"/>
      <c r="C997" s="8"/>
      <c r="D997" s="8"/>
      <c r="E997" s="8"/>
      <c r="F997" s="8"/>
      <c r="G997" s="8"/>
      <c r="H997" s="8"/>
    </row>
    <row r="998">
      <c r="B998" s="8"/>
      <c r="C998" s="8"/>
      <c r="D998" s="8"/>
      <c r="E998" s="8"/>
      <c r="F998" s="8"/>
      <c r="G998" s="8"/>
      <c r="H998" s="8"/>
    </row>
    <row r="999">
      <c r="B999" s="8"/>
      <c r="C999" s="8"/>
      <c r="D999" s="8"/>
      <c r="E999" s="8"/>
      <c r="F999" s="8"/>
      <c r="G999" s="8"/>
      <c r="H999" s="8"/>
    </row>
    <row r="1000">
      <c r="B1000" s="8"/>
      <c r="C1000" s="8"/>
      <c r="D1000" s="8"/>
      <c r="E1000" s="8"/>
      <c r="F1000" s="8"/>
      <c r="G1000" s="8"/>
      <c r="H1000" s="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42" t="str">
        <f t="array" ref="A1:A470">'CRR 2025'!G2:G1000</f>
        <v>I</v>
      </c>
      <c r="B1" s="142" t="str">
        <f>IFERROR(__xludf.DUMMYFUNCTION("byrow(A1:A1000, lambda(A, transpose(UNIQUE(FILTER(Municipality!B2:B1000,Municipality!A2:A1000=A)))))"),"Ilocos Norte")</f>
        <v>Ilocos Norte</v>
      </c>
      <c r="C1" s="142" t="str">
        <f>IFERROR(__xludf.DUMMYFUNCTION("""COMPUTED_VALUE"""),"Ilocos Sur")</f>
        <v>Ilocos Sur</v>
      </c>
      <c r="D1" s="142" t="str">
        <f>IFERROR(__xludf.DUMMYFUNCTION("""COMPUTED_VALUE"""),"La Union")</f>
        <v>La Union</v>
      </c>
      <c r="E1" s="142" t="str">
        <f>IFERROR(__xludf.DUMMYFUNCTION("""COMPUTED_VALUE"""),"Pangasinan")</f>
        <v>Pangasinan</v>
      </c>
      <c r="F1" s="8"/>
      <c r="G1" s="8"/>
      <c r="H1" s="8"/>
    </row>
    <row r="2">
      <c r="A2" s="142" t="s">
        <v>171</v>
      </c>
      <c r="B2" s="142" t="str">
        <f>IFERROR(__xludf.DUMMYFUNCTION("""COMPUTED_VALUE"""),"Bukidnon")</f>
        <v>Bukidnon</v>
      </c>
      <c r="C2" s="142" t="str">
        <f>IFERROR(__xludf.DUMMYFUNCTION("""COMPUTED_VALUE"""),"Camiguin")</f>
        <v>Camiguin</v>
      </c>
      <c r="D2" s="142" t="str">
        <f>IFERROR(__xludf.DUMMYFUNCTION("""COMPUTED_VALUE"""),"Lanao del Norte")</f>
        <v>Lanao del Norte</v>
      </c>
      <c r="E2" s="142" t="str">
        <f>IFERROR(__xludf.DUMMYFUNCTION("""COMPUTED_VALUE"""),"Misamis Occidental")</f>
        <v>Misamis Occidental</v>
      </c>
      <c r="F2" s="142" t="str">
        <f>IFERROR(__xludf.DUMMYFUNCTION("""COMPUTED_VALUE"""),"Misamis Oriental")</f>
        <v>Misamis Oriental</v>
      </c>
      <c r="G2" s="8"/>
      <c r="H2" s="8"/>
    </row>
    <row r="3">
      <c r="A3" s="142" t="s">
        <v>193</v>
      </c>
      <c r="B3" s="142" t="str">
        <f>IFERROR(__xludf.DUMMYFUNCTION("""COMPUTED_VALUE"""),"Bohol")</f>
        <v>Bohol</v>
      </c>
      <c r="C3" s="142" t="str">
        <f>IFERROR(__xludf.DUMMYFUNCTION("""COMPUTED_VALUE"""),"Cebu")</f>
        <v>Cebu</v>
      </c>
      <c r="D3" s="8"/>
      <c r="E3" s="8"/>
      <c r="F3" s="8"/>
      <c r="G3" s="8"/>
      <c r="H3" s="8"/>
    </row>
    <row r="4">
      <c r="A4" s="142" t="s">
        <v>193</v>
      </c>
      <c r="B4" s="142" t="str">
        <f>IFERROR(__xludf.DUMMYFUNCTION("""COMPUTED_VALUE"""),"Bohol")</f>
        <v>Bohol</v>
      </c>
      <c r="C4" s="142" t="str">
        <f>IFERROR(__xludf.DUMMYFUNCTION("""COMPUTED_VALUE"""),"Cebu")</f>
        <v>Cebu</v>
      </c>
      <c r="D4" s="8"/>
      <c r="E4" s="8"/>
      <c r="F4" s="8"/>
      <c r="G4" s="8"/>
      <c r="H4" s="8"/>
    </row>
    <row r="5">
      <c r="A5" s="142" t="s">
        <v>143</v>
      </c>
      <c r="B5" s="142" t="str">
        <f>IFERROR(__xludf.DUMMYFUNCTION("""COMPUTED_VALUE"""),"Ilocos Norte")</f>
        <v>Ilocos Norte</v>
      </c>
      <c r="C5" s="142" t="str">
        <f>IFERROR(__xludf.DUMMYFUNCTION("""COMPUTED_VALUE"""),"Ilocos Sur")</f>
        <v>Ilocos Sur</v>
      </c>
      <c r="D5" s="142" t="str">
        <f>IFERROR(__xludf.DUMMYFUNCTION("""COMPUTED_VALUE"""),"La Union")</f>
        <v>La Union</v>
      </c>
      <c r="E5" s="142" t="str">
        <f>IFERROR(__xludf.DUMMYFUNCTION("""COMPUTED_VALUE"""),"Pangasinan")</f>
        <v>Pangasinan</v>
      </c>
      <c r="F5" s="8"/>
      <c r="G5" s="8"/>
      <c r="H5" s="8"/>
    </row>
    <row r="6">
      <c r="A6" s="142" t="s">
        <v>143</v>
      </c>
      <c r="B6" s="142" t="str">
        <f>IFERROR(__xludf.DUMMYFUNCTION("""COMPUTED_VALUE"""),"Ilocos Norte")</f>
        <v>Ilocos Norte</v>
      </c>
      <c r="C6" s="142" t="str">
        <f>IFERROR(__xludf.DUMMYFUNCTION("""COMPUTED_VALUE"""),"Ilocos Sur")</f>
        <v>Ilocos Sur</v>
      </c>
      <c r="D6" s="142" t="str">
        <f>IFERROR(__xludf.DUMMYFUNCTION("""COMPUTED_VALUE"""),"La Union")</f>
        <v>La Union</v>
      </c>
      <c r="E6" s="142" t="str">
        <f>IFERROR(__xludf.DUMMYFUNCTION("""COMPUTED_VALUE"""),"Pangasinan")</f>
        <v>Pangasinan</v>
      </c>
      <c r="F6" s="8"/>
      <c r="G6" s="8"/>
      <c r="H6" s="8"/>
    </row>
    <row r="7">
      <c r="A7" s="142" t="s">
        <v>143</v>
      </c>
      <c r="B7" s="142" t="str">
        <f>IFERROR(__xludf.DUMMYFUNCTION("""COMPUTED_VALUE"""),"Ilocos Norte")</f>
        <v>Ilocos Norte</v>
      </c>
      <c r="C7" s="142" t="str">
        <f>IFERROR(__xludf.DUMMYFUNCTION("""COMPUTED_VALUE"""),"Ilocos Sur")</f>
        <v>Ilocos Sur</v>
      </c>
      <c r="D7" s="142" t="str">
        <f>IFERROR(__xludf.DUMMYFUNCTION("""COMPUTED_VALUE"""),"La Union")</f>
        <v>La Union</v>
      </c>
      <c r="E7" s="142" t="str">
        <f>IFERROR(__xludf.DUMMYFUNCTION("""COMPUTED_VALUE"""),"Pangasinan")</f>
        <v>Pangasinan</v>
      </c>
      <c r="F7" s="8"/>
      <c r="G7" s="8"/>
      <c r="H7" s="8"/>
    </row>
    <row r="8">
      <c r="A8" s="142" t="s">
        <v>143</v>
      </c>
      <c r="B8" s="142" t="str">
        <f>IFERROR(__xludf.DUMMYFUNCTION("""COMPUTED_VALUE"""),"Ilocos Norte")</f>
        <v>Ilocos Norte</v>
      </c>
      <c r="C8" s="142" t="str">
        <f>IFERROR(__xludf.DUMMYFUNCTION("""COMPUTED_VALUE"""),"Ilocos Sur")</f>
        <v>Ilocos Sur</v>
      </c>
      <c r="D8" s="142" t="str">
        <f>IFERROR(__xludf.DUMMYFUNCTION("""COMPUTED_VALUE"""),"La Union")</f>
        <v>La Union</v>
      </c>
      <c r="E8" s="142" t="str">
        <f>IFERROR(__xludf.DUMMYFUNCTION("""COMPUTED_VALUE"""),"Pangasinan")</f>
        <v>Pangasinan</v>
      </c>
      <c r="F8" s="8"/>
      <c r="G8" s="8"/>
      <c r="H8" s="8"/>
    </row>
    <row r="9">
      <c r="A9" s="142" t="s">
        <v>143</v>
      </c>
      <c r="B9" s="142" t="str">
        <f>IFERROR(__xludf.DUMMYFUNCTION("""COMPUTED_VALUE"""),"Ilocos Norte")</f>
        <v>Ilocos Norte</v>
      </c>
      <c r="C9" s="142" t="str">
        <f>IFERROR(__xludf.DUMMYFUNCTION("""COMPUTED_VALUE"""),"Ilocos Sur")</f>
        <v>Ilocos Sur</v>
      </c>
      <c r="D9" s="142" t="str">
        <f>IFERROR(__xludf.DUMMYFUNCTION("""COMPUTED_VALUE"""),"La Union")</f>
        <v>La Union</v>
      </c>
      <c r="E9" s="142" t="str">
        <f>IFERROR(__xludf.DUMMYFUNCTION("""COMPUTED_VALUE"""),"Pangasinan")</f>
        <v>Pangasinan</v>
      </c>
      <c r="F9" s="8"/>
      <c r="G9" s="8"/>
      <c r="H9" s="8"/>
    </row>
    <row r="10">
      <c r="A10" s="142" t="s">
        <v>257</v>
      </c>
      <c r="B10" s="142" t="str">
        <f>IFERROR(__xludf.DUMMYFUNCTION("""COMPUTED_VALUE"""),"Batangas")</f>
        <v>Batangas</v>
      </c>
      <c r="C10" s="142" t="str">
        <f>IFERROR(__xludf.DUMMYFUNCTION("""COMPUTED_VALUE"""),"Cavite")</f>
        <v>Cavite</v>
      </c>
      <c r="D10" s="142" t="str">
        <f>IFERROR(__xludf.DUMMYFUNCTION("""COMPUTED_VALUE"""),"Laguna")</f>
        <v>Laguna</v>
      </c>
      <c r="E10" s="142" t="str">
        <f>IFERROR(__xludf.DUMMYFUNCTION("""COMPUTED_VALUE"""),"Quezon")</f>
        <v>Quezon</v>
      </c>
      <c r="F10" s="8"/>
      <c r="G10" s="8"/>
      <c r="H10" s="8"/>
    </row>
    <row r="11">
      <c r="A11" s="142" t="s">
        <v>171</v>
      </c>
      <c r="B11" s="142" t="str">
        <f>IFERROR(__xludf.DUMMYFUNCTION("""COMPUTED_VALUE"""),"Bukidnon")</f>
        <v>Bukidnon</v>
      </c>
      <c r="C11" s="142" t="str">
        <f>IFERROR(__xludf.DUMMYFUNCTION("""COMPUTED_VALUE"""),"Camiguin")</f>
        <v>Camiguin</v>
      </c>
      <c r="D11" s="142" t="str">
        <f>IFERROR(__xludf.DUMMYFUNCTION("""COMPUTED_VALUE"""),"Lanao del Norte")</f>
        <v>Lanao del Norte</v>
      </c>
      <c r="E11" s="142" t="str">
        <f>IFERROR(__xludf.DUMMYFUNCTION("""COMPUTED_VALUE"""),"Misamis Occidental")</f>
        <v>Misamis Occidental</v>
      </c>
      <c r="F11" s="142" t="str">
        <f>IFERROR(__xludf.DUMMYFUNCTION("""COMPUTED_VALUE"""),"Misamis Oriental")</f>
        <v>Misamis Oriental</v>
      </c>
      <c r="G11" s="8"/>
      <c r="H11" s="8"/>
    </row>
    <row r="12">
      <c r="A12" s="142" t="s">
        <v>293</v>
      </c>
      <c r="B12" s="142" t="str">
        <f>IFERROR(__xludf.DUMMYFUNCTION("""COMPUTED_VALUE"""),"Bataan")</f>
        <v>Bataan</v>
      </c>
      <c r="C12" s="142" t="str">
        <f>IFERROR(__xludf.DUMMYFUNCTION("""COMPUTED_VALUE"""),"Bulacan")</f>
        <v>Bulacan</v>
      </c>
      <c r="D12" s="142" t="str">
        <f>IFERROR(__xludf.DUMMYFUNCTION("""COMPUTED_VALUE"""),"Nueva Ecija")</f>
        <v>Nueva Ecija</v>
      </c>
      <c r="E12" s="142" t="str">
        <f>IFERROR(__xludf.DUMMYFUNCTION("""COMPUTED_VALUE"""),"Pampanga")</f>
        <v>Pampanga</v>
      </c>
      <c r="F12" s="142" t="str">
        <f>IFERROR(__xludf.DUMMYFUNCTION("""COMPUTED_VALUE"""),"Tarlac")</f>
        <v>Tarlac</v>
      </c>
      <c r="G12" s="142" t="str">
        <f>IFERROR(__xludf.DUMMYFUNCTION("""COMPUTED_VALUE"""),"Zambales")</f>
        <v>Zambales</v>
      </c>
      <c r="H12" s="142" t="str">
        <f>IFERROR(__xludf.DUMMYFUNCTION("""COMPUTED_VALUE"""),"Aurora")</f>
        <v>Aurora</v>
      </c>
    </row>
    <row r="13">
      <c r="A13" s="142" t="s">
        <v>314</v>
      </c>
      <c r="B13" s="142" t="str">
        <f>IFERROR(__xludf.DUMMYFUNCTION("""COMPUTED_VALUE"""),"Aklan")</f>
        <v>Aklan</v>
      </c>
      <c r="C13" s="142" t="str">
        <f>IFERROR(__xludf.DUMMYFUNCTION("""COMPUTED_VALUE"""),"Antique")</f>
        <v>Antique</v>
      </c>
      <c r="D13" s="142" t="str">
        <f>IFERROR(__xludf.DUMMYFUNCTION("""COMPUTED_VALUE"""),"Capiz")</f>
        <v>Capiz</v>
      </c>
      <c r="E13" s="142" t="str">
        <f>IFERROR(__xludf.DUMMYFUNCTION("""COMPUTED_VALUE"""),"Iloilo")</f>
        <v>Iloilo</v>
      </c>
      <c r="F13" s="142" t="str">
        <f>IFERROR(__xludf.DUMMYFUNCTION("""COMPUTED_VALUE"""),"Guimaras")</f>
        <v>Guimaras</v>
      </c>
      <c r="G13" s="8"/>
      <c r="H13" s="8"/>
    </row>
    <row r="14">
      <c r="A14" s="142" t="s">
        <v>330</v>
      </c>
      <c r="B14" s="142" t="str">
        <f>IFERROR(__xludf.DUMMYFUNCTION("""COMPUTED_VALUE"""),"Davao del Norte")</f>
        <v>Davao del Norte</v>
      </c>
      <c r="C14" s="142" t="str">
        <f>IFERROR(__xludf.DUMMYFUNCTION("""COMPUTED_VALUE"""),"Davao del Sur")</f>
        <v>Davao del Sur</v>
      </c>
      <c r="D14" s="142" t="str">
        <f>IFERROR(__xludf.DUMMYFUNCTION("""COMPUTED_VALUE"""),"Davao Oriental")</f>
        <v>Davao Oriental</v>
      </c>
      <c r="E14" s="142" t="str">
        <f>IFERROR(__xludf.DUMMYFUNCTION("""COMPUTED_VALUE"""),"Davao de Oro")</f>
        <v>Davao de Oro</v>
      </c>
      <c r="F14" s="142" t="str">
        <f>IFERROR(__xludf.DUMMYFUNCTION("""COMPUTED_VALUE"""),"Davao Occidental")</f>
        <v>Davao Occidental</v>
      </c>
      <c r="G14" s="8"/>
      <c r="H14" s="8"/>
    </row>
    <row r="15">
      <c r="A15" s="142" t="s">
        <v>345</v>
      </c>
      <c r="B15" s="142" t="str">
        <f>IFERROR(__xludf.DUMMYFUNCTION("""COMPUTED_VALUE"""),"Agusan del Norte")</f>
        <v>Agusan del Norte</v>
      </c>
      <c r="C15" s="142" t="str">
        <f>IFERROR(__xludf.DUMMYFUNCTION("""COMPUTED_VALUE"""),"Agusan del Sur")</f>
        <v>Agusan del Sur</v>
      </c>
      <c r="D15" s="142" t="str">
        <f>IFERROR(__xludf.DUMMYFUNCTION("""COMPUTED_VALUE"""),"Surigao del Norte")</f>
        <v>Surigao del Norte</v>
      </c>
      <c r="E15" s="142" t="str">
        <f>IFERROR(__xludf.DUMMYFUNCTION("""COMPUTED_VALUE"""),"Surigao del Sur")</f>
        <v>Surigao del Sur</v>
      </c>
      <c r="F15" s="142" t="str">
        <f>IFERROR(__xludf.DUMMYFUNCTION("""COMPUTED_VALUE"""),"Dinagat Islands")</f>
        <v>Dinagat Islands</v>
      </c>
      <c r="G15" s="8"/>
      <c r="H15" s="8"/>
    </row>
    <row r="16">
      <c r="A16" s="142" t="s">
        <v>356</v>
      </c>
      <c r="B16" s="142" t="str">
        <f>IFERROR(__xludf.DUMMYFUNCTION("""COMPUTED_VALUE"""),"Cotabato")</f>
        <v>Cotabato</v>
      </c>
      <c r="C16" s="142" t="str">
        <f>IFERROR(__xludf.DUMMYFUNCTION("""COMPUTED_VALUE"""),"South Cotabato")</f>
        <v>South Cotabato</v>
      </c>
      <c r="D16" s="142" t="str">
        <f>IFERROR(__xludf.DUMMYFUNCTION("""COMPUTED_VALUE"""),"Sultan Kudarat")</f>
        <v>Sultan Kudarat</v>
      </c>
      <c r="E16" s="142" t="str">
        <f>IFERROR(__xludf.DUMMYFUNCTION("""COMPUTED_VALUE"""),"Sarangani")</f>
        <v>Sarangani</v>
      </c>
      <c r="F16" s="8"/>
      <c r="G16" s="8"/>
      <c r="H16" s="8"/>
    </row>
    <row r="17">
      <c r="A17" s="142" t="s">
        <v>356</v>
      </c>
      <c r="B17" s="142" t="str">
        <f>IFERROR(__xludf.DUMMYFUNCTION("""COMPUTED_VALUE"""),"Cotabato")</f>
        <v>Cotabato</v>
      </c>
      <c r="C17" s="142" t="str">
        <f>IFERROR(__xludf.DUMMYFUNCTION("""COMPUTED_VALUE"""),"South Cotabato")</f>
        <v>South Cotabato</v>
      </c>
      <c r="D17" s="142" t="str">
        <f>IFERROR(__xludf.DUMMYFUNCTION("""COMPUTED_VALUE"""),"Sultan Kudarat")</f>
        <v>Sultan Kudarat</v>
      </c>
      <c r="E17" s="142" t="str">
        <f>IFERROR(__xludf.DUMMYFUNCTION("""COMPUTED_VALUE"""),"Sarangani")</f>
        <v>Sarangani</v>
      </c>
      <c r="F17" s="8"/>
      <c r="G17" s="8"/>
      <c r="H17" s="8"/>
    </row>
    <row r="18">
      <c r="A18" s="142" t="s">
        <v>143</v>
      </c>
      <c r="B18" s="142" t="str">
        <f>IFERROR(__xludf.DUMMYFUNCTION("""COMPUTED_VALUE"""),"Ilocos Norte")</f>
        <v>Ilocos Norte</v>
      </c>
      <c r="C18" s="142" t="str">
        <f>IFERROR(__xludf.DUMMYFUNCTION("""COMPUTED_VALUE"""),"Ilocos Sur")</f>
        <v>Ilocos Sur</v>
      </c>
      <c r="D18" s="142" t="str">
        <f>IFERROR(__xludf.DUMMYFUNCTION("""COMPUTED_VALUE"""),"La Union")</f>
        <v>La Union</v>
      </c>
      <c r="E18" s="142" t="str">
        <f>IFERROR(__xludf.DUMMYFUNCTION("""COMPUTED_VALUE"""),"Pangasinan")</f>
        <v>Pangasinan</v>
      </c>
      <c r="F18" s="8"/>
      <c r="G18" s="8"/>
      <c r="H18" s="8"/>
    </row>
    <row r="19">
      <c r="A19" s="142" t="s">
        <v>143</v>
      </c>
      <c r="B19" s="142" t="str">
        <f>IFERROR(__xludf.DUMMYFUNCTION("""COMPUTED_VALUE"""),"Ilocos Norte")</f>
        <v>Ilocos Norte</v>
      </c>
      <c r="C19" s="142" t="str">
        <f>IFERROR(__xludf.DUMMYFUNCTION("""COMPUTED_VALUE"""),"Ilocos Sur")</f>
        <v>Ilocos Sur</v>
      </c>
      <c r="D19" s="142" t="str">
        <f>IFERROR(__xludf.DUMMYFUNCTION("""COMPUTED_VALUE"""),"La Union")</f>
        <v>La Union</v>
      </c>
      <c r="E19" s="142" t="str">
        <f>IFERROR(__xludf.DUMMYFUNCTION("""COMPUTED_VALUE"""),"Pangasinan")</f>
        <v>Pangasinan</v>
      </c>
      <c r="F19" s="8"/>
      <c r="G19" s="8"/>
      <c r="H19" s="8"/>
    </row>
    <row r="20">
      <c r="A20" s="142" t="s">
        <v>143</v>
      </c>
      <c r="B20" s="142" t="str">
        <f>IFERROR(__xludf.DUMMYFUNCTION("""COMPUTED_VALUE"""),"Ilocos Norte")</f>
        <v>Ilocos Norte</v>
      </c>
      <c r="C20" s="142" t="str">
        <f>IFERROR(__xludf.DUMMYFUNCTION("""COMPUTED_VALUE"""),"Ilocos Sur")</f>
        <v>Ilocos Sur</v>
      </c>
      <c r="D20" s="142" t="str">
        <f>IFERROR(__xludf.DUMMYFUNCTION("""COMPUTED_VALUE"""),"La Union")</f>
        <v>La Union</v>
      </c>
      <c r="E20" s="142" t="str">
        <f>IFERROR(__xludf.DUMMYFUNCTION("""COMPUTED_VALUE"""),"Pangasinan")</f>
        <v>Pangasinan</v>
      </c>
      <c r="F20" s="8"/>
      <c r="G20" s="8"/>
      <c r="H20" s="8"/>
    </row>
    <row r="21">
      <c r="A21" s="142" t="s">
        <v>143</v>
      </c>
      <c r="B21" s="142" t="str">
        <f>IFERROR(__xludf.DUMMYFUNCTION("""COMPUTED_VALUE"""),"Ilocos Norte")</f>
        <v>Ilocos Norte</v>
      </c>
      <c r="C21" s="142" t="str">
        <f>IFERROR(__xludf.DUMMYFUNCTION("""COMPUTED_VALUE"""),"Ilocos Sur")</f>
        <v>Ilocos Sur</v>
      </c>
      <c r="D21" s="142" t="str">
        <f>IFERROR(__xludf.DUMMYFUNCTION("""COMPUTED_VALUE"""),"La Union")</f>
        <v>La Union</v>
      </c>
      <c r="E21" s="142" t="str">
        <f>IFERROR(__xludf.DUMMYFUNCTION("""COMPUTED_VALUE"""),"Pangasinan")</f>
        <v>Pangasinan</v>
      </c>
      <c r="F21" s="8"/>
      <c r="G21" s="8"/>
      <c r="H21" s="8"/>
    </row>
    <row r="22">
      <c r="A22" s="142" t="s">
        <v>143</v>
      </c>
      <c r="B22" s="142" t="str">
        <f>IFERROR(__xludf.DUMMYFUNCTION("""COMPUTED_VALUE"""),"Ilocos Norte")</f>
        <v>Ilocos Norte</v>
      </c>
      <c r="C22" s="142" t="str">
        <f>IFERROR(__xludf.DUMMYFUNCTION("""COMPUTED_VALUE"""),"Ilocos Sur")</f>
        <v>Ilocos Sur</v>
      </c>
      <c r="D22" s="142" t="str">
        <f>IFERROR(__xludf.DUMMYFUNCTION("""COMPUTED_VALUE"""),"La Union")</f>
        <v>La Union</v>
      </c>
      <c r="E22" s="142" t="str">
        <f>IFERROR(__xludf.DUMMYFUNCTION("""COMPUTED_VALUE"""),"Pangasinan")</f>
        <v>Pangasinan</v>
      </c>
      <c r="F22" s="8"/>
      <c r="G22" s="8"/>
      <c r="H22" s="8"/>
    </row>
    <row r="23">
      <c r="A23" s="142" t="s">
        <v>143</v>
      </c>
      <c r="B23" s="142" t="str">
        <f>IFERROR(__xludf.DUMMYFUNCTION("""COMPUTED_VALUE"""),"Ilocos Norte")</f>
        <v>Ilocos Norte</v>
      </c>
      <c r="C23" s="142" t="str">
        <f>IFERROR(__xludf.DUMMYFUNCTION("""COMPUTED_VALUE"""),"Ilocos Sur")</f>
        <v>Ilocos Sur</v>
      </c>
      <c r="D23" s="142" t="str">
        <f>IFERROR(__xludf.DUMMYFUNCTION("""COMPUTED_VALUE"""),"La Union")</f>
        <v>La Union</v>
      </c>
      <c r="E23" s="142" t="str">
        <f>IFERROR(__xludf.DUMMYFUNCTION("""COMPUTED_VALUE"""),"Pangasinan")</f>
        <v>Pangasinan</v>
      </c>
      <c r="F23" s="8"/>
      <c r="G23" s="8"/>
      <c r="H23" s="8"/>
    </row>
    <row r="24">
      <c r="A24" s="142" t="s">
        <v>143</v>
      </c>
      <c r="B24" s="142" t="str">
        <f>IFERROR(__xludf.DUMMYFUNCTION("""COMPUTED_VALUE"""),"Ilocos Norte")</f>
        <v>Ilocos Norte</v>
      </c>
      <c r="C24" s="142" t="str">
        <f>IFERROR(__xludf.DUMMYFUNCTION("""COMPUTED_VALUE"""),"Ilocos Sur")</f>
        <v>Ilocos Sur</v>
      </c>
      <c r="D24" s="142" t="str">
        <f>IFERROR(__xludf.DUMMYFUNCTION("""COMPUTED_VALUE"""),"La Union")</f>
        <v>La Union</v>
      </c>
      <c r="E24" s="142" t="str">
        <f>IFERROR(__xludf.DUMMYFUNCTION("""COMPUTED_VALUE"""),"Pangasinan")</f>
        <v>Pangasinan</v>
      </c>
      <c r="F24" s="8"/>
      <c r="G24" s="8"/>
      <c r="H24" s="8"/>
    </row>
    <row r="25">
      <c r="A25" s="142" t="s">
        <v>143</v>
      </c>
      <c r="B25" s="142" t="str">
        <f>IFERROR(__xludf.DUMMYFUNCTION("""COMPUTED_VALUE"""),"Ilocos Norte")</f>
        <v>Ilocos Norte</v>
      </c>
      <c r="C25" s="142" t="str">
        <f>IFERROR(__xludf.DUMMYFUNCTION("""COMPUTED_VALUE"""),"Ilocos Sur")</f>
        <v>Ilocos Sur</v>
      </c>
      <c r="D25" s="142" t="str">
        <f>IFERROR(__xludf.DUMMYFUNCTION("""COMPUTED_VALUE"""),"La Union")</f>
        <v>La Union</v>
      </c>
      <c r="E25" s="142" t="str">
        <f>IFERROR(__xludf.DUMMYFUNCTION("""COMPUTED_VALUE"""),"Pangasinan")</f>
        <v>Pangasinan</v>
      </c>
      <c r="F25" s="8"/>
      <c r="G25" s="8"/>
      <c r="H25" s="8"/>
    </row>
    <row r="26">
      <c r="A26" s="142" t="s">
        <v>143</v>
      </c>
      <c r="B26" s="142" t="str">
        <f>IFERROR(__xludf.DUMMYFUNCTION("""COMPUTED_VALUE"""),"Ilocos Norte")</f>
        <v>Ilocos Norte</v>
      </c>
      <c r="C26" s="142" t="str">
        <f>IFERROR(__xludf.DUMMYFUNCTION("""COMPUTED_VALUE"""),"Ilocos Sur")</f>
        <v>Ilocos Sur</v>
      </c>
      <c r="D26" s="142" t="str">
        <f>IFERROR(__xludf.DUMMYFUNCTION("""COMPUTED_VALUE"""),"La Union")</f>
        <v>La Union</v>
      </c>
      <c r="E26" s="142" t="str">
        <f>IFERROR(__xludf.DUMMYFUNCTION("""COMPUTED_VALUE"""),"Pangasinan")</f>
        <v>Pangasinan</v>
      </c>
      <c r="F26" s="8"/>
      <c r="G26" s="8"/>
      <c r="H26" s="8"/>
    </row>
    <row r="27">
      <c r="A27" s="142" t="s">
        <v>143</v>
      </c>
      <c r="B27" s="142" t="str">
        <f>IFERROR(__xludf.DUMMYFUNCTION("""COMPUTED_VALUE"""),"Ilocos Norte")</f>
        <v>Ilocos Norte</v>
      </c>
      <c r="C27" s="142" t="str">
        <f>IFERROR(__xludf.DUMMYFUNCTION("""COMPUTED_VALUE"""),"Ilocos Sur")</f>
        <v>Ilocos Sur</v>
      </c>
      <c r="D27" s="142" t="str">
        <f>IFERROR(__xludf.DUMMYFUNCTION("""COMPUTED_VALUE"""),"La Union")</f>
        <v>La Union</v>
      </c>
      <c r="E27" s="142" t="str">
        <f>IFERROR(__xludf.DUMMYFUNCTION("""COMPUTED_VALUE"""),"Pangasinan")</f>
        <v>Pangasinan</v>
      </c>
      <c r="F27" s="8"/>
      <c r="G27" s="8"/>
      <c r="H27" s="8"/>
    </row>
    <row r="28">
      <c r="A28" s="142" t="s">
        <v>143</v>
      </c>
      <c r="B28" s="142" t="str">
        <f>IFERROR(__xludf.DUMMYFUNCTION("""COMPUTED_VALUE"""),"Ilocos Norte")</f>
        <v>Ilocos Norte</v>
      </c>
      <c r="C28" s="142" t="str">
        <f>IFERROR(__xludf.DUMMYFUNCTION("""COMPUTED_VALUE"""),"Ilocos Sur")</f>
        <v>Ilocos Sur</v>
      </c>
      <c r="D28" s="142" t="str">
        <f>IFERROR(__xludf.DUMMYFUNCTION("""COMPUTED_VALUE"""),"La Union")</f>
        <v>La Union</v>
      </c>
      <c r="E28" s="142" t="str">
        <f>IFERROR(__xludf.DUMMYFUNCTION("""COMPUTED_VALUE"""),"Pangasinan")</f>
        <v>Pangasinan</v>
      </c>
      <c r="F28" s="8"/>
      <c r="G28" s="8"/>
      <c r="H28" s="8"/>
    </row>
    <row r="29">
      <c r="A29" s="142" t="s">
        <v>143</v>
      </c>
      <c r="B29" s="142" t="str">
        <f>IFERROR(__xludf.DUMMYFUNCTION("""COMPUTED_VALUE"""),"Ilocos Norte")</f>
        <v>Ilocos Norte</v>
      </c>
      <c r="C29" s="142" t="str">
        <f>IFERROR(__xludf.DUMMYFUNCTION("""COMPUTED_VALUE"""),"Ilocos Sur")</f>
        <v>Ilocos Sur</v>
      </c>
      <c r="D29" s="142" t="str">
        <f>IFERROR(__xludf.DUMMYFUNCTION("""COMPUTED_VALUE"""),"La Union")</f>
        <v>La Union</v>
      </c>
      <c r="E29" s="142" t="str">
        <f>IFERROR(__xludf.DUMMYFUNCTION("""COMPUTED_VALUE"""),"Pangasinan")</f>
        <v>Pangasinan</v>
      </c>
      <c r="F29" s="8"/>
      <c r="G29" s="8"/>
      <c r="H29" s="8"/>
    </row>
    <row r="30">
      <c r="A30" s="142" t="s">
        <v>143</v>
      </c>
      <c r="B30" s="142" t="str">
        <f>IFERROR(__xludf.DUMMYFUNCTION("""COMPUTED_VALUE"""),"Ilocos Norte")</f>
        <v>Ilocos Norte</v>
      </c>
      <c r="C30" s="142" t="str">
        <f>IFERROR(__xludf.DUMMYFUNCTION("""COMPUTED_VALUE"""),"Ilocos Sur")</f>
        <v>Ilocos Sur</v>
      </c>
      <c r="D30" s="142" t="str">
        <f>IFERROR(__xludf.DUMMYFUNCTION("""COMPUTED_VALUE"""),"La Union")</f>
        <v>La Union</v>
      </c>
      <c r="E30" s="142" t="str">
        <f>IFERROR(__xludf.DUMMYFUNCTION("""COMPUTED_VALUE"""),"Pangasinan")</f>
        <v>Pangasinan</v>
      </c>
      <c r="F30" s="8"/>
      <c r="G30" s="8"/>
      <c r="H30" s="8"/>
    </row>
    <row r="31">
      <c r="A31" s="142" t="s">
        <v>143</v>
      </c>
      <c r="B31" s="142" t="str">
        <f>IFERROR(__xludf.DUMMYFUNCTION("""COMPUTED_VALUE"""),"Ilocos Norte")</f>
        <v>Ilocos Norte</v>
      </c>
      <c r="C31" s="142" t="str">
        <f>IFERROR(__xludf.DUMMYFUNCTION("""COMPUTED_VALUE"""),"Ilocos Sur")</f>
        <v>Ilocos Sur</v>
      </c>
      <c r="D31" s="142" t="str">
        <f>IFERROR(__xludf.DUMMYFUNCTION("""COMPUTED_VALUE"""),"La Union")</f>
        <v>La Union</v>
      </c>
      <c r="E31" s="142" t="str">
        <f>IFERROR(__xludf.DUMMYFUNCTION("""COMPUTED_VALUE"""),"Pangasinan")</f>
        <v>Pangasinan</v>
      </c>
      <c r="F31" s="8"/>
      <c r="G31" s="8"/>
      <c r="H31" s="8"/>
    </row>
    <row r="32">
      <c r="A32" s="142" t="s">
        <v>143</v>
      </c>
      <c r="B32" s="142" t="str">
        <f>IFERROR(__xludf.DUMMYFUNCTION("""COMPUTED_VALUE"""),"Ilocos Norte")</f>
        <v>Ilocos Norte</v>
      </c>
      <c r="C32" s="142" t="str">
        <f>IFERROR(__xludf.DUMMYFUNCTION("""COMPUTED_VALUE"""),"Ilocos Sur")</f>
        <v>Ilocos Sur</v>
      </c>
      <c r="D32" s="142" t="str">
        <f>IFERROR(__xludf.DUMMYFUNCTION("""COMPUTED_VALUE"""),"La Union")</f>
        <v>La Union</v>
      </c>
      <c r="E32" s="142" t="str">
        <f>IFERROR(__xludf.DUMMYFUNCTION("""COMPUTED_VALUE"""),"Pangasinan")</f>
        <v>Pangasinan</v>
      </c>
      <c r="F32" s="8"/>
      <c r="G32" s="8"/>
      <c r="H32" s="8"/>
    </row>
    <row r="33">
      <c r="A33" s="142" t="s">
        <v>143</v>
      </c>
      <c r="B33" s="142" t="str">
        <f>IFERROR(__xludf.DUMMYFUNCTION("""COMPUTED_VALUE"""),"Ilocos Norte")</f>
        <v>Ilocos Norte</v>
      </c>
      <c r="C33" s="142" t="str">
        <f>IFERROR(__xludf.DUMMYFUNCTION("""COMPUTED_VALUE"""),"Ilocos Sur")</f>
        <v>Ilocos Sur</v>
      </c>
      <c r="D33" s="142" t="str">
        <f>IFERROR(__xludf.DUMMYFUNCTION("""COMPUTED_VALUE"""),"La Union")</f>
        <v>La Union</v>
      </c>
      <c r="E33" s="142" t="str">
        <f>IFERROR(__xludf.DUMMYFUNCTION("""COMPUTED_VALUE"""),"Pangasinan")</f>
        <v>Pangasinan</v>
      </c>
      <c r="F33" s="8"/>
      <c r="G33" s="8"/>
      <c r="H33" s="8"/>
    </row>
    <row r="34">
      <c r="A34" s="142" t="s">
        <v>143</v>
      </c>
      <c r="B34" s="142" t="str">
        <f>IFERROR(__xludf.DUMMYFUNCTION("""COMPUTED_VALUE"""),"Ilocos Norte")</f>
        <v>Ilocos Norte</v>
      </c>
      <c r="C34" s="142" t="str">
        <f>IFERROR(__xludf.DUMMYFUNCTION("""COMPUTED_VALUE"""),"Ilocos Sur")</f>
        <v>Ilocos Sur</v>
      </c>
      <c r="D34" s="142" t="str">
        <f>IFERROR(__xludf.DUMMYFUNCTION("""COMPUTED_VALUE"""),"La Union")</f>
        <v>La Union</v>
      </c>
      <c r="E34" s="142" t="str">
        <f>IFERROR(__xludf.DUMMYFUNCTION("""COMPUTED_VALUE"""),"Pangasinan")</f>
        <v>Pangasinan</v>
      </c>
      <c r="F34" s="8"/>
      <c r="G34" s="8"/>
      <c r="H34" s="8"/>
    </row>
    <row r="35">
      <c r="A35" s="142" t="s">
        <v>143</v>
      </c>
      <c r="B35" s="142" t="str">
        <f>IFERROR(__xludf.DUMMYFUNCTION("""COMPUTED_VALUE"""),"Ilocos Norte")</f>
        <v>Ilocos Norte</v>
      </c>
      <c r="C35" s="142" t="str">
        <f>IFERROR(__xludf.DUMMYFUNCTION("""COMPUTED_VALUE"""),"Ilocos Sur")</f>
        <v>Ilocos Sur</v>
      </c>
      <c r="D35" s="142" t="str">
        <f>IFERROR(__xludf.DUMMYFUNCTION("""COMPUTED_VALUE"""),"La Union")</f>
        <v>La Union</v>
      </c>
      <c r="E35" s="142" t="str">
        <f>IFERROR(__xludf.DUMMYFUNCTION("""COMPUTED_VALUE"""),"Pangasinan")</f>
        <v>Pangasinan</v>
      </c>
      <c r="F35" s="8"/>
      <c r="G35" s="8"/>
      <c r="H35" s="8"/>
    </row>
    <row r="36">
      <c r="A36" s="142" t="s">
        <v>143</v>
      </c>
      <c r="B36" s="142" t="str">
        <f>IFERROR(__xludf.DUMMYFUNCTION("""COMPUTED_VALUE"""),"Ilocos Norte")</f>
        <v>Ilocos Norte</v>
      </c>
      <c r="C36" s="142" t="str">
        <f>IFERROR(__xludf.DUMMYFUNCTION("""COMPUTED_VALUE"""),"Ilocos Sur")</f>
        <v>Ilocos Sur</v>
      </c>
      <c r="D36" s="142" t="str">
        <f>IFERROR(__xludf.DUMMYFUNCTION("""COMPUTED_VALUE"""),"La Union")</f>
        <v>La Union</v>
      </c>
      <c r="E36" s="142" t="str">
        <f>IFERROR(__xludf.DUMMYFUNCTION("""COMPUTED_VALUE"""),"Pangasinan")</f>
        <v>Pangasinan</v>
      </c>
      <c r="F36" s="8"/>
      <c r="G36" s="8"/>
      <c r="H36" s="8"/>
    </row>
    <row r="37">
      <c r="A37" s="142" t="s">
        <v>143</v>
      </c>
      <c r="B37" s="142" t="str">
        <f>IFERROR(__xludf.DUMMYFUNCTION("""COMPUTED_VALUE"""),"Ilocos Norte")</f>
        <v>Ilocos Norte</v>
      </c>
      <c r="C37" s="142" t="str">
        <f>IFERROR(__xludf.DUMMYFUNCTION("""COMPUTED_VALUE"""),"Ilocos Sur")</f>
        <v>Ilocos Sur</v>
      </c>
      <c r="D37" s="142" t="str">
        <f>IFERROR(__xludf.DUMMYFUNCTION("""COMPUTED_VALUE"""),"La Union")</f>
        <v>La Union</v>
      </c>
      <c r="E37" s="142" t="str">
        <f>IFERROR(__xludf.DUMMYFUNCTION("""COMPUTED_VALUE"""),"Pangasinan")</f>
        <v>Pangasinan</v>
      </c>
      <c r="F37" s="8"/>
      <c r="G37" s="8"/>
      <c r="H37" s="8"/>
    </row>
    <row r="38">
      <c r="A38" s="142" t="s">
        <v>143</v>
      </c>
      <c r="B38" s="142" t="str">
        <f>IFERROR(__xludf.DUMMYFUNCTION("""COMPUTED_VALUE"""),"Ilocos Norte")</f>
        <v>Ilocos Norte</v>
      </c>
      <c r="C38" s="142" t="str">
        <f>IFERROR(__xludf.DUMMYFUNCTION("""COMPUTED_VALUE"""),"Ilocos Sur")</f>
        <v>Ilocos Sur</v>
      </c>
      <c r="D38" s="142" t="str">
        <f>IFERROR(__xludf.DUMMYFUNCTION("""COMPUTED_VALUE"""),"La Union")</f>
        <v>La Union</v>
      </c>
      <c r="E38" s="142" t="str">
        <f>IFERROR(__xludf.DUMMYFUNCTION("""COMPUTED_VALUE"""),"Pangasinan")</f>
        <v>Pangasinan</v>
      </c>
      <c r="F38" s="8"/>
      <c r="G38" s="8"/>
      <c r="H38" s="8"/>
    </row>
    <row r="39">
      <c r="A39" s="142" t="s">
        <v>143</v>
      </c>
      <c r="B39" s="142" t="str">
        <f>IFERROR(__xludf.DUMMYFUNCTION("""COMPUTED_VALUE"""),"Ilocos Norte")</f>
        <v>Ilocos Norte</v>
      </c>
      <c r="C39" s="142" t="str">
        <f>IFERROR(__xludf.DUMMYFUNCTION("""COMPUTED_VALUE"""),"Ilocos Sur")</f>
        <v>Ilocos Sur</v>
      </c>
      <c r="D39" s="142" t="str">
        <f>IFERROR(__xludf.DUMMYFUNCTION("""COMPUTED_VALUE"""),"La Union")</f>
        <v>La Union</v>
      </c>
      <c r="E39" s="142" t="str">
        <f>IFERROR(__xludf.DUMMYFUNCTION("""COMPUTED_VALUE"""),"Pangasinan")</f>
        <v>Pangasinan</v>
      </c>
      <c r="F39" s="8"/>
      <c r="G39" s="8"/>
      <c r="H39" s="8"/>
    </row>
    <row r="40">
      <c r="A40" s="142" t="s">
        <v>481</v>
      </c>
      <c r="B40" s="142" t="str">
        <f>IFERROR(__xludf.DUMMYFUNCTION("""COMPUTED_VALUE"""),"Batanes")</f>
        <v>Batanes</v>
      </c>
      <c r="C40" s="142" t="str">
        <f>IFERROR(__xludf.DUMMYFUNCTION("""COMPUTED_VALUE"""),"Cagayan")</f>
        <v>Cagayan</v>
      </c>
      <c r="D40" s="142" t="str">
        <f>IFERROR(__xludf.DUMMYFUNCTION("""COMPUTED_VALUE"""),"Isabela")</f>
        <v>Isabela</v>
      </c>
      <c r="E40" s="142" t="str">
        <f>IFERROR(__xludf.DUMMYFUNCTION("""COMPUTED_VALUE"""),"Nueva Vizcaya")</f>
        <v>Nueva Vizcaya</v>
      </c>
      <c r="F40" s="142" t="str">
        <f>IFERROR(__xludf.DUMMYFUNCTION("""COMPUTED_VALUE"""),"Quirino")</f>
        <v>Quirino</v>
      </c>
      <c r="G40" s="8"/>
      <c r="H40" s="8"/>
    </row>
    <row r="41">
      <c r="A41" s="142" t="s">
        <v>293</v>
      </c>
      <c r="B41" s="142" t="str">
        <f>IFERROR(__xludf.DUMMYFUNCTION("""COMPUTED_VALUE"""),"Bataan")</f>
        <v>Bataan</v>
      </c>
      <c r="C41" s="142" t="str">
        <f>IFERROR(__xludf.DUMMYFUNCTION("""COMPUTED_VALUE"""),"Bulacan")</f>
        <v>Bulacan</v>
      </c>
      <c r="D41" s="142" t="str">
        <f>IFERROR(__xludf.DUMMYFUNCTION("""COMPUTED_VALUE"""),"Nueva Ecija")</f>
        <v>Nueva Ecija</v>
      </c>
      <c r="E41" s="142" t="str">
        <f>IFERROR(__xludf.DUMMYFUNCTION("""COMPUTED_VALUE"""),"Pampanga")</f>
        <v>Pampanga</v>
      </c>
      <c r="F41" s="142" t="str">
        <f>IFERROR(__xludf.DUMMYFUNCTION("""COMPUTED_VALUE"""),"Tarlac")</f>
        <v>Tarlac</v>
      </c>
      <c r="G41" s="142" t="str">
        <f>IFERROR(__xludf.DUMMYFUNCTION("""COMPUTED_VALUE"""),"Zambales")</f>
        <v>Zambales</v>
      </c>
      <c r="H41" s="142" t="str">
        <f>IFERROR(__xludf.DUMMYFUNCTION("""COMPUTED_VALUE"""),"Aurora")</f>
        <v>Aurora</v>
      </c>
    </row>
    <row r="42">
      <c r="A42" s="142" t="s">
        <v>257</v>
      </c>
      <c r="B42" s="142" t="str">
        <f>IFERROR(__xludf.DUMMYFUNCTION("""COMPUTED_VALUE"""),"Batangas")</f>
        <v>Batangas</v>
      </c>
      <c r="C42" s="142" t="str">
        <f>IFERROR(__xludf.DUMMYFUNCTION("""COMPUTED_VALUE"""),"Cavite")</f>
        <v>Cavite</v>
      </c>
      <c r="D42" s="142" t="str">
        <f>IFERROR(__xludf.DUMMYFUNCTION("""COMPUTED_VALUE"""),"Laguna")</f>
        <v>Laguna</v>
      </c>
      <c r="E42" s="142" t="str">
        <f>IFERROR(__xludf.DUMMYFUNCTION("""COMPUTED_VALUE"""),"Quezon")</f>
        <v>Quezon</v>
      </c>
      <c r="F42" s="8"/>
      <c r="G42" s="8"/>
      <c r="H42" s="8"/>
    </row>
    <row r="43">
      <c r="A43" s="142" t="s">
        <v>257</v>
      </c>
      <c r="B43" s="142" t="str">
        <f>IFERROR(__xludf.DUMMYFUNCTION("""COMPUTED_VALUE"""),"Batangas")</f>
        <v>Batangas</v>
      </c>
      <c r="C43" s="142" t="str">
        <f>IFERROR(__xludf.DUMMYFUNCTION("""COMPUTED_VALUE"""),"Cavite")</f>
        <v>Cavite</v>
      </c>
      <c r="D43" s="142" t="str">
        <f>IFERROR(__xludf.DUMMYFUNCTION("""COMPUTED_VALUE"""),"Laguna")</f>
        <v>Laguna</v>
      </c>
      <c r="E43" s="142" t="str">
        <f>IFERROR(__xludf.DUMMYFUNCTION("""COMPUTED_VALUE"""),"Quezon")</f>
        <v>Quezon</v>
      </c>
      <c r="F43" s="8"/>
      <c r="G43" s="8"/>
      <c r="H43" s="8"/>
    </row>
    <row r="44">
      <c r="A44" s="142" t="s">
        <v>257</v>
      </c>
      <c r="B44" s="142" t="str">
        <f>IFERROR(__xludf.DUMMYFUNCTION("""COMPUTED_VALUE"""),"Batangas")</f>
        <v>Batangas</v>
      </c>
      <c r="C44" s="142" t="str">
        <f>IFERROR(__xludf.DUMMYFUNCTION("""COMPUTED_VALUE"""),"Cavite")</f>
        <v>Cavite</v>
      </c>
      <c r="D44" s="142" t="str">
        <f>IFERROR(__xludf.DUMMYFUNCTION("""COMPUTED_VALUE"""),"Laguna")</f>
        <v>Laguna</v>
      </c>
      <c r="E44" s="142" t="str">
        <f>IFERROR(__xludf.DUMMYFUNCTION("""COMPUTED_VALUE"""),"Quezon")</f>
        <v>Quezon</v>
      </c>
      <c r="F44" s="8"/>
      <c r="G44" s="8"/>
      <c r="H44" s="8"/>
    </row>
    <row r="45">
      <c r="A45" s="142" t="s">
        <v>257</v>
      </c>
      <c r="B45" s="142" t="str">
        <f>IFERROR(__xludf.DUMMYFUNCTION("""COMPUTED_VALUE"""),"Batangas")</f>
        <v>Batangas</v>
      </c>
      <c r="C45" s="142" t="str">
        <f>IFERROR(__xludf.DUMMYFUNCTION("""COMPUTED_VALUE"""),"Cavite")</f>
        <v>Cavite</v>
      </c>
      <c r="D45" s="142" t="str">
        <f>IFERROR(__xludf.DUMMYFUNCTION("""COMPUTED_VALUE"""),"Laguna")</f>
        <v>Laguna</v>
      </c>
      <c r="E45" s="142" t="str">
        <f>IFERROR(__xludf.DUMMYFUNCTION("""COMPUTED_VALUE"""),"Quezon")</f>
        <v>Quezon</v>
      </c>
      <c r="F45" s="8"/>
      <c r="G45" s="8"/>
      <c r="H45" s="8"/>
    </row>
    <row r="46">
      <c r="A46" s="142" t="s">
        <v>257</v>
      </c>
      <c r="B46" s="142" t="str">
        <f>IFERROR(__xludf.DUMMYFUNCTION("""COMPUTED_VALUE"""),"Batangas")</f>
        <v>Batangas</v>
      </c>
      <c r="C46" s="142" t="str">
        <f>IFERROR(__xludf.DUMMYFUNCTION("""COMPUTED_VALUE"""),"Cavite")</f>
        <v>Cavite</v>
      </c>
      <c r="D46" s="142" t="str">
        <f>IFERROR(__xludf.DUMMYFUNCTION("""COMPUTED_VALUE"""),"Laguna")</f>
        <v>Laguna</v>
      </c>
      <c r="E46" s="142" t="str">
        <f>IFERROR(__xludf.DUMMYFUNCTION("""COMPUTED_VALUE"""),"Quezon")</f>
        <v>Quezon</v>
      </c>
      <c r="F46" s="8"/>
      <c r="G46" s="8"/>
      <c r="H46" s="8"/>
    </row>
    <row r="47">
      <c r="A47" s="142" t="s">
        <v>257</v>
      </c>
      <c r="B47" s="142" t="str">
        <f>IFERROR(__xludf.DUMMYFUNCTION("""COMPUTED_VALUE"""),"Batangas")</f>
        <v>Batangas</v>
      </c>
      <c r="C47" s="142" t="str">
        <f>IFERROR(__xludf.DUMMYFUNCTION("""COMPUTED_VALUE"""),"Cavite")</f>
        <v>Cavite</v>
      </c>
      <c r="D47" s="142" t="str">
        <f>IFERROR(__xludf.DUMMYFUNCTION("""COMPUTED_VALUE"""),"Laguna")</f>
        <v>Laguna</v>
      </c>
      <c r="E47" s="142" t="str">
        <f>IFERROR(__xludf.DUMMYFUNCTION("""COMPUTED_VALUE"""),"Quezon")</f>
        <v>Quezon</v>
      </c>
      <c r="F47" s="8"/>
      <c r="G47" s="8"/>
      <c r="H47" s="8"/>
    </row>
    <row r="48">
      <c r="A48" s="142" t="s">
        <v>257</v>
      </c>
      <c r="B48" s="142" t="str">
        <f>IFERROR(__xludf.DUMMYFUNCTION("""COMPUTED_VALUE"""),"Batangas")</f>
        <v>Batangas</v>
      </c>
      <c r="C48" s="142" t="str">
        <f>IFERROR(__xludf.DUMMYFUNCTION("""COMPUTED_VALUE"""),"Cavite")</f>
        <v>Cavite</v>
      </c>
      <c r="D48" s="142" t="str">
        <f>IFERROR(__xludf.DUMMYFUNCTION("""COMPUTED_VALUE"""),"Laguna")</f>
        <v>Laguna</v>
      </c>
      <c r="E48" s="142" t="str">
        <f>IFERROR(__xludf.DUMMYFUNCTION("""COMPUTED_VALUE"""),"Quezon")</f>
        <v>Quezon</v>
      </c>
      <c r="F48" s="8"/>
      <c r="G48" s="8"/>
      <c r="H48" s="8"/>
    </row>
    <row r="49">
      <c r="A49" s="142" t="s">
        <v>522</v>
      </c>
      <c r="B49" s="142" t="str">
        <f>IFERROR(__xludf.DUMMYFUNCTION("""COMPUTED_VALUE"""),"Marinduque")</f>
        <v>Marinduque</v>
      </c>
      <c r="C49" s="142" t="str">
        <f>IFERROR(__xludf.DUMMYFUNCTION("""COMPUTED_VALUE"""),"Occidental Mindoro")</f>
        <v>Occidental Mindoro</v>
      </c>
      <c r="D49" s="142" t="str">
        <f>IFERROR(__xludf.DUMMYFUNCTION("""COMPUTED_VALUE"""),"Oriental Mindoro")</f>
        <v>Oriental Mindoro</v>
      </c>
      <c r="E49" s="142" t="str">
        <f>IFERROR(__xludf.DUMMYFUNCTION("""COMPUTED_VALUE"""),"Palawan")</f>
        <v>Palawan</v>
      </c>
      <c r="F49" s="142" t="str">
        <f>IFERROR(__xludf.DUMMYFUNCTION("""COMPUTED_VALUE"""),"Romblon")</f>
        <v>Romblon</v>
      </c>
      <c r="G49" s="8"/>
      <c r="H49" s="8"/>
    </row>
    <row r="50">
      <c r="A50" s="142" t="s">
        <v>522</v>
      </c>
      <c r="B50" s="142" t="str">
        <f>IFERROR(__xludf.DUMMYFUNCTION("""COMPUTED_VALUE"""),"Marinduque")</f>
        <v>Marinduque</v>
      </c>
      <c r="C50" s="142" t="str">
        <f>IFERROR(__xludf.DUMMYFUNCTION("""COMPUTED_VALUE"""),"Occidental Mindoro")</f>
        <v>Occidental Mindoro</v>
      </c>
      <c r="D50" s="142" t="str">
        <f>IFERROR(__xludf.DUMMYFUNCTION("""COMPUTED_VALUE"""),"Oriental Mindoro")</f>
        <v>Oriental Mindoro</v>
      </c>
      <c r="E50" s="142" t="str">
        <f>IFERROR(__xludf.DUMMYFUNCTION("""COMPUTED_VALUE"""),"Palawan")</f>
        <v>Palawan</v>
      </c>
      <c r="F50" s="142" t="str">
        <f>IFERROR(__xludf.DUMMYFUNCTION("""COMPUTED_VALUE"""),"Romblon")</f>
        <v>Romblon</v>
      </c>
      <c r="G50" s="8"/>
      <c r="H50" s="8"/>
    </row>
    <row r="51">
      <c r="A51" s="142" t="s">
        <v>535</v>
      </c>
      <c r="B51" s="142" t="str">
        <f>IFERROR(__xludf.DUMMYFUNCTION("""COMPUTED_VALUE"""),"Albay")</f>
        <v>Albay</v>
      </c>
      <c r="C51" s="142" t="str">
        <f>IFERROR(__xludf.DUMMYFUNCTION("""COMPUTED_VALUE"""),"Camarines Norte")</f>
        <v>Camarines Norte</v>
      </c>
      <c r="D51" s="142" t="str">
        <f>IFERROR(__xludf.DUMMYFUNCTION("""COMPUTED_VALUE"""),"Camarines Sur")</f>
        <v>Camarines Sur</v>
      </c>
      <c r="E51" s="142" t="str">
        <f>IFERROR(__xludf.DUMMYFUNCTION("""COMPUTED_VALUE"""),"Catanduanes")</f>
        <v>Catanduanes</v>
      </c>
      <c r="F51" s="142" t="str">
        <f>IFERROR(__xludf.DUMMYFUNCTION("""COMPUTED_VALUE"""),"Masbate")</f>
        <v>Masbate</v>
      </c>
      <c r="G51" s="142" t="str">
        <f>IFERROR(__xludf.DUMMYFUNCTION("""COMPUTED_VALUE"""),"Sorsogon")</f>
        <v>Sorsogon</v>
      </c>
      <c r="H51" s="8"/>
    </row>
    <row r="52">
      <c r="A52" s="142" t="s">
        <v>535</v>
      </c>
      <c r="B52" s="142" t="str">
        <f>IFERROR(__xludf.DUMMYFUNCTION("""COMPUTED_VALUE"""),"Albay")</f>
        <v>Albay</v>
      </c>
      <c r="C52" s="142" t="str">
        <f>IFERROR(__xludf.DUMMYFUNCTION("""COMPUTED_VALUE"""),"Camarines Norte")</f>
        <v>Camarines Norte</v>
      </c>
      <c r="D52" s="142" t="str">
        <f>IFERROR(__xludf.DUMMYFUNCTION("""COMPUTED_VALUE"""),"Camarines Sur")</f>
        <v>Camarines Sur</v>
      </c>
      <c r="E52" s="142" t="str">
        <f>IFERROR(__xludf.DUMMYFUNCTION("""COMPUTED_VALUE"""),"Catanduanes")</f>
        <v>Catanduanes</v>
      </c>
      <c r="F52" s="142" t="str">
        <f>IFERROR(__xludf.DUMMYFUNCTION("""COMPUTED_VALUE"""),"Masbate")</f>
        <v>Masbate</v>
      </c>
      <c r="G52" s="142" t="str">
        <f>IFERROR(__xludf.DUMMYFUNCTION("""COMPUTED_VALUE"""),"Sorsogon")</f>
        <v>Sorsogon</v>
      </c>
      <c r="H52" s="8"/>
    </row>
    <row r="53">
      <c r="A53" s="142" t="s">
        <v>535</v>
      </c>
      <c r="B53" s="142" t="str">
        <f>IFERROR(__xludf.DUMMYFUNCTION("""COMPUTED_VALUE"""),"Albay")</f>
        <v>Albay</v>
      </c>
      <c r="C53" s="142" t="str">
        <f>IFERROR(__xludf.DUMMYFUNCTION("""COMPUTED_VALUE"""),"Camarines Norte")</f>
        <v>Camarines Norte</v>
      </c>
      <c r="D53" s="142" t="str">
        <f>IFERROR(__xludf.DUMMYFUNCTION("""COMPUTED_VALUE"""),"Camarines Sur")</f>
        <v>Camarines Sur</v>
      </c>
      <c r="E53" s="142" t="str">
        <f>IFERROR(__xludf.DUMMYFUNCTION("""COMPUTED_VALUE"""),"Catanduanes")</f>
        <v>Catanduanes</v>
      </c>
      <c r="F53" s="142" t="str">
        <f>IFERROR(__xludf.DUMMYFUNCTION("""COMPUTED_VALUE"""),"Masbate")</f>
        <v>Masbate</v>
      </c>
      <c r="G53" s="142" t="str">
        <f>IFERROR(__xludf.DUMMYFUNCTION("""COMPUTED_VALUE"""),"Sorsogon")</f>
        <v>Sorsogon</v>
      </c>
      <c r="H53" s="8"/>
    </row>
    <row r="54">
      <c r="A54" s="142" t="s">
        <v>535</v>
      </c>
      <c r="B54" s="142" t="str">
        <f>IFERROR(__xludf.DUMMYFUNCTION("""COMPUTED_VALUE"""),"Albay")</f>
        <v>Albay</v>
      </c>
      <c r="C54" s="142" t="str">
        <f>IFERROR(__xludf.DUMMYFUNCTION("""COMPUTED_VALUE"""),"Camarines Norte")</f>
        <v>Camarines Norte</v>
      </c>
      <c r="D54" s="142" t="str">
        <f>IFERROR(__xludf.DUMMYFUNCTION("""COMPUTED_VALUE"""),"Camarines Sur")</f>
        <v>Camarines Sur</v>
      </c>
      <c r="E54" s="142" t="str">
        <f>IFERROR(__xludf.DUMMYFUNCTION("""COMPUTED_VALUE"""),"Catanduanes")</f>
        <v>Catanduanes</v>
      </c>
      <c r="F54" s="142" t="str">
        <f>IFERROR(__xludf.DUMMYFUNCTION("""COMPUTED_VALUE"""),"Masbate")</f>
        <v>Masbate</v>
      </c>
      <c r="G54" s="142" t="str">
        <f>IFERROR(__xludf.DUMMYFUNCTION("""COMPUTED_VALUE"""),"Sorsogon")</f>
        <v>Sorsogon</v>
      </c>
      <c r="H54" s="8"/>
    </row>
    <row r="55">
      <c r="A55" s="142" t="s">
        <v>535</v>
      </c>
      <c r="B55" s="142" t="str">
        <f>IFERROR(__xludf.DUMMYFUNCTION("""COMPUTED_VALUE"""),"Albay")</f>
        <v>Albay</v>
      </c>
      <c r="C55" s="142" t="str">
        <f>IFERROR(__xludf.DUMMYFUNCTION("""COMPUTED_VALUE"""),"Camarines Norte")</f>
        <v>Camarines Norte</v>
      </c>
      <c r="D55" s="142" t="str">
        <f>IFERROR(__xludf.DUMMYFUNCTION("""COMPUTED_VALUE"""),"Camarines Sur")</f>
        <v>Camarines Sur</v>
      </c>
      <c r="E55" s="142" t="str">
        <f>IFERROR(__xludf.DUMMYFUNCTION("""COMPUTED_VALUE"""),"Catanduanes")</f>
        <v>Catanduanes</v>
      </c>
      <c r="F55" s="142" t="str">
        <f>IFERROR(__xludf.DUMMYFUNCTION("""COMPUTED_VALUE"""),"Masbate")</f>
        <v>Masbate</v>
      </c>
      <c r="G55" s="142" t="str">
        <f>IFERROR(__xludf.DUMMYFUNCTION("""COMPUTED_VALUE"""),"Sorsogon")</f>
        <v>Sorsogon</v>
      </c>
      <c r="H55" s="8"/>
    </row>
    <row r="56">
      <c r="A56" s="142" t="s">
        <v>535</v>
      </c>
      <c r="B56" s="142" t="str">
        <f>IFERROR(__xludf.DUMMYFUNCTION("""COMPUTED_VALUE"""),"Albay")</f>
        <v>Albay</v>
      </c>
      <c r="C56" s="142" t="str">
        <f>IFERROR(__xludf.DUMMYFUNCTION("""COMPUTED_VALUE"""),"Camarines Norte")</f>
        <v>Camarines Norte</v>
      </c>
      <c r="D56" s="142" t="str">
        <f>IFERROR(__xludf.DUMMYFUNCTION("""COMPUTED_VALUE"""),"Camarines Sur")</f>
        <v>Camarines Sur</v>
      </c>
      <c r="E56" s="142" t="str">
        <f>IFERROR(__xludf.DUMMYFUNCTION("""COMPUTED_VALUE"""),"Catanduanes")</f>
        <v>Catanduanes</v>
      </c>
      <c r="F56" s="142" t="str">
        <f>IFERROR(__xludf.DUMMYFUNCTION("""COMPUTED_VALUE"""),"Masbate")</f>
        <v>Masbate</v>
      </c>
      <c r="G56" s="142" t="str">
        <f>IFERROR(__xludf.DUMMYFUNCTION("""COMPUTED_VALUE"""),"Sorsogon")</f>
        <v>Sorsogon</v>
      </c>
      <c r="H56" s="8"/>
    </row>
    <row r="57">
      <c r="A57" s="142" t="s">
        <v>535</v>
      </c>
      <c r="B57" s="142" t="str">
        <f>IFERROR(__xludf.DUMMYFUNCTION("""COMPUTED_VALUE"""),"Albay")</f>
        <v>Albay</v>
      </c>
      <c r="C57" s="142" t="str">
        <f>IFERROR(__xludf.DUMMYFUNCTION("""COMPUTED_VALUE"""),"Camarines Norte")</f>
        <v>Camarines Norte</v>
      </c>
      <c r="D57" s="142" t="str">
        <f>IFERROR(__xludf.DUMMYFUNCTION("""COMPUTED_VALUE"""),"Camarines Sur")</f>
        <v>Camarines Sur</v>
      </c>
      <c r="E57" s="142" t="str">
        <f>IFERROR(__xludf.DUMMYFUNCTION("""COMPUTED_VALUE"""),"Catanduanes")</f>
        <v>Catanduanes</v>
      </c>
      <c r="F57" s="142" t="str">
        <f>IFERROR(__xludf.DUMMYFUNCTION("""COMPUTED_VALUE"""),"Masbate")</f>
        <v>Masbate</v>
      </c>
      <c r="G57" s="142" t="str">
        <f>IFERROR(__xludf.DUMMYFUNCTION("""COMPUTED_VALUE"""),"Sorsogon")</f>
        <v>Sorsogon</v>
      </c>
      <c r="H57" s="8"/>
    </row>
    <row r="58">
      <c r="A58" s="142" t="s">
        <v>314</v>
      </c>
      <c r="B58" s="142" t="str">
        <f>IFERROR(__xludf.DUMMYFUNCTION("""COMPUTED_VALUE"""),"Aklan")</f>
        <v>Aklan</v>
      </c>
      <c r="C58" s="142" t="str">
        <f>IFERROR(__xludf.DUMMYFUNCTION("""COMPUTED_VALUE"""),"Antique")</f>
        <v>Antique</v>
      </c>
      <c r="D58" s="142" t="str">
        <f>IFERROR(__xludf.DUMMYFUNCTION("""COMPUTED_VALUE"""),"Capiz")</f>
        <v>Capiz</v>
      </c>
      <c r="E58" s="142" t="str">
        <f>IFERROR(__xludf.DUMMYFUNCTION("""COMPUTED_VALUE"""),"Iloilo")</f>
        <v>Iloilo</v>
      </c>
      <c r="F58" s="142" t="str">
        <f>IFERROR(__xludf.DUMMYFUNCTION("""COMPUTED_VALUE"""),"Guimaras")</f>
        <v>Guimaras</v>
      </c>
      <c r="G58" s="8"/>
      <c r="H58" s="8"/>
    </row>
    <row r="59">
      <c r="A59" s="142" t="s">
        <v>193</v>
      </c>
      <c r="B59" s="142" t="str">
        <f>IFERROR(__xludf.DUMMYFUNCTION("""COMPUTED_VALUE"""),"Bohol")</f>
        <v>Bohol</v>
      </c>
      <c r="C59" s="142" t="str">
        <f>IFERROR(__xludf.DUMMYFUNCTION("""COMPUTED_VALUE"""),"Cebu")</f>
        <v>Cebu</v>
      </c>
      <c r="D59" s="8"/>
      <c r="E59" s="8"/>
      <c r="F59" s="8"/>
      <c r="G59" s="8"/>
      <c r="H59" s="8"/>
    </row>
    <row r="60">
      <c r="A60" s="142" t="s">
        <v>193</v>
      </c>
      <c r="B60" s="142" t="str">
        <f>IFERROR(__xludf.DUMMYFUNCTION("""COMPUTED_VALUE"""),"Bohol")</f>
        <v>Bohol</v>
      </c>
      <c r="C60" s="142" t="str">
        <f>IFERROR(__xludf.DUMMYFUNCTION("""COMPUTED_VALUE"""),"Cebu")</f>
        <v>Cebu</v>
      </c>
      <c r="D60" s="8"/>
      <c r="E60" s="8"/>
      <c r="F60" s="8"/>
      <c r="G60" s="8"/>
      <c r="H60" s="8"/>
    </row>
    <row r="61">
      <c r="A61" s="142" t="s">
        <v>193</v>
      </c>
      <c r="B61" s="142" t="str">
        <f>IFERROR(__xludf.DUMMYFUNCTION("""COMPUTED_VALUE"""),"Bohol")</f>
        <v>Bohol</v>
      </c>
      <c r="C61" s="142" t="str">
        <f>IFERROR(__xludf.DUMMYFUNCTION("""COMPUTED_VALUE"""),"Cebu")</f>
        <v>Cebu</v>
      </c>
      <c r="D61" s="8"/>
      <c r="E61" s="8"/>
      <c r="F61" s="8"/>
      <c r="G61" s="8"/>
      <c r="H61" s="8"/>
    </row>
    <row r="62">
      <c r="A62" s="142" t="s">
        <v>193</v>
      </c>
      <c r="B62" s="142" t="str">
        <f>IFERROR(__xludf.DUMMYFUNCTION("""COMPUTED_VALUE"""),"Bohol")</f>
        <v>Bohol</v>
      </c>
      <c r="C62" s="142" t="str">
        <f>IFERROR(__xludf.DUMMYFUNCTION("""COMPUTED_VALUE"""),"Cebu")</f>
        <v>Cebu</v>
      </c>
      <c r="D62" s="8"/>
      <c r="E62" s="8"/>
      <c r="F62" s="8"/>
      <c r="G62" s="8"/>
      <c r="H62" s="8"/>
    </row>
    <row r="63">
      <c r="A63" s="142" t="s">
        <v>579</v>
      </c>
      <c r="B63" s="142" t="str">
        <f>IFERROR(__xludf.DUMMYFUNCTION("""COMPUTED_VALUE"""),"Eastern Samar")</f>
        <v>Eastern Samar</v>
      </c>
      <c r="C63" s="142" t="str">
        <f>IFERROR(__xludf.DUMMYFUNCTION("""COMPUTED_VALUE"""),"Leyte")</f>
        <v>Leyte</v>
      </c>
      <c r="D63" s="142" t="str">
        <f>IFERROR(__xludf.DUMMYFUNCTION("""COMPUTED_VALUE"""),"Northern Samar")</f>
        <v>Northern Samar</v>
      </c>
      <c r="E63" s="142" t="str">
        <f>IFERROR(__xludf.DUMMYFUNCTION("""COMPUTED_VALUE"""),"Samar")</f>
        <v>Samar</v>
      </c>
      <c r="F63" s="142" t="str">
        <f>IFERROR(__xludf.DUMMYFUNCTION("""COMPUTED_VALUE"""),"Southern Leyte")</f>
        <v>Southern Leyte</v>
      </c>
      <c r="G63" s="142" t="str">
        <f>IFERROR(__xludf.DUMMYFUNCTION("""COMPUTED_VALUE"""),"Biliran")</f>
        <v>Biliran</v>
      </c>
      <c r="H63" s="8"/>
    </row>
    <row r="64">
      <c r="A64" s="142" t="s">
        <v>579</v>
      </c>
      <c r="B64" s="142" t="str">
        <f>IFERROR(__xludf.DUMMYFUNCTION("""COMPUTED_VALUE"""),"Eastern Samar")</f>
        <v>Eastern Samar</v>
      </c>
      <c r="C64" s="142" t="str">
        <f>IFERROR(__xludf.DUMMYFUNCTION("""COMPUTED_VALUE"""),"Leyte")</f>
        <v>Leyte</v>
      </c>
      <c r="D64" s="142" t="str">
        <f>IFERROR(__xludf.DUMMYFUNCTION("""COMPUTED_VALUE"""),"Northern Samar")</f>
        <v>Northern Samar</v>
      </c>
      <c r="E64" s="142" t="str">
        <f>IFERROR(__xludf.DUMMYFUNCTION("""COMPUTED_VALUE"""),"Samar")</f>
        <v>Samar</v>
      </c>
      <c r="F64" s="142" t="str">
        <f>IFERROR(__xludf.DUMMYFUNCTION("""COMPUTED_VALUE"""),"Southern Leyte")</f>
        <v>Southern Leyte</v>
      </c>
      <c r="G64" s="142" t="str">
        <f>IFERROR(__xludf.DUMMYFUNCTION("""COMPUTED_VALUE"""),"Biliran")</f>
        <v>Biliran</v>
      </c>
      <c r="H64" s="8"/>
    </row>
    <row r="65">
      <c r="A65" s="142" t="s">
        <v>590</v>
      </c>
      <c r="B65" s="142" t="str">
        <f>IFERROR(__xludf.DUMMYFUNCTION("""COMPUTED_VALUE"""),"Zamboanga del Norte")</f>
        <v>Zamboanga del Norte</v>
      </c>
      <c r="C65" s="142" t="str">
        <f>IFERROR(__xludf.DUMMYFUNCTION("""COMPUTED_VALUE"""),"Zamboanga del Sur")</f>
        <v>Zamboanga del Sur</v>
      </c>
      <c r="D65" s="142" t="str">
        <f>IFERROR(__xludf.DUMMYFUNCTION("""COMPUTED_VALUE"""),"Zamboanga Sibugay")</f>
        <v>Zamboanga Sibugay</v>
      </c>
      <c r="E65" s="142" t="str">
        <f>IFERROR(__xludf.DUMMYFUNCTION("""COMPUTED_VALUE"""),"Basilan")</f>
        <v>Basilan</v>
      </c>
      <c r="F65" s="8"/>
      <c r="G65" s="8"/>
      <c r="H65" s="8"/>
    </row>
    <row r="66">
      <c r="A66" s="142" t="s">
        <v>590</v>
      </c>
      <c r="B66" s="142" t="str">
        <f>IFERROR(__xludf.DUMMYFUNCTION("""COMPUTED_VALUE"""),"Zamboanga del Norte")</f>
        <v>Zamboanga del Norte</v>
      </c>
      <c r="C66" s="142" t="str">
        <f>IFERROR(__xludf.DUMMYFUNCTION("""COMPUTED_VALUE"""),"Zamboanga del Sur")</f>
        <v>Zamboanga del Sur</v>
      </c>
      <c r="D66" s="142" t="str">
        <f>IFERROR(__xludf.DUMMYFUNCTION("""COMPUTED_VALUE"""),"Zamboanga Sibugay")</f>
        <v>Zamboanga Sibugay</v>
      </c>
      <c r="E66" s="142" t="str">
        <f>IFERROR(__xludf.DUMMYFUNCTION("""COMPUTED_VALUE"""),"Basilan")</f>
        <v>Basilan</v>
      </c>
      <c r="F66" s="8"/>
      <c r="G66" s="8"/>
      <c r="H66" s="8"/>
    </row>
    <row r="67">
      <c r="A67" s="142" t="s">
        <v>590</v>
      </c>
      <c r="B67" s="142" t="str">
        <f>IFERROR(__xludf.DUMMYFUNCTION("""COMPUTED_VALUE"""),"Zamboanga del Norte")</f>
        <v>Zamboanga del Norte</v>
      </c>
      <c r="C67" s="142" t="str">
        <f>IFERROR(__xludf.DUMMYFUNCTION("""COMPUTED_VALUE"""),"Zamboanga del Sur")</f>
        <v>Zamboanga del Sur</v>
      </c>
      <c r="D67" s="142" t="str">
        <f>IFERROR(__xludf.DUMMYFUNCTION("""COMPUTED_VALUE"""),"Zamboanga Sibugay")</f>
        <v>Zamboanga Sibugay</v>
      </c>
      <c r="E67" s="142" t="str">
        <f>IFERROR(__xludf.DUMMYFUNCTION("""COMPUTED_VALUE"""),"Basilan")</f>
        <v>Basilan</v>
      </c>
      <c r="F67" s="8"/>
      <c r="G67" s="8"/>
      <c r="H67" s="8"/>
    </row>
    <row r="68">
      <c r="A68" s="142" t="s">
        <v>171</v>
      </c>
      <c r="B68" s="142" t="str">
        <f>IFERROR(__xludf.DUMMYFUNCTION("""COMPUTED_VALUE"""),"Bukidnon")</f>
        <v>Bukidnon</v>
      </c>
      <c r="C68" s="142" t="str">
        <f>IFERROR(__xludf.DUMMYFUNCTION("""COMPUTED_VALUE"""),"Camiguin")</f>
        <v>Camiguin</v>
      </c>
      <c r="D68" s="142" t="str">
        <f>IFERROR(__xludf.DUMMYFUNCTION("""COMPUTED_VALUE"""),"Lanao del Norte")</f>
        <v>Lanao del Norte</v>
      </c>
      <c r="E68" s="142" t="str">
        <f>IFERROR(__xludf.DUMMYFUNCTION("""COMPUTED_VALUE"""),"Misamis Occidental")</f>
        <v>Misamis Occidental</v>
      </c>
      <c r="F68" s="142" t="str">
        <f>IFERROR(__xludf.DUMMYFUNCTION("""COMPUTED_VALUE"""),"Misamis Oriental")</f>
        <v>Misamis Oriental</v>
      </c>
      <c r="G68" s="8"/>
      <c r="H68" s="8"/>
    </row>
    <row r="69">
      <c r="A69" s="142" t="s">
        <v>171</v>
      </c>
      <c r="B69" s="142" t="str">
        <f>IFERROR(__xludf.DUMMYFUNCTION("""COMPUTED_VALUE"""),"Bukidnon")</f>
        <v>Bukidnon</v>
      </c>
      <c r="C69" s="142" t="str">
        <f>IFERROR(__xludf.DUMMYFUNCTION("""COMPUTED_VALUE"""),"Camiguin")</f>
        <v>Camiguin</v>
      </c>
      <c r="D69" s="142" t="str">
        <f>IFERROR(__xludf.DUMMYFUNCTION("""COMPUTED_VALUE"""),"Lanao del Norte")</f>
        <v>Lanao del Norte</v>
      </c>
      <c r="E69" s="142" t="str">
        <f>IFERROR(__xludf.DUMMYFUNCTION("""COMPUTED_VALUE"""),"Misamis Occidental")</f>
        <v>Misamis Occidental</v>
      </c>
      <c r="F69" s="142" t="str">
        <f>IFERROR(__xludf.DUMMYFUNCTION("""COMPUTED_VALUE"""),"Misamis Oriental")</f>
        <v>Misamis Oriental</v>
      </c>
      <c r="G69" s="8"/>
      <c r="H69" s="8"/>
    </row>
    <row r="70">
      <c r="A70" s="142" t="s">
        <v>171</v>
      </c>
      <c r="B70" s="142" t="str">
        <f>IFERROR(__xludf.DUMMYFUNCTION("""COMPUTED_VALUE"""),"Bukidnon")</f>
        <v>Bukidnon</v>
      </c>
      <c r="C70" s="142" t="str">
        <f>IFERROR(__xludf.DUMMYFUNCTION("""COMPUTED_VALUE"""),"Camiguin")</f>
        <v>Camiguin</v>
      </c>
      <c r="D70" s="142" t="str">
        <f>IFERROR(__xludf.DUMMYFUNCTION("""COMPUTED_VALUE"""),"Lanao del Norte")</f>
        <v>Lanao del Norte</v>
      </c>
      <c r="E70" s="142" t="str">
        <f>IFERROR(__xludf.DUMMYFUNCTION("""COMPUTED_VALUE"""),"Misamis Occidental")</f>
        <v>Misamis Occidental</v>
      </c>
      <c r="F70" s="142" t="str">
        <f>IFERROR(__xludf.DUMMYFUNCTION("""COMPUTED_VALUE"""),"Misamis Oriental")</f>
        <v>Misamis Oriental</v>
      </c>
      <c r="G70" s="8"/>
      <c r="H70" s="8"/>
    </row>
    <row r="71">
      <c r="A71" s="142" t="s">
        <v>330</v>
      </c>
      <c r="B71" s="142" t="str">
        <f>IFERROR(__xludf.DUMMYFUNCTION("""COMPUTED_VALUE"""),"Davao del Norte")</f>
        <v>Davao del Norte</v>
      </c>
      <c r="C71" s="142" t="str">
        <f>IFERROR(__xludf.DUMMYFUNCTION("""COMPUTED_VALUE"""),"Davao del Sur")</f>
        <v>Davao del Sur</v>
      </c>
      <c r="D71" s="142" t="str">
        <f>IFERROR(__xludf.DUMMYFUNCTION("""COMPUTED_VALUE"""),"Davao Oriental")</f>
        <v>Davao Oriental</v>
      </c>
      <c r="E71" s="142" t="str">
        <f>IFERROR(__xludf.DUMMYFUNCTION("""COMPUTED_VALUE"""),"Davao de Oro")</f>
        <v>Davao de Oro</v>
      </c>
      <c r="F71" s="142" t="str">
        <f>IFERROR(__xludf.DUMMYFUNCTION("""COMPUTED_VALUE"""),"Davao Occidental")</f>
        <v>Davao Occidental</v>
      </c>
      <c r="G71" s="8"/>
      <c r="H71" s="8"/>
    </row>
    <row r="72">
      <c r="A72" s="142" t="s">
        <v>619</v>
      </c>
      <c r="B72" s="142" t="str">
        <f>IFERROR(__xludf.DUMMYFUNCTION("""COMPUTED_VALUE"""),"Metro Manila")</f>
        <v>Metro Manila</v>
      </c>
      <c r="C72" s="8"/>
      <c r="D72" s="8"/>
      <c r="E72" s="8"/>
      <c r="F72" s="8"/>
      <c r="G72" s="8"/>
      <c r="H72" s="8"/>
    </row>
    <row r="73">
      <c r="A73" s="142" t="s">
        <v>625</v>
      </c>
      <c r="B73" s="142" t="str">
        <f>IFERROR(__xludf.DUMMYFUNCTION("""COMPUTED_VALUE"""),"Negros Occidental")</f>
        <v>Negros Occidental</v>
      </c>
      <c r="C73" s="142" t="str">
        <f>IFERROR(__xludf.DUMMYFUNCTION("""COMPUTED_VALUE"""),"Negros Oriental")</f>
        <v>Negros Oriental</v>
      </c>
      <c r="D73" s="142" t="str">
        <f>IFERROR(__xludf.DUMMYFUNCTION("""COMPUTED_VALUE"""),"Siquijor")</f>
        <v>Siquijor</v>
      </c>
      <c r="E73" s="8"/>
      <c r="F73" s="8"/>
      <c r="G73" s="8"/>
      <c r="H73" s="8"/>
    </row>
    <row r="74">
      <c r="A74" s="142" t="s">
        <v>625</v>
      </c>
      <c r="B74" s="142" t="str">
        <f>IFERROR(__xludf.DUMMYFUNCTION("""COMPUTED_VALUE"""),"Negros Occidental")</f>
        <v>Negros Occidental</v>
      </c>
      <c r="C74" s="142" t="str">
        <f>IFERROR(__xludf.DUMMYFUNCTION("""COMPUTED_VALUE"""),"Negros Oriental")</f>
        <v>Negros Oriental</v>
      </c>
      <c r="D74" s="142" t="str">
        <f>IFERROR(__xludf.DUMMYFUNCTION("""COMPUTED_VALUE"""),"Siquijor")</f>
        <v>Siquijor</v>
      </c>
      <c r="E74" s="8"/>
      <c r="F74" s="8"/>
      <c r="G74" s="8"/>
      <c r="H74" s="8"/>
    </row>
    <row r="75">
      <c r="A75" s="142" t="s">
        <v>625</v>
      </c>
      <c r="B75" s="142" t="str">
        <f>IFERROR(__xludf.DUMMYFUNCTION("""COMPUTED_VALUE"""),"Negros Occidental")</f>
        <v>Negros Occidental</v>
      </c>
      <c r="C75" s="142" t="str">
        <f>IFERROR(__xludf.DUMMYFUNCTION("""COMPUTED_VALUE"""),"Negros Oriental")</f>
        <v>Negros Oriental</v>
      </c>
      <c r="D75" s="142" t="str">
        <f>IFERROR(__xludf.DUMMYFUNCTION("""COMPUTED_VALUE"""),"Siquijor")</f>
        <v>Siquijor</v>
      </c>
      <c r="E75" s="8"/>
      <c r="F75" s="8"/>
      <c r="G75" s="8"/>
      <c r="H75" s="8"/>
    </row>
    <row r="76">
      <c r="A76" s="142" t="s">
        <v>642</v>
      </c>
      <c r="B76" s="142" t="str">
        <f>IFERROR(__xludf.DUMMYFUNCTION("""COMPUTED_VALUE"""),"Basilan")</f>
        <v>Basilan</v>
      </c>
      <c r="C76" s="142" t="str">
        <f>IFERROR(__xludf.DUMMYFUNCTION("""COMPUTED_VALUE"""),"Lanao del Sur")</f>
        <v>Lanao del Sur</v>
      </c>
      <c r="D76" s="142" t="str">
        <f>IFERROR(__xludf.DUMMYFUNCTION("""COMPUTED_VALUE"""),"Sulu")</f>
        <v>Sulu</v>
      </c>
      <c r="E76" s="142" t="str">
        <f>IFERROR(__xludf.DUMMYFUNCTION("""COMPUTED_VALUE"""),"Tawi-Tawi")</f>
        <v>Tawi-Tawi</v>
      </c>
      <c r="F76" s="142" t="str">
        <f>IFERROR(__xludf.DUMMYFUNCTION("""COMPUTED_VALUE"""),"Maguindanao del Norte")</f>
        <v>Maguindanao del Norte</v>
      </c>
      <c r="G76" s="142" t="str">
        <f>IFERROR(__xludf.DUMMYFUNCTION("""COMPUTED_VALUE"""),"Maguindanao del Sur")</f>
        <v>Maguindanao del Sur</v>
      </c>
      <c r="H76" s="142" t="str">
        <f>IFERROR(__xludf.DUMMYFUNCTION("""COMPUTED_VALUE"""),"Special Geographic Area")</f>
        <v>Special Geographic Area</v>
      </c>
    </row>
    <row r="77">
      <c r="A77" s="142" t="s">
        <v>345</v>
      </c>
      <c r="B77" s="142" t="str">
        <f>IFERROR(__xludf.DUMMYFUNCTION("""COMPUTED_VALUE"""),"Agusan del Norte")</f>
        <v>Agusan del Norte</v>
      </c>
      <c r="C77" s="142" t="str">
        <f>IFERROR(__xludf.DUMMYFUNCTION("""COMPUTED_VALUE"""),"Agusan del Sur")</f>
        <v>Agusan del Sur</v>
      </c>
      <c r="D77" s="142" t="str">
        <f>IFERROR(__xludf.DUMMYFUNCTION("""COMPUTED_VALUE"""),"Surigao del Norte")</f>
        <v>Surigao del Norte</v>
      </c>
      <c r="E77" s="142" t="str">
        <f>IFERROR(__xludf.DUMMYFUNCTION("""COMPUTED_VALUE"""),"Surigao del Sur")</f>
        <v>Surigao del Sur</v>
      </c>
      <c r="F77" s="142" t="str">
        <f>IFERROR(__xludf.DUMMYFUNCTION("""COMPUTED_VALUE"""),"Dinagat Islands")</f>
        <v>Dinagat Islands</v>
      </c>
      <c r="G77" s="8"/>
      <c r="H77" s="8"/>
    </row>
    <row r="78">
      <c r="A78" s="142" t="s">
        <v>330</v>
      </c>
      <c r="B78" s="142" t="str">
        <f>IFERROR(__xludf.DUMMYFUNCTION("""COMPUTED_VALUE"""),"Davao del Norte")</f>
        <v>Davao del Norte</v>
      </c>
      <c r="C78" s="142" t="str">
        <f>IFERROR(__xludf.DUMMYFUNCTION("""COMPUTED_VALUE"""),"Davao del Sur")</f>
        <v>Davao del Sur</v>
      </c>
      <c r="D78" s="142" t="str">
        <f>IFERROR(__xludf.DUMMYFUNCTION("""COMPUTED_VALUE"""),"Davao Oriental")</f>
        <v>Davao Oriental</v>
      </c>
      <c r="E78" s="142" t="str">
        <f>IFERROR(__xludf.DUMMYFUNCTION("""COMPUTED_VALUE"""),"Davao de Oro")</f>
        <v>Davao de Oro</v>
      </c>
      <c r="F78" s="142" t="str">
        <f>IFERROR(__xludf.DUMMYFUNCTION("""COMPUTED_VALUE"""),"Davao Occidental")</f>
        <v>Davao Occidental</v>
      </c>
      <c r="G78" s="8"/>
      <c r="H78" s="8"/>
    </row>
    <row r="79">
      <c r="A79" s="142" t="s">
        <v>330</v>
      </c>
      <c r="B79" s="142" t="str">
        <f>IFERROR(__xludf.DUMMYFUNCTION("""COMPUTED_VALUE"""),"Davao del Norte")</f>
        <v>Davao del Norte</v>
      </c>
      <c r="C79" s="142" t="str">
        <f>IFERROR(__xludf.DUMMYFUNCTION("""COMPUTED_VALUE"""),"Davao del Sur")</f>
        <v>Davao del Sur</v>
      </c>
      <c r="D79" s="142" t="str">
        <f>IFERROR(__xludf.DUMMYFUNCTION("""COMPUTED_VALUE"""),"Davao Oriental")</f>
        <v>Davao Oriental</v>
      </c>
      <c r="E79" s="142" t="str">
        <f>IFERROR(__xludf.DUMMYFUNCTION("""COMPUTED_VALUE"""),"Davao de Oro")</f>
        <v>Davao de Oro</v>
      </c>
      <c r="F79" s="142" t="str">
        <f>IFERROR(__xludf.DUMMYFUNCTION("""COMPUTED_VALUE"""),"Davao Occidental")</f>
        <v>Davao Occidental</v>
      </c>
      <c r="G79" s="8"/>
      <c r="H79" s="8"/>
    </row>
    <row r="80">
      <c r="A80" s="142" t="s">
        <v>143</v>
      </c>
      <c r="B80" s="142" t="str">
        <f>IFERROR(__xludf.DUMMYFUNCTION("""COMPUTED_VALUE"""),"Ilocos Norte")</f>
        <v>Ilocos Norte</v>
      </c>
      <c r="C80" s="142" t="str">
        <f>IFERROR(__xludf.DUMMYFUNCTION("""COMPUTED_VALUE"""),"Ilocos Sur")</f>
        <v>Ilocos Sur</v>
      </c>
      <c r="D80" s="142" t="str">
        <f>IFERROR(__xludf.DUMMYFUNCTION("""COMPUTED_VALUE"""),"La Union")</f>
        <v>La Union</v>
      </c>
      <c r="E80" s="142" t="str">
        <f>IFERROR(__xludf.DUMMYFUNCTION("""COMPUTED_VALUE"""),"Pangasinan")</f>
        <v>Pangasinan</v>
      </c>
      <c r="F80" s="8"/>
      <c r="G80" s="8"/>
      <c r="H80" s="8"/>
    </row>
    <row r="81">
      <c r="A81" s="142" t="s">
        <v>143</v>
      </c>
      <c r="B81" s="142" t="str">
        <f>IFERROR(__xludf.DUMMYFUNCTION("""COMPUTED_VALUE"""),"Ilocos Norte")</f>
        <v>Ilocos Norte</v>
      </c>
      <c r="C81" s="142" t="str">
        <f>IFERROR(__xludf.DUMMYFUNCTION("""COMPUTED_VALUE"""),"Ilocos Sur")</f>
        <v>Ilocos Sur</v>
      </c>
      <c r="D81" s="142" t="str">
        <f>IFERROR(__xludf.DUMMYFUNCTION("""COMPUTED_VALUE"""),"La Union")</f>
        <v>La Union</v>
      </c>
      <c r="E81" s="142" t="str">
        <f>IFERROR(__xludf.DUMMYFUNCTION("""COMPUTED_VALUE"""),"Pangasinan")</f>
        <v>Pangasinan</v>
      </c>
      <c r="F81" s="8"/>
      <c r="G81" s="8"/>
      <c r="H81" s="8"/>
    </row>
    <row r="82">
      <c r="A82" s="142" t="s">
        <v>293</v>
      </c>
      <c r="B82" s="142" t="str">
        <f>IFERROR(__xludf.DUMMYFUNCTION("""COMPUTED_VALUE"""),"Bataan")</f>
        <v>Bataan</v>
      </c>
      <c r="C82" s="142" t="str">
        <f>IFERROR(__xludf.DUMMYFUNCTION("""COMPUTED_VALUE"""),"Bulacan")</f>
        <v>Bulacan</v>
      </c>
      <c r="D82" s="142" t="str">
        <f>IFERROR(__xludf.DUMMYFUNCTION("""COMPUTED_VALUE"""),"Nueva Ecija")</f>
        <v>Nueva Ecija</v>
      </c>
      <c r="E82" s="142" t="str">
        <f>IFERROR(__xludf.DUMMYFUNCTION("""COMPUTED_VALUE"""),"Pampanga")</f>
        <v>Pampanga</v>
      </c>
      <c r="F82" s="142" t="str">
        <f>IFERROR(__xludf.DUMMYFUNCTION("""COMPUTED_VALUE"""),"Tarlac")</f>
        <v>Tarlac</v>
      </c>
      <c r="G82" s="142" t="str">
        <f>IFERROR(__xludf.DUMMYFUNCTION("""COMPUTED_VALUE"""),"Zambales")</f>
        <v>Zambales</v>
      </c>
      <c r="H82" s="142" t="str">
        <f>IFERROR(__xludf.DUMMYFUNCTION("""COMPUTED_VALUE"""),"Aurora")</f>
        <v>Aurora</v>
      </c>
    </row>
    <row r="83">
      <c r="A83" s="142" t="s">
        <v>579</v>
      </c>
      <c r="B83" s="142" t="str">
        <f>IFERROR(__xludf.DUMMYFUNCTION("""COMPUTED_VALUE"""),"Eastern Samar")</f>
        <v>Eastern Samar</v>
      </c>
      <c r="C83" s="142" t="str">
        <f>IFERROR(__xludf.DUMMYFUNCTION("""COMPUTED_VALUE"""),"Leyte")</f>
        <v>Leyte</v>
      </c>
      <c r="D83" s="142" t="str">
        <f>IFERROR(__xludf.DUMMYFUNCTION("""COMPUTED_VALUE"""),"Northern Samar")</f>
        <v>Northern Samar</v>
      </c>
      <c r="E83" s="142" t="str">
        <f>IFERROR(__xludf.DUMMYFUNCTION("""COMPUTED_VALUE"""),"Samar")</f>
        <v>Samar</v>
      </c>
      <c r="F83" s="142" t="str">
        <f>IFERROR(__xludf.DUMMYFUNCTION("""COMPUTED_VALUE"""),"Southern Leyte")</f>
        <v>Southern Leyte</v>
      </c>
      <c r="G83" s="142" t="str">
        <f>IFERROR(__xludf.DUMMYFUNCTION("""COMPUTED_VALUE"""),"Biliran")</f>
        <v>Biliran</v>
      </c>
      <c r="H83" s="8"/>
    </row>
    <row r="84">
      <c r="A84" s="142" t="s">
        <v>143</v>
      </c>
      <c r="B84" s="142" t="str">
        <f>IFERROR(__xludf.DUMMYFUNCTION("""COMPUTED_VALUE"""),"Ilocos Norte")</f>
        <v>Ilocos Norte</v>
      </c>
      <c r="C84" s="142" t="str">
        <f>IFERROR(__xludf.DUMMYFUNCTION("""COMPUTED_VALUE"""),"Ilocos Sur")</f>
        <v>Ilocos Sur</v>
      </c>
      <c r="D84" s="142" t="str">
        <f>IFERROR(__xludf.DUMMYFUNCTION("""COMPUTED_VALUE"""),"La Union")</f>
        <v>La Union</v>
      </c>
      <c r="E84" s="142" t="str">
        <f>IFERROR(__xludf.DUMMYFUNCTION("""COMPUTED_VALUE"""),"Pangasinan")</f>
        <v>Pangasinan</v>
      </c>
      <c r="F84" s="8"/>
      <c r="G84" s="8"/>
      <c r="H84" s="8"/>
    </row>
    <row r="85">
      <c r="A85" s="142" t="s">
        <v>314</v>
      </c>
      <c r="B85" s="142" t="str">
        <f>IFERROR(__xludf.DUMMYFUNCTION("""COMPUTED_VALUE"""),"Aklan")</f>
        <v>Aklan</v>
      </c>
      <c r="C85" s="142" t="str">
        <f>IFERROR(__xludf.DUMMYFUNCTION("""COMPUTED_VALUE"""),"Antique")</f>
        <v>Antique</v>
      </c>
      <c r="D85" s="142" t="str">
        <f>IFERROR(__xludf.DUMMYFUNCTION("""COMPUTED_VALUE"""),"Capiz")</f>
        <v>Capiz</v>
      </c>
      <c r="E85" s="142" t="str">
        <f>IFERROR(__xludf.DUMMYFUNCTION("""COMPUTED_VALUE"""),"Iloilo")</f>
        <v>Iloilo</v>
      </c>
      <c r="F85" s="142" t="str">
        <f>IFERROR(__xludf.DUMMYFUNCTION("""COMPUTED_VALUE"""),"Guimaras")</f>
        <v>Guimaras</v>
      </c>
      <c r="G85" s="8"/>
      <c r="H85" s="8"/>
    </row>
    <row r="86">
      <c r="A86" s="142" t="s">
        <v>314</v>
      </c>
      <c r="B86" s="142" t="str">
        <f>IFERROR(__xludf.DUMMYFUNCTION("""COMPUTED_VALUE"""),"Aklan")</f>
        <v>Aklan</v>
      </c>
      <c r="C86" s="142" t="str">
        <f>IFERROR(__xludf.DUMMYFUNCTION("""COMPUTED_VALUE"""),"Antique")</f>
        <v>Antique</v>
      </c>
      <c r="D86" s="142" t="str">
        <f>IFERROR(__xludf.DUMMYFUNCTION("""COMPUTED_VALUE"""),"Capiz")</f>
        <v>Capiz</v>
      </c>
      <c r="E86" s="142" t="str">
        <f>IFERROR(__xludf.DUMMYFUNCTION("""COMPUTED_VALUE"""),"Iloilo")</f>
        <v>Iloilo</v>
      </c>
      <c r="F86" s="142" t="str">
        <f>IFERROR(__xludf.DUMMYFUNCTION("""COMPUTED_VALUE"""),"Guimaras")</f>
        <v>Guimaras</v>
      </c>
      <c r="G86" s="8"/>
      <c r="H86" s="8"/>
    </row>
    <row r="87">
      <c r="A87" s="142" t="s">
        <v>314</v>
      </c>
      <c r="B87" s="142" t="str">
        <f>IFERROR(__xludf.DUMMYFUNCTION("""COMPUTED_VALUE"""),"Aklan")</f>
        <v>Aklan</v>
      </c>
      <c r="C87" s="142" t="str">
        <f>IFERROR(__xludf.DUMMYFUNCTION("""COMPUTED_VALUE"""),"Antique")</f>
        <v>Antique</v>
      </c>
      <c r="D87" s="142" t="str">
        <f>IFERROR(__xludf.DUMMYFUNCTION("""COMPUTED_VALUE"""),"Capiz")</f>
        <v>Capiz</v>
      </c>
      <c r="E87" s="142" t="str">
        <f>IFERROR(__xludf.DUMMYFUNCTION("""COMPUTED_VALUE"""),"Iloilo")</f>
        <v>Iloilo</v>
      </c>
      <c r="F87" s="142" t="str">
        <f>IFERROR(__xludf.DUMMYFUNCTION("""COMPUTED_VALUE"""),"Guimaras")</f>
        <v>Guimaras</v>
      </c>
      <c r="G87" s="8"/>
      <c r="H87" s="8"/>
    </row>
    <row r="88">
      <c r="A88" s="142" t="s">
        <v>625</v>
      </c>
      <c r="B88" s="142" t="str">
        <f>IFERROR(__xludf.DUMMYFUNCTION("""COMPUTED_VALUE"""),"Negros Occidental")</f>
        <v>Negros Occidental</v>
      </c>
      <c r="C88" s="142" t="str">
        <f>IFERROR(__xludf.DUMMYFUNCTION("""COMPUTED_VALUE"""),"Negros Oriental")</f>
        <v>Negros Oriental</v>
      </c>
      <c r="D88" s="142" t="str">
        <f>IFERROR(__xludf.DUMMYFUNCTION("""COMPUTED_VALUE"""),"Siquijor")</f>
        <v>Siquijor</v>
      </c>
      <c r="E88" s="8"/>
      <c r="F88" s="8"/>
      <c r="G88" s="8"/>
      <c r="H88" s="8"/>
    </row>
    <row r="89">
      <c r="A89" s="142" t="s">
        <v>590</v>
      </c>
      <c r="B89" s="142" t="str">
        <f>IFERROR(__xludf.DUMMYFUNCTION("""COMPUTED_VALUE"""),"Zamboanga del Norte")</f>
        <v>Zamboanga del Norte</v>
      </c>
      <c r="C89" s="142" t="str">
        <f>IFERROR(__xludf.DUMMYFUNCTION("""COMPUTED_VALUE"""),"Zamboanga del Sur")</f>
        <v>Zamboanga del Sur</v>
      </c>
      <c r="D89" s="142" t="str">
        <f>IFERROR(__xludf.DUMMYFUNCTION("""COMPUTED_VALUE"""),"Zamboanga Sibugay")</f>
        <v>Zamboanga Sibugay</v>
      </c>
      <c r="E89" s="142" t="str">
        <f>IFERROR(__xludf.DUMMYFUNCTION("""COMPUTED_VALUE"""),"Basilan")</f>
        <v>Basilan</v>
      </c>
      <c r="F89" s="8"/>
      <c r="G89" s="8"/>
      <c r="H89" s="8"/>
    </row>
    <row r="90">
      <c r="A90" s="142" t="s">
        <v>330</v>
      </c>
      <c r="B90" s="142" t="str">
        <f>IFERROR(__xludf.DUMMYFUNCTION("""COMPUTED_VALUE"""),"Davao del Norte")</f>
        <v>Davao del Norte</v>
      </c>
      <c r="C90" s="142" t="str">
        <f>IFERROR(__xludf.DUMMYFUNCTION("""COMPUTED_VALUE"""),"Davao del Sur")</f>
        <v>Davao del Sur</v>
      </c>
      <c r="D90" s="142" t="str">
        <f>IFERROR(__xludf.DUMMYFUNCTION("""COMPUTED_VALUE"""),"Davao Oriental")</f>
        <v>Davao Oriental</v>
      </c>
      <c r="E90" s="142" t="str">
        <f>IFERROR(__xludf.DUMMYFUNCTION("""COMPUTED_VALUE"""),"Davao de Oro")</f>
        <v>Davao de Oro</v>
      </c>
      <c r="F90" s="142" t="str">
        <f>IFERROR(__xludf.DUMMYFUNCTION("""COMPUTED_VALUE"""),"Davao Occidental")</f>
        <v>Davao Occidental</v>
      </c>
      <c r="G90" s="8"/>
      <c r="H90" s="8"/>
    </row>
    <row r="91">
      <c r="A91" s="142" t="s">
        <v>314</v>
      </c>
      <c r="B91" s="142" t="str">
        <f>IFERROR(__xludf.DUMMYFUNCTION("""COMPUTED_VALUE"""),"Aklan")</f>
        <v>Aklan</v>
      </c>
      <c r="C91" s="142" t="str">
        <f>IFERROR(__xludf.DUMMYFUNCTION("""COMPUTED_VALUE"""),"Antique")</f>
        <v>Antique</v>
      </c>
      <c r="D91" s="142" t="str">
        <f>IFERROR(__xludf.DUMMYFUNCTION("""COMPUTED_VALUE"""),"Capiz")</f>
        <v>Capiz</v>
      </c>
      <c r="E91" s="142" t="str">
        <f>IFERROR(__xludf.DUMMYFUNCTION("""COMPUTED_VALUE"""),"Iloilo")</f>
        <v>Iloilo</v>
      </c>
      <c r="F91" s="142" t="str">
        <f>IFERROR(__xludf.DUMMYFUNCTION("""COMPUTED_VALUE"""),"Guimaras")</f>
        <v>Guimaras</v>
      </c>
      <c r="G91" s="8"/>
      <c r="H91" s="8"/>
    </row>
    <row r="92">
      <c r="A92" s="142" t="s">
        <v>522</v>
      </c>
      <c r="B92" s="142" t="str">
        <f>IFERROR(__xludf.DUMMYFUNCTION("""COMPUTED_VALUE"""),"Marinduque")</f>
        <v>Marinduque</v>
      </c>
      <c r="C92" s="142" t="str">
        <f>IFERROR(__xludf.DUMMYFUNCTION("""COMPUTED_VALUE"""),"Occidental Mindoro")</f>
        <v>Occidental Mindoro</v>
      </c>
      <c r="D92" s="142" t="str">
        <f>IFERROR(__xludf.DUMMYFUNCTION("""COMPUTED_VALUE"""),"Oriental Mindoro")</f>
        <v>Oriental Mindoro</v>
      </c>
      <c r="E92" s="142" t="str">
        <f>IFERROR(__xludf.DUMMYFUNCTION("""COMPUTED_VALUE"""),"Palawan")</f>
        <v>Palawan</v>
      </c>
      <c r="F92" s="142" t="str">
        <f>IFERROR(__xludf.DUMMYFUNCTION("""COMPUTED_VALUE"""),"Romblon")</f>
        <v>Romblon</v>
      </c>
      <c r="G92" s="8"/>
      <c r="H92" s="8"/>
    </row>
    <row r="93">
      <c r="A93" s="142" t="s">
        <v>193</v>
      </c>
      <c r="B93" s="142" t="str">
        <f>IFERROR(__xludf.DUMMYFUNCTION("""COMPUTED_VALUE"""),"Bohol")</f>
        <v>Bohol</v>
      </c>
      <c r="C93" s="142" t="str">
        <f>IFERROR(__xludf.DUMMYFUNCTION("""COMPUTED_VALUE"""),"Cebu")</f>
        <v>Cebu</v>
      </c>
      <c r="D93" s="8"/>
      <c r="E93" s="8"/>
      <c r="F93" s="8"/>
      <c r="G93" s="8"/>
      <c r="H93" s="8"/>
    </row>
    <row r="94">
      <c r="A94" s="142" t="s">
        <v>625</v>
      </c>
      <c r="B94" s="142" t="str">
        <f>IFERROR(__xludf.DUMMYFUNCTION("""COMPUTED_VALUE"""),"Negros Occidental")</f>
        <v>Negros Occidental</v>
      </c>
      <c r="C94" s="142" t="str">
        <f>IFERROR(__xludf.DUMMYFUNCTION("""COMPUTED_VALUE"""),"Negros Oriental")</f>
        <v>Negros Oriental</v>
      </c>
      <c r="D94" s="142" t="str">
        <f>IFERROR(__xludf.DUMMYFUNCTION("""COMPUTED_VALUE"""),"Siquijor")</f>
        <v>Siquijor</v>
      </c>
      <c r="E94" s="8"/>
      <c r="F94" s="8"/>
      <c r="G94" s="8"/>
      <c r="H94" s="8"/>
    </row>
    <row r="95">
      <c r="A95" s="142" t="s">
        <v>193</v>
      </c>
      <c r="B95" s="142" t="str">
        <f>IFERROR(__xludf.DUMMYFUNCTION("""COMPUTED_VALUE"""),"Bohol")</f>
        <v>Bohol</v>
      </c>
      <c r="C95" s="142" t="str">
        <f>IFERROR(__xludf.DUMMYFUNCTION("""COMPUTED_VALUE"""),"Cebu")</f>
        <v>Cebu</v>
      </c>
      <c r="D95" s="8"/>
      <c r="E95" s="8"/>
      <c r="F95" s="8"/>
      <c r="G95" s="8"/>
      <c r="H95" s="8"/>
    </row>
    <row r="96">
      <c r="A96" s="142" t="s">
        <v>193</v>
      </c>
      <c r="B96" s="142" t="str">
        <f>IFERROR(__xludf.DUMMYFUNCTION("""COMPUTED_VALUE"""),"Bohol")</f>
        <v>Bohol</v>
      </c>
      <c r="C96" s="142" t="str">
        <f>IFERROR(__xludf.DUMMYFUNCTION("""COMPUTED_VALUE"""),"Cebu")</f>
        <v>Cebu</v>
      </c>
      <c r="D96" s="8"/>
      <c r="E96" s="8"/>
      <c r="F96" s="8"/>
      <c r="G96" s="8"/>
      <c r="H96" s="8"/>
    </row>
    <row r="97">
      <c r="A97" s="142" t="s">
        <v>193</v>
      </c>
      <c r="B97" s="142" t="str">
        <f>IFERROR(__xludf.DUMMYFUNCTION("""COMPUTED_VALUE"""),"Bohol")</f>
        <v>Bohol</v>
      </c>
      <c r="C97" s="142" t="str">
        <f>IFERROR(__xludf.DUMMYFUNCTION("""COMPUTED_VALUE"""),"Cebu")</f>
        <v>Cebu</v>
      </c>
      <c r="D97" s="8"/>
      <c r="E97" s="8"/>
      <c r="F97" s="8"/>
      <c r="G97" s="8"/>
      <c r="H97" s="8"/>
    </row>
    <row r="98">
      <c r="A98" s="142" t="s">
        <v>193</v>
      </c>
      <c r="B98" s="142" t="str">
        <f>IFERROR(__xludf.DUMMYFUNCTION("""COMPUTED_VALUE"""),"Bohol")</f>
        <v>Bohol</v>
      </c>
      <c r="C98" s="142" t="str">
        <f>IFERROR(__xludf.DUMMYFUNCTION("""COMPUTED_VALUE"""),"Cebu")</f>
        <v>Cebu</v>
      </c>
      <c r="D98" s="8"/>
      <c r="E98" s="8"/>
      <c r="F98" s="8"/>
      <c r="G98" s="8"/>
      <c r="H98" s="8"/>
    </row>
    <row r="99">
      <c r="A99" s="142" t="s">
        <v>193</v>
      </c>
      <c r="B99" s="142" t="str">
        <f>IFERROR(__xludf.DUMMYFUNCTION("""COMPUTED_VALUE"""),"Bohol")</f>
        <v>Bohol</v>
      </c>
      <c r="C99" s="142" t="str">
        <f>IFERROR(__xludf.DUMMYFUNCTION("""COMPUTED_VALUE"""),"Cebu")</f>
        <v>Cebu</v>
      </c>
      <c r="D99" s="8"/>
      <c r="E99" s="8"/>
      <c r="F99" s="8"/>
      <c r="G99" s="8"/>
      <c r="H99" s="8"/>
    </row>
    <row r="100">
      <c r="A100" s="142" t="s">
        <v>193</v>
      </c>
      <c r="B100" s="142" t="str">
        <f>IFERROR(__xludf.DUMMYFUNCTION("""COMPUTED_VALUE"""),"Bohol")</f>
        <v>Bohol</v>
      </c>
      <c r="C100" s="142" t="str">
        <f>IFERROR(__xludf.DUMMYFUNCTION("""COMPUTED_VALUE"""),"Cebu")</f>
        <v>Cebu</v>
      </c>
      <c r="D100" s="8"/>
      <c r="E100" s="8"/>
      <c r="F100" s="8"/>
      <c r="G100" s="8"/>
      <c r="H100" s="8"/>
    </row>
    <row r="101">
      <c r="A101" s="142" t="s">
        <v>193</v>
      </c>
      <c r="B101" s="142" t="str">
        <f>IFERROR(__xludf.DUMMYFUNCTION("""COMPUTED_VALUE"""),"Bohol")</f>
        <v>Bohol</v>
      </c>
      <c r="C101" s="142" t="str">
        <f>IFERROR(__xludf.DUMMYFUNCTION("""COMPUTED_VALUE"""),"Cebu")</f>
        <v>Cebu</v>
      </c>
      <c r="D101" s="8"/>
      <c r="E101" s="8"/>
      <c r="F101" s="8"/>
      <c r="G101" s="8"/>
      <c r="H101" s="8"/>
    </row>
    <row r="102">
      <c r="A102" s="142" t="s">
        <v>625</v>
      </c>
      <c r="B102" s="142" t="str">
        <f>IFERROR(__xludf.DUMMYFUNCTION("""COMPUTED_VALUE"""),"Negros Occidental")</f>
        <v>Negros Occidental</v>
      </c>
      <c r="C102" s="142" t="str">
        <f>IFERROR(__xludf.DUMMYFUNCTION("""COMPUTED_VALUE"""),"Negros Oriental")</f>
        <v>Negros Oriental</v>
      </c>
      <c r="D102" s="142" t="str">
        <f>IFERROR(__xludf.DUMMYFUNCTION("""COMPUTED_VALUE"""),"Siquijor")</f>
        <v>Siquijor</v>
      </c>
      <c r="E102" s="8"/>
      <c r="F102" s="8"/>
      <c r="G102" s="8"/>
      <c r="H102" s="8"/>
    </row>
    <row r="103">
      <c r="A103" s="142" t="s">
        <v>314</v>
      </c>
      <c r="B103" s="142" t="str">
        <f>IFERROR(__xludf.DUMMYFUNCTION("""COMPUTED_VALUE"""),"Aklan")</f>
        <v>Aklan</v>
      </c>
      <c r="C103" s="142" t="str">
        <f>IFERROR(__xludf.DUMMYFUNCTION("""COMPUTED_VALUE"""),"Antique")</f>
        <v>Antique</v>
      </c>
      <c r="D103" s="142" t="str">
        <f>IFERROR(__xludf.DUMMYFUNCTION("""COMPUTED_VALUE"""),"Capiz")</f>
        <v>Capiz</v>
      </c>
      <c r="E103" s="142" t="str">
        <f>IFERROR(__xludf.DUMMYFUNCTION("""COMPUTED_VALUE"""),"Iloilo")</f>
        <v>Iloilo</v>
      </c>
      <c r="F103" s="142" t="str">
        <f>IFERROR(__xludf.DUMMYFUNCTION("""COMPUTED_VALUE"""),"Guimaras")</f>
        <v>Guimaras</v>
      </c>
      <c r="G103" s="8"/>
      <c r="H103" s="8"/>
    </row>
    <row r="104">
      <c r="A104" s="142" t="s">
        <v>314</v>
      </c>
      <c r="B104" s="142" t="str">
        <f>IFERROR(__xludf.DUMMYFUNCTION("""COMPUTED_VALUE"""),"Aklan")</f>
        <v>Aklan</v>
      </c>
      <c r="C104" s="142" t="str">
        <f>IFERROR(__xludf.DUMMYFUNCTION("""COMPUTED_VALUE"""),"Antique")</f>
        <v>Antique</v>
      </c>
      <c r="D104" s="142" t="str">
        <f>IFERROR(__xludf.DUMMYFUNCTION("""COMPUTED_VALUE"""),"Capiz")</f>
        <v>Capiz</v>
      </c>
      <c r="E104" s="142" t="str">
        <f>IFERROR(__xludf.DUMMYFUNCTION("""COMPUTED_VALUE"""),"Iloilo")</f>
        <v>Iloilo</v>
      </c>
      <c r="F104" s="142" t="str">
        <f>IFERROR(__xludf.DUMMYFUNCTION("""COMPUTED_VALUE"""),"Guimaras")</f>
        <v>Guimaras</v>
      </c>
      <c r="G104" s="8"/>
      <c r="H104" s="8"/>
    </row>
    <row r="105">
      <c r="A105" s="142" t="s">
        <v>193</v>
      </c>
      <c r="B105" s="142" t="str">
        <f>IFERROR(__xludf.DUMMYFUNCTION("""COMPUTED_VALUE"""),"Bohol")</f>
        <v>Bohol</v>
      </c>
      <c r="C105" s="142" t="str">
        <f>IFERROR(__xludf.DUMMYFUNCTION("""COMPUTED_VALUE"""),"Cebu")</f>
        <v>Cebu</v>
      </c>
      <c r="D105" s="8"/>
      <c r="E105" s="8"/>
      <c r="F105" s="8"/>
      <c r="G105" s="8"/>
      <c r="H105" s="8"/>
    </row>
    <row r="106">
      <c r="A106" s="142" t="s">
        <v>193</v>
      </c>
      <c r="B106" s="142" t="str">
        <f>IFERROR(__xludf.DUMMYFUNCTION("""COMPUTED_VALUE"""),"Bohol")</f>
        <v>Bohol</v>
      </c>
      <c r="C106" s="142" t="str">
        <f>IFERROR(__xludf.DUMMYFUNCTION("""COMPUTED_VALUE"""),"Cebu")</f>
        <v>Cebu</v>
      </c>
      <c r="D106" s="8"/>
      <c r="E106" s="8"/>
      <c r="F106" s="8"/>
      <c r="G106" s="8"/>
      <c r="H106" s="8"/>
    </row>
    <row r="107">
      <c r="A107" s="142" t="s">
        <v>535</v>
      </c>
      <c r="B107" s="142" t="str">
        <f>IFERROR(__xludf.DUMMYFUNCTION("""COMPUTED_VALUE"""),"Albay")</f>
        <v>Albay</v>
      </c>
      <c r="C107" s="142" t="str">
        <f>IFERROR(__xludf.DUMMYFUNCTION("""COMPUTED_VALUE"""),"Camarines Norte")</f>
        <v>Camarines Norte</v>
      </c>
      <c r="D107" s="142" t="str">
        <f>IFERROR(__xludf.DUMMYFUNCTION("""COMPUTED_VALUE"""),"Camarines Sur")</f>
        <v>Camarines Sur</v>
      </c>
      <c r="E107" s="142" t="str">
        <f>IFERROR(__xludf.DUMMYFUNCTION("""COMPUTED_VALUE"""),"Catanduanes")</f>
        <v>Catanduanes</v>
      </c>
      <c r="F107" s="142" t="str">
        <f>IFERROR(__xludf.DUMMYFUNCTION("""COMPUTED_VALUE"""),"Masbate")</f>
        <v>Masbate</v>
      </c>
      <c r="G107" s="142" t="str">
        <f>IFERROR(__xludf.DUMMYFUNCTION("""COMPUTED_VALUE"""),"Sorsogon")</f>
        <v>Sorsogon</v>
      </c>
      <c r="H107" s="8"/>
    </row>
    <row r="108">
      <c r="A108" s="142" t="s">
        <v>345</v>
      </c>
      <c r="B108" s="142" t="str">
        <f>IFERROR(__xludf.DUMMYFUNCTION("""COMPUTED_VALUE"""),"Agusan del Norte")</f>
        <v>Agusan del Norte</v>
      </c>
      <c r="C108" s="142" t="str">
        <f>IFERROR(__xludf.DUMMYFUNCTION("""COMPUTED_VALUE"""),"Agusan del Sur")</f>
        <v>Agusan del Sur</v>
      </c>
      <c r="D108" s="142" t="str">
        <f>IFERROR(__xludf.DUMMYFUNCTION("""COMPUTED_VALUE"""),"Surigao del Norte")</f>
        <v>Surigao del Norte</v>
      </c>
      <c r="E108" s="142" t="str">
        <f>IFERROR(__xludf.DUMMYFUNCTION("""COMPUTED_VALUE"""),"Surigao del Sur")</f>
        <v>Surigao del Sur</v>
      </c>
      <c r="F108" s="142" t="str">
        <f>IFERROR(__xludf.DUMMYFUNCTION("""COMPUTED_VALUE"""),"Dinagat Islands")</f>
        <v>Dinagat Islands</v>
      </c>
      <c r="G108" s="8"/>
      <c r="H108" s="8"/>
    </row>
    <row r="109">
      <c r="A109" s="142" t="s">
        <v>522</v>
      </c>
      <c r="B109" s="142" t="str">
        <f>IFERROR(__xludf.DUMMYFUNCTION("""COMPUTED_VALUE"""),"Marinduque")</f>
        <v>Marinduque</v>
      </c>
      <c r="C109" s="142" t="str">
        <f>IFERROR(__xludf.DUMMYFUNCTION("""COMPUTED_VALUE"""),"Occidental Mindoro")</f>
        <v>Occidental Mindoro</v>
      </c>
      <c r="D109" s="142" t="str">
        <f>IFERROR(__xludf.DUMMYFUNCTION("""COMPUTED_VALUE"""),"Oriental Mindoro")</f>
        <v>Oriental Mindoro</v>
      </c>
      <c r="E109" s="142" t="str">
        <f>IFERROR(__xludf.DUMMYFUNCTION("""COMPUTED_VALUE"""),"Palawan")</f>
        <v>Palawan</v>
      </c>
      <c r="F109" s="142" t="str">
        <f>IFERROR(__xludf.DUMMYFUNCTION("""COMPUTED_VALUE"""),"Romblon")</f>
        <v>Romblon</v>
      </c>
      <c r="G109" s="8"/>
      <c r="H109" s="8"/>
    </row>
    <row r="110">
      <c r="A110" s="142" t="s">
        <v>143</v>
      </c>
      <c r="B110" s="142" t="str">
        <f>IFERROR(__xludf.DUMMYFUNCTION("""COMPUTED_VALUE"""),"Ilocos Norte")</f>
        <v>Ilocos Norte</v>
      </c>
      <c r="C110" s="142" t="str">
        <f>IFERROR(__xludf.DUMMYFUNCTION("""COMPUTED_VALUE"""),"Ilocos Sur")</f>
        <v>Ilocos Sur</v>
      </c>
      <c r="D110" s="142" t="str">
        <f>IFERROR(__xludf.DUMMYFUNCTION("""COMPUTED_VALUE"""),"La Union")</f>
        <v>La Union</v>
      </c>
      <c r="E110" s="142" t="str">
        <f>IFERROR(__xludf.DUMMYFUNCTION("""COMPUTED_VALUE"""),"Pangasinan")</f>
        <v>Pangasinan</v>
      </c>
      <c r="F110" s="8"/>
      <c r="G110" s="8"/>
      <c r="H110" s="8"/>
    </row>
    <row r="111">
      <c r="A111" s="142" t="s">
        <v>143</v>
      </c>
      <c r="B111" s="142" t="str">
        <f>IFERROR(__xludf.DUMMYFUNCTION("""COMPUTED_VALUE"""),"Ilocos Norte")</f>
        <v>Ilocos Norte</v>
      </c>
      <c r="C111" s="142" t="str">
        <f>IFERROR(__xludf.DUMMYFUNCTION("""COMPUTED_VALUE"""),"Ilocos Sur")</f>
        <v>Ilocos Sur</v>
      </c>
      <c r="D111" s="142" t="str">
        <f>IFERROR(__xludf.DUMMYFUNCTION("""COMPUTED_VALUE"""),"La Union")</f>
        <v>La Union</v>
      </c>
      <c r="E111" s="142" t="str">
        <f>IFERROR(__xludf.DUMMYFUNCTION("""COMPUTED_VALUE"""),"Pangasinan")</f>
        <v>Pangasinan</v>
      </c>
      <c r="F111" s="8"/>
      <c r="G111" s="8"/>
      <c r="H111" s="8"/>
    </row>
    <row r="112">
      <c r="A112" s="142" t="s">
        <v>293</v>
      </c>
      <c r="B112" s="142" t="str">
        <f>IFERROR(__xludf.DUMMYFUNCTION("""COMPUTED_VALUE"""),"Bataan")</f>
        <v>Bataan</v>
      </c>
      <c r="C112" s="142" t="str">
        <f>IFERROR(__xludf.DUMMYFUNCTION("""COMPUTED_VALUE"""),"Bulacan")</f>
        <v>Bulacan</v>
      </c>
      <c r="D112" s="142" t="str">
        <f>IFERROR(__xludf.DUMMYFUNCTION("""COMPUTED_VALUE"""),"Nueva Ecija")</f>
        <v>Nueva Ecija</v>
      </c>
      <c r="E112" s="142" t="str">
        <f>IFERROR(__xludf.DUMMYFUNCTION("""COMPUTED_VALUE"""),"Pampanga")</f>
        <v>Pampanga</v>
      </c>
      <c r="F112" s="142" t="str">
        <f>IFERROR(__xludf.DUMMYFUNCTION("""COMPUTED_VALUE"""),"Tarlac")</f>
        <v>Tarlac</v>
      </c>
      <c r="G112" s="142" t="str">
        <f>IFERROR(__xludf.DUMMYFUNCTION("""COMPUTED_VALUE"""),"Zambales")</f>
        <v>Zambales</v>
      </c>
      <c r="H112" s="142" t="str">
        <f>IFERROR(__xludf.DUMMYFUNCTION("""COMPUTED_VALUE"""),"Aurora")</f>
        <v>Aurora</v>
      </c>
    </row>
    <row r="113">
      <c r="A113" s="142" t="s">
        <v>257</v>
      </c>
      <c r="B113" s="142" t="str">
        <f>IFERROR(__xludf.DUMMYFUNCTION("""COMPUTED_VALUE"""),"Batangas")</f>
        <v>Batangas</v>
      </c>
      <c r="C113" s="142" t="str">
        <f>IFERROR(__xludf.DUMMYFUNCTION("""COMPUTED_VALUE"""),"Cavite")</f>
        <v>Cavite</v>
      </c>
      <c r="D113" s="142" t="str">
        <f>IFERROR(__xludf.DUMMYFUNCTION("""COMPUTED_VALUE"""),"Laguna")</f>
        <v>Laguna</v>
      </c>
      <c r="E113" s="142" t="str">
        <f>IFERROR(__xludf.DUMMYFUNCTION("""COMPUTED_VALUE"""),"Quezon")</f>
        <v>Quezon</v>
      </c>
      <c r="F113" s="8"/>
      <c r="G113" s="8"/>
      <c r="H113" s="8"/>
    </row>
    <row r="114">
      <c r="A114" s="142" t="s">
        <v>257</v>
      </c>
      <c r="B114" s="142" t="str">
        <f>IFERROR(__xludf.DUMMYFUNCTION("""COMPUTED_VALUE"""),"Batangas")</f>
        <v>Batangas</v>
      </c>
      <c r="C114" s="142" t="str">
        <f>IFERROR(__xludf.DUMMYFUNCTION("""COMPUTED_VALUE"""),"Cavite")</f>
        <v>Cavite</v>
      </c>
      <c r="D114" s="142" t="str">
        <f>IFERROR(__xludf.DUMMYFUNCTION("""COMPUTED_VALUE"""),"Laguna")</f>
        <v>Laguna</v>
      </c>
      <c r="E114" s="142" t="str">
        <f>IFERROR(__xludf.DUMMYFUNCTION("""COMPUTED_VALUE"""),"Quezon")</f>
        <v>Quezon</v>
      </c>
      <c r="F114" s="8"/>
      <c r="G114" s="8"/>
      <c r="H114" s="8"/>
    </row>
    <row r="115">
      <c r="A115" s="142" t="s">
        <v>314</v>
      </c>
      <c r="B115" s="142" t="str">
        <f>IFERROR(__xludf.DUMMYFUNCTION("""COMPUTED_VALUE"""),"Aklan")</f>
        <v>Aklan</v>
      </c>
      <c r="C115" s="142" t="str">
        <f>IFERROR(__xludf.DUMMYFUNCTION("""COMPUTED_VALUE"""),"Antique")</f>
        <v>Antique</v>
      </c>
      <c r="D115" s="142" t="str">
        <f>IFERROR(__xludf.DUMMYFUNCTION("""COMPUTED_VALUE"""),"Capiz")</f>
        <v>Capiz</v>
      </c>
      <c r="E115" s="142" t="str">
        <f>IFERROR(__xludf.DUMMYFUNCTION("""COMPUTED_VALUE"""),"Iloilo")</f>
        <v>Iloilo</v>
      </c>
      <c r="F115" s="142" t="str">
        <f>IFERROR(__xludf.DUMMYFUNCTION("""COMPUTED_VALUE"""),"Guimaras")</f>
        <v>Guimaras</v>
      </c>
      <c r="G115" s="8"/>
      <c r="H115" s="8"/>
    </row>
    <row r="116">
      <c r="A116" s="142" t="s">
        <v>193</v>
      </c>
      <c r="B116" s="142" t="str">
        <f>IFERROR(__xludf.DUMMYFUNCTION("""COMPUTED_VALUE"""),"Bohol")</f>
        <v>Bohol</v>
      </c>
      <c r="C116" s="142" t="str">
        <f>IFERROR(__xludf.DUMMYFUNCTION("""COMPUTED_VALUE"""),"Cebu")</f>
        <v>Cebu</v>
      </c>
      <c r="D116" s="8"/>
      <c r="E116" s="8"/>
      <c r="F116" s="8"/>
      <c r="G116" s="8"/>
      <c r="H116" s="8"/>
    </row>
    <row r="117">
      <c r="A117" s="142" t="s">
        <v>193</v>
      </c>
      <c r="B117" s="142" t="str">
        <f>IFERROR(__xludf.DUMMYFUNCTION("""COMPUTED_VALUE"""),"Bohol")</f>
        <v>Bohol</v>
      </c>
      <c r="C117" s="142" t="str">
        <f>IFERROR(__xludf.DUMMYFUNCTION("""COMPUTED_VALUE"""),"Cebu")</f>
        <v>Cebu</v>
      </c>
      <c r="D117" s="8"/>
      <c r="E117" s="8"/>
      <c r="F117" s="8"/>
      <c r="G117" s="8"/>
      <c r="H117" s="8"/>
    </row>
    <row r="118">
      <c r="A118" s="142" t="s">
        <v>193</v>
      </c>
      <c r="B118" s="142" t="str">
        <f>IFERROR(__xludf.DUMMYFUNCTION("""COMPUTED_VALUE"""),"Bohol")</f>
        <v>Bohol</v>
      </c>
      <c r="C118" s="142" t="str">
        <f>IFERROR(__xludf.DUMMYFUNCTION("""COMPUTED_VALUE"""),"Cebu")</f>
        <v>Cebu</v>
      </c>
      <c r="D118" s="8"/>
      <c r="E118" s="8"/>
      <c r="F118" s="8"/>
      <c r="G118" s="8"/>
      <c r="H118" s="8"/>
    </row>
    <row r="119">
      <c r="A119" s="142" t="s">
        <v>193</v>
      </c>
      <c r="B119" s="142" t="str">
        <f>IFERROR(__xludf.DUMMYFUNCTION("""COMPUTED_VALUE"""),"Bohol")</f>
        <v>Bohol</v>
      </c>
      <c r="C119" s="142" t="str">
        <f>IFERROR(__xludf.DUMMYFUNCTION("""COMPUTED_VALUE"""),"Cebu")</f>
        <v>Cebu</v>
      </c>
      <c r="D119" s="8"/>
      <c r="E119" s="8"/>
      <c r="F119" s="8"/>
      <c r="G119" s="8"/>
      <c r="H119" s="8"/>
    </row>
    <row r="120">
      <c r="A120" s="142" t="s">
        <v>579</v>
      </c>
      <c r="B120" s="142" t="str">
        <f>IFERROR(__xludf.DUMMYFUNCTION("""COMPUTED_VALUE"""),"Eastern Samar")</f>
        <v>Eastern Samar</v>
      </c>
      <c r="C120" s="142" t="str">
        <f>IFERROR(__xludf.DUMMYFUNCTION("""COMPUTED_VALUE"""),"Leyte")</f>
        <v>Leyte</v>
      </c>
      <c r="D120" s="142" t="str">
        <f>IFERROR(__xludf.DUMMYFUNCTION("""COMPUTED_VALUE"""),"Northern Samar")</f>
        <v>Northern Samar</v>
      </c>
      <c r="E120" s="142" t="str">
        <f>IFERROR(__xludf.DUMMYFUNCTION("""COMPUTED_VALUE"""),"Samar")</f>
        <v>Samar</v>
      </c>
      <c r="F120" s="142" t="str">
        <f>IFERROR(__xludf.DUMMYFUNCTION("""COMPUTED_VALUE"""),"Southern Leyte")</f>
        <v>Southern Leyte</v>
      </c>
      <c r="G120" s="142" t="str">
        <f>IFERROR(__xludf.DUMMYFUNCTION("""COMPUTED_VALUE"""),"Biliran")</f>
        <v>Biliran</v>
      </c>
      <c r="H120" s="8"/>
    </row>
    <row r="121">
      <c r="A121" s="142" t="s">
        <v>171</v>
      </c>
      <c r="B121" s="142" t="str">
        <f>IFERROR(__xludf.DUMMYFUNCTION("""COMPUTED_VALUE"""),"Bukidnon")</f>
        <v>Bukidnon</v>
      </c>
      <c r="C121" s="142" t="str">
        <f>IFERROR(__xludf.DUMMYFUNCTION("""COMPUTED_VALUE"""),"Camiguin")</f>
        <v>Camiguin</v>
      </c>
      <c r="D121" s="142" t="str">
        <f>IFERROR(__xludf.DUMMYFUNCTION("""COMPUTED_VALUE"""),"Lanao del Norte")</f>
        <v>Lanao del Norte</v>
      </c>
      <c r="E121" s="142" t="str">
        <f>IFERROR(__xludf.DUMMYFUNCTION("""COMPUTED_VALUE"""),"Misamis Occidental")</f>
        <v>Misamis Occidental</v>
      </c>
      <c r="F121" s="142" t="str">
        <f>IFERROR(__xludf.DUMMYFUNCTION("""COMPUTED_VALUE"""),"Misamis Oriental")</f>
        <v>Misamis Oriental</v>
      </c>
      <c r="G121" s="8"/>
      <c r="H121" s="8"/>
    </row>
    <row r="122">
      <c r="A122" s="142" t="s">
        <v>330</v>
      </c>
      <c r="B122" s="142" t="str">
        <f>IFERROR(__xludf.DUMMYFUNCTION("""COMPUTED_VALUE"""),"Davao del Norte")</f>
        <v>Davao del Norte</v>
      </c>
      <c r="C122" s="142" t="str">
        <f>IFERROR(__xludf.DUMMYFUNCTION("""COMPUTED_VALUE"""),"Davao del Sur")</f>
        <v>Davao del Sur</v>
      </c>
      <c r="D122" s="142" t="str">
        <f>IFERROR(__xludf.DUMMYFUNCTION("""COMPUTED_VALUE"""),"Davao Oriental")</f>
        <v>Davao Oriental</v>
      </c>
      <c r="E122" s="142" t="str">
        <f>IFERROR(__xludf.DUMMYFUNCTION("""COMPUTED_VALUE"""),"Davao de Oro")</f>
        <v>Davao de Oro</v>
      </c>
      <c r="F122" s="142" t="str">
        <f>IFERROR(__xludf.DUMMYFUNCTION("""COMPUTED_VALUE"""),"Davao Occidental")</f>
        <v>Davao Occidental</v>
      </c>
      <c r="G122" s="8"/>
      <c r="H122" s="8"/>
    </row>
    <row r="123">
      <c r="A123" s="142" t="s">
        <v>625</v>
      </c>
      <c r="B123" s="142" t="str">
        <f>IFERROR(__xludf.DUMMYFUNCTION("""COMPUTED_VALUE"""),"Negros Occidental")</f>
        <v>Negros Occidental</v>
      </c>
      <c r="C123" s="142" t="str">
        <f>IFERROR(__xludf.DUMMYFUNCTION("""COMPUTED_VALUE"""),"Negros Oriental")</f>
        <v>Negros Oriental</v>
      </c>
      <c r="D123" s="142" t="str">
        <f>IFERROR(__xludf.DUMMYFUNCTION("""COMPUTED_VALUE"""),"Siquijor")</f>
        <v>Siquijor</v>
      </c>
      <c r="E123" s="8"/>
      <c r="F123" s="8"/>
      <c r="G123" s="8"/>
      <c r="H123" s="8"/>
    </row>
    <row r="124">
      <c r="A124" s="142" t="s">
        <v>625</v>
      </c>
      <c r="B124" s="142" t="str">
        <f>IFERROR(__xludf.DUMMYFUNCTION("""COMPUTED_VALUE"""),"Negros Occidental")</f>
        <v>Negros Occidental</v>
      </c>
      <c r="C124" s="142" t="str">
        <f>IFERROR(__xludf.DUMMYFUNCTION("""COMPUTED_VALUE"""),"Negros Oriental")</f>
        <v>Negros Oriental</v>
      </c>
      <c r="D124" s="142" t="str">
        <f>IFERROR(__xludf.DUMMYFUNCTION("""COMPUTED_VALUE"""),"Siquijor")</f>
        <v>Siquijor</v>
      </c>
      <c r="E124" s="8"/>
      <c r="F124" s="8"/>
      <c r="G124" s="8"/>
      <c r="H124" s="8"/>
    </row>
    <row r="125">
      <c r="A125" s="142" t="s">
        <v>330</v>
      </c>
      <c r="B125" s="142" t="str">
        <f>IFERROR(__xludf.DUMMYFUNCTION("""COMPUTED_VALUE"""),"Davao del Norte")</f>
        <v>Davao del Norte</v>
      </c>
      <c r="C125" s="142" t="str">
        <f>IFERROR(__xludf.DUMMYFUNCTION("""COMPUTED_VALUE"""),"Davao del Sur")</f>
        <v>Davao del Sur</v>
      </c>
      <c r="D125" s="142" t="str">
        <f>IFERROR(__xludf.DUMMYFUNCTION("""COMPUTED_VALUE"""),"Davao Oriental")</f>
        <v>Davao Oriental</v>
      </c>
      <c r="E125" s="142" t="str">
        <f>IFERROR(__xludf.DUMMYFUNCTION("""COMPUTED_VALUE"""),"Davao de Oro")</f>
        <v>Davao de Oro</v>
      </c>
      <c r="F125" s="142" t="str">
        <f>IFERROR(__xludf.DUMMYFUNCTION("""COMPUTED_VALUE"""),"Davao Occidental")</f>
        <v>Davao Occidental</v>
      </c>
      <c r="G125" s="8"/>
      <c r="H125" s="8"/>
    </row>
    <row r="126">
      <c r="A126" s="142" t="s">
        <v>330</v>
      </c>
      <c r="B126" s="142" t="str">
        <f>IFERROR(__xludf.DUMMYFUNCTION("""COMPUTED_VALUE"""),"Davao del Norte")</f>
        <v>Davao del Norte</v>
      </c>
      <c r="C126" s="142" t="str">
        <f>IFERROR(__xludf.DUMMYFUNCTION("""COMPUTED_VALUE"""),"Davao del Sur")</f>
        <v>Davao del Sur</v>
      </c>
      <c r="D126" s="142" t="str">
        <f>IFERROR(__xludf.DUMMYFUNCTION("""COMPUTED_VALUE"""),"Davao Oriental")</f>
        <v>Davao Oriental</v>
      </c>
      <c r="E126" s="142" t="str">
        <f>IFERROR(__xludf.DUMMYFUNCTION("""COMPUTED_VALUE"""),"Davao de Oro")</f>
        <v>Davao de Oro</v>
      </c>
      <c r="F126" s="142" t="str">
        <f>IFERROR(__xludf.DUMMYFUNCTION("""COMPUTED_VALUE"""),"Davao Occidental")</f>
        <v>Davao Occidental</v>
      </c>
      <c r="G126" s="8"/>
      <c r="H126" s="8"/>
    </row>
    <row r="127">
      <c r="A127" s="142" t="s">
        <v>143</v>
      </c>
      <c r="B127" s="142" t="str">
        <f>IFERROR(__xludf.DUMMYFUNCTION("""COMPUTED_VALUE"""),"Ilocos Norte")</f>
        <v>Ilocos Norte</v>
      </c>
      <c r="C127" s="142" t="str">
        <f>IFERROR(__xludf.DUMMYFUNCTION("""COMPUTED_VALUE"""),"Ilocos Sur")</f>
        <v>Ilocos Sur</v>
      </c>
      <c r="D127" s="142" t="str">
        <f>IFERROR(__xludf.DUMMYFUNCTION("""COMPUTED_VALUE"""),"La Union")</f>
        <v>La Union</v>
      </c>
      <c r="E127" s="142" t="str">
        <f>IFERROR(__xludf.DUMMYFUNCTION("""COMPUTED_VALUE"""),"Pangasinan")</f>
        <v>Pangasinan</v>
      </c>
      <c r="F127" s="8"/>
      <c r="G127" s="8"/>
      <c r="H127" s="8"/>
    </row>
    <row r="128">
      <c r="A128" s="142" t="s">
        <v>143</v>
      </c>
      <c r="B128" s="142" t="str">
        <f>IFERROR(__xludf.DUMMYFUNCTION("""COMPUTED_VALUE"""),"Ilocos Norte")</f>
        <v>Ilocos Norte</v>
      </c>
      <c r="C128" s="142" t="str">
        <f>IFERROR(__xludf.DUMMYFUNCTION("""COMPUTED_VALUE"""),"Ilocos Sur")</f>
        <v>Ilocos Sur</v>
      </c>
      <c r="D128" s="142" t="str">
        <f>IFERROR(__xludf.DUMMYFUNCTION("""COMPUTED_VALUE"""),"La Union")</f>
        <v>La Union</v>
      </c>
      <c r="E128" s="142" t="str">
        <f>IFERROR(__xludf.DUMMYFUNCTION("""COMPUTED_VALUE"""),"Pangasinan")</f>
        <v>Pangasinan</v>
      </c>
      <c r="F128" s="8"/>
      <c r="G128" s="8"/>
      <c r="H128" s="8"/>
    </row>
    <row r="129">
      <c r="A129" s="142" t="s">
        <v>143</v>
      </c>
      <c r="B129" s="142" t="str">
        <f>IFERROR(__xludf.DUMMYFUNCTION("""COMPUTED_VALUE"""),"Ilocos Norte")</f>
        <v>Ilocos Norte</v>
      </c>
      <c r="C129" s="142" t="str">
        <f>IFERROR(__xludf.DUMMYFUNCTION("""COMPUTED_VALUE"""),"Ilocos Sur")</f>
        <v>Ilocos Sur</v>
      </c>
      <c r="D129" s="142" t="str">
        <f>IFERROR(__xludf.DUMMYFUNCTION("""COMPUTED_VALUE"""),"La Union")</f>
        <v>La Union</v>
      </c>
      <c r="E129" s="142" t="str">
        <f>IFERROR(__xludf.DUMMYFUNCTION("""COMPUTED_VALUE"""),"Pangasinan")</f>
        <v>Pangasinan</v>
      </c>
      <c r="F129" s="8"/>
      <c r="G129" s="8"/>
      <c r="H129" s="8"/>
    </row>
    <row r="130">
      <c r="A130" s="142" t="s">
        <v>143</v>
      </c>
      <c r="B130" s="142" t="str">
        <f>IFERROR(__xludf.DUMMYFUNCTION("""COMPUTED_VALUE"""),"Ilocos Norte")</f>
        <v>Ilocos Norte</v>
      </c>
      <c r="C130" s="142" t="str">
        <f>IFERROR(__xludf.DUMMYFUNCTION("""COMPUTED_VALUE"""),"Ilocos Sur")</f>
        <v>Ilocos Sur</v>
      </c>
      <c r="D130" s="142" t="str">
        <f>IFERROR(__xludf.DUMMYFUNCTION("""COMPUTED_VALUE"""),"La Union")</f>
        <v>La Union</v>
      </c>
      <c r="E130" s="142" t="str">
        <f>IFERROR(__xludf.DUMMYFUNCTION("""COMPUTED_VALUE"""),"Pangasinan")</f>
        <v>Pangasinan</v>
      </c>
      <c r="F130" s="8"/>
      <c r="G130" s="8"/>
      <c r="H130" s="8"/>
    </row>
    <row r="131">
      <c r="A131" s="142" t="s">
        <v>143</v>
      </c>
      <c r="B131" s="142" t="str">
        <f>IFERROR(__xludf.DUMMYFUNCTION("""COMPUTED_VALUE"""),"Ilocos Norte")</f>
        <v>Ilocos Norte</v>
      </c>
      <c r="C131" s="142" t="str">
        <f>IFERROR(__xludf.DUMMYFUNCTION("""COMPUTED_VALUE"""),"Ilocos Sur")</f>
        <v>Ilocos Sur</v>
      </c>
      <c r="D131" s="142" t="str">
        <f>IFERROR(__xludf.DUMMYFUNCTION("""COMPUTED_VALUE"""),"La Union")</f>
        <v>La Union</v>
      </c>
      <c r="E131" s="142" t="str">
        <f>IFERROR(__xludf.DUMMYFUNCTION("""COMPUTED_VALUE"""),"Pangasinan")</f>
        <v>Pangasinan</v>
      </c>
      <c r="F131" s="8"/>
      <c r="G131" s="8"/>
      <c r="H131" s="8"/>
    </row>
    <row r="132">
      <c r="A132" s="142" t="s">
        <v>143</v>
      </c>
      <c r="B132" s="142" t="str">
        <f>IFERROR(__xludf.DUMMYFUNCTION("""COMPUTED_VALUE"""),"Ilocos Norte")</f>
        <v>Ilocos Norte</v>
      </c>
      <c r="C132" s="142" t="str">
        <f>IFERROR(__xludf.DUMMYFUNCTION("""COMPUTED_VALUE"""),"Ilocos Sur")</f>
        <v>Ilocos Sur</v>
      </c>
      <c r="D132" s="142" t="str">
        <f>IFERROR(__xludf.DUMMYFUNCTION("""COMPUTED_VALUE"""),"La Union")</f>
        <v>La Union</v>
      </c>
      <c r="E132" s="142" t="str">
        <f>IFERROR(__xludf.DUMMYFUNCTION("""COMPUTED_VALUE"""),"Pangasinan")</f>
        <v>Pangasinan</v>
      </c>
      <c r="F132" s="8"/>
      <c r="G132" s="8"/>
      <c r="H132" s="8"/>
    </row>
    <row r="133">
      <c r="A133" s="142" t="s">
        <v>143</v>
      </c>
      <c r="B133" s="142" t="str">
        <f>IFERROR(__xludf.DUMMYFUNCTION("""COMPUTED_VALUE"""),"Ilocos Norte")</f>
        <v>Ilocos Norte</v>
      </c>
      <c r="C133" s="142" t="str">
        <f>IFERROR(__xludf.DUMMYFUNCTION("""COMPUTED_VALUE"""),"Ilocos Sur")</f>
        <v>Ilocos Sur</v>
      </c>
      <c r="D133" s="142" t="str">
        <f>IFERROR(__xludf.DUMMYFUNCTION("""COMPUTED_VALUE"""),"La Union")</f>
        <v>La Union</v>
      </c>
      <c r="E133" s="142" t="str">
        <f>IFERROR(__xludf.DUMMYFUNCTION("""COMPUTED_VALUE"""),"Pangasinan")</f>
        <v>Pangasinan</v>
      </c>
      <c r="F133" s="8"/>
      <c r="G133" s="8"/>
      <c r="H133" s="8"/>
    </row>
    <row r="134">
      <c r="A134" s="142" t="s">
        <v>314</v>
      </c>
      <c r="B134" s="142" t="str">
        <f>IFERROR(__xludf.DUMMYFUNCTION("""COMPUTED_VALUE"""),"Aklan")</f>
        <v>Aklan</v>
      </c>
      <c r="C134" s="142" t="str">
        <f>IFERROR(__xludf.DUMMYFUNCTION("""COMPUTED_VALUE"""),"Antique")</f>
        <v>Antique</v>
      </c>
      <c r="D134" s="142" t="str">
        <f>IFERROR(__xludf.DUMMYFUNCTION("""COMPUTED_VALUE"""),"Capiz")</f>
        <v>Capiz</v>
      </c>
      <c r="E134" s="142" t="str">
        <f>IFERROR(__xludf.DUMMYFUNCTION("""COMPUTED_VALUE"""),"Iloilo")</f>
        <v>Iloilo</v>
      </c>
      <c r="F134" s="142" t="str">
        <f>IFERROR(__xludf.DUMMYFUNCTION("""COMPUTED_VALUE"""),"Guimaras")</f>
        <v>Guimaras</v>
      </c>
      <c r="G134" s="8"/>
      <c r="H134" s="8"/>
    </row>
    <row r="135">
      <c r="A135" s="142" t="s">
        <v>535</v>
      </c>
      <c r="B135" s="142" t="str">
        <f>IFERROR(__xludf.DUMMYFUNCTION("""COMPUTED_VALUE"""),"Albay")</f>
        <v>Albay</v>
      </c>
      <c r="C135" s="142" t="str">
        <f>IFERROR(__xludf.DUMMYFUNCTION("""COMPUTED_VALUE"""),"Camarines Norte")</f>
        <v>Camarines Norte</v>
      </c>
      <c r="D135" s="142" t="str">
        <f>IFERROR(__xludf.DUMMYFUNCTION("""COMPUTED_VALUE"""),"Camarines Sur")</f>
        <v>Camarines Sur</v>
      </c>
      <c r="E135" s="142" t="str">
        <f>IFERROR(__xludf.DUMMYFUNCTION("""COMPUTED_VALUE"""),"Catanduanes")</f>
        <v>Catanduanes</v>
      </c>
      <c r="F135" s="142" t="str">
        <f>IFERROR(__xludf.DUMMYFUNCTION("""COMPUTED_VALUE"""),"Masbate")</f>
        <v>Masbate</v>
      </c>
      <c r="G135" s="142" t="str">
        <f>IFERROR(__xludf.DUMMYFUNCTION("""COMPUTED_VALUE"""),"Sorsogon")</f>
        <v>Sorsogon</v>
      </c>
      <c r="H135" s="8"/>
    </row>
    <row r="136">
      <c r="A136" s="142" t="s">
        <v>625</v>
      </c>
      <c r="B136" s="142" t="str">
        <f>IFERROR(__xludf.DUMMYFUNCTION("""COMPUTED_VALUE"""),"Negros Occidental")</f>
        <v>Negros Occidental</v>
      </c>
      <c r="C136" s="142" t="str">
        <f>IFERROR(__xludf.DUMMYFUNCTION("""COMPUTED_VALUE"""),"Negros Oriental")</f>
        <v>Negros Oriental</v>
      </c>
      <c r="D136" s="142" t="str">
        <f>IFERROR(__xludf.DUMMYFUNCTION("""COMPUTED_VALUE"""),"Siquijor")</f>
        <v>Siquijor</v>
      </c>
      <c r="E136" s="8"/>
      <c r="F136" s="8"/>
      <c r="G136" s="8"/>
      <c r="H136" s="8"/>
    </row>
    <row r="137">
      <c r="A137" s="142" t="s">
        <v>193</v>
      </c>
      <c r="B137" s="142" t="str">
        <f>IFERROR(__xludf.DUMMYFUNCTION("""COMPUTED_VALUE"""),"Bohol")</f>
        <v>Bohol</v>
      </c>
      <c r="C137" s="142" t="str">
        <f>IFERROR(__xludf.DUMMYFUNCTION("""COMPUTED_VALUE"""),"Cebu")</f>
        <v>Cebu</v>
      </c>
      <c r="D137" s="8"/>
      <c r="E137" s="8"/>
      <c r="F137" s="8"/>
      <c r="G137" s="8"/>
      <c r="H137" s="8"/>
    </row>
    <row r="138">
      <c r="A138" s="142" t="s">
        <v>522</v>
      </c>
      <c r="B138" s="142" t="str">
        <f>IFERROR(__xludf.DUMMYFUNCTION("""COMPUTED_VALUE"""),"Marinduque")</f>
        <v>Marinduque</v>
      </c>
      <c r="C138" s="142" t="str">
        <f>IFERROR(__xludf.DUMMYFUNCTION("""COMPUTED_VALUE"""),"Occidental Mindoro")</f>
        <v>Occidental Mindoro</v>
      </c>
      <c r="D138" s="142" t="str">
        <f>IFERROR(__xludf.DUMMYFUNCTION("""COMPUTED_VALUE"""),"Oriental Mindoro")</f>
        <v>Oriental Mindoro</v>
      </c>
      <c r="E138" s="142" t="str">
        <f>IFERROR(__xludf.DUMMYFUNCTION("""COMPUTED_VALUE"""),"Palawan")</f>
        <v>Palawan</v>
      </c>
      <c r="F138" s="142" t="str">
        <f>IFERROR(__xludf.DUMMYFUNCTION("""COMPUTED_VALUE"""),"Romblon")</f>
        <v>Romblon</v>
      </c>
      <c r="G138" s="8"/>
      <c r="H138" s="8"/>
    </row>
    <row r="139">
      <c r="A139" s="142" t="s">
        <v>171</v>
      </c>
      <c r="B139" s="142" t="str">
        <f>IFERROR(__xludf.DUMMYFUNCTION("""COMPUTED_VALUE"""),"Bukidnon")</f>
        <v>Bukidnon</v>
      </c>
      <c r="C139" s="142" t="str">
        <f>IFERROR(__xludf.DUMMYFUNCTION("""COMPUTED_VALUE"""),"Camiguin")</f>
        <v>Camiguin</v>
      </c>
      <c r="D139" s="142" t="str">
        <f>IFERROR(__xludf.DUMMYFUNCTION("""COMPUTED_VALUE"""),"Lanao del Norte")</f>
        <v>Lanao del Norte</v>
      </c>
      <c r="E139" s="142" t="str">
        <f>IFERROR(__xludf.DUMMYFUNCTION("""COMPUTED_VALUE"""),"Misamis Occidental")</f>
        <v>Misamis Occidental</v>
      </c>
      <c r="F139" s="142" t="str">
        <f>IFERROR(__xludf.DUMMYFUNCTION("""COMPUTED_VALUE"""),"Misamis Oriental")</f>
        <v>Misamis Oriental</v>
      </c>
      <c r="G139" s="8"/>
      <c r="H139" s="8"/>
    </row>
    <row r="140">
      <c r="A140" s="142" t="s">
        <v>143</v>
      </c>
      <c r="B140" s="142" t="str">
        <f>IFERROR(__xludf.DUMMYFUNCTION("""COMPUTED_VALUE"""),"Ilocos Norte")</f>
        <v>Ilocos Norte</v>
      </c>
      <c r="C140" s="142" t="str">
        <f>IFERROR(__xludf.DUMMYFUNCTION("""COMPUTED_VALUE"""),"Ilocos Sur")</f>
        <v>Ilocos Sur</v>
      </c>
      <c r="D140" s="142" t="str">
        <f>IFERROR(__xludf.DUMMYFUNCTION("""COMPUTED_VALUE"""),"La Union")</f>
        <v>La Union</v>
      </c>
      <c r="E140" s="142" t="str">
        <f>IFERROR(__xludf.DUMMYFUNCTION("""COMPUTED_VALUE"""),"Pangasinan")</f>
        <v>Pangasinan</v>
      </c>
      <c r="F140" s="8"/>
      <c r="G140" s="8"/>
      <c r="H140" s="8"/>
    </row>
    <row r="141">
      <c r="A141" s="142" t="s">
        <v>535</v>
      </c>
      <c r="B141" s="142" t="str">
        <f>IFERROR(__xludf.DUMMYFUNCTION("""COMPUTED_VALUE"""),"Albay")</f>
        <v>Albay</v>
      </c>
      <c r="C141" s="142" t="str">
        <f>IFERROR(__xludf.DUMMYFUNCTION("""COMPUTED_VALUE"""),"Camarines Norte")</f>
        <v>Camarines Norte</v>
      </c>
      <c r="D141" s="142" t="str">
        <f>IFERROR(__xludf.DUMMYFUNCTION("""COMPUTED_VALUE"""),"Camarines Sur")</f>
        <v>Camarines Sur</v>
      </c>
      <c r="E141" s="142" t="str">
        <f>IFERROR(__xludf.DUMMYFUNCTION("""COMPUTED_VALUE"""),"Catanduanes")</f>
        <v>Catanduanes</v>
      </c>
      <c r="F141" s="142" t="str">
        <f>IFERROR(__xludf.DUMMYFUNCTION("""COMPUTED_VALUE"""),"Masbate")</f>
        <v>Masbate</v>
      </c>
      <c r="G141" s="142" t="str">
        <f>IFERROR(__xludf.DUMMYFUNCTION("""COMPUTED_VALUE"""),"Sorsogon")</f>
        <v>Sorsogon</v>
      </c>
      <c r="H141" s="8"/>
    </row>
    <row r="142">
      <c r="A142" s="142" t="s">
        <v>143</v>
      </c>
      <c r="B142" s="142" t="str">
        <f>IFERROR(__xludf.DUMMYFUNCTION("""COMPUTED_VALUE"""),"Ilocos Norte")</f>
        <v>Ilocos Norte</v>
      </c>
      <c r="C142" s="142" t="str">
        <f>IFERROR(__xludf.DUMMYFUNCTION("""COMPUTED_VALUE"""),"Ilocos Sur")</f>
        <v>Ilocos Sur</v>
      </c>
      <c r="D142" s="142" t="str">
        <f>IFERROR(__xludf.DUMMYFUNCTION("""COMPUTED_VALUE"""),"La Union")</f>
        <v>La Union</v>
      </c>
      <c r="E142" s="142" t="str">
        <f>IFERROR(__xludf.DUMMYFUNCTION("""COMPUTED_VALUE"""),"Pangasinan")</f>
        <v>Pangasinan</v>
      </c>
      <c r="F142" s="8"/>
      <c r="G142" s="8"/>
      <c r="H142" s="8"/>
    </row>
    <row r="143">
      <c r="A143" s="142" t="s">
        <v>522</v>
      </c>
      <c r="B143" s="142" t="str">
        <f>IFERROR(__xludf.DUMMYFUNCTION("""COMPUTED_VALUE"""),"Marinduque")</f>
        <v>Marinduque</v>
      </c>
      <c r="C143" s="142" t="str">
        <f>IFERROR(__xludf.DUMMYFUNCTION("""COMPUTED_VALUE"""),"Occidental Mindoro")</f>
        <v>Occidental Mindoro</v>
      </c>
      <c r="D143" s="142" t="str">
        <f>IFERROR(__xludf.DUMMYFUNCTION("""COMPUTED_VALUE"""),"Oriental Mindoro")</f>
        <v>Oriental Mindoro</v>
      </c>
      <c r="E143" s="142" t="str">
        <f>IFERROR(__xludf.DUMMYFUNCTION("""COMPUTED_VALUE"""),"Palawan")</f>
        <v>Palawan</v>
      </c>
      <c r="F143" s="142" t="str">
        <f>IFERROR(__xludf.DUMMYFUNCTION("""COMPUTED_VALUE"""),"Romblon")</f>
        <v>Romblon</v>
      </c>
      <c r="G143" s="8"/>
      <c r="H143" s="8"/>
    </row>
    <row r="144">
      <c r="A144" s="142" t="s">
        <v>522</v>
      </c>
      <c r="B144" s="142" t="str">
        <f>IFERROR(__xludf.DUMMYFUNCTION("""COMPUTED_VALUE"""),"Marinduque")</f>
        <v>Marinduque</v>
      </c>
      <c r="C144" s="142" t="str">
        <f>IFERROR(__xludf.DUMMYFUNCTION("""COMPUTED_VALUE"""),"Occidental Mindoro")</f>
        <v>Occidental Mindoro</v>
      </c>
      <c r="D144" s="142" t="str">
        <f>IFERROR(__xludf.DUMMYFUNCTION("""COMPUTED_VALUE"""),"Oriental Mindoro")</f>
        <v>Oriental Mindoro</v>
      </c>
      <c r="E144" s="142" t="str">
        <f>IFERROR(__xludf.DUMMYFUNCTION("""COMPUTED_VALUE"""),"Palawan")</f>
        <v>Palawan</v>
      </c>
      <c r="F144" s="142" t="str">
        <f>IFERROR(__xludf.DUMMYFUNCTION("""COMPUTED_VALUE"""),"Romblon")</f>
        <v>Romblon</v>
      </c>
      <c r="G144" s="8"/>
      <c r="H144" s="8"/>
    </row>
    <row r="145">
      <c r="A145" s="142" t="s">
        <v>535</v>
      </c>
      <c r="B145" s="142" t="str">
        <f>IFERROR(__xludf.DUMMYFUNCTION("""COMPUTED_VALUE"""),"Albay")</f>
        <v>Albay</v>
      </c>
      <c r="C145" s="142" t="str">
        <f>IFERROR(__xludf.DUMMYFUNCTION("""COMPUTED_VALUE"""),"Camarines Norte")</f>
        <v>Camarines Norte</v>
      </c>
      <c r="D145" s="142" t="str">
        <f>IFERROR(__xludf.DUMMYFUNCTION("""COMPUTED_VALUE"""),"Camarines Sur")</f>
        <v>Camarines Sur</v>
      </c>
      <c r="E145" s="142" t="str">
        <f>IFERROR(__xludf.DUMMYFUNCTION("""COMPUTED_VALUE"""),"Catanduanes")</f>
        <v>Catanduanes</v>
      </c>
      <c r="F145" s="142" t="str">
        <f>IFERROR(__xludf.DUMMYFUNCTION("""COMPUTED_VALUE"""),"Masbate")</f>
        <v>Masbate</v>
      </c>
      <c r="G145" s="142" t="str">
        <f>IFERROR(__xludf.DUMMYFUNCTION("""COMPUTED_VALUE"""),"Sorsogon")</f>
        <v>Sorsogon</v>
      </c>
      <c r="H145" s="8"/>
    </row>
    <row r="146">
      <c r="A146" s="142" t="s">
        <v>314</v>
      </c>
      <c r="B146" s="142" t="str">
        <f>IFERROR(__xludf.DUMMYFUNCTION("""COMPUTED_VALUE"""),"Aklan")</f>
        <v>Aklan</v>
      </c>
      <c r="C146" s="142" t="str">
        <f>IFERROR(__xludf.DUMMYFUNCTION("""COMPUTED_VALUE"""),"Antique")</f>
        <v>Antique</v>
      </c>
      <c r="D146" s="142" t="str">
        <f>IFERROR(__xludf.DUMMYFUNCTION("""COMPUTED_VALUE"""),"Capiz")</f>
        <v>Capiz</v>
      </c>
      <c r="E146" s="142" t="str">
        <f>IFERROR(__xludf.DUMMYFUNCTION("""COMPUTED_VALUE"""),"Iloilo")</f>
        <v>Iloilo</v>
      </c>
      <c r="F146" s="142" t="str">
        <f>IFERROR(__xludf.DUMMYFUNCTION("""COMPUTED_VALUE"""),"Guimaras")</f>
        <v>Guimaras</v>
      </c>
      <c r="G146" s="8"/>
      <c r="H146" s="8"/>
    </row>
    <row r="147">
      <c r="A147" s="142" t="s">
        <v>293</v>
      </c>
      <c r="B147" s="142" t="str">
        <f>IFERROR(__xludf.DUMMYFUNCTION("""COMPUTED_VALUE"""),"Bataan")</f>
        <v>Bataan</v>
      </c>
      <c r="C147" s="142" t="str">
        <f>IFERROR(__xludf.DUMMYFUNCTION("""COMPUTED_VALUE"""),"Bulacan")</f>
        <v>Bulacan</v>
      </c>
      <c r="D147" s="142" t="str">
        <f>IFERROR(__xludf.DUMMYFUNCTION("""COMPUTED_VALUE"""),"Nueva Ecija")</f>
        <v>Nueva Ecija</v>
      </c>
      <c r="E147" s="142" t="str">
        <f>IFERROR(__xludf.DUMMYFUNCTION("""COMPUTED_VALUE"""),"Pampanga")</f>
        <v>Pampanga</v>
      </c>
      <c r="F147" s="142" t="str">
        <f>IFERROR(__xludf.DUMMYFUNCTION("""COMPUTED_VALUE"""),"Tarlac")</f>
        <v>Tarlac</v>
      </c>
      <c r="G147" s="142" t="str">
        <f>IFERROR(__xludf.DUMMYFUNCTION("""COMPUTED_VALUE"""),"Zambales")</f>
        <v>Zambales</v>
      </c>
      <c r="H147" s="142" t="str">
        <f>IFERROR(__xludf.DUMMYFUNCTION("""COMPUTED_VALUE"""),"Aurora")</f>
        <v>Aurora</v>
      </c>
    </row>
    <row r="148">
      <c r="A148" s="142" t="s">
        <v>642</v>
      </c>
      <c r="B148" s="142" t="str">
        <f>IFERROR(__xludf.DUMMYFUNCTION("""COMPUTED_VALUE"""),"Basilan")</f>
        <v>Basilan</v>
      </c>
      <c r="C148" s="142" t="str">
        <f>IFERROR(__xludf.DUMMYFUNCTION("""COMPUTED_VALUE"""),"Lanao del Sur")</f>
        <v>Lanao del Sur</v>
      </c>
      <c r="D148" s="142" t="str">
        <f>IFERROR(__xludf.DUMMYFUNCTION("""COMPUTED_VALUE"""),"Sulu")</f>
        <v>Sulu</v>
      </c>
      <c r="E148" s="142" t="str">
        <f>IFERROR(__xludf.DUMMYFUNCTION("""COMPUTED_VALUE"""),"Tawi-Tawi")</f>
        <v>Tawi-Tawi</v>
      </c>
      <c r="F148" s="142" t="str">
        <f>IFERROR(__xludf.DUMMYFUNCTION("""COMPUTED_VALUE"""),"Maguindanao del Norte")</f>
        <v>Maguindanao del Norte</v>
      </c>
      <c r="G148" s="142" t="str">
        <f>IFERROR(__xludf.DUMMYFUNCTION("""COMPUTED_VALUE"""),"Maguindanao del Sur")</f>
        <v>Maguindanao del Sur</v>
      </c>
      <c r="H148" s="142" t="str">
        <f>IFERROR(__xludf.DUMMYFUNCTION("""COMPUTED_VALUE"""),"Special Geographic Area")</f>
        <v>Special Geographic Area</v>
      </c>
    </row>
    <row r="149">
      <c r="A149" s="142" t="s">
        <v>642</v>
      </c>
      <c r="B149" s="142" t="str">
        <f>IFERROR(__xludf.DUMMYFUNCTION("""COMPUTED_VALUE"""),"Basilan")</f>
        <v>Basilan</v>
      </c>
      <c r="C149" s="142" t="str">
        <f>IFERROR(__xludf.DUMMYFUNCTION("""COMPUTED_VALUE"""),"Lanao del Sur")</f>
        <v>Lanao del Sur</v>
      </c>
      <c r="D149" s="142" t="str">
        <f>IFERROR(__xludf.DUMMYFUNCTION("""COMPUTED_VALUE"""),"Sulu")</f>
        <v>Sulu</v>
      </c>
      <c r="E149" s="142" t="str">
        <f>IFERROR(__xludf.DUMMYFUNCTION("""COMPUTED_VALUE"""),"Tawi-Tawi")</f>
        <v>Tawi-Tawi</v>
      </c>
      <c r="F149" s="142" t="str">
        <f>IFERROR(__xludf.DUMMYFUNCTION("""COMPUTED_VALUE"""),"Maguindanao del Norte")</f>
        <v>Maguindanao del Norte</v>
      </c>
      <c r="G149" s="142" t="str">
        <f>IFERROR(__xludf.DUMMYFUNCTION("""COMPUTED_VALUE"""),"Maguindanao del Sur")</f>
        <v>Maguindanao del Sur</v>
      </c>
      <c r="H149" s="142" t="str">
        <f>IFERROR(__xludf.DUMMYFUNCTION("""COMPUTED_VALUE"""),"Special Geographic Area")</f>
        <v>Special Geographic Area</v>
      </c>
    </row>
    <row r="150">
      <c r="A150" s="142" t="s">
        <v>642</v>
      </c>
      <c r="B150" s="142" t="str">
        <f>IFERROR(__xludf.DUMMYFUNCTION("""COMPUTED_VALUE"""),"Basilan")</f>
        <v>Basilan</v>
      </c>
      <c r="C150" s="142" t="str">
        <f>IFERROR(__xludf.DUMMYFUNCTION("""COMPUTED_VALUE"""),"Lanao del Sur")</f>
        <v>Lanao del Sur</v>
      </c>
      <c r="D150" s="142" t="str">
        <f>IFERROR(__xludf.DUMMYFUNCTION("""COMPUTED_VALUE"""),"Sulu")</f>
        <v>Sulu</v>
      </c>
      <c r="E150" s="142" t="str">
        <f>IFERROR(__xludf.DUMMYFUNCTION("""COMPUTED_VALUE"""),"Tawi-Tawi")</f>
        <v>Tawi-Tawi</v>
      </c>
      <c r="F150" s="142" t="str">
        <f>IFERROR(__xludf.DUMMYFUNCTION("""COMPUTED_VALUE"""),"Maguindanao del Norte")</f>
        <v>Maguindanao del Norte</v>
      </c>
      <c r="G150" s="142" t="str">
        <f>IFERROR(__xludf.DUMMYFUNCTION("""COMPUTED_VALUE"""),"Maguindanao del Sur")</f>
        <v>Maguindanao del Sur</v>
      </c>
      <c r="H150" s="142" t="str">
        <f>IFERROR(__xludf.DUMMYFUNCTION("""COMPUTED_VALUE"""),"Special Geographic Area")</f>
        <v>Special Geographic Area</v>
      </c>
    </row>
    <row r="151">
      <c r="A151" s="142" t="s">
        <v>642</v>
      </c>
      <c r="B151" s="142" t="str">
        <f>IFERROR(__xludf.DUMMYFUNCTION("""COMPUTED_VALUE"""),"Basilan")</f>
        <v>Basilan</v>
      </c>
      <c r="C151" s="142" t="str">
        <f>IFERROR(__xludf.DUMMYFUNCTION("""COMPUTED_VALUE"""),"Lanao del Sur")</f>
        <v>Lanao del Sur</v>
      </c>
      <c r="D151" s="142" t="str">
        <f>IFERROR(__xludf.DUMMYFUNCTION("""COMPUTED_VALUE"""),"Sulu")</f>
        <v>Sulu</v>
      </c>
      <c r="E151" s="142" t="str">
        <f>IFERROR(__xludf.DUMMYFUNCTION("""COMPUTED_VALUE"""),"Tawi-Tawi")</f>
        <v>Tawi-Tawi</v>
      </c>
      <c r="F151" s="142" t="str">
        <f>IFERROR(__xludf.DUMMYFUNCTION("""COMPUTED_VALUE"""),"Maguindanao del Norte")</f>
        <v>Maguindanao del Norte</v>
      </c>
      <c r="G151" s="142" t="str">
        <f>IFERROR(__xludf.DUMMYFUNCTION("""COMPUTED_VALUE"""),"Maguindanao del Sur")</f>
        <v>Maguindanao del Sur</v>
      </c>
      <c r="H151" s="142" t="str">
        <f>IFERROR(__xludf.DUMMYFUNCTION("""COMPUTED_VALUE"""),"Special Geographic Area")</f>
        <v>Special Geographic Area</v>
      </c>
    </row>
    <row r="152">
      <c r="A152" s="142" t="s">
        <v>642</v>
      </c>
      <c r="B152" s="142" t="str">
        <f>IFERROR(__xludf.DUMMYFUNCTION("""COMPUTED_VALUE"""),"Basilan")</f>
        <v>Basilan</v>
      </c>
      <c r="C152" s="142" t="str">
        <f>IFERROR(__xludf.DUMMYFUNCTION("""COMPUTED_VALUE"""),"Lanao del Sur")</f>
        <v>Lanao del Sur</v>
      </c>
      <c r="D152" s="142" t="str">
        <f>IFERROR(__xludf.DUMMYFUNCTION("""COMPUTED_VALUE"""),"Sulu")</f>
        <v>Sulu</v>
      </c>
      <c r="E152" s="142" t="str">
        <f>IFERROR(__xludf.DUMMYFUNCTION("""COMPUTED_VALUE"""),"Tawi-Tawi")</f>
        <v>Tawi-Tawi</v>
      </c>
      <c r="F152" s="142" t="str">
        <f>IFERROR(__xludf.DUMMYFUNCTION("""COMPUTED_VALUE"""),"Maguindanao del Norte")</f>
        <v>Maguindanao del Norte</v>
      </c>
      <c r="G152" s="142" t="str">
        <f>IFERROR(__xludf.DUMMYFUNCTION("""COMPUTED_VALUE"""),"Maguindanao del Sur")</f>
        <v>Maguindanao del Sur</v>
      </c>
      <c r="H152" s="142" t="str">
        <f>IFERROR(__xludf.DUMMYFUNCTION("""COMPUTED_VALUE"""),"Special Geographic Area")</f>
        <v>Special Geographic Area</v>
      </c>
    </row>
    <row r="153">
      <c r="A153" s="142" t="s">
        <v>257</v>
      </c>
      <c r="B153" s="142" t="str">
        <f>IFERROR(__xludf.DUMMYFUNCTION("""COMPUTED_VALUE"""),"Batangas")</f>
        <v>Batangas</v>
      </c>
      <c r="C153" s="142" t="str">
        <f>IFERROR(__xludf.DUMMYFUNCTION("""COMPUTED_VALUE"""),"Cavite")</f>
        <v>Cavite</v>
      </c>
      <c r="D153" s="142" t="str">
        <f>IFERROR(__xludf.DUMMYFUNCTION("""COMPUTED_VALUE"""),"Laguna")</f>
        <v>Laguna</v>
      </c>
      <c r="E153" s="142" t="str">
        <f>IFERROR(__xludf.DUMMYFUNCTION("""COMPUTED_VALUE"""),"Quezon")</f>
        <v>Quezon</v>
      </c>
      <c r="F153" s="8"/>
      <c r="G153" s="8"/>
      <c r="H153" s="8"/>
    </row>
    <row r="154">
      <c r="A154" s="142" t="s">
        <v>257</v>
      </c>
      <c r="B154" s="142" t="str">
        <f>IFERROR(__xludf.DUMMYFUNCTION("""COMPUTED_VALUE"""),"Batangas")</f>
        <v>Batangas</v>
      </c>
      <c r="C154" s="142" t="str">
        <f>IFERROR(__xludf.DUMMYFUNCTION("""COMPUTED_VALUE"""),"Cavite")</f>
        <v>Cavite</v>
      </c>
      <c r="D154" s="142" t="str">
        <f>IFERROR(__xludf.DUMMYFUNCTION("""COMPUTED_VALUE"""),"Laguna")</f>
        <v>Laguna</v>
      </c>
      <c r="E154" s="142" t="str">
        <f>IFERROR(__xludf.DUMMYFUNCTION("""COMPUTED_VALUE"""),"Quezon")</f>
        <v>Quezon</v>
      </c>
      <c r="F154" s="8"/>
      <c r="G154" s="8"/>
      <c r="H154" s="8"/>
    </row>
    <row r="155">
      <c r="A155" s="142" t="s">
        <v>314</v>
      </c>
      <c r="B155" s="142" t="str">
        <f>IFERROR(__xludf.DUMMYFUNCTION("""COMPUTED_VALUE"""),"Aklan")</f>
        <v>Aklan</v>
      </c>
      <c r="C155" s="142" t="str">
        <f>IFERROR(__xludf.DUMMYFUNCTION("""COMPUTED_VALUE"""),"Antique")</f>
        <v>Antique</v>
      </c>
      <c r="D155" s="142" t="str">
        <f>IFERROR(__xludf.DUMMYFUNCTION("""COMPUTED_VALUE"""),"Capiz")</f>
        <v>Capiz</v>
      </c>
      <c r="E155" s="142" t="str">
        <f>IFERROR(__xludf.DUMMYFUNCTION("""COMPUTED_VALUE"""),"Iloilo")</f>
        <v>Iloilo</v>
      </c>
      <c r="F155" s="142" t="str">
        <f>IFERROR(__xludf.DUMMYFUNCTION("""COMPUTED_VALUE"""),"Guimaras")</f>
        <v>Guimaras</v>
      </c>
      <c r="G155" s="8"/>
      <c r="H155" s="8"/>
    </row>
    <row r="156">
      <c r="A156" s="142" t="s">
        <v>579</v>
      </c>
      <c r="B156" s="142" t="str">
        <f>IFERROR(__xludf.DUMMYFUNCTION("""COMPUTED_VALUE"""),"Eastern Samar")</f>
        <v>Eastern Samar</v>
      </c>
      <c r="C156" s="142" t="str">
        <f>IFERROR(__xludf.DUMMYFUNCTION("""COMPUTED_VALUE"""),"Leyte")</f>
        <v>Leyte</v>
      </c>
      <c r="D156" s="142" t="str">
        <f>IFERROR(__xludf.DUMMYFUNCTION("""COMPUTED_VALUE"""),"Northern Samar")</f>
        <v>Northern Samar</v>
      </c>
      <c r="E156" s="142" t="str">
        <f>IFERROR(__xludf.DUMMYFUNCTION("""COMPUTED_VALUE"""),"Samar")</f>
        <v>Samar</v>
      </c>
      <c r="F156" s="142" t="str">
        <f>IFERROR(__xludf.DUMMYFUNCTION("""COMPUTED_VALUE"""),"Southern Leyte")</f>
        <v>Southern Leyte</v>
      </c>
      <c r="G156" s="142" t="str">
        <f>IFERROR(__xludf.DUMMYFUNCTION("""COMPUTED_VALUE"""),"Biliran")</f>
        <v>Biliran</v>
      </c>
      <c r="H156" s="8"/>
    </row>
    <row r="157">
      <c r="A157" s="142" t="s">
        <v>293</v>
      </c>
      <c r="B157" s="142" t="str">
        <f>IFERROR(__xludf.DUMMYFUNCTION("""COMPUTED_VALUE"""),"Bataan")</f>
        <v>Bataan</v>
      </c>
      <c r="C157" s="142" t="str">
        <f>IFERROR(__xludf.DUMMYFUNCTION("""COMPUTED_VALUE"""),"Bulacan")</f>
        <v>Bulacan</v>
      </c>
      <c r="D157" s="142" t="str">
        <f>IFERROR(__xludf.DUMMYFUNCTION("""COMPUTED_VALUE"""),"Nueva Ecija")</f>
        <v>Nueva Ecija</v>
      </c>
      <c r="E157" s="142" t="str">
        <f>IFERROR(__xludf.DUMMYFUNCTION("""COMPUTED_VALUE"""),"Pampanga")</f>
        <v>Pampanga</v>
      </c>
      <c r="F157" s="142" t="str">
        <f>IFERROR(__xludf.DUMMYFUNCTION("""COMPUTED_VALUE"""),"Tarlac")</f>
        <v>Tarlac</v>
      </c>
      <c r="G157" s="142" t="str">
        <f>IFERROR(__xludf.DUMMYFUNCTION("""COMPUTED_VALUE"""),"Zambales")</f>
        <v>Zambales</v>
      </c>
      <c r="H157" s="142" t="str">
        <f>IFERROR(__xludf.DUMMYFUNCTION("""COMPUTED_VALUE"""),"Aurora")</f>
        <v>Aurora</v>
      </c>
    </row>
    <row r="158">
      <c r="A158" s="142" t="s">
        <v>293</v>
      </c>
      <c r="B158" s="142" t="str">
        <f>IFERROR(__xludf.DUMMYFUNCTION("""COMPUTED_VALUE"""),"Bataan")</f>
        <v>Bataan</v>
      </c>
      <c r="C158" s="142" t="str">
        <f>IFERROR(__xludf.DUMMYFUNCTION("""COMPUTED_VALUE"""),"Bulacan")</f>
        <v>Bulacan</v>
      </c>
      <c r="D158" s="142" t="str">
        <f>IFERROR(__xludf.DUMMYFUNCTION("""COMPUTED_VALUE"""),"Nueva Ecija")</f>
        <v>Nueva Ecija</v>
      </c>
      <c r="E158" s="142" t="str">
        <f>IFERROR(__xludf.DUMMYFUNCTION("""COMPUTED_VALUE"""),"Pampanga")</f>
        <v>Pampanga</v>
      </c>
      <c r="F158" s="142" t="str">
        <f>IFERROR(__xludf.DUMMYFUNCTION("""COMPUTED_VALUE"""),"Tarlac")</f>
        <v>Tarlac</v>
      </c>
      <c r="G158" s="142" t="str">
        <f>IFERROR(__xludf.DUMMYFUNCTION("""COMPUTED_VALUE"""),"Zambales")</f>
        <v>Zambales</v>
      </c>
      <c r="H158" s="142" t="str">
        <f>IFERROR(__xludf.DUMMYFUNCTION("""COMPUTED_VALUE"""),"Aurora")</f>
        <v>Aurora</v>
      </c>
    </row>
    <row r="159">
      <c r="A159" s="142" t="s">
        <v>314</v>
      </c>
      <c r="B159" s="142" t="str">
        <f>IFERROR(__xludf.DUMMYFUNCTION("""COMPUTED_VALUE"""),"Aklan")</f>
        <v>Aklan</v>
      </c>
      <c r="C159" s="142" t="str">
        <f>IFERROR(__xludf.DUMMYFUNCTION("""COMPUTED_VALUE"""),"Antique")</f>
        <v>Antique</v>
      </c>
      <c r="D159" s="142" t="str">
        <f>IFERROR(__xludf.DUMMYFUNCTION("""COMPUTED_VALUE"""),"Capiz")</f>
        <v>Capiz</v>
      </c>
      <c r="E159" s="142" t="str">
        <f>IFERROR(__xludf.DUMMYFUNCTION("""COMPUTED_VALUE"""),"Iloilo")</f>
        <v>Iloilo</v>
      </c>
      <c r="F159" s="142" t="str">
        <f>IFERROR(__xludf.DUMMYFUNCTION("""COMPUTED_VALUE"""),"Guimaras")</f>
        <v>Guimaras</v>
      </c>
      <c r="G159" s="8"/>
      <c r="H159" s="8"/>
    </row>
    <row r="160">
      <c r="A160" s="142" t="s">
        <v>193</v>
      </c>
      <c r="B160" s="142" t="str">
        <f>IFERROR(__xludf.DUMMYFUNCTION("""COMPUTED_VALUE"""),"Bohol")</f>
        <v>Bohol</v>
      </c>
      <c r="C160" s="142" t="str">
        <f>IFERROR(__xludf.DUMMYFUNCTION("""COMPUTED_VALUE"""),"Cebu")</f>
        <v>Cebu</v>
      </c>
      <c r="D160" s="8"/>
      <c r="E160" s="8"/>
      <c r="F160" s="8"/>
      <c r="G160" s="8"/>
      <c r="H160" s="8"/>
    </row>
    <row r="161">
      <c r="A161" s="142" t="s">
        <v>642</v>
      </c>
      <c r="B161" s="142" t="str">
        <f>IFERROR(__xludf.DUMMYFUNCTION("""COMPUTED_VALUE"""),"Basilan")</f>
        <v>Basilan</v>
      </c>
      <c r="C161" s="142" t="str">
        <f>IFERROR(__xludf.DUMMYFUNCTION("""COMPUTED_VALUE"""),"Lanao del Sur")</f>
        <v>Lanao del Sur</v>
      </c>
      <c r="D161" s="142" t="str">
        <f>IFERROR(__xludf.DUMMYFUNCTION("""COMPUTED_VALUE"""),"Sulu")</f>
        <v>Sulu</v>
      </c>
      <c r="E161" s="142" t="str">
        <f>IFERROR(__xludf.DUMMYFUNCTION("""COMPUTED_VALUE"""),"Tawi-Tawi")</f>
        <v>Tawi-Tawi</v>
      </c>
      <c r="F161" s="142" t="str">
        <f>IFERROR(__xludf.DUMMYFUNCTION("""COMPUTED_VALUE"""),"Maguindanao del Norte")</f>
        <v>Maguindanao del Norte</v>
      </c>
      <c r="G161" s="142" t="str">
        <f>IFERROR(__xludf.DUMMYFUNCTION("""COMPUTED_VALUE"""),"Maguindanao del Sur")</f>
        <v>Maguindanao del Sur</v>
      </c>
      <c r="H161" s="142" t="str">
        <f>IFERROR(__xludf.DUMMYFUNCTION("""COMPUTED_VALUE"""),"Special Geographic Area")</f>
        <v>Special Geographic Area</v>
      </c>
    </row>
    <row r="162">
      <c r="A162" s="142" t="s">
        <v>642</v>
      </c>
      <c r="B162" s="142" t="str">
        <f>IFERROR(__xludf.DUMMYFUNCTION("""COMPUTED_VALUE"""),"Basilan")</f>
        <v>Basilan</v>
      </c>
      <c r="C162" s="142" t="str">
        <f>IFERROR(__xludf.DUMMYFUNCTION("""COMPUTED_VALUE"""),"Lanao del Sur")</f>
        <v>Lanao del Sur</v>
      </c>
      <c r="D162" s="142" t="str">
        <f>IFERROR(__xludf.DUMMYFUNCTION("""COMPUTED_VALUE"""),"Sulu")</f>
        <v>Sulu</v>
      </c>
      <c r="E162" s="142" t="str">
        <f>IFERROR(__xludf.DUMMYFUNCTION("""COMPUTED_VALUE"""),"Tawi-Tawi")</f>
        <v>Tawi-Tawi</v>
      </c>
      <c r="F162" s="142" t="str">
        <f>IFERROR(__xludf.DUMMYFUNCTION("""COMPUTED_VALUE"""),"Maguindanao del Norte")</f>
        <v>Maguindanao del Norte</v>
      </c>
      <c r="G162" s="142" t="str">
        <f>IFERROR(__xludf.DUMMYFUNCTION("""COMPUTED_VALUE"""),"Maguindanao del Sur")</f>
        <v>Maguindanao del Sur</v>
      </c>
      <c r="H162" s="142" t="str">
        <f>IFERROR(__xludf.DUMMYFUNCTION("""COMPUTED_VALUE"""),"Special Geographic Area")</f>
        <v>Special Geographic Area</v>
      </c>
    </row>
    <row r="163">
      <c r="A163" s="142" t="s">
        <v>642</v>
      </c>
      <c r="B163" s="142" t="str">
        <f>IFERROR(__xludf.DUMMYFUNCTION("""COMPUTED_VALUE"""),"Basilan")</f>
        <v>Basilan</v>
      </c>
      <c r="C163" s="142" t="str">
        <f>IFERROR(__xludf.DUMMYFUNCTION("""COMPUTED_VALUE"""),"Lanao del Sur")</f>
        <v>Lanao del Sur</v>
      </c>
      <c r="D163" s="142" t="str">
        <f>IFERROR(__xludf.DUMMYFUNCTION("""COMPUTED_VALUE"""),"Sulu")</f>
        <v>Sulu</v>
      </c>
      <c r="E163" s="142" t="str">
        <f>IFERROR(__xludf.DUMMYFUNCTION("""COMPUTED_VALUE"""),"Tawi-Tawi")</f>
        <v>Tawi-Tawi</v>
      </c>
      <c r="F163" s="142" t="str">
        <f>IFERROR(__xludf.DUMMYFUNCTION("""COMPUTED_VALUE"""),"Maguindanao del Norte")</f>
        <v>Maguindanao del Norte</v>
      </c>
      <c r="G163" s="142" t="str">
        <f>IFERROR(__xludf.DUMMYFUNCTION("""COMPUTED_VALUE"""),"Maguindanao del Sur")</f>
        <v>Maguindanao del Sur</v>
      </c>
      <c r="H163" s="142" t="str">
        <f>IFERROR(__xludf.DUMMYFUNCTION("""COMPUTED_VALUE"""),"Special Geographic Area")</f>
        <v>Special Geographic Area</v>
      </c>
    </row>
    <row r="164">
      <c r="A164" s="142" t="s">
        <v>535</v>
      </c>
      <c r="B164" s="142" t="str">
        <f>IFERROR(__xludf.DUMMYFUNCTION("""COMPUTED_VALUE"""),"Albay")</f>
        <v>Albay</v>
      </c>
      <c r="C164" s="142" t="str">
        <f>IFERROR(__xludf.DUMMYFUNCTION("""COMPUTED_VALUE"""),"Camarines Norte")</f>
        <v>Camarines Norte</v>
      </c>
      <c r="D164" s="142" t="str">
        <f>IFERROR(__xludf.DUMMYFUNCTION("""COMPUTED_VALUE"""),"Camarines Sur")</f>
        <v>Camarines Sur</v>
      </c>
      <c r="E164" s="142" t="str">
        <f>IFERROR(__xludf.DUMMYFUNCTION("""COMPUTED_VALUE"""),"Catanduanes")</f>
        <v>Catanduanes</v>
      </c>
      <c r="F164" s="142" t="str">
        <f>IFERROR(__xludf.DUMMYFUNCTION("""COMPUTED_VALUE"""),"Masbate")</f>
        <v>Masbate</v>
      </c>
      <c r="G164" s="142" t="str">
        <f>IFERROR(__xludf.DUMMYFUNCTION("""COMPUTED_VALUE"""),"Sorsogon")</f>
        <v>Sorsogon</v>
      </c>
      <c r="H164" s="8"/>
    </row>
    <row r="165">
      <c r="A165" s="142" t="s">
        <v>642</v>
      </c>
      <c r="B165" s="142" t="str">
        <f>IFERROR(__xludf.DUMMYFUNCTION("""COMPUTED_VALUE"""),"Basilan")</f>
        <v>Basilan</v>
      </c>
      <c r="C165" s="142" t="str">
        <f>IFERROR(__xludf.DUMMYFUNCTION("""COMPUTED_VALUE"""),"Lanao del Sur")</f>
        <v>Lanao del Sur</v>
      </c>
      <c r="D165" s="142" t="str">
        <f>IFERROR(__xludf.DUMMYFUNCTION("""COMPUTED_VALUE"""),"Sulu")</f>
        <v>Sulu</v>
      </c>
      <c r="E165" s="142" t="str">
        <f>IFERROR(__xludf.DUMMYFUNCTION("""COMPUTED_VALUE"""),"Tawi-Tawi")</f>
        <v>Tawi-Tawi</v>
      </c>
      <c r="F165" s="142" t="str">
        <f>IFERROR(__xludf.DUMMYFUNCTION("""COMPUTED_VALUE"""),"Maguindanao del Norte")</f>
        <v>Maguindanao del Norte</v>
      </c>
      <c r="G165" s="142" t="str">
        <f>IFERROR(__xludf.DUMMYFUNCTION("""COMPUTED_VALUE"""),"Maguindanao del Sur")</f>
        <v>Maguindanao del Sur</v>
      </c>
      <c r="H165" s="142" t="str">
        <f>IFERROR(__xludf.DUMMYFUNCTION("""COMPUTED_VALUE"""),"Special Geographic Area")</f>
        <v>Special Geographic Area</v>
      </c>
    </row>
    <row r="166">
      <c r="A166" s="142" t="s">
        <v>642</v>
      </c>
      <c r="B166" s="142" t="str">
        <f>IFERROR(__xludf.DUMMYFUNCTION("""COMPUTED_VALUE"""),"Basilan")</f>
        <v>Basilan</v>
      </c>
      <c r="C166" s="142" t="str">
        <f>IFERROR(__xludf.DUMMYFUNCTION("""COMPUTED_VALUE"""),"Lanao del Sur")</f>
        <v>Lanao del Sur</v>
      </c>
      <c r="D166" s="142" t="str">
        <f>IFERROR(__xludf.DUMMYFUNCTION("""COMPUTED_VALUE"""),"Sulu")</f>
        <v>Sulu</v>
      </c>
      <c r="E166" s="142" t="str">
        <f>IFERROR(__xludf.DUMMYFUNCTION("""COMPUTED_VALUE"""),"Tawi-Tawi")</f>
        <v>Tawi-Tawi</v>
      </c>
      <c r="F166" s="142" t="str">
        <f>IFERROR(__xludf.DUMMYFUNCTION("""COMPUTED_VALUE"""),"Maguindanao del Norte")</f>
        <v>Maguindanao del Norte</v>
      </c>
      <c r="G166" s="142" t="str">
        <f>IFERROR(__xludf.DUMMYFUNCTION("""COMPUTED_VALUE"""),"Maguindanao del Sur")</f>
        <v>Maguindanao del Sur</v>
      </c>
      <c r="H166" s="142" t="str">
        <f>IFERROR(__xludf.DUMMYFUNCTION("""COMPUTED_VALUE"""),"Special Geographic Area")</f>
        <v>Special Geographic Area</v>
      </c>
    </row>
    <row r="167">
      <c r="A167" s="142" t="s">
        <v>642</v>
      </c>
      <c r="B167" s="142" t="str">
        <f>IFERROR(__xludf.DUMMYFUNCTION("""COMPUTED_VALUE"""),"Basilan")</f>
        <v>Basilan</v>
      </c>
      <c r="C167" s="142" t="str">
        <f>IFERROR(__xludf.DUMMYFUNCTION("""COMPUTED_VALUE"""),"Lanao del Sur")</f>
        <v>Lanao del Sur</v>
      </c>
      <c r="D167" s="142" t="str">
        <f>IFERROR(__xludf.DUMMYFUNCTION("""COMPUTED_VALUE"""),"Sulu")</f>
        <v>Sulu</v>
      </c>
      <c r="E167" s="142" t="str">
        <f>IFERROR(__xludf.DUMMYFUNCTION("""COMPUTED_VALUE"""),"Tawi-Tawi")</f>
        <v>Tawi-Tawi</v>
      </c>
      <c r="F167" s="142" t="str">
        <f>IFERROR(__xludf.DUMMYFUNCTION("""COMPUTED_VALUE"""),"Maguindanao del Norte")</f>
        <v>Maguindanao del Norte</v>
      </c>
      <c r="G167" s="142" t="str">
        <f>IFERROR(__xludf.DUMMYFUNCTION("""COMPUTED_VALUE"""),"Maguindanao del Sur")</f>
        <v>Maguindanao del Sur</v>
      </c>
      <c r="H167" s="142" t="str">
        <f>IFERROR(__xludf.DUMMYFUNCTION("""COMPUTED_VALUE"""),"Special Geographic Area")</f>
        <v>Special Geographic Area</v>
      </c>
    </row>
    <row r="168">
      <c r="A168" s="142" t="s">
        <v>642</v>
      </c>
      <c r="B168" s="142" t="str">
        <f>IFERROR(__xludf.DUMMYFUNCTION("""COMPUTED_VALUE"""),"Basilan")</f>
        <v>Basilan</v>
      </c>
      <c r="C168" s="142" t="str">
        <f>IFERROR(__xludf.DUMMYFUNCTION("""COMPUTED_VALUE"""),"Lanao del Sur")</f>
        <v>Lanao del Sur</v>
      </c>
      <c r="D168" s="142" t="str">
        <f>IFERROR(__xludf.DUMMYFUNCTION("""COMPUTED_VALUE"""),"Sulu")</f>
        <v>Sulu</v>
      </c>
      <c r="E168" s="142" t="str">
        <f>IFERROR(__xludf.DUMMYFUNCTION("""COMPUTED_VALUE"""),"Tawi-Tawi")</f>
        <v>Tawi-Tawi</v>
      </c>
      <c r="F168" s="142" t="str">
        <f>IFERROR(__xludf.DUMMYFUNCTION("""COMPUTED_VALUE"""),"Maguindanao del Norte")</f>
        <v>Maguindanao del Norte</v>
      </c>
      <c r="G168" s="142" t="str">
        <f>IFERROR(__xludf.DUMMYFUNCTION("""COMPUTED_VALUE"""),"Maguindanao del Sur")</f>
        <v>Maguindanao del Sur</v>
      </c>
      <c r="H168" s="142" t="str">
        <f>IFERROR(__xludf.DUMMYFUNCTION("""COMPUTED_VALUE"""),"Special Geographic Area")</f>
        <v>Special Geographic Area</v>
      </c>
    </row>
    <row r="169">
      <c r="A169" s="142" t="s">
        <v>642</v>
      </c>
      <c r="B169" s="142" t="str">
        <f>IFERROR(__xludf.DUMMYFUNCTION("""COMPUTED_VALUE"""),"Basilan")</f>
        <v>Basilan</v>
      </c>
      <c r="C169" s="142" t="str">
        <f>IFERROR(__xludf.DUMMYFUNCTION("""COMPUTED_VALUE"""),"Lanao del Sur")</f>
        <v>Lanao del Sur</v>
      </c>
      <c r="D169" s="142" t="str">
        <f>IFERROR(__xludf.DUMMYFUNCTION("""COMPUTED_VALUE"""),"Sulu")</f>
        <v>Sulu</v>
      </c>
      <c r="E169" s="142" t="str">
        <f>IFERROR(__xludf.DUMMYFUNCTION("""COMPUTED_VALUE"""),"Tawi-Tawi")</f>
        <v>Tawi-Tawi</v>
      </c>
      <c r="F169" s="142" t="str">
        <f>IFERROR(__xludf.DUMMYFUNCTION("""COMPUTED_VALUE"""),"Maguindanao del Norte")</f>
        <v>Maguindanao del Norte</v>
      </c>
      <c r="G169" s="142" t="str">
        <f>IFERROR(__xludf.DUMMYFUNCTION("""COMPUTED_VALUE"""),"Maguindanao del Sur")</f>
        <v>Maguindanao del Sur</v>
      </c>
      <c r="H169" s="142" t="str">
        <f>IFERROR(__xludf.DUMMYFUNCTION("""COMPUTED_VALUE"""),"Special Geographic Area")</f>
        <v>Special Geographic Area</v>
      </c>
    </row>
    <row r="170">
      <c r="A170" s="142" t="s">
        <v>642</v>
      </c>
      <c r="B170" s="142" t="str">
        <f>IFERROR(__xludf.DUMMYFUNCTION("""COMPUTED_VALUE"""),"Basilan")</f>
        <v>Basilan</v>
      </c>
      <c r="C170" s="142" t="str">
        <f>IFERROR(__xludf.DUMMYFUNCTION("""COMPUTED_VALUE"""),"Lanao del Sur")</f>
        <v>Lanao del Sur</v>
      </c>
      <c r="D170" s="142" t="str">
        <f>IFERROR(__xludf.DUMMYFUNCTION("""COMPUTED_VALUE"""),"Sulu")</f>
        <v>Sulu</v>
      </c>
      <c r="E170" s="142" t="str">
        <f>IFERROR(__xludf.DUMMYFUNCTION("""COMPUTED_VALUE"""),"Tawi-Tawi")</f>
        <v>Tawi-Tawi</v>
      </c>
      <c r="F170" s="142" t="str">
        <f>IFERROR(__xludf.DUMMYFUNCTION("""COMPUTED_VALUE"""),"Maguindanao del Norte")</f>
        <v>Maguindanao del Norte</v>
      </c>
      <c r="G170" s="142" t="str">
        <f>IFERROR(__xludf.DUMMYFUNCTION("""COMPUTED_VALUE"""),"Maguindanao del Sur")</f>
        <v>Maguindanao del Sur</v>
      </c>
      <c r="H170" s="142" t="str">
        <f>IFERROR(__xludf.DUMMYFUNCTION("""COMPUTED_VALUE"""),"Special Geographic Area")</f>
        <v>Special Geographic Area</v>
      </c>
    </row>
    <row r="171">
      <c r="A171" s="142" t="s">
        <v>642</v>
      </c>
      <c r="B171" s="142" t="str">
        <f>IFERROR(__xludf.DUMMYFUNCTION("""COMPUTED_VALUE"""),"Basilan")</f>
        <v>Basilan</v>
      </c>
      <c r="C171" s="142" t="str">
        <f>IFERROR(__xludf.DUMMYFUNCTION("""COMPUTED_VALUE"""),"Lanao del Sur")</f>
        <v>Lanao del Sur</v>
      </c>
      <c r="D171" s="142" t="str">
        <f>IFERROR(__xludf.DUMMYFUNCTION("""COMPUTED_VALUE"""),"Sulu")</f>
        <v>Sulu</v>
      </c>
      <c r="E171" s="142" t="str">
        <f>IFERROR(__xludf.DUMMYFUNCTION("""COMPUTED_VALUE"""),"Tawi-Tawi")</f>
        <v>Tawi-Tawi</v>
      </c>
      <c r="F171" s="142" t="str">
        <f>IFERROR(__xludf.DUMMYFUNCTION("""COMPUTED_VALUE"""),"Maguindanao del Norte")</f>
        <v>Maguindanao del Norte</v>
      </c>
      <c r="G171" s="142" t="str">
        <f>IFERROR(__xludf.DUMMYFUNCTION("""COMPUTED_VALUE"""),"Maguindanao del Sur")</f>
        <v>Maguindanao del Sur</v>
      </c>
      <c r="H171" s="142" t="str">
        <f>IFERROR(__xludf.DUMMYFUNCTION("""COMPUTED_VALUE"""),"Special Geographic Area")</f>
        <v>Special Geographic Area</v>
      </c>
    </row>
    <row r="172">
      <c r="A172" s="142" t="s">
        <v>314</v>
      </c>
      <c r="B172" s="142" t="str">
        <f>IFERROR(__xludf.DUMMYFUNCTION("""COMPUTED_VALUE"""),"Aklan")</f>
        <v>Aklan</v>
      </c>
      <c r="C172" s="142" t="str">
        <f>IFERROR(__xludf.DUMMYFUNCTION("""COMPUTED_VALUE"""),"Antique")</f>
        <v>Antique</v>
      </c>
      <c r="D172" s="142" t="str">
        <f>IFERROR(__xludf.DUMMYFUNCTION("""COMPUTED_VALUE"""),"Capiz")</f>
        <v>Capiz</v>
      </c>
      <c r="E172" s="142" t="str">
        <f>IFERROR(__xludf.DUMMYFUNCTION("""COMPUTED_VALUE"""),"Iloilo")</f>
        <v>Iloilo</v>
      </c>
      <c r="F172" s="142" t="str">
        <f>IFERROR(__xludf.DUMMYFUNCTION("""COMPUTED_VALUE"""),"Guimaras")</f>
        <v>Guimaras</v>
      </c>
      <c r="G172" s="8"/>
      <c r="H172" s="8"/>
    </row>
    <row r="173">
      <c r="A173" s="142" t="s">
        <v>293</v>
      </c>
      <c r="B173" s="142" t="str">
        <f>IFERROR(__xludf.DUMMYFUNCTION("""COMPUTED_VALUE"""),"Bataan")</f>
        <v>Bataan</v>
      </c>
      <c r="C173" s="142" t="str">
        <f>IFERROR(__xludf.DUMMYFUNCTION("""COMPUTED_VALUE"""),"Bulacan")</f>
        <v>Bulacan</v>
      </c>
      <c r="D173" s="142" t="str">
        <f>IFERROR(__xludf.DUMMYFUNCTION("""COMPUTED_VALUE"""),"Nueva Ecija")</f>
        <v>Nueva Ecija</v>
      </c>
      <c r="E173" s="142" t="str">
        <f>IFERROR(__xludf.DUMMYFUNCTION("""COMPUTED_VALUE"""),"Pampanga")</f>
        <v>Pampanga</v>
      </c>
      <c r="F173" s="142" t="str">
        <f>IFERROR(__xludf.DUMMYFUNCTION("""COMPUTED_VALUE"""),"Tarlac")</f>
        <v>Tarlac</v>
      </c>
      <c r="G173" s="142" t="str">
        <f>IFERROR(__xludf.DUMMYFUNCTION("""COMPUTED_VALUE"""),"Zambales")</f>
        <v>Zambales</v>
      </c>
      <c r="H173" s="142" t="str">
        <f>IFERROR(__xludf.DUMMYFUNCTION("""COMPUTED_VALUE"""),"Aurora")</f>
        <v>Aurora</v>
      </c>
    </row>
    <row r="174">
      <c r="A174" s="142" t="s">
        <v>257</v>
      </c>
      <c r="B174" s="142" t="str">
        <f>IFERROR(__xludf.DUMMYFUNCTION("""COMPUTED_VALUE"""),"Batangas")</f>
        <v>Batangas</v>
      </c>
      <c r="C174" s="142" t="str">
        <f>IFERROR(__xludf.DUMMYFUNCTION("""COMPUTED_VALUE"""),"Cavite")</f>
        <v>Cavite</v>
      </c>
      <c r="D174" s="142" t="str">
        <f>IFERROR(__xludf.DUMMYFUNCTION("""COMPUTED_VALUE"""),"Laguna")</f>
        <v>Laguna</v>
      </c>
      <c r="E174" s="142" t="str">
        <f>IFERROR(__xludf.DUMMYFUNCTION("""COMPUTED_VALUE"""),"Quezon")</f>
        <v>Quezon</v>
      </c>
      <c r="F174" s="8"/>
      <c r="G174" s="8"/>
      <c r="H174" s="8"/>
    </row>
    <row r="175">
      <c r="A175" s="142" t="s">
        <v>257</v>
      </c>
      <c r="B175" s="142" t="str">
        <f>IFERROR(__xludf.DUMMYFUNCTION("""COMPUTED_VALUE"""),"Batangas")</f>
        <v>Batangas</v>
      </c>
      <c r="C175" s="142" t="str">
        <f>IFERROR(__xludf.DUMMYFUNCTION("""COMPUTED_VALUE"""),"Cavite")</f>
        <v>Cavite</v>
      </c>
      <c r="D175" s="142" t="str">
        <f>IFERROR(__xludf.DUMMYFUNCTION("""COMPUTED_VALUE"""),"Laguna")</f>
        <v>Laguna</v>
      </c>
      <c r="E175" s="142" t="str">
        <f>IFERROR(__xludf.DUMMYFUNCTION("""COMPUTED_VALUE"""),"Quezon")</f>
        <v>Quezon</v>
      </c>
      <c r="F175" s="8"/>
      <c r="G175" s="8"/>
      <c r="H175" s="8"/>
    </row>
    <row r="176">
      <c r="A176" s="142" t="s">
        <v>257</v>
      </c>
      <c r="B176" s="142" t="str">
        <f>IFERROR(__xludf.DUMMYFUNCTION("""COMPUTED_VALUE"""),"Batangas")</f>
        <v>Batangas</v>
      </c>
      <c r="C176" s="142" t="str">
        <f>IFERROR(__xludf.DUMMYFUNCTION("""COMPUTED_VALUE"""),"Cavite")</f>
        <v>Cavite</v>
      </c>
      <c r="D176" s="142" t="str">
        <f>IFERROR(__xludf.DUMMYFUNCTION("""COMPUTED_VALUE"""),"Laguna")</f>
        <v>Laguna</v>
      </c>
      <c r="E176" s="142" t="str">
        <f>IFERROR(__xludf.DUMMYFUNCTION("""COMPUTED_VALUE"""),"Quezon")</f>
        <v>Quezon</v>
      </c>
      <c r="F176" s="8"/>
      <c r="G176" s="8"/>
      <c r="H176" s="8"/>
    </row>
    <row r="177">
      <c r="A177" s="142" t="s">
        <v>257</v>
      </c>
      <c r="B177" s="142" t="str">
        <f>IFERROR(__xludf.DUMMYFUNCTION("""COMPUTED_VALUE"""),"Batangas")</f>
        <v>Batangas</v>
      </c>
      <c r="C177" s="142" t="str">
        <f>IFERROR(__xludf.DUMMYFUNCTION("""COMPUTED_VALUE"""),"Cavite")</f>
        <v>Cavite</v>
      </c>
      <c r="D177" s="142" t="str">
        <f>IFERROR(__xludf.DUMMYFUNCTION("""COMPUTED_VALUE"""),"Laguna")</f>
        <v>Laguna</v>
      </c>
      <c r="E177" s="142" t="str">
        <f>IFERROR(__xludf.DUMMYFUNCTION("""COMPUTED_VALUE"""),"Quezon")</f>
        <v>Quezon</v>
      </c>
      <c r="F177" s="8"/>
      <c r="G177" s="8"/>
      <c r="H177" s="8"/>
    </row>
    <row r="178">
      <c r="A178" s="142" t="s">
        <v>257</v>
      </c>
      <c r="B178" s="142" t="str">
        <f>IFERROR(__xludf.DUMMYFUNCTION("""COMPUTED_VALUE"""),"Batangas")</f>
        <v>Batangas</v>
      </c>
      <c r="C178" s="142" t="str">
        <f>IFERROR(__xludf.DUMMYFUNCTION("""COMPUTED_VALUE"""),"Cavite")</f>
        <v>Cavite</v>
      </c>
      <c r="D178" s="142" t="str">
        <f>IFERROR(__xludf.DUMMYFUNCTION("""COMPUTED_VALUE"""),"Laguna")</f>
        <v>Laguna</v>
      </c>
      <c r="E178" s="142" t="str">
        <f>IFERROR(__xludf.DUMMYFUNCTION("""COMPUTED_VALUE"""),"Quezon")</f>
        <v>Quezon</v>
      </c>
      <c r="F178" s="8"/>
      <c r="G178" s="8"/>
      <c r="H178" s="8"/>
    </row>
    <row r="179">
      <c r="A179" s="142" t="s">
        <v>257</v>
      </c>
      <c r="B179" s="142" t="str">
        <f>IFERROR(__xludf.DUMMYFUNCTION("""COMPUTED_VALUE"""),"Batangas")</f>
        <v>Batangas</v>
      </c>
      <c r="C179" s="142" t="str">
        <f>IFERROR(__xludf.DUMMYFUNCTION("""COMPUTED_VALUE"""),"Cavite")</f>
        <v>Cavite</v>
      </c>
      <c r="D179" s="142" t="str">
        <f>IFERROR(__xludf.DUMMYFUNCTION("""COMPUTED_VALUE"""),"Laguna")</f>
        <v>Laguna</v>
      </c>
      <c r="E179" s="142" t="str">
        <f>IFERROR(__xludf.DUMMYFUNCTION("""COMPUTED_VALUE"""),"Quezon")</f>
        <v>Quezon</v>
      </c>
      <c r="F179" s="8"/>
      <c r="G179" s="8"/>
      <c r="H179" s="8"/>
    </row>
    <row r="180">
      <c r="A180" s="142" t="s">
        <v>257</v>
      </c>
      <c r="B180" s="142" t="str">
        <f>IFERROR(__xludf.DUMMYFUNCTION("""COMPUTED_VALUE"""),"Batangas")</f>
        <v>Batangas</v>
      </c>
      <c r="C180" s="142" t="str">
        <f>IFERROR(__xludf.DUMMYFUNCTION("""COMPUTED_VALUE"""),"Cavite")</f>
        <v>Cavite</v>
      </c>
      <c r="D180" s="142" t="str">
        <f>IFERROR(__xludf.DUMMYFUNCTION("""COMPUTED_VALUE"""),"Laguna")</f>
        <v>Laguna</v>
      </c>
      <c r="E180" s="142" t="str">
        <f>IFERROR(__xludf.DUMMYFUNCTION("""COMPUTED_VALUE"""),"Quezon")</f>
        <v>Quezon</v>
      </c>
      <c r="F180" s="8"/>
      <c r="G180" s="8"/>
      <c r="H180" s="8"/>
    </row>
    <row r="181">
      <c r="A181" s="142" t="s">
        <v>257</v>
      </c>
      <c r="B181" s="142" t="str">
        <f>IFERROR(__xludf.DUMMYFUNCTION("""COMPUTED_VALUE"""),"Batangas")</f>
        <v>Batangas</v>
      </c>
      <c r="C181" s="142" t="str">
        <f>IFERROR(__xludf.DUMMYFUNCTION("""COMPUTED_VALUE"""),"Cavite")</f>
        <v>Cavite</v>
      </c>
      <c r="D181" s="142" t="str">
        <f>IFERROR(__xludf.DUMMYFUNCTION("""COMPUTED_VALUE"""),"Laguna")</f>
        <v>Laguna</v>
      </c>
      <c r="E181" s="142" t="str">
        <f>IFERROR(__xludf.DUMMYFUNCTION("""COMPUTED_VALUE"""),"Quezon")</f>
        <v>Quezon</v>
      </c>
      <c r="F181" s="8"/>
      <c r="G181" s="8"/>
      <c r="H181" s="8"/>
    </row>
    <row r="182">
      <c r="A182" s="142" t="s">
        <v>257</v>
      </c>
      <c r="B182" s="142" t="str">
        <f>IFERROR(__xludf.DUMMYFUNCTION("""COMPUTED_VALUE"""),"Batangas")</f>
        <v>Batangas</v>
      </c>
      <c r="C182" s="142" t="str">
        <f>IFERROR(__xludf.DUMMYFUNCTION("""COMPUTED_VALUE"""),"Cavite")</f>
        <v>Cavite</v>
      </c>
      <c r="D182" s="142" t="str">
        <f>IFERROR(__xludf.DUMMYFUNCTION("""COMPUTED_VALUE"""),"Laguna")</f>
        <v>Laguna</v>
      </c>
      <c r="E182" s="142" t="str">
        <f>IFERROR(__xludf.DUMMYFUNCTION("""COMPUTED_VALUE"""),"Quezon")</f>
        <v>Quezon</v>
      </c>
      <c r="F182" s="8"/>
      <c r="G182" s="8"/>
      <c r="H182" s="8"/>
    </row>
    <row r="183">
      <c r="A183" s="142" t="s">
        <v>257</v>
      </c>
      <c r="B183" s="142" t="str">
        <f>IFERROR(__xludf.DUMMYFUNCTION("""COMPUTED_VALUE"""),"Batangas")</f>
        <v>Batangas</v>
      </c>
      <c r="C183" s="142" t="str">
        <f>IFERROR(__xludf.DUMMYFUNCTION("""COMPUTED_VALUE"""),"Cavite")</f>
        <v>Cavite</v>
      </c>
      <c r="D183" s="142" t="str">
        <f>IFERROR(__xludf.DUMMYFUNCTION("""COMPUTED_VALUE"""),"Laguna")</f>
        <v>Laguna</v>
      </c>
      <c r="E183" s="142" t="str">
        <f>IFERROR(__xludf.DUMMYFUNCTION("""COMPUTED_VALUE"""),"Quezon")</f>
        <v>Quezon</v>
      </c>
      <c r="F183" s="8"/>
      <c r="G183" s="8"/>
      <c r="H183" s="8"/>
    </row>
    <row r="184">
      <c r="A184" s="142" t="s">
        <v>257</v>
      </c>
      <c r="B184" s="142" t="str">
        <f>IFERROR(__xludf.DUMMYFUNCTION("""COMPUTED_VALUE"""),"Batangas")</f>
        <v>Batangas</v>
      </c>
      <c r="C184" s="142" t="str">
        <f>IFERROR(__xludf.DUMMYFUNCTION("""COMPUTED_VALUE"""),"Cavite")</f>
        <v>Cavite</v>
      </c>
      <c r="D184" s="142" t="str">
        <f>IFERROR(__xludf.DUMMYFUNCTION("""COMPUTED_VALUE"""),"Laguna")</f>
        <v>Laguna</v>
      </c>
      <c r="E184" s="142" t="str">
        <f>IFERROR(__xludf.DUMMYFUNCTION("""COMPUTED_VALUE"""),"Quezon")</f>
        <v>Quezon</v>
      </c>
      <c r="F184" s="8"/>
      <c r="G184" s="8"/>
      <c r="H184" s="8"/>
    </row>
    <row r="185">
      <c r="A185" s="142" t="s">
        <v>257</v>
      </c>
      <c r="B185" s="142" t="str">
        <f>IFERROR(__xludf.DUMMYFUNCTION("""COMPUTED_VALUE"""),"Batangas")</f>
        <v>Batangas</v>
      </c>
      <c r="C185" s="142" t="str">
        <f>IFERROR(__xludf.DUMMYFUNCTION("""COMPUTED_VALUE"""),"Cavite")</f>
        <v>Cavite</v>
      </c>
      <c r="D185" s="142" t="str">
        <f>IFERROR(__xludf.DUMMYFUNCTION("""COMPUTED_VALUE"""),"Laguna")</f>
        <v>Laguna</v>
      </c>
      <c r="E185" s="142" t="str">
        <f>IFERROR(__xludf.DUMMYFUNCTION("""COMPUTED_VALUE"""),"Quezon")</f>
        <v>Quezon</v>
      </c>
      <c r="F185" s="8"/>
      <c r="G185" s="8"/>
      <c r="H185" s="8"/>
    </row>
    <row r="186">
      <c r="A186" s="142" t="s">
        <v>257</v>
      </c>
      <c r="B186" s="142" t="str">
        <f>IFERROR(__xludf.DUMMYFUNCTION("""COMPUTED_VALUE"""),"Batangas")</f>
        <v>Batangas</v>
      </c>
      <c r="C186" s="142" t="str">
        <f>IFERROR(__xludf.DUMMYFUNCTION("""COMPUTED_VALUE"""),"Cavite")</f>
        <v>Cavite</v>
      </c>
      <c r="D186" s="142" t="str">
        <f>IFERROR(__xludf.DUMMYFUNCTION("""COMPUTED_VALUE"""),"Laguna")</f>
        <v>Laguna</v>
      </c>
      <c r="E186" s="142" t="str">
        <f>IFERROR(__xludf.DUMMYFUNCTION("""COMPUTED_VALUE"""),"Quezon")</f>
        <v>Quezon</v>
      </c>
      <c r="F186" s="8"/>
      <c r="G186" s="8"/>
      <c r="H186" s="8"/>
    </row>
    <row r="187">
      <c r="A187" s="142" t="s">
        <v>257</v>
      </c>
      <c r="B187" s="142" t="str">
        <f>IFERROR(__xludf.DUMMYFUNCTION("""COMPUTED_VALUE"""),"Batangas")</f>
        <v>Batangas</v>
      </c>
      <c r="C187" s="142" t="str">
        <f>IFERROR(__xludf.DUMMYFUNCTION("""COMPUTED_VALUE"""),"Cavite")</f>
        <v>Cavite</v>
      </c>
      <c r="D187" s="142" t="str">
        <f>IFERROR(__xludf.DUMMYFUNCTION("""COMPUTED_VALUE"""),"Laguna")</f>
        <v>Laguna</v>
      </c>
      <c r="E187" s="142" t="str">
        <f>IFERROR(__xludf.DUMMYFUNCTION("""COMPUTED_VALUE"""),"Quezon")</f>
        <v>Quezon</v>
      </c>
      <c r="F187" s="8"/>
      <c r="G187" s="8"/>
      <c r="H187" s="8"/>
    </row>
    <row r="188">
      <c r="A188" s="142" t="s">
        <v>257</v>
      </c>
      <c r="B188" s="142" t="str">
        <f>IFERROR(__xludf.DUMMYFUNCTION("""COMPUTED_VALUE"""),"Batangas")</f>
        <v>Batangas</v>
      </c>
      <c r="C188" s="142" t="str">
        <f>IFERROR(__xludf.DUMMYFUNCTION("""COMPUTED_VALUE"""),"Cavite")</f>
        <v>Cavite</v>
      </c>
      <c r="D188" s="142" t="str">
        <f>IFERROR(__xludf.DUMMYFUNCTION("""COMPUTED_VALUE"""),"Laguna")</f>
        <v>Laguna</v>
      </c>
      <c r="E188" s="142" t="str">
        <f>IFERROR(__xludf.DUMMYFUNCTION("""COMPUTED_VALUE"""),"Quezon")</f>
        <v>Quezon</v>
      </c>
      <c r="F188" s="8"/>
      <c r="G188" s="8"/>
      <c r="H188" s="8"/>
    </row>
    <row r="189">
      <c r="A189" s="142" t="s">
        <v>257</v>
      </c>
      <c r="B189" s="142" t="str">
        <f>IFERROR(__xludf.DUMMYFUNCTION("""COMPUTED_VALUE"""),"Batangas")</f>
        <v>Batangas</v>
      </c>
      <c r="C189" s="142" t="str">
        <f>IFERROR(__xludf.DUMMYFUNCTION("""COMPUTED_VALUE"""),"Cavite")</f>
        <v>Cavite</v>
      </c>
      <c r="D189" s="142" t="str">
        <f>IFERROR(__xludf.DUMMYFUNCTION("""COMPUTED_VALUE"""),"Laguna")</f>
        <v>Laguna</v>
      </c>
      <c r="E189" s="142" t="str">
        <f>IFERROR(__xludf.DUMMYFUNCTION("""COMPUTED_VALUE"""),"Quezon")</f>
        <v>Quezon</v>
      </c>
      <c r="F189" s="8"/>
      <c r="G189" s="8"/>
      <c r="H189" s="8"/>
    </row>
    <row r="190">
      <c r="A190" s="142" t="s">
        <v>257</v>
      </c>
      <c r="B190" s="142" t="str">
        <f>IFERROR(__xludf.DUMMYFUNCTION("""COMPUTED_VALUE"""),"Batangas")</f>
        <v>Batangas</v>
      </c>
      <c r="C190" s="142" t="str">
        <f>IFERROR(__xludf.DUMMYFUNCTION("""COMPUTED_VALUE"""),"Cavite")</f>
        <v>Cavite</v>
      </c>
      <c r="D190" s="142" t="str">
        <f>IFERROR(__xludf.DUMMYFUNCTION("""COMPUTED_VALUE"""),"Laguna")</f>
        <v>Laguna</v>
      </c>
      <c r="E190" s="142" t="str">
        <f>IFERROR(__xludf.DUMMYFUNCTION("""COMPUTED_VALUE"""),"Quezon")</f>
        <v>Quezon</v>
      </c>
      <c r="F190" s="8"/>
      <c r="G190" s="8"/>
      <c r="H190" s="8"/>
    </row>
    <row r="191">
      <c r="A191" s="142" t="s">
        <v>257</v>
      </c>
      <c r="B191" s="142" t="str">
        <f>IFERROR(__xludf.DUMMYFUNCTION("""COMPUTED_VALUE"""),"Batangas")</f>
        <v>Batangas</v>
      </c>
      <c r="C191" s="142" t="str">
        <f>IFERROR(__xludf.DUMMYFUNCTION("""COMPUTED_VALUE"""),"Cavite")</f>
        <v>Cavite</v>
      </c>
      <c r="D191" s="142" t="str">
        <f>IFERROR(__xludf.DUMMYFUNCTION("""COMPUTED_VALUE"""),"Laguna")</f>
        <v>Laguna</v>
      </c>
      <c r="E191" s="142" t="str">
        <f>IFERROR(__xludf.DUMMYFUNCTION("""COMPUTED_VALUE"""),"Quezon")</f>
        <v>Quezon</v>
      </c>
      <c r="F191" s="8"/>
      <c r="G191" s="8"/>
      <c r="H191" s="8"/>
    </row>
    <row r="192">
      <c r="A192" s="142" t="s">
        <v>257</v>
      </c>
      <c r="B192" s="142" t="str">
        <f>IFERROR(__xludf.DUMMYFUNCTION("""COMPUTED_VALUE"""),"Batangas")</f>
        <v>Batangas</v>
      </c>
      <c r="C192" s="142" t="str">
        <f>IFERROR(__xludf.DUMMYFUNCTION("""COMPUTED_VALUE"""),"Cavite")</f>
        <v>Cavite</v>
      </c>
      <c r="D192" s="142" t="str">
        <f>IFERROR(__xludf.DUMMYFUNCTION("""COMPUTED_VALUE"""),"Laguna")</f>
        <v>Laguna</v>
      </c>
      <c r="E192" s="142" t="str">
        <f>IFERROR(__xludf.DUMMYFUNCTION("""COMPUTED_VALUE"""),"Quezon")</f>
        <v>Quezon</v>
      </c>
      <c r="F192" s="8"/>
      <c r="G192" s="8"/>
      <c r="H192" s="8"/>
    </row>
    <row r="193">
      <c r="A193" s="142" t="s">
        <v>257</v>
      </c>
      <c r="B193" s="142" t="str">
        <f>IFERROR(__xludf.DUMMYFUNCTION("""COMPUTED_VALUE"""),"Batangas")</f>
        <v>Batangas</v>
      </c>
      <c r="C193" s="142" t="str">
        <f>IFERROR(__xludf.DUMMYFUNCTION("""COMPUTED_VALUE"""),"Cavite")</f>
        <v>Cavite</v>
      </c>
      <c r="D193" s="142" t="str">
        <f>IFERROR(__xludf.DUMMYFUNCTION("""COMPUTED_VALUE"""),"Laguna")</f>
        <v>Laguna</v>
      </c>
      <c r="E193" s="142" t="str">
        <f>IFERROR(__xludf.DUMMYFUNCTION("""COMPUTED_VALUE"""),"Quezon")</f>
        <v>Quezon</v>
      </c>
      <c r="F193" s="8"/>
      <c r="G193" s="8"/>
      <c r="H193" s="8"/>
    </row>
    <row r="194">
      <c r="A194" s="142" t="s">
        <v>257</v>
      </c>
      <c r="B194" s="142" t="str">
        <f>IFERROR(__xludf.DUMMYFUNCTION("""COMPUTED_VALUE"""),"Batangas")</f>
        <v>Batangas</v>
      </c>
      <c r="C194" s="142" t="str">
        <f>IFERROR(__xludf.DUMMYFUNCTION("""COMPUTED_VALUE"""),"Cavite")</f>
        <v>Cavite</v>
      </c>
      <c r="D194" s="142" t="str">
        <f>IFERROR(__xludf.DUMMYFUNCTION("""COMPUTED_VALUE"""),"Laguna")</f>
        <v>Laguna</v>
      </c>
      <c r="E194" s="142" t="str">
        <f>IFERROR(__xludf.DUMMYFUNCTION("""COMPUTED_VALUE"""),"Quezon")</f>
        <v>Quezon</v>
      </c>
      <c r="F194" s="8"/>
      <c r="G194" s="8"/>
      <c r="H194" s="8"/>
    </row>
    <row r="195">
      <c r="A195" s="142" t="s">
        <v>257</v>
      </c>
      <c r="B195" s="142" t="str">
        <f>IFERROR(__xludf.DUMMYFUNCTION("""COMPUTED_VALUE"""),"Batangas")</f>
        <v>Batangas</v>
      </c>
      <c r="C195" s="142" t="str">
        <f>IFERROR(__xludf.DUMMYFUNCTION("""COMPUTED_VALUE"""),"Cavite")</f>
        <v>Cavite</v>
      </c>
      <c r="D195" s="142" t="str">
        <f>IFERROR(__xludf.DUMMYFUNCTION("""COMPUTED_VALUE"""),"Laguna")</f>
        <v>Laguna</v>
      </c>
      <c r="E195" s="142" t="str">
        <f>IFERROR(__xludf.DUMMYFUNCTION("""COMPUTED_VALUE"""),"Quezon")</f>
        <v>Quezon</v>
      </c>
      <c r="F195" s="8"/>
      <c r="G195" s="8"/>
      <c r="H195" s="8"/>
    </row>
    <row r="196">
      <c r="A196" s="142" t="s">
        <v>535</v>
      </c>
      <c r="B196" s="142" t="str">
        <f>IFERROR(__xludf.DUMMYFUNCTION("""COMPUTED_VALUE"""),"Albay")</f>
        <v>Albay</v>
      </c>
      <c r="C196" s="142" t="str">
        <f>IFERROR(__xludf.DUMMYFUNCTION("""COMPUTED_VALUE"""),"Camarines Norte")</f>
        <v>Camarines Norte</v>
      </c>
      <c r="D196" s="142" t="str">
        <f>IFERROR(__xludf.DUMMYFUNCTION("""COMPUTED_VALUE"""),"Camarines Sur")</f>
        <v>Camarines Sur</v>
      </c>
      <c r="E196" s="142" t="str">
        <f>IFERROR(__xludf.DUMMYFUNCTION("""COMPUTED_VALUE"""),"Catanduanes")</f>
        <v>Catanduanes</v>
      </c>
      <c r="F196" s="142" t="str">
        <f>IFERROR(__xludf.DUMMYFUNCTION("""COMPUTED_VALUE"""),"Masbate")</f>
        <v>Masbate</v>
      </c>
      <c r="G196" s="142" t="str">
        <f>IFERROR(__xludf.DUMMYFUNCTION("""COMPUTED_VALUE"""),"Sorsogon")</f>
        <v>Sorsogon</v>
      </c>
      <c r="H196" s="8"/>
    </row>
    <row r="197">
      <c r="A197" s="142" t="s">
        <v>535</v>
      </c>
      <c r="B197" s="142" t="str">
        <f>IFERROR(__xludf.DUMMYFUNCTION("""COMPUTED_VALUE"""),"Albay")</f>
        <v>Albay</v>
      </c>
      <c r="C197" s="142" t="str">
        <f>IFERROR(__xludf.DUMMYFUNCTION("""COMPUTED_VALUE"""),"Camarines Norte")</f>
        <v>Camarines Norte</v>
      </c>
      <c r="D197" s="142" t="str">
        <f>IFERROR(__xludf.DUMMYFUNCTION("""COMPUTED_VALUE"""),"Camarines Sur")</f>
        <v>Camarines Sur</v>
      </c>
      <c r="E197" s="142" t="str">
        <f>IFERROR(__xludf.DUMMYFUNCTION("""COMPUTED_VALUE"""),"Catanduanes")</f>
        <v>Catanduanes</v>
      </c>
      <c r="F197" s="142" t="str">
        <f>IFERROR(__xludf.DUMMYFUNCTION("""COMPUTED_VALUE"""),"Masbate")</f>
        <v>Masbate</v>
      </c>
      <c r="G197" s="142" t="str">
        <f>IFERROR(__xludf.DUMMYFUNCTION("""COMPUTED_VALUE"""),"Sorsogon")</f>
        <v>Sorsogon</v>
      </c>
      <c r="H197" s="8"/>
    </row>
    <row r="198">
      <c r="A198" s="142" t="s">
        <v>535</v>
      </c>
      <c r="B198" s="142" t="str">
        <f>IFERROR(__xludf.DUMMYFUNCTION("""COMPUTED_VALUE"""),"Albay")</f>
        <v>Albay</v>
      </c>
      <c r="C198" s="142" t="str">
        <f>IFERROR(__xludf.DUMMYFUNCTION("""COMPUTED_VALUE"""),"Camarines Norte")</f>
        <v>Camarines Norte</v>
      </c>
      <c r="D198" s="142" t="str">
        <f>IFERROR(__xludf.DUMMYFUNCTION("""COMPUTED_VALUE"""),"Camarines Sur")</f>
        <v>Camarines Sur</v>
      </c>
      <c r="E198" s="142" t="str">
        <f>IFERROR(__xludf.DUMMYFUNCTION("""COMPUTED_VALUE"""),"Catanduanes")</f>
        <v>Catanduanes</v>
      </c>
      <c r="F198" s="142" t="str">
        <f>IFERROR(__xludf.DUMMYFUNCTION("""COMPUTED_VALUE"""),"Masbate")</f>
        <v>Masbate</v>
      </c>
      <c r="G198" s="142" t="str">
        <f>IFERROR(__xludf.DUMMYFUNCTION("""COMPUTED_VALUE"""),"Sorsogon")</f>
        <v>Sorsogon</v>
      </c>
      <c r="H198" s="8"/>
    </row>
    <row r="199">
      <c r="A199" s="142" t="s">
        <v>535</v>
      </c>
      <c r="B199" s="142" t="str">
        <f>IFERROR(__xludf.DUMMYFUNCTION("""COMPUTED_VALUE"""),"Albay")</f>
        <v>Albay</v>
      </c>
      <c r="C199" s="142" t="str">
        <f>IFERROR(__xludf.DUMMYFUNCTION("""COMPUTED_VALUE"""),"Camarines Norte")</f>
        <v>Camarines Norte</v>
      </c>
      <c r="D199" s="142" t="str">
        <f>IFERROR(__xludf.DUMMYFUNCTION("""COMPUTED_VALUE"""),"Camarines Sur")</f>
        <v>Camarines Sur</v>
      </c>
      <c r="E199" s="142" t="str">
        <f>IFERROR(__xludf.DUMMYFUNCTION("""COMPUTED_VALUE"""),"Catanduanes")</f>
        <v>Catanduanes</v>
      </c>
      <c r="F199" s="142" t="str">
        <f>IFERROR(__xludf.DUMMYFUNCTION("""COMPUTED_VALUE"""),"Masbate")</f>
        <v>Masbate</v>
      </c>
      <c r="G199" s="142" t="str">
        <f>IFERROR(__xludf.DUMMYFUNCTION("""COMPUTED_VALUE"""),"Sorsogon")</f>
        <v>Sorsogon</v>
      </c>
      <c r="H199" s="8"/>
    </row>
    <row r="200">
      <c r="A200" s="142" t="s">
        <v>535</v>
      </c>
      <c r="B200" s="142" t="str">
        <f>IFERROR(__xludf.DUMMYFUNCTION("""COMPUTED_VALUE"""),"Albay")</f>
        <v>Albay</v>
      </c>
      <c r="C200" s="142" t="str">
        <f>IFERROR(__xludf.DUMMYFUNCTION("""COMPUTED_VALUE"""),"Camarines Norte")</f>
        <v>Camarines Norte</v>
      </c>
      <c r="D200" s="142" t="str">
        <f>IFERROR(__xludf.DUMMYFUNCTION("""COMPUTED_VALUE"""),"Camarines Sur")</f>
        <v>Camarines Sur</v>
      </c>
      <c r="E200" s="142" t="str">
        <f>IFERROR(__xludf.DUMMYFUNCTION("""COMPUTED_VALUE"""),"Catanduanes")</f>
        <v>Catanduanes</v>
      </c>
      <c r="F200" s="142" t="str">
        <f>IFERROR(__xludf.DUMMYFUNCTION("""COMPUTED_VALUE"""),"Masbate")</f>
        <v>Masbate</v>
      </c>
      <c r="G200" s="142" t="str">
        <f>IFERROR(__xludf.DUMMYFUNCTION("""COMPUTED_VALUE"""),"Sorsogon")</f>
        <v>Sorsogon</v>
      </c>
      <c r="H200" s="8"/>
    </row>
    <row r="201">
      <c r="A201" s="142" t="s">
        <v>535</v>
      </c>
      <c r="B201" s="142" t="str">
        <f>IFERROR(__xludf.DUMMYFUNCTION("""COMPUTED_VALUE"""),"Albay")</f>
        <v>Albay</v>
      </c>
      <c r="C201" s="142" t="str">
        <f>IFERROR(__xludf.DUMMYFUNCTION("""COMPUTED_VALUE"""),"Camarines Norte")</f>
        <v>Camarines Norte</v>
      </c>
      <c r="D201" s="142" t="str">
        <f>IFERROR(__xludf.DUMMYFUNCTION("""COMPUTED_VALUE"""),"Camarines Sur")</f>
        <v>Camarines Sur</v>
      </c>
      <c r="E201" s="142" t="str">
        <f>IFERROR(__xludf.DUMMYFUNCTION("""COMPUTED_VALUE"""),"Catanduanes")</f>
        <v>Catanduanes</v>
      </c>
      <c r="F201" s="142" t="str">
        <f>IFERROR(__xludf.DUMMYFUNCTION("""COMPUTED_VALUE"""),"Masbate")</f>
        <v>Masbate</v>
      </c>
      <c r="G201" s="142" t="str">
        <f>IFERROR(__xludf.DUMMYFUNCTION("""COMPUTED_VALUE"""),"Sorsogon")</f>
        <v>Sorsogon</v>
      </c>
      <c r="H201" s="8"/>
    </row>
    <row r="202">
      <c r="A202" s="142" t="s">
        <v>579</v>
      </c>
      <c r="B202" s="142" t="str">
        <f>IFERROR(__xludf.DUMMYFUNCTION("""COMPUTED_VALUE"""),"Eastern Samar")</f>
        <v>Eastern Samar</v>
      </c>
      <c r="C202" s="142" t="str">
        <f>IFERROR(__xludf.DUMMYFUNCTION("""COMPUTED_VALUE"""),"Leyte")</f>
        <v>Leyte</v>
      </c>
      <c r="D202" s="142" t="str">
        <f>IFERROR(__xludf.DUMMYFUNCTION("""COMPUTED_VALUE"""),"Northern Samar")</f>
        <v>Northern Samar</v>
      </c>
      <c r="E202" s="142" t="str">
        <f>IFERROR(__xludf.DUMMYFUNCTION("""COMPUTED_VALUE"""),"Samar")</f>
        <v>Samar</v>
      </c>
      <c r="F202" s="142" t="str">
        <f>IFERROR(__xludf.DUMMYFUNCTION("""COMPUTED_VALUE"""),"Southern Leyte")</f>
        <v>Southern Leyte</v>
      </c>
      <c r="G202" s="142" t="str">
        <f>IFERROR(__xludf.DUMMYFUNCTION("""COMPUTED_VALUE"""),"Biliran")</f>
        <v>Biliran</v>
      </c>
      <c r="H202" s="8"/>
    </row>
    <row r="203">
      <c r="A203" s="142" t="s">
        <v>579</v>
      </c>
      <c r="B203" s="142" t="str">
        <f>IFERROR(__xludf.DUMMYFUNCTION("""COMPUTED_VALUE"""),"Eastern Samar")</f>
        <v>Eastern Samar</v>
      </c>
      <c r="C203" s="142" t="str">
        <f>IFERROR(__xludf.DUMMYFUNCTION("""COMPUTED_VALUE"""),"Leyte")</f>
        <v>Leyte</v>
      </c>
      <c r="D203" s="142" t="str">
        <f>IFERROR(__xludf.DUMMYFUNCTION("""COMPUTED_VALUE"""),"Northern Samar")</f>
        <v>Northern Samar</v>
      </c>
      <c r="E203" s="142" t="str">
        <f>IFERROR(__xludf.DUMMYFUNCTION("""COMPUTED_VALUE"""),"Samar")</f>
        <v>Samar</v>
      </c>
      <c r="F203" s="142" t="str">
        <f>IFERROR(__xludf.DUMMYFUNCTION("""COMPUTED_VALUE"""),"Southern Leyte")</f>
        <v>Southern Leyte</v>
      </c>
      <c r="G203" s="142" t="str">
        <f>IFERROR(__xludf.DUMMYFUNCTION("""COMPUTED_VALUE"""),"Biliran")</f>
        <v>Biliran</v>
      </c>
      <c r="H203" s="8"/>
    </row>
    <row r="204">
      <c r="A204" s="142" t="s">
        <v>579</v>
      </c>
      <c r="B204" s="142" t="str">
        <f>IFERROR(__xludf.DUMMYFUNCTION("""COMPUTED_VALUE"""),"Eastern Samar")</f>
        <v>Eastern Samar</v>
      </c>
      <c r="C204" s="142" t="str">
        <f>IFERROR(__xludf.DUMMYFUNCTION("""COMPUTED_VALUE"""),"Leyte")</f>
        <v>Leyte</v>
      </c>
      <c r="D204" s="142" t="str">
        <f>IFERROR(__xludf.DUMMYFUNCTION("""COMPUTED_VALUE"""),"Northern Samar")</f>
        <v>Northern Samar</v>
      </c>
      <c r="E204" s="142" t="str">
        <f>IFERROR(__xludf.DUMMYFUNCTION("""COMPUTED_VALUE"""),"Samar")</f>
        <v>Samar</v>
      </c>
      <c r="F204" s="142" t="str">
        <f>IFERROR(__xludf.DUMMYFUNCTION("""COMPUTED_VALUE"""),"Southern Leyte")</f>
        <v>Southern Leyte</v>
      </c>
      <c r="G204" s="142" t="str">
        <f>IFERROR(__xludf.DUMMYFUNCTION("""COMPUTED_VALUE"""),"Biliran")</f>
        <v>Biliran</v>
      </c>
      <c r="H204" s="8"/>
    </row>
    <row r="205">
      <c r="A205" s="142" t="s">
        <v>579</v>
      </c>
      <c r="B205" s="142" t="str">
        <f>IFERROR(__xludf.DUMMYFUNCTION("""COMPUTED_VALUE"""),"Eastern Samar")</f>
        <v>Eastern Samar</v>
      </c>
      <c r="C205" s="142" t="str">
        <f>IFERROR(__xludf.DUMMYFUNCTION("""COMPUTED_VALUE"""),"Leyte")</f>
        <v>Leyte</v>
      </c>
      <c r="D205" s="142" t="str">
        <f>IFERROR(__xludf.DUMMYFUNCTION("""COMPUTED_VALUE"""),"Northern Samar")</f>
        <v>Northern Samar</v>
      </c>
      <c r="E205" s="142" t="str">
        <f>IFERROR(__xludf.DUMMYFUNCTION("""COMPUTED_VALUE"""),"Samar")</f>
        <v>Samar</v>
      </c>
      <c r="F205" s="142" t="str">
        <f>IFERROR(__xludf.DUMMYFUNCTION("""COMPUTED_VALUE"""),"Southern Leyte")</f>
        <v>Southern Leyte</v>
      </c>
      <c r="G205" s="142" t="str">
        <f>IFERROR(__xludf.DUMMYFUNCTION("""COMPUTED_VALUE"""),"Biliran")</f>
        <v>Biliran</v>
      </c>
      <c r="H205" s="8"/>
    </row>
    <row r="206">
      <c r="A206" s="142" t="s">
        <v>579</v>
      </c>
      <c r="B206" s="142" t="str">
        <f>IFERROR(__xludf.DUMMYFUNCTION("""COMPUTED_VALUE"""),"Eastern Samar")</f>
        <v>Eastern Samar</v>
      </c>
      <c r="C206" s="142" t="str">
        <f>IFERROR(__xludf.DUMMYFUNCTION("""COMPUTED_VALUE"""),"Leyte")</f>
        <v>Leyte</v>
      </c>
      <c r="D206" s="142" t="str">
        <f>IFERROR(__xludf.DUMMYFUNCTION("""COMPUTED_VALUE"""),"Northern Samar")</f>
        <v>Northern Samar</v>
      </c>
      <c r="E206" s="142" t="str">
        <f>IFERROR(__xludf.DUMMYFUNCTION("""COMPUTED_VALUE"""),"Samar")</f>
        <v>Samar</v>
      </c>
      <c r="F206" s="142" t="str">
        <f>IFERROR(__xludf.DUMMYFUNCTION("""COMPUTED_VALUE"""),"Southern Leyte")</f>
        <v>Southern Leyte</v>
      </c>
      <c r="G206" s="142" t="str">
        <f>IFERROR(__xludf.DUMMYFUNCTION("""COMPUTED_VALUE"""),"Biliran")</f>
        <v>Biliran</v>
      </c>
      <c r="H206" s="8"/>
    </row>
    <row r="207">
      <c r="A207" s="142" t="s">
        <v>579</v>
      </c>
      <c r="B207" s="142" t="str">
        <f>IFERROR(__xludf.DUMMYFUNCTION("""COMPUTED_VALUE"""),"Eastern Samar")</f>
        <v>Eastern Samar</v>
      </c>
      <c r="C207" s="142" t="str">
        <f>IFERROR(__xludf.DUMMYFUNCTION("""COMPUTED_VALUE"""),"Leyte")</f>
        <v>Leyte</v>
      </c>
      <c r="D207" s="142" t="str">
        <f>IFERROR(__xludf.DUMMYFUNCTION("""COMPUTED_VALUE"""),"Northern Samar")</f>
        <v>Northern Samar</v>
      </c>
      <c r="E207" s="142" t="str">
        <f>IFERROR(__xludf.DUMMYFUNCTION("""COMPUTED_VALUE"""),"Samar")</f>
        <v>Samar</v>
      </c>
      <c r="F207" s="142" t="str">
        <f>IFERROR(__xludf.DUMMYFUNCTION("""COMPUTED_VALUE"""),"Southern Leyte")</f>
        <v>Southern Leyte</v>
      </c>
      <c r="G207" s="142" t="str">
        <f>IFERROR(__xludf.DUMMYFUNCTION("""COMPUTED_VALUE"""),"Biliran")</f>
        <v>Biliran</v>
      </c>
      <c r="H207" s="8"/>
    </row>
    <row r="208">
      <c r="A208" s="142" t="s">
        <v>579</v>
      </c>
      <c r="B208" s="142" t="str">
        <f>IFERROR(__xludf.DUMMYFUNCTION("""COMPUTED_VALUE"""),"Eastern Samar")</f>
        <v>Eastern Samar</v>
      </c>
      <c r="C208" s="142" t="str">
        <f>IFERROR(__xludf.DUMMYFUNCTION("""COMPUTED_VALUE"""),"Leyte")</f>
        <v>Leyte</v>
      </c>
      <c r="D208" s="142" t="str">
        <f>IFERROR(__xludf.DUMMYFUNCTION("""COMPUTED_VALUE"""),"Northern Samar")</f>
        <v>Northern Samar</v>
      </c>
      <c r="E208" s="142" t="str">
        <f>IFERROR(__xludf.DUMMYFUNCTION("""COMPUTED_VALUE"""),"Samar")</f>
        <v>Samar</v>
      </c>
      <c r="F208" s="142" t="str">
        <f>IFERROR(__xludf.DUMMYFUNCTION("""COMPUTED_VALUE"""),"Southern Leyte")</f>
        <v>Southern Leyte</v>
      </c>
      <c r="G208" s="142" t="str">
        <f>IFERROR(__xludf.DUMMYFUNCTION("""COMPUTED_VALUE"""),"Biliran")</f>
        <v>Biliran</v>
      </c>
      <c r="H208" s="8"/>
    </row>
    <row r="209">
      <c r="A209" s="142" t="s">
        <v>579</v>
      </c>
      <c r="B209" s="142" t="str">
        <f>IFERROR(__xludf.DUMMYFUNCTION("""COMPUTED_VALUE"""),"Eastern Samar")</f>
        <v>Eastern Samar</v>
      </c>
      <c r="C209" s="142" t="str">
        <f>IFERROR(__xludf.DUMMYFUNCTION("""COMPUTED_VALUE"""),"Leyte")</f>
        <v>Leyte</v>
      </c>
      <c r="D209" s="142" t="str">
        <f>IFERROR(__xludf.DUMMYFUNCTION("""COMPUTED_VALUE"""),"Northern Samar")</f>
        <v>Northern Samar</v>
      </c>
      <c r="E209" s="142" t="str">
        <f>IFERROR(__xludf.DUMMYFUNCTION("""COMPUTED_VALUE"""),"Samar")</f>
        <v>Samar</v>
      </c>
      <c r="F209" s="142" t="str">
        <f>IFERROR(__xludf.DUMMYFUNCTION("""COMPUTED_VALUE"""),"Southern Leyte")</f>
        <v>Southern Leyte</v>
      </c>
      <c r="G209" s="142" t="str">
        <f>IFERROR(__xludf.DUMMYFUNCTION("""COMPUTED_VALUE"""),"Biliran")</f>
        <v>Biliran</v>
      </c>
      <c r="H209" s="8"/>
    </row>
    <row r="210">
      <c r="A210" s="142" t="s">
        <v>579</v>
      </c>
      <c r="B210" s="142" t="str">
        <f>IFERROR(__xludf.DUMMYFUNCTION("""COMPUTED_VALUE"""),"Eastern Samar")</f>
        <v>Eastern Samar</v>
      </c>
      <c r="C210" s="142" t="str">
        <f>IFERROR(__xludf.DUMMYFUNCTION("""COMPUTED_VALUE"""),"Leyte")</f>
        <v>Leyte</v>
      </c>
      <c r="D210" s="142" t="str">
        <f>IFERROR(__xludf.DUMMYFUNCTION("""COMPUTED_VALUE"""),"Northern Samar")</f>
        <v>Northern Samar</v>
      </c>
      <c r="E210" s="142" t="str">
        <f>IFERROR(__xludf.DUMMYFUNCTION("""COMPUTED_VALUE"""),"Samar")</f>
        <v>Samar</v>
      </c>
      <c r="F210" s="142" t="str">
        <f>IFERROR(__xludf.DUMMYFUNCTION("""COMPUTED_VALUE"""),"Southern Leyte")</f>
        <v>Southern Leyte</v>
      </c>
      <c r="G210" s="142" t="str">
        <f>IFERROR(__xludf.DUMMYFUNCTION("""COMPUTED_VALUE"""),"Biliran")</f>
        <v>Biliran</v>
      </c>
      <c r="H210" s="8"/>
    </row>
    <row r="211">
      <c r="A211" s="142" t="s">
        <v>579</v>
      </c>
      <c r="B211" s="142" t="str">
        <f>IFERROR(__xludf.DUMMYFUNCTION("""COMPUTED_VALUE"""),"Eastern Samar")</f>
        <v>Eastern Samar</v>
      </c>
      <c r="C211" s="142" t="str">
        <f>IFERROR(__xludf.DUMMYFUNCTION("""COMPUTED_VALUE"""),"Leyte")</f>
        <v>Leyte</v>
      </c>
      <c r="D211" s="142" t="str">
        <f>IFERROR(__xludf.DUMMYFUNCTION("""COMPUTED_VALUE"""),"Northern Samar")</f>
        <v>Northern Samar</v>
      </c>
      <c r="E211" s="142" t="str">
        <f>IFERROR(__xludf.DUMMYFUNCTION("""COMPUTED_VALUE"""),"Samar")</f>
        <v>Samar</v>
      </c>
      <c r="F211" s="142" t="str">
        <f>IFERROR(__xludf.DUMMYFUNCTION("""COMPUTED_VALUE"""),"Southern Leyte")</f>
        <v>Southern Leyte</v>
      </c>
      <c r="G211" s="142" t="str">
        <f>IFERROR(__xludf.DUMMYFUNCTION("""COMPUTED_VALUE"""),"Biliran")</f>
        <v>Biliran</v>
      </c>
      <c r="H211" s="8"/>
    </row>
    <row r="212">
      <c r="A212" s="142" t="s">
        <v>579</v>
      </c>
      <c r="B212" s="142" t="str">
        <f>IFERROR(__xludf.DUMMYFUNCTION("""COMPUTED_VALUE"""),"Eastern Samar")</f>
        <v>Eastern Samar</v>
      </c>
      <c r="C212" s="142" t="str">
        <f>IFERROR(__xludf.DUMMYFUNCTION("""COMPUTED_VALUE"""),"Leyte")</f>
        <v>Leyte</v>
      </c>
      <c r="D212" s="142" t="str">
        <f>IFERROR(__xludf.DUMMYFUNCTION("""COMPUTED_VALUE"""),"Northern Samar")</f>
        <v>Northern Samar</v>
      </c>
      <c r="E212" s="142" t="str">
        <f>IFERROR(__xludf.DUMMYFUNCTION("""COMPUTED_VALUE"""),"Samar")</f>
        <v>Samar</v>
      </c>
      <c r="F212" s="142" t="str">
        <f>IFERROR(__xludf.DUMMYFUNCTION("""COMPUTED_VALUE"""),"Southern Leyte")</f>
        <v>Southern Leyte</v>
      </c>
      <c r="G212" s="142" t="str">
        <f>IFERROR(__xludf.DUMMYFUNCTION("""COMPUTED_VALUE"""),"Biliran")</f>
        <v>Biliran</v>
      </c>
      <c r="H212" s="8"/>
    </row>
    <row r="213">
      <c r="A213" s="142" t="s">
        <v>171</v>
      </c>
      <c r="B213" s="142" t="str">
        <f>IFERROR(__xludf.DUMMYFUNCTION("""COMPUTED_VALUE"""),"Bukidnon")</f>
        <v>Bukidnon</v>
      </c>
      <c r="C213" s="142" t="str">
        <f>IFERROR(__xludf.DUMMYFUNCTION("""COMPUTED_VALUE"""),"Camiguin")</f>
        <v>Camiguin</v>
      </c>
      <c r="D213" s="142" t="str">
        <f>IFERROR(__xludf.DUMMYFUNCTION("""COMPUTED_VALUE"""),"Lanao del Norte")</f>
        <v>Lanao del Norte</v>
      </c>
      <c r="E213" s="142" t="str">
        <f>IFERROR(__xludf.DUMMYFUNCTION("""COMPUTED_VALUE"""),"Misamis Occidental")</f>
        <v>Misamis Occidental</v>
      </c>
      <c r="F213" s="142" t="str">
        <f>IFERROR(__xludf.DUMMYFUNCTION("""COMPUTED_VALUE"""),"Misamis Oriental")</f>
        <v>Misamis Oriental</v>
      </c>
      <c r="G213" s="8"/>
      <c r="H213" s="8"/>
    </row>
    <row r="214">
      <c r="A214" s="142" t="s">
        <v>171</v>
      </c>
      <c r="B214" s="142" t="str">
        <f>IFERROR(__xludf.DUMMYFUNCTION("""COMPUTED_VALUE"""),"Bukidnon")</f>
        <v>Bukidnon</v>
      </c>
      <c r="C214" s="142" t="str">
        <f>IFERROR(__xludf.DUMMYFUNCTION("""COMPUTED_VALUE"""),"Camiguin")</f>
        <v>Camiguin</v>
      </c>
      <c r="D214" s="142" t="str">
        <f>IFERROR(__xludf.DUMMYFUNCTION("""COMPUTED_VALUE"""),"Lanao del Norte")</f>
        <v>Lanao del Norte</v>
      </c>
      <c r="E214" s="142" t="str">
        <f>IFERROR(__xludf.DUMMYFUNCTION("""COMPUTED_VALUE"""),"Misamis Occidental")</f>
        <v>Misamis Occidental</v>
      </c>
      <c r="F214" s="142" t="str">
        <f>IFERROR(__xludf.DUMMYFUNCTION("""COMPUTED_VALUE"""),"Misamis Oriental")</f>
        <v>Misamis Oriental</v>
      </c>
      <c r="G214" s="8"/>
      <c r="H214" s="8"/>
    </row>
    <row r="215">
      <c r="A215" s="142" t="s">
        <v>171</v>
      </c>
      <c r="B215" s="142" t="str">
        <f>IFERROR(__xludf.DUMMYFUNCTION("""COMPUTED_VALUE"""),"Bukidnon")</f>
        <v>Bukidnon</v>
      </c>
      <c r="C215" s="142" t="str">
        <f>IFERROR(__xludf.DUMMYFUNCTION("""COMPUTED_VALUE"""),"Camiguin")</f>
        <v>Camiguin</v>
      </c>
      <c r="D215" s="142" t="str">
        <f>IFERROR(__xludf.DUMMYFUNCTION("""COMPUTED_VALUE"""),"Lanao del Norte")</f>
        <v>Lanao del Norte</v>
      </c>
      <c r="E215" s="142" t="str">
        <f>IFERROR(__xludf.DUMMYFUNCTION("""COMPUTED_VALUE"""),"Misamis Occidental")</f>
        <v>Misamis Occidental</v>
      </c>
      <c r="F215" s="142" t="str">
        <f>IFERROR(__xludf.DUMMYFUNCTION("""COMPUTED_VALUE"""),"Misamis Oriental")</f>
        <v>Misamis Oriental</v>
      </c>
      <c r="G215" s="8"/>
      <c r="H215" s="8"/>
    </row>
    <row r="216">
      <c r="A216" s="142" t="s">
        <v>171</v>
      </c>
      <c r="B216" s="142" t="str">
        <f>IFERROR(__xludf.DUMMYFUNCTION("""COMPUTED_VALUE"""),"Bukidnon")</f>
        <v>Bukidnon</v>
      </c>
      <c r="C216" s="142" t="str">
        <f>IFERROR(__xludf.DUMMYFUNCTION("""COMPUTED_VALUE"""),"Camiguin")</f>
        <v>Camiguin</v>
      </c>
      <c r="D216" s="142" t="str">
        <f>IFERROR(__xludf.DUMMYFUNCTION("""COMPUTED_VALUE"""),"Lanao del Norte")</f>
        <v>Lanao del Norte</v>
      </c>
      <c r="E216" s="142" t="str">
        <f>IFERROR(__xludf.DUMMYFUNCTION("""COMPUTED_VALUE"""),"Misamis Occidental")</f>
        <v>Misamis Occidental</v>
      </c>
      <c r="F216" s="142" t="str">
        <f>IFERROR(__xludf.DUMMYFUNCTION("""COMPUTED_VALUE"""),"Misamis Oriental")</f>
        <v>Misamis Oriental</v>
      </c>
      <c r="G216" s="8"/>
      <c r="H216" s="8"/>
    </row>
    <row r="217">
      <c r="A217" s="142" t="s">
        <v>143</v>
      </c>
      <c r="B217" s="142" t="str">
        <f>IFERROR(__xludf.DUMMYFUNCTION("""COMPUTED_VALUE"""),"Ilocos Norte")</f>
        <v>Ilocos Norte</v>
      </c>
      <c r="C217" s="142" t="str">
        <f>IFERROR(__xludf.DUMMYFUNCTION("""COMPUTED_VALUE"""),"Ilocos Sur")</f>
        <v>Ilocos Sur</v>
      </c>
      <c r="D217" s="142" t="str">
        <f>IFERROR(__xludf.DUMMYFUNCTION("""COMPUTED_VALUE"""),"La Union")</f>
        <v>La Union</v>
      </c>
      <c r="E217" s="142" t="str">
        <f>IFERROR(__xludf.DUMMYFUNCTION("""COMPUTED_VALUE"""),"Pangasinan")</f>
        <v>Pangasinan</v>
      </c>
      <c r="F217" s="8"/>
      <c r="G217" s="8"/>
      <c r="H217" s="8"/>
    </row>
    <row r="218">
      <c r="A218" s="142" t="s">
        <v>590</v>
      </c>
      <c r="B218" s="142" t="str">
        <f>IFERROR(__xludf.DUMMYFUNCTION("""COMPUTED_VALUE"""),"Zamboanga del Norte")</f>
        <v>Zamboanga del Norte</v>
      </c>
      <c r="C218" s="142" t="str">
        <f>IFERROR(__xludf.DUMMYFUNCTION("""COMPUTED_VALUE"""),"Zamboanga del Sur")</f>
        <v>Zamboanga del Sur</v>
      </c>
      <c r="D218" s="142" t="str">
        <f>IFERROR(__xludf.DUMMYFUNCTION("""COMPUTED_VALUE"""),"Zamboanga Sibugay")</f>
        <v>Zamboanga Sibugay</v>
      </c>
      <c r="E218" s="142" t="str">
        <f>IFERROR(__xludf.DUMMYFUNCTION("""COMPUTED_VALUE"""),"Basilan")</f>
        <v>Basilan</v>
      </c>
      <c r="F218" s="8"/>
      <c r="G218" s="8"/>
      <c r="H218" s="8"/>
    </row>
    <row r="219">
      <c r="A219" s="142" t="s">
        <v>193</v>
      </c>
      <c r="B219" s="142" t="str">
        <f>IFERROR(__xludf.DUMMYFUNCTION("""COMPUTED_VALUE"""),"Bohol")</f>
        <v>Bohol</v>
      </c>
      <c r="C219" s="142" t="str">
        <f>IFERROR(__xludf.DUMMYFUNCTION("""COMPUTED_VALUE"""),"Cebu")</f>
        <v>Cebu</v>
      </c>
      <c r="D219" s="8"/>
      <c r="E219" s="8"/>
      <c r="F219" s="8"/>
      <c r="G219" s="8"/>
      <c r="H219" s="8"/>
    </row>
    <row r="220">
      <c r="A220" s="142" t="s">
        <v>579</v>
      </c>
      <c r="B220" s="142" t="str">
        <f>IFERROR(__xludf.DUMMYFUNCTION("""COMPUTED_VALUE"""),"Eastern Samar")</f>
        <v>Eastern Samar</v>
      </c>
      <c r="C220" s="142" t="str">
        <f>IFERROR(__xludf.DUMMYFUNCTION("""COMPUTED_VALUE"""),"Leyte")</f>
        <v>Leyte</v>
      </c>
      <c r="D220" s="142" t="str">
        <f>IFERROR(__xludf.DUMMYFUNCTION("""COMPUTED_VALUE"""),"Northern Samar")</f>
        <v>Northern Samar</v>
      </c>
      <c r="E220" s="142" t="str">
        <f>IFERROR(__xludf.DUMMYFUNCTION("""COMPUTED_VALUE"""),"Samar")</f>
        <v>Samar</v>
      </c>
      <c r="F220" s="142" t="str">
        <f>IFERROR(__xludf.DUMMYFUNCTION("""COMPUTED_VALUE"""),"Southern Leyte")</f>
        <v>Southern Leyte</v>
      </c>
      <c r="G220" s="142" t="str">
        <f>IFERROR(__xludf.DUMMYFUNCTION("""COMPUTED_VALUE"""),"Biliran")</f>
        <v>Biliran</v>
      </c>
      <c r="H220" s="8"/>
    </row>
    <row r="221">
      <c r="A221" s="142" t="s">
        <v>171</v>
      </c>
      <c r="B221" s="142" t="str">
        <f>IFERROR(__xludf.DUMMYFUNCTION("""COMPUTED_VALUE"""),"Bukidnon")</f>
        <v>Bukidnon</v>
      </c>
      <c r="C221" s="142" t="str">
        <f>IFERROR(__xludf.DUMMYFUNCTION("""COMPUTED_VALUE"""),"Camiguin")</f>
        <v>Camiguin</v>
      </c>
      <c r="D221" s="142" t="str">
        <f>IFERROR(__xludf.DUMMYFUNCTION("""COMPUTED_VALUE"""),"Lanao del Norte")</f>
        <v>Lanao del Norte</v>
      </c>
      <c r="E221" s="142" t="str">
        <f>IFERROR(__xludf.DUMMYFUNCTION("""COMPUTED_VALUE"""),"Misamis Occidental")</f>
        <v>Misamis Occidental</v>
      </c>
      <c r="F221" s="142" t="str">
        <f>IFERROR(__xludf.DUMMYFUNCTION("""COMPUTED_VALUE"""),"Misamis Oriental")</f>
        <v>Misamis Oriental</v>
      </c>
      <c r="G221" s="8"/>
      <c r="H221" s="8"/>
    </row>
    <row r="222">
      <c r="A222" s="142" t="s">
        <v>143</v>
      </c>
      <c r="B222" s="142" t="str">
        <f>IFERROR(__xludf.DUMMYFUNCTION("""COMPUTED_VALUE"""),"Ilocos Norte")</f>
        <v>Ilocos Norte</v>
      </c>
      <c r="C222" s="142" t="str">
        <f>IFERROR(__xludf.DUMMYFUNCTION("""COMPUTED_VALUE"""),"Ilocos Sur")</f>
        <v>Ilocos Sur</v>
      </c>
      <c r="D222" s="142" t="str">
        <f>IFERROR(__xludf.DUMMYFUNCTION("""COMPUTED_VALUE"""),"La Union")</f>
        <v>La Union</v>
      </c>
      <c r="E222" s="142" t="str">
        <f>IFERROR(__xludf.DUMMYFUNCTION("""COMPUTED_VALUE"""),"Pangasinan")</f>
        <v>Pangasinan</v>
      </c>
      <c r="F222" s="8"/>
      <c r="G222" s="8"/>
      <c r="H222" s="8"/>
    </row>
    <row r="223">
      <c r="A223" s="142" t="s">
        <v>330</v>
      </c>
      <c r="B223" s="142" t="str">
        <f>IFERROR(__xludf.DUMMYFUNCTION("""COMPUTED_VALUE"""),"Davao del Norte")</f>
        <v>Davao del Norte</v>
      </c>
      <c r="C223" s="142" t="str">
        <f>IFERROR(__xludf.DUMMYFUNCTION("""COMPUTED_VALUE"""),"Davao del Sur")</f>
        <v>Davao del Sur</v>
      </c>
      <c r="D223" s="142" t="str">
        <f>IFERROR(__xludf.DUMMYFUNCTION("""COMPUTED_VALUE"""),"Davao Oriental")</f>
        <v>Davao Oriental</v>
      </c>
      <c r="E223" s="142" t="str">
        <f>IFERROR(__xludf.DUMMYFUNCTION("""COMPUTED_VALUE"""),"Davao de Oro")</f>
        <v>Davao de Oro</v>
      </c>
      <c r="F223" s="142" t="str">
        <f>IFERROR(__xludf.DUMMYFUNCTION("""COMPUTED_VALUE"""),"Davao Occidental")</f>
        <v>Davao Occidental</v>
      </c>
      <c r="G223" s="8"/>
      <c r="H223" s="8"/>
    </row>
    <row r="224">
      <c r="A224" s="142" t="s">
        <v>193</v>
      </c>
      <c r="B224" s="142" t="str">
        <f>IFERROR(__xludf.DUMMYFUNCTION("""COMPUTED_VALUE"""),"Bohol")</f>
        <v>Bohol</v>
      </c>
      <c r="C224" s="142" t="str">
        <f>IFERROR(__xludf.DUMMYFUNCTION("""COMPUTED_VALUE"""),"Cebu")</f>
        <v>Cebu</v>
      </c>
      <c r="D224" s="8"/>
      <c r="E224" s="8"/>
      <c r="F224" s="8"/>
      <c r="G224" s="8"/>
      <c r="H224" s="8"/>
    </row>
    <row r="225">
      <c r="A225" s="142" t="s">
        <v>314</v>
      </c>
      <c r="B225" s="142" t="str">
        <f>IFERROR(__xludf.DUMMYFUNCTION("""COMPUTED_VALUE"""),"Aklan")</f>
        <v>Aklan</v>
      </c>
      <c r="C225" s="142" t="str">
        <f>IFERROR(__xludf.DUMMYFUNCTION("""COMPUTED_VALUE"""),"Antique")</f>
        <v>Antique</v>
      </c>
      <c r="D225" s="142" t="str">
        <f>IFERROR(__xludf.DUMMYFUNCTION("""COMPUTED_VALUE"""),"Capiz")</f>
        <v>Capiz</v>
      </c>
      <c r="E225" s="142" t="str">
        <f>IFERROR(__xludf.DUMMYFUNCTION("""COMPUTED_VALUE"""),"Iloilo")</f>
        <v>Iloilo</v>
      </c>
      <c r="F225" s="142" t="str">
        <f>IFERROR(__xludf.DUMMYFUNCTION("""COMPUTED_VALUE"""),"Guimaras")</f>
        <v>Guimaras</v>
      </c>
      <c r="G225" s="8"/>
      <c r="H225" s="8"/>
    </row>
    <row r="226">
      <c r="A226" s="142" t="s">
        <v>314</v>
      </c>
      <c r="B226" s="142" t="str">
        <f>IFERROR(__xludf.DUMMYFUNCTION("""COMPUTED_VALUE"""),"Aklan")</f>
        <v>Aklan</v>
      </c>
      <c r="C226" s="142" t="str">
        <f>IFERROR(__xludf.DUMMYFUNCTION("""COMPUTED_VALUE"""),"Antique")</f>
        <v>Antique</v>
      </c>
      <c r="D226" s="142" t="str">
        <f>IFERROR(__xludf.DUMMYFUNCTION("""COMPUTED_VALUE"""),"Capiz")</f>
        <v>Capiz</v>
      </c>
      <c r="E226" s="142" t="str">
        <f>IFERROR(__xludf.DUMMYFUNCTION("""COMPUTED_VALUE"""),"Iloilo")</f>
        <v>Iloilo</v>
      </c>
      <c r="F226" s="142" t="str">
        <f>IFERROR(__xludf.DUMMYFUNCTION("""COMPUTED_VALUE"""),"Guimaras")</f>
        <v>Guimaras</v>
      </c>
      <c r="G226" s="8"/>
      <c r="H226" s="8"/>
    </row>
    <row r="227">
      <c r="A227" s="142" t="s">
        <v>314</v>
      </c>
      <c r="B227" s="142" t="str">
        <f>IFERROR(__xludf.DUMMYFUNCTION("""COMPUTED_VALUE"""),"Aklan")</f>
        <v>Aklan</v>
      </c>
      <c r="C227" s="142" t="str">
        <f>IFERROR(__xludf.DUMMYFUNCTION("""COMPUTED_VALUE"""),"Antique")</f>
        <v>Antique</v>
      </c>
      <c r="D227" s="142" t="str">
        <f>IFERROR(__xludf.DUMMYFUNCTION("""COMPUTED_VALUE"""),"Capiz")</f>
        <v>Capiz</v>
      </c>
      <c r="E227" s="142" t="str">
        <f>IFERROR(__xludf.DUMMYFUNCTION("""COMPUTED_VALUE"""),"Iloilo")</f>
        <v>Iloilo</v>
      </c>
      <c r="F227" s="142" t="str">
        <f>IFERROR(__xludf.DUMMYFUNCTION("""COMPUTED_VALUE"""),"Guimaras")</f>
        <v>Guimaras</v>
      </c>
      <c r="G227" s="8"/>
      <c r="H227" s="8"/>
    </row>
    <row r="228">
      <c r="A228" s="142" t="s">
        <v>535</v>
      </c>
      <c r="B228" s="142" t="str">
        <f>IFERROR(__xludf.DUMMYFUNCTION("""COMPUTED_VALUE"""),"Albay")</f>
        <v>Albay</v>
      </c>
      <c r="C228" s="142" t="str">
        <f>IFERROR(__xludf.DUMMYFUNCTION("""COMPUTED_VALUE"""),"Camarines Norte")</f>
        <v>Camarines Norte</v>
      </c>
      <c r="D228" s="142" t="str">
        <f>IFERROR(__xludf.DUMMYFUNCTION("""COMPUTED_VALUE"""),"Camarines Sur")</f>
        <v>Camarines Sur</v>
      </c>
      <c r="E228" s="142" t="str">
        <f>IFERROR(__xludf.DUMMYFUNCTION("""COMPUTED_VALUE"""),"Catanduanes")</f>
        <v>Catanduanes</v>
      </c>
      <c r="F228" s="142" t="str">
        <f>IFERROR(__xludf.DUMMYFUNCTION("""COMPUTED_VALUE"""),"Masbate")</f>
        <v>Masbate</v>
      </c>
      <c r="G228" s="142" t="str">
        <f>IFERROR(__xludf.DUMMYFUNCTION("""COMPUTED_VALUE"""),"Sorsogon")</f>
        <v>Sorsogon</v>
      </c>
      <c r="H228" s="8"/>
    </row>
    <row r="229">
      <c r="A229" s="142" t="s">
        <v>143</v>
      </c>
      <c r="B229" s="142" t="str">
        <f>IFERROR(__xludf.DUMMYFUNCTION("""COMPUTED_VALUE"""),"Ilocos Norte")</f>
        <v>Ilocos Norte</v>
      </c>
      <c r="C229" s="142" t="str">
        <f>IFERROR(__xludf.DUMMYFUNCTION("""COMPUTED_VALUE"""),"Ilocos Sur")</f>
        <v>Ilocos Sur</v>
      </c>
      <c r="D229" s="142" t="str">
        <f>IFERROR(__xludf.DUMMYFUNCTION("""COMPUTED_VALUE"""),"La Union")</f>
        <v>La Union</v>
      </c>
      <c r="E229" s="142" t="str">
        <f>IFERROR(__xludf.DUMMYFUNCTION("""COMPUTED_VALUE"""),"Pangasinan")</f>
        <v>Pangasinan</v>
      </c>
      <c r="F229" s="8"/>
      <c r="G229" s="8"/>
      <c r="H229" s="8"/>
    </row>
    <row r="230">
      <c r="A230" s="142" t="s">
        <v>143</v>
      </c>
      <c r="B230" s="142" t="str">
        <f>IFERROR(__xludf.DUMMYFUNCTION("""COMPUTED_VALUE"""),"Ilocos Norte")</f>
        <v>Ilocos Norte</v>
      </c>
      <c r="C230" s="142" t="str">
        <f>IFERROR(__xludf.DUMMYFUNCTION("""COMPUTED_VALUE"""),"Ilocos Sur")</f>
        <v>Ilocos Sur</v>
      </c>
      <c r="D230" s="142" t="str">
        <f>IFERROR(__xludf.DUMMYFUNCTION("""COMPUTED_VALUE"""),"La Union")</f>
        <v>La Union</v>
      </c>
      <c r="E230" s="142" t="str">
        <f>IFERROR(__xludf.DUMMYFUNCTION("""COMPUTED_VALUE"""),"Pangasinan")</f>
        <v>Pangasinan</v>
      </c>
      <c r="F230" s="8"/>
      <c r="G230" s="8"/>
      <c r="H230" s="8"/>
    </row>
    <row r="231">
      <c r="A231" s="142" t="s">
        <v>143</v>
      </c>
      <c r="B231" s="142" t="str">
        <f>IFERROR(__xludf.DUMMYFUNCTION("""COMPUTED_VALUE"""),"Ilocos Norte")</f>
        <v>Ilocos Norte</v>
      </c>
      <c r="C231" s="142" t="str">
        <f>IFERROR(__xludf.DUMMYFUNCTION("""COMPUTED_VALUE"""),"Ilocos Sur")</f>
        <v>Ilocos Sur</v>
      </c>
      <c r="D231" s="142" t="str">
        <f>IFERROR(__xludf.DUMMYFUNCTION("""COMPUTED_VALUE"""),"La Union")</f>
        <v>La Union</v>
      </c>
      <c r="E231" s="142" t="str">
        <f>IFERROR(__xludf.DUMMYFUNCTION("""COMPUTED_VALUE"""),"Pangasinan")</f>
        <v>Pangasinan</v>
      </c>
      <c r="F231" s="8"/>
      <c r="G231" s="8"/>
      <c r="H231" s="8"/>
    </row>
    <row r="232">
      <c r="A232" s="142" t="s">
        <v>143</v>
      </c>
      <c r="B232" s="142" t="str">
        <f>IFERROR(__xludf.DUMMYFUNCTION("""COMPUTED_VALUE"""),"Ilocos Norte")</f>
        <v>Ilocos Norte</v>
      </c>
      <c r="C232" s="142" t="str">
        <f>IFERROR(__xludf.DUMMYFUNCTION("""COMPUTED_VALUE"""),"Ilocos Sur")</f>
        <v>Ilocos Sur</v>
      </c>
      <c r="D232" s="142" t="str">
        <f>IFERROR(__xludf.DUMMYFUNCTION("""COMPUTED_VALUE"""),"La Union")</f>
        <v>La Union</v>
      </c>
      <c r="E232" s="142" t="str">
        <f>IFERROR(__xludf.DUMMYFUNCTION("""COMPUTED_VALUE"""),"Pangasinan")</f>
        <v>Pangasinan</v>
      </c>
      <c r="F232" s="8"/>
      <c r="G232" s="8"/>
      <c r="H232" s="8"/>
    </row>
    <row r="233">
      <c r="A233" s="142" t="s">
        <v>330</v>
      </c>
      <c r="B233" s="142" t="str">
        <f>IFERROR(__xludf.DUMMYFUNCTION("""COMPUTED_VALUE"""),"Davao del Norte")</f>
        <v>Davao del Norte</v>
      </c>
      <c r="C233" s="142" t="str">
        <f>IFERROR(__xludf.DUMMYFUNCTION("""COMPUTED_VALUE"""),"Davao del Sur")</f>
        <v>Davao del Sur</v>
      </c>
      <c r="D233" s="142" t="str">
        <f>IFERROR(__xludf.DUMMYFUNCTION("""COMPUTED_VALUE"""),"Davao Oriental")</f>
        <v>Davao Oriental</v>
      </c>
      <c r="E233" s="142" t="str">
        <f>IFERROR(__xludf.DUMMYFUNCTION("""COMPUTED_VALUE"""),"Davao de Oro")</f>
        <v>Davao de Oro</v>
      </c>
      <c r="F233" s="142" t="str">
        <f>IFERROR(__xludf.DUMMYFUNCTION("""COMPUTED_VALUE"""),"Davao Occidental")</f>
        <v>Davao Occidental</v>
      </c>
      <c r="G233" s="8"/>
      <c r="H233" s="8"/>
    </row>
    <row r="234">
      <c r="A234" s="142" t="s">
        <v>535</v>
      </c>
      <c r="B234" s="142" t="str">
        <f>IFERROR(__xludf.DUMMYFUNCTION("""COMPUTED_VALUE"""),"Albay")</f>
        <v>Albay</v>
      </c>
      <c r="C234" s="142" t="str">
        <f>IFERROR(__xludf.DUMMYFUNCTION("""COMPUTED_VALUE"""),"Camarines Norte")</f>
        <v>Camarines Norte</v>
      </c>
      <c r="D234" s="142" t="str">
        <f>IFERROR(__xludf.DUMMYFUNCTION("""COMPUTED_VALUE"""),"Camarines Sur")</f>
        <v>Camarines Sur</v>
      </c>
      <c r="E234" s="142" t="str">
        <f>IFERROR(__xludf.DUMMYFUNCTION("""COMPUTED_VALUE"""),"Catanduanes")</f>
        <v>Catanduanes</v>
      </c>
      <c r="F234" s="142" t="str">
        <f>IFERROR(__xludf.DUMMYFUNCTION("""COMPUTED_VALUE"""),"Masbate")</f>
        <v>Masbate</v>
      </c>
      <c r="G234" s="142" t="str">
        <f>IFERROR(__xludf.DUMMYFUNCTION("""COMPUTED_VALUE"""),"Sorsogon")</f>
        <v>Sorsogon</v>
      </c>
      <c r="H234" s="8"/>
    </row>
    <row r="235">
      <c r="A235" s="142" t="s">
        <v>625</v>
      </c>
      <c r="B235" s="142" t="str">
        <f>IFERROR(__xludf.DUMMYFUNCTION("""COMPUTED_VALUE"""),"Negros Occidental")</f>
        <v>Negros Occidental</v>
      </c>
      <c r="C235" s="142" t="str">
        <f>IFERROR(__xludf.DUMMYFUNCTION("""COMPUTED_VALUE"""),"Negros Oriental")</f>
        <v>Negros Oriental</v>
      </c>
      <c r="D235" s="142" t="str">
        <f>IFERROR(__xludf.DUMMYFUNCTION("""COMPUTED_VALUE"""),"Siquijor")</f>
        <v>Siquijor</v>
      </c>
      <c r="E235" s="8"/>
      <c r="F235" s="8"/>
      <c r="G235" s="8"/>
      <c r="H235" s="8"/>
    </row>
    <row r="236">
      <c r="A236" s="142" t="s">
        <v>522</v>
      </c>
      <c r="B236" s="142" t="str">
        <f>IFERROR(__xludf.DUMMYFUNCTION("""COMPUTED_VALUE"""),"Marinduque")</f>
        <v>Marinduque</v>
      </c>
      <c r="C236" s="142" t="str">
        <f>IFERROR(__xludf.DUMMYFUNCTION("""COMPUTED_VALUE"""),"Occidental Mindoro")</f>
        <v>Occidental Mindoro</v>
      </c>
      <c r="D236" s="142" t="str">
        <f>IFERROR(__xludf.DUMMYFUNCTION("""COMPUTED_VALUE"""),"Oriental Mindoro")</f>
        <v>Oriental Mindoro</v>
      </c>
      <c r="E236" s="142" t="str">
        <f>IFERROR(__xludf.DUMMYFUNCTION("""COMPUTED_VALUE"""),"Palawan")</f>
        <v>Palawan</v>
      </c>
      <c r="F236" s="142" t="str">
        <f>IFERROR(__xludf.DUMMYFUNCTION("""COMPUTED_VALUE"""),"Romblon")</f>
        <v>Romblon</v>
      </c>
      <c r="G236" s="8"/>
      <c r="H236" s="8"/>
    </row>
    <row r="237">
      <c r="A237" s="142" t="s">
        <v>143</v>
      </c>
      <c r="B237" s="142" t="str">
        <f>IFERROR(__xludf.DUMMYFUNCTION("""COMPUTED_VALUE"""),"Ilocos Norte")</f>
        <v>Ilocos Norte</v>
      </c>
      <c r="C237" s="142" t="str">
        <f>IFERROR(__xludf.DUMMYFUNCTION("""COMPUTED_VALUE"""),"Ilocos Sur")</f>
        <v>Ilocos Sur</v>
      </c>
      <c r="D237" s="142" t="str">
        <f>IFERROR(__xludf.DUMMYFUNCTION("""COMPUTED_VALUE"""),"La Union")</f>
        <v>La Union</v>
      </c>
      <c r="E237" s="142" t="str">
        <f>IFERROR(__xludf.DUMMYFUNCTION("""COMPUTED_VALUE"""),"Pangasinan")</f>
        <v>Pangasinan</v>
      </c>
      <c r="F237" s="8"/>
      <c r="G237" s="8"/>
      <c r="H237" s="8"/>
    </row>
    <row r="238">
      <c r="A238" s="142" t="s">
        <v>356</v>
      </c>
      <c r="B238" s="142" t="str">
        <f>IFERROR(__xludf.DUMMYFUNCTION("""COMPUTED_VALUE"""),"Cotabato")</f>
        <v>Cotabato</v>
      </c>
      <c r="C238" s="142" t="str">
        <f>IFERROR(__xludf.DUMMYFUNCTION("""COMPUTED_VALUE"""),"South Cotabato")</f>
        <v>South Cotabato</v>
      </c>
      <c r="D238" s="142" t="str">
        <f>IFERROR(__xludf.DUMMYFUNCTION("""COMPUTED_VALUE"""),"Sultan Kudarat")</f>
        <v>Sultan Kudarat</v>
      </c>
      <c r="E238" s="142" t="str">
        <f>IFERROR(__xludf.DUMMYFUNCTION("""COMPUTED_VALUE"""),"Sarangani")</f>
        <v>Sarangani</v>
      </c>
      <c r="F238" s="8"/>
      <c r="G238" s="8"/>
      <c r="H238" s="8"/>
    </row>
    <row r="239">
      <c r="A239" s="142" t="s">
        <v>143</v>
      </c>
      <c r="B239" s="142" t="str">
        <f>IFERROR(__xludf.DUMMYFUNCTION("""COMPUTED_VALUE"""),"Ilocos Norte")</f>
        <v>Ilocos Norte</v>
      </c>
      <c r="C239" s="142" t="str">
        <f>IFERROR(__xludf.DUMMYFUNCTION("""COMPUTED_VALUE"""),"Ilocos Sur")</f>
        <v>Ilocos Sur</v>
      </c>
      <c r="D239" s="142" t="str">
        <f>IFERROR(__xludf.DUMMYFUNCTION("""COMPUTED_VALUE"""),"La Union")</f>
        <v>La Union</v>
      </c>
      <c r="E239" s="142" t="str">
        <f>IFERROR(__xludf.DUMMYFUNCTION("""COMPUTED_VALUE"""),"Pangasinan")</f>
        <v>Pangasinan</v>
      </c>
      <c r="F239" s="8"/>
      <c r="G239" s="8"/>
      <c r="H239" s="8"/>
    </row>
    <row r="240">
      <c r="A240" s="142" t="s">
        <v>293</v>
      </c>
      <c r="B240" s="142" t="str">
        <f>IFERROR(__xludf.DUMMYFUNCTION("""COMPUTED_VALUE"""),"Bataan")</f>
        <v>Bataan</v>
      </c>
      <c r="C240" s="142" t="str">
        <f>IFERROR(__xludf.DUMMYFUNCTION("""COMPUTED_VALUE"""),"Bulacan")</f>
        <v>Bulacan</v>
      </c>
      <c r="D240" s="142" t="str">
        <f>IFERROR(__xludf.DUMMYFUNCTION("""COMPUTED_VALUE"""),"Nueva Ecija")</f>
        <v>Nueva Ecija</v>
      </c>
      <c r="E240" s="142" t="str">
        <f>IFERROR(__xludf.DUMMYFUNCTION("""COMPUTED_VALUE"""),"Pampanga")</f>
        <v>Pampanga</v>
      </c>
      <c r="F240" s="142" t="str">
        <f>IFERROR(__xludf.DUMMYFUNCTION("""COMPUTED_VALUE"""),"Tarlac")</f>
        <v>Tarlac</v>
      </c>
      <c r="G240" s="142" t="str">
        <f>IFERROR(__xludf.DUMMYFUNCTION("""COMPUTED_VALUE"""),"Zambales")</f>
        <v>Zambales</v>
      </c>
      <c r="H240" s="142" t="str">
        <f>IFERROR(__xludf.DUMMYFUNCTION("""COMPUTED_VALUE"""),"Aurora")</f>
        <v>Aurora</v>
      </c>
    </row>
    <row r="241">
      <c r="A241" s="142" t="s">
        <v>293</v>
      </c>
      <c r="B241" s="142" t="str">
        <f>IFERROR(__xludf.DUMMYFUNCTION("""COMPUTED_VALUE"""),"Bataan")</f>
        <v>Bataan</v>
      </c>
      <c r="C241" s="142" t="str">
        <f>IFERROR(__xludf.DUMMYFUNCTION("""COMPUTED_VALUE"""),"Bulacan")</f>
        <v>Bulacan</v>
      </c>
      <c r="D241" s="142" t="str">
        <f>IFERROR(__xludf.DUMMYFUNCTION("""COMPUTED_VALUE"""),"Nueva Ecija")</f>
        <v>Nueva Ecija</v>
      </c>
      <c r="E241" s="142" t="str">
        <f>IFERROR(__xludf.DUMMYFUNCTION("""COMPUTED_VALUE"""),"Pampanga")</f>
        <v>Pampanga</v>
      </c>
      <c r="F241" s="142" t="str">
        <f>IFERROR(__xludf.DUMMYFUNCTION("""COMPUTED_VALUE"""),"Tarlac")</f>
        <v>Tarlac</v>
      </c>
      <c r="G241" s="142" t="str">
        <f>IFERROR(__xludf.DUMMYFUNCTION("""COMPUTED_VALUE"""),"Zambales")</f>
        <v>Zambales</v>
      </c>
      <c r="H241" s="142" t="str">
        <f>IFERROR(__xludf.DUMMYFUNCTION("""COMPUTED_VALUE"""),"Aurora")</f>
        <v>Aurora</v>
      </c>
    </row>
    <row r="242">
      <c r="A242" s="142" t="s">
        <v>522</v>
      </c>
      <c r="B242" s="142" t="str">
        <f>IFERROR(__xludf.DUMMYFUNCTION("""COMPUTED_VALUE"""),"Marinduque")</f>
        <v>Marinduque</v>
      </c>
      <c r="C242" s="142" t="str">
        <f>IFERROR(__xludf.DUMMYFUNCTION("""COMPUTED_VALUE"""),"Occidental Mindoro")</f>
        <v>Occidental Mindoro</v>
      </c>
      <c r="D242" s="142" t="str">
        <f>IFERROR(__xludf.DUMMYFUNCTION("""COMPUTED_VALUE"""),"Oriental Mindoro")</f>
        <v>Oriental Mindoro</v>
      </c>
      <c r="E242" s="142" t="str">
        <f>IFERROR(__xludf.DUMMYFUNCTION("""COMPUTED_VALUE"""),"Palawan")</f>
        <v>Palawan</v>
      </c>
      <c r="F242" s="142" t="str">
        <f>IFERROR(__xludf.DUMMYFUNCTION("""COMPUTED_VALUE"""),"Romblon")</f>
        <v>Romblon</v>
      </c>
      <c r="G242" s="8"/>
      <c r="H242" s="8"/>
    </row>
    <row r="243">
      <c r="A243" s="142" t="s">
        <v>193</v>
      </c>
      <c r="B243" s="142" t="str">
        <f>IFERROR(__xludf.DUMMYFUNCTION("""COMPUTED_VALUE"""),"Bohol")</f>
        <v>Bohol</v>
      </c>
      <c r="C243" s="142" t="str">
        <f>IFERROR(__xludf.DUMMYFUNCTION("""COMPUTED_VALUE"""),"Cebu")</f>
        <v>Cebu</v>
      </c>
      <c r="D243" s="8"/>
      <c r="E243" s="8"/>
      <c r="F243" s="8"/>
      <c r="G243" s="8"/>
      <c r="H243" s="8"/>
    </row>
    <row r="244">
      <c r="A244" s="142" t="s">
        <v>590</v>
      </c>
      <c r="B244" s="142" t="str">
        <f>IFERROR(__xludf.DUMMYFUNCTION("""COMPUTED_VALUE"""),"Zamboanga del Norte")</f>
        <v>Zamboanga del Norte</v>
      </c>
      <c r="C244" s="142" t="str">
        <f>IFERROR(__xludf.DUMMYFUNCTION("""COMPUTED_VALUE"""),"Zamboanga del Sur")</f>
        <v>Zamboanga del Sur</v>
      </c>
      <c r="D244" s="142" t="str">
        <f>IFERROR(__xludf.DUMMYFUNCTION("""COMPUTED_VALUE"""),"Zamboanga Sibugay")</f>
        <v>Zamboanga Sibugay</v>
      </c>
      <c r="E244" s="142" t="str">
        <f>IFERROR(__xludf.DUMMYFUNCTION("""COMPUTED_VALUE"""),"Basilan")</f>
        <v>Basilan</v>
      </c>
      <c r="F244" s="8"/>
      <c r="G244" s="8"/>
      <c r="H244" s="8"/>
    </row>
    <row r="245">
      <c r="A245" s="142" t="s">
        <v>171</v>
      </c>
      <c r="B245" s="142" t="str">
        <f>IFERROR(__xludf.DUMMYFUNCTION("""COMPUTED_VALUE"""),"Bukidnon")</f>
        <v>Bukidnon</v>
      </c>
      <c r="C245" s="142" t="str">
        <f>IFERROR(__xludf.DUMMYFUNCTION("""COMPUTED_VALUE"""),"Camiguin")</f>
        <v>Camiguin</v>
      </c>
      <c r="D245" s="142" t="str">
        <f>IFERROR(__xludf.DUMMYFUNCTION("""COMPUTED_VALUE"""),"Lanao del Norte")</f>
        <v>Lanao del Norte</v>
      </c>
      <c r="E245" s="142" t="str">
        <f>IFERROR(__xludf.DUMMYFUNCTION("""COMPUTED_VALUE"""),"Misamis Occidental")</f>
        <v>Misamis Occidental</v>
      </c>
      <c r="F245" s="142" t="str">
        <f>IFERROR(__xludf.DUMMYFUNCTION("""COMPUTED_VALUE"""),"Misamis Oriental")</f>
        <v>Misamis Oriental</v>
      </c>
      <c r="G245" s="8"/>
      <c r="H245" s="8"/>
    </row>
    <row r="246">
      <c r="A246" s="142" t="s">
        <v>579</v>
      </c>
      <c r="B246" s="142" t="str">
        <f>IFERROR(__xludf.DUMMYFUNCTION("""COMPUTED_VALUE"""),"Eastern Samar")</f>
        <v>Eastern Samar</v>
      </c>
      <c r="C246" s="142" t="str">
        <f>IFERROR(__xludf.DUMMYFUNCTION("""COMPUTED_VALUE"""),"Leyte")</f>
        <v>Leyte</v>
      </c>
      <c r="D246" s="142" t="str">
        <f>IFERROR(__xludf.DUMMYFUNCTION("""COMPUTED_VALUE"""),"Northern Samar")</f>
        <v>Northern Samar</v>
      </c>
      <c r="E246" s="142" t="str">
        <f>IFERROR(__xludf.DUMMYFUNCTION("""COMPUTED_VALUE"""),"Samar")</f>
        <v>Samar</v>
      </c>
      <c r="F246" s="142" t="str">
        <f>IFERROR(__xludf.DUMMYFUNCTION("""COMPUTED_VALUE"""),"Southern Leyte")</f>
        <v>Southern Leyte</v>
      </c>
      <c r="G246" s="142" t="str">
        <f>IFERROR(__xludf.DUMMYFUNCTION("""COMPUTED_VALUE"""),"Biliran")</f>
        <v>Biliran</v>
      </c>
      <c r="H246" s="8"/>
    </row>
    <row r="247">
      <c r="A247" s="142" t="s">
        <v>579</v>
      </c>
      <c r="B247" s="142" t="str">
        <f>IFERROR(__xludf.DUMMYFUNCTION("""COMPUTED_VALUE"""),"Eastern Samar")</f>
        <v>Eastern Samar</v>
      </c>
      <c r="C247" s="142" t="str">
        <f>IFERROR(__xludf.DUMMYFUNCTION("""COMPUTED_VALUE"""),"Leyte")</f>
        <v>Leyte</v>
      </c>
      <c r="D247" s="142" t="str">
        <f>IFERROR(__xludf.DUMMYFUNCTION("""COMPUTED_VALUE"""),"Northern Samar")</f>
        <v>Northern Samar</v>
      </c>
      <c r="E247" s="142" t="str">
        <f>IFERROR(__xludf.DUMMYFUNCTION("""COMPUTED_VALUE"""),"Samar")</f>
        <v>Samar</v>
      </c>
      <c r="F247" s="142" t="str">
        <f>IFERROR(__xludf.DUMMYFUNCTION("""COMPUTED_VALUE"""),"Southern Leyte")</f>
        <v>Southern Leyte</v>
      </c>
      <c r="G247" s="142" t="str">
        <f>IFERROR(__xludf.DUMMYFUNCTION("""COMPUTED_VALUE"""),"Biliran")</f>
        <v>Biliran</v>
      </c>
      <c r="H247" s="8"/>
    </row>
    <row r="248">
      <c r="A248" s="142" t="s">
        <v>579</v>
      </c>
      <c r="B248" s="142" t="str">
        <f>IFERROR(__xludf.DUMMYFUNCTION("""COMPUTED_VALUE"""),"Eastern Samar")</f>
        <v>Eastern Samar</v>
      </c>
      <c r="C248" s="142" t="str">
        <f>IFERROR(__xludf.DUMMYFUNCTION("""COMPUTED_VALUE"""),"Leyte")</f>
        <v>Leyte</v>
      </c>
      <c r="D248" s="142" t="str">
        <f>IFERROR(__xludf.DUMMYFUNCTION("""COMPUTED_VALUE"""),"Northern Samar")</f>
        <v>Northern Samar</v>
      </c>
      <c r="E248" s="142" t="str">
        <f>IFERROR(__xludf.DUMMYFUNCTION("""COMPUTED_VALUE"""),"Samar")</f>
        <v>Samar</v>
      </c>
      <c r="F248" s="142" t="str">
        <f>IFERROR(__xludf.DUMMYFUNCTION("""COMPUTED_VALUE"""),"Southern Leyte")</f>
        <v>Southern Leyte</v>
      </c>
      <c r="G248" s="142" t="str">
        <f>IFERROR(__xludf.DUMMYFUNCTION("""COMPUTED_VALUE"""),"Biliran")</f>
        <v>Biliran</v>
      </c>
      <c r="H248" s="8"/>
    </row>
    <row r="249">
      <c r="A249" s="142" t="s">
        <v>257</v>
      </c>
      <c r="B249" s="142" t="str">
        <f>IFERROR(__xludf.DUMMYFUNCTION("""COMPUTED_VALUE"""),"Batangas")</f>
        <v>Batangas</v>
      </c>
      <c r="C249" s="142" t="str">
        <f>IFERROR(__xludf.DUMMYFUNCTION("""COMPUTED_VALUE"""),"Cavite")</f>
        <v>Cavite</v>
      </c>
      <c r="D249" s="142" t="str">
        <f>IFERROR(__xludf.DUMMYFUNCTION("""COMPUTED_VALUE"""),"Laguna")</f>
        <v>Laguna</v>
      </c>
      <c r="E249" s="142" t="str">
        <f>IFERROR(__xludf.DUMMYFUNCTION("""COMPUTED_VALUE"""),"Quezon")</f>
        <v>Quezon</v>
      </c>
      <c r="F249" s="8"/>
      <c r="G249" s="8"/>
      <c r="H249" s="8"/>
    </row>
    <row r="250">
      <c r="A250" s="142" t="s">
        <v>579</v>
      </c>
      <c r="B250" s="142" t="str">
        <f>IFERROR(__xludf.DUMMYFUNCTION("""COMPUTED_VALUE"""),"Eastern Samar")</f>
        <v>Eastern Samar</v>
      </c>
      <c r="C250" s="142" t="str">
        <f>IFERROR(__xludf.DUMMYFUNCTION("""COMPUTED_VALUE"""),"Leyte")</f>
        <v>Leyte</v>
      </c>
      <c r="D250" s="142" t="str">
        <f>IFERROR(__xludf.DUMMYFUNCTION("""COMPUTED_VALUE"""),"Northern Samar")</f>
        <v>Northern Samar</v>
      </c>
      <c r="E250" s="142" t="str">
        <f>IFERROR(__xludf.DUMMYFUNCTION("""COMPUTED_VALUE"""),"Samar")</f>
        <v>Samar</v>
      </c>
      <c r="F250" s="142" t="str">
        <f>IFERROR(__xludf.DUMMYFUNCTION("""COMPUTED_VALUE"""),"Southern Leyte")</f>
        <v>Southern Leyte</v>
      </c>
      <c r="G250" s="142" t="str">
        <f>IFERROR(__xludf.DUMMYFUNCTION("""COMPUTED_VALUE"""),"Biliran")</f>
        <v>Biliran</v>
      </c>
      <c r="H250" s="8"/>
    </row>
    <row r="251">
      <c r="A251" s="142" t="s">
        <v>257</v>
      </c>
      <c r="B251" s="142" t="str">
        <f>IFERROR(__xludf.DUMMYFUNCTION("""COMPUTED_VALUE"""),"Batangas")</f>
        <v>Batangas</v>
      </c>
      <c r="C251" s="142" t="str">
        <f>IFERROR(__xludf.DUMMYFUNCTION("""COMPUTED_VALUE"""),"Cavite")</f>
        <v>Cavite</v>
      </c>
      <c r="D251" s="142" t="str">
        <f>IFERROR(__xludf.DUMMYFUNCTION("""COMPUTED_VALUE"""),"Laguna")</f>
        <v>Laguna</v>
      </c>
      <c r="E251" s="142" t="str">
        <f>IFERROR(__xludf.DUMMYFUNCTION("""COMPUTED_VALUE"""),"Quezon")</f>
        <v>Quezon</v>
      </c>
      <c r="F251" s="8"/>
      <c r="G251" s="8"/>
      <c r="H251" s="8"/>
    </row>
    <row r="252">
      <c r="A252" s="142" t="s">
        <v>143</v>
      </c>
      <c r="B252" s="142" t="str">
        <f>IFERROR(__xludf.DUMMYFUNCTION("""COMPUTED_VALUE"""),"Ilocos Norte")</f>
        <v>Ilocos Norte</v>
      </c>
      <c r="C252" s="142" t="str">
        <f>IFERROR(__xludf.DUMMYFUNCTION("""COMPUTED_VALUE"""),"Ilocos Sur")</f>
        <v>Ilocos Sur</v>
      </c>
      <c r="D252" s="142" t="str">
        <f>IFERROR(__xludf.DUMMYFUNCTION("""COMPUTED_VALUE"""),"La Union")</f>
        <v>La Union</v>
      </c>
      <c r="E252" s="142" t="str">
        <f>IFERROR(__xludf.DUMMYFUNCTION("""COMPUTED_VALUE"""),"Pangasinan")</f>
        <v>Pangasinan</v>
      </c>
      <c r="F252" s="8"/>
      <c r="G252" s="8"/>
      <c r="H252" s="8"/>
    </row>
    <row r="253">
      <c r="A253" s="142" t="s">
        <v>171</v>
      </c>
      <c r="B253" s="142" t="str">
        <f>IFERROR(__xludf.DUMMYFUNCTION("""COMPUTED_VALUE"""),"Bukidnon")</f>
        <v>Bukidnon</v>
      </c>
      <c r="C253" s="142" t="str">
        <f>IFERROR(__xludf.DUMMYFUNCTION("""COMPUTED_VALUE"""),"Camiguin")</f>
        <v>Camiguin</v>
      </c>
      <c r="D253" s="142" t="str">
        <f>IFERROR(__xludf.DUMMYFUNCTION("""COMPUTED_VALUE"""),"Lanao del Norte")</f>
        <v>Lanao del Norte</v>
      </c>
      <c r="E253" s="142" t="str">
        <f>IFERROR(__xludf.DUMMYFUNCTION("""COMPUTED_VALUE"""),"Misamis Occidental")</f>
        <v>Misamis Occidental</v>
      </c>
      <c r="F253" s="142" t="str">
        <f>IFERROR(__xludf.DUMMYFUNCTION("""COMPUTED_VALUE"""),"Misamis Oriental")</f>
        <v>Misamis Oriental</v>
      </c>
      <c r="G253" s="8"/>
      <c r="H253" s="8"/>
    </row>
    <row r="254">
      <c r="A254" s="142" t="s">
        <v>171</v>
      </c>
      <c r="B254" s="142" t="str">
        <f>IFERROR(__xludf.DUMMYFUNCTION("""COMPUTED_VALUE"""),"Bukidnon")</f>
        <v>Bukidnon</v>
      </c>
      <c r="C254" s="142" t="str">
        <f>IFERROR(__xludf.DUMMYFUNCTION("""COMPUTED_VALUE"""),"Camiguin")</f>
        <v>Camiguin</v>
      </c>
      <c r="D254" s="142" t="str">
        <f>IFERROR(__xludf.DUMMYFUNCTION("""COMPUTED_VALUE"""),"Lanao del Norte")</f>
        <v>Lanao del Norte</v>
      </c>
      <c r="E254" s="142" t="str">
        <f>IFERROR(__xludf.DUMMYFUNCTION("""COMPUTED_VALUE"""),"Misamis Occidental")</f>
        <v>Misamis Occidental</v>
      </c>
      <c r="F254" s="142" t="str">
        <f>IFERROR(__xludf.DUMMYFUNCTION("""COMPUTED_VALUE"""),"Misamis Oriental")</f>
        <v>Misamis Oriental</v>
      </c>
      <c r="G254" s="8"/>
      <c r="H254" s="8"/>
    </row>
    <row r="255">
      <c r="A255" s="142" t="s">
        <v>293</v>
      </c>
      <c r="B255" s="142" t="str">
        <f>IFERROR(__xludf.DUMMYFUNCTION("""COMPUTED_VALUE"""),"Bataan")</f>
        <v>Bataan</v>
      </c>
      <c r="C255" s="142" t="str">
        <f>IFERROR(__xludf.DUMMYFUNCTION("""COMPUTED_VALUE"""),"Bulacan")</f>
        <v>Bulacan</v>
      </c>
      <c r="D255" s="142" t="str">
        <f>IFERROR(__xludf.DUMMYFUNCTION("""COMPUTED_VALUE"""),"Nueva Ecija")</f>
        <v>Nueva Ecija</v>
      </c>
      <c r="E255" s="142" t="str">
        <f>IFERROR(__xludf.DUMMYFUNCTION("""COMPUTED_VALUE"""),"Pampanga")</f>
        <v>Pampanga</v>
      </c>
      <c r="F255" s="142" t="str">
        <f>IFERROR(__xludf.DUMMYFUNCTION("""COMPUTED_VALUE"""),"Tarlac")</f>
        <v>Tarlac</v>
      </c>
      <c r="G255" s="142" t="str">
        <f>IFERROR(__xludf.DUMMYFUNCTION("""COMPUTED_VALUE"""),"Zambales")</f>
        <v>Zambales</v>
      </c>
      <c r="H255" s="142" t="str">
        <f>IFERROR(__xludf.DUMMYFUNCTION("""COMPUTED_VALUE"""),"Aurora")</f>
        <v>Aurora</v>
      </c>
    </row>
    <row r="256">
      <c r="A256" s="142" t="s">
        <v>171</v>
      </c>
      <c r="B256" s="142" t="str">
        <f>IFERROR(__xludf.DUMMYFUNCTION("""COMPUTED_VALUE"""),"Bukidnon")</f>
        <v>Bukidnon</v>
      </c>
      <c r="C256" s="142" t="str">
        <f>IFERROR(__xludf.DUMMYFUNCTION("""COMPUTED_VALUE"""),"Camiguin")</f>
        <v>Camiguin</v>
      </c>
      <c r="D256" s="142" t="str">
        <f>IFERROR(__xludf.DUMMYFUNCTION("""COMPUTED_VALUE"""),"Lanao del Norte")</f>
        <v>Lanao del Norte</v>
      </c>
      <c r="E256" s="142" t="str">
        <f>IFERROR(__xludf.DUMMYFUNCTION("""COMPUTED_VALUE"""),"Misamis Occidental")</f>
        <v>Misamis Occidental</v>
      </c>
      <c r="F256" s="142" t="str">
        <f>IFERROR(__xludf.DUMMYFUNCTION("""COMPUTED_VALUE"""),"Misamis Oriental")</f>
        <v>Misamis Oriental</v>
      </c>
      <c r="G256" s="8"/>
      <c r="H256" s="8"/>
    </row>
    <row r="257">
      <c r="A257" s="142" t="s">
        <v>535</v>
      </c>
      <c r="B257" s="142" t="str">
        <f>IFERROR(__xludf.DUMMYFUNCTION("""COMPUTED_VALUE"""),"Albay")</f>
        <v>Albay</v>
      </c>
      <c r="C257" s="142" t="str">
        <f>IFERROR(__xludf.DUMMYFUNCTION("""COMPUTED_VALUE"""),"Camarines Norte")</f>
        <v>Camarines Norte</v>
      </c>
      <c r="D257" s="142" t="str">
        <f>IFERROR(__xludf.DUMMYFUNCTION("""COMPUTED_VALUE"""),"Camarines Sur")</f>
        <v>Camarines Sur</v>
      </c>
      <c r="E257" s="142" t="str">
        <f>IFERROR(__xludf.DUMMYFUNCTION("""COMPUTED_VALUE"""),"Catanduanes")</f>
        <v>Catanduanes</v>
      </c>
      <c r="F257" s="142" t="str">
        <f>IFERROR(__xludf.DUMMYFUNCTION("""COMPUTED_VALUE"""),"Masbate")</f>
        <v>Masbate</v>
      </c>
      <c r="G257" s="142" t="str">
        <f>IFERROR(__xludf.DUMMYFUNCTION("""COMPUTED_VALUE"""),"Sorsogon")</f>
        <v>Sorsogon</v>
      </c>
      <c r="H257" s="8"/>
    </row>
    <row r="258">
      <c r="A258" s="142" t="s">
        <v>143</v>
      </c>
      <c r="B258" s="142" t="str">
        <f>IFERROR(__xludf.DUMMYFUNCTION("""COMPUTED_VALUE"""),"Ilocos Norte")</f>
        <v>Ilocos Norte</v>
      </c>
      <c r="C258" s="142" t="str">
        <f>IFERROR(__xludf.DUMMYFUNCTION("""COMPUTED_VALUE"""),"Ilocos Sur")</f>
        <v>Ilocos Sur</v>
      </c>
      <c r="D258" s="142" t="str">
        <f>IFERROR(__xludf.DUMMYFUNCTION("""COMPUTED_VALUE"""),"La Union")</f>
        <v>La Union</v>
      </c>
      <c r="E258" s="142" t="str">
        <f>IFERROR(__xludf.DUMMYFUNCTION("""COMPUTED_VALUE"""),"Pangasinan")</f>
        <v>Pangasinan</v>
      </c>
      <c r="F258" s="8"/>
      <c r="G258" s="8"/>
      <c r="H258" s="8"/>
    </row>
    <row r="259">
      <c r="A259" s="142" t="s">
        <v>143</v>
      </c>
      <c r="B259" s="142" t="str">
        <f>IFERROR(__xludf.DUMMYFUNCTION("""COMPUTED_VALUE"""),"Ilocos Norte")</f>
        <v>Ilocos Norte</v>
      </c>
      <c r="C259" s="142" t="str">
        <f>IFERROR(__xludf.DUMMYFUNCTION("""COMPUTED_VALUE"""),"Ilocos Sur")</f>
        <v>Ilocos Sur</v>
      </c>
      <c r="D259" s="142" t="str">
        <f>IFERROR(__xludf.DUMMYFUNCTION("""COMPUTED_VALUE"""),"La Union")</f>
        <v>La Union</v>
      </c>
      <c r="E259" s="142" t="str">
        <f>IFERROR(__xludf.DUMMYFUNCTION("""COMPUTED_VALUE"""),"Pangasinan")</f>
        <v>Pangasinan</v>
      </c>
      <c r="F259" s="8"/>
      <c r="G259" s="8"/>
      <c r="H259" s="8"/>
    </row>
    <row r="260">
      <c r="A260" s="142" t="s">
        <v>579</v>
      </c>
      <c r="B260" s="142" t="str">
        <f>IFERROR(__xludf.DUMMYFUNCTION("""COMPUTED_VALUE"""),"Eastern Samar")</f>
        <v>Eastern Samar</v>
      </c>
      <c r="C260" s="142" t="str">
        <f>IFERROR(__xludf.DUMMYFUNCTION("""COMPUTED_VALUE"""),"Leyte")</f>
        <v>Leyte</v>
      </c>
      <c r="D260" s="142" t="str">
        <f>IFERROR(__xludf.DUMMYFUNCTION("""COMPUTED_VALUE"""),"Northern Samar")</f>
        <v>Northern Samar</v>
      </c>
      <c r="E260" s="142" t="str">
        <f>IFERROR(__xludf.DUMMYFUNCTION("""COMPUTED_VALUE"""),"Samar")</f>
        <v>Samar</v>
      </c>
      <c r="F260" s="142" t="str">
        <f>IFERROR(__xludf.DUMMYFUNCTION("""COMPUTED_VALUE"""),"Southern Leyte")</f>
        <v>Southern Leyte</v>
      </c>
      <c r="G260" s="142" t="str">
        <f>IFERROR(__xludf.DUMMYFUNCTION("""COMPUTED_VALUE"""),"Biliran")</f>
        <v>Biliran</v>
      </c>
      <c r="H260" s="8"/>
    </row>
    <row r="261">
      <c r="A261" s="142" t="s">
        <v>143</v>
      </c>
      <c r="B261" s="142" t="str">
        <f>IFERROR(__xludf.DUMMYFUNCTION("""COMPUTED_VALUE"""),"Ilocos Norte")</f>
        <v>Ilocos Norte</v>
      </c>
      <c r="C261" s="142" t="str">
        <f>IFERROR(__xludf.DUMMYFUNCTION("""COMPUTED_VALUE"""),"Ilocos Sur")</f>
        <v>Ilocos Sur</v>
      </c>
      <c r="D261" s="142" t="str">
        <f>IFERROR(__xludf.DUMMYFUNCTION("""COMPUTED_VALUE"""),"La Union")</f>
        <v>La Union</v>
      </c>
      <c r="E261" s="142" t="str">
        <f>IFERROR(__xludf.DUMMYFUNCTION("""COMPUTED_VALUE"""),"Pangasinan")</f>
        <v>Pangasinan</v>
      </c>
      <c r="F261" s="8"/>
      <c r="G261" s="8"/>
      <c r="H261" s="8"/>
    </row>
    <row r="262">
      <c r="A262" s="142" t="s">
        <v>143</v>
      </c>
      <c r="B262" s="142" t="str">
        <f>IFERROR(__xludf.DUMMYFUNCTION("""COMPUTED_VALUE"""),"Ilocos Norte")</f>
        <v>Ilocos Norte</v>
      </c>
      <c r="C262" s="142" t="str">
        <f>IFERROR(__xludf.DUMMYFUNCTION("""COMPUTED_VALUE"""),"Ilocos Sur")</f>
        <v>Ilocos Sur</v>
      </c>
      <c r="D262" s="142" t="str">
        <f>IFERROR(__xludf.DUMMYFUNCTION("""COMPUTED_VALUE"""),"La Union")</f>
        <v>La Union</v>
      </c>
      <c r="E262" s="142" t="str">
        <f>IFERROR(__xludf.DUMMYFUNCTION("""COMPUTED_VALUE"""),"Pangasinan")</f>
        <v>Pangasinan</v>
      </c>
      <c r="F262" s="8"/>
      <c r="G262" s="8"/>
      <c r="H262" s="8"/>
    </row>
    <row r="263">
      <c r="A263" s="142" t="s">
        <v>193</v>
      </c>
      <c r="B263" s="142" t="str">
        <f>IFERROR(__xludf.DUMMYFUNCTION("""COMPUTED_VALUE"""),"Bohol")</f>
        <v>Bohol</v>
      </c>
      <c r="C263" s="142" t="str">
        <f>IFERROR(__xludf.DUMMYFUNCTION("""COMPUTED_VALUE"""),"Cebu")</f>
        <v>Cebu</v>
      </c>
      <c r="D263" s="8"/>
      <c r="E263" s="8"/>
      <c r="F263" s="8"/>
      <c r="G263" s="8"/>
      <c r="H263" s="8"/>
    </row>
    <row r="264">
      <c r="A264" s="142" t="s">
        <v>193</v>
      </c>
      <c r="B264" s="142" t="str">
        <f>IFERROR(__xludf.DUMMYFUNCTION("""COMPUTED_VALUE"""),"Bohol")</f>
        <v>Bohol</v>
      </c>
      <c r="C264" s="142" t="str">
        <f>IFERROR(__xludf.DUMMYFUNCTION("""COMPUTED_VALUE"""),"Cebu")</f>
        <v>Cebu</v>
      </c>
      <c r="D264" s="8"/>
      <c r="E264" s="8"/>
      <c r="F264" s="8"/>
      <c r="G264" s="8"/>
      <c r="H264" s="8"/>
    </row>
    <row r="265">
      <c r="A265" s="142" t="s">
        <v>642</v>
      </c>
      <c r="B265" s="142" t="str">
        <f>IFERROR(__xludf.DUMMYFUNCTION("""COMPUTED_VALUE"""),"Basilan")</f>
        <v>Basilan</v>
      </c>
      <c r="C265" s="142" t="str">
        <f>IFERROR(__xludf.DUMMYFUNCTION("""COMPUTED_VALUE"""),"Lanao del Sur")</f>
        <v>Lanao del Sur</v>
      </c>
      <c r="D265" s="142" t="str">
        <f>IFERROR(__xludf.DUMMYFUNCTION("""COMPUTED_VALUE"""),"Sulu")</f>
        <v>Sulu</v>
      </c>
      <c r="E265" s="142" t="str">
        <f>IFERROR(__xludf.DUMMYFUNCTION("""COMPUTED_VALUE"""),"Tawi-Tawi")</f>
        <v>Tawi-Tawi</v>
      </c>
      <c r="F265" s="142" t="str">
        <f>IFERROR(__xludf.DUMMYFUNCTION("""COMPUTED_VALUE"""),"Maguindanao del Norte")</f>
        <v>Maguindanao del Norte</v>
      </c>
      <c r="G265" s="142" t="str">
        <f>IFERROR(__xludf.DUMMYFUNCTION("""COMPUTED_VALUE"""),"Maguindanao del Sur")</f>
        <v>Maguindanao del Sur</v>
      </c>
      <c r="H265" s="142" t="str">
        <f>IFERROR(__xludf.DUMMYFUNCTION("""COMPUTED_VALUE"""),"Special Geographic Area")</f>
        <v>Special Geographic Area</v>
      </c>
    </row>
    <row r="266">
      <c r="A266" s="142" t="s">
        <v>535</v>
      </c>
      <c r="B266" s="142" t="str">
        <f>IFERROR(__xludf.DUMMYFUNCTION("""COMPUTED_VALUE"""),"Albay")</f>
        <v>Albay</v>
      </c>
      <c r="C266" s="142" t="str">
        <f>IFERROR(__xludf.DUMMYFUNCTION("""COMPUTED_VALUE"""),"Camarines Norte")</f>
        <v>Camarines Norte</v>
      </c>
      <c r="D266" s="142" t="str">
        <f>IFERROR(__xludf.DUMMYFUNCTION("""COMPUTED_VALUE"""),"Camarines Sur")</f>
        <v>Camarines Sur</v>
      </c>
      <c r="E266" s="142" t="str">
        <f>IFERROR(__xludf.DUMMYFUNCTION("""COMPUTED_VALUE"""),"Catanduanes")</f>
        <v>Catanduanes</v>
      </c>
      <c r="F266" s="142" t="str">
        <f>IFERROR(__xludf.DUMMYFUNCTION("""COMPUTED_VALUE"""),"Masbate")</f>
        <v>Masbate</v>
      </c>
      <c r="G266" s="142" t="str">
        <f>IFERROR(__xludf.DUMMYFUNCTION("""COMPUTED_VALUE"""),"Sorsogon")</f>
        <v>Sorsogon</v>
      </c>
      <c r="H266" s="8"/>
    </row>
    <row r="267">
      <c r="A267" s="142" t="s">
        <v>257</v>
      </c>
      <c r="B267" s="142" t="str">
        <f>IFERROR(__xludf.DUMMYFUNCTION("""COMPUTED_VALUE"""),"Batangas")</f>
        <v>Batangas</v>
      </c>
      <c r="C267" s="142" t="str">
        <f>IFERROR(__xludf.DUMMYFUNCTION("""COMPUTED_VALUE"""),"Cavite")</f>
        <v>Cavite</v>
      </c>
      <c r="D267" s="142" t="str">
        <f>IFERROR(__xludf.DUMMYFUNCTION("""COMPUTED_VALUE"""),"Laguna")</f>
        <v>Laguna</v>
      </c>
      <c r="E267" s="142" t="str">
        <f>IFERROR(__xludf.DUMMYFUNCTION("""COMPUTED_VALUE"""),"Quezon")</f>
        <v>Quezon</v>
      </c>
      <c r="F267" s="8"/>
      <c r="G267" s="8"/>
      <c r="H267" s="8"/>
    </row>
    <row r="268">
      <c r="A268" s="142" t="s">
        <v>257</v>
      </c>
      <c r="B268" s="142" t="str">
        <f>IFERROR(__xludf.DUMMYFUNCTION("""COMPUTED_VALUE"""),"Batangas")</f>
        <v>Batangas</v>
      </c>
      <c r="C268" s="142" t="str">
        <f>IFERROR(__xludf.DUMMYFUNCTION("""COMPUTED_VALUE"""),"Cavite")</f>
        <v>Cavite</v>
      </c>
      <c r="D268" s="142" t="str">
        <f>IFERROR(__xludf.DUMMYFUNCTION("""COMPUTED_VALUE"""),"Laguna")</f>
        <v>Laguna</v>
      </c>
      <c r="E268" s="142" t="str">
        <f>IFERROR(__xludf.DUMMYFUNCTION("""COMPUTED_VALUE"""),"Quezon")</f>
        <v>Quezon</v>
      </c>
      <c r="F268" s="8"/>
      <c r="G268" s="8"/>
      <c r="H268" s="8"/>
    </row>
    <row r="269">
      <c r="A269" s="142" t="s">
        <v>345</v>
      </c>
      <c r="B269" s="142" t="str">
        <f>IFERROR(__xludf.DUMMYFUNCTION("""COMPUTED_VALUE"""),"Agusan del Norte")</f>
        <v>Agusan del Norte</v>
      </c>
      <c r="C269" s="142" t="str">
        <f>IFERROR(__xludf.DUMMYFUNCTION("""COMPUTED_VALUE"""),"Agusan del Sur")</f>
        <v>Agusan del Sur</v>
      </c>
      <c r="D269" s="142" t="str">
        <f>IFERROR(__xludf.DUMMYFUNCTION("""COMPUTED_VALUE"""),"Surigao del Norte")</f>
        <v>Surigao del Norte</v>
      </c>
      <c r="E269" s="142" t="str">
        <f>IFERROR(__xludf.DUMMYFUNCTION("""COMPUTED_VALUE"""),"Surigao del Sur")</f>
        <v>Surigao del Sur</v>
      </c>
      <c r="F269" s="142" t="str">
        <f>IFERROR(__xludf.DUMMYFUNCTION("""COMPUTED_VALUE"""),"Dinagat Islands")</f>
        <v>Dinagat Islands</v>
      </c>
      <c r="G269" s="8"/>
      <c r="H269" s="8"/>
    </row>
    <row r="270">
      <c r="A270" s="142" t="s">
        <v>257</v>
      </c>
      <c r="B270" s="142" t="str">
        <f>IFERROR(__xludf.DUMMYFUNCTION("""COMPUTED_VALUE"""),"Batangas")</f>
        <v>Batangas</v>
      </c>
      <c r="C270" s="142" t="str">
        <f>IFERROR(__xludf.DUMMYFUNCTION("""COMPUTED_VALUE"""),"Cavite")</f>
        <v>Cavite</v>
      </c>
      <c r="D270" s="142" t="str">
        <f>IFERROR(__xludf.DUMMYFUNCTION("""COMPUTED_VALUE"""),"Laguna")</f>
        <v>Laguna</v>
      </c>
      <c r="E270" s="142" t="str">
        <f>IFERROR(__xludf.DUMMYFUNCTION("""COMPUTED_VALUE"""),"Quezon")</f>
        <v>Quezon</v>
      </c>
      <c r="F270" s="8"/>
      <c r="G270" s="8"/>
      <c r="H270" s="8"/>
    </row>
    <row r="271">
      <c r="A271" s="142" t="s">
        <v>257</v>
      </c>
      <c r="B271" s="142" t="str">
        <f>IFERROR(__xludf.DUMMYFUNCTION("""COMPUTED_VALUE"""),"Batangas")</f>
        <v>Batangas</v>
      </c>
      <c r="C271" s="142" t="str">
        <f>IFERROR(__xludf.DUMMYFUNCTION("""COMPUTED_VALUE"""),"Cavite")</f>
        <v>Cavite</v>
      </c>
      <c r="D271" s="142" t="str">
        <f>IFERROR(__xludf.DUMMYFUNCTION("""COMPUTED_VALUE"""),"Laguna")</f>
        <v>Laguna</v>
      </c>
      <c r="E271" s="142" t="str">
        <f>IFERROR(__xludf.DUMMYFUNCTION("""COMPUTED_VALUE"""),"Quezon")</f>
        <v>Quezon</v>
      </c>
      <c r="F271" s="8"/>
      <c r="G271" s="8"/>
      <c r="H271" s="8"/>
    </row>
    <row r="272">
      <c r="A272" s="142" t="s">
        <v>293</v>
      </c>
      <c r="B272" s="142" t="str">
        <f>IFERROR(__xludf.DUMMYFUNCTION("""COMPUTED_VALUE"""),"Bataan")</f>
        <v>Bataan</v>
      </c>
      <c r="C272" s="142" t="str">
        <f>IFERROR(__xludf.DUMMYFUNCTION("""COMPUTED_VALUE"""),"Bulacan")</f>
        <v>Bulacan</v>
      </c>
      <c r="D272" s="142" t="str">
        <f>IFERROR(__xludf.DUMMYFUNCTION("""COMPUTED_VALUE"""),"Nueva Ecija")</f>
        <v>Nueva Ecija</v>
      </c>
      <c r="E272" s="142" t="str">
        <f>IFERROR(__xludf.DUMMYFUNCTION("""COMPUTED_VALUE"""),"Pampanga")</f>
        <v>Pampanga</v>
      </c>
      <c r="F272" s="142" t="str">
        <f>IFERROR(__xludf.DUMMYFUNCTION("""COMPUTED_VALUE"""),"Tarlac")</f>
        <v>Tarlac</v>
      </c>
      <c r="G272" s="142" t="str">
        <f>IFERROR(__xludf.DUMMYFUNCTION("""COMPUTED_VALUE"""),"Zambales")</f>
        <v>Zambales</v>
      </c>
      <c r="H272" s="142" t="str">
        <f>IFERROR(__xludf.DUMMYFUNCTION("""COMPUTED_VALUE"""),"Aurora")</f>
        <v>Aurora</v>
      </c>
    </row>
    <row r="273">
      <c r="A273" s="142" t="s">
        <v>522</v>
      </c>
      <c r="B273" s="142" t="str">
        <f>IFERROR(__xludf.DUMMYFUNCTION("""COMPUTED_VALUE"""),"Marinduque")</f>
        <v>Marinduque</v>
      </c>
      <c r="C273" s="142" t="str">
        <f>IFERROR(__xludf.DUMMYFUNCTION("""COMPUTED_VALUE"""),"Occidental Mindoro")</f>
        <v>Occidental Mindoro</v>
      </c>
      <c r="D273" s="142" t="str">
        <f>IFERROR(__xludf.DUMMYFUNCTION("""COMPUTED_VALUE"""),"Oriental Mindoro")</f>
        <v>Oriental Mindoro</v>
      </c>
      <c r="E273" s="142" t="str">
        <f>IFERROR(__xludf.DUMMYFUNCTION("""COMPUTED_VALUE"""),"Palawan")</f>
        <v>Palawan</v>
      </c>
      <c r="F273" s="142" t="str">
        <f>IFERROR(__xludf.DUMMYFUNCTION("""COMPUTED_VALUE"""),"Romblon")</f>
        <v>Romblon</v>
      </c>
      <c r="G273" s="8"/>
      <c r="H273" s="8"/>
    </row>
    <row r="274">
      <c r="A274" s="142" t="s">
        <v>257</v>
      </c>
      <c r="B274" s="142" t="str">
        <f>IFERROR(__xludf.DUMMYFUNCTION("""COMPUTED_VALUE"""),"Batangas")</f>
        <v>Batangas</v>
      </c>
      <c r="C274" s="142" t="str">
        <f>IFERROR(__xludf.DUMMYFUNCTION("""COMPUTED_VALUE"""),"Cavite")</f>
        <v>Cavite</v>
      </c>
      <c r="D274" s="142" t="str">
        <f>IFERROR(__xludf.DUMMYFUNCTION("""COMPUTED_VALUE"""),"Laguna")</f>
        <v>Laguna</v>
      </c>
      <c r="E274" s="142" t="str">
        <f>IFERROR(__xludf.DUMMYFUNCTION("""COMPUTED_VALUE"""),"Quezon")</f>
        <v>Quezon</v>
      </c>
      <c r="F274" s="8"/>
      <c r="G274" s="8"/>
      <c r="H274" s="8"/>
    </row>
    <row r="275">
      <c r="A275" s="142" t="s">
        <v>522</v>
      </c>
      <c r="B275" s="142" t="str">
        <f>IFERROR(__xludf.DUMMYFUNCTION("""COMPUTED_VALUE"""),"Marinduque")</f>
        <v>Marinduque</v>
      </c>
      <c r="C275" s="142" t="str">
        <f>IFERROR(__xludf.DUMMYFUNCTION("""COMPUTED_VALUE"""),"Occidental Mindoro")</f>
        <v>Occidental Mindoro</v>
      </c>
      <c r="D275" s="142" t="str">
        <f>IFERROR(__xludf.DUMMYFUNCTION("""COMPUTED_VALUE"""),"Oriental Mindoro")</f>
        <v>Oriental Mindoro</v>
      </c>
      <c r="E275" s="142" t="str">
        <f>IFERROR(__xludf.DUMMYFUNCTION("""COMPUTED_VALUE"""),"Palawan")</f>
        <v>Palawan</v>
      </c>
      <c r="F275" s="142" t="str">
        <f>IFERROR(__xludf.DUMMYFUNCTION("""COMPUTED_VALUE"""),"Romblon")</f>
        <v>Romblon</v>
      </c>
      <c r="G275" s="8"/>
      <c r="H275" s="8"/>
    </row>
    <row r="276">
      <c r="A276" s="142" t="s">
        <v>345</v>
      </c>
      <c r="B276" s="142" t="str">
        <f>IFERROR(__xludf.DUMMYFUNCTION("""COMPUTED_VALUE"""),"Agusan del Norte")</f>
        <v>Agusan del Norte</v>
      </c>
      <c r="C276" s="142" t="str">
        <f>IFERROR(__xludf.DUMMYFUNCTION("""COMPUTED_VALUE"""),"Agusan del Sur")</f>
        <v>Agusan del Sur</v>
      </c>
      <c r="D276" s="142" t="str">
        <f>IFERROR(__xludf.DUMMYFUNCTION("""COMPUTED_VALUE"""),"Surigao del Norte")</f>
        <v>Surigao del Norte</v>
      </c>
      <c r="E276" s="142" t="str">
        <f>IFERROR(__xludf.DUMMYFUNCTION("""COMPUTED_VALUE"""),"Surigao del Sur")</f>
        <v>Surigao del Sur</v>
      </c>
      <c r="F276" s="142" t="str">
        <f>IFERROR(__xludf.DUMMYFUNCTION("""COMPUTED_VALUE"""),"Dinagat Islands")</f>
        <v>Dinagat Islands</v>
      </c>
      <c r="G276" s="8"/>
      <c r="H276" s="8"/>
    </row>
    <row r="277">
      <c r="A277" s="142" t="s">
        <v>293</v>
      </c>
      <c r="B277" s="142" t="str">
        <f>IFERROR(__xludf.DUMMYFUNCTION("""COMPUTED_VALUE"""),"Bataan")</f>
        <v>Bataan</v>
      </c>
      <c r="C277" s="142" t="str">
        <f>IFERROR(__xludf.DUMMYFUNCTION("""COMPUTED_VALUE"""),"Bulacan")</f>
        <v>Bulacan</v>
      </c>
      <c r="D277" s="142" t="str">
        <f>IFERROR(__xludf.DUMMYFUNCTION("""COMPUTED_VALUE"""),"Nueva Ecija")</f>
        <v>Nueva Ecija</v>
      </c>
      <c r="E277" s="142" t="str">
        <f>IFERROR(__xludf.DUMMYFUNCTION("""COMPUTED_VALUE"""),"Pampanga")</f>
        <v>Pampanga</v>
      </c>
      <c r="F277" s="142" t="str">
        <f>IFERROR(__xludf.DUMMYFUNCTION("""COMPUTED_VALUE"""),"Tarlac")</f>
        <v>Tarlac</v>
      </c>
      <c r="G277" s="142" t="str">
        <f>IFERROR(__xludf.DUMMYFUNCTION("""COMPUTED_VALUE"""),"Zambales")</f>
        <v>Zambales</v>
      </c>
      <c r="H277" s="142" t="str">
        <f>IFERROR(__xludf.DUMMYFUNCTION("""COMPUTED_VALUE"""),"Aurora")</f>
        <v>Aurora</v>
      </c>
    </row>
    <row r="278">
      <c r="A278" s="142" t="s">
        <v>535</v>
      </c>
      <c r="B278" s="142" t="str">
        <f>IFERROR(__xludf.DUMMYFUNCTION("""COMPUTED_VALUE"""),"Albay")</f>
        <v>Albay</v>
      </c>
      <c r="C278" s="142" t="str">
        <f>IFERROR(__xludf.DUMMYFUNCTION("""COMPUTED_VALUE"""),"Camarines Norte")</f>
        <v>Camarines Norte</v>
      </c>
      <c r="D278" s="142" t="str">
        <f>IFERROR(__xludf.DUMMYFUNCTION("""COMPUTED_VALUE"""),"Camarines Sur")</f>
        <v>Camarines Sur</v>
      </c>
      <c r="E278" s="142" t="str">
        <f>IFERROR(__xludf.DUMMYFUNCTION("""COMPUTED_VALUE"""),"Catanduanes")</f>
        <v>Catanduanes</v>
      </c>
      <c r="F278" s="142" t="str">
        <f>IFERROR(__xludf.DUMMYFUNCTION("""COMPUTED_VALUE"""),"Masbate")</f>
        <v>Masbate</v>
      </c>
      <c r="G278" s="142" t="str">
        <f>IFERROR(__xludf.DUMMYFUNCTION("""COMPUTED_VALUE"""),"Sorsogon")</f>
        <v>Sorsogon</v>
      </c>
      <c r="H278" s="8"/>
    </row>
    <row r="279">
      <c r="A279" s="142" t="s">
        <v>356</v>
      </c>
      <c r="B279" s="142" t="str">
        <f>IFERROR(__xludf.DUMMYFUNCTION("""COMPUTED_VALUE"""),"Cotabato")</f>
        <v>Cotabato</v>
      </c>
      <c r="C279" s="142" t="str">
        <f>IFERROR(__xludf.DUMMYFUNCTION("""COMPUTED_VALUE"""),"South Cotabato")</f>
        <v>South Cotabato</v>
      </c>
      <c r="D279" s="142" t="str">
        <f>IFERROR(__xludf.DUMMYFUNCTION("""COMPUTED_VALUE"""),"Sultan Kudarat")</f>
        <v>Sultan Kudarat</v>
      </c>
      <c r="E279" s="142" t="str">
        <f>IFERROR(__xludf.DUMMYFUNCTION("""COMPUTED_VALUE"""),"Sarangani")</f>
        <v>Sarangani</v>
      </c>
      <c r="F279" s="8"/>
      <c r="G279" s="8"/>
      <c r="H279" s="8"/>
    </row>
    <row r="280">
      <c r="A280" s="142" t="s">
        <v>356</v>
      </c>
      <c r="B280" s="142" t="str">
        <f>IFERROR(__xludf.DUMMYFUNCTION("""COMPUTED_VALUE"""),"Cotabato")</f>
        <v>Cotabato</v>
      </c>
      <c r="C280" s="142" t="str">
        <f>IFERROR(__xludf.DUMMYFUNCTION("""COMPUTED_VALUE"""),"South Cotabato")</f>
        <v>South Cotabato</v>
      </c>
      <c r="D280" s="142" t="str">
        <f>IFERROR(__xludf.DUMMYFUNCTION("""COMPUTED_VALUE"""),"Sultan Kudarat")</f>
        <v>Sultan Kudarat</v>
      </c>
      <c r="E280" s="142" t="str">
        <f>IFERROR(__xludf.DUMMYFUNCTION("""COMPUTED_VALUE"""),"Sarangani")</f>
        <v>Sarangani</v>
      </c>
      <c r="F280" s="8"/>
      <c r="G280" s="8"/>
      <c r="H280" s="8"/>
    </row>
    <row r="281">
      <c r="A281" s="142" t="s">
        <v>171</v>
      </c>
      <c r="B281" s="142" t="str">
        <f>IFERROR(__xludf.DUMMYFUNCTION("""COMPUTED_VALUE"""),"Bukidnon")</f>
        <v>Bukidnon</v>
      </c>
      <c r="C281" s="142" t="str">
        <f>IFERROR(__xludf.DUMMYFUNCTION("""COMPUTED_VALUE"""),"Camiguin")</f>
        <v>Camiguin</v>
      </c>
      <c r="D281" s="142" t="str">
        <f>IFERROR(__xludf.DUMMYFUNCTION("""COMPUTED_VALUE"""),"Lanao del Norte")</f>
        <v>Lanao del Norte</v>
      </c>
      <c r="E281" s="142" t="str">
        <f>IFERROR(__xludf.DUMMYFUNCTION("""COMPUTED_VALUE"""),"Misamis Occidental")</f>
        <v>Misamis Occidental</v>
      </c>
      <c r="F281" s="142" t="str">
        <f>IFERROR(__xludf.DUMMYFUNCTION("""COMPUTED_VALUE"""),"Misamis Oriental")</f>
        <v>Misamis Oriental</v>
      </c>
      <c r="G281" s="8"/>
      <c r="H281" s="8"/>
    </row>
    <row r="282">
      <c r="A282" s="142" t="s">
        <v>143</v>
      </c>
      <c r="B282" s="142" t="str">
        <f>IFERROR(__xludf.DUMMYFUNCTION("""COMPUTED_VALUE"""),"Ilocos Norte")</f>
        <v>Ilocos Norte</v>
      </c>
      <c r="C282" s="142" t="str">
        <f>IFERROR(__xludf.DUMMYFUNCTION("""COMPUTED_VALUE"""),"Ilocos Sur")</f>
        <v>Ilocos Sur</v>
      </c>
      <c r="D282" s="142" t="str">
        <f>IFERROR(__xludf.DUMMYFUNCTION("""COMPUTED_VALUE"""),"La Union")</f>
        <v>La Union</v>
      </c>
      <c r="E282" s="142" t="str">
        <f>IFERROR(__xludf.DUMMYFUNCTION("""COMPUTED_VALUE"""),"Pangasinan")</f>
        <v>Pangasinan</v>
      </c>
      <c r="F282" s="8"/>
      <c r="G282" s="8"/>
      <c r="H282" s="8"/>
    </row>
    <row r="283">
      <c r="A283" s="142" t="s">
        <v>257</v>
      </c>
      <c r="B283" s="142" t="str">
        <f>IFERROR(__xludf.DUMMYFUNCTION("""COMPUTED_VALUE"""),"Batangas")</f>
        <v>Batangas</v>
      </c>
      <c r="C283" s="142" t="str">
        <f>IFERROR(__xludf.DUMMYFUNCTION("""COMPUTED_VALUE"""),"Cavite")</f>
        <v>Cavite</v>
      </c>
      <c r="D283" s="142" t="str">
        <f>IFERROR(__xludf.DUMMYFUNCTION("""COMPUTED_VALUE"""),"Laguna")</f>
        <v>Laguna</v>
      </c>
      <c r="E283" s="142" t="str">
        <f>IFERROR(__xludf.DUMMYFUNCTION("""COMPUTED_VALUE"""),"Quezon")</f>
        <v>Quezon</v>
      </c>
      <c r="F283" s="8"/>
      <c r="G283" s="8"/>
      <c r="H283" s="8"/>
    </row>
    <row r="284">
      <c r="A284" s="142" t="s">
        <v>330</v>
      </c>
      <c r="B284" s="142" t="str">
        <f>IFERROR(__xludf.DUMMYFUNCTION("""COMPUTED_VALUE"""),"Davao del Norte")</f>
        <v>Davao del Norte</v>
      </c>
      <c r="C284" s="142" t="str">
        <f>IFERROR(__xludf.DUMMYFUNCTION("""COMPUTED_VALUE"""),"Davao del Sur")</f>
        <v>Davao del Sur</v>
      </c>
      <c r="D284" s="142" t="str">
        <f>IFERROR(__xludf.DUMMYFUNCTION("""COMPUTED_VALUE"""),"Davao Oriental")</f>
        <v>Davao Oriental</v>
      </c>
      <c r="E284" s="142" t="str">
        <f>IFERROR(__xludf.DUMMYFUNCTION("""COMPUTED_VALUE"""),"Davao de Oro")</f>
        <v>Davao de Oro</v>
      </c>
      <c r="F284" s="142" t="str">
        <f>IFERROR(__xludf.DUMMYFUNCTION("""COMPUTED_VALUE"""),"Davao Occidental")</f>
        <v>Davao Occidental</v>
      </c>
      <c r="G284" s="8"/>
      <c r="H284" s="8"/>
    </row>
    <row r="285">
      <c r="A285" s="142" t="s">
        <v>314</v>
      </c>
      <c r="B285" s="142" t="str">
        <f>IFERROR(__xludf.DUMMYFUNCTION("""COMPUTED_VALUE"""),"Aklan")</f>
        <v>Aklan</v>
      </c>
      <c r="C285" s="142" t="str">
        <f>IFERROR(__xludf.DUMMYFUNCTION("""COMPUTED_VALUE"""),"Antique")</f>
        <v>Antique</v>
      </c>
      <c r="D285" s="142" t="str">
        <f>IFERROR(__xludf.DUMMYFUNCTION("""COMPUTED_VALUE"""),"Capiz")</f>
        <v>Capiz</v>
      </c>
      <c r="E285" s="142" t="str">
        <f>IFERROR(__xludf.DUMMYFUNCTION("""COMPUTED_VALUE"""),"Iloilo")</f>
        <v>Iloilo</v>
      </c>
      <c r="F285" s="142" t="str">
        <f>IFERROR(__xludf.DUMMYFUNCTION("""COMPUTED_VALUE"""),"Guimaras")</f>
        <v>Guimaras</v>
      </c>
      <c r="G285" s="8"/>
      <c r="H285" s="8"/>
    </row>
    <row r="286">
      <c r="A286" s="142" t="s">
        <v>193</v>
      </c>
      <c r="B286" s="142" t="str">
        <f>IFERROR(__xludf.DUMMYFUNCTION("""COMPUTED_VALUE"""),"Bohol")</f>
        <v>Bohol</v>
      </c>
      <c r="C286" s="142" t="str">
        <f>IFERROR(__xludf.DUMMYFUNCTION("""COMPUTED_VALUE"""),"Cebu")</f>
        <v>Cebu</v>
      </c>
      <c r="D286" s="8"/>
      <c r="E286" s="8"/>
      <c r="F286" s="8"/>
      <c r="G286" s="8"/>
      <c r="H286" s="8"/>
    </row>
    <row r="287">
      <c r="A287" s="142" t="s">
        <v>257</v>
      </c>
      <c r="B287" s="142" t="str">
        <f>IFERROR(__xludf.DUMMYFUNCTION("""COMPUTED_VALUE"""),"Batangas")</f>
        <v>Batangas</v>
      </c>
      <c r="C287" s="142" t="str">
        <f>IFERROR(__xludf.DUMMYFUNCTION("""COMPUTED_VALUE"""),"Cavite")</f>
        <v>Cavite</v>
      </c>
      <c r="D287" s="142" t="str">
        <f>IFERROR(__xludf.DUMMYFUNCTION("""COMPUTED_VALUE"""),"Laguna")</f>
        <v>Laguna</v>
      </c>
      <c r="E287" s="142" t="str">
        <f>IFERROR(__xludf.DUMMYFUNCTION("""COMPUTED_VALUE"""),"Quezon")</f>
        <v>Quezon</v>
      </c>
      <c r="F287" s="8"/>
      <c r="G287" s="8"/>
      <c r="H287" s="8"/>
    </row>
    <row r="288">
      <c r="A288" s="142" t="s">
        <v>171</v>
      </c>
      <c r="B288" s="142" t="str">
        <f>IFERROR(__xludf.DUMMYFUNCTION("""COMPUTED_VALUE"""),"Bukidnon")</f>
        <v>Bukidnon</v>
      </c>
      <c r="C288" s="142" t="str">
        <f>IFERROR(__xludf.DUMMYFUNCTION("""COMPUTED_VALUE"""),"Camiguin")</f>
        <v>Camiguin</v>
      </c>
      <c r="D288" s="142" t="str">
        <f>IFERROR(__xludf.DUMMYFUNCTION("""COMPUTED_VALUE"""),"Lanao del Norte")</f>
        <v>Lanao del Norte</v>
      </c>
      <c r="E288" s="142" t="str">
        <f>IFERROR(__xludf.DUMMYFUNCTION("""COMPUTED_VALUE"""),"Misamis Occidental")</f>
        <v>Misamis Occidental</v>
      </c>
      <c r="F288" s="142" t="str">
        <f>IFERROR(__xludf.DUMMYFUNCTION("""COMPUTED_VALUE"""),"Misamis Oriental")</f>
        <v>Misamis Oriental</v>
      </c>
      <c r="G288" s="8"/>
      <c r="H288" s="8"/>
    </row>
    <row r="289">
      <c r="A289" s="142" t="s">
        <v>257</v>
      </c>
      <c r="B289" s="142" t="str">
        <f>IFERROR(__xludf.DUMMYFUNCTION("""COMPUTED_VALUE"""),"Batangas")</f>
        <v>Batangas</v>
      </c>
      <c r="C289" s="142" t="str">
        <f>IFERROR(__xludf.DUMMYFUNCTION("""COMPUTED_VALUE"""),"Cavite")</f>
        <v>Cavite</v>
      </c>
      <c r="D289" s="142" t="str">
        <f>IFERROR(__xludf.DUMMYFUNCTION("""COMPUTED_VALUE"""),"Laguna")</f>
        <v>Laguna</v>
      </c>
      <c r="E289" s="142" t="str">
        <f>IFERROR(__xludf.DUMMYFUNCTION("""COMPUTED_VALUE"""),"Quezon")</f>
        <v>Quezon</v>
      </c>
      <c r="F289" s="8"/>
      <c r="G289" s="8"/>
      <c r="H289" s="8"/>
    </row>
    <row r="290">
      <c r="A290" s="142" t="s">
        <v>193</v>
      </c>
      <c r="B290" s="142" t="str">
        <f>IFERROR(__xludf.DUMMYFUNCTION("""COMPUTED_VALUE"""),"Bohol")</f>
        <v>Bohol</v>
      </c>
      <c r="C290" s="142" t="str">
        <f>IFERROR(__xludf.DUMMYFUNCTION("""COMPUTED_VALUE"""),"Cebu")</f>
        <v>Cebu</v>
      </c>
      <c r="D290" s="8"/>
      <c r="E290" s="8"/>
      <c r="F290" s="8"/>
      <c r="G290" s="8"/>
      <c r="H290" s="8"/>
    </row>
    <row r="291">
      <c r="A291" s="142" t="s">
        <v>522</v>
      </c>
      <c r="B291" s="142" t="str">
        <f>IFERROR(__xludf.DUMMYFUNCTION("""COMPUTED_VALUE"""),"Marinduque")</f>
        <v>Marinduque</v>
      </c>
      <c r="C291" s="142" t="str">
        <f>IFERROR(__xludf.DUMMYFUNCTION("""COMPUTED_VALUE"""),"Occidental Mindoro")</f>
        <v>Occidental Mindoro</v>
      </c>
      <c r="D291" s="142" t="str">
        <f>IFERROR(__xludf.DUMMYFUNCTION("""COMPUTED_VALUE"""),"Oriental Mindoro")</f>
        <v>Oriental Mindoro</v>
      </c>
      <c r="E291" s="142" t="str">
        <f>IFERROR(__xludf.DUMMYFUNCTION("""COMPUTED_VALUE"""),"Palawan")</f>
        <v>Palawan</v>
      </c>
      <c r="F291" s="142" t="str">
        <f>IFERROR(__xludf.DUMMYFUNCTION("""COMPUTED_VALUE"""),"Romblon")</f>
        <v>Romblon</v>
      </c>
      <c r="G291" s="8"/>
      <c r="H291" s="8"/>
    </row>
    <row r="292">
      <c r="A292" s="142" t="s">
        <v>522</v>
      </c>
      <c r="B292" s="142" t="str">
        <f>IFERROR(__xludf.DUMMYFUNCTION("""COMPUTED_VALUE"""),"Marinduque")</f>
        <v>Marinduque</v>
      </c>
      <c r="C292" s="142" t="str">
        <f>IFERROR(__xludf.DUMMYFUNCTION("""COMPUTED_VALUE"""),"Occidental Mindoro")</f>
        <v>Occidental Mindoro</v>
      </c>
      <c r="D292" s="142" t="str">
        <f>IFERROR(__xludf.DUMMYFUNCTION("""COMPUTED_VALUE"""),"Oriental Mindoro")</f>
        <v>Oriental Mindoro</v>
      </c>
      <c r="E292" s="142" t="str">
        <f>IFERROR(__xludf.DUMMYFUNCTION("""COMPUTED_VALUE"""),"Palawan")</f>
        <v>Palawan</v>
      </c>
      <c r="F292" s="142" t="str">
        <f>IFERROR(__xludf.DUMMYFUNCTION("""COMPUTED_VALUE"""),"Romblon")</f>
        <v>Romblon</v>
      </c>
      <c r="G292" s="8"/>
      <c r="H292" s="8"/>
    </row>
    <row r="293">
      <c r="A293" s="142" t="s">
        <v>171</v>
      </c>
      <c r="B293" s="142" t="str">
        <f>IFERROR(__xludf.DUMMYFUNCTION("""COMPUTED_VALUE"""),"Bukidnon")</f>
        <v>Bukidnon</v>
      </c>
      <c r="C293" s="142" t="str">
        <f>IFERROR(__xludf.DUMMYFUNCTION("""COMPUTED_VALUE"""),"Camiguin")</f>
        <v>Camiguin</v>
      </c>
      <c r="D293" s="142" t="str">
        <f>IFERROR(__xludf.DUMMYFUNCTION("""COMPUTED_VALUE"""),"Lanao del Norte")</f>
        <v>Lanao del Norte</v>
      </c>
      <c r="E293" s="142" t="str">
        <f>IFERROR(__xludf.DUMMYFUNCTION("""COMPUTED_VALUE"""),"Misamis Occidental")</f>
        <v>Misamis Occidental</v>
      </c>
      <c r="F293" s="142" t="str">
        <f>IFERROR(__xludf.DUMMYFUNCTION("""COMPUTED_VALUE"""),"Misamis Oriental")</f>
        <v>Misamis Oriental</v>
      </c>
      <c r="G293" s="8"/>
      <c r="H293" s="8"/>
    </row>
    <row r="294">
      <c r="A294" s="142" t="s">
        <v>257</v>
      </c>
      <c r="B294" s="142" t="str">
        <f>IFERROR(__xludf.DUMMYFUNCTION("""COMPUTED_VALUE"""),"Batangas")</f>
        <v>Batangas</v>
      </c>
      <c r="C294" s="142" t="str">
        <f>IFERROR(__xludf.DUMMYFUNCTION("""COMPUTED_VALUE"""),"Cavite")</f>
        <v>Cavite</v>
      </c>
      <c r="D294" s="142" t="str">
        <f>IFERROR(__xludf.DUMMYFUNCTION("""COMPUTED_VALUE"""),"Laguna")</f>
        <v>Laguna</v>
      </c>
      <c r="E294" s="142" t="str">
        <f>IFERROR(__xludf.DUMMYFUNCTION("""COMPUTED_VALUE"""),"Quezon")</f>
        <v>Quezon</v>
      </c>
      <c r="F294" s="8"/>
      <c r="G294" s="8"/>
      <c r="H294" s="8"/>
    </row>
    <row r="295">
      <c r="A295" s="142" t="s">
        <v>314</v>
      </c>
      <c r="B295" s="142" t="str">
        <f>IFERROR(__xludf.DUMMYFUNCTION("""COMPUTED_VALUE"""),"Aklan")</f>
        <v>Aklan</v>
      </c>
      <c r="C295" s="142" t="str">
        <f>IFERROR(__xludf.DUMMYFUNCTION("""COMPUTED_VALUE"""),"Antique")</f>
        <v>Antique</v>
      </c>
      <c r="D295" s="142" t="str">
        <f>IFERROR(__xludf.DUMMYFUNCTION("""COMPUTED_VALUE"""),"Capiz")</f>
        <v>Capiz</v>
      </c>
      <c r="E295" s="142" t="str">
        <f>IFERROR(__xludf.DUMMYFUNCTION("""COMPUTED_VALUE"""),"Iloilo")</f>
        <v>Iloilo</v>
      </c>
      <c r="F295" s="142" t="str">
        <f>IFERROR(__xludf.DUMMYFUNCTION("""COMPUTED_VALUE"""),"Guimaras")</f>
        <v>Guimaras</v>
      </c>
      <c r="G295" s="8"/>
      <c r="H295" s="8"/>
    </row>
    <row r="296">
      <c r="A296" s="142" t="s">
        <v>193</v>
      </c>
      <c r="B296" s="142" t="str">
        <f>IFERROR(__xludf.DUMMYFUNCTION("""COMPUTED_VALUE"""),"Bohol")</f>
        <v>Bohol</v>
      </c>
      <c r="C296" s="142" t="str">
        <f>IFERROR(__xludf.DUMMYFUNCTION("""COMPUTED_VALUE"""),"Cebu")</f>
        <v>Cebu</v>
      </c>
      <c r="D296" s="8"/>
      <c r="E296" s="8"/>
      <c r="F296" s="8"/>
      <c r="G296" s="8"/>
      <c r="H296" s="8"/>
    </row>
    <row r="297">
      <c r="A297" s="142" t="s">
        <v>193</v>
      </c>
      <c r="B297" s="142" t="str">
        <f>IFERROR(__xludf.DUMMYFUNCTION("""COMPUTED_VALUE"""),"Bohol")</f>
        <v>Bohol</v>
      </c>
      <c r="C297" s="142" t="str">
        <f>IFERROR(__xludf.DUMMYFUNCTION("""COMPUTED_VALUE"""),"Cebu")</f>
        <v>Cebu</v>
      </c>
      <c r="D297" s="8"/>
      <c r="E297" s="8"/>
      <c r="F297" s="8"/>
      <c r="G297" s="8"/>
      <c r="H297" s="8"/>
    </row>
    <row r="298">
      <c r="A298" s="142" t="s">
        <v>193</v>
      </c>
      <c r="B298" s="142" t="str">
        <f>IFERROR(__xludf.DUMMYFUNCTION("""COMPUTED_VALUE"""),"Bohol")</f>
        <v>Bohol</v>
      </c>
      <c r="C298" s="142" t="str">
        <f>IFERROR(__xludf.DUMMYFUNCTION("""COMPUTED_VALUE"""),"Cebu")</f>
        <v>Cebu</v>
      </c>
      <c r="D298" s="8"/>
      <c r="E298" s="8"/>
      <c r="F298" s="8"/>
      <c r="G298" s="8"/>
      <c r="H298" s="8"/>
    </row>
    <row r="299">
      <c r="A299" s="142" t="s">
        <v>193</v>
      </c>
      <c r="B299" s="142" t="str">
        <f>IFERROR(__xludf.DUMMYFUNCTION("""COMPUTED_VALUE"""),"Bohol")</f>
        <v>Bohol</v>
      </c>
      <c r="C299" s="142" t="str">
        <f>IFERROR(__xludf.DUMMYFUNCTION("""COMPUTED_VALUE"""),"Cebu")</f>
        <v>Cebu</v>
      </c>
      <c r="D299" s="8"/>
      <c r="E299" s="8"/>
      <c r="F299" s="8"/>
      <c r="G299" s="8"/>
      <c r="H299" s="8"/>
    </row>
    <row r="300">
      <c r="A300" s="142" t="s">
        <v>193</v>
      </c>
      <c r="B300" s="142" t="str">
        <f>IFERROR(__xludf.DUMMYFUNCTION("""COMPUTED_VALUE"""),"Bohol")</f>
        <v>Bohol</v>
      </c>
      <c r="C300" s="142" t="str">
        <f>IFERROR(__xludf.DUMMYFUNCTION("""COMPUTED_VALUE"""),"Cebu")</f>
        <v>Cebu</v>
      </c>
      <c r="D300" s="8"/>
      <c r="E300" s="8"/>
      <c r="F300" s="8"/>
      <c r="G300" s="8"/>
      <c r="H300" s="8"/>
    </row>
    <row r="301">
      <c r="A301" s="142" t="s">
        <v>193</v>
      </c>
      <c r="B301" s="142" t="str">
        <f>IFERROR(__xludf.DUMMYFUNCTION("""COMPUTED_VALUE"""),"Bohol")</f>
        <v>Bohol</v>
      </c>
      <c r="C301" s="142" t="str">
        <f>IFERROR(__xludf.DUMMYFUNCTION("""COMPUTED_VALUE"""),"Cebu")</f>
        <v>Cebu</v>
      </c>
      <c r="D301" s="8"/>
      <c r="E301" s="8"/>
      <c r="F301" s="8"/>
      <c r="G301" s="8"/>
      <c r="H301" s="8"/>
    </row>
    <row r="302">
      <c r="A302" s="142" t="s">
        <v>193</v>
      </c>
      <c r="B302" s="142" t="str">
        <f>IFERROR(__xludf.DUMMYFUNCTION("""COMPUTED_VALUE"""),"Bohol")</f>
        <v>Bohol</v>
      </c>
      <c r="C302" s="142" t="str">
        <f>IFERROR(__xludf.DUMMYFUNCTION("""COMPUTED_VALUE"""),"Cebu")</f>
        <v>Cebu</v>
      </c>
      <c r="D302" s="8"/>
      <c r="E302" s="8"/>
      <c r="F302" s="8"/>
      <c r="G302" s="8"/>
      <c r="H302" s="8"/>
    </row>
    <row r="303">
      <c r="A303" s="142" t="s">
        <v>193</v>
      </c>
      <c r="B303" s="142" t="str">
        <f>IFERROR(__xludf.DUMMYFUNCTION("""COMPUTED_VALUE"""),"Bohol")</f>
        <v>Bohol</v>
      </c>
      <c r="C303" s="142" t="str">
        <f>IFERROR(__xludf.DUMMYFUNCTION("""COMPUTED_VALUE"""),"Cebu")</f>
        <v>Cebu</v>
      </c>
      <c r="D303" s="8"/>
      <c r="E303" s="8"/>
      <c r="F303" s="8"/>
      <c r="G303" s="8"/>
      <c r="H303" s="8"/>
    </row>
    <row r="304">
      <c r="A304" s="142" t="s">
        <v>625</v>
      </c>
      <c r="B304" s="142" t="str">
        <f>IFERROR(__xludf.DUMMYFUNCTION("""COMPUTED_VALUE"""),"Negros Occidental")</f>
        <v>Negros Occidental</v>
      </c>
      <c r="C304" s="142" t="str">
        <f>IFERROR(__xludf.DUMMYFUNCTION("""COMPUTED_VALUE"""),"Negros Oriental")</f>
        <v>Negros Oriental</v>
      </c>
      <c r="D304" s="142" t="str">
        <f>IFERROR(__xludf.DUMMYFUNCTION("""COMPUTED_VALUE"""),"Siquijor")</f>
        <v>Siquijor</v>
      </c>
      <c r="E304" s="8"/>
      <c r="F304" s="8"/>
      <c r="G304" s="8"/>
      <c r="H304" s="8"/>
    </row>
    <row r="305">
      <c r="A305" s="142" t="s">
        <v>625</v>
      </c>
      <c r="B305" s="142" t="str">
        <f>IFERROR(__xludf.DUMMYFUNCTION("""COMPUTED_VALUE"""),"Negros Occidental")</f>
        <v>Negros Occidental</v>
      </c>
      <c r="C305" s="142" t="str">
        <f>IFERROR(__xludf.DUMMYFUNCTION("""COMPUTED_VALUE"""),"Negros Oriental")</f>
        <v>Negros Oriental</v>
      </c>
      <c r="D305" s="142" t="str">
        <f>IFERROR(__xludf.DUMMYFUNCTION("""COMPUTED_VALUE"""),"Siquijor")</f>
        <v>Siquijor</v>
      </c>
      <c r="E305" s="8"/>
      <c r="F305" s="8"/>
      <c r="G305" s="8"/>
      <c r="H305" s="8"/>
    </row>
    <row r="306">
      <c r="A306" s="142" t="s">
        <v>625</v>
      </c>
      <c r="B306" s="142" t="str">
        <f>IFERROR(__xludf.DUMMYFUNCTION("""COMPUTED_VALUE"""),"Negros Occidental")</f>
        <v>Negros Occidental</v>
      </c>
      <c r="C306" s="142" t="str">
        <f>IFERROR(__xludf.DUMMYFUNCTION("""COMPUTED_VALUE"""),"Negros Oriental")</f>
        <v>Negros Oriental</v>
      </c>
      <c r="D306" s="142" t="str">
        <f>IFERROR(__xludf.DUMMYFUNCTION("""COMPUTED_VALUE"""),"Siquijor")</f>
        <v>Siquijor</v>
      </c>
      <c r="E306" s="8"/>
      <c r="F306" s="8"/>
      <c r="G306" s="8"/>
      <c r="H306" s="8"/>
    </row>
    <row r="307">
      <c r="A307" s="142" t="s">
        <v>625</v>
      </c>
      <c r="B307" s="142" t="str">
        <f>IFERROR(__xludf.DUMMYFUNCTION("""COMPUTED_VALUE"""),"Negros Occidental")</f>
        <v>Negros Occidental</v>
      </c>
      <c r="C307" s="142" t="str">
        <f>IFERROR(__xludf.DUMMYFUNCTION("""COMPUTED_VALUE"""),"Negros Oriental")</f>
        <v>Negros Oriental</v>
      </c>
      <c r="D307" s="142" t="str">
        <f>IFERROR(__xludf.DUMMYFUNCTION("""COMPUTED_VALUE"""),"Siquijor")</f>
        <v>Siquijor</v>
      </c>
      <c r="E307" s="8"/>
      <c r="F307" s="8"/>
      <c r="G307" s="8"/>
      <c r="H307" s="8"/>
    </row>
    <row r="308">
      <c r="A308" s="142" t="s">
        <v>625</v>
      </c>
      <c r="B308" s="142" t="str">
        <f>IFERROR(__xludf.DUMMYFUNCTION("""COMPUTED_VALUE"""),"Negros Occidental")</f>
        <v>Negros Occidental</v>
      </c>
      <c r="C308" s="142" t="str">
        <f>IFERROR(__xludf.DUMMYFUNCTION("""COMPUTED_VALUE"""),"Negros Oriental")</f>
        <v>Negros Oriental</v>
      </c>
      <c r="D308" s="142" t="str">
        <f>IFERROR(__xludf.DUMMYFUNCTION("""COMPUTED_VALUE"""),"Siquijor")</f>
        <v>Siquijor</v>
      </c>
      <c r="E308" s="8"/>
      <c r="F308" s="8"/>
      <c r="G308" s="8"/>
      <c r="H308" s="8"/>
    </row>
    <row r="309">
      <c r="A309" s="142" t="s">
        <v>625</v>
      </c>
      <c r="B309" s="142" t="str">
        <f>IFERROR(__xludf.DUMMYFUNCTION("""COMPUTED_VALUE"""),"Negros Occidental")</f>
        <v>Negros Occidental</v>
      </c>
      <c r="C309" s="142" t="str">
        <f>IFERROR(__xludf.DUMMYFUNCTION("""COMPUTED_VALUE"""),"Negros Oriental")</f>
        <v>Negros Oriental</v>
      </c>
      <c r="D309" s="142" t="str">
        <f>IFERROR(__xludf.DUMMYFUNCTION("""COMPUTED_VALUE"""),"Siquijor")</f>
        <v>Siquijor</v>
      </c>
      <c r="E309" s="8"/>
      <c r="F309" s="8"/>
      <c r="G309" s="8"/>
      <c r="H309" s="8"/>
    </row>
    <row r="310">
      <c r="A310" s="142" t="s">
        <v>330</v>
      </c>
      <c r="B310" s="142" t="str">
        <f>IFERROR(__xludf.DUMMYFUNCTION("""COMPUTED_VALUE"""),"Davao del Norte")</f>
        <v>Davao del Norte</v>
      </c>
      <c r="C310" s="142" t="str">
        <f>IFERROR(__xludf.DUMMYFUNCTION("""COMPUTED_VALUE"""),"Davao del Sur")</f>
        <v>Davao del Sur</v>
      </c>
      <c r="D310" s="142" t="str">
        <f>IFERROR(__xludf.DUMMYFUNCTION("""COMPUTED_VALUE"""),"Davao Oriental")</f>
        <v>Davao Oriental</v>
      </c>
      <c r="E310" s="142" t="str">
        <f>IFERROR(__xludf.DUMMYFUNCTION("""COMPUTED_VALUE"""),"Davao de Oro")</f>
        <v>Davao de Oro</v>
      </c>
      <c r="F310" s="142" t="str">
        <f>IFERROR(__xludf.DUMMYFUNCTION("""COMPUTED_VALUE"""),"Davao Occidental")</f>
        <v>Davao Occidental</v>
      </c>
      <c r="G310" s="8"/>
      <c r="H310" s="8"/>
    </row>
    <row r="311">
      <c r="A311" s="142" t="s">
        <v>193</v>
      </c>
      <c r="B311" s="142" t="str">
        <f>IFERROR(__xludf.DUMMYFUNCTION("""COMPUTED_VALUE"""),"Bohol")</f>
        <v>Bohol</v>
      </c>
      <c r="C311" s="142" t="str">
        <f>IFERROR(__xludf.DUMMYFUNCTION("""COMPUTED_VALUE"""),"Cebu")</f>
        <v>Cebu</v>
      </c>
      <c r="D311" s="8"/>
      <c r="E311" s="8"/>
      <c r="F311" s="8"/>
      <c r="G311" s="8"/>
      <c r="H311" s="8"/>
    </row>
    <row r="312">
      <c r="A312" s="142" t="s">
        <v>314</v>
      </c>
      <c r="B312" s="142" t="str">
        <f>IFERROR(__xludf.DUMMYFUNCTION("""COMPUTED_VALUE"""),"Aklan")</f>
        <v>Aklan</v>
      </c>
      <c r="C312" s="142" t="str">
        <f>IFERROR(__xludf.DUMMYFUNCTION("""COMPUTED_VALUE"""),"Antique")</f>
        <v>Antique</v>
      </c>
      <c r="D312" s="142" t="str">
        <f>IFERROR(__xludf.DUMMYFUNCTION("""COMPUTED_VALUE"""),"Capiz")</f>
        <v>Capiz</v>
      </c>
      <c r="E312" s="142" t="str">
        <f>IFERROR(__xludf.DUMMYFUNCTION("""COMPUTED_VALUE"""),"Iloilo")</f>
        <v>Iloilo</v>
      </c>
      <c r="F312" s="142" t="str">
        <f>IFERROR(__xludf.DUMMYFUNCTION("""COMPUTED_VALUE"""),"Guimaras")</f>
        <v>Guimaras</v>
      </c>
      <c r="G312" s="8"/>
      <c r="H312" s="8"/>
    </row>
    <row r="313">
      <c r="A313" s="142" t="s">
        <v>330</v>
      </c>
      <c r="B313" s="142" t="str">
        <f>IFERROR(__xludf.DUMMYFUNCTION("""COMPUTED_VALUE"""),"Davao del Norte")</f>
        <v>Davao del Norte</v>
      </c>
      <c r="C313" s="142" t="str">
        <f>IFERROR(__xludf.DUMMYFUNCTION("""COMPUTED_VALUE"""),"Davao del Sur")</f>
        <v>Davao del Sur</v>
      </c>
      <c r="D313" s="142" t="str">
        <f>IFERROR(__xludf.DUMMYFUNCTION("""COMPUTED_VALUE"""),"Davao Oriental")</f>
        <v>Davao Oriental</v>
      </c>
      <c r="E313" s="142" t="str">
        <f>IFERROR(__xludf.DUMMYFUNCTION("""COMPUTED_VALUE"""),"Davao de Oro")</f>
        <v>Davao de Oro</v>
      </c>
      <c r="F313" s="142" t="str">
        <f>IFERROR(__xludf.DUMMYFUNCTION("""COMPUTED_VALUE"""),"Davao Occidental")</f>
        <v>Davao Occidental</v>
      </c>
      <c r="G313" s="8"/>
      <c r="H313" s="8"/>
    </row>
    <row r="314">
      <c r="A314" s="142" t="s">
        <v>171</v>
      </c>
      <c r="B314" s="142" t="str">
        <f>IFERROR(__xludf.DUMMYFUNCTION("""COMPUTED_VALUE"""),"Bukidnon")</f>
        <v>Bukidnon</v>
      </c>
      <c r="C314" s="142" t="str">
        <f>IFERROR(__xludf.DUMMYFUNCTION("""COMPUTED_VALUE"""),"Camiguin")</f>
        <v>Camiguin</v>
      </c>
      <c r="D314" s="142" t="str">
        <f>IFERROR(__xludf.DUMMYFUNCTION("""COMPUTED_VALUE"""),"Lanao del Norte")</f>
        <v>Lanao del Norte</v>
      </c>
      <c r="E314" s="142" t="str">
        <f>IFERROR(__xludf.DUMMYFUNCTION("""COMPUTED_VALUE"""),"Misamis Occidental")</f>
        <v>Misamis Occidental</v>
      </c>
      <c r="F314" s="142" t="str">
        <f>IFERROR(__xludf.DUMMYFUNCTION("""COMPUTED_VALUE"""),"Misamis Oriental")</f>
        <v>Misamis Oriental</v>
      </c>
      <c r="G314" s="8"/>
      <c r="H314" s="8"/>
    </row>
    <row r="315">
      <c r="A315" s="142" t="s">
        <v>330</v>
      </c>
      <c r="B315" s="142" t="str">
        <f>IFERROR(__xludf.DUMMYFUNCTION("""COMPUTED_VALUE"""),"Davao del Norte")</f>
        <v>Davao del Norte</v>
      </c>
      <c r="C315" s="142" t="str">
        <f>IFERROR(__xludf.DUMMYFUNCTION("""COMPUTED_VALUE"""),"Davao del Sur")</f>
        <v>Davao del Sur</v>
      </c>
      <c r="D315" s="142" t="str">
        <f>IFERROR(__xludf.DUMMYFUNCTION("""COMPUTED_VALUE"""),"Davao Oriental")</f>
        <v>Davao Oriental</v>
      </c>
      <c r="E315" s="142" t="str">
        <f>IFERROR(__xludf.DUMMYFUNCTION("""COMPUTED_VALUE"""),"Davao de Oro")</f>
        <v>Davao de Oro</v>
      </c>
      <c r="F315" s="142" t="str">
        <f>IFERROR(__xludf.DUMMYFUNCTION("""COMPUTED_VALUE"""),"Davao Occidental")</f>
        <v>Davao Occidental</v>
      </c>
      <c r="G315" s="8"/>
      <c r="H315" s="8"/>
    </row>
    <row r="316">
      <c r="A316" s="142" t="s">
        <v>522</v>
      </c>
      <c r="B316" s="142" t="str">
        <f>IFERROR(__xludf.DUMMYFUNCTION("""COMPUTED_VALUE"""),"Marinduque")</f>
        <v>Marinduque</v>
      </c>
      <c r="C316" s="142" t="str">
        <f>IFERROR(__xludf.DUMMYFUNCTION("""COMPUTED_VALUE"""),"Occidental Mindoro")</f>
        <v>Occidental Mindoro</v>
      </c>
      <c r="D316" s="142" t="str">
        <f>IFERROR(__xludf.DUMMYFUNCTION("""COMPUTED_VALUE"""),"Oriental Mindoro")</f>
        <v>Oriental Mindoro</v>
      </c>
      <c r="E316" s="142" t="str">
        <f>IFERROR(__xludf.DUMMYFUNCTION("""COMPUTED_VALUE"""),"Palawan")</f>
        <v>Palawan</v>
      </c>
      <c r="F316" s="142" t="str">
        <f>IFERROR(__xludf.DUMMYFUNCTION("""COMPUTED_VALUE"""),"Romblon")</f>
        <v>Romblon</v>
      </c>
      <c r="G316" s="8"/>
      <c r="H316" s="8"/>
    </row>
    <row r="317">
      <c r="A317" s="142" t="s">
        <v>345</v>
      </c>
      <c r="B317" s="142" t="str">
        <f>IFERROR(__xludf.DUMMYFUNCTION("""COMPUTED_VALUE"""),"Agusan del Norte")</f>
        <v>Agusan del Norte</v>
      </c>
      <c r="C317" s="142" t="str">
        <f>IFERROR(__xludf.DUMMYFUNCTION("""COMPUTED_VALUE"""),"Agusan del Sur")</f>
        <v>Agusan del Sur</v>
      </c>
      <c r="D317" s="142" t="str">
        <f>IFERROR(__xludf.DUMMYFUNCTION("""COMPUTED_VALUE"""),"Surigao del Norte")</f>
        <v>Surigao del Norte</v>
      </c>
      <c r="E317" s="142" t="str">
        <f>IFERROR(__xludf.DUMMYFUNCTION("""COMPUTED_VALUE"""),"Surigao del Sur")</f>
        <v>Surigao del Sur</v>
      </c>
      <c r="F317" s="142" t="str">
        <f>IFERROR(__xludf.DUMMYFUNCTION("""COMPUTED_VALUE"""),"Dinagat Islands")</f>
        <v>Dinagat Islands</v>
      </c>
      <c r="G317" s="8"/>
      <c r="H317" s="8"/>
    </row>
    <row r="318">
      <c r="A318" s="142" t="s">
        <v>293</v>
      </c>
      <c r="B318" s="142" t="str">
        <f>IFERROR(__xludf.DUMMYFUNCTION("""COMPUTED_VALUE"""),"Bataan")</f>
        <v>Bataan</v>
      </c>
      <c r="C318" s="142" t="str">
        <f>IFERROR(__xludf.DUMMYFUNCTION("""COMPUTED_VALUE"""),"Bulacan")</f>
        <v>Bulacan</v>
      </c>
      <c r="D318" s="142" t="str">
        <f>IFERROR(__xludf.DUMMYFUNCTION("""COMPUTED_VALUE"""),"Nueva Ecija")</f>
        <v>Nueva Ecija</v>
      </c>
      <c r="E318" s="142" t="str">
        <f>IFERROR(__xludf.DUMMYFUNCTION("""COMPUTED_VALUE"""),"Pampanga")</f>
        <v>Pampanga</v>
      </c>
      <c r="F318" s="142" t="str">
        <f>IFERROR(__xludf.DUMMYFUNCTION("""COMPUTED_VALUE"""),"Tarlac")</f>
        <v>Tarlac</v>
      </c>
      <c r="G318" s="142" t="str">
        <f>IFERROR(__xludf.DUMMYFUNCTION("""COMPUTED_VALUE"""),"Zambales")</f>
        <v>Zambales</v>
      </c>
      <c r="H318" s="142" t="str">
        <f>IFERROR(__xludf.DUMMYFUNCTION("""COMPUTED_VALUE"""),"Aurora")</f>
        <v>Aurora</v>
      </c>
    </row>
    <row r="319">
      <c r="A319" s="142" t="s">
        <v>257</v>
      </c>
      <c r="B319" s="142" t="str">
        <f>IFERROR(__xludf.DUMMYFUNCTION("""COMPUTED_VALUE"""),"Batangas")</f>
        <v>Batangas</v>
      </c>
      <c r="C319" s="142" t="str">
        <f>IFERROR(__xludf.DUMMYFUNCTION("""COMPUTED_VALUE"""),"Cavite")</f>
        <v>Cavite</v>
      </c>
      <c r="D319" s="142" t="str">
        <f>IFERROR(__xludf.DUMMYFUNCTION("""COMPUTED_VALUE"""),"Laguna")</f>
        <v>Laguna</v>
      </c>
      <c r="E319" s="142" t="str">
        <f>IFERROR(__xludf.DUMMYFUNCTION("""COMPUTED_VALUE"""),"Quezon")</f>
        <v>Quezon</v>
      </c>
      <c r="F319" s="8"/>
      <c r="G319" s="8"/>
      <c r="H319" s="8"/>
    </row>
    <row r="320">
      <c r="A320" s="142" t="s">
        <v>535</v>
      </c>
      <c r="B320" s="142" t="str">
        <f>IFERROR(__xludf.DUMMYFUNCTION("""COMPUTED_VALUE"""),"Albay")</f>
        <v>Albay</v>
      </c>
      <c r="C320" s="142" t="str">
        <f>IFERROR(__xludf.DUMMYFUNCTION("""COMPUTED_VALUE"""),"Camarines Norte")</f>
        <v>Camarines Norte</v>
      </c>
      <c r="D320" s="142" t="str">
        <f>IFERROR(__xludf.DUMMYFUNCTION("""COMPUTED_VALUE"""),"Camarines Sur")</f>
        <v>Camarines Sur</v>
      </c>
      <c r="E320" s="142" t="str">
        <f>IFERROR(__xludf.DUMMYFUNCTION("""COMPUTED_VALUE"""),"Catanduanes")</f>
        <v>Catanduanes</v>
      </c>
      <c r="F320" s="142" t="str">
        <f>IFERROR(__xludf.DUMMYFUNCTION("""COMPUTED_VALUE"""),"Masbate")</f>
        <v>Masbate</v>
      </c>
      <c r="G320" s="142" t="str">
        <f>IFERROR(__xludf.DUMMYFUNCTION("""COMPUTED_VALUE"""),"Sorsogon")</f>
        <v>Sorsogon</v>
      </c>
      <c r="H320" s="8"/>
    </row>
    <row r="321">
      <c r="A321" s="142" t="s">
        <v>193</v>
      </c>
      <c r="B321" s="142" t="str">
        <f>IFERROR(__xludf.DUMMYFUNCTION("""COMPUTED_VALUE"""),"Bohol")</f>
        <v>Bohol</v>
      </c>
      <c r="C321" s="142" t="str">
        <f>IFERROR(__xludf.DUMMYFUNCTION("""COMPUTED_VALUE"""),"Cebu")</f>
        <v>Cebu</v>
      </c>
      <c r="D321" s="8"/>
      <c r="E321" s="8"/>
      <c r="F321" s="8"/>
      <c r="G321" s="8"/>
      <c r="H321" s="8"/>
    </row>
    <row r="322">
      <c r="A322" s="142" t="s">
        <v>356</v>
      </c>
      <c r="B322" s="142" t="str">
        <f>IFERROR(__xludf.DUMMYFUNCTION("""COMPUTED_VALUE"""),"Cotabato")</f>
        <v>Cotabato</v>
      </c>
      <c r="C322" s="142" t="str">
        <f>IFERROR(__xludf.DUMMYFUNCTION("""COMPUTED_VALUE"""),"South Cotabato")</f>
        <v>South Cotabato</v>
      </c>
      <c r="D322" s="142" t="str">
        <f>IFERROR(__xludf.DUMMYFUNCTION("""COMPUTED_VALUE"""),"Sultan Kudarat")</f>
        <v>Sultan Kudarat</v>
      </c>
      <c r="E322" s="142" t="str">
        <f>IFERROR(__xludf.DUMMYFUNCTION("""COMPUTED_VALUE"""),"Sarangani")</f>
        <v>Sarangani</v>
      </c>
      <c r="F322" s="8"/>
      <c r="G322" s="8"/>
      <c r="H322" s="8"/>
    </row>
    <row r="323">
      <c r="A323" s="142" t="s">
        <v>642</v>
      </c>
      <c r="B323" s="142" t="str">
        <f>IFERROR(__xludf.DUMMYFUNCTION("""COMPUTED_VALUE"""),"Basilan")</f>
        <v>Basilan</v>
      </c>
      <c r="C323" s="142" t="str">
        <f>IFERROR(__xludf.DUMMYFUNCTION("""COMPUTED_VALUE"""),"Lanao del Sur")</f>
        <v>Lanao del Sur</v>
      </c>
      <c r="D323" s="142" t="str">
        <f>IFERROR(__xludf.DUMMYFUNCTION("""COMPUTED_VALUE"""),"Sulu")</f>
        <v>Sulu</v>
      </c>
      <c r="E323" s="142" t="str">
        <f>IFERROR(__xludf.DUMMYFUNCTION("""COMPUTED_VALUE"""),"Tawi-Tawi")</f>
        <v>Tawi-Tawi</v>
      </c>
      <c r="F323" s="142" t="str">
        <f>IFERROR(__xludf.DUMMYFUNCTION("""COMPUTED_VALUE"""),"Maguindanao del Norte")</f>
        <v>Maguindanao del Norte</v>
      </c>
      <c r="G323" s="142" t="str">
        <f>IFERROR(__xludf.DUMMYFUNCTION("""COMPUTED_VALUE"""),"Maguindanao del Sur")</f>
        <v>Maguindanao del Sur</v>
      </c>
      <c r="H323" s="142" t="str">
        <f>IFERROR(__xludf.DUMMYFUNCTION("""COMPUTED_VALUE"""),"Special Geographic Area")</f>
        <v>Special Geographic Area</v>
      </c>
    </row>
    <row r="324">
      <c r="A324" s="142" t="s">
        <v>314</v>
      </c>
      <c r="B324" s="142" t="str">
        <f>IFERROR(__xludf.DUMMYFUNCTION("""COMPUTED_VALUE"""),"Aklan")</f>
        <v>Aklan</v>
      </c>
      <c r="C324" s="142" t="str">
        <f>IFERROR(__xludf.DUMMYFUNCTION("""COMPUTED_VALUE"""),"Antique")</f>
        <v>Antique</v>
      </c>
      <c r="D324" s="142" t="str">
        <f>IFERROR(__xludf.DUMMYFUNCTION("""COMPUTED_VALUE"""),"Capiz")</f>
        <v>Capiz</v>
      </c>
      <c r="E324" s="142" t="str">
        <f>IFERROR(__xludf.DUMMYFUNCTION("""COMPUTED_VALUE"""),"Iloilo")</f>
        <v>Iloilo</v>
      </c>
      <c r="F324" s="142" t="str">
        <f>IFERROR(__xludf.DUMMYFUNCTION("""COMPUTED_VALUE"""),"Guimaras")</f>
        <v>Guimaras</v>
      </c>
      <c r="G324" s="8"/>
      <c r="H324" s="8"/>
    </row>
    <row r="325">
      <c r="A325" s="142" t="s">
        <v>314</v>
      </c>
      <c r="B325" s="142" t="str">
        <f>IFERROR(__xludf.DUMMYFUNCTION("""COMPUTED_VALUE"""),"Aklan")</f>
        <v>Aklan</v>
      </c>
      <c r="C325" s="142" t="str">
        <f>IFERROR(__xludf.DUMMYFUNCTION("""COMPUTED_VALUE"""),"Antique")</f>
        <v>Antique</v>
      </c>
      <c r="D325" s="142" t="str">
        <f>IFERROR(__xludf.DUMMYFUNCTION("""COMPUTED_VALUE"""),"Capiz")</f>
        <v>Capiz</v>
      </c>
      <c r="E325" s="142" t="str">
        <f>IFERROR(__xludf.DUMMYFUNCTION("""COMPUTED_VALUE"""),"Iloilo")</f>
        <v>Iloilo</v>
      </c>
      <c r="F325" s="142" t="str">
        <f>IFERROR(__xludf.DUMMYFUNCTION("""COMPUTED_VALUE"""),"Guimaras")</f>
        <v>Guimaras</v>
      </c>
      <c r="G325" s="8"/>
      <c r="H325" s="8"/>
    </row>
    <row r="326">
      <c r="A326" s="142" t="s">
        <v>314</v>
      </c>
      <c r="B326" s="142" t="str">
        <f>IFERROR(__xludf.DUMMYFUNCTION("""COMPUTED_VALUE"""),"Aklan")</f>
        <v>Aklan</v>
      </c>
      <c r="C326" s="142" t="str">
        <f>IFERROR(__xludf.DUMMYFUNCTION("""COMPUTED_VALUE"""),"Antique")</f>
        <v>Antique</v>
      </c>
      <c r="D326" s="142" t="str">
        <f>IFERROR(__xludf.DUMMYFUNCTION("""COMPUTED_VALUE"""),"Capiz")</f>
        <v>Capiz</v>
      </c>
      <c r="E326" s="142" t="str">
        <f>IFERROR(__xludf.DUMMYFUNCTION("""COMPUTED_VALUE"""),"Iloilo")</f>
        <v>Iloilo</v>
      </c>
      <c r="F326" s="142" t="str">
        <f>IFERROR(__xludf.DUMMYFUNCTION("""COMPUTED_VALUE"""),"Guimaras")</f>
        <v>Guimaras</v>
      </c>
      <c r="G326" s="8"/>
      <c r="H326" s="8"/>
    </row>
    <row r="327">
      <c r="A327" s="142" t="s">
        <v>625</v>
      </c>
      <c r="B327" s="142" t="str">
        <f>IFERROR(__xludf.DUMMYFUNCTION("""COMPUTED_VALUE"""),"Negros Occidental")</f>
        <v>Negros Occidental</v>
      </c>
      <c r="C327" s="142" t="str">
        <f>IFERROR(__xludf.DUMMYFUNCTION("""COMPUTED_VALUE"""),"Negros Oriental")</f>
        <v>Negros Oriental</v>
      </c>
      <c r="D327" s="142" t="str">
        <f>IFERROR(__xludf.DUMMYFUNCTION("""COMPUTED_VALUE"""),"Siquijor")</f>
        <v>Siquijor</v>
      </c>
      <c r="E327" s="8"/>
      <c r="F327" s="8"/>
      <c r="G327" s="8"/>
      <c r="H327" s="8"/>
    </row>
    <row r="328">
      <c r="A328" s="142" t="s">
        <v>356</v>
      </c>
      <c r="B328" s="142" t="str">
        <f>IFERROR(__xludf.DUMMYFUNCTION("""COMPUTED_VALUE"""),"Cotabato")</f>
        <v>Cotabato</v>
      </c>
      <c r="C328" s="142" t="str">
        <f>IFERROR(__xludf.DUMMYFUNCTION("""COMPUTED_VALUE"""),"South Cotabato")</f>
        <v>South Cotabato</v>
      </c>
      <c r="D328" s="142" t="str">
        <f>IFERROR(__xludf.DUMMYFUNCTION("""COMPUTED_VALUE"""),"Sultan Kudarat")</f>
        <v>Sultan Kudarat</v>
      </c>
      <c r="E328" s="142" t="str">
        <f>IFERROR(__xludf.DUMMYFUNCTION("""COMPUTED_VALUE"""),"Sarangani")</f>
        <v>Sarangani</v>
      </c>
      <c r="F328" s="8"/>
      <c r="G328" s="8"/>
      <c r="H328" s="8"/>
    </row>
    <row r="329">
      <c r="A329" s="142" t="s">
        <v>535</v>
      </c>
      <c r="B329" s="142" t="str">
        <f>IFERROR(__xludf.DUMMYFUNCTION("""COMPUTED_VALUE"""),"Albay")</f>
        <v>Albay</v>
      </c>
      <c r="C329" s="142" t="str">
        <f>IFERROR(__xludf.DUMMYFUNCTION("""COMPUTED_VALUE"""),"Camarines Norte")</f>
        <v>Camarines Norte</v>
      </c>
      <c r="D329" s="142" t="str">
        <f>IFERROR(__xludf.DUMMYFUNCTION("""COMPUTED_VALUE"""),"Camarines Sur")</f>
        <v>Camarines Sur</v>
      </c>
      <c r="E329" s="142" t="str">
        <f>IFERROR(__xludf.DUMMYFUNCTION("""COMPUTED_VALUE"""),"Catanduanes")</f>
        <v>Catanduanes</v>
      </c>
      <c r="F329" s="142" t="str">
        <f>IFERROR(__xludf.DUMMYFUNCTION("""COMPUTED_VALUE"""),"Masbate")</f>
        <v>Masbate</v>
      </c>
      <c r="G329" s="142" t="str">
        <f>IFERROR(__xludf.DUMMYFUNCTION("""COMPUTED_VALUE"""),"Sorsogon")</f>
        <v>Sorsogon</v>
      </c>
      <c r="H329" s="8"/>
    </row>
    <row r="330">
      <c r="A330" s="142" t="s">
        <v>143</v>
      </c>
      <c r="B330" s="142" t="str">
        <f>IFERROR(__xludf.DUMMYFUNCTION("""COMPUTED_VALUE"""),"Ilocos Norte")</f>
        <v>Ilocos Norte</v>
      </c>
      <c r="C330" s="142" t="str">
        <f>IFERROR(__xludf.DUMMYFUNCTION("""COMPUTED_VALUE"""),"Ilocos Sur")</f>
        <v>Ilocos Sur</v>
      </c>
      <c r="D330" s="142" t="str">
        <f>IFERROR(__xludf.DUMMYFUNCTION("""COMPUTED_VALUE"""),"La Union")</f>
        <v>La Union</v>
      </c>
      <c r="E330" s="142" t="str">
        <f>IFERROR(__xludf.DUMMYFUNCTION("""COMPUTED_VALUE"""),"Pangasinan")</f>
        <v>Pangasinan</v>
      </c>
      <c r="F330" s="8"/>
      <c r="G330" s="8"/>
      <c r="H330" s="8"/>
    </row>
    <row r="331">
      <c r="A331" s="142" t="s">
        <v>345</v>
      </c>
      <c r="B331" s="142" t="str">
        <f>IFERROR(__xludf.DUMMYFUNCTION("""COMPUTED_VALUE"""),"Agusan del Norte")</f>
        <v>Agusan del Norte</v>
      </c>
      <c r="C331" s="142" t="str">
        <f>IFERROR(__xludf.DUMMYFUNCTION("""COMPUTED_VALUE"""),"Agusan del Sur")</f>
        <v>Agusan del Sur</v>
      </c>
      <c r="D331" s="142" t="str">
        <f>IFERROR(__xludf.DUMMYFUNCTION("""COMPUTED_VALUE"""),"Surigao del Norte")</f>
        <v>Surigao del Norte</v>
      </c>
      <c r="E331" s="142" t="str">
        <f>IFERROR(__xludf.DUMMYFUNCTION("""COMPUTED_VALUE"""),"Surigao del Sur")</f>
        <v>Surigao del Sur</v>
      </c>
      <c r="F331" s="142" t="str">
        <f>IFERROR(__xludf.DUMMYFUNCTION("""COMPUTED_VALUE"""),"Dinagat Islands")</f>
        <v>Dinagat Islands</v>
      </c>
      <c r="G331" s="8"/>
      <c r="H331" s="8"/>
    </row>
    <row r="332">
      <c r="A332" s="142" t="s">
        <v>257</v>
      </c>
      <c r="B332" s="142" t="str">
        <f>IFERROR(__xludf.DUMMYFUNCTION("""COMPUTED_VALUE"""),"Batangas")</f>
        <v>Batangas</v>
      </c>
      <c r="C332" s="142" t="str">
        <f>IFERROR(__xludf.DUMMYFUNCTION("""COMPUTED_VALUE"""),"Cavite")</f>
        <v>Cavite</v>
      </c>
      <c r="D332" s="142" t="str">
        <f>IFERROR(__xludf.DUMMYFUNCTION("""COMPUTED_VALUE"""),"Laguna")</f>
        <v>Laguna</v>
      </c>
      <c r="E332" s="142" t="str">
        <f>IFERROR(__xludf.DUMMYFUNCTION("""COMPUTED_VALUE"""),"Quezon")</f>
        <v>Quezon</v>
      </c>
      <c r="F332" s="8"/>
      <c r="G332" s="8"/>
      <c r="H332" s="8"/>
    </row>
    <row r="333">
      <c r="A333" s="142" t="s">
        <v>193</v>
      </c>
      <c r="B333" s="142" t="str">
        <f>IFERROR(__xludf.DUMMYFUNCTION("""COMPUTED_VALUE"""),"Bohol")</f>
        <v>Bohol</v>
      </c>
      <c r="C333" s="142" t="str">
        <f>IFERROR(__xludf.DUMMYFUNCTION("""COMPUTED_VALUE"""),"Cebu")</f>
        <v>Cebu</v>
      </c>
      <c r="D333" s="8"/>
      <c r="E333" s="8"/>
      <c r="F333" s="8"/>
      <c r="G333" s="8"/>
      <c r="H333" s="8"/>
    </row>
    <row r="334">
      <c r="A334" s="142" t="s">
        <v>535</v>
      </c>
      <c r="B334" s="142" t="str">
        <f>IFERROR(__xludf.DUMMYFUNCTION("""COMPUTED_VALUE"""),"Albay")</f>
        <v>Albay</v>
      </c>
      <c r="C334" s="142" t="str">
        <f>IFERROR(__xludf.DUMMYFUNCTION("""COMPUTED_VALUE"""),"Camarines Norte")</f>
        <v>Camarines Norte</v>
      </c>
      <c r="D334" s="142" t="str">
        <f>IFERROR(__xludf.DUMMYFUNCTION("""COMPUTED_VALUE"""),"Camarines Sur")</f>
        <v>Camarines Sur</v>
      </c>
      <c r="E334" s="142" t="str">
        <f>IFERROR(__xludf.DUMMYFUNCTION("""COMPUTED_VALUE"""),"Catanduanes")</f>
        <v>Catanduanes</v>
      </c>
      <c r="F334" s="142" t="str">
        <f>IFERROR(__xludf.DUMMYFUNCTION("""COMPUTED_VALUE"""),"Masbate")</f>
        <v>Masbate</v>
      </c>
      <c r="G334" s="142" t="str">
        <f>IFERROR(__xludf.DUMMYFUNCTION("""COMPUTED_VALUE"""),"Sorsogon")</f>
        <v>Sorsogon</v>
      </c>
      <c r="H334" s="8"/>
    </row>
    <row r="335">
      <c r="A335" s="142" t="s">
        <v>143</v>
      </c>
      <c r="B335" s="142" t="str">
        <f>IFERROR(__xludf.DUMMYFUNCTION("""COMPUTED_VALUE"""),"Ilocos Norte")</f>
        <v>Ilocos Norte</v>
      </c>
      <c r="C335" s="142" t="str">
        <f>IFERROR(__xludf.DUMMYFUNCTION("""COMPUTED_VALUE"""),"Ilocos Sur")</f>
        <v>Ilocos Sur</v>
      </c>
      <c r="D335" s="142" t="str">
        <f>IFERROR(__xludf.DUMMYFUNCTION("""COMPUTED_VALUE"""),"La Union")</f>
        <v>La Union</v>
      </c>
      <c r="E335" s="142" t="str">
        <f>IFERROR(__xludf.DUMMYFUNCTION("""COMPUTED_VALUE"""),"Pangasinan")</f>
        <v>Pangasinan</v>
      </c>
      <c r="F335" s="8"/>
      <c r="G335" s="8"/>
      <c r="H335" s="8"/>
    </row>
    <row r="336">
      <c r="A336" s="142" t="s">
        <v>257</v>
      </c>
      <c r="B336" s="142" t="str">
        <f>IFERROR(__xludf.DUMMYFUNCTION("""COMPUTED_VALUE"""),"Batangas")</f>
        <v>Batangas</v>
      </c>
      <c r="C336" s="142" t="str">
        <f>IFERROR(__xludf.DUMMYFUNCTION("""COMPUTED_VALUE"""),"Cavite")</f>
        <v>Cavite</v>
      </c>
      <c r="D336" s="142" t="str">
        <f>IFERROR(__xludf.DUMMYFUNCTION("""COMPUTED_VALUE"""),"Laguna")</f>
        <v>Laguna</v>
      </c>
      <c r="E336" s="142" t="str">
        <f>IFERROR(__xludf.DUMMYFUNCTION("""COMPUTED_VALUE"""),"Quezon")</f>
        <v>Quezon</v>
      </c>
      <c r="F336" s="8"/>
      <c r="G336" s="8"/>
      <c r="H336" s="8"/>
    </row>
    <row r="337">
      <c r="A337" s="142" t="s">
        <v>257</v>
      </c>
      <c r="B337" s="142" t="str">
        <f>IFERROR(__xludf.DUMMYFUNCTION("""COMPUTED_VALUE"""),"Batangas")</f>
        <v>Batangas</v>
      </c>
      <c r="C337" s="142" t="str">
        <f>IFERROR(__xludf.DUMMYFUNCTION("""COMPUTED_VALUE"""),"Cavite")</f>
        <v>Cavite</v>
      </c>
      <c r="D337" s="142" t="str">
        <f>IFERROR(__xludf.DUMMYFUNCTION("""COMPUTED_VALUE"""),"Laguna")</f>
        <v>Laguna</v>
      </c>
      <c r="E337" s="142" t="str">
        <f>IFERROR(__xludf.DUMMYFUNCTION("""COMPUTED_VALUE"""),"Quezon")</f>
        <v>Quezon</v>
      </c>
      <c r="F337" s="8"/>
      <c r="G337" s="8"/>
      <c r="H337" s="8"/>
    </row>
    <row r="338">
      <c r="A338" s="142" t="s">
        <v>257</v>
      </c>
      <c r="B338" s="142" t="str">
        <f>IFERROR(__xludf.DUMMYFUNCTION("""COMPUTED_VALUE"""),"Batangas")</f>
        <v>Batangas</v>
      </c>
      <c r="C338" s="142" t="str">
        <f>IFERROR(__xludf.DUMMYFUNCTION("""COMPUTED_VALUE"""),"Cavite")</f>
        <v>Cavite</v>
      </c>
      <c r="D338" s="142" t="str">
        <f>IFERROR(__xludf.DUMMYFUNCTION("""COMPUTED_VALUE"""),"Laguna")</f>
        <v>Laguna</v>
      </c>
      <c r="E338" s="142" t="str">
        <f>IFERROR(__xludf.DUMMYFUNCTION("""COMPUTED_VALUE"""),"Quezon")</f>
        <v>Quezon</v>
      </c>
      <c r="F338" s="8"/>
      <c r="G338" s="8"/>
      <c r="H338" s="8"/>
    </row>
    <row r="339">
      <c r="A339" s="142" t="s">
        <v>257</v>
      </c>
      <c r="B339" s="142" t="str">
        <f>IFERROR(__xludf.DUMMYFUNCTION("""COMPUTED_VALUE"""),"Batangas")</f>
        <v>Batangas</v>
      </c>
      <c r="C339" s="142" t="str">
        <f>IFERROR(__xludf.DUMMYFUNCTION("""COMPUTED_VALUE"""),"Cavite")</f>
        <v>Cavite</v>
      </c>
      <c r="D339" s="142" t="str">
        <f>IFERROR(__xludf.DUMMYFUNCTION("""COMPUTED_VALUE"""),"Laguna")</f>
        <v>Laguna</v>
      </c>
      <c r="E339" s="142" t="str">
        <f>IFERROR(__xludf.DUMMYFUNCTION("""COMPUTED_VALUE"""),"Quezon")</f>
        <v>Quezon</v>
      </c>
      <c r="F339" s="8"/>
      <c r="G339" s="8"/>
      <c r="H339" s="8"/>
    </row>
    <row r="340">
      <c r="A340" s="142" t="s">
        <v>257</v>
      </c>
      <c r="B340" s="142" t="str">
        <f>IFERROR(__xludf.DUMMYFUNCTION("""COMPUTED_VALUE"""),"Batangas")</f>
        <v>Batangas</v>
      </c>
      <c r="C340" s="142" t="str">
        <f>IFERROR(__xludf.DUMMYFUNCTION("""COMPUTED_VALUE"""),"Cavite")</f>
        <v>Cavite</v>
      </c>
      <c r="D340" s="142" t="str">
        <f>IFERROR(__xludf.DUMMYFUNCTION("""COMPUTED_VALUE"""),"Laguna")</f>
        <v>Laguna</v>
      </c>
      <c r="E340" s="142" t="str">
        <f>IFERROR(__xludf.DUMMYFUNCTION("""COMPUTED_VALUE"""),"Quezon")</f>
        <v>Quezon</v>
      </c>
      <c r="F340" s="8"/>
      <c r="G340" s="8"/>
      <c r="H340" s="8"/>
    </row>
    <row r="341">
      <c r="A341" s="142" t="s">
        <v>535</v>
      </c>
      <c r="B341" s="142" t="str">
        <f>IFERROR(__xludf.DUMMYFUNCTION("""COMPUTED_VALUE"""),"Albay")</f>
        <v>Albay</v>
      </c>
      <c r="C341" s="142" t="str">
        <f>IFERROR(__xludf.DUMMYFUNCTION("""COMPUTED_VALUE"""),"Camarines Norte")</f>
        <v>Camarines Norte</v>
      </c>
      <c r="D341" s="142" t="str">
        <f>IFERROR(__xludf.DUMMYFUNCTION("""COMPUTED_VALUE"""),"Camarines Sur")</f>
        <v>Camarines Sur</v>
      </c>
      <c r="E341" s="142" t="str">
        <f>IFERROR(__xludf.DUMMYFUNCTION("""COMPUTED_VALUE"""),"Catanduanes")</f>
        <v>Catanduanes</v>
      </c>
      <c r="F341" s="142" t="str">
        <f>IFERROR(__xludf.DUMMYFUNCTION("""COMPUTED_VALUE"""),"Masbate")</f>
        <v>Masbate</v>
      </c>
      <c r="G341" s="142" t="str">
        <f>IFERROR(__xludf.DUMMYFUNCTION("""COMPUTED_VALUE"""),"Sorsogon")</f>
        <v>Sorsogon</v>
      </c>
      <c r="H341" s="8"/>
    </row>
    <row r="342">
      <c r="A342" s="142" t="s">
        <v>535</v>
      </c>
      <c r="B342" s="142" t="str">
        <f>IFERROR(__xludf.DUMMYFUNCTION("""COMPUTED_VALUE"""),"Albay")</f>
        <v>Albay</v>
      </c>
      <c r="C342" s="142" t="str">
        <f>IFERROR(__xludf.DUMMYFUNCTION("""COMPUTED_VALUE"""),"Camarines Norte")</f>
        <v>Camarines Norte</v>
      </c>
      <c r="D342" s="142" t="str">
        <f>IFERROR(__xludf.DUMMYFUNCTION("""COMPUTED_VALUE"""),"Camarines Sur")</f>
        <v>Camarines Sur</v>
      </c>
      <c r="E342" s="142" t="str">
        <f>IFERROR(__xludf.DUMMYFUNCTION("""COMPUTED_VALUE"""),"Catanduanes")</f>
        <v>Catanduanes</v>
      </c>
      <c r="F342" s="142" t="str">
        <f>IFERROR(__xludf.DUMMYFUNCTION("""COMPUTED_VALUE"""),"Masbate")</f>
        <v>Masbate</v>
      </c>
      <c r="G342" s="142" t="str">
        <f>IFERROR(__xludf.DUMMYFUNCTION("""COMPUTED_VALUE"""),"Sorsogon")</f>
        <v>Sorsogon</v>
      </c>
      <c r="H342" s="8"/>
    </row>
    <row r="343">
      <c r="A343" s="142" t="s">
        <v>535</v>
      </c>
      <c r="B343" s="142" t="str">
        <f>IFERROR(__xludf.DUMMYFUNCTION("""COMPUTED_VALUE"""),"Albay")</f>
        <v>Albay</v>
      </c>
      <c r="C343" s="142" t="str">
        <f>IFERROR(__xludf.DUMMYFUNCTION("""COMPUTED_VALUE"""),"Camarines Norte")</f>
        <v>Camarines Norte</v>
      </c>
      <c r="D343" s="142" t="str">
        <f>IFERROR(__xludf.DUMMYFUNCTION("""COMPUTED_VALUE"""),"Camarines Sur")</f>
        <v>Camarines Sur</v>
      </c>
      <c r="E343" s="142" t="str">
        <f>IFERROR(__xludf.DUMMYFUNCTION("""COMPUTED_VALUE"""),"Catanduanes")</f>
        <v>Catanduanes</v>
      </c>
      <c r="F343" s="142" t="str">
        <f>IFERROR(__xludf.DUMMYFUNCTION("""COMPUTED_VALUE"""),"Masbate")</f>
        <v>Masbate</v>
      </c>
      <c r="G343" s="142" t="str">
        <f>IFERROR(__xludf.DUMMYFUNCTION("""COMPUTED_VALUE"""),"Sorsogon")</f>
        <v>Sorsogon</v>
      </c>
      <c r="H343" s="8"/>
    </row>
    <row r="344">
      <c r="A344" s="142" t="s">
        <v>579</v>
      </c>
      <c r="B344" s="142" t="str">
        <f>IFERROR(__xludf.DUMMYFUNCTION("""COMPUTED_VALUE"""),"Eastern Samar")</f>
        <v>Eastern Samar</v>
      </c>
      <c r="C344" s="142" t="str">
        <f>IFERROR(__xludf.DUMMYFUNCTION("""COMPUTED_VALUE"""),"Leyte")</f>
        <v>Leyte</v>
      </c>
      <c r="D344" s="142" t="str">
        <f>IFERROR(__xludf.DUMMYFUNCTION("""COMPUTED_VALUE"""),"Northern Samar")</f>
        <v>Northern Samar</v>
      </c>
      <c r="E344" s="142" t="str">
        <f>IFERROR(__xludf.DUMMYFUNCTION("""COMPUTED_VALUE"""),"Samar")</f>
        <v>Samar</v>
      </c>
      <c r="F344" s="142" t="str">
        <f>IFERROR(__xludf.DUMMYFUNCTION("""COMPUTED_VALUE"""),"Southern Leyte")</f>
        <v>Southern Leyte</v>
      </c>
      <c r="G344" s="142" t="str">
        <f>IFERROR(__xludf.DUMMYFUNCTION("""COMPUTED_VALUE"""),"Biliran")</f>
        <v>Biliran</v>
      </c>
      <c r="H344" s="8"/>
    </row>
    <row r="345">
      <c r="A345" s="142" t="s">
        <v>171</v>
      </c>
      <c r="B345" s="142" t="str">
        <f>IFERROR(__xludf.DUMMYFUNCTION("""COMPUTED_VALUE"""),"Bukidnon")</f>
        <v>Bukidnon</v>
      </c>
      <c r="C345" s="142" t="str">
        <f>IFERROR(__xludf.DUMMYFUNCTION("""COMPUTED_VALUE"""),"Camiguin")</f>
        <v>Camiguin</v>
      </c>
      <c r="D345" s="142" t="str">
        <f>IFERROR(__xludf.DUMMYFUNCTION("""COMPUTED_VALUE"""),"Lanao del Norte")</f>
        <v>Lanao del Norte</v>
      </c>
      <c r="E345" s="142" t="str">
        <f>IFERROR(__xludf.DUMMYFUNCTION("""COMPUTED_VALUE"""),"Misamis Occidental")</f>
        <v>Misamis Occidental</v>
      </c>
      <c r="F345" s="142" t="str">
        <f>IFERROR(__xludf.DUMMYFUNCTION("""COMPUTED_VALUE"""),"Misamis Oriental")</f>
        <v>Misamis Oriental</v>
      </c>
      <c r="G345" s="8"/>
      <c r="H345" s="8"/>
    </row>
    <row r="346">
      <c r="A346" s="142" t="s">
        <v>171</v>
      </c>
      <c r="B346" s="142" t="str">
        <f>IFERROR(__xludf.DUMMYFUNCTION("""COMPUTED_VALUE"""),"Bukidnon")</f>
        <v>Bukidnon</v>
      </c>
      <c r="C346" s="142" t="str">
        <f>IFERROR(__xludf.DUMMYFUNCTION("""COMPUTED_VALUE"""),"Camiguin")</f>
        <v>Camiguin</v>
      </c>
      <c r="D346" s="142" t="str">
        <f>IFERROR(__xludf.DUMMYFUNCTION("""COMPUTED_VALUE"""),"Lanao del Norte")</f>
        <v>Lanao del Norte</v>
      </c>
      <c r="E346" s="142" t="str">
        <f>IFERROR(__xludf.DUMMYFUNCTION("""COMPUTED_VALUE"""),"Misamis Occidental")</f>
        <v>Misamis Occidental</v>
      </c>
      <c r="F346" s="142" t="str">
        <f>IFERROR(__xludf.DUMMYFUNCTION("""COMPUTED_VALUE"""),"Misamis Oriental")</f>
        <v>Misamis Oriental</v>
      </c>
      <c r="G346" s="8"/>
      <c r="H346" s="8"/>
    </row>
    <row r="347">
      <c r="A347" s="142" t="s">
        <v>345</v>
      </c>
      <c r="B347" s="142" t="str">
        <f>IFERROR(__xludf.DUMMYFUNCTION("""COMPUTED_VALUE"""),"Agusan del Norte")</f>
        <v>Agusan del Norte</v>
      </c>
      <c r="C347" s="142" t="str">
        <f>IFERROR(__xludf.DUMMYFUNCTION("""COMPUTED_VALUE"""),"Agusan del Sur")</f>
        <v>Agusan del Sur</v>
      </c>
      <c r="D347" s="142" t="str">
        <f>IFERROR(__xludf.DUMMYFUNCTION("""COMPUTED_VALUE"""),"Surigao del Norte")</f>
        <v>Surigao del Norte</v>
      </c>
      <c r="E347" s="142" t="str">
        <f>IFERROR(__xludf.DUMMYFUNCTION("""COMPUTED_VALUE"""),"Surigao del Sur")</f>
        <v>Surigao del Sur</v>
      </c>
      <c r="F347" s="142" t="str">
        <f>IFERROR(__xludf.DUMMYFUNCTION("""COMPUTED_VALUE"""),"Dinagat Islands")</f>
        <v>Dinagat Islands</v>
      </c>
      <c r="G347" s="8"/>
      <c r="H347" s="8"/>
    </row>
    <row r="348">
      <c r="A348" s="142" t="s">
        <v>345</v>
      </c>
      <c r="B348" s="142" t="str">
        <f>IFERROR(__xludf.DUMMYFUNCTION("""COMPUTED_VALUE"""),"Agusan del Norte")</f>
        <v>Agusan del Norte</v>
      </c>
      <c r="C348" s="142" t="str">
        <f>IFERROR(__xludf.DUMMYFUNCTION("""COMPUTED_VALUE"""),"Agusan del Sur")</f>
        <v>Agusan del Sur</v>
      </c>
      <c r="D348" s="142" t="str">
        <f>IFERROR(__xludf.DUMMYFUNCTION("""COMPUTED_VALUE"""),"Surigao del Norte")</f>
        <v>Surigao del Norte</v>
      </c>
      <c r="E348" s="142" t="str">
        <f>IFERROR(__xludf.DUMMYFUNCTION("""COMPUTED_VALUE"""),"Surigao del Sur")</f>
        <v>Surigao del Sur</v>
      </c>
      <c r="F348" s="142" t="str">
        <f>IFERROR(__xludf.DUMMYFUNCTION("""COMPUTED_VALUE"""),"Dinagat Islands")</f>
        <v>Dinagat Islands</v>
      </c>
      <c r="G348" s="8"/>
      <c r="H348" s="8"/>
    </row>
    <row r="349">
      <c r="A349" s="142" t="s">
        <v>535</v>
      </c>
      <c r="B349" s="142" t="str">
        <f>IFERROR(__xludf.DUMMYFUNCTION("""COMPUTED_VALUE"""),"Albay")</f>
        <v>Albay</v>
      </c>
      <c r="C349" s="142" t="str">
        <f>IFERROR(__xludf.DUMMYFUNCTION("""COMPUTED_VALUE"""),"Camarines Norte")</f>
        <v>Camarines Norte</v>
      </c>
      <c r="D349" s="142" t="str">
        <f>IFERROR(__xludf.DUMMYFUNCTION("""COMPUTED_VALUE"""),"Camarines Sur")</f>
        <v>Camarines Sur</v>
      </c>
      <c r="E349" s="142" t="str">
        <f>IFERROR(__xludf.DUMMYFUNCTION("""COMPUTED_VALUE"""),"Catanduanes")</f>
        <v>Catanduanes</v>
      </c>
      <c r="F349" s="142" t="str">
        <f>IFERROR(__xludf.DUMMYFUNCTION("""COMPUTED_VALUE"""),"Masbate")</f>
        <v>Masbate</v>
      </c>
      <c r="G349" s="142" t="str">
        <f>IFERROR(__xludf.DUMMYFUNCTION("""COMPUTED_VALUE"""),"Sorsogon")</f>
        <v>Sorsogon</v>
      </c>
      <c r="H349" s="8"/>
    </row>
    <row r="350">
      <c r="A350" s="142" t="s">
        <v>330</v>
      </c>
      <c r="B350" s="142" t="str">
        <f>IFERROR(__xludf.DUMMYFUNCTION("""COMPUTED_VALUE"""),"Davao del Norte")</f>
        <v>Davao del Norte</v>
      </c>
      <c r="C350" s="142" t="str">
        <f>IFERROR(__xludf.DUMMYFUNCTION("""COMPUTED_VALUE"""),"Davao del Sur")</f>
        <v>Davao del Sur</v>
      </c>
      <c r="D350" s="142" t="str">
        <f>IFERROR(__xludf.DUMMYFUNCTION("""COMPUTED_VALUE"""),"Davao Oriental")</f>
        <v>Davao Oriental</v>
      </c>
      <c r="E350" s="142" t="str">
        <f>IFERROR(__xludf.DUMMYFUNCTION("""COMPUTED_VALUE"""),"Davao de Oro")</f>
        <v>Davao de Oro</v>
      </c>
      <c r="F350" s="142" t="str">
        <f>IFERROR(__xludf.DUMMYFUNCTION("""COMPUTED_VALUE"""),"Davao Occidental")</f>
        <v>Davao Occidental</v>
      </c>
      <c r="G350" s="8"/>
      <c r="H350" s="8"/>
    </row>
    <row r="351">
      <c r="A351" s="142" t="s">
        <v>642</v>
      </c>
      <c r="B351" s="142" t="str">
        <f>IFERROR(__xludf.DUMMYFUNCTION("""COMPUTED_VALUE"""),"Basilan")</f>
        <v>Basilan</v>
      </c>
      <c r="C351" s="142" t="str">
        <f>IFERROR(__xludf.DUMMYFUNCTION("""COMPUTED_VALUE"""),"Lanao del Sur")</f>
        <v>Lanao del Sur</v>
      </c>
      <c r="D351" s="142" t="str">
        <f>IFERROR(__xludf.DUMMYFUNCTION("""COMPUTED_VALUE"""),"Sulu")</f>
        <v>Sulu</v>
      </c>
      <c r="E351" s="142" t="str">
        <f>IFERROR(__xludf.DUMMYFUNCTION("""COMPUTED_VALUE"""),"Tawi-Tawi")</f>
        <v>Tawi-Tawi</v>
      </c>
      <c r="F351" s="142" t="str">
        <f>IFERROR(__xludf.DUMMYFUNCTION("""COMPUTED_VALUE"""),"Maguindanao del Norte")</f>
        <v>Maguindanao del Norte</v>
      </c>
      <c r="G351" s="142" t="str">
        <f>IFERROR(__xludf.DUMMYFUNCTION("""COMPUTED_VALUE"""),"Maguindanao del Sur")</f>
        <v>Maguindanao del Sur</v>
      </c>
      <c r="H351" s="142" t="str">
        <f>IFERROR(__xludf.DUMMYFUNCTION("""COMPUTED_VALUE"""),"Special Geographic Area")</f>
        <v>Special Geographic Area</v>
      </c>
    </row>
    <row r="352">
      <c r="A352" s="142" t="s">
        <v>143</v>
      </c>
      <c r="B352" s="142" t="str">
        <f>IFERROR(__xludf.DUMMYFUNCTION("""COMPUTED_VALUE"""),"Ilocos Norte")</f>
        <v>Ilocos Norte</v>
      </c>
      <c r="C352" s="142" t="str">
        <f>IFERROR(__xludf.DUMMYFUNCTION("""COMPUTED_VALUE"""),"Ilocos Sur")</f>
        <v>Ilocos Sur</v>
      </c>
      <c r="D352" s="142" t="str">
        <f>IFERROR(__xludf.DUMMYFUNCTION("""COMPUTED_VALUE"""),"La Union")</f>
        <v>La Union</v>
      </c>
      <c r="E352" s="142" t="str">
        <f>IFERROR(__xludf.DUMMYFUNCTION("""COMPUTED_VALUE"""),"Pangasinan")</f>
        <v>Pangasinan</v>
      </c>
      <c r="F352" s="8"/>
      <c r="G352" s="8"/>
      <c r="H352" s="8"/>
    </row>
    <row r="353">
      <c r="A353" s="142" t="s">
        <v>143</v>
      </c>
      <c r="B353" s="142" t="str">
        <f>IFERROR(__xludf.DUMMYFUNCTION("""COMPUTED_VALUE"""),"Ilocos Norte")</f>
        <v>Ilocos Norte</v>
      </c>
      <c r="C353" s="142" t="str">
        <f>IFERROR(__xludf.DUMMYFUNCTION("""COMPUTED_VALUE"""),"Ilocos Sur")</f>
        <v>Ilocos Sur</v>
      </c>
      <c r="D353" s="142" t="str">
        <f>IFERROR(__xludf.DUMMYFUNCTION("""COMPUTED_VALUE"""),"La Union")</f>
        <v>La Union</v>
      </c>
      <c r="E353" s="142" t="str">
        <f>IFERROR(__xludf.DUMMYFUNCTION("""COMPUTED_VALUE"""),"Pangasinan")</f>
        <v>Pangasinan</v>
      </c>
      <c r="F353" s="8"/>
      <c r="G353" s="8"/>
      <c r="H353" s="8"/>
    </row>
    <row r="354">
      <c r="A354" s="142" t="s">
        <v>314</v>
      </c>
      <c r="B354" s="142" t="str">
        <f>IFERROR(__xludf.DUMMYFUNCTION("""COMPUTED_VALUE"""),"Aklan")</f>
        <v>Aklan</v>
      </c>
      <c r="C354" s="142" t="str">
        <f>IFERROR(__xludf.DUMMYFUNCTION("""COMPUTED_VALUE"""),"Antique")</f>
        <v>Antique</v>
      </c>
      <c r="D354" s="142" t="str">
        <f>IFERROR(__xludf.DUMMYFUNCTION("""COMPUTED_VALUE"""),"Capiz")</f>
        <v>Capiz</v>
      </c>
      <c r="E354" s="142" t="str">
        <f>IFERROR(__xludf.DUMMYFUNCTION("""COMPUTED_VALUE"""),"Iloilo")</f>
        <v>Iloilo</v>
      </c>
      <c r="F354" s="142" t="str">
        <f>IFERROR(__xludf.DUMMYFUNCTION("""COMPUTED_VALUE"""),"Guimaras")</f>
        <v>Guimaras</v>
      </c>
      <c r="G354" s="8"/>
      <c r="H354" s="8"/>
    </row>
    <row r="355">
      <c r="A355" s="142" t="s">
        <v>345</v>
      </c>
      <c r="B355" s="142" t="str">
        <f>IFERROR(__xludf.DUMMYFUNCTION("""COMPUTED_VALUE"""),"Agusan del Norte")</f>
        <v>Agusan del Norte</v>
      </c>
      <c r="C355" s="142" t="str">
        <f>IFERROR(__xludf.DUMMYFUNCTION("""COMPUTED_VALUE"""),"Agusan del Sur")</f>
        <v>Agusan del Sur</v>
      </c>
      <c r="D355" s="142" t="str">
        <f>IFERROR(__xludf.DUMMYFUNCTION("""COMPUTED_VALUE"""),"Surigao del Norte")</f>
        <v>Surigao del Norte</v>
      </c>
      <c r="E355" s="142" t="str">
        <f>IFERROR(__xludf.DUMMYFUNCTION("""COMPUTED_VALUE"""),"Surigao del Sur")</f>
        <v>Surigao del Sur</v>
      </c>
      <c r="F355" s="142" t="str">
        <f>IFERROR(__xludf.DUMMYFUNCTION("""COMPUTED_VALUE"""),"Dinagat Islands")</f>
        <v>Dinagat Islands</v>
      </c>
      <c r="G355" s="8"/>
      <c r="H355" s="8"/>
    </row>
    <row r="356">
      <c r="A356" s="142" t="s">
        <v>522</v>
      </c>
      <c r="B356" s="142" t="str">
        <f>IFERROR(__xludf.DUMMYFUNCTION("""COMPUTED_VALUE"""),"Marinduque")</f>
        <v>Marinduque</v>
      </c>
      <c r="C356" s="142" t="str">
        <f>IFERROR(__xludf.DUMMYFUNCTION("""COMPUTED_VALUE"""),"Occidental Mindoro")</f>
        <v>Occidental Mindoro</v>
      </c>
      <c r="D356" s="142" t="str">
        <f>IFERROR(__xludf.DUMMYFUNCTION("""COMPUTED_VALUE"""),"Oriental Mindoro")</f>
        <v>Oriental Mindoro</v>
      </c>
      <c r="E356" s="142" t="str">
        <f>IFERROR(__xludf.DUMMYFUNCTION("""COMPUTED_VALUE"""),"Palawan")</f>
        <v>Palawan</v>
      </c>
      <c r="F356" s="142" t="str">
        <f>IFERROR(__xludf.DUMMYFUNCTION("""COMPUTED_VALUE"""),"Romblon")</f>
        <v>Romblon</v>
      </c>
      <c r="G356" s="8"/>
      <c r="H356" s="8"/>
    </row>
    <row r="357">
      <c r="A357" s="142" t="s">
        <v>330</v>
      </c>
      <c r="B357" s="142" t="str">
        <f>IFERROR(__xludf.DUMMYFUNCTION("""COMPUTED_VALUE"""),"Davao del Norte")</f>
        <v>Davao del Norte</v>
      </c>
      <c r="C357" s="142" t="str">
        <f>IFERROR(__xludf.DUMMYFUNCTION("""COMPUTED_VALUE"""),"Davao del Sur")</f>
        <v>Davao del Sur</v>
      </c>
      <c r="D357" s="142" t="str">
        <f>IFERROR(__xludf.DUMMYFUNCTION("""COMPUTED_VALUE"""),"Davao Oriental")</f>
        <v>Davao Oriental</v>
      </c>
      <c r="E357" s="142" t="str">
        <f>IFERROR(__xludf.DUMMYFUNCTION("""COMPUTED_VALUE"""),"Davao de Oro")</f>
        <v>Davao de Oro</v>
      </c>
      <c r="F357" s="142" t="str">
        <f>IFERROR(__xludf.DUMMYFUNCTION("""COMPUTED_VALUE"""),"Davao Occidental")</f>
        <v>Davao Occidental</v>
      </c>
      <c r="G357" s="8"/>
      <c r="H357" s="8"/>
    </row>
    <row r="358">
      <c r="A358" s="142" t="s">
        <v>143</v>
      </c>
      <c r="B358" s="142" t="str">
        <f>IFERROR(__xludf.DUMMYFUNCTION("""COMPUTED_VALUE"""),"Ilocos Norte")</f>
        <v>Ilocos Norte</v>
      </c>
      <c r="C358" s="142" t="str">
        <f>IFERROR(__xludf.DUMMYFUNCTION("""COMPUTED_VALUE"""),"Ilocos Sur")</f>
        <v>Ilocos Sur</v>
      </c>
      <c r="D358" s="142" t="str">
        <f>IFERROR(__xludf.DUMMYFUNCTION("""COMPUTED_VALUE"""),"La Union")</f>
        <v>La Union</v>
      </c>
      <c r="E358" s="142" t="str">
        <f>IFERROR(__xludf.DUMMYFUNCTION("""COMPUTED_VALUE"""),"Pangasinan")</f>
        <v>Pangasinan</v>
      </c>
      <c r="F358" s="8"/>
      <c r="G358" s="8"/>
      <c r="H358" s="8"/>
    </row>
    <row r="359">
      <c r="A359" s="142" t="s">
        <v>143</v>
      </c>
      <c r="B359" s="142" t="str">
        <f>IFERROR(__xludf.DUMMYFUNCTION("""COMPUTED_VALUE"""),"Ilocos Norte")</f>
        <v>Ilocos Norte</v>
      </c>
      <c r="C359" s="142" t="str">
        <f>IFERROR(__xludf.DUMMYFUNCTION("""COMPUTED_VALUE"""),"Ilocos Sur")</f>
        <v>Ilocos Sur</v>
      </c>
      <c r="D359" s="142" t="str">
        <f>IFERROR(__xludf.DUMMYFUNCTION("""COMPUTED_VALUE"""),"La Union")</f>
        <v>La Union</v>
      </c>
      <c r="E359" s="142" t="str">
        <f>IFERROR(__xludf.DUMMYFUNCTION("""COMPUTED_VALUE"""),"Pangasinan")</f>
        <v>Pangasinan</v>
      </c>
      <c r="F359" s="8"/>
      <c r="G359" s="8"/>
      <c r="H359" s="8"/>
    </row>
    <row r="360">
      <c r="A360" s="142" t="s">
        <v>293</v>
      </c>
      <c r="B360" s="142" t="str">
        <f>IFERROR(__xludf.DUMMYFUNCTION("""COMPUTED_VALUE"""),"Bataan")</f>
        <v>Bataan</v>
      </c>
      <c r="C360" s="142" t="str">
        <f>IFERROR(__xludf.DUMMYFUNCTION("""COMPUTED_VALUE"""),"Bulacan")</f>
        <v>Bulacan</v>
      </c>
      <c r="D360" s="142" t="str">
        <f>IFERROR(__xludf.DUMMYFUNCTION("""COMPUTED_VALUE"""),"Nueva Ecija")</f>
        <v>Nueva Ecija</v>
      </c>
      <c r="E360" s="142" t="str">
        <f>IFERROR(__xludf.DUMMYFUNCTION("""COMPUTED_VALUE"""),"Pampanga")</f>
        <v>Pampanga</v>
      </c>
      <c r="F360" s="142" t="str">
        <f>IFERROR(__xludf.DUMMYFUNCTION("""COMPUTED_VALUE"""),"Tarlac")</f>
        <v>Tarlac</v>
      </c>
      <c r="G360" s="142" t="str">
        <f>IFERROR(__xludf.DUMMYFUNCTION("""COMPUTED_VALUE"""),"Zambales")</f>
        <v>Zambales</v>
      </c>
      <c r="H360" s="142" t="str">
        <f>IFERROR(__xludf.DUMMYFUNCTION("""COMPUTED_VALUE"""),"Aurora")</f>
        <v>Aurora</v>
      </c>
    </row>
    <row r="361">
      <c r="A361" s="142" t="s">
        <v>257</v>
      </c>
      <c r="B361" s="142" t="str">
        <f>IFERROR(__xludf.DUMMYFUNCTION("""COMPUTED_VALUE"""),"Batangas")</f>
        <v>Batangas</v>
      </c>
      <c r="C361" s="142" t="str">
        <f>IFERROR(__xludf.DUMMYFUNCTION("""COMPUTED_VALUE"""),"Cavite")</f>
        <v>Cavite</v>
      </c>
      <c r="D361" s="142" t="str">
        <f>IFERROR(__xludf.DUMMYFUNCTION("""COMPUTED_VALUE"""),"Laguna")</f>
        <v>Laguna</v>
      </c>
      <c r="E361" s="142" t="str">
        <f>IFERROR(__xludf.DUMMYFUNCTION("""COMPUTED_VALUE"""),"Quezon")</f>
        <v>Quezon</v>
      </c>
      <c r="F361" s="8"/>
      <c r="G361" s="8"/>
      <c r="H361" s="8"/>
    </row>
    <row r="362">
      <c r="A362" s="142" t="s">
        <v>522</v>
      </c>
      <c r="B362" s="142" t="str">
        <f>IFERROR(__xludf.DUMMYFUNCTION("""COMPUTED_VALUE"""),"Marinduque")</f>
        <v>Marinduque</v>
      </c>
      <c r="C362" s="142" t="str">
        <f>IFERROR(__xludf.DUMMYFUNCTION("""COMPUTED_VALUE"""),"Occidental Mindoro")</f>
        <v>Occidental Mindoro</v>
      </c>
      <c r="D362" s="142" t="str">
        <f>IFERROR(__xludf.DUMMYFUNCTION("""COMPUTED_VALUE"""),"Oriental Mindoro")</f>
        <v>Oriental Mindoro</v>
      </c>
      <c r="E362" s="142" t="str">
        <f>IFERROR(__xludf.DUMMYFUNCTION("""COMPUTED_VALUE"""),"Palawan")</f>
        <v>Palawan</v>
      </c>
      <c r="F362" s="142" t="str">
        <f>IFERROR(__xludf.DUMMYFUNCTION("""COMPUTED_VALUE"""),"Romblon")</f>
        <v>Romblon</v>
      </c>
      <c r="G362" s="8"/>
      <c r="H362" s="8"/>
    </row>
    <row r="363">
      <c r="A363" s="142" t="s">
        <v>171</v>
      </c>
      <c r="B363" s="142" t="str">
        <f>IFERROR(__xludf.DUMMYFUNCTION("""COMPUTED_VALUE"""),"Bukidnon")</f>
        <v>Bukidnon</v>
      </c>
      <c r="C363" s="142" t="str">
        <f>IFERROR(__xludf.DUMMYFUNCTION("""COMPUTED_VALUE"""),"Camiguin")</f>
        <v>Camiguin</v>
      </c>
      <c r="D363" s="142" t="str">
        <f>IFERROR(__xludf.DUMMYFUNCTION("""COMPUTED_VALUE"""),"Lanao del Norte")</f>
        <v>Lanao del Norte</v>
      </c>
      <c r="E363" s="142" t="str">
        <f>IFERROR(__xludf.DUMMYFUNCTION("""COMPUTED_VALUE"""),"Misamis Occidental")</f>
        <v>Misamis Occidental</v>
      </c>
      <c r="F363" s="142" t="str">
        <f>IFERROR(__xludf.DUMMYFUNCTION("""COMPUTED_VALUE"""),"Misamis Oriental")</f>
        <v>Misamis Oriental</v>
      </c>
      <c r="G363" s="8"/>
      <c r="H363" s="8"/>
    </row>
    <row r="364">
      <c r="A364" s="142" t="s">
        <v>171</v>
      </c>
      <c r="B364" s="142" t="str">
        <f>IFERROR(__xludf.DUMMYFUNCTION("""COMPUTED_VALUE"""),"Bukidnon")</f>
        <v>Bukidnon</v>
      </c>
      <c r="C364" s="142" t="str">
        <f>IFERROR(__xludf.DUMMYFUNCTION("""COMPUTED_VALUE"""),"Camiguin")</f>
        <v>Camiguin</v>
      </c>
      <c r="D364" s="142" t="str">
        <f>IFERROR(__xludf.DUMMYFUNCTION("""COMPUTED_VALUE"""),"Lanao del Norte")</f>
        <v>Lanao del Norte</v>
      </c>
      <c r="E364" s="142" t="str">
        <f>IFERROR(__xludf.DUMMYFUNCTION("""COMPUTED_VALUE"""),"Misamis Occidental")</f>
        <v>Misamis Occidental</v>
      </c>
      <c r="F364" s="142" t="str">
        <f>IFERROR(__xludf.DUMMYFUNCTION("""COMPUTED_VALUE"""),"Misamis Oriental")</f>
        <v>Misamis Oriental</v>
      </c>
      <c r="G364" s="8"/>
      <c r="H364" s="8"/>
    </row>
    <row r="365">
      <c r="A365" s="142" t="s">
        <v>579</v>
      </c>
      <c r="B365" s="142" t="str">
        <f>IFERROR(__xludf.DUMMYFUNCTION("""COMPUTED_VALUE"""),"Eastern Samar")</f>
        <v>Eastern Samar</v>
      </c>
      <c r="C365" s="142" t="str">
        <f>IFERROR(__xludf.DUMMYFUNCTION("""COMPUTED_VALUE"""),"Leyte")</f>
        <v>Leyte</v>
      </c>
      <c r="D365" s="142" t="str">
        <f>IFERROR(__xludf.DUMMYFUNCTION("""COMPUTED_VALUE"""),"Northern Samar")</f>
        <v>Northern Samar</v>
      </c>
      <c r="E365" s="142" t="str">
        <f>IFERROR(__xludf.DUMMYFUNCTION("""COMPUTED_VALUE"""),"Samar")</f>
        <v>Samar</v>
      </c>
      <c r="F365" s="142" t="str">
        <f>IFERROR(__xludf.DUMMYFUNCTION("""COMPUTED_VALUE"""),"Southern Leyte")</f>
        <v>Southern Leyte</v>
      </c>
      <c r="G365" s="142" t="str">
        <f>IFERROR(__xludf.DUMMYFUNCTION("""COMPUTED_VALUE"""),"Biliran")</f>
        <v>Biliran</v>
      </c>
      <c r="H365" s="8"/>
    </row>
    <row r="366">
      <c r="A366" s="142" t="s">
        <v>314</v>
      </c>
      <c r="B366" s="142" t="str">
        <f>IFERROR(__xludf.DUMMYFUNCTION("""COMPUTED_VALUE"""),"Aklan")</f>
        <v>Aklan</v>
      </c>
      <c r="C366" s="142" t="str">
        <f>IFERROR(__xludf.DUMMYFUNCTION("""COMPUTED_VALUE"""),"Antique")</f>
        <v>Antique</v>
      </c>
      <c r="D366" s="142" t="str">
        <f>IFERROR(__xludf.DUMMYFUNCTION("""COMPUTED_VALUE"""),"Capiz")</f>
        <v>Capiz</v>
      </c>
      <c r="E366" s="142" t="str">
        <f>IFERROR(__xludf.DUMMYFUNCTION("""COMPUTED_VALUE"""),"Iloilo")</f>
        <v>Iloilo</v>
      </c>
      <c r="F366" s="142" t="str">
        <f>IFERROR(__xludf.DUMMYFUNCTION("""COMPUTED_VALUE"""),"Guimaras")</f>
        <v>Guimaras</v>
      </c>
      <c r="G366" s="8"/>
      <c r="H366" s="8"/>
    </row>
    <row r="367">
      <c r="A367" s="142" t="s">
        <v>314</v>
      </c>
      <c r="B367" s="142" t="str">
        <f>IFERROR(__xludf.DUMMYFUNCTION("""COMPUTED_VALUE"""),"Aklan")</f>
        <v>Aklan</v>
      </c>
      <c r="C367" s="142" t="str">
        <f>IFERROR(__xludf.DUMMYFUNCTION("""COMPUTED_VALUE"""),"Antique")</f>
        <v>Antique</v>
      </c>
      <c r="D367" s="142" t="str">
        <f>IFERROR(__xludf.DUMMYFUNCTION("""COMPUTED_VALUE"""),"Capiz")</f>
        <v>Capiz</v>
      </c>
      <c r="E367" s="142" t="str">
        <f>IFERROR(__xludf.DUMMYFUNCTION("""COMPUTED_VALUE"""),"Iloilo")</f>
        <v>Iloilo</v>
      </c>
      <c r="F367" s="142" t="str">
        <f>IFERROR(__xludf.DUMMYFUNCTION("""COMPUTED_VALUE"""),"Guimaras")</f>
        <v>Guimaras</v>
      </c>
      <c r="G367" s="8"/>
      <c r="H367" s="8"/>
    </row>
    <row r="368">
      <c r="A368" s="142" t="s">
        <v>314</v>
      </c>
      <c r="B368" s="142" t="str">
        <f>IFERROR(__xludf.DUMMYFUNCTION("""COMPUTED_VALUE"""),"Aklan")</f>
        <v>Aklan</v>
      </c>
      <c r="C368" s="142" t="str">
        <f>IFERROR(__xludf.DUMMYFUNCTION("""COMPUTED_VALUE"""),"Antique")</f>
        <v>Antique</v>
      </c>
      <c r="D368" s="142" t="str">
        <f>IFERROR(__xludf.DUMMYFUNCTION("""COMPUTED_VALUE"""),"Capiz")</f>
        <v>Capiz</v>
      </c>
      <c r="E368" s="142" t="str">
        <f>IFERROR(__xludf.DUMMYFUNCTION("""COMPUTED_VALUE"""),"Iloilo")</f>
        <v>Iloilo</v>
      </c>
      <c r="F368" s="142" t="str">
        <f>IFERROR(__xludf.DUMMYFUNCTION("""COMPUTED_VALUE"""),"Guimaras")</f>
        <v>Guimaras</v>
      </c>
      <c r="G368" s="8"/>
      <c r="H368" s="8"/>
    </row>
    <row r="369">
      <c r="A369" s="142" t="s">
        <v>625</v>
      </c>
      <c r="B369" s="142" t="str">
        <f>IFERROR(__xludf.DUMMYFUNCTION("""COMPUTED_VALUE"""),"Negros Occidental")</f>
        <v>Negros Occidental</v>
      </c>
      <c r="C369" s="142" t="str">
        <f>IFERROR(__xludf.DUMMYFUNCTION("""COMPUTED_VALUE"""),"Negros Oriental")</f>
        <v>Negros Oriental</v>
      </c>
      <c r="D369" s="142" t="str">
        <f>IFERROR(__xludf.DUMMYFUNCTION("""COMPUTED_VALUE"""),"Siquijor")</f>
        <v>Siquijor</v>
      </c>
      <c r="E369" s="8"/>
      <c r="F369" s="8"/>
      <c r="G369" s="8"/>
      <c r="H369" s="8"/>
    </row>
    <row r="370">
      <c r="A370" s="142" t="s">
        <v>625</v>
      </c>
      <c r="B370" s="142" t="str">
        <f>IFERROR(__xludf.DUMMYFUNCTION("""COMPUTED_VALUE"""),"Negros Occidental")</f>
        <v>Negros Occidental</v>
      </c>
      <c r="C370" s="142" t="str">
        <f>IFERROR(__xludf.DUMMYFUNCTION("""COMPUTED_VALUE"""),"Negros Oriental")</f>
        <v>Negros Oriental</v>
      </c>
      <c r="D370" s="142" t="str">
        <f>IFERROR(__xludf.DUMMYFUNCTION("""COMPUTED_VALUE"""),"Siquijor")</f>
        <v>Siquijor</v>
      </c>
      <c r="E370" s="8"/>
      <c r="F370" s="8"/>
      <c r="G370" s="8"/>
      <c r="H370" s="8"/>
    </row>
    <row r="371">
      <c r="A371" s="142" t="s">
        <v>625</v>
      </c>
      <c r="B371" s="142" t="str">
        <f>IFERROR(__xludf.DUMMYFUNCTION("""COMPUTED_VALUE"""),"Negros Occidental")</f>
        <v>Negros Occidental</v>
      </c>
      <c r="C371" s="142" t="str">
        <f>IFERROR(__xludf.DUMMYFUNCTION("""COMPUTED_VALUE"""),"Negros Oriental")</f>
        <v>Negros Oriental</v>
      </c>
      <c r="D371" s="142" t="str">
        <f>IFERROR(__xludf.DUMMYFUNCTION("""COMPUTED_VALUE"""),"Siquijor")</f>
        <v>Siquijor</v>
      </c>
      <c r="E371" s="8"/>
      <c r="F371" s="8"/>
      <c r="G371" s="8"/>
      <c r="H371" s="8"/>
    </row>
    <row r="372">
      <c r="A372" s="142" t="s">
        <v>625</v>
      </c>
      <c r="B372" s="142" t="str">
        <f>IFERROR(__xludf.DUMMYFUNCTION("""COMPUTED_VALUE"""),"Negros Occidental")</f>
        <v>Negros Occidental</v>
      </c>
      <c r="C372" s="142" t="str">
        <f>IFERROR(__xludf.DUMMYFUNCTION("""COMPUTED_VALUE"""),"Negros Oriental")</f>
        <v>Negros Oriental</v>
      </c>
      <c r="D372" s="142" t="str">
        <f>IFERROR(__xludf.DUMMYFUNCTION("""COMPUTED_VALUE"""),"Siquijor")</f>
        <v>Siquijor</v>
      </c>
      <c r="E372" s="8"/>
      <c r="F372" s="8"/>
      <c r="G372" s="8"/>
      <c r="H372" s="8"/>
    </row>
    <row r="373">
      <c r="A373" s="142" t="s">
        <v>625</v>
      </c>
      <c r="B373" s="142" t="str">
        <f>IFERROR(__xludf.DUMMYFUNCTION("""COMPUTED_VALUE"""),"Negros Occidental")</f>
        <v>Negros Occidental</v>
      </c>
      <c r="C373" s="142" t="str">
        <f>IFERROR(__xludf.DUMMYFUNCTION("""COMPUTED_VALUE"""),"Negros Oriental")</f>
        <v>Negros Oriental</v>
      </c>
      <c r="D373" s="142" t="str">
        <f>IFERROR(__xludf.DUMMYFUNCTION("""COMPUTED_VALUE"""),"Siquijor")</f>
        <v>Siquijor</v>
      </c>
      <c r="E373" s="8"/>
      <c r="F373" s="8"/>
      <c r="G373" s="8"/>
      <c r="H373" s="8"/>
    </row>
    <row r="374">
      <c r="A374" s="142" t="s">
        <v>625</v>
      </c>
      <c r="B374" s="142" t="str">
        <f>IFERROR(__xludf.DUMMYFUNCTION("""COMPUTED_VALUE"""),"Negros Occidental")</f>
        <v>Negros Occidental</v>
      </c>
      <c r="C374" s="142" t="str">
        <f>IFERROR(__xludf.DUMMYFUNCTION("""COMPUTED_VALUE"""),"Negros Oriental")</f>
        <v>Negros Oriental</v>
      </c>
      <c r="D374" s="142" t="str">
        <f>IFERROR(__xludf.DUMMYFUNCTION("""COMPUTED_VALUE"""),"Siquijor")</f>
        <v>Siquijor</v>
      </c>
      <c r="E374" s="8"/>
      <c r="F374" s="8"/>
      <c r="G374" s="8"/>
      <c r="H374" s="8"/>
    </row>
    <row r="375">
      <c r="A375" s="142" t="s">
        <v>625</v>
      </c>
      <c r="B375" s="142" t="str">
        <f>IFERROR(__xludf.DUMMYFUNCTION("""COMPUTED_VALUE"""),"Negros Occidental")</f>
        <v>Negros Occidental</v>
      </c>
      <c r="C375" s="142" t="str">
        <f>IFERROR(__xludf.DUMMYFUNCTION("""COMPUTED_VALUE"""),"Negros Oriental")</f>
        <v>Negros Oriental</v>
      </c>
      <c r="D375" s="142" t="str">
        <f>IFERROR(__xludf.DUMMYFUNCTION("""COMPUTED_VALUE"""),"Siquijor")</f>
        <v>Siquijor</v>
      </c>
      <c r="E375" s="8"/>
      <c r="F375" s="8"/>
      <c r="G375" s="8"/>
      <c r="H375" s="8"/>
    </row>
    <row r="376">
      <c r="A376" s="142" t="s">
        <v>625</v>
      </c>
      <c r="B376" s="142" t="str">
        <f>IFERROR(__xludf.DUMMYFUNCTION("""COMPUTED_VALUE"""),"Negros Occidental")</f>
        <v>Negros Occidental</v>
      </c>
      <c r="C376" s="142" t="str">
        <f>IFERROR(__xludf.DUMMYFUNCTION("""COMPUTED_VALUE"""),"Negros Oriental")</f>
        <v>Negros Oriental</v>
      </c>
      <c r="D376" s="142" t="str">
        <f>IFERROR(__xludf.DUMMYFUNCTION("""COMPUTED_VALUE"""),"Siquijor")</f>
        <v>Siquijor</v>
      </c>
      <c r="E376" s="8"/>
      <c r="F376" s="8"/>
      <c r="G376" s="8"/>
      <c r="H376" s="8"/>
    </row>
    <row r="377">
      <c r="A377" s="142" t="s">
        <v>625</v>
      </c>
      <c r="B377" s="142" t="str">
        <f>IFERROR(__xludf.DUMMYFUNCTION("""COMPUTED_VALUE"""),"Negros Occidental")</f>
        <v>Negros Occidental</v>
      </c>
      <c r="C377" s="142" t="str">
        <f>IFERROR(__xludf.DUMMYFUNCTION("""COMPUTED_VALUE"""),"Negros Oriental")</f>
        <v>Negros Oriental</v>
      </c>
      <c r="D377" s="142" t="str">
        <f>IFERROR(__xludf.DUMMYFUNCTION("""COMPUTED_VALUE"""),"Siquijor")</f>
        <v>Siquijor</v>
      </c>
      <c r="E377" s="8"/>
      <c r="F377" s="8"/>
      <c r="G377" s="8"/>
      <c r="H377" s="8"/>
    </row>
    <row r="378">
      <c r="A378" s="142" t="s">
        <v>143</v>
      </c>
      <c r="B378" s="142" t="str">
        <f>IFERROR(__xludf.DUMMYFUNCTION("""COMPUTED_VALUE"""),"Ilocos Norte")</f>
        <v>Ilocos Norte</v>
      </c>
      <c r="C378" s="142" t="str">
        <f>IFERROR(__xludf.DUMMYFUNCTION("""COMPUTED_VALUE"""),"Ilocos Sur")</f>
        <v>Ilocos Sur</v>
      </c>
      <c r="D378" s="142" t="str">
        <f>IFERROR(__xludf.DUMMYFUNCTION("""COMPUTED_VALUE"""),"La Union")</f>
        <v>La Union</v>
      </c>
      <c r="E378" s="142" t="str">
        <f>IFERROR(__xludf.DUMMYFUNCTION("""COMPUTED_VALUE"""),"Pangasinan")</f>
        <v>Pangasinan</v>
      </c>
      <c r="F378" s="8"/>
      <c r="G378" s="8"/>
      <c r="H378" s="8"/>
    </row>
    <row r="379">
      <c r="A379" s="142" t="s">
        <v>293</v>
      </c>
      <c r="B379" s="142" t="str">
        <f>IFERROR(__xludf.DUMMYFUNCTION("""COMPUTED_VALUE"""),"Bataan")</f>
        <v>Bataan</v>
      </c>
      <c r="C379" s="142" t="str">
        <f>IFERROR(__xludf.DUMMYFUNCTION("""COMPUTED_VALUE"""),"Bulacan")</f>
        <v>Bulacan</v>
      </c>
      <c r="D379" s="142" t="str">
        <f>IFERROR(__xludf.DUMMYFUNCTION("""COMPUTED_VALUE"""),"Nueva Ecija")</f>
        <v>Nueva Ecija</v>
      </c>
      <c r="E379" s="142" t="str">
        <f>IFERROR(__xludf.DUMMYFUNCTION("""COMPUTED_VALUE"""),"Pampanga")</f>
        <v>Pampanga</v>
      </c>
      <c r="F379" s="142" t="str">
        <f>IFERROR(__xludf.DUMMYFUNCTION("""COMPUTED_VALUE"""),"Tarlac")</f>
        <v>Tarlac</v>
      </c>
      <c r="G379" s="142" t="str">
        <f>IFERROR(__xludf.DUMMYFUNCTION("""COMPUTED_VALUE"""),"Zambales")</f>
        <v>Zambales</v>
      </c>
      <c r="H379" s="142" t="str">
        <f>IFERROR(__xludf.DUMMYFUNCTION("""COMPUTED_VALUE"""),"Aurora")</f>
        <v>Aurora</v>
      </c>
    </row>
    <row r="380">
      <c r="A380" s="142" t="s">
        <v>345</v>
      </c>
      <c r="B380" s="142" t="str">
        <f>IFERROR(__xludf.DUMMYFUNCTION("""COMPUTED_VALUE"""),"Agusan del Norte")</f>
        <v>Agusan del Norte</v>
      </c>
      <c r="C380" s="142" t="str">
        <f>IFERROR(__xludf.DUMMYFUNCTION("""COMPUTED_VALUE"""),"Agusan del Sur")</f>
        <v>Agusan del Sur</v>
      </c>
      <c r="D380" s="142" t="str">
        <f>IFERROR(__xludf.DUMMYFUNCTION("""COMPUTED_VALUE"""),"Surigao del Norte")</f>
        <v>Surigao del Norte</v>
      </c>
      <c r="E380" s="142" t="str">
        <f>IFERROR(__xludf.DUMMYFUNCTION("""COMPUTED_VALUE"""),"Surigao del Sur")</f>
        <v>Surigao del Sur</v>
      </c>
      <c r="F380" s="142" t="str">
        <f>IFERROR(__xludf.DUMMYFUNCTION("""COMPUTED_VALUE"""),"Dinagat Islands")</f>
        <v>Dinagat Islands</v>
      </c>
      <c r="G380" s="8"/>
      <c r="H380" s="8"/>
    </row>
    <row r="381">
      <c r="A381" s="142" t="s">
        <v>143</v>
      </c>
      <c r="B381" s="142" t="str">
        <f>IFERROR(__xludf.DUMMYFUNCTION("""COMPUTED_VALUE"""),"Ilocos Norte")</f>
        <v>Ilocos Norte</v>
      </c>
      <c r="C381" s="142" t="str">
        <f>IFERROR(__xludf.DUMMYFUNCTION("""COMPUTED_VALUE"""),"Ilocos Sur")</f>
        <v>Ilocos Sur</v>
      </c>
      <c r="D381" s="142" t="str">
        <f>IFERROR(__xludf.DUMMYFUNCTION("""COMPUTED_VALUE"""),"La Union")</f>
        <v>La Union</v>
      </c>
      <c r="E381" s="142" t="str">
        <f>IFERROR(__xludf.DUMMYFUNCTION("""COMPUTED_VALUE"""),"Pangasinan")</f>
        <v>Pangasinan</v>
      </c>
      <c r="F381" s="8"/>
      <c r="G381" s="8"/>
      <c r="H381" s="8"/>
    </row>
    <row r="382">
      <c r="A382" s="142" t="s">
        <v>171</v>
      </c>
      <c r="B382" s="142" t="str">
        <f>IFERROR(__xludf.DUMMYFUNCTION("""COMPUTED_VALUE"""),"Bukidnon")</f>
        <v>Bukidnon</v>
      </c>
      <c r="C382" s="142" t="str">
        <f>IFERROR(__xludf.DUMMYFUNCTION("""COMPUTED_VALUE"""),"Camiguin")</f>
        <v>Camiguin</v>
      </c>
      <c r="D382" s="142" t="str">
        <f>IFERROR(__xludf.DUMMYFUNCTION("""COMPUTED_VALUE"""),"Lanao del Norte")</f>
        <v>Lanao del Norte</v>
      </c>
      <c r="E382" s="142" t="str">
        <f>IFERROR(__xludf.DUMMYFUNCTION("""COMPUTED_VALUE"""),"Misamis Occidental")</f>
        <v>Misamis Occidental</v>
      </c>
      <c r="F382" s="142" t="str">
        <f>IFERROR(__xludf.DUMMYFUNCTION("""COMPUTED_VALUE"""),"Misamis Oriental")</f>
        <v>Misamis Oriental</v>
      </c>
      <c r="G382" s="8"/>
      <c r="H382" s="8"/>
    </row>
    <row r="383">
      <c r="A383" s="142" t="s">
        <v>171</v>
      </c>
      <c r="B383" s="142" t="str">
        <f>IFERROR(__xludf.DUMMYFUNCTION("""COMPUTED_VALUE"""),"Bukidnon")</f>
        <v>Bukidnon</v>
      </c>
      <c r="C383" s="142" t="str">
        <f>IFERROR(__xludf.DUMMYFUNCTION("""COMPUTED_VALUE"""),"Camiguin")</f>
        <v>Camiguin</v>
      </c>
      <c r="D383" s="142" t="str">
        <f>IFERROR(__xludf.DUMMYFUNCTION("""COMPUTED_VALUE"""),"Lanao del Norte")</f>
        <v>Lanao del Norte</v>
      </c>
      <c r="E383" s="142" t="str">
        <f>IFERROR(__xludf.DUMMYFUNCTION("""COMPUTED_VALUE"""),"Misamis Occidental")</f>
        <v>Misamis Occidental</v>
      </c>
      <c r="F383" s="142" t="str">
        <f>IFERROR(__xludf.DUMMYFUNCTION("""COMPUTED_VALUE"""),"Misamis Oriental")</f>
        <v>Misamis Oriental</v>
      </c>
      <c r="G383" s="8"/>
      <c r="H383" s="8"/>
    </row>
    <row r="384">
      <c r="A384" s="142" t="s">
        <v>330</v>
      </c>
      <c r="B384" s="142" t="str">
        <f>IFERROR(__xludf.DUMMYFUNCTION("""COMPUTED_VALUE"""),"Davao del Norte")</f>
        <v>Davao del Norte</v>
      </c>
      <c r="C384" s="142" t="str">
        <f>IFERROR(__xludf.DUMMYFUNCTION("""COMPUTED_VALUE"""),"Davao del Sur")</f>
        <v>Davao del Sur</v>
      </c>
      <c r="D384" s="142" t="str">
        <f>IFERROR(__xludf.DUMMYFUNCTION("""COMPUTED_VALUE"""),"Davao Oriental")</f>
        <v>Davao Oriental</v>
      </c>
      <c r="E384" s="142" t="str">
        <f>IFERROR(__xludf.DUMMYFUNCTION("""COMPUTED_VALUE"""),"Davao de Oro")</f>
        <v>Davao de Oro</v>
      </c>
      <c r="F384" s="142" t="str">
        <f>IFERROR(__xludf.DUMMYFUNCTION("""COMPUTED_VALUE"""),"Davao Occidental")</f>
        <v>Davao Occidental</v>
      </c>
      <c r="G384" s="8"/>
      <c r="H384" s="8"/>
    </row>
    <row r="385">
      <c r="A385" s="142" t="s">
        <v>642</v>
      </c>
      <c r="B385" s="142" t="str">
        <f>IFERROR(__xludf.DUMMYFUNCTION("""COMPUTED_VALUE"""),"Basilan")</f>
        <v>Basilan</v>
      </c>
      <c r="C385" s="142" t="str">
        <f>IFERROR(__xludf.DUMMYFUNCTION("""COMPUTED_VALUE"""),"Lanao del Sur")</f>
        <v>Lanao del Sur</v>
      </c>
      <c r="D385" s="142" t="str">
        <f>IFERROR(__xludf.DUMMYFUNCTION("""COMPUTED_VALUE"""),"Sulu")</f>
        <v>Sulu</v>
      </c>
      <c r="E385" s="142" t="str">
        <f>IFERROR(__xludf.DUMMYFUNCTION("""COMPUTED_VALUE"""),"Tawi-Tawi")</f>
        <v>Tawi-Tawi</v>
      </c>
      <c r="F385" s="142" t="str">
        <f>IFERROR(__xludf.DUMMYFUNCTION("""COMPUTED_VALUE"""),"Maguindanao del Norte")</f>
        <v>Maguindanao del Norte</v>
      </c>
      <c r="G385" s="142" t="str">
        <f>IFERROR(__xludf.DUMMYFUNCTION("""COMPUTED_VALUE"""),"Maguindanao del Sur")</f>
        <v>Maguindanao del Sur</v>
      </c>
      <c r="H385" s="142" t="str">
        <f>IFERROR(__xludf.DUMMYFUNCTION("""COMPUTED_VALUE"""),"Special Geographic Area")</f>
        <v>Special Geographic Area</v>
      </c>
    </row>
    <row r="386">
      <c r="A386" s="142" t="s">
        <v>642</v>
      </c>
      <c r="B386" s="142" t="str">
        <f>IFERROR(__xludf.DUMMYFUNCTION("""COMPUTED_VALUE"""),"Basilan")</f>
        <v>Basilan</v>
      </c>
      <c r="C386" s="142" t="str">
        <f>IFERROR(__xludf.DUMMYFUNCTION("""COMPUTED_VALUE"""),"Lanao del Sur")</f>
        <v>Lanao del Sur</v>
      </c>
      <c r="D386" s="142" t="str">
        <f>IFERROR(__xludf.DUMMYFUNCTION("""COMPUTED_VALUE"""),"Sulu")</f>
        <v>Sulu</v>
      </c>
      <c r="E386" s="142" t="str">
        <f>IFERROR(__xludf.DUMMYFUNCTION("""COMPUTED_VALUE"""),"Tawi-Tawi")</f>
        <v>Tawi-Tawi</v>
      </c>
      <c r="F386" s="142" t="str">
        <f>IFERROR(__xludf.DUMMYFUNCTION("""COMPUTED_VALUE"""),"Maguindanao del Norte")</f>
        <v>Maguindanao del Norte</v>
      </c>
      <c r="G386" s="142" t="str">
        <f>IFERROR(__xludf.DUMMYFUNCTION("""COMPUTED_VALUE"""),"Maguindanao del Sur")</f>
        <v>Maguindanao del Sur</v>
      </c>
      <c r="H386" s="142" t="str">
        <f>IFERROR(__xludf.DUMMYFUNCTION("""COMPUTED_VALUE"""),"Special Geographic Area")</f>
        <v>Special Geographic Area</v>
      </c>
    </row>
    <row r="387">
      <c r="A387" s="142" t="s">
        <v>293</v>
      </c>
      <c r="B387" s="142" t="str">
        <f>IFERROR(__xludf.DUMMYFUNCTION("""COMPUTED_VALUE"""),"Bataan")</f>
        <v>Bataan</v>
      </c>
      <c r="C387" s="142" t="str">
        <f>IFERROR(__xludf.DUMMYFUNCTION("""COMPUTED_VALUE"""),"Bulacan")</f>
        <v>Bulacan</v>
      </c>
      <c r="D387" s="142" t="str">
        <f>IFERROR(__xludf.DUMMYFUNCTION("""COMPUTED_VALUE"""),"Nueva Ecija")</f>
        <v>Nueva Ecija</v>
      </c>
      <c r="E387" s="142" t="str">
        <f>IFERROR(__xludf.DUMMYFUNCTION("""COMPUTED_VALUE"""),"Pampanga")</f>
        <v>Pampanga</v>
      </c>
      <c r="F387" s="142" t="str">
        <f>IFERROR(__xludf.DUMMYFUNCTION("""COMPUTED_VALUE"""),"Tarlac")</f>
        <v>Tarlac</v>
      </c>
      <c r="G387" s="142" t="str">
        <f>IFERROR(__xludf.DUMMYFUNCTION("""COMPUTED_VALUE"""),"Zambales")</f>
        <v>Zambales</v>
      </c>
      <c r="H387" s="142" t="str">
        <f>IFERROR(__xludf.DUMMYFUNCTION("""COMPUTED_VALUE"""),"Aurora")</f>
        <v>Aurora</v>
      </c>
    </row>
    <row r="388">
      <c r="A388" s="142" t="s">
        <v>535</v>
      </c>
      <c r="B388" s="142" t="str">
        <f>IFERROR(__xludf.DUMMYFUNCTION("""COMPUTED_VALUE"""),"Albay")</f>
        <v>Albay</v>
      </c>
      <c r="C388" s="142" t="str">
        <f>IFERROR(__xludf.DUMMYFUNCTION("""COMPUTED_VALUE"""),"Camarines Norte")</f>
        <v>Camarines Norte</v>
      </c>
      <c r="D388" s="142" t="str">
        <f>IFERROR(__xludf.DUMMYFUNCTION("""COMPUTED_VALUE"""),"Camarines Sur")</f>
        <v>Camarines Sur</v>
      </c>
      <c r="E388" s="142" t="str">
        <f>IFERROR(__xludf.DUMMYFUNCTION("""COMPUTED_VALUE"""),"Catanduanes")</f>
        <v>Catanduanes</v>
      </c>
      <c r="F388" s="142" t="str">
        <f>IFERROR(__xludf.DUMMYFUNCTION("""COMPUTED_VALUE"""),"Masbate")</f>
        <v>Masbate</v>
      </c>
      <c r="G388" s="142" t="str">
        <f>IFERROR(__xludf.DUMMYFUNCTION("""COMPUTED_VALUE"""),"Sorsogon")</f>
        <v>Sorsogon</v>
      </c>
      <c r="H388" s="8"/>
    </row>
    <row r="389">
      <c r="A389" s="142" t="s">
        <v>579</v>
      </c>
      <c r="B389" s="142" t="str">
        <f>IFERROR(__xludf.DUMMYFUNCTION("""COMPUTED_VALUE"""),"Eastern Samar")</f>
        <v>Eastern Samar</v>
      </c>
      <c r="C389" s="142" t="str">
        <f>IFERROR(__xludf.DUMMYFUNCTION("""COMPUTED_VALUE"""),"Leyte")</f>
        <v>Leyte</v>
      </c>
      <c r="D389" s="142" t="str">
        <f>IFERROR(__xludf.DUMMYFUNCTION("""COMPUTED_VALUE"""),"Northern Samar")</f>
        <v>Northern Samar</v>
      </c>
      <c r="E389" s="142" t="str">
        <f>IFERROR(__xludf.DUMMYFUNCTION("""COMPUTED_VALUE"""),"Samar")</f>
        <v>Samar</v>
      </c>
      <c r="F389" s="142" t="str">
        <f>IFERROR(__xludf.DUMMYFUNCTION("""COMPUTED_VALUE"""),"Southern Leyte")</f>
        <v>Southern Leyte</v>
      </c>
      <c r="G389" s="142" t="str">
        <f>IFERROR(__xludf.DUMMYFUNCTION("""COMPUTED_VALUE"""),"Biliran")</f>
        <v>Biliran</v>
      </c>
      <c r="H389" s="8"/>
    </row>
    <row r="390">
      <c r="A390" s="142" t="s">
        <v>579</v>
      </c>
      <c r="B390" s="142" t="str">
        <f>IFERROR(__xludf.DUMMYFUNCTION("""COMPUTED_VALUE"""),"Eastern Samar")</f>
        <v>Eastern Samar</v>
      </c>
      <c r="C390" s="142" t="str">
        <f>IFERROR(__xludf.DUMMYFUNCTION("""COMPUTED_VALUE"""),"Leyte")</f>
        <v>Leyte</v>
      </c>
      <c r="D390" s="142" t="str">
        <f>IFERROR(__xludf.DUMMYFUNCTION("""COMPUTED_VALUE"""),"Northern Samar")</f>
        <v>Northern Samar</v>
      </c>
      <c r="E390" s="142" t="str">
        <f>IFERROR(__xludf.DUMMYFUNCTION("""COMPUTED_VALUE"""),"Samar")</f>
        <v>Samar</v>
      </c>
      <c r="F390" s="142" t="str">
        <f>IFERROR(__xludf.DUMMYFUNCTION("""COMPUTED_VALUE"""),"Southern Leyte")</f>
        <v>Southern Leyte</v>
      </c>
      <c r="G390" s="142" t="str">
        <f>IFERROR(__xludf.DUMMYFUNCTION("""COMPUTED_VALUE"""),"Biliran")</f>
        <v>Biliran</v>
      </c>
      <c r="H390" s="8"/>
    </row>
    <row r="391">
      <c r="A391" s="142" t="s">
        <v>171</v>
      </c>
      <c r="B391" s="142" t="str">
        <f>IFERROR(__xludf.DUMMYFUNCTION("""COMPUTED_VALUE"""),"Bukidnon")</f>
        <v>Bukidnon</v>
      </c>
      <c r="C391" s="142" t="str">
        <f>IFERROR(__xludf.DUMMYFUNCTION("""COMPUTED_VALUE"""),"Camiguin")</f>
        <v>Camiguin</v>
      </c>
      <c r="D391" s="142" t="str">
        <f>IFERROR(__xludf.DUMMYFUNCTION("""COMPUTED_VALUE"""),"Lanao del Norte")</f>
        <v>Lanao del Norte</v>
      </c>
      <c r="E391" s="142" t="str">
        <f>IFERROR(__xludf.DUMMYFUNCTION("""COMPUTED_VALUE"""),"Misamis Occidental")</f>
        <v>Misamis Occidental</v>
      </c>
      <c r="F391" s="142" t="str">
        <f>IFERROR(__xludf.DUMMYFUNCTION("""COMPUTED_VALUE"""),"Misamis Oriental")</f>
        <v>Misamis Oriental</v>
      </c>
      <c r="G391" s="8"/>
      <c r="H391" s="8"/>
    </row>
    <row r="392">
      <c r="A392" s="142" t="s">
        <v>579</v>
      </c>
      <c r="B392" s="142" t="str">
        <f>IFERROR(__xludf.DUMMYFUNCTION("""COMPUTED_VALUE"""),"Eastern Samar")</f>
        <v>Eastern Samar</v>
      </c>
      <c r="C392" s="142" t="str">
        <f>IFERROR(__xludf.DUMMYFUNCTION("""COMPUTED_VALUE"""),"Leyte")</f>
        <v>Leyte</v>
      </c>
      <c r="D392" s="142" t="str">
        <f>IFERROR(__xludf.DUMMYFUNCTION("""COMPUTED_VALUE"""),"Northern Samar")</f>
        <v>Northern Samar</v>
      </c>
      <c r="E392" s="142" t="str">
        <f>IFERROR(__xludf.DUMMYFUNCTION("""COMPUTED_VALUE"""),"Samar")</f>
        <v>Samar</v>
      </c>
      <c r="F392" s="142" t="str">
        <f>IFERROR(__xludf.DUMMYFUNCTION("""COMPUTED_VALUE"""),"Southern Leyte")</f>
        <v>Southern Leyte</v>
      </c>
      <c r="G392" s="142" t="str">
        <f>IFERROR(__xludf.DUMMYFUNCTION("""COMPUTED_VALUE"""),"Biliran")</f>
        <v>Biliran</v>
      </c>
      <c r="H392" s="8"/>
    </row>
    <row r="393">
      <c r="A393" s="142" t="s">
        <v>535</v>
      </c>
      <c r="B393" s="142" t="str">
        <f>IFERROR(__xludf.DUMMYFUNCTION("""COMPUTED_VALUE"""),"Albay")</f>
        <v>Albay</v>
      </c>
      <c r="C393" s="142" t="str">
        <f>IFERROR(__xludf.DUMMYFUNCTION("""COMPUTED_VALUE"""),"Camarines Norte")</f>
        <v>Camarines Norte</v>
      </c>
      <c r="D393" s="142" t="str">
        <f>IFERROR(__xludf.DUMMYFUNCTION("""COMPUTED_VALUE"""),"Camarines Sur")</f>
        <v>Camarines Sur</v>
      </c>
      <c r="E393" s="142" t="str">
        <f>IFERROR(__xludf.DUMMYFUNCTION("""COMPUTED_VALUE"""),"Catanduanes")</f>
        <v>Catanduanes</v>
      </c>
      <c r="F393" s="142" t="str">
        <f>IFERROR(__xludf.DUMMYFUNCTION("""COMPUTED_VALUE"""),"Masbate")</f>
        <v>Masbate</v>
      </c>
      <c r="G393" s="142" t="str">
        <f>IFERROR(__xludf.DUMMYFUNCTION("""COMPUTED_VALUE"""),"Sorsogon")</f>
        <v>Sorsogon</v>
      </c>
      <c r="H393" s="8"/>
    </row>
    <row r="394">
      <c r="A394" s="142" t="s">
        <v>143</v>
      </c>
      <c r="B394" s="142" t="str">
        <f>IFERROR(__xludf.DUMMYFUNCTION("""COMPUTED_VALUE"""),"Ilocos Norte")</f>
        <v>Ilocos Norte</v>
      </c>
      <c r="C394" s="142" t="str">
        <f>IFERROR(__xludf.DUMMYFUNCTION("""COMPUTED_VALUE"""),"Ilocos Sur")</f>
        <v>Ilocos Sur</v>
      </c>
      <c r="D394" s="142" t="str">
        <f>IFERROR(__xludf.DUMMYFUNCTION("""COMPUTED_VALUE"""),"La Union")</f>
        <v>La Union</v>
      </c>
      <c r="E394" s="142" t="str">
        <f>IFERROR(__xludf.DUMMYFUNCTION("""COMPUTED_VALUE"""),"Pangasinan")</f>
        <v>Pangasinan</v>
      </c>
      <c r="F394" s="8"/>
      <c r="G394" s="8"/>
      <c r="H394" s="8"/>
    </row>
    <row r="395">
      <c r="A395" s="142" t="s">
        <v>143</v>
      </c>
      <c r="B395" s="142" t="str">
        <f>IFERROR(__xludf.DUMMYFUNCTION("""COMPUTED_VALUE"""),"Ilocos Norte")</f>
        <v>Ilocos Norte</v>
      </c>
      <c r="C395" s="142" t="str">
        <f>IFERROR(__xludf.DUMMYFUNCTION("""COMPUTED_VALUE"""),"Ilocos Sur")</f>
        <v>Ilocos Sur</v>
      </c>
      <c r="D395" s="142" t="str">
        <f>IFERROR(__xludf.DUMMYFUNCTION("""COMPUTED_VALUE"""),"La Union")</f>
        <v>La Union</v>
      </c>
      <c r="E395" s="142" t="str">
        <f>IFERROR(__xludf.DUMMYFUNCTION("""COMPUTED_VALUE"""),"Pangasinan")</f>
        <v>Pangasinan</v>
      </c>
      <c r="F395" s="8"/>
      <c r="G395" s="8"/>
      <c r="H395" s="8"/>
    </row>
    <row r="396">
      <c r="A396" s="142" t="s">
        <v>143</v>
      </c>
      <c r="B396" s="142" t="str">
        <f>IFERROR(__xludf.DUMMYFUNCTION("""COMPUTED_VALUE"""),"Ilocos Norte")</f>
        <v>Ilocos Norte</v>
      </c>
      <c r="C396" s="142" t="str">
        <f>IFERROR(__xludf.DUMMYFUNCTION("""COMPUTED_VALUE"""),"Ilocos Sur")</f>
        <v>Ilocos Sur</v>
      </c>
      <c r="D396" s="142" t="str">
        <f>IFERROR(__xludf.DUMMYFUNCTION("""COMPUTED_VALUE"""),"La Union")</f>
        <v>La Union</v>
      </c>
      <c r="E396" s="142" t="str">
        <f>IFERROR(__xludf.DUMMYFUNCTION("""COMPUTED_VALUE"""),"Pangasinan")</f>
        <v>Pangasinan</v>
      </c>
      <c r="F396" s="8"/>
      <c r="G396" s="8"/>
      <c r="H396" s="8"/>
    </row>
    <row r="397">
      <c r="A397" s="142" t="s">
        <v>143</v>
      </c>
      <c r="B397" s="142" t="str">
        <f>IFERROR(__xludf.DUMMYFUNCTION("""COMPUTED_VALUE"""),"Ilocos Norte")</f>
        <v>Ilocos Norte</v>
      </c>
      <c r="C397" s="142" t="str">
        <f>IFERROR(__xludf.DUMMYFUNCTION("""COMPUTED_VALUE"""),"Ilocos Sur")</f>
        <v>Ilocos Sur</v>
      </c>
      <c r="D397" s="142" t="str">
        <f>IFERROR(__xludf.DUMMYFUNCTION("""COMPUTED_VALUE"""),"La Union")</f>
        <v>La Union</v>
      </c>
      <c r="E397" s="142" t="str">
        <f>IFERROR(__xludf.DUMMYFUNCTION("""COMPUTED_VALUE"""),"Pangasinan")</f>
        <v>Pangasinan</v>
      </c>
      <c r="F397" s="8"/>
      <c r="G397" s="8"/>
      <c r="H397" s="8"/>
    </row>
    <row r="398">
      <c r="A398" s="142" t="s">
        <v>143</v>
      </c>
      <c r="B398" s="142" t="str">
        <f>IFERROR(__xludf.DUMMYFUNCTION("""COMPUTED_VALUE"""),"Ilocos Norte")</f>
        <v>Ilocos Norte</v>
      </c>
      <c r="C398" s="142" t="str">
        <f>IFERROR(__xludf.DUMMYFUNCTION("""COMPUTED_VALUE"""),"Ilocos Sur")</f>
        <v>Ilocos Sur</v>
      </c>
      <c r="D398" s="142" t="str">
        <f>IFERROR(__xludf.DUMMYFUNCTION("""COMPUTED_VALUE"""),"La Union")</f>
        <v>La Union</v>
      </c>
      <c r="E398" s="142" t="str">
        <f>IFERROR(__xludf.DUMMYFUNCTION("""COMPUTED_VALUE"""),"Pangasinan")</f>
        <v>Pangasinan</v>
      </c>
      <c r="F398" s="8"/>
      <c r="G398" s="8"/>
      <c r="H398" s="8"/>
    </row>
    <row r="399">
      <c r="A399" s="142" t="s">
        <v>143</v>
      </c>
      <c r="B399" s="142" t="str">
        <f>IFERROR(__xludf.DUMMYFUNCTION("""COMPUTED_VALUE"""),"Ilocos Norte")</f>
        <v>Ilocos Norte</v>
      </c>
      <c r="C399" s="142" t="str">
        <f>IFERROR(__xludf.DUMMYFUNCTION("""COMPUTED_VALUE"""),"Ilocos Sur")</f>
        <v>Ilocos Sur</v>
      </c>
      <c r="D399" s="142" t="str">
        <f>IFERROR(__xludf.DUMMYFUNCTION("""COMPUTED_VALUE"""),"La Union")</f>
        <v>La Union</v>
      </c>
      <c r="E399" s="142" t="str">
        <f>IFERROR(__xludf.DUMMYFUNCTION("""COMPUTED_VALUE"""),"Pangasinan")</f>
        <v>Pangasinan</v>
      </c>
      <c r="F399" s="8"/>
      <c r="G399" s="8"/>
      <c r="H399" s="8"/>
    </row>
    <row r="400">
      <c r="A400" s="142" t="s">
        <v>257</v>
      </c>
      <c r="B400" s="142" t="str">
        <f>IFERROR(__xludf.DUMMYFUNCTION("""COMPUTED_VALUE"""),"Batangas")</f>
        <v>Batangas</v>
      </c>
      <c r="C400" s="142" t="str">
        <f>IFERROR(__xludf.DUMMYFUNCTION("""COMPUTED_VALUE"""),"Cavite")</f>
        <v>Cavite</v>
      </c>
      <c r="D400" s="142" t="str">
        <f>IFERROR(__xludf.DUMMYFUNCTION("""COMPUTED_VALUE"""),"Laguna")</f>
        <v>Laguna</v>
      </c>
      <c r="E400" s="142" t="str">
        <f>IFERROR(__xludf.DUMMYFUNCTION("""COMPUTED_VALUE"""),"Quezon")</f>
        <v>Quezon</v>
      </c>
      <c r="F400" s="8"/>
      <c r="G400" s="8"/>
      <c r="H400" s="8"/>
    </row>
    <row r="401">
      <c r="A401" s="142" t="s">
        <v>257</v>
      </c>
      <c r="B401" s="142" t="str">
        <f>IFERROR(__xludf.DUMMYFUNCTION("""COMPUTED_VALUE"""),"Batangas")</f>
        <v>Batangas</v>
      </c>
      <c r="C401" s="142" t="str">
        <f>IFERROR(__xludf.DUMMYFUNCTION("""COMPUTED_VALUE"""),"Cavite")</f>
        <v>Cavite</v>
      </c>
      <c r="D401" s="142" t="str">
        <f>IFERROR(__xludf.DUMMYFUNCTION("""COMPUTED_VALUE"""),"Laguna")</f>
        <v>Laguna</v>
      </c>
      <c r="E401" s="142" t="str">
        <f>IFERROR(__xludf.DUMMYFUNCTION("""COMPUTED_VALUE"""),"Quezon")</f>
        <v>Quezon</v>
      </c>
      <c r="F401" s="8"/>
      <c r="G401" s="8"/>
      <c r="H401" s="8"/>
    </row>
    <row r="402">
      <c r="A402" s="142" t="s">
        <v>257</v>
      </c>
      <c r="B402" s="142" t="str">
        <f>IFERROR(__xludf.DUMMYFUNCTION("""COMPUTED_VALUE"""),"Batangas")</f>
        <v>Batangas</v>
      </c>
      <c r="C402" s="142" t="str">
        <f>IFERROR(__xludf.DUMMYFUNCTION("""COMPUTED_VALUE"""),"Cavite")</f>
        <v>Cavite</v>
      </c>
      <c r="D402" s="142" t="str">
        <f>IFERROR(__xludf.DUMMYFUNCTION("""COMPUTED_VALUE"""),"Laguna")</f>
        <v>Laguna</v>
      </c>
      <c r="E402" s="142" t="str">
        <f>IFERROR(__xludf.DUMMYFUNCTION("""COMPUTED_VALUE"""),"Quezon")</f>
        <v>Quezon</v>
      </c>
      <c r="F402" s="8"/>
      <c r="G402" s="8"/>
      <c r="H402" s="8"/>
    </row>
    <row r="403">
      <c r="A403" s="142" t="s">
        <v>535</v>
      </c>
      <c r="B403" s="142" t="str">
        <f>IFERROR(__xludf.DUMMYFUNCTION("""COMPUTED_VALUE"""),"Albay")</f>
        <v>Albay</v>
      </c>
      <c r="C403" s="142" t="str">
        <f>IFERROR(__xludf.DUMMYFUNCTION("""COMPUTED_VALUE"""),"Camarines Norte")</f>
        <v>Camarines Norte</v>
      </c>
      <c r="D403" s="142" t="str">
        <f>IFERROR(__xludf.DUMMYFUNCTION("""COMPUTED_VALUE"""),"Camarines Sur")</f>
        <v>Camarines Sur</v>
      </c>
      <c r="E403" s="142" t="str">
        <f>IFERROR(__xludf.DUMMYFUNCTION("""COMPUTED_VALUE"""),"Catanduanes")</f>
        <v>Catanduanes</v>
      </c>
      <c r="F403" s="142" t="str">
        <f>IFERROR(__xludf.DUMMYFUNCTION("""COMPUTED_VALUE"""),"Masbate")</f>
        <v>Masbate</v>
      </c>
      <c r="G403" s="142" t="str">
        <f>IFERROR(__xludf.DUMMYFUNCTION("""COMPUTED_VALUE"""),"Sorsogon")</f>
        <v>Sorsogon</v>
      </c>
      <c r="H403" s="8"/>
    </row>
    <row r="404">
      <c r="A404" s="142" t="s">
        <v>535</v>
      </c>
      <c r="B404" s="142" t="str">
        <f>IFERROR(__xludf.DUMMYFUNCTION("""COMPUTED_VALUE"""),"Albay")</f>
        <v>Albay</v>
      </c>
      <c r="C404" s="142" t="str">
        <f>IFERROR(__xludf.DUMMYFUNCTION("""COMPUTED_VALUE"""),"Camarines Norte")</f>
        <v>Camarines Norte</v>
      </c>
      <c r="D404" s="142" t="str">
        <f>IFERROR(__xludf.DUMMYFUNCTION("""COMPUTED_VALUE"""),"Camarines Sur")</f>
        <v>Camarines Sur</v>
      </c>
      <c r="E404" s="142" t="str">
        <f>IFERROR(__xludf.DUMMYFUNCTION("""COMPUTED_VALUE"""),"Catanduanes")</f>
        <v>Catanduanes</v>
      </c>
      <c r="F404" s="142" t="str">
        <f>IFERROR(__xludf.DUMMYFUNCTION("""COMPUTED_VALUE"""),"Masbate")</f>
        <v>Masbate</v>
      </c>
      <c r="G404" s="142" t="str">
        <f>IFERROR(__xludf.DUMMYFUNCTION("""COMPUTED_VALUE"""),"Sorsogon")</f>
        <v>Sorsogon</v>
      </c>
      <c r="H404" s="8"/>
    </row>
    <row r="405">
      <c r="A405" s="142" t="s">
        <v>193</v>
      </c>
      <c r="B405" s="142" t="str">
        <f>IFERROR(__xludf.DUMMYFUNCTION("""COMPUTED_VALUE"""),"Bohol")</f>
        <v>Bohol</v>
      </c>
      <c r="C405" s="142" t="str">
        <f>IFERROR(__xludf.DUMMYFUNCTION("""COMPUTED_VALUE"""),"Cebu")</f>
        <v>Cebu</v>
      </c>
      <c r="D405" s="8"/>
      <c r="E405" s="8"/>
      <c r="F405" s="8"/>
      <c r="G405" s="8"/>
      <c r="H405" s="8"/>
    </row>
    <row r="406">
      <c r="A406" s="142" t="s">
        <v>193</v>
      </c>
      <c r="B406" s="142" t="str">
        <f>IFERROR(__xludf.DUMMYFUNCTION("""COMPUTED_VALUE"""),"Bohol")</f>
        <v>Bohol</v>
      </c>
      <c r="C406" s="142" t="str">
        <f>IFERROR(__xludf.DUMMYFUNCTION("""COMPUTED_VALUE"""),"Cebu")</f>
        <v>Cebu</v>
      </c>
      <c r="D406" s="8"/>
      <c r="E406" s="8"/>
      <c r="F406" s="8"/>
      <c r="G406" s="8"/>
      <c r="H406" s="8"/>
    </row>
    <row r="407">
      <c r="A407" s="142" t="s">
        <v>193</v>
      </c>
      <c r="B407" s="142" t="str">
        <f>IFERROR(__xludf.DUMMYFUNCTION("""COMPUTED_VALUE"""),"Bohol")</f>
        <v>Bohol</v>
      </c>
      <c r="C407" s="142" t="str">
        <f>IFERROR(__xludf.DUMMYFUNCTION("""COMPUTED_VALUE"""),"Cebu")</f>
        <v>Cebu</v>
      </c>
      <c r="D407" s="8"/>
      <c r="E407" s="8"/>
      <c r="F407" s="8"/>
      <c r="G407" s="8"/>
      <c r="H407" s="8"/>
    </row>
    <row r="408">
      <c r="A408" s="142" t="s">
        <v>619</v>
      </c>
      <c r="B408" s="142" t="str">
        <f>IFERROR(__xludf.DUMMYFUNCTION("""COMPUTED_VALUE"""),"Metro Manila")</f>
        <v>Metro Manila</v>
      </c>
      <c r="C408" s="8"/>
      <c r="D408" s="8"/>
      <c r="E408" s="8"/>
      <c r="F408" s="8"/>
      <c r="G408" s="8"/>
      <c r="H408" s="8"/>
    </row>
    <row r="409">
      <c r="A409" s="142" t="s">
        <v>625</v>
      </c>
      <c r="B409" s="142" t="str">
        <f>IFERROR(__xludf.DUMMYFUNCTION("""COMPUTED_VALUE"""),"Negros Occidental")</f>
        <v>Negros Occidental</v>
      </c>
      <c r="C409" s="142" t="str">
        <f>IFERROR(__xludf.DUMMYFUNCTION("""COMPUTED_VALUE"""),"Negros Oriental")</f>
        <v>Negros Oriental</v>
      </c>
      <c r="D409" s="142" t="str">
        <f>IFERROR(__xludf.DUMMYFUNCTION("""COMPUTED_VALUE"""),"Siquijor")</f>
        <v>Siquijor</v>
      </c>
      <c r="E409" s="8"/>
      <c r="F409" s="8"/>
      <c r="G409" s="8"/>
      <c r="H409" s="8"/>
    </row>
    <row r="410">
      <c r="A410" s="142" t="s">
        <v>143</v>
      </c>
      <c r="B410" s="142" t="str">
        <f>IFERROR(__xludf.DUMMYFUNCTION("""COMPUTED_VALUE"""),"Ilocos Norte")</f>
        <v>Ilocos Norte</v>
      </c>
      <c r="C410" s="142" t="str">
        <f>IFERROR(__xludf.DUMMYFUNCTION("""COMPUTED_VALUE"""),"Ilocos Sur")</f>
        <v>Ilocos Sur</v>
      </c>
      <c r="D410" s="142" t="str">
        <f>IFERROR(__xludf.DUMMYFUNCTION("""COMPUTED_VALUE"""),"La Union")</f>
        <v>La Union</v>
      </c>
      <c r="E410" s="142" t="str">
        <f>IFERROR(__xludf.DUMMYFUNCTION("""COMPUTED_VALUE"""),"Pangasinan")</f>
        <v>Pangasinan</v>
      </c>
      <c r="F410" s="8"/>
      <c r="G410" s="8"/>
      <c r="H410" s="8"/>
    </row>
    <row r="411">
      <c r="A411" s="142" t="s">
        <v>143</v>
      </c>
      <c r="B411" s="142" t="str">
        <f>IFERROR(__xludf.DUMMYFUNCTION("""COMPUTED_VALUE"""),"Ilocos Norte")</f>
        <v>Ilocos Norte</v>
      </c>
      <c r="C411" s="142" t="str">
        <f>IFERROR(__xludf.DUMMYFUNCTION("""COMPUTED_VALUE"""),"Ilocos Sur")</f>
        <v>Ilocos Sur</v>
      </c>
      <c r="D411" s="142" t="str">
        <f>IFERROR(__xludf.DUMMYFUNCTION("""COMPUTED_VALUE"""),"La Union")</f>
        <v>La Union</v>
      </c>
      <c r="E411" s="142" t="str">
        <f>IFERROR(__xludf.DUMMYFUNCTION("""COMPUTED_VALUE"""),"Pangasinan")</f>
        <v>Pangasinan</v>
      </c>
      <c r="F411" s="8"/>
      <c r="G411" s="8"/>
      <c r="H411" s="8"/>
    </row>
    <row r="412">
      <c r="A412" s="142" t="s">
        <v>143</v>
      </c>
      <c r="B412" s="142" t="str">
        <f>IFERROR(__xludf.DUMMYFUNCTION("""COMPUTED_VALUE"""),"Ilocos Norte")</f>
        <v>Ilocos Norte</v>
      </c>
      <c r="C412" s="142" t="str">
        <f>IFERROR(__xludf.DUMMYFUNCTION("""COMPUTED_VALUE"""),"Ilocos Sur")</f>
        <v>Ilocos Sur</v>
      </c>
      <c r="D412" s="142" t="str">
        <f>IFERROR(__xludf.DUMMYFUNCTION("""COMPUTED_VALUE"""),"La Union")</f>
        <v>La Union</v>
      </c>
      <c r="E412" s="142" t="str">
        <f>IFERROR(__xludf.DUMMYFUNCTION("""COMPUTED_VALUE"""),"Pangasinan")</f>
        <v>Pangasinan</v>
      </c>
      <c r="F412" s="8"/>
      <c r="G412" s="8"/>
      <c r="H412" s="8"/>
    </row>
    <row r="413">
      <c r="A413" s="142" t="s">
        <v>143</v>
      </c>
      <c r="B413" s="142" t="str">
        <f>IFERROR(__xludf.DUMMYFUNCTION("""COMPUTED_VALUE"""),"Ilocos Norte")</f>
        <v>Ilocos Norte</v>
      </c>
      <c r="C413" s="142" t="str">
        <f>IFERROR(__xludf.DUMMYFUNCTION("""COMPUTED_VALUE"""),"Ilocos Sur")</f>
        <v>Ilocos Sur</v>
      </c>
      <c r="D413" s="142" t="str">
        <f>IFERROR(__xludf.DUMMYFUNCTION("""COMPUTED_VALUE"""),"La Union")</f>
        <v>La Union</v>
      </c>
      <c r="E413" s="142" t="str">
        <f>IFERROR(__xludf.DUMMYFUNCTION("""COMPUTED_VALUE"""),"Pangasinan")</f>
        <v>Pangasinan</v>
      </c>
      <c r="F413" s="8"/>
      <c r="G413" s="8"/>
      <c r="H413" s="8"/>
    </row>
    <row r="414">
      <c r="A414" s="142" t="s">
        <v>143</v>
      </c>
      <c r="B414" s="142" t="str">
        <f>IFERROR(__xludf.DUMMYFUNCTION("""COMPUTED_VALUE"""),"Ilocos Norte")</f>
        <v>Ilocos Norte</v>
      </c>
      <c r="C414" s="142" t="str">
        <f>IFERROR(__xludf.DUMMYFUNCTION("""COMPUTED_VALUE"""),"Ilocos Sur")</f>
        <v>Ilocos Sur</v>
      </c>
      <c r="D414" s="142" t="str">
        <f>IFERROR(__xludf.DUMMYFUNCTION("""COMPUTED_VALUE"""),"La Union")</f>
        <v>La Union</v>
      </c>
      <c r="E414" s="142" t="str">
        <f>IFERROR(__xludf.DUMMYFUNCTION("""COMPUTED_VALUE"""),"Pangasinan")</f>
        <v>Pangasinan</v>
      </c>
      <c r="F414" s="8"/>
      <c r="G414" s="8"/>
      <c r="H414" s="8"/>
    </row>
    <row r="415">
      <c r="A415" s="142" t="s">
        <v>143</v>
      </c>
      <c r="B415" s="142" t="str">
        <f>IFERROR(__xludf.DUMMYFUNCTION("""COMPUTED_VALUE"""),"Ilocos Norte")</f>
        <v>Ilocos Norte</v>
      </c>
      <c r="C415" s="142" t="str">
        <f>IFERROR(__xludf.DUMMYFUNCTION("""COMPUTED_VALUE"""),"Ilocos Sur")</f>
        <v>Ilocos Sur</v>
      </c>
      <c r="D415" s="142" t="str">
        <f>IFERROR(__xludf.DUMMYFUNCTION("""COMPUTED_VALUE"""),"La Union")</f>
        <v>La Union</v>
      </c>
      <c r="E415" s="142" t="str">
        <f>IFERROR(__xludf.DUMMYFUNCTION("""COMPUTED_VALUE"""),"Pangasinan")</f>
        <v>Pangasinan</v>
      </c>
      <c r="F415" s="8"/>
      <c r="G415" s="8"/>
      <c r="H415" s="8"/>
    </row>
    <row r="416">
      <c r="A416" s="142" t="s">
        <v>143</v>
      </c>
      <c r="B416" s="142" t="str">
        <f>IFERROR(__xludf.DUMMYFUNCTION("""COMPUTED_VALUE"""),"Ilocos Norte")</f>
        <v>Ilocos Norte</v>
      </c>
      <c r="C416" s="142" t="str">
        <f>IFERROR(__xludf.DUMMYFUNCTION("""COMPUTED_VALUE"""),"Ilocos Sur")</f>
        <v>Ilocos Sur</v>
      </c>
      <c r="D416" s="142" t="str">
        <f>IFERROR(__xludf.DUMMYFUNCTION("""COMPUTED_VALUE"""),"La Union")</f>
        <v>La Union</v>
      </c>
      <c r="E416" s="142" t="str">
        <f>IFERROR(__xludf.DUMMYFUNCTION("""COMPUTED_VALUE"""),"Pangasinan")</f>
        <v>Pangasinan</v>
      </c>
      <c r="F416" s="8"/>
      <c r="G416" s="8"/>
      <c r="H416" s="8"/>
    </row>
    <row r="417">
      <c r="A417" s="142" t="s">
        <v>143</v>
      </c>
      <c r="B417" s="142" t="str">
        <f>IFERROR(__xludf.DUMMYFUNCTION("""COMPUTED_VALUE"""),"Ilocos Norte")</f>
        <v>Ilocos Norte</v>
      </c>
      <c r="C417" s="142" t="str">
        <f>IFERROR(__xludf.DUMMYFUNCTION("""COMPUTED_VALUE"""),"Ilocos Sur")</f>
        <v>Ilocos Sur</v>
      </c>
      <c r="D417" s="142" t="str">
        <f>IFERROR(__xludf.DUMMYFUNCTION("""COMPUTED_VALUE"""),"La Union")</f>
        <v>La Union</v>
      </c>
      <c r="E417" s="142" t="str">
        <f>IFERROR(__xludf.DUMMYFUNCTION("""COMPUTED_VALUE"""),"Pangasinan")</f>
        <v>Pangasinan</v>
      </c>
      <c r="F417" s="8"/>
      <c r="G417" s="8"/>
      <c r="H417" s="8"/>
    </row>
    <row r="418">
      <c r="A418" s="142" t="s">
        <v>143</v>
      </c>
      <c r="B418" s="142" t="str">
        <f>IFERROR(__xludf.DUMMYFUNCTION("""COMPUTED_VALUE"""),"Ilocos Norte")</f>
        <v>Ilocos Norte</v>
      </c>
      <c r="C418" s="142" t="str">
        <f>IFERROR(__xludf.DUMMYFUNCTION("""COMPUTED_VALUE"""),"Ilocos Sur")</f>
        <v>Ilocos Sur</v>
      </c>
      <c r="D418" s="142" t="str">
        <f>IFERROR(__xludf.DUMMYFUNCTION("""COMPUTED_VALUE"""),"La Union")</f>
        <v>La Union</v>
      </c>
      <c r="E418" s="142" t="str">
        <f>IFERROR(__xludf.DUMMYFUNCTION("""COMPUTED_VALUE"""),"Pangasinan")</f>
        <v>Pangasinan</v>
      </c>
      <c r="F418" s="8"/>
      <c r="G418" s="8"/>
      <c r="H418" s="8"/>
    </row>
    <row r="419">
      <c r="A419" s="142" t="s">
        <v>143</v>
      </c>
      <c r="B419" s="142" t="str">
        <f>IFERROR(__xludf.DUMMYFUNCTION("""COMPUTED_VALUE"""),"Ilocos Norte")</f>
        <v>Ilocos Norte</v>
      </c>
      <c r="C419" s="142" t="str">
        <f>IFERROR(__xludf.DUMMYFUNCTION("""COMPUTED_VALUE"""),"Ilocos Sur")</f>
        <v>Ilocos Sur</v>
      </c>
      <c r="D419" s="142" t="str">
        <f>IFERROR(__xludf.DUMMYFUNCTION("""COMPUTED_VALUE"""),"La Union")</f>
        <v>La Union</v>
      </c>
      <c r="E419" s="142" t="str">
        <f>IFERROR(__xludf.DUMMYFUNCTION("""COMPUTED_VALUE"""),"Pangasinan")</f>
        <v>Pangasinan</v>
      </c>
      <c r="F419" s="8"/>
      <c r="G419" s="8"/>
      <c r="H419" s="8"/>
    </row>
    <row r="420">
      <c r="A420" s="142" t="s">
        <v>143</v>
      </c>
      <c r="B420" s="142" t="str">
        <f>IFERROR(__xludf.DUMMYFUNCTION("""COMPUTED_VALUE"""),"Ilocos Norte")</f>
        <v>Ilocos Norte</v>
      </c>
      <c r="C420" s="142" t="str">
        <f>IFERROR(__xludf.DUMMYFUNCTION("""COMPUTED_VALUE"""),"Ilocos Sur")</f>
        <v>Ilocos Sur</v>
      </c>
      <c r="D420" s="142" t="str">
        <f>IFERROR(__xludf.DUMMYFUNCTION("""COMPUTED_VALUE"""),"La Union")</f>
        <v>La Union</v>
      </c>
      <c r="E420" s="142" t="str">
        <f>IFERROR(__xludf.DUMMYFUNCTION("""COMPUTED_VALUE"""),"Pangasinan")</f>
        <v>Pangasinan</v>
      </c>
      <c r="F420" s="8"/>
      <c r="G420" s="8"/>
      <c r="H420" s="8"/>
    </row>
    <row r="421">
      <c r="A421" s="142" t="s">
        <v>143</v>
      </c>
      <c r="B421" s="142" t="str">
        <f>IFERROR(__xludf.DUMMYFUNCTION("""COMPUTED_VALUE"""),"Ilocos Norte")</f>
        <v>Ilocos Norte</v>
      </c>
      <c r="C421" s="142" t="str">
        <f>IFERROR(__xludf.DUMMYFUNCTION("""COMPUTED_VALUE"""),"Ilocos Sur")</f>
        <v>Ilocos Sur</v>
      </c>
      <c r="D421" s="142" t="str">
        <f>IFERROR(__xludf.DUMMYFUNCTION("""COMPUTED_VALUE"""),"La Union")</f>
        <v>La Union</v>
      </c>
      <c r="E421" s="142" t="str">
        <f>IFERROR(__xludf.DUMMYFUNCTION("""COMPUTED_VALUE"""),"Pangasinan")</f>
        <v>Pangasinan</v>
      </c>
      <c r="F421" s="8"/>
      <c r="G421" s="8"/>
      <c r="H421" s="8"/>
    </row>
    <row r="422">
      <c r="A422" s="142" t="s">
        <v>143</v>
      </c>
      <c r="B422" s="142" t="str">
        <f>IFERROR(__xludf.DUMMYFUNCTION("""COMPUTED_VALUE"""),"Ilocos Norte")</f>
        <v>Ilocos Norte</v>
      </c>
      <c r="C422" s="142" t="str">
        <f>IFERROR(__xludf.DUMMYFUNCTION("""COMPUTED_VALUE"""),"Ilocos Sur")</f>
        <v>Ilocos Sur</v>
      </c>
      <c r="D422" s="142" t="str">
        <f>IFERROR(__xludf.DUMMYFUNCTION("""COMPUTED_VALUE"""),"La Union")</f>
        <v>La Union</v>
      </c>
      <c r="E422" s="142" t="str">
        <f>IFERROR(__xludf.DUMMYFUNCTION("""COMPUTED_VALUE"""),"Pangasinan")</f>
        <v>Pangasinan</v>
      </c>
      <c r="F422" s="8"/>
      <c r="G422" s="8"/>
      <c r="H422" s="8"/>
    </row>
    <row r="423">
      <c r="A423" s="142" t="s">
        <v>143</v>
      </c>
      <c r="B423" s="142" t="str">
        <f>IFERROR(__xludf.DUMMYFUNCTION("""COMPUTED_VALUE"""),"Ilocos Norte")</f>
        <v>Ilocos Norte</v>
      </c>
      <c r="C423" s="142" t="str">
        <f>IFERROR(__xludf.DUMMYFUNCTION("""COMPUTED_VALUE"""),"Ilocos Sur")</f>
        <v>Ilocos Sur</v>
      </c>
      <c r="D423" s="142" t="str">
        <f>IFERROR(__xludf.DUMMYFUNCTION("""COMPUTED_VALUE"""),"La Union")</f>
        <v>La Union</v>
      </c>
      <c r="E423" s="142" t="str">
        <f>IFERROR(__xludf.DUMMYFUNCTION("""COMPUTED_VALUE"""),"Pangasinan")</f>
        <v>Pangasinan</v>
      </c>
      <c r="F423" s="8"/>
      <c r="G423" s="8"/>
      <c r="H423" s="8"/>
    </row>
    <row r="424">
      <c r="A424" s="142" t="s">
        <v>143</v>
      </c>
      <c r="B424" s="142" t="str">
        <f>IFERROR(__xludf.DUMMYFUNCTION("""COMPUTED_VALUE"""),"Ilocos Norte")</f>
        <v>Ilocos Norte</v>
      </c>
      <c r="C424" s="142" t="str">
        <f>IFERROR(__xludf.DUMMYFUNCTION("""COMPUTED_VALUE"""),"Ilocos Sur")</f>
        <v>Ilocos Sur</v>
      </c>
      <c r="D424" s="142" t="str">
        <f>IFERROR(__xludf.DUMMYFUNCTION("""COMPUTED_VALUE"""),"La Union")</f>
        <v>La Union</v>
      </c>
      <c r="E424" s="142" t="str">
        <f>IFERROR(__xludf.DUMMYFUNCTION("""COMPUTED_VALUE"""),"Pangasinan")</f>
        <v>Pangasinan</v>
      </c>
      <c r="F424" s="8"/>
      <c r="G424" s="8"/>
      <c r="H424" s="8"/>
    </row>
    <row r="425">
      <c r="A425" s="142" t="s">
        <v>143</v>
      </c>
      <c r="B425" s="142" t="str">
        <f>IFERROR(__xludf.DUMMYFUNCTION("""COMPUTED_VALUE"""),"Ilocos Norte")</f>
        <v>Ilocos Norte</v>
      </c>
      <c r="C425" s="142" t="str">
        <f>IFERROR(__xludf.DUMMYFUNCTION("""COMPUTED_VALUE"""),"Ilocos Sur")</f>
        <v>Ilocos Sur</v>
      </c>
      <c r="D425" s="142" t="str">
        <f>IFERROR(__xludf.DUMMYFUNCTION("""COMPUTED_VALUE"""),"La Union")</f>
        <v>La Union</v>
      </c>
      <c r="E425" s="142" t="str">
        <f>IFERROR(__xludf.DUMMYFUNCTION("""COMPUTED_VALUE"""),"Pangasinan")</f>
        <v>Pangasinan</v>
      </c>
      <c r="F425" s="8"/>
      <c r="G425" s="8"/>
      <c r="H425" s="8"/>
    </row>
    <row r="426">
      <c r="A426" s="142" t="s">
        <v>257</v>
      </c>
      <c r="B426" s="142" t="str">
        <f>IFERROR(__xludf.DUMMYFUNCTION("""COMPUTED_VALUE"""),"Batangas")</f>
        <v>Batangas</v>
      </c>
      <c r="C426" s="142" t="str">
        <f>IFERROR(__xludf.DUMMYFUNCTION("""COMPUTED_VALUE"""),"Cavite")</f>
        <v>Cavite</v>
      </c>
      <c r="D426" s="142" t="str">
        <f>IFERROR(__xludf.DUMMYFUNCTION("""COMPUTED_VALUE"""),"Laguna")</f>
        <v>Laguna</v>
      </c>
      <c r="E426" s="142" t="str">
        <f>IFERROR(__xludf.DUMMYFUNCTION("""COMPUTED_VALUE"""),"Quezon")</f>
        <v>Quezon</v>
      </c>
      <c r="F426" s="8"/>
      <c r="G426" s="8"/>
      <c r="H426" s="8"/>
    </row>
    <row r="427">
      <c r="A427" s="142" t="s">
        <v>535</v>
      </c>
      <c r="B427" s="142" t="str">
        <f>IFERROR(__xludf.DUMMYFUNCTION("""COMPUTED_VALUE"""),"Albay")</f>
        <v>Albay</v>
      </c>
      <c r="C427" s="142" t="str">
        <f>IFERROR(__xludf.DUMMYFUNCTION("""COMPUTED_VALUE"""),"Camarines Norte")</f>
        <v>Camarines Norte</v>
      </c>
      <c r="D427" s="142" t="str">
        <f>IFERROR(__xludf.DUMMYFUNCTION("""COMPUTED_VALUE"""),"Camarines Sur")</f>
        <v>Camarines Sur</v>
      </c>
      <c r="E427" s="142" t="str">
        <f>IFERROR(__xludf.DUMMYFUNCTION("""COMPUTED_VALUE"""),"Catanduanes")</f>
        <v>Catanduanes</v>
      </c>
      <c r="F427" s="142" t="str">
        <f>IFERROR(__xludf.DUMMYFUNCTION("""COMPUTED_VALUE"""),"Masbate")</f>
        <v>Masbate</v>
      </c>
      <c r="G427" s="142" t="str">
        <f>IFERROR(__xludf.DUMMYFUNCTION("""COMPUTED_VALUE"""),"Sorsogon")</f>
        <v>Sorsogon</v>
      </c>
      <c r="H427" s="8"/>
    </row>
    <row r="428">
      <c r="A428" s="142" t="s">
        <v>579</v>
      </c>
      <c r="B428" s="142" t="str">
        <f>IFERROR(__xludf.DUMMYFUNCTION("""COMPUTED_VALUE"""),"Eastern Samar")</f>
        <v>Eastern Samar</v>
      </c>
      <c r="C428" s="142" t="str">
        <f>IFERROR(__xludf.DUMMYFUNCTION("""COMPUTED_VALUE"""),"Leyte")</f>
        <v>Leyte</v>
      </c>
      <c r="D428" s="142" t="str">
        <f>IFERROR(__xludf.DUMMYFUNCTION("""COMPUTED_VALUE"""),"Northern Samar")</f>
        <v>Northern Samar</v>
      </c>
      <c r="E428" s="142" t="str">
        <f>IFERROR(__xludf.DUMMYFUNCTION("""COMPUTED_VALUE"""),"Samar")</f>
        <v>Samar</v>
      </c>
      <c r="F428" s="142" t="str">
        <f>IFERROR(__xludf.DUMMYFUNCTION("""COMPUTED_VALUE"""),"Southern Leyte")</f>
        <v>Southern Leyte</v>
      </c>
      <c r="G428" s="142" t="str">
        <f>IFERROR(__xludf.DUMMYFUNCTION("""COMPUTED_VALUE"""),"Biliran")</f>
        <v>Biliran</v>
      </c>
      <c r="H428" s="8"/>
    </row>
    <row r="429">
      <c r="A429" s="142" t="s">
        <v>579</v>
      </c>
      <c r="B429" s="142" t="str">
        <f>IFERROR(__xludf.DUMMYFUNCTION("""COMPUTED_VALUE"""),"Eastern Samar")</f>
        <v>Eastern Samar</v>
      </c>
      <c r="C429" s="142" t="str">
        <f>IFERROR(__xludf.DUMMYFUNCTION("""COMPUTED_VALUE"""),"Leyte")</f>
        <v>Leyte</v>
      </c>
      <c r="D429" s="142" t="str">
        <f>IFERROR(__xludf.DUMMYFUNCTION("""COMPUTED_VALUE"""),"Northern Samar")</f>
        <v>Northern Samar</v>
      </c>
      <c r="E429" s="142" t="str">
        <f>IFERROR(__xludf.DUMMYFUNCTION("""COMPUTED_VALUE"""),"Samar")</f>
        <v>Samar</v>
      </c>
      <c r="F429" s="142" t="str">
        <f>IFERROR(__xludf.DUMMYFUNCTION("""COMPUTED_VALUE"""),"Southern Leyte")</f>
        <v>Southern Leyte</v>
      </c>
      <c r="G429" s="142" t="str">
        <f>IFERROR(__xludf.DUMMYFUNCTION("""COMPUTED_VALUE"""),"Biliran")</f>
        <v>Biliran</v>
      </c>
      <c r="H429" s="8"/>
    </row>
    <row r="430">
      <c r="A430" s="142" t="s">
        <v>579</v>
      </c>
      <c r="B430" s="142" t="str">
        <f>IFERROR(__xludf.DUMMYFUNCTION("""COMPUTED_VALUE"""),"Eastern Samar")</f>
        <v>Eastern Samar</v>
      </c>
      <c r="C430" s="142" t="str">
        <f>IFERROR(__xludf.DUMMYFUNCTION("""COMPUTED_VALUE"""),"Leyte")</f>
        <v>Leyte</v>
      </c>
      <c r="D430" s="142" t="str">
        <f>IFERROR(__xludf.DUMMYFUNCTION("""COMPUTED_VALUE"""),"Northern Samar")</f>
        <v>Northern Samar</v>
      </c>
      <c r="E430" s="142" t="str">
        <f>IFERROR(__xludf.DUMMYFUNCTION("""COMPUTED_VALUE"""),"Samar")</f>
        <v>Samar</v>
      </c>
      <c r="F430" s="142" t="str">
        <f>IFERROR(__xludf.DUMMYFUNCTION("""COMPUTED_VALUE"""),"Southern Leyte")</f>
        <v>Southern Leyte</v>
      </c>
      <c r="G430" s="142" t="str">
        <f>IFERROR(__xludf.DUMMYFUNCTION("""COMPUTED_VALUE"""),"Biliran")</f>
        <v>Biliran</v>
      </c>
      <c r="H430" s="8"/>
    </row>
    <row r="431">
      <c r="A431" s="142" t="s">
        <v>356</v>
      </c>
      <c r="B431" s="142" t="str">
        <f>IFERROR(__xludf.DUMMYFUNCTION("""COMPUTED_VALUE"""),"Cotabato")</f>
        <v>Cotabato</v>
      </c>
      <c r="C431" s="142" t="str">
        <f>IFERROR(__xludf.DUMMYFUNCTION("""COMPUTED_VALUE"""),"South Cotabato")</f>
        <v>South Cotabato</v>
      </c>
      <c r="D431" s="142" t="str">
        <f>IFERROR(__xludf.DUMMYFUNCTION("""COMPUTED_VALUE"""),"Sultan Kudarat")</f>
        <v>Sultan Kudarat</v>
      </c>
      <c r="E431" s="142" t="str">
        <f>IFERROR(__xludf.DUMMYFUNCTION("""COMPUTED_VALUE"""),"Sarangani")</f>
        <v>Sarangani</v>
      </c>
      <c r="F431" s="8"/>
      <c r="G431" s="8"/>
      <c r="H431" s="8"/>
    </row>
    <row r="432">
      <c r="A432" s="142" t="s">
        <v>625</v>
      </c>
      <c r="B432" s="142" t="str">
        <f>IFERROR(__xludf.DUMMYFUNCTION("""COMPUTED_VALUE"""),"Negros Occidental")</f>
        <v>Negros Occidental</v>
      </c>
      <c r="C432" s="142" t="str">
        <f>IFERROR(__xludf.DUMMYFUNCTION("""COMPUTED_VALUE"""),"Negros Oriental")</f>
        <v>Negros Oriental</v>
      </c>
      <c r="D432" s="142" t="str">
        <f>IFERROR(__xludf.DUMMYFUNCTION("""COMPUTED_VALUE"""),"Siquijor")</f>
        <v>Siquijor</v>
      </c>
      <c r="E432" s="8"/>
      <c r="F432" s="8"/>
      <c r="G432" s="8"/>
      <c r="H432" s="8"/>
    </row>
    <row r="433">
      <c r="A433" s="142" t="s">
        <v>257</v>
      </c>
      <c r="B433" s="142" t="str">
        <f>IFERROR(__xludf.DUMMYFUNCTION("""COMPUTED_VALUE"""),"Batangas")</f>
        <v>Batangas</v>
      </c>
      <c r="C433" s="142" t="str">
        <f>IFERROR(__xludf.DUMMYFUNCTION("""COMPUTED_VALUE"""),"Cavite")</f>
        <v>Cavite</v>
      </c>
      <c r="D433" s="142" t="str">
        <f>IFERROR(__xludf.DUMMYFUNCTION("""COMPUTED_VALUE"""),"Laguna")</f>
        <v>Laguna</v>
      </c>
      <c r="E433" s="142" t="str">
        <f>IFERROR(__xludf.DUMMYFUNCTION("""COMPUTED_VALUE"""),"Quezon")</f>
        <v>Quezon</v>
      </c>
      <c r="F433" s="8"/>
      <c r="G433" s="8"/>
      <c r="H433" s="8"/>
    </row>
    <row r="434">
      <c r="A434" s="142" t="s">
        <v>143</v>
      </c>
      <c r="B434" s="142" t="str">
        <f>IFERROR(__xludf.DUMMYFUNCTION("""COMPUTED_VALUE"""),"Ilocos Norte")</f>
        <v>Ilocos Norte</v>
      </c>
      <c r="C434" s="142" t="str">
        <f>IFERROR(__xludf.DUMMYFUNCTION("""COMPUTED_VALUE"""),"Ilocos Sur")</f>
        <v>Ilocos Sur</v>
      </c>
      <c r="D434" s="142" t="str">
        <f>IFERROR(__xludf.DUMMYFUNCTION("""COMPUTED_VALUE"""),"La Union")</f>
        <v>La Union</v>
      </c>
      <c r="E434" s="142" t="str">
        <f>IFERROR(__xludf.DUMMYFUNCTION("""COMPUTED_VALUE"""),"Pangasinan")</f>
        <v>Pangasinan</v>
      </c>
      <c r="F434" s="8"/>
      <c r="G434" s="8"/>
      <c r="H434" s="8"/>
    </row>
    <row r="435">
      <c r="A435" s="142" t="s">
        <v>143</v>
      </c>
      <c r="B435" s="142" t="str">
        <f>IFERROR(__xludf.DUMMYFUNCTION("""COMPUTED_VALUE"""),"Ilocos Norte")</f>
        <v>Ilocos Norte</v>
      </c>
      <c r="C435" s="142" t="str">
        <f>IFERROR(__xludf.DUMMYFUNCTION("""COMPUTED_VALUE"""),"Ilocos Sur")</f>
        <v>Ilocos Sur</v>
      </c>
      <c r="D435" s="142" t="str">
        <f>IFERROR(__xludf.DUMMYFUNCTION("""COMPUTED_VALUE"""),"La Union")</f>
        <v>La Union</v>
      </c>
      <c r="E435" s="142" t="str">
        <f>IFERROR(__xludf.DUMMYFUNCTION("""COMPUTED_VALUE"""),"Pangasinan")</f>
        <v>Pangasinan</v>
      </c>
      <c r="F435" s="8"/>
      <c r="G435" s="8"/>
      <c r="H435" s="8"/>
    </row>
    <row r="436">
      <c r="A436" s="142" t="s">
        <v>293</v>
      </c>
      <c r="B436" s="142" t="str">
        <f>IFERROR(__xludf.DUMMYFUNCTION("""COMPUTED_VALUE"""),"Bataan")</f>
        <v>Bataan</v>
      </c>
      <c r="C436" s="142" t="str">
        <f>IFERROR(__xludf.DUMMYFUNCTION("""COMPUTED_VALUE"""),"Bulacan")</f>
        <v>Bulacan</v>
      </c>
      <c r="D436" s="142" t="str">
        <f>IFERROR(__xludf.DUMMYFUNCTION("""COMPUTED_VALUE"""),"Nueva Ecija")</f>
        <v>Nueva Ecija</v>
      </c>
      <c r="E436" s="142" t="str">
        <f>IFERROR(__xludf.DUMMYFUNCTION("""COMPUTED_VALUE"""),"Pampanga")</f>
        <v>Pampanga</v>
      </c>
      <c r="F436" s="142" t="str">
        <f>IFERROR(__xludf.DUMMYFUNCTION("""COMPUTED_VALUE"""),"Tarlac")</f>
        <v>Tarlac</v>
      </c>
      <c r="G436" s="142" t="str">
        <f>IFERROR(__xludf.DUMMYFUNCTION("""COMPUTED_VALUE"""),"Zambales")</f>
        <v>Zambales</v>
      </c>
      <c r="H436" s="142" t="str">
        <f>IFERROR(__xludf.DUMMYFUNCTION("""COMPUTED_VALUE"""),"Aurora")</f>
        <v>Aurora</v>
      </c>
    </row>
    <row r="437">
      <c r="A437" s="142" t="s">
        <v>293</v>
      </c>
      <c r="B437" s="142" t="str">
        <f>IFERROR(__xludf.DUMMYFUNCTION("""COMPUTED_VALUE"""),"Bataan")</f>
        <v>Bataan</v>
      </c>
      <c r="C437" s="142" t="str">
        <f>IFERROR(__xludf.DUMMYFUNCTION("""COMPUTED_VALUE"""),"Bulacan")</f>
        <v>Bulacan</v>
      </c>
      <c r="D437" s="142" t="str">
        <f>IFERROR(__xludf.DUMMYFUNCTION("""COMPUTED_VALUE"""),"Nueva Ecija")</f>
        <v>Nueva Ecija</v>
      </c>
      <c r="E437" s="142" t="str">
        <f>IFERROR(__xludf.DUMMYFUNCTION("""COMPUTED_VALUE"""),"Pampanga")</f>
        <v>Pampanga</v>
      </c>
      <c r="F437" s="142" t="str">
        <f>IFERROR(__xludf.DUMMYFUNCTION("""COMPUTED_VALUE"""),"Tarlac")</f>
        <v>Tarlac</v>
      </c>
      <c r="G437" s="142" t="str">
        <f>IFERROR(__xludf.DUMMYFUNCTION("""COMPUTED_VALUE"""),"Zambales")</f>
        <v>Zambales</v>
      </c>
      <c r="H437" s="142" t="str">
        <f>IFERROR(__xludf.DUMMYFUNCTION("""COMPUTED_VALUE"""),"Aurora")</f>
        <v>Aurora</v>
      </c>
    </row>
    <row r="438">
      <c r="A438" s="142" t="s">
        <v>293</v>
      </c>
      <c r="B438" s="142" t="str">
        <f>IFERROR(__xludf.DUMMYFUNCTION("""COMPUTED_VALUE"""),"Bataan")</f>
        <v>Bataan</v>
      </c>
      <c r="C438" s="142" t="str">
        <f>IFERROR(__xludf.DUMMYFUNCTION("""COMPUTED_VALUE"""),"Bulacan")</f>
        <v>Bulacan</v>
      </c>
      <c r="D438" s="142" t="str">
        <f>IFERROR(__xludf.DUMMYFUNCTION("""COMPUTED_VALUE"""),"Nueva Ecija")</f>
        <v>Nueva Ecija</v>
      </c>
      <c r="E438" s="142" t="str">
        <f>IFERROR(__xludf.DUMMYFUNCTION("""COMPUTED_VALUE"""),"Pampanga")</f>
        <v>Pampanga</v>
      </c>
      <c r="F438" s="142" t="str">
        <f>IFERROR(__xludf.DUMMYFUNCTION("""COMPUTED_VALUE"""),"Tarlac")</f>
        <v>Tarlac</v>
      </c>
      <c r="G438" s="142" t="str">
        <f>IFERROR(__xludf.DUMMYFUNCTION("""COMPUTED_VALUE"""),"Zambales")</f>
        <v>Zambales</v>
      </c>
      <c r="H438" s="142" t="str">
        <f>IFERROR(__xludf.DUMMYFUNCTION("""COMPUTED_VALUE"""),"Aurora")</f>
        <v>Aurora</v>
      </c>
    </row>
    <row r="439">
      <c r="A439" s="142" t="s">
        <v>293</v>
      </c>
      <c r="B439" s="142" t="str">
        <f>IFERROR(__xludf.DUMMYFUNCTION("""COMPUTED_VALUE"""),"Bataan")</f>
        <v>Bataan</v>
      </c>
      <c r="C439" s="142" t="str">
        <f>IFERROR(__xludf.DUMMYFUNCTION("""COMPUTED_VALUE"""),"Bulacan")</f>
        <v>Bulacan</v>
      </c>
      <c r="D439" s="142" t="str">
        <f>IFERROR(__xludf.DUMMYFUNCTION("""COMPUTED_VALUE"""),"Nueva Ecija")</f>
        <v>Nueva Ecija</v>
      </c>
      <c r="E439" s="142" t="str">
        <f>IFERROR(__xludf.DUMMYFUNCTION("""COMPUTED_VALUE"""),"Pampanga")</f>
        <v>Pampanga</v>
      </c>
      <c r="F439" s="142" t="str">
        <f>IFERROR(__xludf.DUMMYFUNCTION("""COMPUTED_VALUE"""),"Tarlac")</f>
        <v>Tarlac</v>
      </c>
      <c r="G439" s="142" t="str">
        <f>IFERROR(__xludf.DUMMYFUNCTION("""COMPUTED_VALUE"""),"Zambales")</f>
        <v>Zambales</v>
      </c>
      <c r="H439" s="142" t="str">
        <f>IFERROR(__xludf.DUMMYFUNCTION("""COMPUTED_VALUE"""),"Aurora")</f>
        <v>Aurora</v>
      </c>
    </row>
    <row r="440">
      <c r="A440" s="142" t="s">
        <v>257</v>
      </c>
      <c r="B440" s="142" t="str">
        <f>IFERROR(__xludf.DUMMYFUNCTION("""COMPUTED_VALUE"""),"Batangas")</f>
        <v>Batangas</v>
      </c>
      <c r="C440" s="142" t="str">
        <f>IFERROR(__xludf.DUMMYFUNCTION("""COMPUTED_VALUE"""),"Cavite")</f>
        <v>Cavite</v>
      </c>
      <c r="D440" s="142" t="str">
        <f>IFERROR(__xludf.DUMMYFUNCTION("""COMPUTED_VALUE"""),"Laguna")</f>
        <v>Laguna</v>
      </c>
      <c r="E440" s="142" t="str">
        <f>IFERROR(__xludf.DUMMYFUNCTION("""COMPUTED_VALUE"""),"Quezon")</f>
        <v>Quezon</v>
      </c>
      <c r="F440" s="8"/>
      <c r="G440" s="8"/>
      <c r="H440" s="8"/>
    </row>
    <row r="441">
      <c r="A441" s="142" t="s">
        <v>535</v>
      </c>
      <c r="B441" s="142" t="str">
        <f>IFERROR(__xludf.DUMMYFUNCTION("""COMPUTED_VALUE"""),"Albay")</f>
        <v>Albay</v>
      </c>
      <c r="C441" s="142" t="str">
        <f>IFERROR(__xludf.DUMMYFUNCTION("""COMPUTED_VALUE"""),"Camarines Norte")</f>
        <v>Camarines Norte</v>
      </c>
      <c r="D441" s="142" t="str">
        <f>IFERROR(__xludf.DUMMYFUNCTION("""COMPUTED_VALUE"""),"Camarines Sur")</f>
        <v>Camarines Sur</v>
      </c>
      <c r="E441" s="142" t="str">
        <f>IFERROR(__xludf.DUMMYFUNCTION("""COMPUTED_VALUE"""),"Catanduanes")</f>
        <v>Catanduanes</v>
      </c>
      <c r="F441" s="142" t="str">
        <f>IFERROR(__xludf.DUMMYFUNCTION("""COMPUTED_VALUE"""),"Masbate")</f>
        <v>Masbate</v>
      </c>
      <c r="G441" s="142" t="str">
        <f>IFERROR(__xludf.DUMMYFUNCTION("""COMPUTED_VALUE"""),"Sorsogon")</f>
        <v>Sorsogon</v>
      </c>
      <c r="H441" s="8"/>
    </row>
    <row r="442">
      <c r="A442" s="142" t="s">
        <v>314</v>
      </c>
      <c r="B442" s="142" t="str">
        <f>IFERROR(__xludf.DUMMYFUNCTION("""COMPUTED_VALUE"""),"Aklan")</f>
        <v>Aklan</v>
      </c>
      <c r="C442" s="142" t="str">
        <f>IFERROR(__xludf.DUMMYFUNCTION("""COMPUTED_VALUE"""),"Antique")</f>
        <v>Antique</v>
      </c>
      <c r="D442" s="142" t="str">
        <f>IFERROR(__xludf.DUMMYFUNCTION("""COMPUTED_VALUE"""),"Capiz")</f>
        <v>Capiz</v>
      </c>
      <c r="E442" s="142" t="str">
        <f>IFERROR(__xludf.DUMMYFUNCTION("""COMPUTED_VALUE"""),"Iloilo")</f>
        <v>Iloilo</v>
      </c>
      <c r="F442" s="142" t="str">
        <f>IFERROR(__xludf.DUMMYFUNCTION("""COMPUTED_VALUE"""),"Guimaras")</f>
        <v>Guimaras</v>
      </c>
      <c r="G442" s="8"/>
      <c r="H442" s="8"/>
    </row>
    <row r="443">
      <c r="A443" s="142" t="s">
        <v>314</v>
      </c>
      <c r="B443" s="142" t="str">
        <f>IFERROR(__xludf.DUMMYFUNCTION("""COMPUTED_VALUE"""),"Aklan")</f>
        <v>Aklan</v>
      </c>
      <c r="C443" s="142" t="str">
        <f>IFERROR(__xludf.DUMMYFUNCTION("""COMPUTED_VALUE"""),"Antique")</f>
        <v>Antique</v>
      </c>
      <c r="D443" s="142" t="str">
        <f>IFERROR(__xludf.DUMMYFUNCTION("""COMPUTED_VALUE"""),"Capiz")</f>
        <v>Capiz</v>
      </c>
      <c r="E443" s="142" t="str">
        <f>IFERROR(__xludf.DUMMYFUNCTION("""COMPUTED_VALUE"""),"Iloilo")</f>
        <v>Iloilo</v>
      </c>
      <c r="F443" s="142" t="str">
        <f>IFERROR(__xludf.DUMMYFUNCTION("""COMPUTED_VALUE"""),"Guimaras")</f>
        <v>Guimaras</v>
      </c>
      <c r="G443" s="8"/>
      <c r="H443" s="8"/>
    </row>
    <row r="444">
      <c r="A444" s="142" t="s">
        <v>314</v>
      </c>
      <c r="B444" s="142" t="str">
        <f>IFERROR(__xludf.DUMMYFUNCTION("""COMPUTED_VALUE"""),"Aklan")</f>
        <v>Aklan</v>
      </c>
      <c r="C444" s="142" t="str">
        <f>IFERROR(__xludf.DUMMYFUNCTION("""COMPUTED_VALUE"""),"Antique")</f>
        <v>Antique</v>
      </c>
      <c r="D444" s="142" t="str">
        <f>IFERROR(__xludf.DUMMYFUNCTION("""COMPUTED_VALUE"""),"Capiz")</f>
        <v>Capiz</v>
      </c>
      <c r="E444" s="142" t="str">
        <f>IFERROR(__xludf.DUMMYFUNCTION("""COMPUTED_VALUE"""),"Iloilo")</f>
        <v>Iloilo</v>
      </c>
      <c r="F444" s="142" t="str">
        <f>IFERROR(__xludf.DUMMYFUNCTION("""COMPUTED_VALUE"""),"Guimaras")</f>
        <v>Guimaras</v>
      </c>
      <c r="G444" s="8"/>
      <c r="H444" s="8"/>
    </row>
    <row r="445">
      <c r="A445" s="142" t="s">
        <v>314</v>
      </c>
      <c r="B445" s="142" t="str">
        <f>IFERROR(__xludf.DUMMYFUNCTION("""COMPUTED_VALUE"""),"Aklan")</f>
        <v>Aklan</v>
      </c>
      <c r="C445" s="142" t="str">
        <f>IFERROR(__xludf.DUMMYFUNCTION("""COMPUTED_VALUE"""),"Antique")</f>
        <v>Antique</v>
      </c>
      <c r="D445" s="142" t="str">
        <f>IFERROR(__xludf.DUMMYFUNCTION("""COMPUTED_VALUE"""),"Capiz")</f>
        <v>Capiz</v>
      </c>
      <c r="E445" s="142" t="str">
        <f>IFERROR(__xludf.DUMMYFUNCTION("""COMPUTED_VALUE"""),"Iloilo")</f>
        <v>Iloilo</v>
      </c>
      <c r="F445" s="142" t="str">
        <f>IFERROR(__xludf.DUMMYFUNCTION("""COMPUTED_VALUE"""),"Guimaras")</f>
        <v>Guimaras</v>
      </c>
      <c r="G445" s="8"/>
      <c r="H445" s="8"/>
    </row>
    <row r="446">
      <c r="A446" s="142" t="s">
        <v>314</v>
      </c>
      <c r="B446" s="142" t="str">
        <f>IFERROR(__xludf.DUMMYFUNCTION("""COMPUTED_VALUE"""),"Aklan")</f>
        <v>Aklan</v>
      </c>
      <c r="C446" s="142" t="str">
        <f>IFERROR(__xludf.DUMMYFUNCTION("""COMPUTED_VALUE"""),"Antique")</f>
        <v>Antique</v>
      </c>
      <c r="D446" s="142" t="str">
        <f>IFERROR(__xludf.DUMMYFUNCTION("""COMPUTED_VALUE"""),"Capiz")</f>
        <v>Capiz</v>
      </c>
      <c r="E446" s="142" t="str">
        <f>IFERROR(__xludf.DUMMYFUNCTION("""COMPUTED_VALUE"""),"Iloilo")</f>
        <v>Iloilo</v>
      </c>
      <c r="F446" s="142" t="str">
        <f>IFERROR(__xludf.DUMMYFUNCTION("""COMPUTED_VALUE"""),"Guimaras")</f>
        <v>Guimaras</v>
      </c>
      <c r="G446" s="8"/>
      <c r="H446" s="8"/>
    </row>
    <row r="447">
      <c r="A447" s="142" t="s">
        <v>314</v>
      </c>
      <c r="B447" s="142" t="str">
        <f>IFERROR(__xludf.DUMMYFUNCTION("""COMPUTED_VALUE"""),"Aklan")</f>
        <v>Aklan</v>
      </c>
      <c r="C447" s="142" t="str">
        <f>IFERROR(__xludf.DUMMYFUNCTION("""COMPUTED_VALUE"""),"Antique")</f>
        <v>Antique</v>
      </c>
      <c r="D447" s="142" t="str">
        <f>IFERROR(__xludf.DUMMYFUNCTION("""COMPUTED_VALUE"""),"Capiz")</f>
        <v>Capiz</v>
      </c>
      <c r="E447" s="142" t="str">
        <f>IFERROR(__xludf.DUMMYFUNCTION("""COMPUTED_VALUE"""),"Iloilo")</f>
        <v>Iloilo</v>
      </c>
      <c r="F447" s="142" t="str">
        <f>IFERROR(__xludf.DUMMYFUNCTION("""COMPUTED_VALUE"""),"Guimaras")</f>
        <v>Guimaras</v>
      </c>
      <c r="G447" s="8"/>
      <c r="H447" s="8"/>
    </row>
    <row r="448">
      <c r="A448" s="142" t="s">
        <v>314</v>
      </c>
      <c r="B448" s="142" t="str">
        <f>IFERROR(__xludf.DUMMYFUNCTION("""COMPUTED_VALUE"""),"Aklan")</f>
        <v>Aklan</v>
      </c>
      <c r="C448" s="142" t="str">
        <f>IFERROR(__xludf.DUMMYFUNCTION("""COMPUTED_VALUE"""),"Antique")</f>
        <v>Antique</v>
      </c>
      <c r="D448" s="142" t="str">
        <f>IFERROR(__xludf.DUMMYFUNCTION("""COMPUTED_VALUE"""),"Capiz")</f>
        <v>Capiz</v>
      </c>
      <c r="E448" s="142" t="str">
        <f>IFERROR(__xludf.DUMMYFUNCTION("""COMPUTED_VALUE"""),"Iloilo")</f>
        <v>Iloilo</v>
      </c>
      <c r="F448" s="142" t="str">
        <f>IFERROR(__xludf.DUMMYFUNCTION("""COMPUTED_VALUE"""),"Guimaras")</f>
        <v>Guimaras</v>
      </c>
      <c r="G448" s="8"/>
      <c r="H448" s="8"/>
    </row>
    <row r="449">
      <c r="A449" s="142" t="s">
        <v>314</v>
      </c>
      <c r="B449" s="142" t="str">
        <f>IFERROR(__xludf.DUMMYFUNCTION("""COMPUTED_VALUE"""),"Aklan")</f>
        <v>Aklan</v>
      </c>
      <c r="C449" s="142" t="str">
        <f>IFERROR(__xludf.DUMMYFUNCTION("""COMPUTED_VALUE"""),"Antique")</f>
        <v>Antique</v>
      </c>
      <c r="D449" s="142" t="str">
        <f>IFERROR(__xludf.DUMMYFUNCTION("""COMPUTED_VALUE"""),"Capiz")</f>
        <v>Capiz</v>
      </c>
      <c r="E449" s="142" t="str">
        <f>IFERROR(__xludf.DUMMYFUNCTION("""COMPUTED_VALUE"""),"Iloilo")</f>
        <v>Iloilo</v>
      </c>
      <c r="F449" s="142" t="str">
        <f>IFERROR(__xludf.DUMMYFUNCTION("""COMPUTED_VALUE"""),"Guimaras")</f>
        <v>Guimaras</v>
      </c>
      <c r="G449" s="8"/>
      <c r="H449" s="8"/>
    </row>
    <row r="450">
      <c r="A450" s="142" t="s">
        <v>314</v>
      </c>
      <c r="B450" s="142" t="str">
        <f>IFERROR(__xludf.DUMMYFUNCTION("""COMPUTED_VALUE"""),"Aklan")</f>
        <v>Aklan</v>
      </c>
      <c r="C450" s="142" t="str">
        <f>IFERROR(__xludf.DUMMYFUNCTION("""COMPUTED_VALUE"""),"Antique")</f>
        <v>Antique</v>
      </c>
      <c r="D450" s="142" t="str">
        <f>IFERROR(__xludf.DUMMYFUNCTION("""COMPUTED_VALUE"""),"Capiz")</f>
        <v>Capiz</v>
      </c>
      <c r="E450" s="142" t="str">
        <f>IFERROR(__xludf.DUMMYFUNCTION("""COMPUTED_VALUE"""),"Iloilo")</f>
        <v>Iloilo</v>
      </c>
      <c r="F450" s="142" t="str">
        <f>IFERROR(__xludf.DUMMYFUNCTION("""COMPUTED_VALUE"""),"Guimaras")</f>
        <v>Guimaras</v>
      </c>
      <c r="G450" s="8"/>
      <c r="H450" s="8"/>
    </row>
    <row r="451">
      <c r="A451" s="142" t="s">
        <v>314</v>
      </c>
      <c r="B451" s="142" t="str">
        <f>IFERROR(__xludf.DUMMYFUNCTION("""COMPUTED_VALUE"""),"Aklan")</f>
        <v>Aklan</v>
      </c>
      <c r="C451" s="142" t="str">
        <f>IFERROR(__xludf.DUMMYFUNCTION("""COMPUTED_VALUE"""),"Antique")</f>
        <v>Antique</v>
      </c>
      <c r="D451" s="142" t="str">
        <f>IFERROR(__xludf.DUMMYFUNCTION("""COMPUTED_VALUE"""),"Capiz")</f>
        <v>Capiz</v>
      </c>
      <c r="E451" s="142" t="str">
        <f>IFERROR(__xludf.DUMMYFUNCTION("""COMPUTED_VALUE"""),"Iloilo")</f>
        <v>Iloilo</v>
      </c>
      <c r="F451" s="142" t="str">
        <f>IFERROR(__xludf.DUMMYFUNCTION("""COMPUTED_VALUE"""),"Guimaras")</f>
        <v>Guimaras</v>
      </c>
      <c r="G451" s="8"/>
      <c r="H451" s="8"/>
    </row>
    <row r="452">
      <c r="A452" s="142" t="s">
        <v>314</v>
      </c>
      <c r="B452" s="142" t="str">
        <f>IFERROR(__xludf.DUMMYFUNCTION("""COMPUTED_VALUE"""),"Aklan")</f>
        <v>Aklan</v>
      </c>
      <c r="C452" s="142" t="str">
        <f>IFERROR(__xludf.DUMMYFUNCTION("""COMPUTED_VALUE"""),"Antique")</f>
        <v>Antique</v>
      </c>
      <c r="D452" s="142" t="str">
        <f>IFERROR(__xludf.DUMMYFUNCTION("""COMPUTED_VALUE"""),"Capiz")</f>
        <v>Capiz</v>
      </c>
      <c r="E452" s="142" t="str">
        <f>IFERROR(__xludf.DUMMYFUNCTION("""COMPUTED_VALUE"""),"Iloilo")</f>
        <v>Iloilo</v>
      </c>
      <c r="F452" s="142" t="str">
        <f>IFERROR(__xludf.DUMMYFUNCTION("""COMPUTED_VALUE"""),"Guimaras")</f>
        <v>Guimaras</v>
      </c>
      <c r="G452" s="8"/>
      <c r="H452" s="8"/>
    </row>
    <row r="453">
      <c r="A453" s="142" t="s">
        <v>314</v>
      </c>
      <c r="B453" s="142" t="str">
        <f>IFERROR(__xludf.DUMMYFUNCTION("""COMPUTED_VALUE"""),"Aklan")</f>
        <v>Aklan</v>
      </c>
      <c r="C453" s="142" t="str">
        <f>IFERROR(__xludf.DUMMYFUNCTION("""COMPUTED_VALUE"""),"Antique")</f>
        <v>Antique</v>
      </c>
      <c r="D453" s="142" t="str">
        <f>IFERROR(__xludf.DUMMYFUNCTION("""COMPUTED_VALUE"""),"Capiz")</f>
        <v>Capiz</v>
      </c>
      <c r="E453" s="142" t="str">
        <f>IFERROR(__xludf.DUMMYFUNCTION("""COMPUTED_VALUE"""),"Iloilo")</f>
        <v>Iloilo</v>
      </c>
      <c r="F453" s="142" t="str">
        <f>IFERROR(__xludf.DUMMYFUNCTION("""COMPUTED_VALUE"""),"Guimaras")</f>
        <v>Guimaras</v>
      </c>
      <c r="G453" s="8"/>
      <c r="H453" s="8"/>
    </row>
    <row r="454">
      <c r="A454" s="142" t="s">
        <v>314</v>
      </c>
      <c r="B454" s="142" t="str">
        <f>IFERROR(__xludf.DUMMYFUNCTION("""COMPUTED_VALUE"""),"Aklan")</f>
        <v>Aklan</v>
      </c>
      <c r="C454" s="142" t="str">
        <f>IFERROR(__xludf.DUMMYFUNCTION("""COMPUTED_VALUE"""),"Antique")</f>
        <v>Antique</v>
      </c>
      <c r="D454" s="142" t="str">
        <f>IFERROR(__xludf.DUMMYFUNCTION("""COMPUTED_VALUE"""),"Capiz")</f>
        <v>Capiz</v>
      </c>
      <c r="E454" s="142" t="str">
        <f>IFERROR(__xludf.DUMMYFUNCTION("""COMPUTED_VALUE"""),"Iloilo")</f>
        <v>Iloilo</v>
      </c>
      <c r="F454" s="142" t="str">
        <f>IFERROR(__xludf.DUMMYFUNCTION("""COMPUTED_VALUE"""),"Guimaras")</f>
        <v>Guimaras</v>
      </c>
      <c r="G454" s="8"/>
      <c r="H454" s="8"/>
    </row>
    <row r="455">
      <c r="A455" s="142" t="s">
        <v>193</v>
      </c>
      <c r="B455" s="142" t="str">
        <f>IFERROR(__xludf.DUMMYFUNCTION("""COMPUTED_VALUE"""),"Bohol")</f>
        <v>Bohol</v>
      </c>
      <c r="C455" s="142" t="str">
        <f>IFERROR(__xludf.DUMMYFUNCTION("""COMPUTED_VALUE"""),"Cebu")</f>
        <v>Cebu</v>
      </c>
      <c r="D455" s="8"/>
      <c r="E455" s="8"/>
      <c r="F455" s="8"/>
      <c r="G455" s="8"/>
      <c r="H455" s="8"/>
    </row>
    <row r="456">
      <c r="A456" s="142" t="s">
        <v>193</v>
      </c>
      <c r="B456" s="142" t="str">
        <f>IFERROR(__xludf.DUMMYFUNCTION("""COMPUTED_VALUE"""),"Bohol")</f>
        <v>Bohol</v>
      </c>
      <c r="C456" s="142" t="str">
        <f>IFERROR(__xludf.DUMMYFUNCTION("""COMPUTED_VALUE"""),"Cebu")</f>
        <v>Cebu</v>
      </c>
      <c r="D456" s="8"/>
      <c r="E456" s="8"/>
      <c r="F456" s="8"/>
      <c r="G456" s="8"/>
      <c r="H456" s="8"/>
    </row>
    <row r="457">
      <c r="A457" s="142" t="s">
        <v>193</v>
      </c>
      <c r="B457" s="142" t="str">
        <f>IFERROR(__xludf.DUMMYFUNCTION("""COMPUTED_VALUE"""),"Bohol")</f>
        <v>Bohol</v>
      </c>
      <c r="C457" s="142" t="str">
        <f>IFERROR(__xludf.DUMMYFUNCTION("""COMPUTED_VALUE"""),"Cebu")</f>
        <v>Cebu</v>
      </c>
      <c r="D457" s="8"/>
      <c r="E457" s="8"/>
      <c r="F457" s="8"/>
      <c r="G457" s="8"/>
      <c r="H457" s="8"/>
    </row>
    <row r="458">
      <c r="A458" s="142" t="s">
        <v>579</v>
      </c>
      <c r="B458" s="142" t="str">
        <f>IFERROR(__xludf.DUMMYFUNCTION("""COMPUTED_VALUE"""),"Eastern Samar")</f>
        <v>Eastern Samar</v>
      </c>
      <c r="C458" s="142" t="str">
        <f>IFERROR(__xludf.DUMMYFUNCTION("""COMPUTED_VALUE"""),"Leyte")</f>
        <v>Leyte</v>
      </c>
      <c r="D458" s="142" t="str">
        <f>IFERROR(__xludf.DUMMYFUNCTION("""COMPUTED_VALUE"""),"Northern Samar")</f>
        <v>Northern Samar</v>
      </c>
      <c r="E458" s="142" t="str">
        <f>IFERROR(__xludf.DUMMYFUNCTION("""COMPUTED_VALUE"""),"Samar")</f>
        <v>Samar</v>
      </c>
      <c r="F458" s="142" t="str">
        <f>IFERROR(__xludf.DUMMYFUNCTION("""COMPUTED_VALUE"""),"Southern Leyte")</f>
        <v>Southern Leyte</v>
      </c>
      <c r="G458" s="142" t="str">
        <f>IFERROR(__xludf.DUMMYFUNCTION("""COMPUTED_VALUE"""),"Biliran")</f>
        <v>Biliran</v>
      </c>
      <c r="H458" s="8"/>
    </row>
    <row r="459">
      <c r="A459" s="142" t="s">
        <v>579</v>
      </c>
      <c r="B459" s="142" t="str">
        <f>IFERROR(__xludf.DUMMYFUNCTION("""COMPUTED_VALUE"""),"Eastern Samar")</f>
        <v>Eastern Samar</v>
      </c>
      <c r="C459" s="142" t="str">
        <f>IFERROR(__xludf.DUMMYFUNCTION("""COMPUTED_VALUE"""),"Leyte")</f>
        <v>Leyte</v>
      </c>
      <c r="D459" s="142" t="str">
        <f>IFERROR(__xludf.DUMMYFUNCTION("""COMPUTED_VALUE"""),"Northern Samar")</f>
        <v>Northern Samar</v>
      </c>
      <c r="E459" s="142" t="str">
        <f>IFERROR(__xludf.DUMMYFUNCTION("""COMPUTED_VALUE"""),"Samar")</f>
        <v>Samar</v>
      </c>
      <c r="F459" s="142" t="str">
        <f>IFERROR(__xludf.DUMMYFUNCTION("""COMPUTED_VALUE"""),"Southern Leyte")</f>
        <v>Southern Leyte</v>
      </c>
      <c r="G459" s="142" t="str">
        <f>IFERROR(__xludf.DUMMYFUNCTION("""COMPUTED_VALUE"""),"Biliran")</f>
        <v>Biliran</v>
      </c>
      <c r="H459" s="8"/>
    </row>
    <row r="460">
      <c r="A460" s="142" t="s">
        <v>590</v>
      </c>
      <c r="B460" s="142" t="str">
        <f>IFERROR(__xludf.DUMMYFUNCTION("""COMPUTED_VALUE"""),"Zamboanga del Norte")</f>
        <v>Zamboanga del Norte</v>
      </c>
      <c r="C460" s="142" t="str">
        <f>IFERROR(__xludf.DUMMYFUNCTION("""COMPUTED_VALUE"""),"Zamboanga del Sur")</f>
        <v>Zamboanga del Sur</v>
      </c>
      <c r="D460" s="142" t="str">
        <f>IFERROR(__xludf.DUMMYFUNCTION("""COMPUTED_VALUE"""),"Zamboanga Sibugay")</f>
        <v>Zamboanga Sibugay</v>
      </c>
      <c r="E460" s="142" t="str">
        <f>IFERROR(__xludf.DUMMYFUNCTION("""COMPUTED_VALUE"""),"Basilan")</f>
        <v>Basilan</v>
      </c>
      <c r="F460" s="8"/>
      <c r="G460" s="8"/>
      <c r="H460" s="8"/>
    </row>
    <row r="461">
      <c r="A461" s="142" t="s">
        <v>171</v>
      </c>
      <c r="B461" s="142" t="str">
        <f>IFERROR(__xludf.DUMMYFUNCTION("""COMPUTED_VALUE"""),"Bukidnon")</f>
        <v>Bukidnon</v>
      </c>
      <c r="C461" s="142" t="str">
        <f>IFERROR(__xludf.DUMMYFUNCTION("""COMPUTED_VALUE"""),"Camiguin")</f>
        <v>Camiguin</v>
      </c>
      <c r="D461" s="142" t="str">
        <f>IFERROR(__xludf.DUMMYFUNCTION("""COMPUTED_VALUE"""),"Lanao del Norte")</f>
        <v>Lanao del Norte</v>
      </c>
      <c r="E461" s="142" t="str">
        <f>IFERROR(__xludf.DUMMYFUNCTION("""COMPUTED_VALUE"""),"Misamis Occidental")</f>
        <v>Misamis Occidental</v>
      </c>
      <c r="F461" s="142" t="str">
        <f>IFERROR(__xludf.DUMMYFUNCTION("""COMPUTED_VALUE"""),"Misamis Oriental")</f>
        <v>Misamis Oriental</v>
      </c>
      <c r="G461" s="8"/>
      <c r="H461" s="8"/>
    </row>
    <row r="462">
      <c r="A462" s="142" t="s">
        <v>330</v>
      </c>
      <c r="B462" s="142" t="str">
        <f>IFERROR(__xludf.DUMMYFUNCTION("""COMPUTED_VALUE"""),"Davao del Norte")</f>
        <v>Davao del Norte</v>
      </c>
      <c r="C462" s="142" t="str">
        <f>IFERROR(__xludf.DUMMYFUNCTION("""COMPUTED_VALUE"""),"Davao del Sur")</f>
        <v>Davao del Sur</v>
      </c>
      <c r="D462" s="142" t="str">
        <f>IFERROR(__xludf.DUMMYFUNCTION("""COMPUTED_VALUE"""),"Davao Oriental")</f>
        <v>Davao Oriental</v>
      </c>
      <c r="E462" s="142" t="str">
        <f>IFERROR(__xludf.DUMMYFUNCTION("""COMPUTED_VALUE"""),"Davao de Oro")</f>
        <v>Davao de Oro</v>
      </c>
      <c r="F462" s="142" t="str">
        <f>IFERROR(__xludf.DUMMYFUNCTION("""COMPUTED_VALUE"""),"Davao Occidental")</f>
        <v>Davao Occidental</v>
      </c>
      <c r="G462" s="8"/>
      <c r="H462" s="8"/>
    </row>
    <row r="463">
      <c r="A463" s="142" t="s">
        <v>356</v>
      </c>
      <c r="B463" s="142" t="str">
        <f>IFERROR(__xludf.DUMMYFUNCTION("""COMPUTED_VALUE"""),"Cotabato")</f>
        <v>Cotabato</v>
      </c>
      <c r="C463" s="142" t="str">
        <f>IFERROR(__xludf.DUMMYFUNCTION("""COMPUTED_VALUE"""),"South Cotabato")</f>
        <v>South Cotabato</v>
      </c>
      <c r="D463" s="142" t="str">
        <f>IFERROR(__xludf.DUMMYFUNCTION("""COMPUTED_VALUE"""),"Sultan Kudarat")</f>
        <v>Sultan Kudarat</v>
      </c>
      <c r="E463" s="142" t="str">
        <f>IFERROR(__xludf.DUMMYFUNCTION("""COMPUTED_VALUE"""),"Sarangani")</f>
        <v>Sarangani</v>
      </c>
      <c r="F463" s="8"/>
      <c r="G463" s="8"/>
      <c r="H463" s="8"/>
    </row>
    <row r="464">
      <c r="A464" s="142" t="s">
        <v>356</v>
      </c>
      <c r="B464" s="142" t="str">
        <f>IFERROR(__xludf.DUMMYFUNCTION("""COMPUTED_VALUE"""),"Cotabato")</f>
        <v>Cotabato</v>
      </c>
      <c r="C464" s="142" t="str">
        <f>IFERROR(__xludf.DUMMYFUNCTION("""COMPUTED_VALUE"""),"South Cotabato")</f>
        <v>South Cotabato</v>
      </c>
      <c r="D464" s="142" t="str">
        <f>IFERROR(__xludf.DUMMYFUNCTION("""COMPUTED_VALUE"""),"Sultan Kudarat")</f>
        <v>Sultan Kudarat</v>
      </c>
      <c r="E464" s="142" t="str">
        <f>IFERROR(__xludf.DUMMYFUNCTION("""COMPUTED_VALUE"""),"Sarangani")</f>
        <v>Sarangani</v>
      </c>
      <c r="F464" s="8"/>
      <c r="G464" s="8"/>
      <c r="H464" s="8"/>
    </row>
    <row r="465">
      <c r="A465" s="142" t="s">
        <v>345</v>
      </c>
      <c r="B465" s="142" t="str">
        <f>IFERROR(__xludf.DUMMYFUNCTION("""COMPUTED_VALUE"""),"Agusan del Norte")</f>
        <v>Agusan del Norte</v>
      </c>
      <c r="C465" s="142" t="str">
        <f>IFERROR(__xludf.DUMMYFUNCTION("""COMPUTED_VALUE"""),"Agusan del Sur")</f>
        <v>Agusan del Sur</v>
      </c>
      <c r="D465" s="142" t="str">
        <f>IFERROR(__xludf.DUMMYFUNCTION("""COMPUTED_VALUE"""),"Surigao del Norte")</f>
        <v>Surigao del Norte</v>
      </c>
      <c r="E465" s="142" t="str">
        <f>IFERROR(__xludf.DUMMYFUNCTION("""COMPUTED_VALUE"""),"Surigao del Sur")</f>
        <v>Surigao del Sur</v>
      </c>
      <c r="F465" s="142" t="str">
        <f>IFERROR(__xludf.DUMMYFUNCTION("""COMPUTED_VALUE"""),"Dinagat Islands")</f>
        <v>Dinagat Islands</v>
      </c>
      <c r="G465" s="8"/>
      <c r="H465" s="8"/>
    </row>
    <row r="466">
      <c r="A466" s="142" t="s">
        <v>345</v>
      </c>
      <c r="B466" s="142" t="str">
        <f>IFERROR(__xludf.DUMMYFUNCTION("""COMPUTED_VALUE"""),"Agusan del Norte")</f>
        <v>Agusan del Norte</v>
      </c>
      <c r="C466" s="142" t="str">
        <f>IFERROR(__xludf.DUMMYFUNCTION("""COMPUTED_VALUE"""),"Agusan del Sur")</f>
        <v>Agusan del Sur</v>
      </c>
      <c r="D466" s="142" t="str">
        <f>IFERROR(__xludf.DUMMYFUNCTION("""COMPUTED_VALUE"""),"Surigao del Norte")</f>
        <v>Surigao del Norte</v>
      </c>
      <c r="E466" s="142" t="str">
        <f>IFERROR(__xludf.DUMMYFUNCTION("""COMPUTED_VALUE"""),"Surigao del Sur")</f>
        <v>Surigao del Sur</v>
      </c>
      <c r="F466" s="142" t="str">
        <f>IFERROR(__xludf.DUMMYFUNCTION("""COMPUTED_VALUE"""),"Dinagat Islands")</f>
        <v>Dinagat Islands</v>
      </c>
      <c r="G466" s="8"/>
      <c r="H466" s="8"/>
    </row>
    <row r="467">
      <c r="A467" s="142" t="s">
        <v>345</v>
      </c>
      <c r="B467" s="142" t="str">
        <f>IFERROR(__xludf.DUMMYFUNCTION("""COMPUTED_VALUE"""),"Agusan del Norte")</f>
        <v>Agusan del Norte</v>
      </c>
      <c r="C467" s="142" t="str">
        <f>IFERROR(__xludf.DUMMYFUNCTION("""COMPUTED_VALUE"""),"Agusan del Sur")</f>
        <v>Agusan del Sur</v>
      </c>
      <c r="D467" s="142" t="str">
        <f>IFERROR(__xludf.DUMMYFUNCTION("""COMPUTED_VALUE"""),"Surigao del Norte")</f>
        <v>Surigao del Norte</v>
      </c>
      <c r="E467" s="142" t="str">
        <f>IFERROR(__xludf.DUMMYFUNCTION("""COMPUTED_VALUE"""),"Surigao del Sur")</f>
        <v>Surigao del Sur</v>
      </c>
      <c r="F467" s="142" t="str">
        <f>IFERROR(__xludf.DUMMYFUNCTION("""COMPUTED_VALUE"""),"Dinagat Islands")</f>
        <v>Dinagat Islands</v>
      </c>
      <c r="G467" s="8"/>
      <c r="H467" s="8"/>
    </row>
    <row r="468">
      <c r="A468" s="142" t="s">
        <v>625</v>
      </c>
      <c r="B468" s="142" t="str">
        <f>IFERROR(__xludf.DUMMYFUNCTION("""COMPUTED_VALUE"""),"Negros Occidental")</f>
        <v>Negros Occidental</v>
      </c>
      <c r="C468" s="142" t="str">
        <f>IFERROR(__xludf.DUMMYFUNCTION("""COMPUTED_VALUE"""),"Negros Oriental")</f>
        <v>Negros Oriental</v>
      </c>
      <c r="D468" s="142" t="str">
        <f>IFERROR(__xludf.DUMMYFUNCTION("""COMPUTED_VALUE"""),"Siquijor")</f>
        <v>Siquijor</v>
      </c>
      <c r="E468" s="8"/>
      <c r="F468" s="8"/>
      <c r="G468" s="8"/>
      <c r="H468" s="8"/>
    </row>
    <row r="469">
      <c r="A469" s="142" t="s">
        <v>625</v>
      </c>
      <c r="B469" s="142" t="str">
        <f>IFERROR(__xludf.DUMMYFUNCTION("""COMPUTED_VALUE"""),"Negros Occidental")</f>
        <v>Negros Occidental</v>
      </c>
      <c r="C469" s="142" t="str">
        <f>IFERROR(__xludf.DUMMYFUNCTION("""COMPUTED_VALUE"""),"Negros Oriental")</f>
        <v>Negros Oriental</v>
      </c>
      <c r="D469" s="142" t="str">
        <f>IFERROR(__xludf.DUMMYFUNCTION("""COMPUTED_VALUE"""),"Siquijor")</f>
        <v>Siquijor</v>
      </c>
      <c r="E469" s="8"/>
      <c r="F469" s="8"/>
      <c r="G469" s="8"/>
      <c r="H469" s="8"/>
    </row>
    <row r="470">
      <c r="A470" s="142" t="s">
        <v>642</v>
      </c>
      <c r="B470" s="142" t="str">
        <f>IFERROR(__xludf.DUMMYFUNCTION("""COMPUTED_VALUE"""),"Basilan")</f>
        <v>Basilan</v>
      </c>
      <c r="C470" s="142" t="str">
        <f>IFERROR(__xludf.DUMMYFUNCTION("""COMPUTED_VALUE"""),"Lanao del Sur")</f>
        <v>Lanao del Sur</v>
      </c>
      <c r="D470" s="142" t="str">
        <f>IFERROR(__xludf.DUMMYFUNCTION("""COMPUTED_VALUE"""),"Sulu")</f>
        <v>Sulu</v>
      </c>
      <c r="E470" s="142" t="str">
        <f>IFERROR(__xludf.DUMMYFUNCTION("""COMPUTED_VALUE"""),"Tawi-Tawi")</f>
        <v>Tawi-Tawi</v>
      </c>
      <c r="F470" s="142" t="str">
        <f>IFERROR(__xludf.DUMMYFUNCTION("""COMPUTED_VALUE"""),"Maguindanao del Norte")</f>
        <v>Maguindanao del Norte</v>
      </c>
      <c r="G470" s="142" t="str">
        <f>IFERROR(__xludf.DUMMYFUNCTION("""COMPUTED_VALUE"""),"Maguindanao del Sur")</f>
        <v>Maguindanao del Sur</v>
      </c>
      <c r="H470" s="142" t="str">
        <f>IFERROR(__xludf.DUMMYFUNCTION("""COMPUTED_VALUE"""),"Special Geographic Area")</f>
        <v>Special Geographic Area</v>
      </c>
    </row>
    <row r="471">
      <c r="B471" s="142"/>
      <c r="C471" s="8"/>
      <c r="D471" s="8"/>
      <c r="E471" s="8"/>
      <c r="F471" s="8"/>
      <c r="G471" s="8"/>
      <c r="H471" s="8"/>
    </row>
    <row r="472">
      <c r="B472" s="142"/>
      <c r="C472" s="8"/>
      <c r="D472" s="8"/>
      <c r="E472" s="8"/>
      <c r="F472" s="8"/>
      <c r="G472" s="8"/>
      <c r="H472" s="8"/>
    </row>
    <row r="473">
      <c r="B473" s="142"/>
      <c r="C473" s="8"/>
      <c r="D473" s="8"/>
      <c r="E473" s="8"/>
      <c r="F473" s="8"/>
      <c r="G473" s="8"/>
      <c r="H473" s="8"/>
    </row>
    <row r="474">
      <c r="B474" s="142"/>
      <c r="C474" s="8"/>
      <c r="D474" s="8"/>
      <c r="E474" s="8"/>
      <c r="F474" s="8"/>
      <c r="G474" s="8"/>
      <c r="H474" s="8"/>
    </row>
    <row r="475">
      <c r="B475" s="142"/>
      <c r="C475" s="8"/>
      <c r="D475" s="8"/>
      <c r="E475" s="8"/>
      <c r="F475" s="8"/>
      <c r="G475" s="8"/>
      <c r="H475" s="8"/>
    </row>
    <row r="476">
      <c r="B476" s="142"/>
      <c r="C476" s="8"/>
      <c r="D476" s="8"/>
      <c r="E476" s="8"/>
      <c r="F476" s="8"/>
      <c r="G476" s="8"/>
      <c r="H476" s="8"/>
    </row>
    <row r="477">
      <c r="B477" s="142"/>
      <c r="C477" s="8"/>
      <c r="D477" s="8"/>
      <c r="E477" s="8"/>
      <c r="F477" s="8"/>
      <c r="G477" s="8"/>
      <c r="H477" s="8"/>
    </row>
    <row r="478">
      <c r="B478" s="142"/>
      <c r="C478" s="8"/>
      <c r="D478" s="8"/>
      <c r="E478" s="8"/>
      <c r="F478" s="8"/>
      <c r="G478" s="8"/>
      <c r="H478" s="8"/>
    </row>
    <row r="479">
      <c r="B479" s="142"/>
      <c r="C479" s="8"/>
      <c r="D479" s="8"/>
      <c r="E479" s="8"/>
      <c r="F479" s="8"/>
      <c r="G479" s="8"/>
      <c r="H479" s="8"/>
    </row>
    <row r="480">
      <c r="B480" s="142"/>
      <c r="C480" s="8"/>
      <c r="D480" s="8"/>
      <c r="E480" s="8"/>
      <c r="F480" s="8"/>
      <c r="G480" s="8"/>
      <c r="H480" s="8"/>
    </row>
    <row r="481">
      <c r="B481" s="142"/>
      <c r="C481" s="8"/>
      <c r="D481" s="8"/>
      <c r="E481" s="8"/>
      <c r="F481" s="8"/>
      <c r="G481" s="8"/>
      <c r="H481" s="8"/>
    </row>
    <row r="482">
      <c r="B482" s="142"/>
      <c r="C482" s="8"/>
      <c r="D482" s="8"/>
      <c r="E482" s="8"/>
      <c r="F482" s="8"/>
      <c r="G482" s="8"/>
      <c r="H482" s="8"/>
    </row>
    <row r="483">
      <c r="B483" s="142"/>
      <c r="C483" s="8"/>
      <c r="D483" s="8"/>
      <c r="E483" s="8"/>
      <c r="F483" s="8"/>
      <c r="G483" s="8"/>
      <c r="H483" s="8"/>
    </row>
    <row r="484">
      <c r="B484" s="142"/>
      <c r="C484" s="8"/>
      <c r="D484" s="8"/>
      <c r="E484" s="8"/>
      <c r="F484" s="8"/>
      <c r="G484" s="8"/>
      <c r="H484" s="8"/>
    </row>
    <row r="485">
      <c r="B485" s="142"/>
      <c r="C485" s="8"/>
      <c r="D485" s="8"/>
      <c r="E485" s="8"/>
      <c r="F485" s="8"/>
      <c r="G485" s="8"/>
      <c r="H485" s="8"/>
    </row>
    <row r="486">
      <c r="B486" s="142"/>
      <c r="C486" s="8"/>
      <c r="D486" s="8"/>
      <c r="E486" s="8"/>
      <c r="F486" s="8"/>
      <c r="G486" s="8"/>
      <c r="H486" s="8"/>
    </row>
    <row r="487">
      <c r="B487" s="142"/>
      <c r="C487" s="8"/>
      <c r="D487" s="8"/>
      <c r="E487" s="8"/>
      <c r="F487" s="8"/>
      <c r="G487" s="8"/>
      <c r="H487" s="8"/>
    </row>
    <row r="488">
      <c r="B488" s="142"/>
      <c r="C488" s="8"/>
      <c r="D488" s="8"/>
      <c r="E488" s="8"/>
      <c r="F488" s="8"/>
      <c r="G488" s="8"/>
      <c r="H488" s="8"/>
    </row>
    <row r="489">
      <c r="B489" s="142"/>
      <c r="C489" s="8"/>
      <c r="D489" s="8"/>
      <c r="E489" s="8"/>
      <c r="F489" s="8"/>
      <c r="G489" s="8"/>
      <c r="H489" s="8"/>
    </row>
    <row r="490">
      <c r="B490" s="142"/>
      <c r="C490" s="8"/>
      <c r="D490" s="8"/>
      <c r="E490" s="8"/>
      <c r="F490" s="8"/>
      <c r="G490" s="8"/>
      <c r="H490" s="8"/>
    </row>
    <row r="491">
      <c r="B491" s="142"/>
      <c r="C491" s="8"/>
      <c r="D491" s="8"/>
      <c r="E491" s="8"/>
      <c r="F491" s="8"/>
      <c r="G491" s="8"/>
      <c r="H491" s="8"/>
    </row>
    <row r="492">
      <c r="B492" s="142"/>
      <c r="C492" s="8"/>
      <c r="D492" s="8"/>
      <c r="E492" s="8"/>
      <c r="F492" s="8"/>
      <c r="G492" s="8"/>
      <c r="H492" s="8"/>
    </row>
    <row r="493">
      <c r="B493" s="142"/>
      <c r="C493" s="8"/>
      <c r="D493" s="8"/>
      <c r="E493" s="8"/>
      <c r="F493" s="8"/>
      <c r="G493" s="8"/>
      <c r="H493" s="8"/>
    </row>
    <row r="494">
      <c r="B494" s="142"/>
      <c r="C494" s="8"/>
      <c r="D494" s="8"/>
      <c r="E494" s="8"/>
      <c r="F494" s="8"/>
      <c r="G494" s="8"/>
      <c r="H494" s="8"/>
    </row>
    <row r="495">
      <c r="B495" s="142"/>
      <c r="C495" s="8"/>
      <c r="D495" s="8"/>
      <c r="E495" s="8"/>
      <c r="F495" s="8"/>
      <c r="G495" s="8"/>
      <c r="H495" s="8"/>
    </row>
    <row r="496">
      <c r="B496" s="142"/>
      <c r="C496" s="8"/>
      <c r="D496" s="8"/>
      <c r="E496" s="8"/>
      <c r="F496" s="8"/>
      <c r="G496" s="8"/>
      <c r="H496" s="8"/>
    </row>
    <row r="497">
      <c r="B497" s="142"/>
      <c r="C497" s="8"/>
      <c r="D497" s="8"/>
      <c r="E497" s="8"/>
      <c r="F497" s="8"/>
      <c r="G497" s="8"/>
      <c r="H497" s="8"/>
    </row>
    <row r="498">
      <c r="B498" s="142"/>
      <c r="C498" s="8"/>
      <c r="D498" s="8"/>
      <c r="E498" s="8"/>
      <c r="F498" s="8"/>
      <c r="G498" s="8"/>
      <c r="H498" s="8"/>
    </row>
    <row r="499">
      <c r="B499" s="142"/>
      <c r="C499" s="8"/>
      <c r="D499" s="8"/>
      <c r="E499" s="8"/>
      <c r="F499" s="8"/>
      <c r="G499" s="8"/>
      <c r="H499" s="8"/>
    </row>
    <row r="500">
      <c r="B500" s="142"/>
      <c r="C500" s="8"/>
      <c r="D500" s="8"/>
      <c r="E500" s="8"/>
      <c r="F500" s="8"/>
      <c r="G500" s="8"/>
      <c r="H500" s="8"/>
    </row>
    <row r="501">
      <c r="B501" s="142"/>
      <c r="C501" s="8"/>
      <c r="D501" s="8"/>
      <c r="E501" s="8"/>
      <c r="F501" s="8"/>
      <c r="G501" s="8"/>
      <c r="H501" s="8"/>
    </row>
    <row r="502">
      <c r="B502" s="142"/>
      <c r="C502" s="8"/>
      <c r="D502" s="8"/>
      <c r="E502" s="8"/>
      <c r="F502" s="8"/>
      <c r="G502" s="8"/>
      <c r="H502" s="8"/>
    </row>
    <row r="503">
      <c r="B503" s="142"/>
      <c r="C503" s="8"/>
      <c r="D503" s="8"/>
      <c r="E503" s="8"/>
      <c r="F503" s="8"/>
      <c r="G503" s="8"/>
      <c r="H503" s="8"/>
    </row>
    <row r="504">
      <c r="B504" s="142"/>
      <c r="C504" s="8"/>
      <c r="D504" s="8"/>
      <c r="E504" s="8"/>
      <c r="F504" s="8"/>
      <c r="G504" s="8"/>
      <c r="H504" s="8"/>
    </row>
    <row r="505">
      <c r="B505" s="142"/>
      <c r="C505" s="8"/>
      <c r="D505" s="8"/>
      <c r="E505" s="8"/>
      <c r="F505" s="8"/>
      <c r="G505" s="8"/>
      <c r="H505" s="8"/>
    </row>
    <row r="506">
      <c r="B506" s="142"/>
      <c r="C506" s="8"/>
      <c r="D506" s="8"/>
      <c r="E506" s="8"/>
      <c r="F506" s="8"/>
      <c r="G506" s="8"/>
      <c r="H506" s="8"/>
    </row>
    <row r="507">
      <c r="B507" s="142"/>
      <c r="C507" s="8"/>
      <c r="D507" s="8"/>
      <c r="E507" s="8"/>
      <c r="F507" s="8"/>
      <c r="G507" s="8"/>
      <c r="H507" s="8"/>
    </row>
    <row r="508">
      <c r="B508" s="142"/>
      <c r="C508" s="8"/>
      <c r="D508" s="8"/>
      <c r="E508" s="8"/>
      <c r="F508" s="8"/>
      <c r="G508" s="8"/>
      <c r="H508" s="8"/>
    </row>
    <row r="509">
      <c r="B509" s="142"/>
      <c r="C509" s="8"/>
      <c r="D509" s="8"/>
      <c r="E509" s="8"/>
      <c r="F509" s="8"/>
      <c r="G509" s="8"/>
      <c r="H509" s="8"/>
    </row>
    <row r="510">
      <c r="B510" s="142"/>
      <c r="C510" s="8"/>
      <c r="D510" s="8"/>
      <c r="E510" s="8"/>
      <c r="F510" s="8"/>
      <c r="G510" s="8"/>
      <c r="H510" s="8"/>
    </row>
    <row r="511">
      <c r="B511" s="142"/>
      <c r="C511" s="8"/>
      <c r="D511" s="8"/>
      <c r="E511" s="8"/>
      <c r="F511" s="8"/>
      <c r="G511" s="8"/>
      <c r="H511" s="8"/>
    </row>
    <row r="512">
      <c r="B512" s="142"/>
      <c r="C512" s="8"/>
      <c r="D512" s="8"/>
      <c r="E512" s="8"/>
      <c r="F512" s="8"/>
      <c r="G512" s="8"/>
      <c r="H512" s="8"/>
    </row>
    <row r="513">
      <c r="B513" s="142"/>
      <c r="C513" s="8"/>
      <c r="D513" s="8"/>
      <c r="E513" s="8"/>
      <c r="F513" s="8"/>
      <c r="G513" s="8"/>
      <c r="H513" s="8"/>
    </row>
    <row r="514">
      <c r="B514" s="142"/>
      <c r="C514" s="8"/>
      <c r="D514" s="8"/>
      <c r="E514" s="8"/>
      <c r="F514" s="8"/>
      <c r="G514" s="8"/>
      <c r="H514" s="8"/>
    </row>
    <row r="515">
      <c r="B515" s="142"/>
      <c r="C515" s="8"/>
      <c r="D515" s="8"/>
      <c r="E515" s="8"/>
      <c r="F515" s="8"/>
      <c r="G515" s="8"/>
      <c r="H515" s="8"/>
    </row>
    <row r="516">
      <c r="B516" s="142"/>
      <c r="C516" s="8"/>
      <c r="D516" s="8"/>
      <c r="E516" s="8"/>
      <c r="F516" s="8"/>
      <c r="G516" s="8"/>
      <c r="H516" s="8"/>
    </row>
    <row r="517">
      <c r="B517" s="142"/>
      <c r="C517" s="8"/>
      <c r="D517" s="8"/>
      <c r="E517" s="8"/>
      <c r="F517" s="8"/>
      <c r="G517" s="8"/>
      <c r="H517" s="8"/>
    </row>
    <row r="518">
      <c r="B518" s="142"/>
      <c r="C518" s="8"/>
      <c r="D518" s="8"/>
      <c r="E518" s="8"/>
      <c r="F518" s="8"/>
      <c r="G518" s="8"/>
      <c r="H518" s="8"/>
    </row>
    <row r="519">
      <c r="B519" s="142"/>
      <c r="C519" s="8"/>
      <c r="D519" s="8"/>
      <c r="E519" s="8"/>
      <c r="F519" s="8"/>
      <c r="G519" s="8"/>
      <c r="H519" s="8"/>
    </row>
    <row r="520">
      <c r="B520" s="142"/>
      <c r="C520" s="8"/>
      <c r="D520" s="8"/>
      <c r="E520" s="8"/>
      <c r="F520" s="8"/>
      <c r="G520" s="8"/>
      <c r="H520" s="8"/>
    </row>
    <row r="521">
      <c r="B521" s="142"/>
      <c r="C521" s="8"/>
      <c r="D521" s="8"/>
      <c r="E521" s="8"/>
      <c r="F521" s="8"/>
      <c r="G521" s="8"/>
      <c r="H521" s="8"/>
    </row>
    <row r="522">
      <c r="B522" s="142"/>
      <c r="C522" s="8"/>
      <c r="D522" s="8"/>
      <c r="E522" s="8"/>
      <c r="F522" s="8"/>
      <c r="G522" s="8"/>
      <c r="H522" s="8"/>
    </row>
    <row r="523">
      <c r="B523" s="142"/>
      <c r="C523" s="8"/>
      <c r="D523" s="8"/>
      <c r="E523" s="8"/>
      <c r="F523" s="8"/>
      <c r="G523" s="8"/>
      <c r="H523" s="8"/>
    </row>
    <row r="524">
      <c r="B524" s="142"/>
      <c r="C524" s="8"/>
      <c r="D524" s="8"/>
      <c r="E524" s="8"/>
      <c r="F524" s="8"/>
      <c r="G524" s="8"/>
      <c r="H524" s="8"/>
    </row>
    <row r="525">
      <c r="B525" s="142"/>
      <c r="C525" s="8"/>
      <c r="D525" s="8"/>
      <c r="E525" s="8"/>
      <c r="F525" s="8"/>
      <c r="G525" s="8"/>
      <c r="H525" s="8"/>
    </row>
    <row r="526">
      <c r="B526" s="142"/>
      <c r="C526" s="8"/>
      <c r="D526" s="8"/>
      <c r="E526" s="8"/>
      <c r="F526" s="8"/>
      <c r="G526" s="8"/>
      <c r="H526" s="8"/>
    </row>
    <row r="527">
      <c r="B527" s="142"/>
      <c r="C527" s="8"/>
      <c r="D527" s="8"/>
      <c r="E527" s="8"/>
      <c r="F527" s="8"/>
      <c r="G527" s="8"/>
      <c r="H527" s="8"/>
    </row>
    <row r="528">
      <c r="B528" s="142"/>
      <c r="C528" s="8"/>
      <c r="D528" s="8"/>
      <c r="E528" s="8"/>
      <c r="F528" s="8"/>
      <c r="G528" s="8"/>
      <c r="H528" s="8"/>
    </row>
    <row r="529">
      <c r="B529" s="142"/>
      <c r="C529" s="8"/>
      <c r="D529" s="8"/>
      <c r="E529" s="8"/>
      <c r="F529" s="8"/>
      <c r="G529" s="8"/>
      <c r="H529" s="8"/>
    </row>
    <row r="530">
      <c r="B530" s="142"/>
      <c r="C530" s="8"/>
      <c r="D530" s="8"/>
      <c r="E530" s="8"/>
      <c r="F530" s="8"/>
      <c r="G530" s="8"/>
      <c r="H530" s="8"/>
    </row>
    <row r="531">
      <c r="B531" s="142"/>
      <c r="C531" s="8"/>
      <c r="D531" s="8"/>
      <c r="E531" s="8"/>
      <c r="F531" s="8"/>
      <c r="G531" s="8"/>
      <c r="H531" s="8"/>
    </row>
    <row r="532">
      <c r="B532" s="142"/>
      <c r="C532" s="8"/>
      <c r="D532" s="8"/>
      <c r="E532" s="8"/>
      <c r="F532" s="8"/>
      <c r="G532" s="8"/>
      <c r="H532" s="8"/>
    </row>
    <row r="533">
      <c r="B533" s="142"/>
      <c r="C533" s="8"/>
      <c r="D533" s="8"/>
      <c r="E533" s="8"/>
      <c r="F533" s="8"/>
      <c r="G533" s="8"/>
      <c r="H533" s="8"/>
    </row>
    <row r="534">
      <c r="B534" s="142"/>
      <c r="C534" s="8"/>
      <c r="D534" s="8"/>
      <c r="E534" s="8"/>
      <c r="F534" s="8"/>
      <c r="G534" s="8"/>
      <c r="H534" s="8"/>
    </row>
    <row r="535">
      <c r="B535" s="142"/>
      <c r="C535" s="8"/>
      <c r="D535" s="8"/>
      <c r="E535" s="8"/>
      <c r="F535" s="8"/>
      <c r="G535" s="8"/>
      <c r="H535" s="8"/>
    </row>
    <row r="536">
      <c r="B536" s="142"/>
      <c r="C536" s="8"/>
      <c r="D536" s="8"/>
      <c r="E536" s="8"/>
      <c r="F536" s="8"/>
      <c r="G536" s="8"/>
      <c r="H536" s="8"/>
    </row>
    <row r="537">
      <c r="B537" s="142"/>
      <c r="C537" s="8"/>
      <c r="D537" s="8"/>
      <c r="E537" s="8"/>
      <c r="F537" s="8"/>
      <c r="G537" s="8"/>
      <c r="H537" s="8"/>
    </row>
    <row r="538">
      <c r="B538" s="142"/>
      <c r="C538" s="8"/>
      <c r="D538" s="8"/>
      <c r="E538" s="8"/>
      <c r="F538" s="8"/>
      <c r="G538" s="8"/>
      <c r="H538" s="8"/>
    </row>
    <row r="539">
      <c r="B539" s="142"/>
      <c r="C539" s="8"/>
      <c r="D539" s="8"/>
      <c r="E539" s="8"/>
      <c r="F539" s="8"/>
      <c r="G539" s="8"/>
      <c r="H539" s="8"/>
    </row>
    <row r="540">
      <c r="B540" s="142"/>
      <c r="C540" s="8"/>
      <c r="D540" s="8"/>
      <c r="E540" s="8"/>
      <c r="F540" s="8"/>
      <c r="G540" s="8"/>
      <c r="H540" s="8"/>
    </row>
    <row r="541">
      <c r="B541" s="142"/>
      <c r="C541" s="8"/>
      <c r="D541" s="8"/>
      <c r="E541" s="8"/>
      <c r="F541" s="8"/>
      <c r="G541" s="8"/>
      <c r="H541" s="8"/>
    </row>
    <row r="542">
      <c r="B542" s="142"/>
      <c r="C542" s="8"/>
      <c r="D542" s="8"/>
      <c r="E542" s="8"/>
      <c r="F542" s="8"/>
      <c r="G542" s="8"/>
      <c r="H542" s="8"/>
    </row>
    <row r="543">
      <c r="B543" s="142"/>
      <c r="C543" s="8"/>
      <c r="D543" s="8"/>
      <c r="E543" s="8"/>
      <c r="F543" s="8"/>
      <c r="G543" s="8"/>
      <c r="H543" s="8"/>
    </row>
    <row r="544">
      <c r="B544" s="142"/>
      <c r="C544" s="8"/>
      <c r="D544" s="8"/>
      <c r="E544" s="8"/>
      <c r="F544" s="8"/>
      <c r="G544" s="8"/>
      <c r="H544" s="8"/>
    </row>
    <row r="545">
      <c r="B545" s="142"/>
      <c r="C545" s="8"/>
      <c r="D545" s="8"/>
      <c r="E545" s="8"/>
      <c r="F545" s="8"/>
      <c r="G545" s="8"/>
      <c r="H545" s="8"/>
    </row>
    <row r="546">
      <c r="B546" s="142"/>
      <c r="C546" s="8"/>
      <c r="D546" s="8"/>
      <c r="E546" s="8"/>
      <c r="F546" s="8"/>
      <c r="G546" s="8"/>
      <c r="H546" s="8"/>
    </row>
    <row r="547">
      <c r="B547" s="142"/>
      <c r="C547" s="8"/>
      <c r="D547" s="8"/>
      <c r="E547" s="8"/>
      <c r="F547" s="8"/>
      <c r="G547" s="8"/>
      <c r="H547" s="8"/>
    </row>
    <row r="548">
      <c r="B548" s="142"/>
      <c r="C548" s="8"/>
      <c r="D548" s="8"/>
      <c r="E548" s="8"/>
      <c r="F548" s="8"/>
      <c r="G548" s="8"/>
      <c r="H548" s="8"/>
    </row>
    <row r="549">
      <c r="B549" s="142"/>
      <c r="C549" s="8"/>
      <c r="D549" s="8"/>
      <c r="E549" s="8"/>
      <c r="F549" s="8"/>
      <c r="G549" s="8"/>
      <c r="H549" s="8"/>
    </row>
    <row r="550">
      <c r="B550" s="142"/>
      <c r="C550" s="8"/>
      <c r="D550" s="8"/>
      <c r="E550" s="8"/>
      <c r="F550" s="8"/>
      <c r="G550" s="8"/>
      <c r="H550" s="8"/>
    </row>
    <row r="551">
      <c r="B551" s="142"/>
      <c r="C551" s="8"/>
      <c r="D551" s="8"/>
      <c r="E551" s="8"/>
      <c r="F551" s="8"/>
      <c r="G551" s="8"/>
      <c r="H551" s="8"/>
    </row>
    <row r="552">
      <c r="B552" s="142"/>
      <c r="C552" s="8"/>
      <c r="D552" s="8"/>
      <c r="E552" s="8"/>
      <c r="F552" s="8"/>
      <c r="G552" s="8"/>
      <c r="H552" s="8"/>
    </row>
    <row r="553">
      <c r="B553" s="142"/>
      <c r="C553" s="8"/>
      <c r="D553" s="8"/>
      <c r="E553" s="8"/>
      <c r="F553" s="8"/>
      <c r="G553" s="8"/>
      <c r="H553" s="8"/>
    </row>
    <row r="554">
      <c r="B554" s="142"/>
      <c r="C554" s="8"/>
      <c r="D554" s="8"/>
      <c r="E554" s="8"/>
      <c r="F554" s="8"/>
      <c r="G554" s="8"/>
      <c r="H554" s="8"/>
    </row>
    <row r="555">
      <c r="B555" s="142"/>
      <c r="C555" s="8"/>
      <c r="D555" s="8"/>
      <c r="E555" s="8"/>
      <c r="F555" s="8"/>
      <c r="G555" s="8"/>
      <c r="H555" s="8"/>
    </row>
    <row r="556">
      <c r="B556" s="142"/>
      <c r="C556" s="8"/>
      <c r="D556" s="8"/>
      <c r="E556" s="8"/>
      <c r="F556" s="8"/>
      <c r="G556" s="8"/>
      <c r="H556" s="8"/>
    </row>
    <row r="557">
      <c r="B557" s="142"/>
      <c r="C557" s="8"/>
      <c r="D557" s="8"/>
      <c r="E557" s="8"/>
      <c r="F557" s="8"/>
      <c r="G557" s="8"/>
      <c r="H557" s="8"/>
    </row>
    <row r="558">
      <c r="B558" s="142"/>
      <c r="C558" s="8"/>
      <c r="D558" s="8"/>
      <c r="E558" s="8"/>
      <c r="F558" s="8"/>
      <c r="G558" s="8"/>
      <c r="H558" s="8"/>
    </row>
    <row r="559">
      <c r="B559" s="142"/>
      <c r="C559" s="8"/>
      <c r="D559" s="8"/>
      <c r="E559" s="8"/>
      <c r="F559" s="8"/>
      <c r="G559" s="8"/>
      <c r="H559" s="8"/>
    </row>
    <row r="560">
      <c r="B560" s="142"/>
      <c r="C560" s="8"/>
      <c r="D560" s="8"/>
      <c r="E560" s="8"/>
      <c r="F560" s="8"/>
      <c r="G560" s="8"/>
      <c r="H560" s="8"/>
    </row>
    <row r="561">
      <c r="B561" s="142"/>
      <c r="C561" s="8"/>
      <c r="D561" s="8"/>
      <c r="E561" s="8"/>
      <c r="F561" s="8"/>
      <c r="G561" s="8"/>
      <c r="H561" s="8"/>
    </row>
    <row r="562">
      <c r="B562" s="142"/>
      <c r="C562" s="8"/>
      <c r="D562" s="8"/>
      <c r="E562" s="8"/>
      <c r="F562" s="8"/>
      <c r="G562" s="8"/>
      <c r="H562" s="8"/>
    </row>
    <row r="563">
      <c r="B563" s="142"/>
      <c r="C563" s="8"/>
      <c r="D563" s="8"/>
      <c r="E563" s="8"/>
      <c r="F563" s="8"/>
      <c r="G563" s="8"/>
      <c r="H563" s="8"/>
    </row>
    <row r="564">
      <c r="B564" s="142"/>
      <c r="C564" s="8"/>
      <c r="D564" s="8"/>
      <c r="E564" s="8"/>
      <c r="F564" s="8"/>
      <c r="G564" s="8"/>
      <c r="H564" s="8"/>
    </row>
    <row r="565">
      <c r="B565" s="142"/>
      <c r="C565" s="8"/>
      <c r="D565" s="8"/>
      <c r="E565" s="8"/>
      <c r="F565" s="8"/>
      <c r="G565" s="8"/>
      <c r="H565" s="8"/>
    </row>
    <row r="566">
      <c r="B566" s="142"/>
      <c r="C566" s="8"/>
      <c r="D566" s="8"/>
      <c r="E566" s="8"/>
      <c r="F566" s="8"/>
      <c r="G566" s="8"/>
      <c r="H566" s="8"/>
    </row>
    <row r="567">
      <c r="B567" s="142"/>
      <c r="C567" s="8"/>
      <c r="D567" s="8"/>
      <c r="E567" s="8"/>
      <c r="F567" s="8"/>
      <c r="G567" s="8"/>
      <c r="H567" s="8"/>
    </row>
    <row r="568">
      <c r="B568" s="142"/>
      <c r="C568" s="8"/>
      <c r="D568" s="8"/>
      <c r="E568" s="8"/>
      <c r="F568" s="8"/>
      <c r="G568" s="8"/>
      <c r="H568" s="8"/>
    </row>
    <row r="569">
      <c r="B569" s="142"/>
      <c r="C569" s="8"/>
      <c r="D569" s="8"/>
      <c r="E569" s="8"/>
      <c r="F569" s="8"/>
      <c r="G569" s="8"/>
      <c r="H569" s="8"/>
    </row>
    <row r="570">
      <c r="B570" s="142"/>
      <c r="C570" s="8"/>
      <c r="D570" s="8"/>
      <c r="E570" s="8"/>
      <c r="F570" s="8"/>
      <c r="G570" s="8"/>
      <c r="H570" s="8"/>
    </row>
    <row r="571">
      <c r="B571" s="142"/>
      <c r="C571" s="8"/>
      <c r="D571" s="8"/>
      <c r="E571" s="8"/>
      <c r="F571" s="8"/>
      <c r="G571" s="8"/>
      <c r="H571" s="8"/>
    </row>
    <row r="572">
      <c r="B572" s="142"/>
      <c r="C572" s="8"/>
      <c r="D572" s="8"/>
      <c r="E572" s="8"/>
      <c r="F572" s="8"/>
      <c r="G572" s="8"/>
      <c r="H572" s="8"/>
    </row>
    <row r="573">
      <c r="B573" s="142"/>
      <c r="C573" s="8"/>
      <c r="D573" s="8"/>
      <c r="E573" s="8"/>
      <c r="F573" s="8"/>
      <c r="G573" s="8"/>
      <c r="H573" s="8"/>
    </row>
    <row r="574">
      <c r="B574" s="142"/>
      <c r="C574" s="8"/>
      <c r="D574" s="8"/>
      <c r="E574" s="8"/>
      <c r="F574" s="8"/>
      <c r="G574" s="8"/>
      <c r="H574" s="8"/>
    </row>
    <row r="575">
      <c r="B575" s="142"/>
      <c r="C575" s="8"/>
      <c r="D575" s="8"/>
      <c r="E575" s="8"/>
      <c r="F575" s="8"/>
      <c r="G575" s="8"/>
      <c r="H575" s="8"/>
    </row>
    <row r="576">
      <c r="B576" s="142"/>
      <c r="C576" s="8"/>
      <c r="D576" s="8"/>
      <c r="E576" s="8"/>
      <c r="F576" s="8"/>
      <c r="G576" s="8"/>
      <c r="H576" s="8"/>
    </row>
    <row r="577">
      <c r="B577" s="142"/>
      <c r="C577" s="8"/>
      <c r="D577" s="8"/>
      <c r="E577" s="8"/>
      <c r="F577" s="8"/>
      <c r="G577" s="8"/>
      <c r="H577" s="8"/>
    </row>
    <row r="578">
      <c r="B578" s="142"/>
      <c r="C578" s="8"/>
      <c r="D578" s="8"/>
      <c r="E578" s="8"/>
      <c r="F578" s="8"/>
      <c r="G578" s="8"/>
      <c r="H578" s="8"/>
    </row>
    <row r="579">
      <c r="B579" s="142"/>
      <c r="C579" s="8"/>
      <c r="D579" s="8"/>
      <c r="E579" s="8"/>
      <c r="F579" s="8"/>
      <c r="G579" s="8"/>
      <c r="H579" s="8"/>
    </row>
    <row r="580">
      <c r="B580" s="142"/>
      <c r="C580" s="8"/>
      <c r="D580" s="8"/>
      <c r="E580" s="8"/>
      <c r="F580" s="8"/>
      <c r="G580" s="8"/>
      <c r="H580" s="8"/>
    </row>
    <row r="581">
      <c r="B581" s="142"/>
      <c r="C581" s="8"/>
      <c r="D581" s="8"/>
      <c r="E581" s="8"/>
      <c r="F581" s="8"/>
      <c r="G581" s="8"/>
      <c r="H581" s="8"/>
    </row>
    <row r="582">
      <c r="B582" s="142"/>
      <c r="C582" s="8"/>
      <c r="D582" s="8"/>
      <c r="E582" s="8"/>
      <c r="F582" s="8"/>
      <c r="G582" s="8"/>
      <c r="H582" s="8"/>
    </row>
    <row r="583">
      <c r="B583" s="142"/>
      <c r="C583" s="8"/>
      <c r="D583" s="8"/>
      <c r="E583" s="8"/>
      <c r="F583" s="8"/>
      <c r="G583" s="8"/>
      <c r="H583" s="8"/>
    </row>
    <row r="584">
      <c r="B584" s="142"/>
      <c r="C584" s="8"/>
      <c r="D584" s="8"/>
      <c r="E584" s="8"/>
      <c r="F584" s="8"/>
      <c r="G584" s="8"/>
      <c r="H584" s="8"/>
    </row>
    <row r="585">
      <c r="B585" s="142"/>
      <c r="C585" s="8"/>
      <c r="D585" s="8"/>
      <c r="E585" s="8"/>
      <c r="F585" s="8"/>
      <c r="G585" s="8"/>
      <c r="H585" s="8"/>
    </row>
    <row r="586">
      <c r="B586" s="142"/>
      <c r="C586" s="8"/>
      <c r="D586" s="8"/>
      <c r="E586" s="8"/>
      <c r="F586" s="8"/>
      <c r="G586" s="8"/>
      <c r="H586" s="8"/>
    </row>
    <row r="587">
      <c r="B587" s="142"/>
      <c r="C587" s="8"/>
      <c r="D587" s="8"/>
      <c r="E587" s="8"/>
      <c r="F587" s="8"/>
      <c r="G587" s="8"/>
      <c r="H587" s="8"/>
    </row>
    <row r="588">
      <c r="B588" s="142"/>
      <c r="C588" s="8"/>
      <c r="D588" s="8"/>
      <c r="E588" s="8"/>
      <c r="F588" s="8"/>
      <c r="G588" s="8"/>
      <c r="H588" s="8"/>
    </row>
    <row r="589">
      <c r="B589" s="142"/>
      <c r="C589" s="8"/>
      <c r="D589" s="8"/>
      <c r="E589" s="8"/>
      <c r="F589" s="8"/>
      <c r="G589" s="8"/>
      <c r="H589" s="8"/>
    </row>
    <row r="590">
      <c r="B590" s="142"/>
      <c r="C590" s="8"/>
      <c r="D590" s="8"/>
      <c r="E590" s="8"/>
      <c r="F590" s="8"/>
      <c r="G590" s="8"/>
      <c r="H590" s="8"/>
    </row>
    <row r="591">
      <c r="B591" s="142"/>
      <c r="C591" s="8"/>
      <c r="D591" s="8"/>
      <c r="E591" s="8"/>
      <c r="F591" s="8"/>
      <c r="G591" s="8"/>
      <c r="H591" s="8"/>
    </row>
    <row r="592">
      <c r="B592" s="142"/>
      <c r="C592" s="8"/>
      <c r="D592" s="8"/>
      <c r="E592" s="8"/>
      <c r="F592" s="8"/>
      <c r="G592" s="8"/>
      <c r="H592" s="8"/>
    </row>
    <row r="593">
      <c r="B593" s="142"/>
      <c r="C593" s="8"/>
      <c r="D593" s="8"/>
      <c r="E593" s="8"/>
      <c r="F593" s="8"/>
      <c r="G593" s="8"/>
      <c r="H593" s="8"/>
    </row>
    <row r="594">
      <c r="B594" s="142"/>
      <c r="C594" s="8"/>
      <c r="D594" s="8"/>
      <c r="E594" s="8"/>
      <c r="F594" s="8"/>
      <c r="G594" s="8"/>
      <c r="H594" s="8"/>
    </row>
    <row r="595">
      <c r="B595" s="142"/>
      <c r="C595" s="8"/>
      <c r="D595" s="8"/>
      <c r="E595" s="8"/>
      <c r="F595" s="8"/>
      <c r="G595" s="8"/>
      <c r="H595" s="8"/>
    </row>
    <row r="596">
      <c r="B596" s="142"/>
      <c r="C596" s="8"/>
      <c r="D596" s="8"/>
      <c r="E596" s="8"/>
      <c r="F596" s="8"/>
      <c r="G596" s="8"/>
      <c r="H596" s="8"/>
    </row>
    <row r="597">
      <c r="B597" s="142"/>
      <c r="C597" s="8"/>
      <c r="D597" s="8"/>
      <c r="E597" s="8"/>
      <c r="F597" s="8"/>
      <c r="G597" s="8"/>
      <c r="H597" s="8"/>
    </row>
    <row r="598">
      <c r="B598" s="142"/>
      <c r="C598" s="8"/>
      <c r="D598" s="8"/>
      <c r="E598" s="8"/>
      <c r="F598" s="8"/>
      <c r="G598" s="8"/>
      <c r="H598" s="8"/>
    </row>
    <row r="599">
      <c r="B599" s="142"/>
      <c r="C599" s="8"/>
      <c r="D599" s="8"/>
      <c r="E599" s="8"/>
      <c r="F599" s="8"/>
      <c r="G599" s="8"/>
      <c r="H599" s="8"/>
    </row>
    <row r="600">
      <c r="B600" s="142"/>
      <c r="C600" s="8"/>
      <c r="D600" s="8"/>
      <c r="E600" s="8"/>
      <c r="F600" s="8"/>
      <c r="G600" s="8"/>
      <c r="H600" s="8"/>
    </row>
    <row r="601">
      <c r="B601" s="142"/>
      <c r="C601" s="8"/>
      <c r="D601" s="8"/>
      <c r="E601" s="8"/>
      <c r="F601" s="8"/>
      <c r="G601" s="8"/>
      <c r="H601" s="8"/>
    </row>
    <row r="602">
      <c r="B602" s="142"/>
      <c r="C602" s="8"/>
      <c r="D602" s="8"/>
      <c r="E602" s="8"/>
      <c r="F602" s="8"/>
      <c r="G602" s="8"/>
      <c r="H602" s="8"/>
    </row>
    <row r="603">
      <c r="B603" s="142"/>
      <c r="C603" s="8"/>
      <c r="D603" s="8"/>
      <c r="E603" s="8"/>
      <c r="F603" s="8"/>
      <c r="G603" s="8"/>
      <c r="H603" s="8"/>
    </row>
    <row r="604">
      <c r="B604" s="142"/>
      <c r="C604" s="8"/>
      <c r="D604" s="8"/>
      <c r="E604" s="8"/>
      <c r="F604" s="8"/>
      <c r="G604" s="8"/>
      <c r="H604" s="8"/>
    </row>
    <row r="605">
      <c r="B605" s="142"/>
      <c r="C605" s="8"/>
      <c r="D605" s="8"/>
      <c r="E605" s="8"/>
      <c r="F605" s="8"/>
      <c r="G605" s="8"/>
      <c r="H605" s="8"/>
    </row>
    <row r="606">
      <c r="B606" s="142"/>
      <c r="C606" s="8"/>
      <c r="D606" s="8"/>
      <c r="E606" s="8"/>
      <c r="F606" s="8"/>
      <c r="G606" s="8"/>
      <c r="H606" s="8"/>
    </row>
    <row r="607">
      <c r="B607" s="142"/>
      <c r="C607" s="8"/>
      <c r="D607" s="8"/>
      <c r="E607" s="8"/>
      <c r="F607" s="8"/>
      <c r="G607" s="8"/>
      <c r="H607" s="8"/>
    </row>
    <row r="608">
      <c r="B608" s="142"/>
      <c r="C608" s="8"/>
      <c r="D608" s="8"/>
      <c r="E608" s="8"/>
      <c r="F608" s="8"/>
      <c r="G608" s="8"/>
      <c r="H608" s="8"/>
    </row>
    <row r="609">
      <c r="B609" s="142"/>
      <c r="C609" s="8"/>
      <c r="D609" s="8"/>
      <c r="E609" s="8"/>
      <c r="F609" s="8"/>
      <c r="G609" s="8"/>
      <c r="H609" s="8"/>
    </row>
    <row r="610">
      <c r="B610" s="142"/>
      <c r="C610" s="8"/>
      <c r="D610" s="8"/>
      <c r="E610" s="8"/>
      <c r="F610" s="8"/>
      <c r="G610" s="8"/>
      <c r="H610" s="8"/>
    </row>
    <row r="611">
      <c r="B611" s="142"/>
      <c r="C611" s="8"/>
      <c r="D611" s="8"/>
      <c r="E611" s="8"/>
      <c r="F611" s="8"/>
      <c r="G611" s="8"/>
      <c r="H611" s="8"/>
    </row>
    <row r="612">
      <c r="B612" s="142"/>
      <c r="C612" s="8"/>
      <c r="D612" s="8"/>
      <c r="E612" s="8"/>
      <c r="F612" s="8"/>
      <c r="G612" s="8"/>
      <c r="H612" s="8"/>
    </row>
    <row r="613">
      <c r="B613" s="142"/>
      <c r="C613" s="8"/>
      <c r="D613" s="8"/>
      <c r="E613" s="8"/>
      <c r="F613" s="8"/>
      <c r="G613" s="8"/>
      <c r="H613" s="8"/>
    </row>
    <row r="614">
      <c r="B614" s="142"/>
      <c r="C614" s="8"/>
      <c r="D614" s="8"/>
      <c r="E614" s="8"/>
      <c r="F614" s="8"/>
      <c r="G614" s="8"/>
      <c r="H614" s="8"/>
    </row>
    <row r="615">
      <c r="B615" s="142"/>
      <c r="C615" s="8"/>
      <c r="D615" s="8"/>
      <c r="E615" s="8"/>
      <c r="F615" s="8"/>
      <c r="G615" s="8"/>
      <c r="H615" s="8"/>
    </row>
    <row r="616">
      <c r="B616" s="142"/>
      <c r="C616" s="8"/>
      <c r="D616" s="8"/>
      <c r="E616" s="8"/>
      <c r="F616" s="8"/>
      <c r="G616" s="8"/>
      <c r="H616" s="8"/>
    </row>
    <row r="617">
      <c r="B617" s="142"/>
      <c r="C617" s="8"/>
      <c r="D617" s="8"/>
      <c r="E617" s="8"/>
      <c r="F617" s="8"/>
      <c r="G617" s="8"/>
      <c r="H617" s="8"/>
    </row>
    <row r="618">
      <c r="B618" s="142"/>
      <c r="C618" s="8"/>
      <c r="D618" s="8"/>
      <c r="E618" s="8"/>
      <c r="F618" s="8"/>
      <c r="G618" s="8"/>
      <c r="H618" s="8"/>
    </row>
    <row r="619">
      <c r="B619" s="142"/>
      <c r="C619" s="8"/>
      <c r="D619" s="8"/>
      <c r="E619" s="8"/>
      <c r="F619" s="8"/>
      <c r="G619" s="8"/>
      <c r="H619" s="8"/>
    </row>
    <row r="620">
      <c r="B620" s="142"/>
      <c r="C620" s="8"/>
      <c r="D620" s="8"/>
      <c r="E620" s="8"/>
      <c r="F620" s="8"/>
      <c r="G620" s="8"/>
      <c r="H620" s="8"/>
    </row>
    <row r="621">
      <c r="B621" s="142"/>
      <c r="C621" s="8"/>
      <c r="D621" s="8"/>
      <c r="E621" s="8"/>
      <c r="F621" s="8"/>
      <c r="G621" s="8"/>
      <c r="H621" s="8"/>
    </row>
    <row r="622">
      <c r="B622" s="142"/>
      <c r="C622" s="8"/>
      <c r="D622" s="8"/>
      <c r="E622" s="8"/>
      <c r="F622" s="8"/>
      <c r="G622" s="8"/>
      <c r="H622" s="8"/>
    </row>
    <row r="623">
      <c r="B623" s="142"/>
      <c r="C623" s="8"/>
      <c r="D623" s="8"/>
      <c r="E623" s="8"/>
      <c r="F623" s="8"/>
      <c r="G623" s="8"/>
      <c r="H623" s="8"/>
    </row>
    <row r="624">
      <c r="B624" s="142"/>
      <c r="C624" s="8"/>
      <c r="D624" s="8"/>
      <c r="E624" s="8"/>
      <c r="F624" s="8"/>
      <c r="G624" s="8"/>
      <c r="H624" s="8"/>
    </row>
    <row r="625">
      <c r="B625" s="142"/>
      <c r="C625" s="8"/>
      <c r="D625" s="8"/>
      <c r="E625" s="8"/>
      <c r="F625" s="8"/>
      <c r="G625" s="8"/>
      <c r="H625" s="8"/>
    </row>
    <row r="626">
      <c r="B626" s="142"/>
      <c r="C626" s="8"/>
      <c r="D626" s="8"/>
      <c r="E626" s="8"/>
      <c r="F626" s="8"/>
      <c r="G626" s="8"/>
      <c r="H626" s="8"/>
    </row>
    <row r="627">
      <c r="B627" s="142"/>
      <c r="C627" s="8"/>
      <c r="D627" s="8"/>
      <c r="E627" s="8"/>
      <c r="F627" s="8"/>
      <c r="G627" s="8"/>
      <c r="H627" s="8"/>
    </row>
    <row r="628">
      <c r="B628" s="142"/>
      <c r="C628" s="8"/>
      <c r="D628" s="8"/>
      <c r="E628" s="8"/>
      <c r="F628" s="8"/>
      <c r="G628" s="8"/>
      <c r="H628" s="8"/>
    </row>
    <row r="629">
      <c r="B629" s="142"/>
      <c r="C629" s="8"/>
      <c r="D629" s="8"/>
      <c r="E629" s="8"/>
      <c r="F629" s="8"/>
      <c r="G629" s="8"/>
      <c r="H629" s="8"/>
    </row>
    <row r="630">
      <c r="B630" s="142"/>
      <c r="C630" s="8"/>
      <c r="D630" s="8"/>
      <c r="E630" s="8"/>
      <c r="F630" s="8"/>
      <c r="G630" s="8"/>
      <c r="H630" s="8"/>
    </row>
    <row r="631">
      <c r="B631" s="142"/>
      <c r="C631" s="8"/>
      <c r="D631" s="8"/>
      <c r="E631" s="8"/>
      <c r="F631" s="8"/>
      <c r="G631" s="8"/>
      <c r="H631" s="8"/>
    </row>
    <row r="632">
      <c r="B632" s="142"/>
      <c r="C632" s="8"/>
      <c r="D632" s="8"/>
      <c r="E632" s="8"/>
      <c r="F632" s="8"/>
      <c r="G632" s="8"/>
      <c r="H632" s="8"/>
    </row>
    <row r="633">
      <c r="B633" s="142"/>
      <c r="C633" s="8"/>
      <c r="D633" s="8"/>
      <c r="E633" s="8"/>
      <c r="F633" s="8"/>
      <c r="G633" s="8"/>
      <c r="H633" s="8"/>
    </row>
    <row r="634">
      <c r="B634" s="142"/>
      <c r="C634" s="8"/>
      <c r="D634" s="8"/>
      <c r="E634" s="8"/>
      <c r="F634" s="8"/>
      <c r="G634" s="8"/>
      <c r="H634" s="8"/>
    </row>
    <row r="635">
      <c r="B635" s="142"/>
      <c r="C635" s="8"/>
      <c r="D635" s="8"/>
      <c r="E635" s="8"/>
      <c r="F635" s="8"/>
      <c r="G635" s="8"/>
      <c r="H635" s="8"/>
    </row>
    <row r="636">
      <c r="B636" s="142"/>
      <c r="C636" s="8"/>
      <c r="D636" s="8"/>
      <c r="E636" s="8"/>
      <c r="F636" s="8"/>
      <c r="G636" s="8"/>
      <c r="H636" s="8"/>
    </row>
    <row r="637">
      <c r="B637" s="142"/>
      <c r="C637" s="8"/>
      <c r="D637" s="8"/>
      <c r="E637" s="8"/>
      <c r="F637" s="8"/>
      <c r="G637" s="8"/>
      <c r="H637" s="8"/>
    </row>
    <row r="638">
      <c r="B638" s="142"/>
      <c r="C638" s="8"/>
      <c r="D638" s="8"/>
      <c r="E638" s="8"/>
      <c r="F638" s="8"/>
      <c r="G638" s="8"/>
      <c r="H638" s="8"/>
    </row>
    <row r="639">
      <c r="B639" s="142"/>
      <c r="C639" s="8"/>
      <c r="D639" s="8"/>
      <c r="E639" s="8"/>
      <c r="F639" s="8"/>
      <c r="G639" s="8"/>
      <c r="H639" s="8"/>
    </row>
    <row r="640">
      <c r="B640" s="142"/>
      <c r="C640" s="8"/>
      <c r="D640" s="8"/>
      <c r="E640" s="8"/>
      <c r="F640" s="8"/>
      <c r="G640" s="8"/>
      <c r="H640" s="8"/>
    </row>
    <row r="641">
      <c r="B641" s="142"/>
      <c r="C641" s="8"/>
      <c r="D641" s="8"/>
      <c r="E641" s="8"/>
      <c r="F641" s="8"/>
      <c r="G641" s="8"/>
      <c r="H641" s="8"/>
    </row>
    <row r="642">
      <c r="B642" s="142"/>
      <c r="C642" s="8"/>
      <c r="D642" s="8"/>
      <c r="E642" s="8"/>
      <c r="F642" s="8"/>
      <c r="G642" s="8"/>
      <c r="H642" s="8"/>
    </row>
    <row r="643">
      <c r="B643" s="142"/>
      <c r="C643" s="8"/>
      <c r="D643" s="8"/>
      <c r="E643" s="8"/>
      <c r="F643" s="8"/>
      <c r="G643" s="8"/>
      <c r="H643" s="8"/>
    </row>
    <row r="644">
      <c r="B644" s="142"/>
      <c r="C644" s="8"/>
      <c r="D644" s="8"/>
      <c r="E644" s="8"/>
      <c r="F644" s="8"/>
      <c r="G644" s="8"/>
      <c r="H644" s="8"/>
    </row>
    <row r="645">
      <c r="B645" s="142"/>
      <c r="C645" s="8"/>
      <c r="D645" s="8"/>
      <c r="E645" s="8"/>
      <c r="F645" s="8"/>
      <c r="G645" s="8"/>
      <c r="H645" s="8"/>
    </row>
    <row r="646">
      <c r="B646" s="142"/>
      <c r="C646" s="8"/>
      <c r="D646" s="8"/>
      <c r="E646" s="8"/>
      <c r="F646" s="8"/>
      <c r="G646" s="8"/>
      <c r="H646" s="8"/>
    </row>
    <row r="647">
      <c r="B647" s="142"/>
      <c r="C647" s="8"/>
      <c r="D647" s="8"/>
      <c r="E647" s="8"/>
      <c r="F647" s="8"/>
      <c r="G647" s="8"/>
      <c r="H647" s="8"/>
    </row>
    <row r="648">
      <c r="B648" s="142"/>
      <c r="C648" s="8"/>
      <c r="D648" s="8"/>
      <c r="E648" s="8"/>
      <c r="F648" s="8"/>
      <c r="G648" s="8"/>
      <c r="H648" s="8"/>
    </row>
    <row r="649">
      <c r="B649" s="142"/>
      <c r="C649" s="8"/>
      <c r="D649" s="8"/>
      <c r="E649" s="8"/>
      <c r="F649" s="8"/>
      <c r="G649" s="8"/>
      <c r="H649" s="8"/>
    </row>
    <row r="650">
      <c r="B650" s="142"/>
      <c r="C650" s="8"/>
      <c r="D650" s="8"/>
      <c r="E650" s="8"/>
      <c r="F650" s="8"/>
      <c r="G650" s="8"/>
      <c r="H650" s="8"/>
    </row>
    <row r="651">
      <c r="B651" s="142"/>
      <c r="C651" s="8"/>
      <c r="D651" s="8"/>
      <c r="E651" s="8"/>
      <c r="F651" s="8"/>
      <c r="G651" s="8"/>
      <c r="H651" s="8"/>
    </row>
    <row r="652">
      <c r="B652" s="142"/>
      <c r="C652" s="8"/>
      <c r="D652" s="8"/>
      <c r="E652" s="8"/>
      <c r="F652" s="8"/>
      <c r="G652" s="8"/>
      <c r="H652" s="8"/>
    </row>
    <row r="653">
      <c r="B653" s="142"/>
      <c r="C653" s="8"/>
      <c r="D653" s="8"/>
      <c r="E653" s="8"/>
      <c r="F653" s="8"/>
      <c r="G653" s="8"/>
      <c r="H653" s="8"/>
    </row>
    <row r="654">
      <c r="B654" s="142"/>
      <c r="C654" s="8"/>
      <c r="D654" s="8"/>
      <c r="E654" s="8"/>
      <c r="F654" s="8"/>
      <c r="G654" s="8"/>
      <c r="H654" s="8"/>
    </row>
    <row r="655">
      <c r="B655" s="142"/>
      <c r="C655" s="8"/>
      <c r="D655" s="8"/>
      <c r="E655" s="8"/>
      <c r="F655" s="8"/>
      <c r="G655" s="8"/>
      <c r="H655" s="8"/>
    </row>
    <row r="656">
      <c r="B656" s="142"/>
      <c r="C656" s="8"/>
      <c r="D656" s="8"/>
      <c r="E656" s="8"/>
      <c r="F656" s="8"/>
      <c r="G656" s="8"/>
      <c r="H656" s="8"/>
    </row>
    <row r="657">
      <c r="B657" s="142"/>
      <c r="C657" s="8"/>
      <c r="D657" s="8"/>
      <c r="E657" s="8"/>
      <c r="F657" s="8"/>
      <c r="G657" s="8"/>
      <c r="H657" s="8"/>
    </row>
    <row r="658">
      <c r="B658" s="142"/>
      <c r="C658" s="8"/>
      <c r="D658" s="8"/>
      <c r="E658" s="8"/>
      <c r="F658" s="8"/>
      <c r="G658" s="8"/>
      <c r="H658" s="8"/>
    </row>
    <row r="659">
      <c r="B659" s="142"/>
      <c r="C659" s="8"/>
      <c r="D659" s="8"/>
      <c r="E659" s="8"/>
      <c r="F659" s="8"/>
      <c r="G659" s="8"/>
      <c r="H659" s="8"/>
    </row>
    <row r="660">
      <c r="B660" s="142"/>
      <c r="C660" s="8"/>
      <c r="D660" s="8"/>
      <c r="E660" s="8"/>
      <c r="F660" s="8"/>
      <c r="G660" s="8"/>
      <c r="H660" s="8"/>
    </row>
    <row r="661">
      <c r="B661" s="142"/>
      <c r="C661" s="8"/>
      <c r="D661" s="8"/>
      <c r="E661" s="8"/>
      <c r="F661" s="8"/>
      <c r="G661" s="8"/>
      <c r="H661" s="8"/>
    </row>
    <row r="662">
      <c r="B662" s="142"/>
      <c r="C662" s="8"/>
      <c r="D662" s="8"/>
      <c r="E662" s="8"/>
      <c r="F662" s="8"/>
      <c r="G662" s="8"/>
      <c r="H662" s="8"/>
    </row>
    <row r="663">
      <c r="B663" s="142"/>
      <c r="C663" s="8"/>
      <c r="D663" s="8"/>
      <c r="E663" s="8"/>
      <c r="F663" s="8"/>
      <c r="G663" s="8"/>
      <c r="H663" s="8"/>
    </row>
    <row r="664">
      <c r="B664" s="142"/>
      <c r="C664" s="8"/>
      <c r="D664" s="8"/>
      <c r="E664" s="8"/>
      <c r="F664" s="8"/>
      <c r="G664" s="8"/>
      <c r="H664" s="8"/>
    </row>
    <row r="665">
      <c r="B665" s="142"/>
      <c r="C665" s="8"/>
      <c r="D665" s="8"/>
      <c r="E665" s="8"/>
      <c r="F665" s="8"/>
      <c r="G665" s="8"/>
      <c r="H665" s="8"/>
    </row>
    <row r="666">
      <c r="B666" s="142"/>
      <c r="C666" s="8"/>
      <c r="D666" s="8"/>
      <c r="E666" s="8"/>
      <c r="F666" s="8"/>
      <c r="G666" s="8"/>
      <c r="H666" s="8"/>
    </row>
    <row r="667">
      <c r="B667" s="142"/>
      <c r="C667" s="8"/>
      <c r="D667" s="8"/>
      <c r="E667" s="8"/>
      <c r="F667" s="8"/>
      <c r="G667" s="8"/>
      <c r="H667" s="8"/>
    </row>
    <row r="668">
      <c r="B668" s="142"/>
      <c r="C668" s="8"/>
      <c r="D668" s="8"/>
      <c r="E668" s="8"/>
      <c r="F668" s="8"/>
      <c r="G668" s="8"/>
      <c r="H668" s="8"/>
    </row>
    <row r="669">
      <c r="B669" s="142"/>
      <c r="C669" s="8"/>
      <c r="D669" s="8"/>
      <c r="E669" s="8"/>
      <c r="F669" s="8"/>
      <c r="G669" s="8"/>
      <c r="H669" s="8"/>
    </row>
    <row r="670">
      <c r="B670" s="142"/>
      <c r="C670" s="8"/>
      <c r="D670" s="8"/>
      <c r="E670" s="8"/>
      <c r="F670" s="8"/>
      <c r="G670" s="8"/>
      <c r="H670" s="8"/>
    </row>
    <row r="671">
      <c r="B671" s="142"/>
      <c r="C671" s="8"/>
      <c r="D671" s="8"/>
      <c r="E671" s="8"/>
      <c r="F671" s="8"/>
      <c r="G671" s="8"/>
      <c r="H671" s="8"/>
    </row>
    <row r="672">
      <c r="B672" s="142"/>
      <c r="C672" s="8"/>
      <c r="D672" s="8"/>
      <c r="E672" s="8"/>
      <c r="F672" s="8"/>
      <c r="G672" s="8"/>
      <c r="H672" s="8"/>
    </row>
    <row r="673">
      <c r="B673" s="142"/>
      <c r="C673" s="8"/>
      <c r="D673" s="8"/>
      <c r="E673" s="8"/>
      <c r="F673" s="8"/>
      <c r="G673" s="8"/>
      <c r="H673" s="8"/>
    </row>
    <row r="674">
      <c r="B674" s="142"/>
      <c r="C674" s="8"/>
      <c r="D674" s="8"/>
      <c r="E674" s="8"/>
      <c r="F674" s="8"/>
      <c r="G674" s="8"/>
      <c r="H674" s="8"/>
    </row>
    <row r="675">
      <c r="B675" s="142"/>
      <c r="C675" s="8"/>
      <c r="D675" s="8"/>
      <c r="E675" s="8"/>
      <c r="F675" s="8"/>
      <c r="G675" s="8"/>
      <c r="H675" s="8"/>
    </row>
    <row r="676">
      <c r="B676" s="142"/>
      <c r="C676" s="8"/>
      <c r="D676" s="8"/>
      <c r="E676" s="8"/>
      <c r="F676" s="8"/>
      <c r="G676" s="8"/>
      <c r="H676" s="8"/>
    </row>
    <row r="677">
      <c r="B677" s="142"/>
      <c r="C677" s="8"/>
      <c r="D677" s="8"/>
      <c r="E677" s="8"/>
      <c r="F677" s="8"/>
      <c r="G677" s="8"/>
      <c r="H677" s="8"/>
    </row>
    <row r="678">
      <c r="B678" s="142"/>
      <c r="C678" s="8"/>
      <c r="D678" s="8"/>
      <c r="E678" s="8"/>
      <c r="F678" s="8"/>
      <c r="G678" s="8"/>
      <c r="H678" s="8"/>
    </row>
    <row r="679">
      <c r="B679" s="142"/>
      <c r="C679" s="8"/>
      <c r="D679" s="8"/>
      <c r="E679" s="8"/>
      <c r="F679" s="8"/>
      <c r="G679" s="8"/>
      <c r="H679" s="8"/>
    </row>
    <row r="680">
      <c r="B680" s="142"/>
      <c r="C680" s="8"/>
      <c r="D680" s="8"/>
      <c r="E680" s="8"/>
      <c r="F680" s="8"/>
      <c r="G680" s="8"/>
      <c r="H680" s="8"/>
    </row>
    <row r="681">
      <c r="B681" s="142"/>
      <c r="C681" s="8"/>
      <c r="D681" s="8"/>
      <c r="E681" s="8"/>
      <c r="F681" s="8"/>
      <c r="G681" s="8"/>
      <c r="H681" s="8"/>
    </row>
    <row r="682">
      <c r="B682" s="142"/>
      <c r="C682" s="8"/>
      <c r="D682" s="8"/>
      <c r="E682" s="8"/>
      <c r="F682" s="8"/>
      <c r="G682" s="8"/>
      <c r="H682" s="8"/>
    </row>
    <row r="683">
      <c r="B683" s="142"/>
      <c r="C683" s="8"/>
      <c r="D683" s="8"/>
      <c r="E683" s="8"/>
      <c r="F683" s="8"/>
      <c r="G683" s="8"/>
      <c r="H683" s="8"/>
    </row>
    <row r="684">
      <c r="B684" s="142"/>
      <c r="C684" s="8"/>
      <c r="D684" s="8"/>
      <c r="E684" s="8"/>
      <c r="F684" s="8"/>
      <c r="G684" s="8"/>
      <c r="H684" s="8"/>
    </row>
    <row r="685">
      <c r="B685" s="142"/>
      <c r="C685" s="8"/>
      <c r="D685" s="8"/>
      <c r="E685" s="8"/>
      <c r="F685" s="8"/>
      <c r="G685" s="8"/>
      <c r="H685" s="8"/>
    </row>
    <row r="686">
      <c r="B686" s="142"/>
      <c r="C686" s="8"/>
      <c r="D686" s="8"/>
      <c r="E686" s="8"/>
      <c r="F686" s="8"/>
      <c r="G686" s="8"/>
      <c r="H686" s="8"/>
    </row>
    <row r="687">
      <c r="B687" s="142"/>
      <c r="C687" s="8"/>
      <c r="D687" s="8"/>
      <c r="E687" s="8"/>
      <c r="F687" s="8"/>
      <c r="G687" s="8"/>
      <c r="H687" s="8"/>
    </row>
    <row r="688">
      <c r="B688" s="142"/>
      <c r="C688" s="8"/>
      <c r="D688" s="8"/>
      <c r="E688" s="8"/>
      <c r="F688" s="8"/>
      <c r="G688" s="8"/>
      <c r="H688" s="8"/>
    </row>
    <row r="689">
      <c r="B689" s="142"/>
      <c r="C689" s="8"/>
      <c r="D689" s="8"/>
      <c r="E689" s="8"/>
      <c r="F689" s="8"/>
      <c r="G689" s="8"/>
      <c r="H689" s="8"/>
    </row>
    <row r="690">
      <c r="B690" s="142"/>
      <c r="C690" s="8"/>
      <c r="D690" s="8"/>
      <c r="E690" s="8"/>
      <c r="F690" s="8"/>
      <c r="G690" s="8"/>
      <c r="H690" s="8"/>
    </row>
    <row r="691">
      <c r="B691" s="142"/>
      <c r="C691" s="8"/>
      <c r="D691" s="8"/>
      <c r="E691" s="8"/>
      <c r="F691" s="8"/>
      <c r="G691" s="8"/>
      <c r="H691" s="8"/>
    </row>
    <row r="692">
      <c r="B692" s="142"/>
      <c r="C692" s="8"/>
      <c r="D692" s="8"/>
      <c r="E692" s="8"/>
      <c r="F692" s="8"/>
      <c r="G692" s="8"/>
      <c r="H692" s="8"/>
    </row>
    <row r="693">
      <c r="B693" s="142"/>
      <c r="C693" s="8"/>
      <c r="D693" s="8"/>
      <c r="E693" s="8"/>
      <c r="F693" s="8"/>
      <c r="G693" s="8"/>
      <c r="H693" s="8"/>
    </row>
    <row r="694">
      <c r="B694" s="142"/>
      <c r="C694" s="8"/>
      <c r="D694" s="8"/>
      <c r="E694" s="8"/>
      <c r="F694" s="8"/>
      <c r="G694" s="8"/>
      <c r="H694" s="8"/>
    </row>
    <row r="695">
      <c r="B695" s="142"/>
      <c r="C695" s="8"/>
      <c r="D695" s="8"/>
      <c r="E695" s="8"/>
      <c r="F695" s="8"/>
      <c r="G695" s="8"/>
      <c r="H695" s="8"/>
    </row>
    <row r="696">
      <c r="B696" s="142"/>
      <c r="C696" s="8"/>
      <c r="D696" s="8"/>
      <c r="E696" s="8"/>
      <c r="F696" s="8"/>
      <c r="G696" s="8"/>
      <c r="H696" s="8"/>
    </row>
    <row r="697">
      <c r="B697" s="142"/>
      <c r="C697" s="8"/>
      <c r="D697" s="8"/>
      <c r="E697" s="8"/>
      <c r="F697" s="8"/>
      <c r="G697" s="8"/>
      <c r="H697" s="8"/>
    </row>
    <row r="698">
      <c r="B698" s="142"/>
      <c r="C698" s="8"/>
      <c r="D698" s="8"/>
      <c r="E698" s="8"/>
      <c r="F698" s="8"/>
      <c r="G698" s="8"/>
      <c r="H698" s="8"/>
    </row>
    <row r="699">
      <c r="B699" s="142"/>
      <c r="C699" s="8"/>
      <c r="D699" s="8"/>
      <c r="E699" s="8"/>
      <c r="F699" s="8"/>
      <c r="G699" s="8"/>
      <c r="H699" s="8"/>
    </row>
    <row r="700">
      <c r="B700" s="142"/>
      <c r="C700" s="8"/>
      <c r="D700" s="8"/>
      <c r="E700" s="8"/>
      <c r="F700" s="8"/>
      <c r="G700" s="8"/>
      <c r="H700" s="8"/>
    </row>
    <row r="701">
      <c r="B701" s="142"/>
      <c r="C701" s="8"/>
      <c r="D701" s="8"/>
      <c r="E701" s="8"/>
      <c r="F701" s="8"/>
      <c r="G701" s="8"/>
      <c r="H701" s="8"/>
    </row>
    <row r="702">
      <c r="B702" s="142"/>
      <c r="C702" s="8"/>
      <c r="D702" s="8"/>
      <c r="E702" s="8"/>
      <c r="F702" s="8"/>
      <c r="G702" s="8"/>
      <c r="H702" s="8"/>
    </row>
    <row r="703">
      <c r="B703" s="142"/>
      <c r="C703" s="8"/>
      <c r="D703" s="8"/>
      <c r="E703" s="8"/>
      <c r="F703" s="8"/>
      <c r="G703" s="8"/>
      <c r="H703" s="8"/>
    </row>
    <row r="704">
      <c r="B704" s="142"/>
      <c r="C704" s="8"/>
      <c r="D704" s="8"/>
      <c r="E704" s="8"/>
      <c r="F704" s="8"/>
      <c r="G704" s="8"/>
      <c r="H704" s="8"/>
    </row>
    <row r="705">
      <c r="B705" s="142"/>
      <c r="C705" s="8"/>
      <c r="D705" s="8"/>
      <c r="E705" s="8"/>
      <c r="F705" s="8"/>
      <c r="G705" s="8"/>
      <c r="H705" s="8"/>
    </row>
    <row r="706">
      <c r="B706" s="142"/>
      <c r="C706" s="8"/>
      <c r="D706" s="8"/>
      <c r="E706" s="8"/>
      <c r="F706" s="8"/>
      <c r="G706" s="8"/>
      <c r="H706" s="8"/>
    </row>
    <row r="707">
      <c r="B707" s="142"/>
      <c r="C707" s="8"/>
      <c r="D707" s="8"/>
      <c r="E707" s="8"/>
      <c r="F707" s="8"/>
      <c r="G707" s="8"/>
      <c r="H707" s="8"/>
    </row>
    <row r="708">
      <c r="B708" s="142"/>
      <c r="C708" s="8"/>
      <c r="D708" s="8"/>
      <c r="E708" s="8"/>
      <c r="F708" s="8"/>
      <c r="G708" s="8"/>
      <c r="H708" s="8"/>
    </row>
    <row r="709">
      <c r="B709" s="142"/>
      <c r="C709" s="8"/>
      <c r="D709" s="8"/>
      <c r="E709" s="8"/>
      <c r="F709" s="8"/>
      <c r="G709" s="8"/>
      <c r="H709" s="8"/>
    </row>
    <row r="710">
      <c r="B710" s="142"/>
      <c r="C710" s="8"/>
      <c r="D710" s="8"/>
      <c r="E710" s="8"/>
      <c r="F710" s="8"/>
      <c r="G710" s="8"/>
      <c r="H710" s="8"/>
    </row>
    <row r="711">
      <c r="B711" s="142"/>
      <c r="C711" s="8"/>
      <c r="D711" s="8"/>
      <c r="E711" s="8"/>
      <c r="F711" s="8"/>
      <c r="G711" s="8"/>
      <c r="H711" s="8"/>
    </row>
    <row r="712">
      <c r="B712" s="142"/>
      <c r="C712" s="8"/>
      <c r="D712" s="8"/>
      <c r="E712" s="8"/>
      <c r="F712" s="8"/>
      <c r="G712" s="8"/>
      <c r="H712" s="8"/>
    </row>
    <row r="713">
      <c r="B713" s="142"/>
      <c r="C713" s="8"/>
      <c r="D713" s="8"/>
      <c r="E713" s="8"/>
      <c r="F713" s="8"/>
      <c r="G713" s="8"/>
      <c r="H713" s="8"/>
    </row>
    <row r="714">
      <c r="B714" s="142"/>
      <c r="C714" s="8"/>
      <c r="D714" s="8"/>
      <c r="E714" s="8"/>
      <c r="F714" s="8"/>
      <c r="G714" s="8"/>
      <c r="H714" s="8"/>
    </row>
    <row r="715">
      <c r="B715" s="142"/>
      <c r="C715" s="8"/>
      <c r="D715" s="8"/>
      <c r="E715" s="8"/>
      <c r="F715" s="8"/>
      <c r="G715" s="8"/>
      <c r="H715" s="8"/>
    </row>
    <row r="716">
      <c r="B716" s="142"/>
      <c r="C716" s="8"/>
      <c r="D716" s="8"/>
      <c r="E716" s="8"/>
      <c r="F716" s="8"/>
      <c r="G716" s="8"/>
      <c r="H716" s="8"/>
    </row>
    <row r="717">
      <c r="B717" s="142"/>
      <c r="C717" s="8"/>
      <c r="D717" s="8"/>
      <c r="E717" s="8"/>
      <c r="F717" s="8"/>
      <c r="G717" s="8"/>
      <c r="H717" s="8"/>
    </row>
    <row r="718">
      <c r="B718" s="142"/>
      <c r="C718" s="8"/>
      <c r="D718" s="8"/>
      <c r="E718" s="8"/>
      <c r="F718" s="8"/>
      <c r="G718" s="8"/>
      <c r="H718" s="8"/>
    </row>
    <row r="719">
      <c r="B719" s="142"/>
      <c r="C719" s="8"/>
      <c r="D719" s="8"/>
      <c r="E719" s="8"/>
      <c r="F719" s="8"/>
      <c r="G719" s="8"/>
      <c r="H719" s="8"/>
    </row>
    <row r="720">
      <c r="B720" s="142"/>
      <c r="C720" s="8"/>
      <c r="D720" s="8"/>
      <c r="E720" s="8"/>
      <c r="F720" s="8"/>
      <c r="G720" s="8"/>
      <c r="H720" s="8"/>
    </row>
    <row r="721">
      <c r="B721" s="142"/>
      <c r="C721" s="8"/>
      <c r="D721" s="8"/>
      <c r="E721" s="8"/>
      <c r="F721" s="8"/>
      <c r="G721" s="8"/>
      <c r="H721" s="8"/>
    </row>
    <row r="722">
      <c r="B722" s="142"/>
      <c r="C722" s="8"/>
      <c r="D722" s="8"/>
      <c r="E722" s="8"/>
      <c r="F722" s="8"/>
      <c r="G722" s="8"/>
      <c r="H722" s="8"/>
    </row>
    <row r="723">
      <c r="B723" s="142"/>
      <c r="C723" s="8"/>
      <c r="D723" s="8"/>
      <c r="E723" s="8"/>
      <c r="F723" s="8"/>
      <c r="G723" s="8"/>
      <c r="H723" s="8"/>
    </row>
    <row r="724">
      <c r="B724" s="142"/>
      <c r="C724" s="8"/>
      <c r="D724" s="8"/>
      <c r="E724" s="8"/>
      <c r="F724" s="8"/>
      <c r="G724" s="8"/>
      <c r="H724" s="8"/>
    </row>
    <row r="725">
      <c r="B725" s="142"/>
      <c r="C725" s="8"/>
      <c r="D725" s="8"/>
      <c r="E725" s="8"/>
      <c r="F725" s="8"/>
      <c r="G725" s="8"/>
      <c r="H725" s="8"/>
    </row>
    <row r="726">
      <c r="B726" s="142"/>
      <c r="C726" s="8"/>
      <c r="D726" s="8"/>
      <c r="E726" s="8"/>
      <c r="F726" s="8"/>
      <c r="G726" s="8"/>
      <c r="H726" s="8"/>
    </row>
    <row r="727">
      <c r="B727" s="142"/>
      <c r="C727" s="8"/>
      <c r="D727" s="8"/>
      <c r="E727" s="8"/>
      <c r="F727" s="8"/>
      <c r="G727" s="8"/>
      <c r="H727" s="8"/>
    </row>
    <row r="728">
      <c r="B728" s="142"/>
      <c r="C728" s="8"/>
      <c r="D728" s="8"/>
      <c r="E728" s="8"/>
      <c r="F728" s="8"/>
      <c r="G728" s="8"/>
      <c r="H728" s="8"/>
    </row>
    <row r="729">
      <c r="B729" s="142"/>
      <c r="C729" s="8"/>
      <c r="D729" s="8"/>
      <c r="E729" s="8"/>
      <c r="F729" s="8"/>
      <c r="G729" s="8"/>
      <c r="H729" s="8"/>
    </row>
    <row r="730">
      <c r="B730" s="142"/>
      <c r="C730" s="8"/>
      <c r="D730" s="8"/>
      <c r="E730" s="8"/>
      <c r="F730" s="8"/>
      <c r="G730" s="8"/>
      <c r="H730" s="8"/>
    </row>
    <row r="731">
      <c r="B731" s="142"/>
      <c r="C731" s="8"/>
      <c r="D731" s="8"/>
      <c r="E731" s="8"/>
      <c r="F731" s="8"/>
      <c r="G731" s="8"/>
      <c r="H731" s="8"/>
    </row>
    <row r="732">
      <c r="B732" s="142"/>
      <c r="C732" s="8"/>
      <c r="D732" s="8"/>
      <c r="E732" s="8"/>
      <c r="F732" s="8"/>
      <c r="G732" s="8"/>
      <c r="H732" s="8"/>
    </row>
    <row r="733">
      <c r="B733" s="142"/>
      <c r="C733" s="8"/>
      <c r="D733" s="8"/>
      <c r="E733" s="8"/>
      <c r="F733" s="8"/>
      <c r="G733" s="8"/>
      <c r="H733" s="8"/>
    </row>
    <row r="734">
      <c r="B734" s="142"/>
      <c r="C734" s="8"/>
      <c r="D734" s="8"/>
      <c r="E734" s="8"/>
      <c r="F734" s="8"/>
      <c r="G734" s="8"/>
      <c r="H734" s="8"/>
    </row>
    <row r="735">
      <c r="B735" s="142"/>
      <c r="C735" s="8"/>
      <c r="D735" s="8"/>
      <c r="E735" s="8"/>
      <c r="F735" s="8"/>
      <c r="G735" s="8"/>
      <c r="H735" s="8"/>
    </row>
    <row r="736">
      <c r="B736" s="142"/>
      <c r="C736" s="8"/>
      <c r="D736" s="8"/>
      <c r="E736" s="8"/>
      <c r="F736" s="8"/>
      <c r="G736" s="8"/>
      <c r="H736" s="8"/>
    </row>
    <row r="737">
      <c r="B737" s="142"/>
      <c r="C737" s="8"/>
      <c r="D737" s="8"/>
      <c r="E737" s="8"/>
      <c r="F737" s="8"/>
      <c r="G737" s="8"/>
      <c r="H737" s="8"/>
    </row>
    <row r="738">
      <c r="B738" s="142"/>
      <c r="C738" s="8"/>
      <c r="D738" s="8"/>
      <c r="E738" s="8"/>
      <c r="F738" s="8"/>
      <c r="G738" s="8"/>
      <c r="H738" s="8"/>
    </row>
    <row r="739">
      <c r="B739" s="142"/>
      <c r="C739" s="8"/>
      <c r="D739" s="8"/>
      <c r="E739" s="8"/>
      <c r="F739" s="8"/>
      <c r="G739" s="8"/>
      <c r="H739" s="8"/>
    </row>
    <row r="740">
      <c r="B740" s="142"/>
      <c r="C740" s="8"/>
      <c r="D740" s="8"/>
      <c r="E740" s="8"/>
      <c r="F740" s="8"/>
      <c r="G740" s="8"/>
      <c r="H740" s="8"/>
    </row>
    <row r="741">
      <c r="B741" s="142"/>
      <c r="C741" s="8"/>
      <c r="D741" s="8"/>
      <c r="E741" s="8"/>
      <c r="F741" s="8"/>
      <c r="G741" s="8"/>
      <c r="H741" s="8"/>
    </row>
    <row r="742">
      <c r="B742" s="142"/>
      <c r="C742" s="8"/>
      <c r="D742" s="8"/>
      <c r="E742" s="8"/>
      <c r="F742" s="8"/>
      <c r="G742" s="8"/>
      <c r="H742" s="8"/>
    </row>
    <row r="743">
      <c r="B743" s="142"/>
      <c r="C743" s="8"/>
      <c r="D743" s="8"/>
      <c r="E743" s="8"/>
      <c r="F743" s="8"/>
      <c r="G743" s="8"/>
      <c r="H743" s="8"/>
    </row>
    <row r="744">
      <c r="B744" s="142"/>
      <c r="C744" s="8"/>
      <c r="D744" s="8"/>
      <c r="E744" s="8"/>
      <c r="F744" s="8"/>
      <c r="G744" s="8"/>
      <c r="H744" s="8"/>
    </row>
    <row r="745">
      <c r="B745" s="142"/>
      <c r="C745" s="8"/>
      <c r="D745" s="8"/>
      <c r="E745" s="8"/>
      <c r="F745" s="8"/>
      <c r="G745" s="8"/>
      <c r="H745" s="8"/>
    </row>
    <row r="746">
      <c r="B746" s="142"/>
      <c r="C746" s="8"/>
      <c r="D746" s="8"/>
      <c r="E746" s="8"/>
      <c r="F746" s="8"/>
      <c r="G746" s="8"/>
      <c r="H746" s="8"/>
    </row>
    <row r="747">
      <c r="B747" s="142"/>
      <c r="C747" s="8"/>
      <c r="D747" s="8"/>
      <c r="E747" s="8"/>
      <c r="F747" s="8"/>
      <c r="G747" s="8"/>
      <c r="H747" s="8"/>
    </row>
    <row r="748">
      <c r="B748" s="142"/>
      <c r="C748" s="8"/>
      <c r="D748" s="8"/>
      <c r="E748" s="8"/>
      <c r="F748" s="8"/>
      <c r="G748" s="8"/>
      <c r="H748" s="8"/>
    </row>
    <row r="749">
      <c r="B749" s="142"/>
      <c r="C749" s="8"/>
      <c r="D749" s="8"/>
      <c r="E749" s="8"/>
      <c r="F749" s="8"/>
      <c r="G749" s="8"/>
      <c r="H749" s="8"/>
    </row>
    <row r="750">
      <c r="B750" s="142"/>
      <c r="C750" s="8"/>
      <c r="D750" s="8"/>
      <c r="E750" s="8"/>
      <c r="F750" s="8"/>
      <c r="G750" s="8"/>
      <c r="H750" s="8"/>
    </row>
    <row r="751">
      <c r="B751" s="142"/>
      <c r="C751" s="8"/>
      <c r="D751" s="8"/>
      <c r="E751" s="8"/>
      <c r="F751" s="8"/>
      <c r="G751" s="8"/>
      <c r="H751" s="8"/>
    </row>
    <row r="752">
      <c r="B752" s="142"/>
      <c r="C752" s="8"/>
      <c r="D752" s="8"/>
      <c r="E752" s="8"/>
      <c r="F752" s="8"/>
      <c r="G752" s="8"/>
      <c r="H752" s="8"/>
    </row>
    <row r="753">
      <c r="B753" s="142"/>
      <c r="C753" s="8"/>
      <c r="D753" s="8"/>
      <c r="E753" s="8"/>
      <c r="F753" s="8"/>
      <c r="G753" s="8"/>
      <c r="H753" s="8"/>
    </row>
    <row r="754">
      <c r="B754" s="142"/>
      <c r="C754" s="8"/>
      <c r="D754" s="8"/>
      <c r="E754" s="8"/>
      <c r="F754" s="8"/>
      <c r="G754" s="8"/>
      <c r="H754" s="8"/>
    </row>
    <row r="755">
      <c r="B755" s="142"/>
      <c r="C755" s="8"/>
      <c r="D755" s="8"/>
      <c r="E755" s="8"/>
      <c r="F755" s="8"/>
      <c r="G755" s="8"/>
      <c r="H755" s="8"/>
    </row>
    <row r="756">
      <c r="B756" s="142"/>
      <c r="C756" s="8"/>
      <c r="D756" s="8"/>
      <c r="E756" s="8"/>
      <c r="F756" s="8"/>
      <c r="G756" s="8"/>
      <c r="H756" s="8"/>
    </row>
    <row r="757">
      <c r="B757" s="142"/>
      <c r="C757" s="8"/>
      <c r="D757" s="8"/>
      <c r="E757" s="8"/>
      <c r="F757" s="8"/>
      <c r="G757" s="8"/>
      <c r="H757" s="8"/>
    </row>
    <row r="758">
      <c r="B758" s="142"/>
      <c r="C758" s="8"/>
      <c r="D758" s="8"/>
      <c r="E758" s="8"/>
      <c r="F758" s="8"/>
      <c r="G758" s="8"/>
      <c r="H758" s="8"/>
    </row>
    <row r="759">
      <c r="B759" s="142"/>
      <c r="C759" s="8"/>
      <c r="D759" s="8"/>
      <c r="E759" s="8"/>
      <c r="F759" s="8"/>
      <c r="G759" s="8"/>
      <c r="H759" s="8"/>
    </row>
    <row r="760">
      <c r="B760" s="142"/>
      <c r="C760" s="8"/>
      <c r="D760" s="8"/>
      <c r="E760" s="8"/>
      <c r="F760" s="8"/>
      <c r="G760" s="8"/>
      <c r="H760" s="8"/>
    </row>
    <row r="761">
      <c r="B761" s="142"/>
      <c r="C761" s="8"/>
      <c r="D761" s="8"/>
      <c r="E761" s="8"/>
      <c r="F761" s="8"/>
      <c r="G761" s="8"/>
      <c r="H761" s="8"/>
    </row>
    <row r="762">
      <c r="B762" s="142"/>
      <c r="C762" s="8"/>
      <c r="D762" s="8"/>
      <c r="E762" s="8"/>
      <c r="F762" s="8"/>
      <c r="G762" s="8"/>
      <c r="H762" s="8"/>
    </row>
    <row r="763">
      <c r="B763" s="142"/>
      <c r="C763" s="8"/>
      <c r="D763" s="8"/>
      <c r="E763" s="8"/>
      <c r="F763" s="8"/>
      <c r="G763" s="8"/>
      <c r="H763" s="8"/>
    </row>
    <row r="764">
      <c r="B764" s="142"/>
      <c r="C764" s="8"/>
      <c r="D764" s="8"/>
      <c r="E764" s="8"/>
      <c r="F764" s="8"/>
      <c r="G764" s="8"/>
      <c r="H764" s="8"/>
    </row>
    <row r="765">
      <c r="B765" s="142"/>
      <c r="C765" s="8"/>
      <c r="D765" s="8"/>
      <c r="E765" s="8"/>
      <c r="F765" s="8"/>
      <c r="G765" s="8"/>
      <c r="H765" s="8"/>
    </row>
    <row r="766">
      <c r="B766" s="142"/>
      <c r="C766" s="8"/>
      <c r="D766" s="8"/>
      <c r="E766" s="8"/>
      <c r="F766" s="8"/>
      <c r="G766" s="8"/>
      <c r="H766" s="8"/>
    </row>
    <row r="767">
      <c r="B767" s="142"/>
      <c r="C767" s="8"/>
      <c r="D767" s="8"/>
      <c r="E767" s="8"/>
      <c r="F767" s="8"/>
      <c r="G767" s="8"/>
      <c r="H767" s="8"/>
    </row>
    <row r="768">
      <c r="B768" s="142"/>
      <c r="C768" s="8"/>
      <c r="D768" s="8"/>
      <c r="E768" s="8"/>
      <c r="F768" s="8"/>
      <c r="G768" s="8"/>
      <c r="H768" s="8"/>
    </row>
    <row r="769">
      <c r="B769" s="142"/>
      <c r="C769" s="8"/>
      <c r="D769" s="8"/>
      <c r="E769" s="8"/>
      <c r="F769" s="8"/>
      <c r="G769" s="8"/>
      <c r="H769" s="8"/>
    </row>
    <row r="770">
      <c r="B770" s="142"/>
      <c r="C770" s="8"/>
      <c r="D770" s="8"/>
      <c r="E770" s="8"/>
      <c r="F770" s="8"/>
      <c r="G770" s="8"/>
      <c r="H770" s="8"/>
    </row>
    <row r="771">
      <c r="B771" s="142"/>
      <c r="C771" s="8"/>
      <c r="D771" s="8"/>
      <c r="E771" s="8"/>
      <c r="F771" s="8"/>
      <c r="G771" s="8"/>
      <c r="H771" s="8"/>
    </row>
    <row r="772">
      <c r="B772" s="142"/>
      <c r="C772" s="8"/>
      <c r="D772" s="8"/>
      <c r="E772" s="8"/>
      <c r="F772" s="8"/>
      <c r="G772" s="8"/>
      <c r="H772" s="8"/>
    </row>
    <row r="773">
      <c r="B773" s="142"/>
      <c r="C773" s="8"/>
      <c r="D773" s="8"/>
      <c r="E773" s="8"/>
      <c r="F773" s="8"/>
      <c r="G773" s="8"/>
      <c r="H773" s="8"/>
    </row>
    <row r="774">
      <c r="B774" s="142"/>
      <c r="C774" s="8"/>
      <c r="D774" s="8"/>
      <c r="E774" s="8"/>
      <c r="F774" s="8"/>
      <c r="G774" s="8"/>
      <c r="H774" s="8"/>
    </row>
    <row r="775">
      <c r="B775" s="142"/>
      <c r="C775" s="8"/>
      <c r="D775" s="8"/>
      <c r="E775" s="8"/>
      <c r="F775" s="8"/>
      <c r="G775" s="8"/>
      <c r="H775" s="8"/>
    </row>
    <row r="776">
      <c r="B776" s="142"/>
      <c r="C776" s="8"/>
      <c r="D776" s="8"/>
      <c r="E776" s="8"/>
      <c r="F776" s="8"/>
      <c r="G776" s="8"/>
      <c r="H776" s="8"/>
    </row>
    <row r="777">
      <c r="B777" s="142"/>
      <c r="C777" s="8"/>
      <c r="D777" s="8"/>
      <c r="E777" s="8"/>
      <c r="F777" s="8"/>
      <c r="G777" s="8"/>
      <c r="H777" s="8"/>
    </row>
    <row r="778">
      <c r="B778" s="142"/>
      <c r="C778" s="8"/>
      <c r="D778" s="8"/>
      <c r="E778" s="8"/>
      <c r="F778" s="8"/>
      <c r="G778" s="8"/>
      <c r="H778" s="8"/>
    </row>
    <row r="779">
      <c r="B779" s="142"/>
      <c r="C779" s="8"/>
      <c r="D779" s="8"/>
      <c r="E779" s="8"/>
      <c r="F779" s="8"/>
      <c r="G779" s="8"/>
      <c r="H779" s="8"/>
    </row>
    <row r="780">
      <c r="B780" s="142"/>
      <c r="C780" s="8"/>
      <c r="D780" s="8"/>
      <c r="E780" s="8"/>
      <c r="F780" s="8"/>
      <c r="G780" s="8"/>
      <c r="H780" s="8"/>
    </row>
    <row r="781">
      <c r="B781" s="142"/>
      <c r="C781" s="8"/>
      <c r="D781" s="8"/>
      <c r="E781" s="8"/>
      <c r="F781" s="8"/>
      <c r="G781" s="8"/>
      <c r="H781" s="8"/>
    </row>
    <row r="782">
      <c r="B782" s="142"/>
      <c r="C782" s="8"/>
      <c r="D782" s="8"/>
      <c r="E782" s="8"/>
      <c r="F782" s="8"/>
      <c r="G782" s="8"/>
      <c r="H782" s="8"/>
    </row>
    <row r="783">
      <c r="B783" s="142"/>
      <c r="C783" s="8"/>
      <c r="D783" s="8"/>
      <c r="E783" s="8"/>
      <c r="F783" s="8"/>
      <c r="G783" s="8"/>
      <c r="H783" s="8"/>
    </row>
    <row r="784">
      <c r="B784" s="142"/>
      <c r="C784" s="8"/>
      <c r="D784" s="8"/>
      <c r="E784" s="8"/>
      <c r="F784" s="8"/>
      <c r="G784" s="8"/>
      <c r="H784" s="8"/>
    </row>
    <row r="785">
      <c r="B785" s="142"/>
      <c r="C785" s="8"/>
      <c r="D785" s="8"/>
      <c r="E785" s="8"/>
      <c r="F785" s="8"/>
      <c r="G785" s="8"/>
      <c r="H785" s="8"/>
    </row>
    <row r="786">
      <c r="B786" s="142"/>
      <c r="C786" s="8"/>
      <c r="D786" s="8"/>
      <c r="E786" s="8"/>
      <c r="F786" s="8"/>
      <c r="G786" s="8"/>
      <c r="H786" s="8"/>
    </row>
    <row r="787">
      <c r="B787" s="142"/>
      <c r="C787" s="8"/>
      <c r="D787" s="8"/>
      <c r="E787" s="8"/>
      <c r="F787" s="8"/>
      <c r="G787" s="8"/>
      <c r="H787" s="8"/>
    </row>
    <row r="788">
      <c r="B788" s="142"/>
      <c r="C788" s="8"/>
      <c r="D788" s="8"/>
      <c r="E788" s="8"/>
      <c r="F788" s="8"/>
      <c r="G788" s="8"/>
      <c r="H788" s="8"/>
    </row>
    <row r="789">
      <c r="B789" s="142"/>
      <c r="C789" s="8"/>
      <c r="D789" s="8"/>
      <c r="E789" s="8"/>
      <c r="F789" s="8"/>
      <c r="G789" s="8"/>
      <c r="H789" s="8"/>
    </row>
    <row r="790">
      <c r="B790" s="142"/>
      <c r="C790" s="8"/>
      <c r="D790" s="8"/>
      <c r="E790" s="8"/>
      <c r="F790" s="8"/>
      <c r="G790" s="8"/>
      <c r="H790" s="8"/>
    </row>
    <row r="791">
      <c r="B791" s="142"/>
      <c r="C791" s="8"/>
      <c r="D791" s="8"/>
      <c r="E791" s="8"/>
      <c r="F791" s="8"/>
      <c r="G791" s="8"/>
      <c r="H791" s="8"/>
    </row>
    <row r="792">
      <c r="B792" s="142"/>
      <c r="C792" s="8"/>
      <c r="D792" s="8"/>
      <c r="E792" s="8"/>
      <c r="F792" s="8"/>
      <c r="G792" s="8"/>
      <c r="H792" s="8"/>
    </row>
    <row r="793">
      <c r="B793" s="142"/>
      <c r="C793" s="8"/>
      <c r="D793" s="8"/>
      <c r="E793" s="8"/>
      <c r="F793" s="8"/>
      <c r="G793" s="8"/>
      <c r="H793" s="8"/>
    </row>
    <row r="794">
      <c r="B794" s="142"/>
      <c r="C794" s="8"/>
      <c r="D794" s="8"/>
      <c r="E794" s="8"/>
      <c r="F794" s="8"/>
      <c r="G794" s="8"/>
      <c r="H794" s="8"/>
    </row>
    <row r="795">
      <c r="B795" s="142"/>
      <c r="C795" s="8"/>
      <c r="D795" s="8"/>
      <c r="E795" s="8"/>
      <c r="F795" s="8"/>
      <c r="G795" s="8"/>
      <c r="H795" s="8"/>
    </row>
    <row r="796">
      <c r="B796" s="142"/>
      <c r="C796" s="8"/>
      <c r="D796" s="8"/>
      <c r="E796" s="8"/>
      <c r="F796" s="8"/>
      <c r="G796" s="8"/>
      <c r="H796" s="8"/>
    </row>
    <row r="797">
      <c r="B797" s="142"/>
      <c r="C797" s="8"/>
      <c r="D797" s="8"/>
      <c r="E797" s="8"/>
      <c r="F797" s="8"/>
      <c r="G797" s="8"/>
      <c r="H797" s="8"/>
    </row>
    <row r="798">
      <c r="B798" s="142"/>
      <c r="C798" s="8"/>
      <c r="D798" s="8"/>
      <c r="E798" s="8"/>
      <c r="F798" s="8"/>
      <c r="G798" s="8"/>
      <c r="H798" s="8"/>
    </row>
    <row r="799">
      <c r="B799" s="142"/>
      <c r="C799" s="8"/>
      <c r="D799" s="8"/>
      <c r="E799" s="8"/>
      <c r="F799" s="8"/>
      <c r="G799" s="8"/>
      <c r="H799" s="8"/>
    </row>
    <row r="800">
      <c r="B800" s="142"/>
      <c r="C800" s="8"/>
      <c r="D800" s="8"/>
      <c r="E800" s="8"/>
      <c r="F800" s="8"/>
      <c r="G800" s="8"/>
      <c r="H800" s="8"/>
    </row>
    <row r="801">
      <c r="B801" s="142"/>
      <c r="C801" s="8"/>
      <c r="D801" s="8"/>
      <c r="E801" s="8"/>
      <c r="F801" s="8"/>
      <c r="G801" s="8"/>
      <c r="H801" s="8"/>
    </row>
    <row r="802">
      <c r="B802" s="142"/>
      <c r="C802" s="8"/>
      <c r="D802" s="8"/>
      <c r="E802" s="8"/>
      <c r="F802" s="8"/>
      <c r="G802" s="8"/>
      <c r="H802" s="8"/>
    </row>
    <row r="803">
      <c r="B803" s="142"/>
      <c r="C803" s="8"/>
      <c r="D803" s="8"/>
      <c r="E803" s="8"/>
      <c r="F803" s="8"/>
      <c r="G803" s="8"/>
      <c r="H803" s="8"/>
    </row>
    <row r="804">
      <c r="B804" s="142"/>
      <c r="C804" s="8"/>
      <c r="D804" s="8"/>
      <c r="E804" s="8"/>
      <c r="F804" s="8"/>
      <c r="G804" s="8"/>
      <c r="H804" s="8"/>
    </row>
    <row r="805">
      <c r="B805" s="142"/>
      <c r="C805" s="8"/>
      <c r="D805" s="8"/>
      <c r="E805" s="8"/>
      <c r="F805" s="8"/>
      <c r="G805" s="8"/>
      <c r="H805" s="8"/>
    </row>
    <row r="806">
      <c r="B806" s="142"/>
      <c r="C806" s="8"/>
      <c r="D806" s="8"/>
      <c r="E806" s="8"/>
      <c r="F806" s="8"/>
      <c r="G806" s="8"/>
      <c r="H806" s="8"/>
    </row>
    <row r="807">
      <c r="B807" s="142"/>
      <c r="C807" s="8"/>
      <c r="D807" s="8"/>
      <c r="E807" s="8"/>
      <c r="F807" s="8"/>
      <c r="G807" s="8"/>
      <c r="H807" s="8"/>
    </row>
    <row r="808">
      <c r="B808" s="142"/>
      <c r="C808" s="8"/>
      <c r="D808" s="8"/>
      <c r="E808" s="8"/>
      <c r="F808" s="8"/>
      <c r="G808" s="8"/>
      <c r="H808" s="8"/>
    </row>
    <row r="809">
      <c r="B809" s="142"/>
      <c r="C809" s="8"/>
      <c r="D809" s="8"/>
      <c r="E809" s="8"/>
      <c r="F809" s="8"/>
      <c r="G809" s="8"/>
      <c r="H809" s="8"/>
    </row>
    <row r="810">
      <c r="B810" s="142"/>
      <c r="C810" s="8"/>
      <c r="D810" s="8"/>
      <c r="E810" s="8"/>
      <c r="F810" s="8"/>
      <c r="G810" s="8"/>
      <c r="H810" s="8"/>
    </row>
    <row r="811">
      <c r="B811" s="142"/>
      <c r="C811" s="8"/>
      <c r="D811" s="8"/>
      <c r="E811" s="8"/>
      <c r="F811" s="8"/>
      <c r="G811" s="8"/>
      <c r="H811" s="8"/>
    </row>
    <row r="812">
      <c r="B812" s="142"/>
      <c r="C812" s="8"/>
      <c r="D812" s="8"/>
      <c r="E812" s="8"/>
      <c r="F812" s="8"/>
      <c r="G812" s="8"/>
      <c r="H812" s="8"/>
    </row>
    <row r="813">
      <c r="B813" s="142"/>
      <c r="C813" s="8"/>
      <c r="D813" s="8"/>
      <c r="E813" s="8"/>
      <c r="F813" s="8"/>
      <c r="G813" s="8"/>
      <c r="H813" s="8"/>
    </row>
    <row r="814">
      <c r="B814" s="142"/>
      <c r="C814" s="8"/>
      <c r="D814" s="8"/>
      <c r="E814" s="8"/>
      <c r="F814" s="8"/>
      <c r="G814" s="8"/>
      <c r="H814" s="8"/>
    </row>
    <row r="815">
      <c r="B815" s="142"/>
      <c r="C815" s="8"/>
      <c r="D815" s="8"/>
      <c r="E815" s="8"/>
      <c r="F815" s="8"/>
      <c r="G815" s="8"/>
      <c r="H815" s="8"/>
    </row>
    <row r="816">
      <c r="B816" s="142"/>
      <c r="C816" s="8"/>
      <c r="D816" s="8"/>
      <c r="E816" s="8"/>
      <c r="F816" s="8"/>
      <c r="G816" s="8"/>
      <c r="H816" s="8"/>
    </row>
    <row r="817">
      <c r="B817" s="142"/>
      <c r="C817" s="8"/>
      <c r="D817" s="8"/>
      <c r="E817" s="8"/>
      <c r="F817" s="8"/>
      <c r="G817" s="8"/>
      <c r="H817" s="8"/>
    </row>
    <row r="818">
      <c r="B818" s="142"/>
      <c r="C818" s="8"/>
      <c r="D818" s="8"/>
      <c r="E818" s="8"/>
      <c r="F818" s="8"/>
      <c r="G818" s="8"/>
      <c r="H818" s="8"/>
    </row>
    <row r="819">
      <c r="B819" s="142"/>
      <c r="C819" s="8"/>
      <c r="D819" s="8"/>
      <c r="E819" s="8"/>
      <c r="F819" s="8"/>
      <c r="G819" s="8"/>
      <c r="H819" s="8"/>
    </row>
    <row r="820">
      <c r="B820" s="142"/>
      <c r="C820" s="8"/>
      <c r="D820" s="8"/>
      <c r="E820" s="8"/>
      <c r="F820" s="8"/>
      <c r="G820" s="8"/>
      <c r="H820" s="8"/>
    </row>
    <row r="821">
      <c r="B821" s="142"/>
      <c r="C821" s="8"/>
      <c r="D821" s="8"/>
      <c r="E821" s="8"/>
      <c r="F821" s="8"/>
      <c r="G821" s="8"/>
      <c r="H821" s="8"/>
    </row>
    <row r="822">
      <c r="B822" s="142"/>
      <c r="C822" s="8"/>
      <c r="D822" s="8"/>
      <c r="E822" s="8"/>
      <c r="F822" s="8"/>
      <c r="G822" s="8"/>
      <c r="H822" s="8"/>
    </row>
    <row r="823">
      <c r="B823" s="142"/>
      <c r="C823" s="8"/>
      <c r="D823" s="8"/>
      <c r="E823" s="8"/>
      <c r="F823" s="8"/>
      <c r="G823" s="8"/>
      <c r="H823" s="8"/>
    </row>
    <row r="824">
      <c r="B824" s="142"/>
      <c r="C824" s="8"/>
      <c r="D824" s="8"/>
      <c r="E824" s="8"/>
      <c r="F824" s="8"/>
      <c r="G824" s="8"/>
      <c r="H824" s="8"/>
    </row>
    <row r="825">
      <c r="B825" s="142"/>
      <c r="C825" s="8"/>
      <c r="D825" s="8"/>
      <c r="E825" s="8"/>
      <c r="F825" s="8"/>
      <c r="G825" s="8"/>
      <c r="H825" s="8"/>
    </row>
    <row r="826">
      <c r="B826" s="142"/>
      <c r="C826" s="8"/>
      <c r="D826" s="8"/>
      <c r="E826" s="8"/>
      <c r="F826" s="8"/>
      <c r="G826" s="8"/>
      <c r="H826" s="8"/>
    </row>
    <row r="827">
      <c r="B827" s="142"/>
      <c r="C827" s="8"/>
      <c r="D827" s="8"/>
      <c r="E827" s="8"/>
      <c r="F827" s="8"/>
      <c r="G827" s="8"/>
      <c r="H827" s="8"/>
    </row>
    <row r="828">
      <c r="B828" s="142"/>
      <c r="C828" s="8"/>
      <c r="D828" s="8"/>
      <c r="E828" s="8"/>
      <c r="F828" s="8"/>
      <c r="G828" s="8"/>
      <c r="H828" s="8"/>
    </row>
    <row r="829">
      <c r="B829" s="142"/>
      <c r="C829" s="8"/>
      <c r="D829" s="8"/>
      <c r="E829" s="8"/>
      <c r="F829" s="8"/>
      <c r="G829" s="8"/>
      <c r="H829" s="8"/>
    </row>
    <row r="830">
      <c r="B830" s="142"/>
      <c r="C830" s="8"/>
      <c r="D830" s="8"/>
      <c r="E830" s="8"/>
      <c r="F830" s="8"/>
      <c r="G830" s="8"/>
      <c r="H830" s="8"/>
    </row>
    <row r="831">
      <c r="B831" s="142"/>
      <c r="C831" s="8"/>
      <c r="D831" s="8"/>
      <c r="E831" s="8"/>
      <c r="F831" s="8"/>
      <c r="G831" s="8"/>
      <c r="H831" s="8"/>
    </row>
    <row r="832">
      <c r="B832" s="142"/>
      <c r="C832" s="8"/>
      <c r="D832" s="8"/>
      <c r="E832" s="8"/>
      <c r="F832" s="8"/>
      <c r="G832" s="8"/>
      <c r="H832" s="8"/>
    </row>
    <row r="833">
      <c r="B833" s="142"/>
      <c r="C833" s="8"/>
      <c r="D833" s="8"/>
      <c r="E833" s="8"/>
      <c r="F833" s="8"/>
      <c r="G833" s="8"/>
      <c r="H833" s="8"/>
    </row>
    <row r="834">
      <c r="B834" s="142"/>
      <c r="C834" s="8"/>
      <c r="D834" s="8"/>
      <c r="E834" s="8"/>
      <c r="F834" s="8"/>
      <c r="G834" s="8"/>
      <c r="H834" s="8"/>
    </row>
    <row r="835">
      <c r="B835" s="142"/>
      <c r="C835" s="8"/>
      <c r="D835" s="8"/>
      <c r="E835" s="8"/>
      <c r="F835" s="8"/>
      <c r="G835" s="8"/>
      <c r="H835" s="8"/>
    </row>
    <row r="836">
      <c r="B836" s="142"/>
      <c r="C836" s="8"/>
      <c r="D836" s="8"/>
      <c r="E836" s="8"/>
      <c r="F836" s="8"/>
      <c r="G836" s="8"/>
      <c r="H836" s="8"/>
    </row>
    <row r="837">
      <c r="B837" s="142"/>
      <c r="C837" s="8"/>
      <c r="D837" s="8"/>
      <c r="E837" s="8"/>
      <c r="F837" s="8"/>
      <c r="G837" s="8"/>
      <c r="H837" s="8"/>
    </row>
    <row r="838">
      <c r="B838" s="142"/>
      <c r="C838" s="8"/>
      <c r="D838" s="8"/>
      <c r="E838" s="8"/>
      <c r="F838" s="8"/>
      <c r="G838" s="8"/>
      <c r="H838" s="8"/>
    </row>
    <row r="839">
      <c r="B839" s="142"/>
      <c r="C839" s="8"/>
      <c r="D839" s="8"/>
      <c r="E839" s="8"/>
      <c r="F839" s="8"/>
      <c r="G839" s="8"/>
      <c r="H839" s="8"/>
    </row>
    <row r="840">
      <c r="B840" s="142"/>
      <c r="C840" s="8"/>
      <c r="D840" s="8"/>
      <c r="E840" s="8"/>
      <c r="F840" s="8"/>
      <c r="G840" s="8"/>
      <c r="H840" s="8"/>
    </row>
    <row r="841">
      <c r="B841" s="142"/>
      <c r="C841" s="8"/>
      <c r="D841" s="8"/>
      <c r="E841" s="8"/>
      <c r="F841" s="8"/>
      <c r="G841" s="8"/>
      <c r="H841" s="8"/>
    </row>
    <row r="842">
      <c r="B842" s="142"/>
      <c r="C842" s="8"/>
      <c r="D842" s="8"/>
      <c r="E842" s="8"/>
      <c r="F842" s="8"/>
      <c r="G842" s="8"/>
      <c r="H842" s="8"/>
    </row>
    <row r="843">
      <c r="B843" s="142"/>
      <c r="C843" s="8"/>
      <c r="D843" s="8"/>
      <c r="E843" s="8"/>
      <c r="F843" s="8"/>
      <c r="G843" s="8"/>
      <c r="H843" s="8"/>
    </row>
    <row r="844">
      <c r="B844" s="142"/>
      <c r="C844" s="8"/>
      <c r="D844" s="8"/>
      <c r="E844" s="8"/>
      <c r="F844" s="8"/>
      <c r="G844" s="8"/>
      <c r="H844" s="8"/>
    </row>
    <row r="845">
      <c r="B845" s="142"/>
      <c r="C845" s="8"/>
      <c r="D845" s="8"/>
      <c r="E845" s="8"/>
      <c r="F845" s="8"/>
      <c r="G845" s="8"/>
      <c r="H845" s="8"/>
    </row>
    <row r="846">
      <c r="B846" s="142"/>
      <c r="C846" s="8"/>
      <c r="D846" s="8"/>
      <c r="E846" s="8"/>
      <c r="F846" s="8"/>
      <c r="G846" s="8"/>
      <c r="H846" s="8"/>
    </row>
    <row r="847">
      <c r="B847" s="142"/>
      <c r="C847" s="8"/>
      <c r="D847" s="8"/>
      <c r="E847" s="8"/>
      <c r="F847" s="8"/>
      <c r="G847" s="8"/>
      <c r="H847" s="8"/>
    </row>
    <row r="848">
      <c r="B848" s="142"/>
      <c r="C848" s="8"/>
      <c r="D848" s="8"/>
      <c r="E848" s="8"/>
      <c r="F848" s="8"/>
      <c r="G848" s="8"/>
      <c r="H848" s="8"/>
    </row>
    <row r="849">
      <c r="B849" s="142"/>
      <c r="C849" s="8"/>
      <c r="D849" s="8"/>
      <c r="E849" s="8"/>
      <c r="F849" s="8"/>
      <c r="G849" s="8"/>
      <c r="H849" s="8"/>
    </row>
    <row r="850">
      <c r="B850" s="142"/>
      <c r="C850" s="8"/>
      <c r="D850" s="8"/>
      <c r="E850" s="8"/>
      <c r="F850" s="8"/>
      <c r="G850" s="8"/>
      <c r="H850" s="8"/>
    </row>
    <row r="851">
      <c r="B851" s="142"/>
      <c r="C851" s="8"/>
      <c r="D851" s="8"/>
      <c r="E851" s="8"/>
      <c r="F851" s="8"/>
      <c r="G851" s="8"/>
      <c r="H851" s="8"/>
    </row>
    <row r="852">
      <c r="B852" s="142"/>
      <c r="C852" s="8"/>
      <c r="D852" s="8"/>
      <c r="E852" s="8"/>
      <c r="F852" s="8"/>
      <c r="G852" s="8"/>
      <c r="H852" s="8"/>
    </row>
    <row r="853">
      <c r="B853" s="142"/>
      <c r="C853" s="8"/>
      <c r="D853" s="8"/>
      <c r="E853" s="8"/>
      <c r="F853" s="8"/>
      <c r="G853" s="8"/>
      <c r="H853" s="8"/>
    </row>
    <row r="854">
      <c r="B854" s="142"/>
      <c r="C854" s="8"/>
      <c r="D854" s="8"/>
      <c r="E854" s="8"/>
      <c r="F854" s="8"/>
      <c r="G854" s="8"/>
      <c r="H854" s="8"/>
    </row>
    <row r="855">
      <c r="B855" s="142"/>
      <c r="C855" s="8"/>
      <c r="D855" s="8"/>
      <c r="E855" s="8"/>
      <c r="F855" s="8"/>
      <c r="G855" s="8"/>
      <c r="H855" s="8"/>
    </row>
    <row r="856">
      <c r="B856" s="142"/>
      <c r="C856" s="8"/>
      <c r="D856" s="8"/>
      <c r="E856" s="8"/>
      <c r="F856" s="8"/>
      <c r="G856" s="8"/>
      <c r="H856" s="8"/>
    </row>
    <row r="857">
      <c r="B857" s="142"/>
      <c r="C857" s="8"/>
      <c r="D857" s="8"/>
      <c r="E857" s="8"/>
      <c r="F857" s="8"/>
      <c r="G857" s="8"/>
      <c r="H857" s="8"/>
    </row>
    <row r="858">
      <c r="B858" s="142"/>
      <c r="C858" s="8"/>
      <c r="D858" s="8"/>
      <c r="E858" s="8"/>
      <c r="F858" s="8"/>
      <c r="G858" s="8"/>
      <c r="H858" s="8"/>
    </row>
    <row r="859">
      <c r="B859" s="142"/>
      <c r="C859" s="8"/>
      <c r="D859" s="8"/>
      <c r="E859" s="8"/>
      <c r="F859" s="8"/>
      <c r="G859" s="8"/>
      <c r="H859" s="8"/>
    </row>
    <row r="860">
      <c r="B860" s="142"/>
      <c r="C860" s="8"/>
      <c r="D860" s="8"/>
      <c r="E860" s="8"/>
      <c r="F860" s="8"/>
      <c r="G860" s="8"/>
      <c r="H860" s="8"/>
    </row>
    <row r="861">
      <c r="B861" s="142"/>
      <c r="C861" s="8"/>
      <c r="D861" s="8"/>
      <c r="E861" s="8"/>
      <c r="F861" s="8"/>
      <c r="G861" s="8"/>
      <c r="H861" s="8"/>
    </row>
    <row r="862">
      <c r="B862" s="142"/>
      <c r="C862" s="8"/>
      <c r="D862" s="8"/>
      <c r="E862" s="8"/>
      <c r="F862" s="8"/>
      <c r="G862" s="8"/>
      <c r="H862" s="8"/>
    </row>
    <row r="863">
      <c r="B863" s="142"/>
      <c r="C863" s="8"/>
      <c r="D863" s="8"/>
      <c r="E863" s="8"/>
      <c r="F863" s="8"/>
      <c r="G863" s="8"/>
      <c r="H863" s="8"/>
    </row>
    <row r="864">
      <c r="B864" s="142"/>
      <c r="C864" s="8"/>
      <c r="D864" s="8"/>
      <c r="E864" s="8"/>
      <c r="F864" s="8"/>
      <c r="G864" s="8"/>
      <c r="H864" s="8"/>
    </row>
    <row r="865">
      <c r="B865" s="142"/>
      <c r="C865" s="8"/>
      <c r="D865" s="8"/>
      <c r="E865" s="8"/>
      <c r="F865" s="8"/>
      <c r="G865" s="8"/>
      <c r="H865" s="8"/>
    </row>
    <row r="866">
      <c r="B866" s="142"/>
      <c r="C866" s="8"/>
      <c r="D866" s="8"/>
      <c r="E866" s="8"/>
      <c r="F866" s="8"/>
      <c r="G866" s="8"/>
      <c r="H866" s="8"/>
    </row>
    <row r="867">
      <c r="B867" s="142"/>
      <c r="C867" s="8"/>
      <c r="D867" s="8"/>
      <c r="E867" s="8"/>
      <c r="F867" s="8"/>
      <c r="G867" s="8"/>
      <c r="H867" s="8"/>
    </row>
    <row r="868">
      <c r="B868" s="142"/>
      <c r="C868" s="8"/>
      <c r="D868" s="8"/>
      <c r="E868" s="8"/>
      <c r="F868" s="8"/>
      <c r="G868" s="8"/>
      <c r="H868" s="8"/>
    </row>
    <row r="869">
      <c r="B869" s="142"/>
      <c r="C869" s="8"/>
      <c r="D869" s="8"/>
      <c r="E869" s="8"/>
      <c r="F869" s="8"/>
      <c r="G869" s="8"/>
      <c r="H869" s="8"/>
    </row>
    <row r="870">
      <c r="B870" s="142"/>
      <c r="C870" s="8"/>
      <c r="D870" s="8"/>
      <c r="E870" s="8"/>
      <c r="F870" s="8"/>
      <c r="G870" s="8"/>
      <c r="H870" s="8"/>
    </row>
    <row r="871">
      <c r="B871" s="142"/>
      <c r="C871" s="8"/>
      <c r="D871" s="8"/>
      <c r="E871" s="8"/>
      <c r="F871" s="8"/>
      <c r="G871" s="8"/>
      <c r="H871" s="8"/>
    </row>
    <row r="872">
      <c r="B872" s="142"/>
      <c r="C872" s="8"/>
      <c r="D872" s="8"/>
      <c r="E872" s="8"/>
      <c r="F872" s="8"/>
      <c r="G872" s="8"/>
      <c r="H872" s="8"/>
    </row>
    <row r="873">
      <c r="B873" s="142"/>
      <c r="C873" s="8"/>
      <c r="D873" s="8"/>
      <c r="E873" s="8"/>
      <c r="F873" s="8"/>
      <c r="G873" s="8"/>
      <c r="H873" s="8"/>
    </row>
    <row r="874">
      <c r="B874" s="142"/>
      <c r="C874" s="8"/>
      <c r="D874" s="8"/>
      <c r="E874" s="8"/>
      <c r="F874" s="8"/>
      <c r="G874" s="8"/>
      <c r="H874" s="8"/>
    </row>
    <row r="875">
      <c r="B875" s="142"/>
      <c r="C875" s="8"/>
      <c r="D875" s="8"/>
      <c r="E875" s="8"/>
      <c r="F875" s="8"/>
      <c r="G875" s="8"/>
      <c r="H875" s="8"/>
    </row>
    <row r="876">
      <c r="B876" s="142"/>
      <c r="C876" s="8"/>
      <c r="D876" s="8"/>
      <c r="E876" s="8"/>
      <c r="F876" s="8"/>
      <c r="G876" s="8"/>
      <c r="H876" s="8"/>
    </row>
    <row r="877">
      <c r="B877" s="142"/>
      <c r="C877" s="8"/>
      <c r="D877" s="8"/>
      <c r="E877" s="8"/>
      <c r="F877" s="8"/>
      <c r="G877" s="8"/>
      <c r="H877" s="8"/>
    </row>
    <row r="878">
      <c r="B878" s="142"/>
      <c r="C878" s="8"/>
      <c r="D878" s="8"/>
      <c r="E878" s="8"/>
      <c r="F878" s="8"/>
      <c r="G878" s="8"/>
      <c r="H878" s="8"/>
    </row>
    <row r="879">
      <c r="B879" s="142"/>
      <c r="C879" s="8"/>
      <c r="D879" s="8"/>
      <c r="E879" s="8"/>
      <c r="F879" s="8"/>
      <c r="G879" s="8"/>
      <c r="H879" s="8"/>
    </row>
    <row r="880">
      <c r="B880" s="142"/>
      <c r="C880" s="8"/>
      <c r="D880" s="8"/>
      <c r="E880" s="8"/>
      <c r="F880" s="8"/>
      <c r="G880" s="8"/>
      <c r="H880" s="8"/>
    </row>
    <row r="881">
      <c r="B881" s="142"/>
      <c r="C881" s="8"/>
      <c r="D881" s="8"/>
      <c r="E881" s="8"/>
      <c r="F881" s="8"/>
      <c r="G881" s="8"/>
      <c r="H881" s="8"/>
    </row>
    <row r="882">
      <c r="B882" s="142"/>
      <c r="C882" s="8"/>
      <c r="D882" s="8"/>
      <c r="E882" s="8"/>
      <c r="F882" s="8"/>
      <c r="G882" s="8"/>
      <c r="H882" s="8"/>
    </row>
    <row r="883">
      <c r="B883" s="142"/>
      <c r="C883" s="8"/>
      <c r="D883" s="8"/>
      <c r="E883" s="8"/>
      <c r="F883" s="8"/>
      <c r="G883" s="8"/>
      <c r="H883" s="8"/>
    </row>
    <row r="884">
      <c r="B884" s="142"/>
      <c r="C884" s="8"/>
      <c r="D884" s="8"/>
      <c r="E884" s="8"/>
      <c r="F884" s="8"/>
      <c r="G884" s="8"/>
      <c r="H884" s="8"/>
    </row>
    <row r="885">
      <c r="B885" s="142"/>
      <c r="C885" s="8"/>
      <c r="D885" s="8"/>
      <c r="E885" s="8"/>
      <c r="F885" s="8"/>
      <c r="G885" s="8"/>
      <c r="H885" s="8"/>
    </row>
    <row r="886">
      <c r="B886" s="142"/>
      <c r="C886" s="8"/>
      <c r="D886" s="8"/>
      <c r="E886" s="8"/>
      <c r="F886" s="8"/>
      <c r="G886" s="8"/>
      <c r="H886" s="8"/>
    </row>
    <row r="887">
      <c r="B887" s="142"/>
      <c r="C887" s="8"/>
      <c r="D887" s="8"/>
      <c r="E887" s="8"/>
      <c r="F887" s="8"/>
      <c r="G887" s="8"/>
      <c r="H887" s="8"/>
    </row>
    <row r="888">
      <c r="B888" s="142"/>
      <c r="C888" s="8"/>
      <c r="D888" s="8"/>
      <c r="E888" s="8"/>
      <c r="F888" s="8"/>
      <c r="G888" s="8"/>
      <c r="H888" s="8"/>
    </row>
    <row r="889">
      <c r="B889" s="142"/>
      <c r="C889" s="8"/>
      <c r="D889" s="8"/>
      <c r="E889" s="8"/>
      <c r="F889" s="8"/>
      <c r="G889" s="8"/>
      <c r="H889" s="8"/>
    </row>
    <row r="890">
      <c r="B890" s="142"/>
      <c r="C890" s="8"/>
      <c r="D890" s="8"/>
      <c r="E890" s="8"/>
      <c r="F890" s="8"/>
      <c r="G890" s="8"/>
      <c r="H890" s="8"/>
    </row>
    <row r="891">
      <c r="B891" s="142"/>
      <c r="C891" s="8"/>
      <c r="D891" s="8"/>
      <c r="E891" s="8"/>
      <c r="F891" s="8"/>
      <c r="G891" s="8"/>
      <c r="H891" s="8"/>
    </row>
    <row r="892">
      <c r="B892" s="142"/>
      <c r="C892" s="8"/>
      <c r="D892" s="8"/>
      <c r="E892" s="8"/>
      <c r="F892" s="8"/>
      <c r="G892" s="8"/>
      <c r="H892" s="8"/>
    </row>
    <row r="893">
      <c r="B893" s="142"/>
      <c r="C893" s="8"/>
      <c r="D893" s="8"/>
      <c r="E893" s="8"/>
      <c r="F893" s="8"/>
      <c r="G893" s="8"/>
      <c r="H893" s="8"/>
    </row>
    <row r="894">
      <c r="B894" s="142"/>
      <c r="C894" s="8"/>
      <c r="D894" s="8"/>
      <c r="E894" s="8"/>
      <c r="F894" s="8"/>
      <c r="G894" s="8"/>
      <c r="H894" s="8"/>
    </row>
    <row r="895">
      <c r="B895" s="142"/>
      <c r="C895" s="8"/>
      <c r="D895" s="8"/>
      <c r="E895" s="8"/>
      <c r="F895" s="8"/>
      <c r="G895" s="8"/>
      <c r="H895" s="8"/>
    </row>
    <row r="896">
      <c r="B896" s="142"/>
      <c r="C896" s="8"/>
      <c r="D896" s="8"/>
      <c r="E896" s="8"/>
      <c r="F896" s="8"/>
      <c r="G896" s="8"/>
      <c r="H896" s="8"/>
    </row>
    <row r="897">
      <c r="B897" s="142"/>
      <c r="C897" s="8"/>
      <c r="D897" s="8"/>
      <c r="E897" s="8"/>
      <c r="F897" s="8"/>
      <c r="G897" s="8"/>
      <c r="H897" s="8"/>
    </row>
    <row r="898">
      <c r="B898" s="142"/>
      <c r="C898" s="8"/>
      <c r="D898" s="8"/>
      <c r="E898" s="8"/>
      <c r="F898" s="8"/>
      <c r="G898" s="8"/>
      <c r="H898" s="8"/>
    </row>
    <row r="899">
      <c r="B899" s="142"/>
      <c r="C899" s="8"/>
      <c r="D899" s="8"/>
      <c r="E899" s="8"/>
      <c r="F899" s="8"/>
      <c r="G899" s="8"/>
      <c r="H899" s="8"/>
    </row>
    <row r="900">
      <c r="B900" s="142"/>
      <c r="C900" s="8"/>
      <c r="D900" s="8"/>
      <c r="E900" s="8"/>
      <c r="F900" s="8"/>
      <c r="G900" s="8"/>
      <c r="H900" s="8"/>
    </row>
    <row r="901">
      <c r="B901" s="142"/>
      <c r="C901" s="8"/>
      <c r="D901" s="8"/>
      <c r="E901" s="8"/>
      <c r="F901" s="8"/>
      <c r="G901" s="8"/>
      <c r="H901" s="8"/>
    </row>
    <row r="902">
      <c r="B902" s="142"/>
      <c r="C902" s="8"/>
      <c r="D902" s="8"/>
      <c r="E902" s="8"/>
      <c r="F902" s="8"/>
      <c r="G902" s="8"/>
      <c r="H902" s="8"/>
    </row>
    <row r="903">
      <c r="B903" s="142"/>
      <c r="C903" s="8"/>
      <c r="D903" s="8"/>
      <c r="E903" s="8"/>
      <c r="F903" s="8"/>
      <c r="G903" s="8"/>
      <c r="H903" s="8"/>
    </row>
    <row r="904">
      <c r="B904" s="142"/>
      <c r="C904" s="8"/>
      <c r="D904" s="8"/>
      <c r="E904" s="8"/>
      <c r="F904" s="8"/>
      <c r="G904" s="8"/>
      <c r="H904" s="8"/>
    </row>
    <row r="905">
      <c r="B905" s="142"/>
      <c r="C905" s="8"/>
      <c r="D905" s="8"/>
      <c r="E905" s="8"/>
      <c r="F905" s="8"/>
      <c r="G905" s="8"/>
      <c r="H905" s="8"/>
    </row>
    <row r="906">
      <c r="B906" s="142"/>
      <c r="C906" s="8"/>
      <c r="D906" s="8"/>
      <c r="E906" s="8"/>
      <c r="F906" s="8"/>
      <c r="G906" s="8"/>
      <c r="H906" s="8"/>
    </row>
    <row r="907">
      <c r="B907" s="142"/>
      <c r="C907" s="8"/>
      <c r="D907" s="8"/>
      <c r="E907" s="8"/>
      <c r="F907" s="8"/>
      <c r="G907" s="8"/>
      <c r="H907" s="8"/>
    </row>
    <row r="908">
      <c r="B908" s="142"/>
      <c r="C908" s="8"/>
      <c r="D908" s="8"/>
      <c r="E908" s="8"/>
      <c r="F908" s="8"/>
      <c r="G908" s="8"/>
      <c r="H908" s="8"/>
    </row>
    <row r="909">
      <c r="B909" s="142"/>
      <c r="C909" s="8"/>
      <c r="D909" s="8"/>
      <c r="E909" s="8"/>
      <c r="F909" s="8"/>
      <c r="G909" s="8"/>
      <c r="H909" s="8"/>
    </row>
    <row r="910">
      <c r="B910" s="142"/>
      <c r="C910" s="8"/>
      <c r="D910" s="8"/>
      <c r="E910" s="8"/>
      <c r="F910" s="8"/>
      <c r="G910" s="8"/>
      <c r="H910" s="8"/>
    </row>
    <row r="911">
      <c r="B911" s="142"/>
      <c r="C911" s="8"/>
      <c r="D911" s="8"/>
      <c r="E911" s="8"/>
      <c r="F911" s="8"/>
      <c r="G911" s="8"/>
      <c r="H911" s="8"/>
    </row>
    <row r="912">
      <c r="B912" s="142"/>
      <c r="C912" s="8"/>
      <c r="D912" s="8"/>
      <c r="E912" s="8"/>
      <c r="F912" s="8"/>
      <c r="G912" s="8"/>
      <c r="H912" s="8"/>
    </row>
    <row r="913">
      <c r="B913" s="142"/>
      <c r="C913" s="8"/>
      <c r="D913" s="8"/>
      <c r="E913" s="8"/>
      <c r="F913" s="8"/>
      <c r="G913" s="8"/>
      <c r="H913" s="8"/>
    </row>
    <row r="914">
      <c r="B914" s="142"/>
      <c r="C914" s="8"/>
      <c r="D914" s="8"/>
      <c r="E914" s="8"/>
      <c r="F914" s="8"/>
      <c r="G914" s="8"/>
      <c r="H914" s="8"/>
    </row>
    <row r="915">
      <c r="B915" s="142"/>
      <c r="C915" s="8"/>
      <c r="D915" s="8"/>
      <c r="E915" s="8"/>
      <c r="F915" s="8"/>
      <c r="G915" s="8"/>
      <c r="H915" s="8"/>
    </row>
    <row r="916">
      <c r="B916" s="142"/>
      <c r="C916" s="8"/>
      <c r="D916" s="8"/>
      <c r="E916" s="8"/>
      <c r="F916" s="8"/>
      <c r="G916" s="8"/>
      <c r="H916" s="8"/>
    </row>
    <row r="917">
      <c r="B917" s="142"/>
      <c r="C917" s="8"/>
      <c r="D917" s="8"/>
      <c r="E917" s="8"/>
      <c r="F917" s="8"/>
      <c r="G917" s="8"/>
      <c r="H917" s="8"/>
    </row>
    <row r="918">
      <c r="B918" s="142"/>
      <c r="C918" s="8"/>
      <c r="D918" s="8"/>
      <c r="E918" s="8"/>
      <c r="F918" s="8"/>
      <c r="G918" s="8"/>
      <c r="H918" s="8"/>
    </row>
    <row r="919">
      <c r="B919" s="142"/>
      <c r="C919" s="8"/>
      <c r="D919" s="8"/>
      <c r="E919" s="8"/>
      <c r="F919" s="8"/>
      <c r="G919" s="8"/>
      <c r="H919" s="8"/>
    </row>
    <row r="920">
      <c r="B920" s="142"/>
      <c r="C920" s="8"/>
      <c r="D920" s="8"/>
      <c r="E920" s="8"/>
      <c r="F920" s="8"/>
      <c r="G920" s="8"/>
      <c r="H920" s="8"/>
    </row>
    <row r="921">
      <c r="B921" s="142"/>
      <c r="C921" s="8"/>
      <c r="D921" s="8"/>
      <c r="E921" s="8"/>
      <c r="F921" s="8"/>
      <c r="G921" s="8"/>
      <c r="H921" s="8"/>
    </row>
    <row r="922">
      <c r="B922" s="142"/>
      <c r="C922" s="8"/>
      <c r="D922" s="8"/>
      <c r="E922" s="8"/>
      <c r="F922" s="8"/>
      <c r="G922" s="8"/>
      <c r="H922" s="8"/>
    </row>
    <row r="923">
      <c r="B923" s="142"/>
      <c r="C923" s="8"/>
      <c r="D923" s="8"/>
      <c r="E923" s="8"/>
      <c r="F923" s="8"/>
      <c r="G923" s="8"/>
      <c r="H923" s="8"/>
    </row>
    <row r="924">
      <c r="B924" s="142"/>
      <c r="C924" s="8"/>
      <c r="D924" s="8"/>
      <c r="E924" s="8"/>
      <c r="F924" s="8"/>
      <c r="G924" s="8"/>
      <c r="H924" s="8"/>
    </row>
    <row r="925">
      <c r="B925" s="142"/>
      <c r="C925" s="8"/>
      <c r="D925" s="8"/>
      <c r="E925" s="8"/>
      <c r="F925" s="8"/>
      <c r="G925" s="8"/>
      <c r="H925" s="8"/>
    </row>
    <row r="926">
      <c r="B926" s="142"/>
      <c r="C926" s="8"/>
      <c r="D926" s="8"/>
      <c r="E926" s="8"/>
      <c r="F926" s="8"/>
      <c r="G926" s="8"/>
      <c r="H926" s="8"/>
    </row>
    <row r="927">
      <c r="B927" s="142"/>
      <c r="C927" s="8"/>
      <c r="D927" s="8"/>
      <c r="E927" s="8"/>
      <c r="F927" s="8"/>
      <c r="G927" s="8"/>
      <c r="H927" s="8"/>
    </row>
    <row r="928">
      <c r="B928" s="142"/>
      <c r="C928" s="8"/>
      <c r="D928" s="8"/>
      <c r="E928" s="8"/>
      <c r="F928" s="8"/>
      <c r="G928" s="8"/>
      <c r="H928" s="8"/>
    </row>
    <row r="929">
      <c r="B929" s="142"/>
      <c r="C929" s="8"/>
      <c r="D929" s="8"/>
      <c r="E929" s="8"/>
      <c r="F929" s="8"/>
      <c r="G929" s="8"/>
      <c r="H929" s="8"/>
    </row>
    <row r="930">
      <c r="B930" s="142"/>
      <c r="C930" s="8"/>
      <c r="D930" s="8"/>
      <c r="E930" s="8"/>
      <c r="F930" s="8"/>
      <c r="G930" s="8"/>
      <c r="H930" s="8"/>
    </row>
    <row r="931">
      <c r="B931" s="142"/>
      <c r="C931" s="8"/>
      <c r="D931" s="8"/>
      <c r="E931" s="8"/>
      <c r="F931" s="8"/>
      <c r="G931" s="8"/>
      <c r="H931" s="8"/>
    </row>
    <row r="932">
      <c r="B932" s="142"/>
      <c r="C932" s="8"/>
      <c r="D932" s="8"/>
      <c r="E932" s="8"/>
      <c r="F932" s="8"/>
      <c r="G932" s="8"/>
      <c r="H932" s="8"/>
    </row>
    <row r="933">
      <c r="B933" s="142"/>
      <c r="C933" s="8"/>
      <c r="D933" s="8"/>
      <c r="E933" s="8"/>
      <c r="F933" s="8"/>
      <c r="G933" s="8"/>
      <c r="H933" s="8"/>
    </row>
    <row r="934">
      <c r="B934" s="142"/>
      <c r="C934" s="8"/>
      <c r="D934" s="8"/>
      <c r="E934" s="8"/>
      <c r="F934" s="8"/>
      <c r="G934" s="8"/>
      <c r="H934" s="8"/>
    </row>
    <row r="935">
      <c r="B935" s="142"/>
      <c r="C935" s="8"/>
      <c r="D935" s="8"/>
      <c r="E935" s="8"/>
      <c r="F935" s="8"/>
      <c r="G935" s="8"/>
      <c r="H935" s="8"/>
    </row>
    <row r="936">
      <c r="B936" s="142"/>
      <c r="C936" s="8"/>
      <c r="D936" s="8"/>
      <c r="E936" s="8"/>
      <c r="F936" s="8"/>
      <c r="G936" s="8"/>
      <c r="H936" s="8"/>
    </row>
    <row r="937">
      <c r="B937" s="142"/>
      <c r="C937" s="8"/>
      <c r="D937" s="8"/>
      <c r="E937" s="8"/>
      <c r="F937" s="8"/>
      <c r="G937" s="8"/>
      <c r="H937" s="8"/>
    </row>
    <row r="938">
      <c r="B938" s="142"/>
      <c r="C938" s="8"/>
      <c r="D938" s="8"/>
      <c r="E938" s="8"/>
      <c r="F938" s="8"/>
      <c r="G938" s="8"/>
      <c r="H938" s="8"/>
    </row>
    <row r="939">
      <c r="B939" s="142"/>
      <c r="C939" s="8"/>
      <c r="D939" s="8"/>
      <c r="E939" s="8"/>
      <c r="F939" s="8"/>
      <c r="G939" s="8"/>
      <c r="H939" s="8"/>
    </row>
    <row r="940">
      <c r="B940" s="142"/>
      <c r="C940" s="8"/>
      <c r="D940" s="8"/>
      <c r="E940" s="8"/>
      <c r="F940" s="8"/>
      <c r="G940" s="8"/>
      <c r="H940" s="8"/>
    </row>
    <row r="941">
      <c r="B941" s="142"/>
      <c r="C941" s="8"/>
      <c r="D941" s="8"/>
      <c r="E941" s="8"/>
      <c r="F941" s="8"/>
      <c r="G941" s="8"/>
      <c r="H941" s="8"/>
    </row>
    <row r="942">
      <c r="B942" s="142"/>
      <c r="C942" s="8"/>
      <c r="D942" s="8"/>
      <c r="E942" s="8"/>
      <c r="F942" s="8"/>
      <c r="G942" s="8"/>
      <c r="H942" s="8"/>
    </row>
    <row r="943">
      <c r="B943" s="142"/>
      <c r="C943" s="8"/>
      <c r="D943" s="8"/>
      <c r="E943" s="8"/>
      <c r="F943" s="8"/>
      <c r="G943" s="8"/>
      <c r="H943" s="8"/>
    </row>
    <row r="944">
      <c r="B944" s="142"/>
      <c r="C944" s="8"/>
      <c r="D944" s="8"/>
      <c r="E944" s="8"/>
      <c r="F944" s="8"/>
      <c r="G944" s="8"/>
      <c r="H944" s="8"/>
    </row>
    <row r="945">
      <c r="B945" s="142"/>
      <c r="C945" s="8"/>
      <c r="D945" s="8"/>
      <c r="E945" s="8"/>
      <c r="F945" s="8"/>
      <c r="G945" s="8"/>
      <c r="H945" s="8"/>
    </row>
    <row r="946">
      <c r="B946" s="142"/>
      <c r="C946" s="8"/>
      <c r="D946" s="8"/>
      <c r="E946" s="8"/>
      <c r="F946" s="8"/>
      <c r="G946" s="8"/>
      <c r="H946" s="8"/>
    </row>
    <row r="947">
      <c r="B947" s="142"/>
      <c r="C947" s="8"/>
      <c r="D947" s="8"/>
      <c r="E947" s="8"/>
      <c r="F947" s="8"/>
      <c r="G947" s="8"/>
      <c r="H947" s="8"/>
    </row>
    <row r="948">
      <c r="B948" s="142"/>
      <c r="C948" s="8"/>
      <c r="D948" s="8"/>
      <c r="E948" s="8"/>
      <c r="F948" s="8"/>
      <c r="G948" s="8"/>
      <c r="H948" s="8"/>
    </row>
    <row r="949">
      <c r="B949" s="142"/>
      <c r="C949" s="8"/>
      <c r="D949" s="8"/>
      <c r="E949" s="8"/>
      <c r="F949" s="8"/>
      <c r="G949" s="8"/>
      <c r="H949" s="8"/>
    </row>
    <row r="950">
      <c r="B950" s="142"/>
      <c r="C950" s="8"/>
      <c r="D950" s="8"/>
      <c r="E950" s="8"/>
      <c r="F950" s="8"/>
      <c r="G950" s="8"/>
      <c r="H950" s="8"/>
    </row>
    <row r="951">
      <c r="B951" s="142"/>
      <c r="C951" s="8"/>
      <c r="D951" s="8"/>
      <c r="E951" s="8"/>
      <c r="F951" s="8"/>
      <c r="G951" s="8"/>
      <c r="H951" s="8"/>
    </row>
    <row r="952">
      <c r="B952" s="142"/>
      <c r="C952" s="8"/>
      <c r="D952" s="8"/>
      <c r="E952" s="8"/>
      <c r="F952" s="8"/>
      <c r="G952" s="8"/>
      <c r="H952" s="8"/>
    </row>
    <row r="953">
      <c r="B953" s="142"/>
      <c r="C953" s="8"/>
      <c r="D953" s="8"/>
      <c r="E953" s="8"/>
      <c r="F953" s="8"/>
      <c r="G953" s="8"/>
      <c r="H953" s="8"/>
    </row>
    <row r="954">
      <c r="B954" s="142"/>
      <c r="C954" s="8"/>
      <c r="D954" s="8"/>
      <c r="E954" s="8"/>
      <c r="F954" s="8"/>
      <c r="G954" s="8"/>
      <c r="H954" s="8"/>
    </row>
    <row r="955">
      <c r="B955" s="142"/>
      <c r="C955" s="8"/>
      <c r="D955" s="8"/>
      <c r="E955" s="8"/>
      <c r="F955" s="8"/>
      <c r="G955" s="8"/>
      <c r="H955" s="8"/>
    </row>
    <row r="956">
      <c r="B956" s="142"/>
      <c r="C956" s="8"/>
      <c r="D956" s="8"/>
      <c r="E956" s="8"/>
      <c r="F956" s="8"/>
      <c r="G956" s="8"/>
      <c r="H956" s="8"/>
    </row>
    <row r="957">
      <c r="B957" s="142"/>
      <c r="C957" s="8"/>
      <c r="D957" s="8"/>
      <c r="E957" s="8"/>
      <c r="F957" s="8"/>
      <c r="G957" s="8"/>
      <c r="H957" s="8"/>
    </row>
    <row r="958">
      <c r="B958" s="142"/>
      <c r="C958" s="8"/>
      <c r="D958" s="8"/>
      <c r="E958" s="8"/>
      <c r="F958" s="8"/>
      <c r="G958" s="8"/>
      <c r="H958" s="8"/>
    </row>
    <row r="959">
      <c r="B959" s="142"/>
      <c r="C959" s="8"/>
      <c r="D959" s="8"/>
      <c r="E959" s="8"/>
      <c r="F959" s="8"/>
      <c r="G959" s="8"/>
      <c r="H959" s="8"/>
    </row>
    <row r="960">
      <c r="B960" s="142"/>
      <c r="C960" s="8"/>
      <c r="D960" s="8"/>
      <c r="E960" s="8"/>
      <c r="F960" s="8"/>
      <c r="G960" s="8"/>
      <c r="H960" s="8"/>
    </row>
    <row r="961">
      <c r="B961" s="142"/>
      <c r="C961" s="8"/>
      <c r="D961" s="8"/>
      <c r="E961" s="8"/>
      <c r="F961" s="8"/>
      <c r="G961" s="8"/>
      <c r="H961" s="8"/>
    </row>
    <row r="962">
      <c r="B962" s="142"/>
      <c r="C962" s="8"/>
      <c r="D962" s="8"/>
      <c r="E962" s="8"/>
      <c r="F962" s="8"/>
      <c r="G962" s="8"/>
      <c r="H962" s="8"/>
    </row>
    <row r="963">
      <c r="B963" s="142"/>
      <c r="C963" s="8"/>
      <c r="D963" s="8"/>
      <c r="E963" s="8"/>
      <c r="F963" s="8"/>
      <c r="G963" s="8"/>
      <c r="H963" s="8"/>
    </row>
    <row r="964">
      <c r="B964" s="142"/>
      <c r="C964" s="8"/>
      <c r="D964" s="8"/>
      <c r="E964" s="8"/>
      <c r="F964" s="8"/>
      <c r="G964" s="8"/>
      <c r="H964" s="8"/>
    </row>
    <row r="965">
      <c r="B965" s="142"/>
      <c r="C965" s="8"/>
      <c r="D965" s="8"/>
      <c r="E965" s="8"/>
      <c r="F965" s="8"/>
      <c r="G965" s="8"/>
      <c r="H965" s="8"/>
    </row>
    <row r="966">
      <c r="B966" s="142"/>
      <c r="C966" s="8"/>
      <c r="D966" s="8"/>
      <c r="E966" s="8"/>
      <c r="F966" s="8"/>
      <c r="G966" s="8"/>
      <c r="H966" s="8"/>
    </row>
    <row r="967">
      <c r="B967" s="142"/>
      <c r="C967" s="8"/>
      <c r="D967" s="8"/>
      <c r="E967" s="8"/>
      <c r="F967" s="8"/>
      <c r="G967" s="8"/>
      <c r="H967" s="8"/>
    </row>
    <row r="968">
      <c r="B968" s="142"/>
      <c r="C968" s="8"/>
      <c r="D968" s="8"/>
      <c r="E968" s="8"/>
      <c r="F968" s="8"/>
      <c r="G968" s="8"/>
      <c r="H968" s="8"/>
    </row>
    <row r="969">
      <c r="B969" s="142"/>
      <c r="C969" s="8"/>
      <c r="D969" s="8"/>
      <c r="E969" s="8"/>
      <c r="F969" s="8"/>
      <c r="G969" s="8"/>
      <c r="H969" s="8"/>
    </row>
    <row r="970">
      <c r="B970" s="142"/>
      <c r="C970" s="8"/>
      <c r="D970" s="8"/>
      <c r="E970" s="8"/>
      <c r="F970" s="8"/>
      <c r="G970" s="8"/>
      <c r="H970" s="8"/>
    </row>
    <row r="971">
      <c r="B971" s="142"/>
      <c r="C971" s="8"/>
      <c r="D971" s="8"/>
      <c r="E971" s="8"/>
      <c r="F971" s="8"/>
      <c r="G971" s="8"/>
      <c r="H971" s="8"/>
    </row>
    <row r="972">
      <c r="B972" s="142"/>
      <c r="C972" s="8"/>
      <c r="D972" s="8"/>
      <c r="E972" s="8"/>
      <c r="F972" s="8"/>
      <c r="G972" s="8"/>
      <c r="H972" s="8"/>
    </row>
    <row r="973">
      <c r="B973" s="142"/>
      <c r="C973" s="8"/>
      <c r="D973" s="8"/>
      <c r="E973" s="8"/>
      <c r="F973" s="8"/>
      <c r="G973" s="8"/>
      <c r="H973" s="8"/>
    </row>
    <row r="974">
      <c r="B974" s="142"/>
      <c r="C974" s="8"/>
      <c r="D974" s="8"/>
      <c r="E974" s="8"/>
      <c r="F974" s="8"/>
      <c r="G974" s="8"/>
      <c r="H974" s="8"/>
    </row>
    <row r="975">
      <c r="B975" s="142"/>
      <c r="C975" s="8"/>
      <c r="D975" s="8"/>
      <c r="E975" s="8"/>
      <c r="F975" s="8"/>
      <c r="G975" s="8"/>
      <c r="H975" s="8"/>
    </row>
    <row r="976">
      <c r="B976" s="142"/>
      <c r="C976" s="8"/>
      <c r="D976" s="8"/>
      <c r="E976" s="8"/>
      <c r="F976" s="8"/>
      <c r="G976" s="8"/>
      <c r="H976" s="8"/>
    </row>
    <row r="977">
      <c r="B977" s="142"/>
      <c r="C977" s="8"/>
      <c r="D977" s="8"/>
      <c r="E977" s="8"/>
      <c r="F977" s="8"/>
      <c r="G977" s="8"/>
      <c r="H977" s="8"/>
    </row>
    <row r="978">
      <c r="B978" s="142"/>
      <c r="C978" s="8"/>
      <c r="D978" s="8"/>
      <c r="E978" s="8"/>
      <c r="F978" s="8"/>
      <c r="G978" s="8"/>
      <c r="H978" s="8"/>
    </row>
    <row r="979">
      <c r="B979" s="142"/>
      <c r="C979" s="8"/>
      <c r="D979" s="8"/>
      <c r="E979" s="8"/>
      <c r="F979" s="8"/>
      <c r="G979" s="8"/>
      <c r="H979" s="8"/>
    </row>
    <row r="980">
      <c r="B980" s="142"/>
      <c r="C980" s="8"/>
      <c r="D980" s="8"/>
      <c r="E980" s="8"/>
      <c r="F980" s="8"/>
      <c r="G980" s="8"/>
      <c r="H980" s="8"/>
    </row>
    <row r="981">
      <c r="B981" s="142"/>
      <c r="C981" s="8"/>
      <c r="D981" s="8"/>
      <c r="E981" s="8"/>
      <c r="F981" s="8"/>
      <c r="G981" s="8"/>
      <c r="H981" s="8"/>
    </row>
    <row r="982">
      <c r="B982" s="142"/>
      <c r="C982" s="8"/>
      <c r="D982" s="8"/>
      <c r="E982" s="8"/>
      <c r="F982" s="8"/>
      <c r="G982" s="8"/>
      <c r="H982" s="8"/>
    </row>
    <row r="983">
      <c r="B983" s="142"/>
      <c r="C983" s="8"/>
      <c r="D983" s="8"/>
      <c r="E983" s="8"/>
      <c r="F983" s="8"/>
      <c r="G983" s="8"/>
      <c r="H983" s="8"/>
    </row>
    <row r="984">
      <c r="B984" s="142"/>
      <c r="C984" s="8"/>
      <c r="D984" s="8"/>
      <c r="E984" s="8"/>
      <c r="F984" s="8"/>
      <c r="G984" s="8"/>
      <c r="H984" s="8"/>
    </row>
    <row r="985">
      <c r="B985" s="142"/>
      <c r="C985" s="8"/>
      <c r="D985" s="8"/>
      <c r="E985" s="8"/>
      <c r="F985" s="8"/>
      <c r="G985" s="8"/>
      <c r="H985" s="8"/>
    </row>
    <row r="986">
      <c r="B986" s="142"/>
      <c r="C986" s="8"/>
      <c r="D986" s="8"/>
      <c r="E986" s="8"/>
      <c r="F986" s="8"/>
      <c r="G986" s="8"/>
      <c r="H986" s="8"/>
    </row>
    <row r="987">
      <c r="B987" s="142"/>
      <c r="C987" s="8"/>
      <c r="D987" s="8"/>
      <c r="E987" s="8"/>
      <c r="F987" s="8"/>
      <c r="G987" s="8"/>
      <c r="H987" s="8"/>
    </row>
    <row r="988">
      <c r="B988" s="142"/>
      <c r="C988" s="8"/>
      <c r="D988" s="8"/>
      <c r="E988" s="8"/>
      <c r="F988" s="8"/>
      <c r="G988" s="8"/>
      <c r="H988" s="8"/>
    </row>
    <row r="989">
      <c r="B989" s="142"/>
      <c r="C989" s="8"/>
      <c r="D989" s="8"/>
      <c r="E989" s="8"/>
      <c r="F989" s="8"/>
      <c r="G989" s="8"/>
      <c r="H989" s="8"/>
    </row>
    <row r="990">
      <c r="B990" s="142"/>
      <c r="C990" s="8"/>
      <c r="D990" s="8"/>
      <c r="E990" s="8"/>
      <c r="F990" s="8"/>
      <c r="G990" s="8"/>
      <c r="H990" s="8"/>
    </row>
    <row r="991">
      <c r="B991" s="142"/>
      <c r="C991" s="8"/>
      <c r="D991" s="8"/>
      <c r="E991" s="8"/>
      <c r="F991" s="8"/>
      <c r="G991" s="8"/>
      <c r="H991" s="8"/>
    </row>
    <row r="992">
      <c r="B992" s="142"/>
      <c r="C992" s="8"/>
      <c r="D992" s="8"/>
      <c r="E992" s="8"/>
      <c r="F992" s="8"/>
      <c r="G992" s="8"/>
      <c r="H992" s="8"/>
    </row>
    <row r="993">
      <c r="B993" s="142"/>
      <c r="C993" s="8"/>
      <c r="D993" s="8"/>
      <c r="E993" s="8"/>
      <c r="F993" s="8"/>
      <c r="G993" s="8"/>
      <c r="H993" s="8"/>
    </row>
    <row r="994">
      <c r="B994" s="142"/>
      <c r="C994" s="8"/>
      <c r="D994" s="8"/>
      <c r="E994" s="8"/>
      <c r="F994" s="8"/>
      <c r="G994" s="8"/>
      <c r="H994" s="8"/>
    </row>
    <row r="995">
      <c r="B995" s="142"/>
      <c r="C995" s="8"/>
      <c r="D995" s="8"/>
      <c r="E995" s="8"/>
      <c r="F995" s="8"/>
      <c r="G995" s="8"/>
      <c r="H995" s="8"/>
    </row>
    <row r="996">
      <c r="B996" s="142"/>
      <c r="C996" s="8"/>
      <c r="D996" s="8"/>
      <c r="E996" s="8"/>
      <c r="F996" s="8"/>
      <c r="G996" s="8"/>
      <c r="H996" s="8"/>
    </row>
    <row r="997">
      <c r="B997" s="142"/>
      <c r="C997" s="8"/>
      <c r="D997" s="8"/>
      <c r="E997" s="8"/>
      <c r="F997" s="8"/>
      <c r="G997" s="8"/>
      <c r="H997" s="8"/>
    </row>
    <row r="998">
      <c r="B998" s="142"/>
      <c r="C998" s="8"/>
      <c r="D998" s="8"/>
      <c r="E998" s="8"/>
      <c r="F998" s="8"/>
      <c r="G998" s="8"/>
      <c r="H998" s="8"/>
    </row>
    <row r="999">
      <c r="B999" s="142"/>
      <c r="C999" s="8"/>
      <c r="D999" s="8"/>
      <c r="E999" s="8"/>
      <c r="F999" s="8"/>
      <c r="G999" s="8"/>
      <c r="H999" s="8"/>
    </row>
    <row r="1000">
      <c r="B1000" s="142"/>
      <c r="C1000" s="8"/>
      <c r="D1000" s="8"/>
      <c r="E1000" s="8"/>
      <c r="F1000" s="8"/>
      <c r="G1000" s="8"/>
      <c r="H1000" s="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42" t="str">
        <f t="array" ref="A1:A470">'CRR 2025'!H2:H1000</f>
        <v>Pangasinan</v>
      </c>
      <c r="B1" s="142" t="str">
        <f>IFERROR(__xludf.DUMMYFUNCTION("byrow(A1:A1000, lambda(A, transpose(UNIQUE(FILTER(Municipality!C2:C1000,Municipality!B2:B1000=A)))))"),"Agno")</f>
        <v>Agno</v>
      </c>
      <c r="C1" s="142" t="str">
        <f>IFERROR(__xludf.DUMMYFUNCTION("""COMPUTED_VALUE"""),"Aguilar")</f>
        <v>Aguilar</v>
      </c>
      <c r="D1" s="142" t="str">
        <f>IFERROR(__xludf.DUMMYFUNCTION("""COMPUTED_VALUE"""),"City of Alaminos")</f>
        <v>City of Alaminos</v>
      </c>
      <c r="E1" s="142" t="str">
        <f>IFERROR(__xludf.DUMMYFUNCTION("""COMPUTED_VALUE"""),"Alcala")</f>
        <v>Alcala</v>
      </c>
      <c r="F1" s="142" t="str">
        <f>IFERROR(__xludf.DUMMYFUNCTION("""COMPUTED_VALUE"""),"Anda")</f>
        <v>Anda</v>
      </c>
      <c r="G1" s="142" t="str">
        <f>IFERROR(__xludf.DUMMYFUNCTION("""COMPUTED_VALUE"""),"Asingan")</f>
        <v>Asingan</v>
      </c>
      <c r="H1" s="142" t="str">
        <f>IFERROR(__xludf.DUMMYFUNCTION("""COMPUTED_VALUE"""),"Balungao")</f>
        <v>Balungao</v>
      </c>
      <c r="I1" s="142" t="str">
        <f>IFERROR(__xludf.DUMMYFUNCTION("""COMPUTED_VALUE"""),"Bani")</f>
        <v>Bani</v>
      </c>
      <c r="J1" s="142" t="str">
        <f>IFERROR(__xludf.DUMMYFUNCTION("""COMPUTED_VALUE"""),"Basista")</f>
        <v>Basista</v>
      </c>
      <c r="K1" s="142" t="str">
        <f>IFERROR(__xludf.DUMMYFUNCTION("""COMPUTED_VALUE"""),"Bautista")</f>
        <v>Bautista</v>
      </c>
      <c r="L1" s="142" t="str">
        <f>IFERROR(__xludf.DUMMYFUNCTION("""COMPUTED_VALUE"""),"Bayambang")</f>
        <v>Bayambang</v>
      </c>
      <c r="M1" s="142" t="str">
        <f>IFERROR(__xludf.DUMMYFUNCTION("""COMPUTED_VALUE"""),"Binalonan")</f>
        <v>Binalonan</v>
      </c>
      <c r="N1" s="142" t="str">
        <f>IFERROR(__xludf.DUMMYFUNCTION("""COMPUTED_VALUE"""),"Binmaley")</f>
        <v>Binmaley</v>
      </c>
      <c r="O1" s="142" t="str">
        <f>IFERROR(__xludf.DUMMYFUNCTION("""COMPUTED_VALUE"""),"Bolinao")</f>
        <v>Bolinao</v>
      </c>
      <c r="P1" s="142" t="str">
        <f>IFERROR(__xludf.DUMMYFUNCTION("""COMPUTED_VALUE"""),"Bugallon")</f>
        <v>Bugallon</v>
      </c>
      <c r="Q1" s="142" t="str">
        <f>IFERROR(__xludf.DUMMYFUNCTION("""COMPUTED_VALUE"""),"Burgos")</f>
        <v>Burgos</v>
      </c>
      <c r="R1" s="142" t="str">
        <f>IFERROR(__xludf.DUMMYFUNCTION("""COMPUTED_VALUE"""),"Calasiao")</f>
        <v>Calasiao</v>
      </c>
      <c r="S1" s="142" t="str">
        <f>IFERROR(__xludf.DUMMYFUNCTION("""COMPUTED_VALUE"""),"City of Dagupan")</f>
        <v>City of Dagupan</v>
      </c>
      <c r="T1" s="142" t="str">
        <f>IFERROR(__xludf.DUMMYFUNCTION("""COMPUTED_VALUE"""),"Dasol")</f>
        <v>Dasol</v>
      </c>
      <c r="U1" s="142" t="str">
        <f>IFERROR(__xludf.DUMMYFUNCTION("""COMPUTED_VALUE"""),"Infanta")</f>
        <v>Infanta</v>
      </c>
      <c r="V1" s="142" t="str">
        <f>IFERROR(__xludf.DUMMYFUNCTION("""COMPUTED_VALUE"""),"Labrador")</f>
        <v>Labrador</v>
      </c>
      <c r="W1" s="142" t="str">
        <f>IFERROR(__xludf.DUMMYFUNCTION("""COMPUTED_VALUE"""),"Lingayen")</f>
        <v>Lingayen</v>
      </c>
      <c r="X1" s="142" t="str">
        <f>IFERROR(__xludf.DUMMYFUNCTION("""COMPUTED_VALUE"""),"Mabini")</f>
        <v>Mabini</v>
      </c>
      <c r="Y1" s="142" t="str">
        <f>IFERROR(__xludf.DUMMYFUNCTION("""COMPUTED_VALUE"""),"Malasiqui")</f>
        <v>Malasiqui</v>
      </c>
      <c r="Z1" s="142" t="str">
        <f>IFERROR(__xludf.DUMMYFUNCTION("""COMPUTED_VALUE"""),"Manaoag")</f>
        <v>Manaoag</v>
      </c>
      <c r="AA1" s="142" t="str">
        <f>IFERROR(__xludf.DUMMYFUNCTION("""COMPUTED_VALUE"""),"Mangaldan")</f>
        <v>Mangaldan</v>
      </c>
      <c r="AB1" s="142" t="str">
        <f>IFERROR(__xludf.DUMMYFUNCTION("""COMPUTED_VALUE"""),"Mangatarem")</f>
        <v>Mangatarem</v>
      </c>
      <c r="AC1" s="142" t="str">
        <f>IFERROR(__xludf.DUMMYFUNCTION("""COMPUTED_VALUE"""),"Mapandan")</f>
        <v>Mapandan</v>
      </c>
      <c r="AD1" s="142" t="str">
        <f>IFERROR(__xludf.DUMMYFUNCTION("""COMPUTED_VALUE"""),"Natividad")</f>
        <v>Natividad</v>
      </c>
      <c r="AE1" s="142" t="str">
        <f>IFERROR(__xludf.DUMMYFUNCTION("""COMPUTED_VALUE"""),"Pozorrubio")</f>
        <v>Pozorrubio</v>
      </c>
      <c r="AF1" s="142" t="str">
        <f>IFERROR(__xludf.DUMMYFUNCTION("""COMPUTED_VALUE"""),"Rosales")</f>
        <v>Rosales</v>
      </c>
      <c r="AG1" s="142" t="str">
        <f>IFERROR(__xludf.DUMMYFUNCTION("""COMPUTED_VALUE"""),"City of San Carlos")</f>
        <v>City of San Carlos</v>
      </c>
      <c r="AH1" s="142" t="str">
        <f>IFERROR(__xludf.DUMMYFUNCTION("""COMPUTED_VALUE"""),"San Fabian")</f>
        <v>San Fabian</v>
      </c>
      <c r="AI1" s="142" t="str">
        <f>IFERROR(__xludf.DUMMYFUNCTION("""COMPUTED_VALUE"""),"San Jacinto")</f>
        <v>San Jacinto</v>
      </c>
      <c r="AJ1" s="142" t="str">
        <f>IFERROR(__xludf.DUMMYFUNCTION("""COMPUTED_VALUE"""),"San Manuel")</f>
        <v>San Manuel</v>
      </c>
      <c r="AK1" s="142" t="str">
        <f>IFERROR(__xludf.DUMMYFUNCTION("""COMPUTED_VALUE"""),"San Nicolas")</f>
        <v>San Nicolas</v>
      </c>
      <c r="AL1" s="142" t="str">
        <f>IFERROR(__xludf.DUMMYFUNCTION("""COMPUTED_VALUE"""),"San Quintin")</f>
        <v>San Quintin</v>
      </c>
      <c r="AM1" s="142" t="str">
        <f>IFERROR(__xludf.DUMMYFUNCTION("""COMPUTED_VALUE"""),"Santa Barbara")</f>
        <v>Santa Barbara</v>
      </c>
      <c r="AN1" s="142" t="str">
        <f>IFERROR(__xludf.DUMMYFUNCTION("""COMPUTED_VALUE"""),"Santa Maria")</f>
        <v>Santa Maria</v>
      </c>
      <c r="AO1" s="142" t="str">
        <f>IFERROR(__xludf.DUMMYFUNCTION("""COMPUTED_VALUE"""),"Santo Tomas")</f>
        <v>Santo Tomas</v>
      </c>
      <c r="AP1" s="142" t="str">
        <f>IFERROR(__xludf.DUMMYFUNCTION("""COMPUTED_VALUE"""),"Sison")</f>
        <v>Sison</v>
      </c>
      <c r="AQ1" s="142" t="str">
        <f>IFERROR(__xludf.DUMMYFUNCTION("""COMPUTED_VALUE"""),"Sual")</f>
        <v>Sual</v>
      </c>
      <c r="AR1" s="142" t="str">
        <f>IFERROR(__xludf.DUMMYFUNCTION("""COMPUTED_VALUE"""),"Tayug")</f>
        <v>Tayug</v>
      </c>
      <c r="AS1" s="142" t="str">
        <f>IFERROR(__xludf.DUMMYFUNCTION("""COMPUTED_VALUE"""),"Umingan")</f>
        <v>Umingan</v>
      </c>
      <c r="AT1" s="142" t="str">
        <f>IFERROR(__xludf.DUMMYFUNCTION("""COMPUTED_VALUE"""),"Urbiztondo")</f>
        <v>Urbiztondo</v>
      </c>
      <c r="AU1" s="142" t="str">
        <f>IFERROR(__xludf.DUMMYFUNCTION("""COMPUTED_VALUE"""),"City of Urdaneta")</f>
        <v>City of Urdaneta</v>
      </c>
      <c r="AV1" s="142" t="str">
        <f>IFERROR(__xludf.DUMMYFUNCTION("""COMPUTED_VALUE"""),"Villasis")</f>
        <v>Villasis</v>
      </c>
      <c r="AW1" s="142" t="str">
        <f>IFERROR(__xludf.DUMMYFUNCTION("""COMPUTED_VALUE"""),"Laoac")</f>
        <v>Laoac</v>
      </c>
      <c r="AX1" s="8"/>
      <c r="AY1" s="8"/>
      <c r="AZ1" s="8"/>
      <c r="BA1" s="8"/>
      <c r="BB1" s="8"/>
      <c r="BC1" s="8"/>
      <c r="BD1" s="8"/>
      <c r="BE1" s="8"/>
    </row>
    <row r="2">
      <c r="A2" s="142" t="s">
        <v>172</v>
      </c>
      <c r="B2" s="142" t="str">
        <f>IFERROR(__xludf.DUMMYFUNCTION("""COMPUTED_VALUE"""),"Alubijid")</f>
        <v>Alubijid</v>
      </c>
      <c r="C2" s="142" t="str">
        <f>IFERROR(__xludf.DUMMYFUNCTION("""COMPUTED_VALUE"""),"Balingasag")</f>
        <v>Balingasag</v>
      </c>
      <c r="D2" s="142" t="str">
        <f>IFERROR(__xludf.DUMMYFUNCTION("""COMPUTED_VALUE"""),"Balingoan")</f>
        <v>Balingoan</v>
      </c>
      <c r="E2" s="142" t="str">
        <f>IFERROR(__xludf.DUMMYFUNCTION("""COMPUTED_VALUE"""),"Binuangan")</f>
        <v>Binuangan</v>
      </c>
      <c r="F2" s="142" t="str">
        <f>IFERROR(__xludf.DUMMYFUNCTION("""COMPUTED_VALUE"""),"City of Cagayan De Oro")</f>
        <v>City of Cagayan De Oro</v>
      </c>
      <c r="G2" s="142" t="str">
        <f>IFERROR(__xludf.DUMMYFUNCTION("""COMPUTED_VALUE"""),"Claveria")</f>
        <v>Claveria</v>
      </c>
      <c r="H2" s="142" t="str">
        <f>IFERROR(__xludf.DUMMYFUNCTION("""COMPUTED_VALUE"""),"City of El Salvador")</f>
        <v>City of El Salvador</v>
      </c>
      <c r="I2" s="142" t="str">
        <f>IFERROR(__xludf.DUMMYFUNCTION("""COMPUTED_VALUE"""),"City of Gingoog")</f>
        <v>City of Gingoog</v>
      </c>
      <c r="J2" s="142" t="str">
        <f>IFERROR(__xludf.DUMMYFUNCTION("""COMPUTED_VALUE"""),"Gitagum")</f>
        <v>Gitagum</v>
      </c>
      <c r="K2" s="142" t="str">
        <f>IFERROR(__xludf.DUMMYFUNCTION("""COMPUTED_VALUE"""),"Initao")</f>
        <v>Initao</v>
      </c>
      <c r="L2" s="142" t="str">
        <f>IFERROR(__xludf.DUMMYFUNCTION("""COMPUTED_VALUE"""),"Jasaan")</f>
        <v>Jasaan</v>
      </c>
      <c r="M2" s="142" t="str">
        <f>IFERROR(__xludf.DUMMYFUNCTION("""COMPUTED_VALUE"""),"Kinoguitan")</f>
        <v>Kinoguitan</v>
      </c>
      <c r="N2" s="142" t="str">
        <f>IFERROR(__xludf.DUMMYFUNCTION("""COMPUTED_VALUE"""),"Lagonglong")</f>
        <v>Lagonglong</v>
      </c>
      <c r="O2" s="142" t="str">
        <f>IFERROR(__xludf.DUMMYFUNCTION("""COMPUTED_VALUE"""),"Laguindingan")</f>
        <v>Laguindingan</v>
      </c>
      <c r="P2" s="142" t="str">
        <f>IFERROR(__xludf.DUMMYFUNCTION("""COMPUTED_VALUE"""),"Libertad")</f>
        <v>Libertad</v>
      </c>
      <c r="Q2" s="142" t="str">
        <f>IFERROR(__xludf.DUMMYFUNCTION("""COMPUTED_VALUE"""),"Lugait")</f>
        <v>Lugait</v>
      </c>
      <c r="R2" s="142" t="str">
        <f>IFERROR(__xludf.DUMMYFUNCTION("""COMPUTED_VALUE"""),"Magsaysay")</f>
        <v>Magsaysay</v>
      </c>
      <c r="S2" s="142" t="str">
        <f>IFERROR(__xludf.DUMMYFUNCTION("""COMPUTED_VALUE"""),"Manticao")</f>
        <v>Manticao</v>
      </c>
      <c r="T2" s="142" t="str">
        <f>IFERROR(__xludf.DUMMYFUNCTION("""COMPUTED_VALUE"""),"Medina")</f>
        <v>Medina</v>
      </c>
      <c r="U2" s="142" t="str">
        <f>IFERROR(__xludf.DUMMYFUNCTION("""COMPUTED_VALUE"""),"Naawan")</f>
        <v>Naawan</v>
      </c>
      <c r="V2" s="142" t="str">
        <f>IFERROR(__xludf.DUMMYFUNCTION("""COMPUTED_VALUE"""),"Opol")</f>
        <v>Opol</v>
      </c>
      <c r="W2" s="142" t="str">
        <f>IFERROR(__xludf.DUMMYFUNCTION("""COMPUTED_VALUE"""),"Salay")</f>
        <v>Salay</v>
      </c>
      <c r="X2" s="142" t="str">
        <f>IFERROR(__xludf.DUMMYFUNCTION("""COMPUTED_VALUE"""),"Sugbongcogon")</f>
        <v>Sugbongcogon</v>
      </c>
      <c r="Y2" s="142" t="str">
        <f>IFERROR(__xludf.DUMMYFUNCTION("""COMPUTED_VALUE"""),"Tagoloan")</f>
        <v>Tagoloan</v>
      </c>
      <c r="Z2" s="142" t="str">
        <f>IFERROR(__xludf.DUMMYFUNCTION("""COMPUTED_VALUE"""),"Talisayan")</f>
        <v>Talisayan</v>
      </c>
      <c r="AA2" s="142" t="str">
        <f>IFERROR(__xludf.DUMMYFUNCTION("""COMPUTED_VALUE"""),"Villanueva")</f>
        <v>Villanueva</v>
      </c>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row>
    <row r="3">
      <c r="A3" s="142" t="s">
        <v>194</v>
      </c>
      <c r="B3" s="142" t="str">
        <f>IFERROR(__xludf.DUMMYFUNCTION("""COMPUTED_VALUE"""),"Alcantara")</f>
        <v>Alcantara</v>
      </c>
      <c r="C3" s="142" t="str">
        <f>IFERROR(__xludf.DUMMYFUNCTION("""COMPUTED_VALUE"""),"Alcoy")</f>
        <v>Alcoy</v>
      </c>
      <c r="D3" s="142" t="str">
        <f>IFERROR(__xludf.DUMMYFUNCTION("""COMPUTED_VALUE"""),"Alegria")</f>
        <v>Alegria</v>
      </c>
      <c r="E3" s="142" t="str">
        <f>IFERROR(__xludf.DUMMYFUNCTION("""COMPUTED_VALUE"""),"Aloguinsan")</f>
        <v>Aloguinsan</v>
      </c>
      <c r="F3" s="142" t="str">
        <f>IFERROR(__xludf.DUMMYFUNCTION("""COMPUTED_VALUE"""),"Argao")</f>
        <v>Argao</v>
      </c>
      <c r="G3" s="142" t="str">
        <f>IFERROR(__xludf.DUMMYFUNCTION("""COMPUTED_VALUE"""),"Asturias")</f>
        <v>Asturias</v>
      </c>
      <c r="H3" s="142" t="str">
        <f>IFERROR(__xludf.DUMMYFUNCTION("""COMPUTED_VALUE"""),"Badian")</f>
        <v>Badian</v>
      </c>
      <c r="I3" s="142" t="str">
        <f>IFERROR(__xludf.DUMMYFUNCTION("""COMPUTED_VALUE"""),"Balamban")</f>
        <v>Balamban</v>
      </c>
      <c r="J3" s="142" t="str">
        <f>IFERROR(__xludf.DUMMYFUNCTION("""COMPUTED_VALUE"""),"Bantayan")</f>
        <v>Bantayan</v>
      </c>
      <c r="K3" s="142" t="str">
        <f>IFERROR(__xludf.DUMMYFUNCTION("""COMPUTED_VALUE"""),"Barili")</f>
        <v>Barili</v>
      </c>
      <c r="L3" s="142" t="str">
        <f>IFERROR(__xludf.DUMMYFUNCTION("""COMPUTED_VALUE"""),"City of Bogo")</f>
        <v>City of Bogo</v>
      </c>
      <c r="M3" s="142" t="str">
        <f>IFERROR(__xludf.DUMMYFUNCTION("""COMPUTED_VALUE"""),"Boljoon")</f>
        <v>Boljoon</v>
      </c>
      <c r="N3" s="142" t="str">
        <f>IFERROR(__xludf.DUMMYFUNCTION("""COMPUTED_VALUE"""),"Borbon")</f>
        <v>Borbon</v>
      </c>
      <c r="O3" s="142" t="str">
        <f>IFERROR(__xludf.DUMMYFUNCTION("""COMPUTED_VALUE"""),"City of Carcar")</f>
        <v>City of Carcar</v>
      </c>
      <c r="P3" s="142" t="str">
        <f>IFERROR(__xludf.DUMMYFUNCTION("""COMPUTED_VALUE"""),"Carmen")</f>
        <v>Carmen</v>
      </c>
      <c r="Q3" s="142" t="str">
        <f>IFERROR(__xludf.DUMMYFUNCTION("""COMPUTED_VALUE"""),"Catmon")</f>
        <v>Catmon</v>
      </c>
      <c r="R3" s="142" t="str">
        <f>IFERROR(__xludf.DUMMYFUNCTION("""COMPUTED_VALUE"""),"Compostela")</f>
        <v>Compostela</v>
      </c>
      <c r="S3" s="142" t="str">
        <f>IFERROR(__xludf.DUMMYFUNCTION("""COMPUTED_VALUE"""),"Consolacion")</f>
        <v>Consolacion</v>
      </c>
      <c r="T3" s="142" t="str">
        <f>IFERROR(__xludf.DUMMYFUNCTION("""COMPUTED_VALUE"""),"Cordova")</f>
        <v>Cordova</v>
      </c>
      <c r="U3" s="142" t="str">
        <f>IFERROR(__xludf.DUMMYFUNCTION("""COMPUTED_VALUE"""),"Daanbantayan")</f>
        <v>Daanbantayan</v>
      </c>
      <c r="V3" s="142" t="str">
        <f>IFERROR(__xludf.DUMMYFUNCTION("""COMPUTED_VALUE"""),"Dalaguete")</f>
        <v>Dalaguete</v>
      </c>
      <c r="W3" s="142" t="str">
        <f>IFERROR(__xludf.DUMMYFUNCTION("""COMPUTED_VALUE"""),"Danao City")</f>
        <v>Danao City</v>
      </c>
      <c r="X3" s="142" t="str">
        <f>IFERROR(__xludf.DUMMYFUNCTION("""COMPUTED_VALUE"""),"Dumanjug")</f>
        <v>Dumanjug</v>
      </c>
      <c r="Y3" s="142" t="str">
        <f>IFERROR(__xludf.DUMMYFUNCTION("""COMPUTED_VALUE"""),"Ginatilan")</f>
        <v>Ginatilan</v>
      </c>
      <c r="Z3" s="142" t="str">
        <f>IFERROR(__xludf.DUMMYFUNCTION("""COMPUTED_VALUE"""),"Liloan")</f>
        <v>Liloan</v>
      </c>
      <c r="AA3" s="142" t="str">
        <f>IFERROR(__xludf.DUMMYFUNCTION("""COMPUTED_VALUE"""),"Madridejos")</f>
        <v>Madridejos</v>
      </c>
      <c r="AB3" s="142" t="str">
        <f>IFERROR(__xludf.DUMMYFUNCTION("""COMPUTED_VALUE"""),"Malabuyoc")</f>
        <v>Malabuyoc</v>
      </c>
      <c r="AC3" s="142" t="str">
        <f>IFERROR(__xludf.DUMMYFUNCTION("""COMPUTED_VALUE"""),"Medellin")</f>
        <v>Medellin</v>
      </c>
      <c r="AD3" s="142" t="str">
        <f>IFERROR(__xludf.DUMMYFUNCTION("""COMPUTED_VALUE"""),"Minglanilla")</f>
        <v>Minglanilla</v>
      </c>
      <c r="AE3" s="142" t="str">
        <f>IFERROR(__xludf.DUMMYFUNCTION("""COMPUTED_VALUE"""),"Moalboal")</f>
        <v>Moalboal</v>
      </c>
      <c r="AF3" s="142" t="str">
        <f>IFERROR(__xludf.DUMMYFUNCTION("""COMPUTED_VALUE"""),"City of Naga")</f>
        <v>City of Naga</v>
      </c>
      <c r="AG3" s="142" t="str">
        <f>IFERROR(__xludf.DUMMYFUNCTION("""COMPUTED_VALUE"""),"Oslob")</f>
        <v>Oslob</v>
      </c>
      <c r="AH3" s="142" t="str">
        <f>IFERROR(__xludf.DUMMYFUNCTION("""COMPUTED_VALUE"""),"Pilar")</f>
        <v>Pilar</v>
      </c>
      <c r="AI3" s="142" t="str">
        <f>IFERROR(__xludf.DUMMYFUNCTION("""COMPUTED_VALUE"""),"Pinamungajan")</f>
        <v>Pinamungajan</v>
      </c>
      <c r="AJ3" s="142" t="str">
        <f>IFERROR(__xludf.DUMMYFUNCTION("""COMPUTED_VALUE"""),"Poro")</f>
        <v>Poro</v>
      </c>
      <c r="AK3" s="142" t="str">
        <f>IFERROR(__xludf.DUMMYFUNCTION("""COMPUTED_VALUE"""),"Ronda")</f>
        <v>Ronda</v>
      </c>
      <c r="AL3" s="142" t="str">
        <f>IFERROR(__xludf.DUMMYFUNCTION("""COMPUTED_VALUE"""),"Samboan")</f>
        <v>Samboan</v>
      </c>
      <c r="AM3" s="142" t="str">
        <f>IFERROR(__xludf.DUMMYFUNCTION("""COMPUTED_VALUE"""),"San Fernando")</f>
        <v>San Fernando</v>
      </c>
      <c r="AN3" s="142" t="str">
        <f>IFERROR(__xludf.DUMMYFUNCTION("""COMPUTED_VALUE"""),"San Francisco")</f>
        <v>San Francisco</v>
      </c>
      <c r="AO3" s="142" t="str">
        <f>IFERROR(__xludf.DUMMYFUNCTION("""COMPUTED_VALUE"""),"San Remigio")</f>
        <v>San Remigio</v>
      </c>
      <c r="AP3" s="142" t="str">
        <f>IFERROR(__xludf.DUMMYFUNCTION("""COMPUTED_VALUE"""),"Santa Fe")</f>
        <v>Santa Fe</v>
      </c>
      <c r="AQ3" s="142" t="str">
        <f>IFERROR(__xludf.DUMMYFUNCTION("""COMPUTED_VALUE"""),"Santander")</f>
        <v>Santander</v>
      </c>
      <c r="AR3" s="142" t="str">
        <f>IFERROR(__xludf.DUMMYFUNCTION("""COMPUTED_VALUE"""),"Sibonga")</f>
        <v>Sibonga</v>
      </c>
      <c r="AS3" s="142" t="str">
        <f>IFERROR(__xludf.DUMMYFUNCTION("""COMPUTED_VALUE"""),"Sogod")</f>
        <v>Sogod</v>
      </c>
      <c r="AT3" s="142" t="str">
        <f>IFERROR(__xludf.DUMMYFUNCTION("""COMPUTED_VALUE"""),"Tabogon")</f>
        <v>Tabogon</v>
      </c>
      <c r="AU3" s="142" t="str">
        <f>IFERROR(__xludf.DUMMYFUNCTION("""COMPUTED_VALUE"""),"Tabuelan")</f>
        <v>Tabuelan</v>
      </c>
      <c r="AV3" s="142" t="str">
        <f>IFERROR(__xludf.DUMMYFUNCTION("""COMPUTED_VALUE"""),"City of Talisay")</f>
        <v>City of Talisay</v>
      </c>
      <c r="AW3" s="142" t="str">
        <f>IFERROR(__xludf.DUMMYFUNCTION("""COMPUTED_VALUE"""),"City of Toledo")</f>
        <v>City of Toledo</v>
      </c>
      <c r="AX3" s="142" t="str">
        <f>IFERROR(__xludf.DUMMYFUNCTION("""COMPUTED_VALUE"""),"Tuburan")</f>
        <v>Tuburan</v>
      </c>
      <c r="AY3" s="142" t="str">
        <f>IFERROR(__xludf.DUMMYFUNCTION("""COMPUTED_VALUE"""),"Tudela")</f>
        <v>Tudela</v>
      </c>
      <c r="AZ3" s="142" t="str">
        <f>IFERROR(__xludf.DUMMYFUNCTION("""COMPUTED_VALUE"""),"City of Cebu")</f>
        <v>City of Cebu</v>
      </c>
      <c r="BA3" s="142" t="str">
        <f>IFERROR(__xludf.DUMMYFUNCTION("""COMPUTED_VALUE"""),"City of Lapu-Lapu")</f>
        <v>City of Lapu-Lapu</v>
      </c>
      <c r="BB3" s="142" t="str">
        <f>IFERROR(__xludf.DUMMYFUNCTION("""COMPUTED_VALUE"""),"City of Mandaue")</f>
        <v>City of Mandaue</v>
      </c>
      <c r="BC3" s="8"/>
      <c r="BD3" s="8"/>
      <c r="BE3" s="8"/>
    </row>
    <row r="4">
      <c r="A4" s="142" t="s">
        <v>194</v>
      </c>
      <c r="B4" s="142" t="str">
        <f>IFERROR(__xludf.DUMMYFUNCTION("""COMPUTED_VALUE"""),"Alcantara")</f>
        <v>Alcantara</v>
      </c>
      <c r="C4" s="142" t="str">
        <f>IFERROR(__xludf.DUMMYFUNCTION("""COMPUTED_VALUE"""),"Alcoy")</f>
        <v>Alcoy</v>
      </c>
      <c r="D4" s="142" t="str">
        <f>IFERROR(__xludf.DUMMYFUNCTION("""COMPUTED_VALUE"""),"Alegria")</f>
        <v>Alegria</v>
      </c>
      <c r="E4" s="142" t="str">
        <f>IFERROR(__xludf.DUMMYFUNCTION("""COMPUTED_VALUE"""),"Aloguinsan")</f>
        <v>Aloguinsan</v>
      </c>
      <c r="F4" s="142" t="str">
        <f>IFERROR(__xludf.DUMMYFUNCTION("""COMPUTED_VALUE"""),"Argao")</f>
        <v>Argao</v>
      </c>
      <c r="G4" s="142" t="str">
        <f>IFERROR(__xludf.DUMMYFUNCTION("""COMPUTED_VALUE"""),"Asturias")</f>
        <v>Asturias</v>
      </c>
      <c r="H4" s="142" t="str">
        <f>IFERROR(__xludf.DUMMYFUNCTION("""COMPUTED_VALUE"""),"Badian")</f>
        <v>Badian</v>
      </c>
      <c r="I4" s="142" t="str">
        <f>IFERROR(__xludf.DUMMYFUNCTION("""COMPUTED_VALUE"""),"Balamban")</f>
        <v>Balamban</v>
      </c>
      <c r="J4" s="142" t="str">
        <f>IFERROR(__xludf.DUMMYFUNCTION("""COMPUTED_VALUE"""),"Bantayan")</f>
        <v>Bantayan</v>
      </c>
      <c r="K4" s="142" t="str">
        <f>IFERROR(__xludf.DUMMYFUNCTION("""COMPUTED_VALUE"""),"Barili")</f>
        <v>Barili</v>
      </c>
      <c r="L4" s="142" t="str">
        <f>IFERROR(__xludf.DUMMYFUNCTION("""COMPUTED_VALUE"""),"City of Bogo")</f>
        <v>City of Bogo</v>
      </c>
      <c r="M4" s="142" t="str">
        <f>IFERROR(__xludf.DUMMYFUNCTION("""COMPUTED_VALUE"""),"Boljoon")</f>
        <v>Boljoon</v>
      </c>
      <c r="N4" s="142" t="str">
        <f>IFERROR(__xludf.DUMMYFUNCTION("""COMPUTED_VALUE"""),"Borbon")</f>
        <v>Borbon</v>
      </c>
      <c r="O4" s="142" t="str">
        <f>IFERROR(__xludf.DUMMYFUNCTION("""COMPUTED_VALUE"""),"City of Carcar")</f>
        <v>City of Carcar</v>
      </c>
      <c r="P4" s="142" t="str">
        <f>IFERROR(__xludf.DUMMYFUNCTION("""COMPUTED_VALUE"""),"Carmen")</f>
        <v>Carmen</v>
      </c>
      <c r="Q4" s="142" t="str">
        <f>IFERROR(__xludf.DUMMYFUNCTION("""COMPUTED_VALUE"""),"Catmon")</f>
        <v>Catmon</v>
      </c>
      <c r="R4" s="142" t="str">
        <f>IFERROR(__xludf.DUMMYFUNCTION("""COMPUTED_VALUE"""),"Compostela")</f>
        <v>Compostela</v>
      </c>
      <c r="S4" s="142" t="str">
        <f>IFERROR(__xludf.DUMMYFUNCTION("""COMPUTED_VALUE"""),"Consolacion")</f>
        <v>Consolacion</v>
      </c>
      <c r="T4" s="142" t="str">
        <f>IFERROR(__xludf.DUMMYFUNCTION("""COMPUTED_VALUE"""),"Cordova")</f>
        <v>Cordova</v>
      </c>
      <c r="U4" s="142" t="str">
        <f>IFERROR(__xludf.DUMMYFUNCTION("""COMPUTED_VALUE"""),"Daanbantayan")</f>
        <v>Daanbantayan</v>
      </c>
      <c r="V4" s="142" t="str">
        <f>IFERROR(__xludf.DUMMYFUNCTION("""COMPUTED_VALUE"""),"Dalaguete")</f>
        <v>Dalaguete</v>
      </c>
      <c r="W4" s="142" t="str">
        <f>IFERROR(__xludf.DUMMYFUNCTION("""COMPUTED_VALUE"""),"Danao City")</f>
        <v>Danao City</v>
      </c>
      <c r="X4" s="142" t="str">
        <f>IFERROR(__xludf.DUMMYFUNCTION("""COMPUTED_VALUE"""),"Dumanjug")</f>
        <v>Dumanjug</v>
      </c>
      <c r="Y4" s="142" t="str">
        <f>IFERROR(__xludf.DUMMYFUNCTION("""COMPUTED_VALUE"""),"Ginatilan")</f>
        <v>Ginatilan</v>
      </c>
      <c r="Z4" s="142" t="str">
        <f>IFERROR(__xludf.DUMMYFUNCTION("""COMPUTED_VALUE"""),"Liloan")</f>
        <v>Liloan</v>
      </c>
      <c r="AA4" s="142" t="str">
        <f>IFERROR(__xludf.DUMMYFUNCTION("""COMPUTED_VALUE"""),"Madridejos")</f>
        <v>Madridejos</v>
      </c>
      <c r="AB4" s="142" t="str">
        <f>IFERROR(__xludf.DUMMYFUNCTION("""COMPUTED_VALUE"""),"Malabuyoc")</f>
        <v>Malabuyoc</v>
      </c>
      <c r="AC4" s="142" t="str">
        <f>IFERROR(__xludf.DUMMYFUNCTION("""COMPUTED_VALUE"""),"Medellin")</f>
        <v>Medellin</v>
      </c>
      <c r="AD4" s="142" t="str">
        <f>IFERROR(__xludf.DUMMYFUNCTION("""COMPUTED_VALUE"""),"Minglanilla")</f>
        <v>Minglanilla</v>
      </c>
      <c r="AE4" s="142" t="str">
        <f>IFERROR(__xludf.DUMMYFUNCTION("""COMPUTED_VALUE"""),"Moalboal")</f>
        <v>Moalboal</v>
      </c>
      <c r="AF4" s="142" t="str">
        <f>IFERROR(__xludf.DUMMYFUNCTION("""COMPUTED_VALUE"""),"City of Naga")</f>
        <v>City of Naga</v>
      </c>
      <c r="AG4" s="142" t="str">
        <f>IFERROR(__xludf.DUMMYFUNCTION("""COMPUTED_VALUE"""),"Oslob")</f>
        <v>Oslob</v>
      </c>
      <c r="AH4" s="142" t="str">
        <f>IFERROR(__xludf.DUMMYFUNCTION("""COMPUTED_VALUE"""),"Pilar")</f>
        <v>Pilar</v>
      </c>
      <c r="AI4" s="142" t="str">
        <f>IFERROR(__xludf.DUMMYFUNCTION("""COMPUTED_VALUE"""),"Pinamungajan")</f>
        <v>Pinamungajan</v>
      </c>
      <c r="AJ4" s="142" t="str">
        <f>IFERROR(__xludf.DUMMYFUNCTION("""COMPUTED_VALUE"""),"Poro")</f>
        <v>Poro</v>
      </c>
      <c r="AK4" s="142" t="str">
        <f>IFERROR(__xludf.DUMMYFUNCTION("""COMPUTED_VALUE"""),"Ronda")</f>
        <v>Ronda</v>
      </c>
      <c r="AL4" s="142" t="str">
        <f>IFERROR(__xludf.DUMMYFUNCTION("""COMPUTED_VALUE"""),"Samboan")</f>
        <v>Samboan</v>
      </c>
      <c r="AM4" s="142" t="str">
        <f>IFERROR(__xludf.DUMMYFUNCTION("""COMPUTED_VALUE"""),"San Fernando")</f>
        <v>San Fernando</v>
      </c>
      <c r="AN4" s="142" t="str">
        <f>IFERROR(__xludf.DUMMYFUNCTION("""COMPUTED_VALUE"""),"San Francisco")</f>
        <v>San Francisco</v>
      </c>
      <c r="AO4" s="142" t="str">
        <f>IFERROR(__xludf.DUMMYFUNCTION("""COMPUTED_VALUE"""),"San Remigio")</f>
        <v>San Remigio</v>
      </c>
      <c r="AP4" s="142" t="str">
        <f>IFERROR(__xludf.DUMMYFUNCTION("""COMPUTED_VALUE"""),"Santa Fe")</f>
        <v>Santa Fe</v>
      </c>
      <c r="AQ4" s="142" t="str">
        <f>IFERROR(__xludf.DUMMYFUNCTION("""COMPUTED_VALUE"""),"Santander")</f>
        <v>Santander</v>
      </c>
      <c r="AR4" s="142" t="str">
        <f>IFERROR(__xludf.DUMMYFUNCTION("""COMPUTED_VALUE"""),"Sibonga")</f>
        <v>Sibonga</v>
      </c>
      <c r="AS4" s="142" t="str">
        <f>IFERROR(__xludf.DUMMYFUNCTION("""COMPUTED_VALUE"""),"Sogod")</f>
        <v>Sogod</v>
      </c>
      <c r="AT4" s="142" t="str">
        <f>IFERROR(__xludf.DUMMYFUNCTION("""COMPUTED_VALUE"""),"Tabogon")</f>
        <v>Tabogon</v>
      </c>
      <c r="AU4" s="142" t="str">
        <f>IFERROR(__xludf.DUMMYFUNCTION("""COMPUTED_VALUE"""),"Tabuelan")</f>
        <v>Tabuelan</v>
      </c>
      <c r="AV4" s="142" t="str">
        <f>IFERROR(__xludf.DUMMYFUNCTION("""COMPUTED_VALUE"""),"City of Talisay")</f>
        <v>City of Talisay</v>
      </c>
      <c r="AW4" s="142" t="str">
        <f>IFERROR(__xludf.DUMMYFUNCTION("""COMPUTED_VALUE"""),"City of Toledo")</f>
        <v>City of Toledo</v>
      </c>
      <c r="AX4" s="142" t="str">
        <f>IFERROR(__xludf.DUMMYFUNCTION("""COMPUTED_VALUE"""),"Tuburan")</f>
        <v>Tuburan</v>
      </c>
      <c r="AY4" s="142" t="str">
        <f>IFERROR(__xludf.DUMMYFUNCTION("""COMPUTED_VALUE"""),"Tudela")</f>
        <v>Tudela</v>
      </c>
      <c r="AZ4" s="142" t="str">
        <f>IFERROR(__xludf.DUMMYFUNCTION("""COMPUTED_VALUE"""),"City of Cebu")</f>
        <v>City of Cebu</v>
      </c>
      <c r="BA4" s="142" t="str">
        <f>IFERROR(__xludf.DUMMYFUNCTION("""COMPUTED_VALUE"""),"City of Lapu-Lapu")</f>
        <v>City of Lapu-Lapu</v>
      </c>
      <c r="BB4" s="142" t="str">
        <f>IFERROR(__xludf.DUMMYFUNCTION("""COMPUTED_VALUE"""),"City of Mandaue")</f>
        <v>City of Mandaue</v>
      </c>
      <c r="BC4" s="8"/>
      <c r="BD4" s="8"/>
      <c r="BE4" s="8"/>
    </row>
    <row r="5">
      <c r="A5" s="142" t="s">
        <v>144</v>
      </c>
      <c r="B5" s="142" t="str">
        <f>IFERROR(__xludf.DUMMYFUNCTION("""COMPUTED_VALUE"""),"Agno")</f>
        <v>Agno</v>
      </c>
      <c r="C5" s="142" t="str">
        <f>IFERROR(__xludf.DUMMYFUNCTION("""COMPUTED_VALUE"""),"Aguilar")</f>
        <v>Aguilar</v>
      </c>
      <c r="D5" s="142" t="str">
        <f>IFERROR(__xludf.DUMMYFUNCTION("""COMPUTED_VALUE"""),"City of Alaminos")</f>
        <v>City of Alaminos</v>
      </c>
      <c r="E5" s="142" t="str">
        <f>IFERROR(__xludf.DUMMYFUNCTION("""COMPUTED_VALUE"""),"Alcala")</f>
        <v>Alcala</v>
      </c>
      <c r="F5" s="142" t="str">
        <f>IFERROR(__xludf.DUMMYFUNCTION("""COMPUTED_VALUE"""),"Anda")</f>
        <v>Anda</v>
      </c>
      <c r="G5" s="142" t="str">
        <f>IFERROR(__xludf.DUMMYFUNCTION("""COMPUTED_VALUE"""),"Asingan")</f>
        <v>Asingan</v>
      </c>
      <c r="H5" s="142" t="str">
        <f>IFERROR(__xludf.DUMMYFUNCTION("""COMPUTED_VALUE"""),"Balungao")</f>
        <v>Balungao</v>
      </c>
      <c r="I5" s="142" t="str">
        <f>IFERROR(__xludf.DUMMYFUNCTION("""COMPUTED_VALUE"""),"Bani")</f>
        <v>Bani</v>
      </c>
      <c r="J5" s="142" t="str">
        <f>IFERROR(__xludf.DUMMYFUNCTION("""COMPUTED_VALUE"""),"Basista")</f>
        <v>Basista</v>
      </c>
      <c r="K5" s="142" t="str">
        <f>IFERROR(__xludf.DUMMYFUNCTION("""COMPUTED_VALUE"""),"Bautista")</f>
        <v>Bautista</v>
      </c>
      <c r="L5" s="142" t="str">
        <f>IFERROR(__xludf.DUMMYFUNCTION("""COMPUTED_VALUE"""),"Bayambang")</f>
        <v>Bayambang</v>
      </c>
      <c r="M5" s="142" t="str">
        <f>IFERROR(__xludf.DUMMYFUNCTION("""COMPUTED_VALUE"""),"Binalonan")</f>
        <v>Binalonan</v>
      </c>
      <c r="N5" s="142" t="str">
        <f>IFERROR(__xludf.DUMMYFUNCTION("""COMPUTED_VALUE"""),"Binmaley")</f>
        <v>Binmaley</v>
      </c>
      <c r="O5" s="142" t="str">
        <f>IFERROR(__xludf.DUMMYFUNCTION("""COMPUTED_VALUE"""),"Bolinao")</f>
        <v>Bolinao</v>
      </c>
      <c r="P5" s="142" t="str">
        <f>IFERROR(__xludf.DUMMYFUNCTION("""COMPUTED_VALUE"""),"Bugallon")</f>
        <v>Bugallon</v>
      </c>
      <c r="Q5" s="142" t="str">
        <f>IFERROR(__xludf.DUMMYFUNCTION("""COMPUTED_VALUE"""),"Burgos")</f>
        <v>Burgos</v>
      </c>
      <c r="R5" s="142" t="str">
        <f>IFERROR(__xludf.DUMMYFUNCTION("""COMPUTED_VALUE"""),"Calasiao")</f>
        <v>Calasiao</v>
      </c>
      <c r="S5" s="142" t="str">
        <f>IFERROR(__xludf.DUMMYFUNCTION("""COMPUTED_VALUE"""),"City of Dagupan")</f>
        <v>City of Dagupan</v>
      </c>
      <c r="T5" s="142" t="str">
        <f>IFERROR(__xludf.DUMMYFUNCTION("""COMPUTED_VALUE"""),"Dasol")</f>
        <v>Dasol</v>
      </c>
      <c r="U5" s="142" t="str">
        <f>IFERROR(__xludf.DUMMYFUNCTION("""COMPUTED_VALUE"""),"Infanta")</f>
        <v>Infanta</v>
      </c>
      <c r="V5" s="142" t="str">
        <f>IFERROR(__xludf.DUMMYFUNCTION("""COMPUTED_VALUE"""),"Labrador")</f>
        <v>Labrador</v>
      </c>
      <c r="W5" s="142" t="str">
        <f>IFERROR(__xludf.DUMMYFUNCTION("""COMPUTED_VALUE"""),"Lingayen")</f>
        <v>Lingayen</v>
      </c>
      <c r="X5" s="142" t="str">
        <f>IFERROR(__xludf.DUMMYFUNCTION("""COMPUTED_VALUE"""),"Mabini")</f>
        <v>Mabini</v>
      </c>
      <c r="Y5" s="142" t="str">
        <f>IFERROR(__xludf.DUMMYFUNCTION("""COMPUTED_VALUE"""),"Malasiqui")</f>
        <v>Malasiqui</v>
      </c>
      <c r="Z5" s="142" t="str">
        <f>IFERROR(__xludf.DUMMYFUNCTION("""COMPUTED_VALUE"""),"Manaoag")</f>
        <v>Manaoag</v>
      </c>
      <c r="AA5" s="142" t="str">
        <f>IFERROR(__xludf.DUMMYFUNCTION("""COMPUTED_VALUE"""),"Mangaldan")</f>
        <v>Mangaldan</v>
      </c>
      <c r="AB5" s="142" t="str">
        <f>IFERROR(__xludf.DUMMYFUNCTION("""COMPUTED_VALUE"""),"Mangatarem")</f>
        <v>Mangatarem</v>
      </c>
      <c r="AC5" s="142" t="str">
        <f>IFERROR(__xludf.DUMMYFUNCTION("""COMPUTED_VALUE"""),"Mapandan")</f>
        <v>Mapandan</v>
      </c>
      <c r="AD5" s="142" t="str">
        <f>IFERROR(__xludf.DUMMYFUNCTION("""COMPUTED_VALUE"""),"Natividad")</f>
        <v>Natividad</v>
      </c>
      <c r="AE5" s="142" t="str">
        <f>IFERROR(__xludf.DUMMYFUNCTION("""COMPUTED_VALUE"""),"Pozorrubio")</f>
        <v>Pozorrubio</v>
      </c>
      <c r="AF5" s="142" t="str">
        <f>IFERROR(__xludf.DUMMYFUNCTION("""COMPUTED_VALUE"""),"Rosales")</f>
        <v>Rosales</v>
      </c>
      <c r="AG5" s="142" t="str">
        <f>IFERROR(__xludf.DUMMYFUNCTION("""COMPUTED_VALUE"""),"City of San Carlos")</f>
        <v>City of San Carlos</v>
      </c>
      <c r="AH5" s="142" t="str">
        <f>IFERROR(__xludf.DUMMYFUNCTION("""COMPUTED_VALUE"""),"San Fabian")</f>
        <v>San Fabian</v>
      </c>
      <c r="AI5" s="142" t="str">
        <f>IFERROR(__xludf.DUMMYFUNCTION("""COMPUTED_VALUE"""),"San Jacinto")</f>
        <v>San Jacinto</v>
      </c>
      <c r="AJ5" s="142" t="str">
        <f>IFERROR(__xludf.DUMMYFUNCTION("""COMPUTED_VALUE"""),"San Manuel")</f>
        <v>San Manuel</v>
      </c>
      <c r="AK5" s="142" t="str">
        <f>IFERROR(__xludf.DUMMYFUNCTION("""COMPUTED_VALUE"""),"San Nicolas")</f>
        <v>San Nicolas</v>
      </c>
      <c r="AL5" s="142" t="str">
        <f>IFERROR(__xludf.DUMMYFUNCTION("""COMPUTED_VALUE"""),"San Quintin")</f>
        <v>San Quintin</v>
      </c>
      <c r="AM5" s="142" t="str">
        <f>IFERROR(__xludf.DUMMYFUNCTION("""COMPUTED_VALUE"""),"Santa Barbara")</f>
        <v>Santa Barbara</v>
      </c>
      <c r="AN5" s="142" t="str">
        <f>IFERROR(__xludf.DUMMYFUNCTION("""COMPUTED_VALUE"""),"Santa Maria")</f>
        <v>Santa Maria</v>
      </c>
      <c r="AO5" s="142" t="str">
        <f>IFERROR(__xludf.DUMMYFUNCTION("""COMPUTED_VALUE"""),"Santo Tomas")</f>
        <v>Santo Tomas</v>
      </c>
      <c r="AP5" s="142" t="str">
        <f>IFERROR(__xludf.DUMMYFUNCTION("""COMPUTED_VALUE"""),"Sison")</f>
        <v>Sison</v>
      </c>
      <c r="AQ5" s="142" t="str">
        <f>IFERROR(__xludf.DUMMYFUNCTION("""COMPUTED_VALUE"""),"Sual")</f>
        <v>Sual</v>
      </c>
      <c r="AR5" s="142" t="str">
        <f>IFERROR(__xludf.DUMMYFUNCTION("""COMPUTED_VALUE"""),"Tayug")</f>
        <v>Tayug</v>
      </c>
      <c r="AS5" s="142" t="str">
        <f>IFERROR(__xludf.DUMMYFUNCTION("""COMPUTED_VALUE"""),"Umingan")</f>
        <v>Umingan</v>
      </c>
      <c r="AT5" s="142" t="str">
        <f>IFERROR(__xludf.DUMMYFUNCTION("""COMPUTED_VALUE"""),"Urbiztondo")</f>
        <v>Urbiztondo</v>
      </c>
      <c r="AU5" s="142" t="str">
        <f>IFERROR(__xludf.DUMMYFUNCTION("""COMPUTED_VALUE"""),"City of Urdaneta")</f>
        <v>City of Urdaneta</v>
      </c>
      <c r="AV5" s="142" t="str">
        <f>IFERROR(__xludf.DUMMYFUNCTION("""COMPUTED_VALUE"""),"Villasis")</f>
        <v>Villasis</v>
      </c>
      <c r="AW5" s="142" t="str">
        <f>IFERROR(__xludf.DUMMYFUNCTION("""COMPUTED_VALUE"""),"Laoac")</f>
        <v>Laoac</v>
      </c>
      <c r="AX5" s="8"/>
      <c r="AY5" s="8"/>
      <c r="AZ5" s="8"/>
      <c r="BA5" s="8"/>
      <c r="BB5" s="8"/>
      <c r="BC5" s="8"/>
      <c r="BD5" s="8"/>
      <c r="BE5" s="8"/>
    </row>
    <row r="6">
      <c r="A6" s="142" t="s">
        <v>144</v>
      </c>
      <c r="B6" s="142" t="str">
        <f>IFERROR(__xludf.DUMMYFUNCTION("""COMPUTED_VALUE"""),"Agno")</f>
        <v>Agno</v>
      </c>
      <c r="C6" s="142" t="str">
        <f>IFERROR(__xludf.DUMMYFUNCTION("""COMPUTED_VALUE"""),"Aguilar")</f>
        <v>Aguilar</v>
      </c>
      <c r="D6" s="142" t="str">
        <f>IFERROR(__xludf.DUMMYFUNCTION("""COMPUTED_VALUE"""),"City of Alaminos")</f>
        <v>City of Alaminos</v>
      </c>
      <c r="E6" s="142" t="str">
        <f>IFERROR(__xludf.DUMMYFUNCTION("""COMPUTED_VALUE"""),"Alcala")</f>
        <v>Alcala</v>
      </c>
      <c r="F6" s="142" t="str">
        <f>IFERROR(__xludf.DUMMYFUNCTION("""COMPUTED_VALUE"""),"Anda")</f>
        <v>Anda</v>
      </c>
      <c r="G6" s="142" t="str">
        <f>IFERROR(__xludf.DUMMYFUNCTION("""COMPUTED_VALUE"""),"Asingan")</f>
        <v>Asingan</v>
      </c>
      <c r="H6" s="142" t="str">
        <f>IFERROR(__xludf.DUMMYFUNCTION("""COMPUTED_VALUE"""),"Balungao")</f>
        <v>Balungao</v>
      </c>
      <c r="I6" s="142" t="str">
        <f>IFERROR(__xludf.DUMMYFUNCTION("""COMPUTED_VALUE"""),"Bani")</f>
        <v>Bani</v>
      </c>
      <c r="J6" s="142" t="str">
        <f>IFERROR(__xludf.DUMMYFUNCTION("""COMPUTED_VALUE"""),"Basista")</f>
        <v>Basista</v>
      </c>
      <c r="K6" s="142" t="str">
        <f>IFERROR(__xludf.DUMMYFUNCTION("""COMPUTED_VALUE"""),"Bautista")</f>
        <v>Bautista</v>
      </c>
      <c r="L6" s="142" t="str">
        <f>IFERROR(__xludf.DUMMYFUNCTION("""COMPUTED_VALUE"""),"Bayambang")</f>
        <v>Bayambang</v>
      </c>
      <c r="M6" s="142" t="str">
        <f>IFERROR(__xludf.DUMMYFUNCTION("""COMPUTED_VALUE"""),"Binalonan")</f>
        <v>Binalonan</v>
      </c>
      <c r="N6" s="142" t="str">
        <f>IFERROR(__xludf.DUMMYFUNCTION("""COMPUTED_VALUE"""),"Binmaley")</f>
        <v>Binmaley</v>
      </c>
      <c r="O6" s="142" t="str">
        <f>IFERROR(__xludf.DUMMYFUNCTION("""COMPUTED_VALUE"""),"Bolinao")</f>
        <v>Bolinao</v>
      </c>
      <c r="P6" s="142" t="str">
        <f>IFERROR(__xludf.DUMMYFUNCTION("""COMPUTED_VALUE"""),"Bugallon")</f>
        <v>Bugallon</v>
      </c>
      <c r="Q6" s="142" t="str">
        <f>IFERROR(__xludf.DUMMYFUNCTION("""COMPUTED_VALUE"""),"Burgos")</f>
        <v>Burgos</v>
      </c>
      <c r="R6" s="142" t="str">
        <f>IFERROR(__xludf.DUMMYFUNCTION("""COMPUTED_VALUE"""),"Calasiao")</f>
        <v>Calasiao</v>
      </c>
      <c r="S6" s="142" t="str">
        <f>IFERROR(__xludf.DUMMYFUNCTION("""COMPUTED_VALUE"""),"City of Dagupan")</f>
        <v>City of Dagupan</v>
      </c>
      <c r="T6" s="142" t="str">
        <f>IFERROR(__xludf.DUMMYFUNCTION("""COMPUTED_VALUE"""),"Dasol")</f>
        <v>Dasol</v>
      </c>
      <c r="U6" s="142" t="str">
        <f>IFERROR(__xludf.DUMMYFUNCTION("""COMPUTED_VALUE"""),"Infanta")</f>
        <v>Infanta</v>
      </c>
      <c r="V6" s="142" t="str">
        <f>IFERROR(__xludf.DUMMYFUNCTION("""COMPUTED_VALUE"""),"Labrador")</f>
        <v>Labrador</v>
      </c>
      <c r="W6" s="142" t="str">
        <f>IFERROR(__xludf.DUMMYFUNCTION("""COMPUTED_VALUE"""),"Lingayen")</f>
        <v>Lingayen</v>
      </c>
      <c r="X6" s="142" t="str">
        <f>IFERROR(__xludf.DUMMYFUNCTION("""COMPUTED_VALUE"""),"Mabini")</f>
        <v>Mabini</v>
      </c>
      <c r="Y6" s="142" t="str">
        <f>IFERROR(__xludf.DUMMYFUNCTION("""COMPUTED_VALUE"""),"Malasiqui")</f>
        <v>Malasiqui</v>
      </c>
      <c r="Z6" s="142" t="str">
        <f>IFERROR(__xludf.DUMMYFUNCTION("""COMPUTED_VALUE"""),"Manaoag")</f>
        <v>Manaoag</v>
      </c>
      <c r="AA6" s="142" t="str">
        <f>IFERROR(__xludf.DUMMYFUNCTION("""COMPUTED_VALUE"""),"Mangaldan")</f>
        <v>Mangaldan</v>
      </c>
      <c r="AB6" s="142" t="str">
        <f>IFERROR(__xludf.DUMMYFUNCTION("""COMPUTED_VALUE"""),"Mangatarem")</f>
        <v>Mangatarem</v>
      </c>
      <c r="AC6" s="142" t="str">
        <f>IFERROR(__xludf.DUMMYFUNCTION("""COMPUTED_VALUE"""),"Mapandan")</f>
        <v>Mapandan</v>
      </c>
      <c r="AD6" s="142" t="str">
        <f>IFERROR(__xludf.DUMMYFUNCTION("""COMPUTED_VALUE"""),"Natividad")</f>
        <v>Natividad</v>
      </c>
      <c r="AE6" s="142" t="str">
        <f>IFERROR(__xludf.DUMMYFUNCTION("""COMPUTED_VALUE"""),"Pozorrubio")</f>
        <v>Pozorrubio</v>
      </c>
      <c r="AF6" s="142" t="str">
        <f>IFERROR(__xludf.DUMMYFUNCTION("""COMPUTED_VALUE"""),"Rosales")</f>
        <v>Rosales</v>
      </c>
      <c r="AG6" s="142" t="str">
        <f>IFERROR(__xludf.DUMMYFUNCTION("""COMPUTED_VALUE"""),"City of San Carlos")</f>
        <v>City of San Carlos</v>
      </c>
      <c r="AH6" s="142" t="str">
        <f>IFERROR(__xludf.DUMMYFUNCTION("""COMPUTED_VALUE"""),"San Fabian")</f>
        <v>San Fabian</v>
      </c>
      <c r="AI6" s="142" t="str">
        <f>IFERROR(__xludf.DUMMYFUNCTION("""COMPUTED_VALUE"""),"San Jacinto")</f>
        <v>San Jacinto</v>
      </c>
      <c r="AJ6" s="142" t="str">
        <f>IFERROR(__xludf.DUMMYFUNCTION("""COMPUTED_VALUE"""),"San Manuel")</f>
        <v>San Manuel</v>
      </c>
      <c r="AK6" s="142" t="str">
        <f>IFERROR(__xludf.DUMMYFUNCTION("""COMPUTED_VALUE"""),"San Nicolas")</f>
        <v>San Nicolas</v>
      </c>
      <c r="AL6" s="142" t="str">
        <f>IFERROR(__xludf.DUMMYFUNCTION("""COMPUTED_VALUE"""),"San Quintin")</f>
        <v>San Quintin</v>
      </c>
      <c r="AM6" s="142" t="str">
        <f>IFERROR(__xludf.DUMMYFUNCTION("""COMPUTED_VALUE"""),"Santa Barbara")</f>
        <v>Santa Barbara</v>
      </c>
      <c r="AN6" s="142" t="str">
        <f>IFERROR(__xludf.DUMMYFUNCTION("""COMPUTED_VALUE"""),"Santa Maria")</f>
        <v>Santa Maria</v>
      </c>
      <c r="AO6" s="142" t="str">
        <f>IFERROR(__xludf.DUMMYFUNCTION("""COMPUTED_VALUE"""),"Santo Tomas")</f>
        <v>Santo Tomas</v>
      </c>
      <c r="AP6" s="142" t="str">
        <f>IFERROR(__xludf.DUMMYFUNCTION("""COMPUTED_VALUE"""),"Sison")</f>
        <v>Sison</v>
      </c>
      <c r="AQ6" s="142" t="str">
        <f>IFERROR(__xludf.DUMMYFUNCTION("""COMPUTED_VALUE"""),"Sual")</f>
        <v>Sual</v>
      </c>
      <c r="AR6" s="142" t="str">
        <f>IFERROR(__xludf.DUMMYFUNCTION("""COMPUTED_VALUE"""),"Tayug")</f>
        <v>Tayug</v>
      </c>
      <c r="AS6" s="142" t="str">
        <f>IFERROR(__xludf.DUMMYFUNCTION("""COMPUTED_VALUE"""),"Umingan")</f>
        <v>Umingan</v>
      </c>
      <c r="AT6" s="142" t="str">
        <f>IFERROR(__xludf.DUMMYFUNCTION("""COMPUTED_VALUE"""),"Urbiztondo")</f>
        <v>Urbiztondo</v>
      </c>
      <c r="AU6" s="142" t="str">
        <f>IFERROR(__xludf.DUMMYFUNCTION("""COMPUTED_VALUE"""),"City of Urdaneta")</f>
        <v>City of Urdaneta</v>
      </c>
      <c r="AV6" s="142" t="str">
        <f>IFERROR(__xludf.DUMMYFUNCTION("""COMPUTED_VALUE"""),"Villasis")</f>
        <v>Villasis</v>
      </c>
      <c r="AW6" s="142" t="str">
        <f>IFERROR(__xludf.DUMMYFUNCTION("""COMPUTED_VALUE"""),"Laoac")</f>
        <v>Laoac</v>
      </c>
      <c r="AX6" s="8"/>
      <c r="AY6" s="8"/>
      <c r="AZ6" s="8"/>
      <c r="BA6" s="8"/>
      <c r="BB6" s="8"/>
      <c r="BC6" s="8"/>
      <c r="BD6" s="8"/>
      <c r="BE6" s="8"/>
    </row>
    <row r="7">
      <c r="A7" s="142" t="s">
        <v>144</v>
      </c>
      <c r="B7" s="142" t="str">
        <f>IFERROR(__xludf.DUMMYFUNCTION("""COMPUTED_VALUE"""),"Agno")</f>
        <v>Agno</v>
      </c>
      <c r="C7" s="142" t="str">
        <f>IFERROR(__xludf.DUMMYFUNCTION("""COMPUTED_VALUE"""),"Aguilar")</f>
        <v>Aguilar</v>
      </c>
      <c r="D7" s="142" t="str">
        <f>IFERROR(__xludf.DUMMYFUNCTION("""COMPUTED_VALUE"""),"City of Alaminos")</f>
        <v>City of Alaminos</v>
      </c>
      <c r="E7" s="142" t="str">
        <f>IFERROR(__xludf.DUMMYFUNCTION("""COMPUTED_VALUE"""),"Alcala")</f>
        <v>Alcala</v>
      </c>
      <c r="F7" s="142" t="str">
        <f>IFERROR(__xludf.DUMMYFUNCTION("""COMPUTED_VALUE"""),"Anda")</f>
        <v>Anda</v>
      </c>
      <c r="G7" s="142" t="str">
        <f>IFERROR(__xludf.DUMMYFUNCTION("""COMPUTED_VALUE"""),"Asingan")</f>
        <v>Asingan</v>
      </c>
      <c r="H7" s="142" t="str">
        <f>IFERROR(__xludf.DUMMYFUNCTION("""COMPUTED_VALUE"""),"Balungao")</f>
        <v>Balungao</v>
      </c>
      <c r="I7" s="142" t="str">
        <f>IFERROR(__xludf.DUMMYFUNCTION("""COMPUTED_VALUE"""),"Bani")</f>
        <v>Bani</v>
      </c>
      <c r="J7" s="142" t="str">
        <f>IFERROR(__xludf.DUMMYFUNCTION("""COMPUTED_VALUE"""),"Basista")</f>
        <v>Basista</v>
      </c>
      <c r="K7" s="142" t="str">
        <f>IFERROR(__xludf.DUMMYFUNCTION("""COMPUTED_VALUE"""),"Bautista")</f>
        <v>Bautista</v>
      </c>
      <c r="L7" s="142" t="str">
        <f>IFERROR(__xludf.DUMMYFUNCTION("""COMPUTED_VALUE"""),"Bayambang")</f>
        <v>Bayambang</v>
      </c>
      <c r="M7" s="142" t="str">
        <f>IFERROR(__xludf.DUMMYFUNCTION("""COMPUTED_VALUE"""),"Binalonan")</f>
        <v>Binalonan</v>
      </c>
      <c r="N7" s="142" t="str">
        <f>IFERROR(__xludf.DUMMYFUNCTION("""COMPUTED_VALUE"""),"Binmaley")</f>
        <v>Binmaley</v>
      </c>
      <c r="O7" s="142" t="str">
        <f>IFERROR(__xludf.DUMMYFUNCTION("""COMPUTED_VALUE"""),"Bolinao")</f>
        <v>Bolinao</v>
      </c>
      <c r="P7" s="142" t="str">
        <f>IFERROR(__xludf.DUMMYFUNCTION("""COMPUTED_VALUE"""),"Bugallon")</f>
        <v>Bugallon</v>
      </c>
      <c r="Q7" s="142" t="str">
        <f>IFERROR(__xludf.DUMMYFUNCTION("""COMPUTED_VALUE"""),"Burgos")</f>
        <v>Burgos</v>
      </c>
      <c r="R7" s="142" t="str">
        <f>IFERROR(__xludf.DUMMYFUNCTION("""COMPUTED_VALUE"""),"Calasiao")</f>
        <v>Calasiao</v>
      </c>
      <c r="S7" s="142" t="str">
        <f>IFERROR(__xludf.DUMMYFUNCTION("""COMPUTED_VALUE"""),"City of Dagupan")</f>
        <v>City of Dagupan</v>
      </c>
      <c r="T7" s="142" t="str">
        <f>IFERROR(__xludf.DUMMYFUNCTION("""COMPUTED_VALUE"""),"Dasol")</f>
        <v>Dasol</v>
      </c>
      <c r="U7" s="142" t="str">
        <f>IFERROR(__xludf.DUMMYFUNCTION("""COMPUTED_VALUE"""),"Infanta")</f>
        <v>Infanta</v>
      </c>
      <c r="V7" s="142" t="str">
        <f>IFERROR(__xludf.DUMMYFUNCTION("""COMPUTED_VALUE"""),"Labrador")</f>
        <v>Labrador</v>
      </c>
      <c r="W7" s="142" t="str">
        <f>IFERROR(__xludf.DUMMYFUNCTION("""COMPUTED_VALUE"""),"Lingayen")</f>
        <v>Lingayen</v>
      </c>
      <c r="X7" s="142" t="str">
        <f>IFERROR(__xludf.DUMMYFUNCTION("""COMPUTED_VALUE"""),"Mabini")</f>
        <v>Mabini</v>
      </c>
      <c r="Y7" s="142" t="str">
        <f>IFERROR(__xludf.DUMMYFUNCTION("""COMPUTED_VALUE"""),"Malasiqui")</f>
        <v>Malasiqui</v>
      </c>
      <c r="Z7" s="142" t="str">
        <f>IFERROR(__xludf.DUMMYFUNCTION("""COMPUTED_VALUE"""),"Manaoag")</f>
        <v>Manaoag</v>
      </c>
      <c r="AA7" s="142" t="str">
        <f>IFERROR(__xludf.DUMMYFUNCTION("""COMPUTED_VALUE"""),"Mangaldan")</f>
        <v>Mangaldan</v>
      </c>
      <c r="AB7" s="142" t="str">
        <f>IFERROR(__xludf.DUMMYFUNCTION("""COMPUTED_VALUE"""),"Mangatarem")</f>
        <v>Mangatarem</v>
      </c>
      <c r="AC7" s="142" t="str">
        <f>IFERROR(__xludf.DUMMYFUNCTION("""COMPUTED_VALUE"""),"Mapandan")</f>
        <v>Mapandan</v>
      </c>
      <c r="AD7" s="142" t="str">
        <f>IFERROR(__xludf.DUMMYFUNCTION("""COMPUTED_VALUE"""),"Natividad")</f>
        <v>Natividad</v>
      </c>
      <c r="AE7" s="142" t="str">
        <f>IFERROR(__xludf.DUMMYFUNCTION("""COMPUTED_VALUE"""),"Pozorrubio")</f>
        <v>Pozorrubio</v>
      </c>
      <c r="AF7" s="142" t="str">
        <f>IFERROR(__xludf.DUMMYFUNCTION("""COMPUTED_VALUE"""),"Rosales")</f>
        <v>Rosales</v>
      </c>
      <c r="AG7" s="142" t="str">
        <f>IFERROR(__xludf.DUMMYFUNCTION("""COMPUTED_VALUE"""),"City of San Carlos")</f>
        <v>City of San Carlos</v>
      </c>
      <c r="AH7" s="142" t="str">
        <f>IFERROR(__xludf.DUMMYFUNCTION("""COMPUTED_VALUE"""),"San Fabian")</f>
        <v>San Fabian</v>
      </c>
      <c r="AI7" s="142" t="str">
        <f>IFERROR(__xludf.DUMMYFUNCTION("""COMPUTED_VALUE"""),"San Jacinto")</f>
        <v>San Jacinto</v>
      </c>
      <c r="AJ7" s="142" t="str">
        <f>IFERROR(__xludf.DUMMYFUNCTION("""COMPUTED_VALUE"""),"San Manuel")</f>
        <v>San Manuel</v>
      </c>
      <c r="AK7" s="142" t="str">
        <f>IFERROR(__xludf.DUMMYFUNCTION("""COMPUTED_VALUE"""),"San Nicolas")</f>
        <v>San Nicolas</v>
      </c>
      <c r="AL7" s="142" t="str">
        <f>IFERROR(__xludf.DUMMYFUNCTION("""COMPUTED_VALUE"""),"San Quintin")</f>
        <v>San Quintin</v>
      </c>
      <c r="AM7" s="142" t="str">
        <f>IFERROR(__xludf.DUMMYFUNCTION("""COMPUTED_VALUE"""),"Santa Barbara")</f>
        <v>Santa Barbara</v>
      </c>
      <c r="AN7" s="142" t="str">
        <f>IFERROR(__xludf.DUMMYFUNCTION("""COMPUTED_VALUE"""),"Santa Maria")</f>
        <v>Santa Maria</v>
      </c>
      <c r="AO7" s="142" t="str">
        <f>IFERROR(__xludf.DUMMYFUNCTION("""COMPUTED_VALUE"""),"Santo Tomas")</f>
        <v>Santo Tomas</v>
      </c>
      <c r="AP7" s="142" t="str">
        <f>IFERROR(__xludf.DUMMYFUNCTION("""COMPUTED_VALUE"""),"Sison")</f>
        <v>Sison</v>
      </c>
      <c r="AQ7" s="142" t="str">
        <f>IFERROR(__xludf.DUMMYFUNCTION("""COMPUTED_VALUE"""),"Sual")</f>
        <v>Sual</v>
      </c>
      <c r="AR7" s="142" t="str">
        <f>IFERROR(__xludf.DUMMYFUNCTION("""COMPUTED_VALUE"""),"Tayug")</f>
        <v>Tayug</v>
      </c>
      <c r="AS7" s="142" t="str">
        <f>IFERROR(__xludf.DUMMYFUNCTION("""COMPUTED_VALUE"""),"Umingan")</f>
        <v>Umingan</v>
      </c>
      <c r="AT7" s="142" t="str">
        <f>IFERROR(__xludf.DUMMYFUNCTION("""COMPUTED_VALUE"""),"Urbiztondo")</f>
        <v>Urbiztondo</v>
      </c>
      <c r="AU7" s="142" t="str">
        <f>IFERROR(__xludf.DUMMYFUNCTION("""COMPUTED_VALUE"""),"City of Urdaneta")</f>
        <v>City of Urdaneta</v>
      </c>
      <c r="AV7" s="142" t="str">
        <f>IFERROR(__xludf.DUMMYFUNCTION("""COMPUTED_VALUE"""),"Villasis")</f>
        <v>Villasis</v>
      </c>
      <c r="AW7" s="142" t="str">
        <f>IFERROR(__xludf.DUMMYFUNCTION("""COMPUTED_VALUE"""),"Laoac")</f>
        <v>Laoac</v>
      </c>
      <c r="AX7" s="8"/>
      <c r="AY7" s="8"/>
      <c r="AZ7" s="8"/>
      <c r="BA7" s="8"/>
      <c r="BB7" s="8"/>
      <c r="BC7" s="8"/>
      <c r="BD7" s="8"/>
      <c r="BE7" s="8"/>
    </row>
    <row r="8">
      <c r="A8" s="142" t="s">
        <v>144</v>
      </c>
      <c r="B8" s="142" t="str">
        <f>IFERROR(__xludf.DUMMYFUNCTION("""COMPUTED_VALUE"""),"Agno")</f>
        <v>Agno</v>
      </c>
      <c r="C8" s="142" t="str">
        <f>IFERROR(__xludf.DUMMYFUNCTION("""COMPUTED_VALUE"""),"Aguilar")</f>
        <v>Aguilar</v>
      </c>
      <c r="D8" s="142" t="str">
        <f>IFERROR(__xludf.DUMMYFUNCTION("""COMPUTED_VALUE"""),"City of Alaminos")</f>
        <v>City of Alaminos</v>
      </c>
      <c r="E8" s="142" t="str">
        <f>IFERROR(__xludf.DUMMYFUNCTION("""COMPUTED_VALUE"""),"Alcala")</f>
        <v>Alcala</v>
      </c>
      <c r="F8" s="142" t="str">
        <f>IFERROR(__xludf.DUMMYFUNCTION("""COMPUTED_VALUE"""),"Anda")</f>
        <v>Anda</v>
      </c>
      <c r="G8" s="142" t="str">
        <f>IFERROR(__xludf.DUMMYFUNCTION("""COMPUTED_VALUE"""),"Asingan")</f>
        <v>Asingan</v>
      </c>
      <c r="H8" s="142" t="str">
        <f>IFERROR(__xludf.DUMMYFUNCTION("""COMPUTED_VALUE"""),"Balungao")</f>
        <v>Balungao</v>
      </c>
      <c r="I8" s="142" t="str">
        <f>IFERROR(__xludf.DUMMYFUNCTION("""COMPUTED_VALUE"""),"Bani")</f>
        <v>Bani</v>
      </c>
      <c r="J8" s="142" t="str">
        <f>IFERROR(__xludf.DUMMYFUNCTION("""COMPUTED_VALUE"""),"Basista")</f>
        <v>Basista</v>
      </c>
      <c r="K8" s="142" t="str">
        <f>IFERROR(__xludf.DUMMYFUNCTION("""COMPUTED_VALUE"""),"Bautista")</f>
        <v>Bautista</v>
      </c>
      <c r="L8" s="142" t="str">
        <f>IFERROR(__xludf.DUMMYFUNCTION("""COMPUTED_VALUE"""),"Bayambang")</f>
        <v>Bayambang</v>
      </c>
      <c r="M8" s="142" t="str">
        <f>IFERROR(__xludf.DUMMYFUNCTION("""COMPUTED_VALUE"""),"Binalonan")</f>
        <v>Binalonan</v>
      </c>
      <c r="N8" s="142" t="str">
        <f>IFERROR(__xludf.DUMMYFUNCTION("""COMPUTED_VALUE"""),"Binmaley")</f>
        <v>Binmaley</v>
      </c>
      <c r="O8" s="142" t="str">
        <f>IFERROR(__xludf.DUMMYFUNCTION("""COMPUTED_VALUE"""),"Bolinao")</f>
        <v>Bolinao</v>
      </c>
      <c r="P8" s="142" t="str">
        <f>IFERROR(__xludf.DUMMYFUNCTION("""COMPUTED_VALUE"""),"Bugallon")</f>
        <v>Bugallon</v>
      </c>
      <c r="Q8" s="142" t="str">
        <f>IFERROR(__xludf.DUMMYFUNCTION("""COMPUTED_VALUE"""),"Burgos")</f>
        <v>Burgos</v>
      </c>
      <c r="R8" s="142" t="str">
        <f>IFERROR(__xludf.DUMMYFUNCTION("""COMPUTED_VALUE"""),"Calasiao")</f>
        <v>Calasiao</v>
      </c>
      <c r="S8" s="142" t="str">
        <f>IFERROR(__xludf.DUMMYFUNCTION("""COMPUTED_VALUE"""),"City of Dagupan")</f>
        <v>City of Dagupan</v>
      </c>
      <c r="T8" s="142" t="str">
        <f>IFERROR(__xludf.DUMMYFUNCTION("""COMPUTED_VALUE"""),"Dasol")</f>
        <v>Dasol</v>
      </c>
      <c r="U8" s="142" t="str">
        <f>IFERROR(__xludf.DUMMYFUNCTION("""COMPUTED_VALUE"""),"Infanta")</f>
        <v>Infanta</v>
      </c>
      <c r="V8" s="142" t="str">
        <f>IFERROR(__xludf.DUMMYFUNCTION("""COMPUTED_VALUE"""),"Labrador")</f>
        <v>Labrador</v>
      </c>
      <c r="W8" s="142" t="str">
        <f>IFERROR(__xludf.DUMMYFUNCTION("""COMPUTED_VALUE"""),"Lingayen")</f>
        <v>Lingayen</v>
      </c>
      <c r="X8" s="142" t="str">
        <f>IFERROR(__xludf.DUMMYFUNCTION("""COMPUTED_VALUE"""),"Mabini")</f>
        <v>Mabini</v>
      </c>
      <c r="Y8" s="142" t="str">
        <f>IFERROR(__xludf.DUMMYFUNCTION("""COMPUTED_VALUE"""),"Malasiqui")</f>
        <v>Malasiqui</v>
      </c>
      <c r="Z8" s="142" t="str">
        <f>IFERROR(__xludf.DUMMYFUNCTION("""COMPUTED_VALUE"""),"Manaoag")</f>
        <v>Manaoag</v>
      </c>
      <c r="AA8" s="142" t="str">
        <f>IFERROR(__xludf.DUMMYFUNCTION("""COMPUTED_VALUE"""),"Mangaldan")</f>
        <v>Mangaldan</v>
      </c>
      <c r="AB8" s="142" t="str">
        <f>IFERROR(__xludf.DUMMYFUNCTION("""COMPUTED_VALUE"""),"Mangatarem")</f>
        <v>Mangatarem</v>
      </c>
      <c r="AC8" s="142" t="str">
        <f>IFERROR(__xludf.DUMMYFUNCTION("""COMPUTED_VALUE"""),"Mapandan")</f>
        <v>Mapandan</v>
      </c>
      <c r="AD8" s="142" t="str">
        <f>IFERROR(__xludf.DUMMYFUNCTION("""COMPUTED_VALUE"""),"Natividad")</f>
        <v>Natividad</v>
      </c>
      <c r="AE8" s="142" t="str">
        <f>IFERROR(__xludf.DUMMYFUNCTION("""COMPUTED_VALUE"""),"Pozorrubio")</f>
        <v>Pozorrubio</v>
      </c>
      <c r="AF8" s="142" t="str">
        <f>IFERROR(__xludf.DUMMYFUNCTION("""COMPUTED_VALUE"""),"Rosales")</f>
        <v>Rosales</v>
      </c>
      <c r="AG8" s="142" t="str">
        <f>IFERROR(__xludf.DUMMYFUNCTION("""COMPUTED_VALUE"""),"City of San Carlos")</f>
        <v>City of San Carlos</v>
      </c>
      <c r="AH8" s="142" t="str">
        <f>IFERROR(__xludf.DUMMYFUNCTION("""COMPUTED_VALUE"""),"San Fabian")</f>
        <v>San Fabian</v>
      </c>
      <c r="AI8" s="142" t="str">
        <f>IFERROR(__xludf.DUMMYFUNCTION("""COMPUTED_VALUE"""),"San Jacinto")</f>
        <v>San Jacinto</v>
      </c>
      <c r="AJ8" s="142" t="str">
        <f>IFERROR(__xludf.DUMMYFUNCTION("""COMPUTED_VALUE"""),"San Manuel")</f>
        <v>San Manuel</v>
      </c>
      <c r="AK8" s="142" t="str">
        <f>IFERROR(__xludf.DUMMYFUNCTION("""COMPUTED_VALUE"""),"San Nicolas")</f>
        <v>San Nicolas</v>
      </c>
      <c r="AL8" s="142" t="str">
        <f>IFERROR(__xludf.DUMMYFUNCTION("""COMPUTED_VALUE"""),"San Quintin")</f>
        <v>San Quintin</v>
      </c>
      <c r="AM8" s="142" t="str">
        <f>IFERROR(__xludf.DUMMYFUNCTION("""COMPUTED_VALUE"""),"Santa Barbara")</f>
        <v>Santa Barbara</v>
      </c>
      <c r="AN8" s="142" t="str">
        <f>IFERROR(__xludf.DUMMYFUNCTION("""COMPUTED_VALUE"""),"Santa Maria")</f>
        <v>Santa Maria</v>
      </c>
      <c r="AO8" s="142" t="str">
        <f>IFERROR(__xludf.DUMMYFUNCTION("""COMPUTED_VALUE"""),"Santo Tomas")</f>
        <v>Santo Tomas</v>
      </c>
      <c r="AP8" s="142" t="str">
        <f>IFERROR(__xludf.DUMMYFUNCTION("""COMPUTED_VALUE"""),"Sison")</f>
        <v>Sison</v>
      </c>
      <c r="AQ8" s="142" t="str">
        <f>IFERROR(__xludf.DUMMYFUNCTION("""COMPUTED_VALUE"""),"Sual")</f>
        <v>Sual</v>
      </c>
      <c r="AR8" s="142" t="str">
        <f>IFERROR(__xludf.DUMMYFUNCTION("""COMPUTED_VALUE"""),"Tayug")</f>
        <v>Tayug</v>
      </c>
      <c r="AS8" s="142" t="str">
        <f>IFERROR(__xludf.DUMMYFUNCTION("""COMPUTED_VALUE"""),"Umingan")</f>
        <v>Umingan</v>
      </c>
      <c r="AT8" s="142" t="str">
        <f>IFERROR(__xludf.DUMMYFUNCTION("""COMPUTED_VALUE"""),"Urbiztondo")</f>
        <v>Urbiztondo</v>
      </c>
      <c r="AU8" s="142" t="str">
        <f>IFERROR(__xludf.DUMMYFUNCTION("""COMPUTED_VALUE"""),"City of Urdaneta")</f>
        <v>City of Urdaneta</v>
      </c>
      <c r="AV8" s="142" t="str">
        <f>IFERROR(__xludf.DUMMYFUNCTION("""COMPUTED_VALUE"""),"Villasis")</f>
        <v>Villasis</v>
      </c>
      <c r="AW8" s="142" t="str">
        <f>IFERROR(__xludf.DUMMYFUNCTION("""COMPUTED_VALUE"""),"Laoac")</f>
        <v>Laoac</v>
      </c>
      <c r="AX8" s="8"/>
      <c r="AY8" s="8"/>
      <c r="AZ8" s="8"/>
      <c r="BA8" s="8"/>
      <c r="BB8" s="8"/>
      <c r="BC8" s="8"/>
      <c r="BD8" s="8"/>
      <c r="BE8" s="8"/>
    </row>
    <row r="9">
      <c r="A9" s="142" t="s">
        <v>144</v>
      </c>
      <c r="B9" s="142" t="str">
        <f>IFERROR(__xludf.DUMMYFUNCTION("""COMPUTED_VALUE"""),"Agno")</f>
        <v>Agno</v>
      </c>
      <c r="C9" s="142" t="str">
        <f>IFERROR(__xludf.DUMMYFUNCTION("""COMPUTED_VALUE"""),"Aguilar")</f>
        <v>Aguilar</v>
      </c>
      <c r="D9" s="142" t="str">
        <f>IFERROR(__xludf.DUMMYFUNCTION("""COMPUTED_VALUE"""),"City of Alaminos")</f>
        <v>City of Alaminos</v>
      </c>
      <c r="E9" s="142" t="str">
        <f>IFERROR(__xludf.DUMMYFUNCTION("""COMPUTED_VALUE"""),"Alcala")</f>
        <v>Alcala</v>
      </c>
      <c r="F9" s="142" t="str">
        <f>IFERROR(__xludf.DUMMYFUNCTION("""COMPUTED_VALUE"""),"Anda")</f>
        <v>Anda</v>
      </c>
      <c r="G9" s="142" t="str">
        <f>IFERROR(__xludf.DUMMYFUNCTION("""COMPUTED_VALUE"""),"Asingan")</f>
        <v>Asingan</v>
      </c>
      <c r="H9" s="142" t="str">
        <f>IFERROR(__xludf.DUMMYFUNCTION("""COMPUTED_VALUE"""),"Balungao")</f>
        <v>Balungao</v>
      </c>
      <c r="I9" s="142" t="str">
        <f>IFERROR(__xludf.DUMMYFUNCTION("""COMPUTED_VALUE"""),"Bani")</f>
        <v>Bani</v>
      </c>
      <c r="J9" s="142" t="str">
        <f>IFERROR(__xludf.DUMMYFUNCTION("""COMPUTED_VALUE"""),"Basista")</f>
        <v>Basista</v>
      </c>
      <c r="K9" s="142" t="str">
        <f>IFERROR(__xludf.DUMMYFUNCTION("""COMPUTED_VALUE"""),"Bautista")</f>
        <v>Bautista</v>
      </c>
      <c r="L9" s="142" t="str">
        <f>IFERROR(__xludf.DUMMYFUNCTION("""COMPUTED_VALUE"""),"Bayambang")</f>
        <v>Bayambang</v>
      </c>
      <c r="M9" s="142" t="str">
        <f>IFERROR(__xludf.DUMMYFUNCTION("""COMPUTED_VALUE"""),"Binalonan")</f>
        <v>Binalonan</v>
      </c>
      <c r="N9" s="142" t="str">
        <f>IFERROR(__xludf.DUMMYFUNCTION("""COMPUTED_VALUE"""),"Binmaley")</f>
        <v>Binmaley</v>
      </c>
      <c r="O9" s="142" t="str">
        <f>IFERROR(__xludf.DUMMYFUNCTION("""COMPUTED_VALUE"""),"Bolinao")</f>
        <v>Bolinao</v>
      </c>
      <c r="P9" s="142" t="str">
        <f>IFERROR(__xludf.DUMMYFUNCTION("""COMPUTED_VALUE"""),"Bugallon")</f>
        <v>Bugallon</v>
      </c>
      <c r="Q9" s="142" t="str">
        <f>IFERROR(__xludf.DUMMYFUNCTION("""COMPUTED_VALUE"""),"Burgos")</f>
        <v>Burgos</v>
      </c>
      <c r="R9" s="142" t="str">
        <f>IFERROR(__xludf.DUMMYFUNCTION("""COMPUTED_VALUE"""),"Calasiao")</f>
        <v>Calasiao</v>
      </c>
      <c r="S9" s="142" t="str">
        <f>IFERROR(__xludf.DUMMYFUNCTION("""COMPUTED_VALUE"""),"City of Dagupan")</f>
        <v>City of Dagupan</v>
      </c>
      <c r="T9" s="142" t="str">
        <f>IFERROR(__xludf.DUMMYFUNCTION("""COMPUTED_VALUE"""),"Dasol")</f>
        <v>Dasol</v>
      </c>
      <c r="U9" s="142" t="str">
        <f>IFERROR(__xludf.DUMMYFUNCTION("""COMPUTED_VALUE"""),"Infanta")</f>
        <v>Infanta</v>
      </c>
      <c r="V9" s="142" t="str">
        <f>IFERROR(__xludf.DUMMYFUNCTION("""COMPUTED_VALUE"""),"Labrador")</f>
        <v>Labrador</v>
      </c>
      <c r="W9" s="142" t="str">
        <f>IFERROR(__xludf.DUMMYFUNCTION("""COMPUTED_VALUE"""),"Lingayen")</f>
        <v>Lingayen</v>
      </c>
      <c r="X9" s="142" t="str">
        <f>IFERROR(__xludf.DUMMYFUNCTION("""COMPUTED_VALUE"""),"Mabini")</f>
        <v>Mabini</v>
      </c>
      <c r="Y9" s="142" t="str">
        <f>IFERROR(__xludf.DUMMYFUNCTION("""COMPUTED_VALUE"""),"Malasiqui")</f>
        <v>Malasiqui</v>
      </c>
      <c r="Z9" s="142" t="str">
        <f>IFERROR(__xludf.DUMMYFUNCTION("""COMPUTED_VALUE"""),"Manaoag")</f>
        <v>Manaoag</v>
      </c>
      <c r="AA9" s="142" t="str">
        <f>IFERROR(__xludf.DUMMYFUNCTION("""COMPUTED_VALUE"""),"Mangaldan")</f>
        <v>Mangaldan</v>
      </c>
      <c r="AB9" s="142" t="str">
        <f>IFERROR(__xludf.DUMMYFUNCTION("""COMPUTED_VALUE"""),"Mangatarem")</f>
        <v>Mangatarem</v>
      </c>
      <c r="AC9" s="142" t="str">
        <f>IFERROR(__xludf.DUMMYFUNCTION("""COMPUTED_VALUE"""),"Mapandan")</f>
        <v>Mapandan</v>
      </c>
      <c r="AD9" s="142" t="str">
        <f>IFERROR(__xludf.DUMMYFUNCTION("""COMPUTED_VALUE"""),"Natividad")</f>
        <v>Natividad</v>
      </c>
      <c r="AE9" s="142" t="str">
        <f>IFERROR(__xludf.DUMMYFUNCTION("""COMPUTED_VALUE"""),"Pozorrubio")</f>
        <v>Pozorrubio</v>
      </c>
      <c r="AF9" s="142" t="str">
        <f>IFERROR(__xludf.DUMMYFUNCTION("""COMPUTED_VALUE"""),"Rosales")</f>
        <v>Rosales</v>
      </c>
      <c r="AG9" s="142" t="str">
        <f>IFERROR(__xludf.DUMMYFUNCTION("""COMPUTED_VALUE"""),"City of San Carlos")</f>
        <v>City of San Carlos</v>
      </c>
      <c r="AH9" s="142" t="str">
        <f>IFERROR(__xludf.DUMMYFUNCTION("""COMPUTED_VALUE"""),"San Fabian")</f>
        <v>San Fabian</v>
      </c>
      <c r="AI9" s="142" t="str">
        <f>IFERROR(__xludf.DUMMYFUNCTION("""COMPUTED_VALUE"""),"San Jacinto")</f>
        <v>San Jacinto</v>
      </c>
      <c r="AJ9" s="142" t="str">
        <f>IFERROR(__xludf.DUMMYFUNCTION("""COMPUTED_VALUE"""),"San Manuel")</f>
        <v>San Manuel</v>
      </c>
      <c r="AK9" s="142" t="str">
        <f>IFERROR(__xludf.DUMMYFUNCTION("""COMPUTED_VALUE"""),"San Nicolas")</f>
        <v>San Nicolas</v>
      </c>
      <c r="AL9" s="142" t="str">
        <f>IFERROR(__xludf.DUMMYFUNCTION("""COMPUTED_VALUE"""),"San Quintin")</f>
        <v>San Quintin</v>
      </c>
      <c r="AM9" s="142" t="str">
        <f>IFERROR(__xludf.DUMMYFUNCTION("""COMPUTED_VALUE"""),"Santa Barbara")</f>
        <v>Santa Barbara</v>
      </c>
      <c r="AN9" s="142" t="str">
        <f>IFERROR(__xludf.DUMMYFUNCTION("""COMPUTED_VALUE"""),"Santa Maria")</f>
        <v>Santa Maria</v>
      </c>
      <c r="AO9" s="142" t="str">
        <f>IFERROR(__xludf.DUMMYFUNCTION("""COMPUTED_VALUE"""),"Santo Tomas")</f>
        <v>Santo Tomas</v>
      </c>
      <c r="AP9" s="142" t="str">
        <f>IFERROR(__xludf.DUMMYFUNCTION("""COMPUTED_VALUE"""),"Sison")</f>
        <v>Sison</v>
      </c>
      <c r="AQ9" s="142" t="str">
        <f>IFERROR(__xludf.DUMMYFUNCTION("""COMPUTED_VALUE"""),"Sual")</f>
        <v>Sual</v>
      </c>
      <c r="AR9" s="142" t="str">
        <f>IFERROR(__xludf.DUMMYFUNCTION("""COMPUTED_VALUE"""),"Tayug")</f>
        <v>Tayug</v>
      </c>
      <c r="AS9" s="142" t="str">
        <f>IFERROR(__xludf.DUMMYFUNCTION("""COMPUTED_VALUE"""),"Umingan")</f>
        <v>Umingan</v>
      </c>
      <c r="AT9" s="142" t="str">
        <f>IFERROR(__xludf.DUMMYFUNCTION("""COMPUTED_VALUE"""),"Urbiztondo")</f>
        <v>Urbiztondo</v>
      </c>
      <c r="AU9" s="142" t="str">
        <f>IFERROR(__xludf.DUMMYFUNCTION("""COMPUTED_VALUE"""),"City of Urdaneta")</f>
        <v>City of Urdaneta</v>
      </c>
      <c r="AV9" s="142" t="str">
        <f>IFERROR(__xludf.DUMMYFUNCTION("""COMPUTED_VALUE"""),"Villasis")</f>
        <v>Villasis</v>
      </c>
      <c r="AW9" s="142" t="str">
        <f>IFERROR(__xludf.DUMMYFUNCTION("""COMPUTED_VALUE"""),"Laoac")</f>
        <v>Laoac</v>
      </c>
      <c r="AX9" s="8"/>
      <c r="AY9" s="8"/>
      <c r="AZ9" s="8"/>
      <c r="BA9" s="8"/>
      <c r="BB9" s="8"/>
      <c r="BC9" s="8"/>
      <c r="BD9" s="8"/>
      <c r="BE9" s="8"/>
    </row>
    <row r="10">
      <c r="A10" s="142" t="s">
        <v>258</v>
      </c>
      <c r="B10" s="142" t="str">
        <f>IFERROR(__xludf.DUMMYFUNCTION("""COMPUTED_VALUE"""),"Agoncillo")</f>
        <v>Agoncillo</v>
      </c>
      <c r="C10" s="142" t="str">
        <f>IFERROR(__xludf.DUMMYFUNCTION("""COMPUTED_VALUE"""),"Alitagtag")</f>
        <v>Alitagtag</v>
      </c>
      <c r="D10" s="142" t="str">
        <f>IFERROR(__xludf.DUMMYFUNCTION("""COMPUTED_VALUE"""),"Balayan")</f>
        <v>Balayan</v>
      </c>
      <c r="E10" s="142" t="str">
        <f>IFERROR(__xludf.DUMMYFUNCTION("""COMPUTED_VALUE"""),"Balete")</f>
        <v>Balete</v>
      </c>
      <c r="F10" s="142" t="str">
        <f>IFERROR(__xludf.DUMMYFUNCTION("""COMPUTED_VALUE"""),"Batangas City")</f>
        <v>Batangas City</v>
      </c>
      <c r="G10" s="142" t="str">
        <f>IFERROR(__xludf.DUMMYFUNCTION("""COMPUTED_VALUE"""),"Bauan")</f>
        <v>Bauan</v>
      </c>
      <c r="H10" s="142" t="str">
        <f>IFERROR(__xludf.DUMMYFUNCTION("""COMPUTED_VALUE"""),"City of Calaca")</f>
        <v>City of Calaca</v>
      </c>
      <c r="I10" s="142" t="str">
        <f>IFERROR(__xludf.DUMMYFUNCTION("""COMPUTED_VALUE"""),"Calatagan")</f>
        <v>Calatagan</v>
      </c>
      <c r="J10" s="142" t="str">
        <f>IFERROR(__xludf.DUMMYFUNCTION("""COMPUTED_VALUE"""),"Cuenca")</f>
        <v>Cuenca</v>
      </c>
      <c r="K10" s="142" t="str">
        <f>IFERROR(__xludf.DUMMYFUNCTION("""COMPUTED_VALUE"""),"Ibaan")</f>
        <v>Ibaan</v>
      </c>
      <c r="L10" s="142" t="str">
        <f>IFERROR(__xludf.DUMMYFUNCTION("""COMPUTED_VALUE"""),"Laurel")</f>
        <v>Laurel</v>
      </c>
      <c r="M10" s="142" t="str">
        <f>IFERROR(__xludf.DUMMYFUNCTION("""COMPUTED_VALUE"""),"Lemery")</f>
        <v>Lemery</v>
      </c>
      <c r="N10" s="142" t="str">
        <f>IFERROR(__xludf.DUMMYFUNCTION("""COMPUTED_VALUE"""),"Lian")</f>
        <v>Lian</v>
      </c>
      <c r="O10" s="142" t="str">
        <f>IFERROR(__xludf.DUMMYFUNCTION("""COMPUTED_VALUE"""),"City of Lipa")</f>
        <v>City of Lipa</v>
      </c>
      <c r="P10" s="142" t="str">
        <f>IFERROR(__xludf.DUMMYFUNCTION("""COMPUTED_VALUE"""),"Lobo")</f>
        <v>Lobo</v>
      </c>
      <c r="Q10" s="142" t="str">
        <f>IFERROR(__xludf.DUMMYFUNCTION("""COMPUTED_VALUE"""),"Mabini")</f>
        <v>Mabini</v>
      </c>
      <c r="R10" s="142" t="str">
        <f>IFERROR(__xludf.DUMMYFUNCTION("""COMPUTED_VALUE"""),"Malvar")</f>
        <v>Malvar</v>
      </c>
      <c r="S10" s="142" t="str">
        <f>IFERROR(__xludf.DUMMYFUNCTION("""COMPUTED_VALUE"""),"Mataasnakahoy")</f>
        <v>Mataasnakahoy</v>
      </c>
      <c r="T10" s="142" t="str">
        <f>IFERROR(__xludf.DUMMYFUNCTION("""COMPUTED_VALUE"""),"Nasugbu")</f>
        <v>Nasugbu</v>
      </c>
      <c r="U10" s="142" t="str">
        <f>IFERROR(__xludf.DUMMYFUNCTION("""COMPUTED_VALUE"""),"Padre Garcia")</f>
        <v>Padre Garcia</v>
      </c>
      <c r="V10" s="142" t="str">
        <f>IFERROR(__xludf.DUMMYFUNCTION("""COMPUTED_VALUE"""),"Rosario")</f>
        <v>Rosario</v>
      </c>
      <c r="W10" s="142" t="str">
        <f>IFERROR(__xludf.DUMMYFUNCTION("""COMPUTED_VALUE"""),"San Jose")</f>
        <v>San Jose</v>
      </c>
      <c r="X10" s="142" t="str">
        <f>IFERROR(__xludf.DUMMYFUNCTION("""COMPUTED_VALUE"""),"San Juan")</f>
        <v>San Juan</v>
      </c>
      <c r="Y10" s="142" t="str">
        <f>IFERROR(__xludf.DUMMYFUNCTION("""COMPUTED_VALUE"""),"San Luis")</f>
        <v>San Luis</v>
      </c>
      <c r="Z10" s="142" t="str">
        <f>IFERROR(__xludf.DUMMYFUNCTION("""COMPUTED_VALUE"""),"San Nicolas")</f>
        <v>San Nicolas</v>
      </c>
      <c r="AA10" s="142" t="str">
        <f>IFERROR(__xludf.DUMMYFUNCTION("""COMPUTED_VALUE"""),"San Pascual")</f>
        <v>San Pascual</v>
      </c>
      <c r="AB10" s="142" t="str">
        <f>IFERROR(__xludf.DUMMYFUNCTION("""COMPUTED_VALUE"""),"Santa Teresita")</f>
        <v>Santa Teresita</v>
      </c>
      <c r="AC10" s="142" t="str">
        <f>IFERROR(__xludf.DUMMYFUNCTION("""COMPUTED_VALUE"""),"City of Sto. Tomas")</f>
        <v>City of Sto. Tomas</v>
      </c>
      <c r="AD10" s="142" t="str">
        <f>IFERROR(__xludf.DUMMYFUNCTION("""COMPUTED_VALUE"""),"Taal")</f>
        <v>Taal</v>
      </c>
      <c r="AE10" s="142" t="str">
        <f>IFERROR(__xludf.DUMMYFUNCTION("""COMPUTED_VALUE"""),"Talisay")</f>
        <v>Talisay</v>
      </c>
      <c r="AF10" s="142" t="str">
        <f>IFERROR(__xludf.DUMMYFUNCTION("""COMPUTED_VALUE"""),"City of Tanauan")</f>
        <v>City of Tanauan</v>
      </c>
      <c r="AG10" s="142" t="str">
        <f>IFERROR(__xludf.DUMMYFUNCTION("""COMPUTED_VALUE"""),"Taysan")</f>
        <v>Taysan</v>
      </c>
      <c r="AH10" s="142" t="str">
        <f>IFERROR(__xludf.DUMMYFUNCTION("""COMPUTED_VALUE"""),"Tingloy")</f>
        <v>Tingloy</v>
      </c>
      <c r="AI10" s="142" t="str">
        <f>IFERROR(__xludf.DUMMYFUNCTION("""COMPUTED_VALUE"""),"Tuy")</f>
        <v>Tuy</v>
      </c>
      <c r="AJ10" s="8"/>
      <c r="AK10" s="8"/>
      <c r="AL10" s="8"/>
      <c r="AM10" s="8"/>
      <c r="AN10" s="8"/>
      <c r="AO10" s="8"/>
      <c r="AP10" s="8"/>
      <c r="AQ10" s="8"/>
      <c r="AR10" s="8"/>
      <c r="AS10" s="8"/>
      <c r="AT10" s="8"/>
      <c r="AU10" s="8"/>
      <c r="AV10" s="8"/>
      <c r="AW10" s="8"/>
      <c r="AX10" s="8"/>
      <c r="AY10" s="8"/>
      <c r="AZ10" s="8"/>
      <c r="BA10" s="8"/>
      <c r="BB10" s="8"/>
      <c r="BC10" s="8"/>
      <c r="BD10" s="8"/>
      <c r="BE10" s="8"/>
    </row>
    <row r="11">
      <c r="A11" s="142" t="s">
        <v>172</v>
      </c>
      <c r="B11" s="142" t="str">
        <f>IFERROR(__xludf.DUMMYFUNCTION("""COMPUTED_VALUE"""),"Alubijid")</f>
        <v>Alubijid</v>
      </c>
      <c r="C11" s="142" t="str">
        <f>IFERROR(__xludf.DUMMYFUNCTION("""COMPUTED_VALUE"""),"Balingasag")</f>
        <v>Balingasag</v>
      </c>
      <c r="D11" s="142" t="str">
        <f>IFERROR(__xludf.DUMMYFUNCTION("""COMPUTED_VALUE"""),"Balingoan")</f>
        <v>Balingoan</v>
      </c>
      <c r="E11" s="142" t="str">
        <f>IFERROR(__xludf.DUMMYFUNCTION("""COMPUTED_VALUE"""),"Binuangan")</f>
        <v>Binuangan</v>
      </c>
      <c r="F11" s="142" t="str">
        <f>IFERROR(__xludf.DUMMYFUNCTION("""COMPUTED_VALUE"""),"City of Cagayan De Oro")</f>
        <v>City of Cagayan De Oro</v>
      </c>
      <c r="G11" s="142" t="str">
        <f>IFERROR(__xludf.DUMMYFUNCTION("""COMPUTED_VALUE"""),"Claveria")</f>
        <v>Claveria</v>
      </c>
      <c r="H11" s="142" t="str">
        <f>IFERROR(__xludf.DUMMYFUNCTION("""COMPUTED_VALUE"""),"City of El Salvador")</f>
        <v>City of El Salvador</v>
      </c>
      <c r="I11" s="142" t="str">
        <f>IFERROR(__xludf.DUMMYFUNCTION("""COMPUTED_VALUE"""),"City of Gingoog")</f>
        <v>City of Gingoog</v>
      </c>
      <c r="J11" s="142" t="str">
        <f>IFERROR(__xludf.DUMMYFUNCTION("""COMPUTED_VALUE"""),"Gitagum")</f>
        <v>Gitagum</v>
      </c>
      <c r="K11" s="142" t="str">
        <f>IFERROR(__xludf.DUMMYFUNCTION("""COMPUTED_VALUE"""),"Initao")</f>
        <v>Initao</v>
      </c>
      <c r="L11" s="142" t="str">
        <f>IFERROR(__xludf.DUMMYFUNCTION("""COMPUTED_VALUE"""),"Jasaan")</f>
        <v>Jasaan</v>
      </c>
      <c r="M11" s="142" t="str">
        <f>IFERROR(__xludf.DUMMYFUNCTION("""COMPUTED_VALUE"""),"Kinoguitan")</f>
        <v>Kinoguitan</v>
      </c>
      <c r="N11" s="142" t="str">
        <f>IFERROR(__xludf.DUMMYFUNCTION("""COMPUTED_VALUE"""),"Lagonglong")</f>
        <v>Lagonglong</v>
      </c>
      <c r="O11" s="142" t="str">
        <f>IFERROR(__xludf.DUMMYFUNCTION("""COMPUTED_VALUE"""),"Laguindingan")</f>
        <v>Laguindingan</v>
      </c>
      <c r="P11" s="142" t="str">
        <f>IFERROR(__xludf.DUMMYFUNCTION("""COMPUTED_VALUE"""),"Libertad")</f>
        <v>Libertad</v>
      </c>
      <c r="Q11" s="142" t="str">
        <f>IFERROR(__xludf.DUMMYFUNCTION("""COMPUTED_VALUE"""),"Lugait")</f>
        <v>Lugait</v>
      </c>
      <c r="R11" s="142" t="str">
        <f>IFERROR(__xludf.DUMMYFUNCTION("""COMPUTED_VALUE"""),"Magsaysay")</f>
        <v>Magsaysay</v>
      </c>
      <c r="S11" s="142" t="str">
        <f>IFERROR(__xludf.DUMMYFUNCTION("""COMPUTED_VALUE"""),"Manticao")</f>
        <v>Manticao</v>
      </c>
      <c r="T11" s="142" t="str">
        <f>IFERROR(__xludf.DUMMYFUNCTION("""COMPUTED_VALUE"""),"Medina")</f>
        <v>Medina</v>
      </c>
      <c r="U11" s="142" t="str">
        <f>IFERROR(__xludf.DUMMYFUNCTION("""COMPUTED_VALUE"""),"Naawan")</f>
        <v>Naawan</v>
      </c>
      <c r="V11" s="142" t="str">
        <f>IFERROR(__xludf.DUMMYFUNCTION("""COMPUTED_VALUE"""),"Opol")</f>
        <v>Opol</v>
      </c>
      <c r="W11" s="142" t="str">
        <f>IFERROR(__xludf.DUMMYFUNCTION("""COMPUTED_VALUE"""),"Salay")</f>
        <v>Salay</v>
      </c>
      <c r="X11" s="142" t="str">
        <f>IFERROR(__xludf.DUMMYFUNCTION("""COMPUTED_VALUE"""),"Sugbongcogon")</f>
        <v>Sugbongcogon</v>
      </c>
      <c r="Y11" s="142" t="str">
        <f>IFERROR(__xludf.DUMMYFUNCTION("""COMPUTED_VALUE"""),"Tagoloan")</f>
        <v>Tagoloan</v>
      </c>
      <c r="Z11" s="142" t="str">
        <f>IFERROR(__xludf.DUMMYFUNCTION("""COMPUTED_VALUE"""),"Talisayan")</f>
        <v>Talisayan</v>
      </c>
      <c r="AA11" s="142" t="str">
        <f>IFERROR(__xludf.DUMMYFUNCTION("""COMPUTED_VALUE"""),"Villanueva")</f>
        <v>Villanueva</v>
      </c>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row>
    <row r="12">
      <c r="A12" s="142" t="s">
        <v>294</v>
      </c>
      <c r="B12" s="142" t="str">
        <f>IFERROR(__xludf.DUMMYFUNCTION("""COMPUTED_VALUE"""),"Botolan")</f>
        <v>Botolan</v>
      </c>
      <c r="C12" s="142" t="str">
        <f>IFERROR(__xludf.DUMMYFUNCTION("""COMPUTED_VALUE"""),"Cabangan")</f>
        <v>Cabangan</v>
      </c>
      <c r="D12" s="142" t="str">
        <f>IFERROR(__xludf.DUMMYFUNCTION("""COMPUTED_VALUE"""),"Candelaria")</f>
        <v>Candelaria</v>
      </c>
      <c r="E12" s="142" t="str">
        <f>IFERROR(__xludf.DUMMYFUNCTION("""COMPUTED_VALUE"""),"Castillejos")</f>
        <v>Castillejos</v>
      </c>
      <c r="F12" s="142" t="str">
        <f>IFERROR(__xludf.DUMMYFUNCTION("""COMPUTED_VALUE"""),"Iba")</f>
        <v>Iba</v>
      </c>
      <c r="G12" s="142" t="str">
        <f>IFERROR(__xludf.DUMMYFUNCTION("""COMPUTED_VALUE"""),"Masinloc")</f>
        <v>Masinloc</v>
      </c>
      <c r="H12" s="142" t="str">
        <f>IFERROR(__xludf.DUMMYFUNCTION("""COMPUTED_VALUE"""),"City of Olongapo")</f>
        <v>City of Olongapo</v>
      </c>
      <c r="I12" s="142" t="str">
        <f>IFERROR(__xludf.DUMMYFUNCTION("""COMPUTED_VALUE"""),"Palauig")</f>
        <v>Palauig</v>
      </c>
      <c r="J12" s="142" t="str">
        <f>IFERROR(__xludf.DUMMYFUNCTION("""COMPUTED_VALUE"""),"San Antonio")</f>
        <v>San Antonio</v>
      </c>
      <c r="K12" s="142" t="str">
        <f>IFERROR(__xludf.DUMMYFUNCTION("""COMPUTED_VALUE"""),"San Felipe")</f>
        <v>San Felipe</v>
      </c>
      <c r="L12" s="142" t="str">
        <f>IFERROR(__xludf.DUMMYFUNCTION("""COMPUTED_VALUE"""),"San Marcelino")</f>
        <v>San Marcelino</v>
      </c>
      <c r="M12" s="142" t="str">
        <f>IFERROR(__xludf.DUMMYFUNCTION("""COMPUTED_VALUE"""),"San Narciso")</f>
        <v>San Narciso</v>
      </c>
      <c r="N12" s="142" t="str">
        <f>IFERROR(__xludf.DUMMYFUNCTION("""COMPUTED_VALUE"""),"Santa Cruz")</f>
        <v>Santa Cruz</v>
      </c>
      <c r="O12" s="142" t="str">
        <f>IFERROR(__xludf.DUMMYFUNCTION("""COMPUTED_VALUE"""),"Subic")</f>
        <v>Subic</v>
      </c>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row>
    <row r="13">
      <c r="A13" s="142" t="s">
        <v>315</v>
      </c>
      <c r="B13" s="142" t="str">
        <f>IFERROR(__xludf.DUMMYFUNCTION("""COMPUTED_VALUE"""),"Altavas")</f>
        <v>Altavas</v>
      </c>
      <c r="C13" s="142" t="str">
        <f>IFERROR(__xludf.DUMMYFUNCTION("""COMPUTED_VALUE"""),"Balete")</f>
        <v>Balete</v>
      </c>
      <c r="D13" s="142" t="str">
        <f>IFERROR(__xludf.DUMMYFUNCTION("""COMPUTED_VALUE"""),"Banga")</f>
        <v>Banga</v>
      </c>
      <c r="E13" s="142" t="str">
        <f>IFERROR(__xludf.DUMMYFUNCTION("""COMPUTED_VALUE"""),"Batan")</f>
        <v>Batan</v>
      </c>
      <c r="F13" s="142" t="str">
        <f>IFERROR(__xludf.DUMMYFUNCTION("""COMPUTED_VALUE"""),"Buruanga")</f>
        <v>Buruanga</v>
      </c>
      <c r="G13" s="142" t="str">
        <f>IFERROR(__xludf.DUMMYFUNCTION("""COMPUTED_VALUE"""),"Ibajay")</f>
        <v>Ibajay</v>
      </c>
      <c r="H13" s="142" t="str">
        <f>IFERROR(__xludf.DUMMYFUNCTION("""COMPUTED_VALUE"""),"Kalibo")</f>
        <v>Kalibo</v>
      </c>
      <c r="I13" s="142" t="str">
        <f>IFERROR(__xludf.DUMMYFUNCTION("""COMPUTED_VALUE"""),"Lezo")</f>
        <v>Lezo</v>
      </c>
      <c r="J13" s="142" t="str">
        <f>IFERROR(__xludf.DUMMYFUNCTION("""COMPUTED_VALUE"""),"Libacao")</f>
        <v>Libacao</v>
      </c>
      <c r="K13" s="142" t="str">
        <f>IFERROR(__xludf.DUMMYFUNCTION("""COMPUTED_VALUE"""),"Madalag")</f>
        <v>Madalag</v>
      </c>
      <c r="L13" s="142" t="str">
        <f>IFERROR(__xludf.DUMMYFUNCTION("""COMPUTED_VALUE"""),"Makato")</f>
        <v>Makato</v>
      </c>
      <c r="M13" s="142" t="str">
        <f>IFERROR(__xludf.DUMMYFUNCTION("""COMPUTED_VALUE"""),"Malay")</f>
        <v>Malay</v>
      </c>
      <c r="N13" s="142" t="str">
        <f>IFERROR(__xludf.DUMMYFUNCTION("""COMPUTED_VALUE"""),"Malinao")</f>
        <v>Malinao</v>
      </c>
      <c r="O13" s="142" t="str">
        <f>IFERROR(__xludf.DUMMYFUNCTION("""COMPUTED_VALUE"""),"Nabas")</f>
        <v>Nabas</v>
      </c>
      <c r="P13" s="142" t="str">
        <f>IFERROR(__xludf.DUMMYFUNCTION("""COMPUTED_VALUE"""),"New Washington")</f>
        <v>New Washington</v>
      </c>
      <c r="Q13" s="142" t="str">
        <f>IFERROR(__xludf.DUMMYFUNCTION("""COMPUTED_VALUE"""),"Numancia")</f>
        <v>Numancia</v>
      </c>
      <c r="R13" s="142" t="str">
        <f>IFERROR(__xludf.DUMMYFUNCTION("""COMPUTED_VALUE"""),"Tangalan")</f>
        <v>Tangalan</v>
      </c>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row>
    <row r="14">
      <c r="A14" s="142" t="s">
        <v>331</v>
      </c>
      <c r="B14" s="142" t="str">
        <f>IFERROR(__xludf.DUMMYFUNCTION("""COMPUTED_VALUE"""),"Asuncion")</f>
        <v>Asuncion</v>
      </c>
      <c r="C14" s="142" t="str">
        <f>IFERROR(__xludf.DUMMYFUNCTION("""COMPUTED_VALUE"""),"Carmen")</f>
        <v>Carmen</v>
      </c>
      <c r="D14" s="142" t="str">
        <f>IFERROR(__xludf.DUMMYFUNCTION("""COMPUTED_VALUE"""),"Kapalong")</f>
        <v>Kapalong</v>
      </c>
      <c r="E14" s="142" t="str">
        <f>IFERROR(__xludf.DUMMYFUNCTION("""COMPUTED_VALUE"""),"New Corella")</f>
        <v>New Corella</v>
      </c>
      <c r="F14" s="142" t="str">
        <f>IFERROR(__xludf.DUMMYFUNCTION("""COMPUTED_VALUE"""),"City of Panabo")</f>
        <v>City of Panabo</v>
      </c>
      <c r="G14" s="142" t="str">
        <f>IFERROR(__xludf.DUMMYFUNCTION("""COMPUTED_VALUE"""),"Island Garden City of Samal")</f>
        <v>Island Garden City of Samal</v>
      </c>
      <c r="H14" s="142" t="str">
        <f>IFERROR(__xludf.DUMMYFUNCTION("""COMPUTED_VALUE"""),"Santo Tomas")</f>
        <v>Santo Tomas</v>
      </c>
      <c r="I14" s="142" t="str">
        <f>IFERROR(__xludf.DUMMYFUNCTION("""COMPUTED_VALUE"""),"City of Tagum")</f>
        <v>City of Tagum</v>
      </c>
      <c r="J14" s="142" t="str">
        <f>IFERROR(__xludf.DUMMYFUNCTION("""COMPUTED_VALUE"""),"Talaingod")</f>
        <v>Talaingod</v>
      </c>
      <c r="K14" s="142" t="str">
        <f>IFERROR(__xludf.DUMMYFUNCTION("""COMPUTED_VALUE"""),"Braulio E. Dujali")</f>
        <v>Braulio E. Dujali</v>
      </c>
      <c r="L14" s="142" t="str">
        <f>IFERROR(__xludf.DUMMYFUNCTION("""COMPUTED_VALUE"""),"San Isidro")</f>
        <v>San Isidro</v>
      </c>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row>
    <row r="15">
      <c r="A15" s="142" t="s">
        <v>346</v>
      </c>
      <c r="B15" s="142" t="str">
        <f>IFERROR(__xludf.DUMMYFUNCTION("""COMPUTED_VALUE"""),"Alegria")</f>
        <v>Alegria</v>
      </c>
      <c r="C15" s="142" t="str">
        <f>IFERROR(__xludf.DUMMYFUNCTION("""COMPUTED_VALUE"""),"Bacuag")</f>
        <v>Bacuag</v>
      </c>
      <c r="D15" s="142" t="str">
        <f>IFERROR(__xludf.DUMMYFUNCTION("""COMPUTED_VALUE"""),"Burgos")</f>
        <v>Burgos</v>
      </c>
      <c r="E15" s="142" t="str">
        <f>IFERROR(__xludf.DUMMYFUNCTION("""COMPUTED_VALUE"""),"Claver")</f>
        <v>Claver</v>
      </c>
      <c r="F15" s="142" t="str">
        <f>IFERROR(__xludf.DUMMYFUNCTION("""COMPUTED_VALUE"""),"Dapa")</f>
        <v>Dapa</v>
      </c>
      <c r="G15" s="142" t="str">
        <f>IFERROR(__xludf.DUMMYFUNCTION("""COMPUTED_VALUE"""),"Del Carmen")</f>
        <v>Del Carmen</v>
      </c>
      <c r="H15" s="142" t="str">
        <f>IFERROR(__xludf.DUMMYFUNCTION("""COMPUTED_VALUE"""),"General Luna")</f>
        <v>General Luna</v>
      </c>
      <c r="I15" s="142" t="str">
        <f>IFERROR(__xludf.DUMMYFUNCTION("""COMPUTED_VALUE"""),"Gigaquit")</f>
        <v>Gigaquit</v>
      </c>
      <c r="J15" s="142" t="str">
        <f>IFERROR(__xludf.DUMMYFUNCTION("""COMPUTED_VALUE"""),"Mainit")</f>
        <v>Mainit</v>
      </c>
      <c r="K15" s="142" t="str">
        <f>IFERROR(__xludf.DUMMYFUNCTION("""COMPUTED_VALUE"""),"Malimono")</f>
        <v>Malimono</v>
      </c>
      <c r="L15" s="142" t="str">
        <f>IFERROR(__xludf.DUMMYFUNCTION("""COMPUTED_VALUE"""),"Pilar")</f>
        <v>Pilar</v>
      </c>
      <c r="M15" s="142" t="str">
        <f>IFERROR(__xludf.DUMMYFUNCTION("""COMPUTED_VALUE"""),"Placer")</f>
        <v>Placer</v>
      </c>
      <c r="N15" s="142" t="str">
        <f>IFERROR(__xludf.DUMMYFUNCTION("""COMPUTED_VALUE"""),"San Benito")</f>
        <v>San Benito</v>
      </c>
      <c r="O15" s="142" t="str">
        <f>IFERROR(__xludf.DUMMYFUNCTION("""COMPUTED_VALUE"""),"San Francisco")</f>
        <v>San Francisco</v>
      </c>
      <c r="P15" s="142" t="str">
        <f>IFERROR(__xludf.DUMMYFUNCTION("""COMPUTED_VALUE"""),"San Isidro")</f>
        <v>San Isidro</v>
      </c>
      <c r="Q15" s="142" t="str">
        <f>IFERROR(__xludf.DUMMYFUNCTION("""COMPUTED_VALUE"""),"Santa Monica")</f>
        <v>Santa Monica</v>
      </c>
      <c r="R15" s="142" t="str">
        <f>IFERROR(__xludf.DUMMYFUNCTION("""COMPUTED_VALUE"""),"Sison")</f>
        <v>Sison</v>
      </c>
      <c r="S15" s="142" t="str">
        <f>IFERROR(__xludf.DUMMYFUNCTION("""COMPUTED_VALUE"""),"Socorro")</f>
        <v>Socorro</v>
      </c>
      <c r="T15" s="142" t="str">
        <f>IFERROR(__xludf.DUMMYFUNCTION("""COMPUTED_VALUE"""),"City of Surigao")</f>
        <v>City of Surigao</v>
      </c>
      <c r="U15" s="142" t="str">
        <f>IFERROR(__xludf.DUMMYFUNCTION("""COMPUTED_VALUE"""),"Tagana-An")</f>
        <v>Tagana-An</v>
      </c>
      <c r="V15" s="142" t="str">
        <f>IFERROR(__xludf.DUMMYFUNCTION("""COMPUTED_VALUE"""),"Tubod")</f>
        <v>Tubod</v>
      </c>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row>
    <row r="16">
      <c r="A16" s="142" t="s">
        <v>357</v>
      </c>
      <c r="B16" s="142" t="str">
        <f>IFERROR(__xludf.DUMMYFUNCTION("""COMPUTED_VALUE"""),"Alabel")</f>
        <v>Alabel</v>
      </c>
      <c r="C16" s="142" t="str">
        <f>IFERROR(__xludf.DUMMYFUNCTION("""COMPUTED_VALUE"""),"Glan")</f>
        <v>Glan</v>
      </c>
      <c r="D16" s="142" t="str">
        <f>IFERROR(__xludf.DUMMYFUNCTION("""COMPUTED_VALUE"""),"Kiamba")</f>
        <v>Kiamba</v>
      </c>
      <c r="E16" s="142" t="str">
        <f>IFERROR(__xludf.DUMMYFUNCTION("""COMPUTED_VALUE"""),"Maasim")</f>
        <v>Maasim</v>
      </c>
      <c r="F16" s="142" t="str">
        <f>IFERROR(__xludf.DUMMYFUNCTION("""COMPUTED_VALUE"""),"Maitum")</f>
        <v>Maitum</v>
      </c>
      <c r="G16" s="142" t="str">
        <f>IFERROR(__xludf.DUMMYFUNCTION("""COMPUTED_VALUE"""),"Malapatan")</f>
        <v>Malapatan</v>
      </c>
      <c r="H16" s="142" t="str">
        <f>IFERROR(__xludf.DUMMYFUNCTION("""COMPUTED_VALUE"""),"Malungon")</f>
        <v>Malungon</v>
      </c>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row>
    <row r="17">
      <c r="A17" s="142" t="s">
        <v>357</v>
      </c>
      <c r="B17" s="142" t="str">
        <f>IFERROR(__xludf.DUMMYFUNCTION("""COMPUTED_VALUE"""),"Alabel")</f>
        <v>Alabel</v>
      </c>
      <c r="C17" s="142" t="str">
        <f>IFERROR(__xludf.DUMMYFUNCTION("""COMPUTED_VALUE"""),"Glan")</f>
        <v>Glan</v>
      </c>
      <c r="D17" s="142" t="str">
        <f>IFERROR(__xludf.DUMMYFUNCTION("""COMPUTED_VALUE"""),"Kiamba")</f>
        <v>Kiamba</v>
      </c>
      <c r="E17" s="142" t="str">
        <f>IFERROR(__xludf.DUMMYFUNCTION("""COMPUTED_VALUE"""),"Maasim")</f>
        <v>Maasim</v>
      </c>
      <c r="F17" s="142" t="str">
        <f>IFERROR(__xludf.DUMMYFUNCTION("""COMPUTED_VALUE"""),"Maitum")</f>
        <v>Maitum</v>
      </c>
      <c r="G17" s="142" t="str">
        <f>IFERROR(__xludf.DUMMYFUNCTION("""COMPUTED_VALUE"""),"Malapatan")</f>
        <v>Malapatan</v>
      </c>
      <c r="H17" s="142" t="str">
        <f>IFERROR(__xludf.DUMMYFUNCTION("""COMPUTED_VALUE"""),"Malungon")</f>
        <v>Malungon</v>
      </c>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row>
    <row r="18">
      <c r="A18" s="142" t="s">
        <v>381</v>
      </c>
      <c r="B18" s="142" t="str">
        <f>IFERROR(__xludf.DUMMYFUNCTION("""COMPUTED_VALUE"""),"Adams")</f>
        <v>Adams</v>
      </c>
      <c r="C18" s="142" t="str">
        <f>IFERROR(__xludf.DUMMYFUNCTION("""COMPUTED_VALUE"""),"Bacarra")</f>
        <v>Bacarra</v>
      </c>
      <c r="D18" s="142" t="str">
        <f>IFERROR(__xludf.DUMMYFUNCTION("""COMPUTED_VALUE"""),"Badoc")</f>
        <v>Badoc</v>
      </c>
      <c r="E18" s="142" t="str">
        <f>IFERROR(__xludf.DUMMYFUNCTION("""COMPUTED_VALUE"""),"Bangui")</f>
        <v>Bangui</v>
      </c>
      <c r="F18" s="142" t="str">
        <f>IFERROR(__xludf.DUMMYFUNCTION("""COMPUTED_VALUE"""),"City of Batac")</f>
        <v>City of Batac</v>
      </c>
      <c r="G18" s="142" t="str">
        <f>IFERROR(__xludf.DUMMYFUNCTION("""COMPUTED_VALUE"""),"Burgos")</f>
        <v>Burgos</v>
      </c>
      <c r="H18" s="142" t="str">
        <f>IFERROR(__xludf.DUMMYFUNCTION("""COMPUTED_VALUE"""),"Carasi")</f>
        <v>Carasi</v>
      </c>
      <c r="I18" s="142" t="str">
        <f>IFERROR(__xludf.DUMMYFUNCTION("""COMPUTED_VALUE"""),"Currimao")</f>
        <v>Currimao</v>
      </c>
      <c r="J18" s="142" t="str">
        <f>IFERROR(__xludf.DUMMYFUNCTION("""COMPUTED_VALUE"""),"Dingras")</f>
        <v>Dingras</v>
      </c>
      <c r="K18" s="142" t="str">
        <f>IFERROR(__xludf.DUMMYFUNCTION("""COMPUTED_VALUE"""),"Dumalneg")</f>
        <v>Dumalneg</v>
      </c>
      <c r="L18" s="142" t="str">
        <f>IFERROR(__xludf.DUMMYFUNCTION("""COMPUTED_VALUE"""),"Banna")</f>
        <v>Banna</v>
      </c>
      <c r="M18" s="142" t="str">
        <f>IFERROR(__xludf.DUMMYFUNCTION("""COMPUTED_VALUE"""),"City of Laoag")</f>
        <v>City of Laoag</v>
      </c>
      <c r="N18" s="142" t="str">
        <f>IFERROR(__xludf.DUMMYFUNCTION("""COMPUTED_VALUE"""),"Marcos")</f>
        <v>Marcos</v>
      </c>
      <c r="O18" s="142" t="str">
        <f>IFERROR(__xludf.DUMMYFUNCTION("""COMPUTED_VALUE"""),"Nueva Era")</f>
        <v>Nueva Era</v>
      </c>
      <c r="P18" s="142" t="str">
        <f>IFERROR(__xludf.DUMMYFUNCTION("""COMPUTED_VALUE"""),"Pagudpud")</f>
        <v>Pagudpud</v>
      </c>
      <c r="Q18" s="142" t="str">
        <f>IFERROR(__xludf.DUMMYFUNCTION("""COMPUTED_VALUE"""),"Paoay")</f>
        <v>Paoay</v>
      </c>
      <c r="R18" s="142" t="str">
        <f>IFERROR(__xludf.DUMMYFUNCTION("""COMPUTED_VALUE"""),"Pasuquin")</f>
        <v>Pasuquin</v>
      </c>
      <c r="S18" s="142" t="str">
        <f>IFERROR(__xludf.DUMMYFUNCTION("""COMPUTED_VALUE"""),"Piddig")</f>
        <v>Piddig</v>
      </c>
      <c r="T18" s="142" t="str">
        <f>IFERROR(__xludf.DUMMYFUNCTION("""COMPUTED_VALUE"""),"Pinili")</f>
        <v>Pinili</v>
      </c>
      <c r="U18" s="142" t="str">
        <f>IFERROR(__xludf.DUMMYFUNCTION("""COMPUTED_VALUE"""),"San Nicolas")</f>
        <v>San Nicolas</v>
      </c>
      <c r="V18" s="142" t="str">
        <f>IFERROR(__xludf.DUMMYFUNCTION("""COMPUTED_VALUE"""),"Sarrat")</f>
        <v>Sarrat</v>
      </c>
      <c r="W18" s="142" t="str">
        <f>IFERROR(__xludf.DUMMYFUNCTION("""COMPUTED_VALUE"""),"Solsona")</f>
        <v>Solsona</v>
      </c>
      <c r="X18" s="142" t="str">
        <f>IFERROR(__xludf.DUMMYFUNCTION("""COMPUTED_VALUE"""),"Vintar")</f>
        <v>Vintar</v>
      </c>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row>
    <row r="19">
      <c r="A19" s="142" t="s">
        <v>381</v>
      </c>
      <c r="B19" s="142" t="str">
        <f>IFERROR(__xludf.DUMMYFUNCTION("""COMPUTED_VALUE"""),"Adams")</f>
        <v>Adams</v>
      </c>
      <c r="C19" s="142" t="str">
        <f>IFERROR(__xludf.DUMMYFUNCTION("""COMPUTED_VALUE"""),"Bacarra")</f>
        <v>Bacarra</v>
      </c>
      <c r="D19" s="142" t="str">
        <f>IFERROR(__xludf.DUMMYFUNCTION("""COMPUTED_VALUE"""),"Badoc")</f>
        <v>Badoc</v>
      </c>
      <c r="E19" s="142" t="str">
        <f>IFERROR(__xludf.DUMMYFUNCTION("""COMPUTED_VALUE"""),"Bangui")</f>
        <v>Bangui</v>
      </c>
      <c r="F19" s="142" t="str">
        <f>IFERROR(__xludf.DUMMYFUNCTION("""COMPUTED_VALUE"""),"City of Batac")</f>
        <v>City of Batac</v>
      </c>
      <c r="G19" s="142" t="str">
        <f>IFERROR(__xludf.DUMMYFUNCTION("""COMPUTED_VALUE"""),"Burgos")</f>
        <v>Burgos</v>
      </c>
      <c r="H19" s="142" t="str">
        <f>IFERROR(__xludf.DUMMYFUNCTION("""COMPUTED_VALUE"""),"Carasi")</f>
        <v>Carasi</v>
      </c>
      <c r="I19" s="142" t="str">
        <f>IFERROR(__xludf.DUMMYFUNCTION("""COMPUTED_VALUE"""),"Currimao")</f>
        <v>Currimao</v>
      </c>
      <c r="J19" s="142" t="str">
        <f>IFERROR(__xludf.DUMMYFUNCTION("""COMPUTED_VALUE"""),"Dingras")</f>
        <v>Dingras</v>
      </c>
      <c r="K19" s="142" t="str">
        <f>IFERROR(__xludf.DUMMYFUNCTION("""COMPUTED_VALUE"""),"Dumalneg")</f>
        <v>Dumalneg</v>
      </c>
      <c r="L19" s="142" t="str">
        <f>IFERROR(__xludf.DUMMYFUNCTION("""COMPUTED_VALUE"""),"Banna")</f>
        <v>Banna</v>
      </c>
      <c r="M19" s="142" t="str">
        <f>IFERROR(__xludf.DUMMYFUNCTION("""COMPUTED_VALUE"""),"City of Laoag")</f>
        <v>City of Laoag</v>
      </c>
      <c r="N19" s="142" t="str">
        <f>IFERROR(__xludf.DUMMYFUNCTION("""COMPUTED_VALUE"""),"Marcos")</f>
        <v>Marcos</v>
      </c>
      <c r="O19" s="142" t="str">
        <f>IFERROR(__xludf.DUMMYFUNCTION("""COMPUTED_VALUE"""),"Nueva Era")</f>
        <v>Nueva Era</v>
      </c>
      <c r="P19" s="142" t="str">
        <f>IFERROR(__xludf.DUMMYFUNCTION("""COMPUTED_VALUE"""),"Pagudpud")</f>
        <v>Pagudpud</v>
      </c>
      <c r="Q19" s="142" t="str">
        <f>IFERROR(__xludf.DUMMYFUNCTION("""COMPUTED_VALUE"""),"Paoay")</f>
        <v>Paoay</v>
      </c>
      <c r="R19" s="142" t="str">
        <f>IFERROR(__xludf.DUMMYFUNCTION("""COMPUTED_VALUE"""),"Pasuquin")</f>
        <v>Pasuquin</v>
      </c>
      <c r="S19" s="142" t="str">
        <f>IFERROR(__xludf.DUMMYFUNCTION("""COMPUTED_VALUE"""),"Piddig")</f>
        <v>Piddig</v>
      </c>
      <c r="T19" s="142" t="str">
        <f>IFERROR(__xludf.DUMMYFUNCTION("""COMPUTED_VALUE"""),"Pinili")</f>
        <v>Pinili</v>
      </c>
      <c r="U19" s="142" t="str">
        <f>IFERROR(__xludf.DUMMYFUNCTION("""COMPUTED_VALUE"""),"San Nicolas")</f>
        <v>San Nicolas</v>
      </c>
      <c r="V19" s="142" t="str">
        <f>IFERROR(__xludf.DUMMYFUNCTION("""COMPUTED_VALUE"""),"Sarrat")</f>
        <v>Sarrat</v>
      </c>
      <c r="W19" s="142" t="str">
        <f>IFERROR(__xludf.DUMMYFUNCTION("""COMPUTED_VALUE"""),"Solsona")</f>
        <v>Solsona</v>
      </c>
      <c r="X19" s="142" t="str">
        <f>IFERROR(__xludf.DUMMYFUNCTION("""COMPUTED_VALUE"""),"Vintar")</f>
        <v>Vintar</v>
      </c>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row>
    <row r="20">
      <c r="A20" s="142" t="s">
        <v>404</v>
      </c>
      <c r="B20" s="142" t="str">
        <f>IFERROR(__xludf.DUMMYFUNCTION("""COMPUTED_VALUE"""),"Alilem")</f>
        <v>Alilem</v>
      </c>
      <c r="C20" s="142" t="str">
        <f>IFERROR(__xludf.DUMMYFUNCTION("""COMPUTED_VALUE"""),"Banayoyo")</f>
        <v>Banayoyo</v>
      </c>
      <c r="D20" s="142" t="str">
        <f>IFERROR(__xludf.DUMMYFUNCTION("""COMPUTED_VALUE"""),"Bantay")</f>
        <v>Bantay</v>
      </c>
      <c r="E20" s="142" t="str">
        <f>IFERROR(__xludf.DUMMYFUNCTION("""COMPUTED_VALUE"""),"Burgos")</f>
        <v>Burgos</v>
      </c>
      <c r="F20" s="142" t="str">
        <f>IFERROR(__xludf.DUMMYFUNCTION("""COMPUTED_VALUE"""),"Cabugao")</f>
        <v>Cabugao</v>
      </c>
      <c r="G20" s="142" t="str">
        <f>IFERROR(__xludf.DUMMYFUNCTION("""COMPUTED_VALUE"""),"City of Candon")</f>
        <v>City of Candon</v>
      </c>
      <c r="H20" s="142" t="str">
        <f>IFERROR(__xludf.DUMMYFUNCTION("""COMPUTED_VALUE"""),"Caoayan")</f>
        <v>Caoayan</v>
      </c>
      <c r="I20" s="142" t="str">
        <f>IFERROR(__xludf.DUMMYFUNCTION("""COMPUTED_VALUE"""),"Cervantes")</f>
        <v>Cervantes</v>
      </c>
      <c r="J20" s="142" t="str">
        <f>IFERROR(__xludf.DUMMYFUNCTION("""COMPUTED_VALUE"""),"Galimuyod")</f>
        <v>Galimuyod</v>
      </c>
      <c r="K20" s="142" t="str">
        <f>IFERROR(__xludf.DUMMYFUNCTION("""COMPUTED_VALUE"""),"Gregorio del Pilar")</f>
        <v>Gregorio del Pilar</v>
      </c>
      <c r="L20" s="142" t="str">
        <f>IFERROR(__xludf.DUMMYFUNCTION("""COMPUTED_VALUE"""),"Lidlidda")</f>
        <v>Lidlidda</v>
      </c>
      <c r="M20" s="142" t="str">
        <f>IFERROR(__xludf.DUMMYFUNCTION("""COMPUTED_VALUE"""),"Magsingal")</f>
        <v>Magsingal</v>
      </c>
      <c r="N20" s="142" t="str">
        <f>IFERROR(__xludf.DUMMYFUNCTION("""COMPUTED_VALUE"""),"Nagbukel")</f>
        <v>Nagbukel</v>
      </c>
      <c r="O20" s="142" t="str">
        <f>IFERROR(__xludf.DUMMYFUNCTION("""COMPUTED_VALUE"""),"Narvacan")</f>
        <v>Narvacan</v>
      </c>
      <c r="P20" s="142" t="str">
        <f>IFERROR(__xludf.DUMMYFUNCTION("""COMPUTED_VALUE"""),"Quirino")</f>
        <v>Quirino</v>
      </c>
      <c r="Q20" s="142" t="str">
        <f>IFERROR(__xludf.DUMMYFUNCTION("""COMPUTED_VALUE"""),"Salcedo")</f>
        <v>Salcedo</v>
      </c>
      <c r="R20" s="142" t="str">
        <f>IFERROR(__xludf.DUMMYFUNCTION("""COMPUTED_VALUE"""),"San Emilio")</f>
        <v>San Emilio</v>
      </c>
      <c r="S20" s="142" t="str">
        <f>IFERROR(__xludf.DUMMYFUNCTION("""COMPUTED_VALUE"""),"San Esteban")</f>
        <v>San Esteban</v>
      </c>
      <c r="T20" s="142" t="str">
        <f>IFERROR(__xludf.DUMMYFUNCTION("""COMPUTED_VALUE"""),"San Ildefonso")</f>
        <v>San Ildefonso</v>
      </c>
      <c r="U20" s="142" t="str">
        <f>IFERROR(__xludf.DUMMYFUNCTION("""COMPUTED_VALUE"""),"San Juan")</f>
        <v>San Juan</v>
      </c>
      <c r="V20" s="142" t="str">
        <f>IFERROR(__xludf.DUMMYFUNCTION("""COMPUTED_VALUE"""),"San Vicente")</f>
        <v>San Vicente</v>
      </c>
      <c r="W20" s="142" t="str">
        <f>IFERROR(__xludf.DUMMYFUNCTION("""COMPUTED_VALUE"""),"Santa")</f>
        <v>Santa</v>
      </c>
      <c r="X20" s="142" t="str">
        <f>IFERROR(__xludf.DUMMYFUNCTION("""COMPUTED_VALUE"""),"Santa Catalina")</f>
        <v>Santa Catalina</v>
      </c>
      <c r="Y20" s="142" t="str">
        <f>IFERROR(__xludf.DUMMYFUNCTION("""COMPUTED_VALUE"""),"Santa Cruz")</f>
        <v>Santa Cruz</v>
      </c>
      <c r="Z20" s="142" t="str">
        <f>IFERROR(__xludf.DUMMYFUNCTION("""COMPUTED_VALUE"""),"Santa Lucia")</f>
        <v>Santa Lucia</v>
      </c>
      <c r="AA20" s="142" t="str">
        <f>IFERROR(__xludf.DUMMYFUNCTION("""COMPUTED_VALUE"""),"Santa Maria")</f>
        <v>Santa Maria</v>
      </c>
      <c r="AB20" s="142" t="str">
        <f>IFERROR(__xludf.DUMMYFUNCTION("""COMPUTED_VALUE"""),"Santiago")</f>
        <v>Santiago</v>
      </c>
      <c r="AC20" s="142" t="str">
        <f>IFERROR(__xludf.DUMMYFUNCTION("""COMPUTED_VALUE"""),"Santo Domingo")</f>
        <v>Santo Domingo</v>
      </c>
      <c r="AD20" s="142" t="str">
        <f>IFERROR(__xludf.DUMMYFUNCTION("""COMPUTED_VALUE"""),"Sigay")</f>
        <v>Sigay</v>
      </c>
      <c r="AE20" s="142" t="str">
        <f>IFERROR(__xludf.DUMMYFUNCTION("""COMPUTED_VALUE"""),"Sinait")</f>
        <v>Sinait</v>
      </c>
      <c r="AF20" s="142" t="str">
        <f>IFERROR(__xludf.DUMMYFUNCTION("""COMPUTED_VALUE"""),"Sugpon")</f>
        <v>Sugpon</v>
      </c>
      <c r="AG20" s="142" t="str">
        <f>IFERROR(__xludf.DUMMYFUNCTION("""COMPUTED_VALUE"""),"Suyo")</f>
        <v>Suyo</v>
      </c>
      <c r="AH20" s="142" t="str">
        <f>IFERROR(__xludf.DUMMYFUNCTION("""COMPUTED_VALUE"""),"Tagudin")</f>
        <v>Tagudin</v>
      </c>
      <c r="AI20" s="142" t="str">
        <f>IFERROR(__xludf.DUMMYFUNCTION("""COMPUTED_VALUE"""),"City of Vigan")</f>
        <v>City of Vigan</v>
      </c>
      <c r="AJ20" s="8"/>
      <c r="AK20" s="8"/>
      <c r="AL20" s="8"/>
      <c r="AM20" s="8"/>
      <c r="AN20" s="8"/>
      <c r="AO20" s="8"/>
      <c r="AP20" s="8"/>
      <c r="AQ20" s="8"/>
      <c r="AR20" s="8"/>
      <c r="AS20" s="8"/>
      <c r="AT20" s="8"/>
      <c r="AU20" s="8"/>
      <c r="AV20" s="8"/>
      <c r="AW20" s="8"/>
      <c r="AX20" s="8"/>
      <c r="AY20" s="8"/>
      <c r="AZ20" s="8"/>
      <c r="BA20" s="8"/>
      <c r="BB20" s="8"/>
      <c r="BC20" s="8"/>
      <c r="BD20" s="8"/>
      <c r="BE20" s="8"/>
    </row>
    <row r="21">
      <c r="A21" s="142" t="s">
        <v>404</v>
      </c>
      <c r="B21" s="142" t="str">
        <f>IFERROR(__xludf.DUMMYFUNCTION("""COMPUTED_VALUE"""),"Alilem")</f>
        <v>Alilem</v>
      </c>
      <c r="C21" s="142" t="str">
        <f>IFERROR(__xludf.DUMMYFUNCTION("""COMPUTED_VALUE"""),"Banayoyo")</f>
        <v>Banayoyo</v>
      </c>
      <c r="D21" s="142" t="str">
        <f>IFERROR(__xludf.DUMMYFUNCTION("""COMPUTED_VALUE"""),"Bantay")</f>
        <v>Bantay</v>
      </c>
      <c r="E21" s="142" t="str">
        <f>IFERROR(__xludf.DUMMYFUNCTION("""COMPUTED_VALUE"""),"Burgos")</f>
        <v>Burgos</v>
      </c>
      <c r="F21" s="142" t="str">
        <f>IFERROR(__xludf.DUMMYFUNCTION("""COMPUTED_VALUE"""),"Cabugao")</f>
        <v>Cabugao</v>
      </c>
      <c r="G21" s="142" t="str">
        <f>IFERROR(__xludf.DUMMYFUNCTION("""COMPUTED_VALUE"""),"City of Candon")</f>
        <v>City of Candon</v>
      </c>
      <c r="H21" s="142" t="str">
        <f>IFERROR(__xludf.DUMMYFUNCTION("""COMPUTED_VALUE"""),"Caoayan")</f>
        <v>Caoayan</v>
      </c>
      <c r="I21" s="142" t="str">
        <f>IFERROR(__xludf.DUMMYFUNCTION("""COMPUTED_VALUE"""),"Cervantes")</f>
        <v>Cervantes</v>
      </c>
      <c r="J21" s="142" t="str">
        <f>IFERROR(__xludf.DUMMYFUNCTION("""COMPUTED_VALUE"""),"Galimuyod")</f>
        <v>Galimuyod</v>
      </c>
      <c r="K21" s="142" t="str">
        <f>IFERROR(__xludf.DUMMYFUNCTION("""COMPUTED_VALUE"""),"Gregorio del Pilar")</f>
        <v>Gregorio del Pilar</v>
      </c>
      <c r="L21" s="142" t="str">
        <f>IFERROR(__xludf.DUMMYFUNCTION("""COMPUTED_VALUE"""),"Lidlidda")</f>
        <v>Lidlidda</v>
      </c>
      <c r="M21" s="142" t="str">
        <f>IFERROR(__xludf.DUMMYFUNCTION("""COMPUTED_VALUE"""),"Magsingal")</f>
        <v>Magsingal</v>
      </c>
      <c r="N21" s="142" t="str">
        <f>IFERROR(__xludf.DUMMYFUNCTION("""COMPUTED_VALUE"""),"Nagbukel")</f>
        <v>Nagbukel</v>
      </c>
      <c r="O21" s="142" t="str">
        <f>IFERROR(__xludf.DUMMYFUNCTION("""COMPUTED_VALUE"""),"Narvacan")</f>
        <v>Narvacan</v>
      </c>
      <c r="P21" s="142" t="str">
        <f>IFERROR(__xludf.DUMMYFUNCTION("""COMPUTED_VALUE"""),"Quirino")</f>
        <v>Quirino</v>
      </c>
      <c r="Q21" s="142" t="str">
        <f>IFERROR(__xludf.DUMMYFUNCTION("""COMPUTED_VALUE"""),"Salcedo")</f>
        <v>Salcedo</v>
      </c>
      <c r="R21" s="142" t="str">
        <f>IFERROR(__xludf.DUMMYFUNCTION("""COMPUTED_VALUE"""),"San Emilio")</f>
        <v>San Emilio</v>
      </c>
      <c r="S21" s="142" t="str">
        <f>IFERROR(__xludf.DUMMYFUNCTION("""COMPUTED_VALUE"""),"San Esteban")</f>
        <v>San Esteban</v>
      </c>
      <c r="T21" s="142" t="str">
        <f>IFERROR(__xludf.DUMMYFUNCTION("""COMPUTED_VALUE"""),"San Ildefonso")</f>
        <v>San Ildefonso</v>
      </c>
      <c r="U21" s="142" t="str">
        <f>IFERROR(__xludf.DUMMYFUNCTION("""COMPUTED_VALUE"""),"San Juan")</f>
        <v>San Juan</v>
      </c>
      <c r="V21" s="142" t="str">
        <f>IFERROR(__xludf.DUMMYFUNCTION("""COMPUTED_VALUE"""),"San Vicente")</f>
        <v>San Vicente</v>
      </c>
      <c r="W21" s="142" t="str">
        <f>IFERROR(__xludf.DUMMYFUNCTION("""COMPUTED_VALUE"""),"Santa")</f>
        <v>Santa</v>
      </c>
      <c r="X21" s="142" t="str">
        <f>IFERROR(__xludf.DUMMYFUNCTION("""COMPUTED_VALUE"""),"Santa Catalina")</f>
        <v>Santa Catalina</v>
      </c>
      <c r="Y21" s="142" t="str">
        <f>IFERROR(__xludf.DUMMYFUNCTION("""COMPUTED_VALUE"""),"Santa Cruz")</f>
        <v>Santa Cruz</v>
      </c>
      <c r="Z21" s="142" t="str">
        <f>IFERROR(__xludf.DUMMYFUNCTION("""COMPUTED_VALUE"""),"Santa Lucia")</f>
        <v>Santa Lucia</v>
      </c>
      <c r="AA21" s="142" t="str">
        <f>IFERROR(__xludf.DUMMYFUNCTION("""COMPUTED_VALUE"""),"Santa Maria")</f>
        <v>Santa Maria</v>
      </c>
      <c r="AB21" s="142" t="str">
        <f>IFERROR(__xludf.DUMMYFUNCTION("""COMPUTED_VALUE"""),"Santiago")</f>
        <v>Santiago</v>
      </c>
      <c r="AC21" s="142" t="str">
        <f>IFERROR(__xludf.DUMMYFUNCTION("""COMPUTED_VALUE"""),"Santo Domingo")</f>
        <v>Santo Domingo</v>
      </c>
      <c r="AD21" s="142" t="str">
        <f>IFERROR(__xludf.DUMMYFUNCTION("""COMPUTED_VALUE"""),"Sigay")</f>
        <v>Sigay</v>
      </c>
      <c r="AE21" s="142" t="str">
        <f>IFERROR(__xludf.DUMMYFUNCTION("""COMPUTED_VALUE"""),"Sinait")</f>
        <v>Sinait</v>
      </c>
      <c r="AF21" s="142" t="str">
        <f>IFERROR(__xludf.DUMMYFUNCTION("""COMPUTED_VALUE"""),"Sugpon")</f>
        <v>Sugpon</v>
      </c>
      <c r="AG21" s="142" t="str">
        <f>IFERROR(__xludf.DUMMYFUNCTION("""COMPUTED_VALUE"""),"Suyo")</f>
        <v>Suyo</v>
      </c>
      <c r="AH21" s="142" t="str">
        <f>IFERROR(__xludf.DUMMYFUNCTION("""COMPUTED_VALUE"""),"Tagudin")</f>
        <v>Tagudin</v>
      </c>
      <c r="AI21" s="142" t="str">
        <f>IFERROR(__xludf.DUMMYFUNCTION("""COMPUTED_VALUE"""),"City of Vigan")</f>
        <v>City of Vigan</v>
      </c>
      <c r="AJ21" s="8"/>
      <c r="AK21" s="8"/>
      <c r="AL21" s="8"/>
      <c r="AM21" s="8"/>
      <c r="AN21" s="8"/>
      <c r="AO21" s="8"/>
      <c r="AP21" s="8"/>
      <c r="AQ21" s="8"/>
      <c r="AR21" s="8"/>
      <c r="AS21" s="8"/>
      <c r="AT21" s="8"/>
      <c r="AU21" s="8"/>
      <c r="AV21" s="8"/>
      <c r="AW21" s="8"/>
      <c r="AX21" s="8"/>
      <c r="AY21" s="8"/>
      <c r="AZ21" s="8"/>
      <c r="BA21" s="8"/>
      <c r="BB21" s="8"/>
      <c r="BC21" s="8"/>
      <c r="BD21" s="8"/>
      <c r="BE21" s="8"/>
    </row>
    <row r="22">
      <c r="A22" s="142" t="s">
        <v>404</v>
      </c>
      <c r="B22" s="142" t="str">
        <f>IFERROR(__xludf.DUMMYFUNCTION("""COMPUTED_VALUE"""),"Alilem")</f>
        <v>Alilem</v>
      </c>
      <c r="C22" s="142" t="str">
        <f>IFERROR(__xludf.DUMMYFUNCTION("""COMPUTED_VALUE"""),"Banayoyo")</f>
        <v>Banayoyo</v>
      </c>
      <c r="D22" s="142" t="str">
        <f>IFERROR(__xludf.DUMMYFUNCTION("""COMPUTED_VALUE"""),"Bantay")</f>
        <v>Bantay</v>
      </c>
      <c r="E22" s="142" t="str">
        <f>IFERROR(__xludf.DUMMYFUNCTION("""COMPUTED_VALUE"""),"Burgos")</f>
        <v>Burgos</v>
      </c>
      <c r="F22" s="142" t="str">
        <f>IFERROR(__xludf.DUMMYFUNCTION("""COMPUTED_VALUE"""),"Cabugao")</f>
        <v>Cabugao</v>
      </c>
      <c r="G22" s="142" t="str">
        <f>IFERROR(__xludf.DUMMYFUNCTION("""COMPUTED_VALUE"""),"City of Candon")</f>
        <v>City of Candon</v>
      </c>
      <c r="H22" s="142" t="str">
        <f>IFERROR(__xludf.DUMMYFUNCTION("""COMPUTED_VALUE"""),"Caoayan")</f>
        <v>Caoayan</v>
      </c>
      <c r="I22" s="142" t="str">
        <f>IFERROR(__xludf.DUMMYFUNCTION("""COMPUTED_VALUE"""),"Cervantes")</f>
        <v>Cervantes</v>
      </c>
      <c r="J22" s="142" t="str">
        <f>IFERROR(__xludf.DUMMYFUNCTION("""COMPUTED_VALUE"""),"Galimuyod")</f>
        <v>Galimuyod</v>
      </c>
      <c r="K22" s="142" t="str">
        <f>IFERROR(__xludf.DUMMYFUNCTION("""COMPUTED_VALUE"""),"Gregorio del Pilar")</f>
        <v>Gregorio del Pilar</v>
      </c>
      <c r="L22" s="142" t="str">
        <f>IFERROR(__xludf.DUMMYFUNCTION("""COMPUTED_VALUE"""),"Lidlidda")</f>
        <v>Lidlidda</v>
      </c>
      <c r="M22" s="142" t="str">
        <f>IFERROR(__xludf.DUMMYFUNCTION("""COMPUTED_VALUE"""),"Magsingal")</f>
        <v>Magsingal</v>
      </c>
      <c r="N22" s="142" t="str">
        <f>IFERROR(__xludf.DUMMYFUNCTION("""COMPUTED_VALUE"""),"Nagbukel")</f>
        <v>Nagbukel</v>
      </c>
      <c r="O22" s="142" t="str">
        <f>IFERROR(__xludf.DUMMYFUNCTION("""COMPUTED_VALUE"""),"Narvacan")</f>
        <v>Narvacan</v>
      </c>
      <c r="P22" s="142" t="str">
        <f>IFERROR(__xludf.DUMMYFUNCTION("""COMPUTED_VALUE"""),"Quirino")</f>
        <v>Quirino</v>
      </c>
      <c r="Q22" s="142" t="str">
        <f>IFERROR(__xludf.DUMMYFUNCTION("""COMPUTED_VALUE"""),"Salcedo")</f>
        <v>Salcedo</v>
      </c>
      <c r="R22" s="142" t="str">
        <f>IFERROR(__xludf.DUMMYFUNCTION("""COMPUTED_VALUE"""),"San Emilio")</f>
        <v>San Emilio</v>
      </c>
      <c r="S22" s="142" t="str">
        <f>IFERROR(__xludf.DUMMYFUNCTION("""COMPUTED_VALUE"""),"San Esteban")</f>
        <v>San Esteban</v>
      </c>
      <c r="T22" s="142" t="str">
        <f>IFERROR(__xludf.DUMMYFUNCTION("""COMPUTED_VALUE"""),"San Ildefonso")</f>
        <v>San Ildefonso</v>
      </c>
      <c r="U22" s="142" t="str">
        <f>IFERROR(__xludf.DUMMYFUNCTION("""COMPUTED_VALUE"""),"San Juan")</f>
        <v>San Juan</v>
      </c>
      <c r="V22" s="142" t="str">
        <f>IFERROR(__xludf.DUMMYFUNCTION("""COMPUTED_VALUE"""),"San Vicente")</f>
        <v>San Vicente</v>
      </c>
      <c r="W22" s="142" t="str">
        <f>IFERROR(__xludf.DUMMYFUNCTION("""COMPUTED_VALUE"""),"Santa")</f>
        <v>Santa</v>
      </c>
      <c r="X22" s="142" t="str">
        <f>IFERROR(__xludf.DUMMYFUNCTION("""COMPUTED_VALUE"""),"Santa Catalina")</f>
        <v>Santa Catalina</v>
      </c>
      <c r="Y22" s="142" t="str">
        <f>IFERROR(__xludf.DUMMYFUNCTION("""COMPUTED_VALUE"""),"Santa Cruz")</f>
        <v>Santa Cruz</v>
      </c>
      <c r="Z22" s="142" t="str">
        <f>IFERROR(__xludf.DUMMYFUNCTION("""COMPUTED_VALUE"""),"Santa Lucia")</f>
        <v>Santa Lucia</v>
      </c>
      <c r="AA22" s="142" t="str">
        <f>IFERROR(__xludf.DUMMYFUNCTION("""COMPUTED_VALUE"""),"Santa Maria")</f>
        <v>Santa Maria</v>
      </c>
      <c r="AB22" s="142" t="str">
        <f>IFERROR(__xludf.DUMMYFUNCTION("""COMPUTED_VALUE"""),"Santiago")</f>
        <v>Santiago</v>
      </c>
      <c r="AC22" s="142" t="str">
        <f>IFERROR(__xludf.DUMMYFUNCTION("""COMPUTED_VALUE"""),"Santo Domingo")</f>
        <v>Santo Domingo</v>
      </c>
      <c r="AD22" s="142" t="str">
        <f>IFERROR(__xludf.DUMMYFUNCTION("""COMPUTED_VALUE"""),"Sigay")</f>
        <v>Sigay</v>
      </c>
      <c r="AE22" s="142" t="str">
        <f>IFERROR(__xludf.DUMMYFUNCTION("""COMPUTED_VALUE"""),"Sinait")</f>
        <v>Sinait</v>
      </c>
      <c r="AF22" s="142" t="str">
        <f>IFERROR(__xludf.DUMMYFUNCTION("""COMPUTED_VALUE"""),"Sugpon")</f>
        <v>Sugpon</v>
      </c>
      <c r="AG22" s="142" t="str">
        <f>IFERROR(__xludf.DUMMYFUNCTION("""COMPUTED_VALUE"""),"Suyo")</f>
        <v>Suyo</v>
      </c>
      <c r="AH22" s="142" t="str">
        <f>IFERROR(__xludf.DUMMYFUNCTION("""COMPUTED_VALUE"""),"Tagudin")</f>
        <v>Tagudin</v>
      </c>
      <c r="AI22" s="142" t="str">
        <f>IFERROR(__xludf.DUMMYFUNCTION("""COMPUTED_VALUE"""),"City of Vigan")</f>
        <v>City of Vigan</v>
      </c>
      <c r="AJ22" s="8"/>
      <c r="AK22" s="8"/>
      <c r="AL22" s="8"/>
      <c r="AM22" s="8"/>
      <c r="AN22" s="8"/>
      <c r="AO22" s="8"/>
      <c r="AP22" s="8"/>
      <c r="AQ22" s="8"/>
      <c r="AR22" s="8"/>
      <c r="AS22" s="8"/>
      <c r="AT22" s="8"/>
      <c r="AU22" s="8"/>
      <c r="AV22" s="8"/>
      <c r="AW22" s="8"/>
      <c r="AX22" s="8"/>
      <c r="AY22" s="8"/>
      <c r="AZ22" s="8"/>
      <c r="BA22" s="8"/>
      <c r="BB22" s="8"/>
      <c r="BC22" s="8"/>
      <c r="BD22" s="8"/>
      <c r="BE22" s="8"/>
    </row>
    <row r="23">
      <c r="A23" s="142" t="s">
        <v>404</v>
      </c>
      <c r="B23" s="142" t="str">
        <f>IFERROR(__xludf.DUMMYFUNCTION("""COMPUTED_VALUE"""),"Alilem")</f>
        <v>Alilem</v>
      </c>
      <c r="C23" s="142" t="str">
        <f>IFERROR(__xludf.DUMMYFUNCTION("""COMPUTED_VALUE"""),"Banayoyo")</f>
        <v>Banayoyo</v>
      </c>
      <c r="D23" s="142" t="str">
        <f>IFERROR(__xludf.DUMMYFUNCTION("""COMPUTED_VALUE"""),"Bantay")</f>
        <v>Bantay</v>
      </c>
      <c r="E23" s="142" t="str">
        <f>IFERROR(__xludf.DUMMYFUNCTION("""COMPUTED_VALUE"""),"Burgos")</f>
        <v>Burgos</v>
      </c>
      <c r="F23" s="142" t="str">
        <f>IFERROR(__xludf.DUMMYFUNCTION("""COMPUTED_VALUE"""),"Cabugao")</f>
        <v>Cabugao</v>
      </c>
      <c r="G23" s="142" t="str">
        <f>IFERROR(__xludf.DUMMYFUNCTION("""COMPUTED_VALUE"""),"City of Candon")</f>
        <v>City of Candon</v>
      </c>
      <c r="H23" s="142" t="str">
        <f>IFERROR(__xludf.DUMMYFUNCTION("""COMPUTED_VALUE"""),"Caoayan")</f>
        <v>Caoayan</v>
      </c>
      <c r="I23" s="142" t="str">
        <f>IFERROR(__xludf.DUMMYFUNCTION("""COMPUTED_VALUE"""),"Cervantes")</f>
        <v>Cervantes</v>
      </c>
      <c r="J23" s="142" t="str">
        <f>IFERROR(__xludf.DUMMYFUNCTION("""COMPUTED_VALUE"""),"Galimuyod")</f>
        <v>Galimuyod</v>
      </c>
      <c r="K23" s="142" t="str">
        <f>IFERROR(__xludf.DUMMYFUNCTION("""COMPUTED_VALUE"""),"Gregorio del Pilar")</f>
        <v>Gregorio del Pilar</v>
      </c>
      <c r="L23" s="142" t="str">
        <f>IFERROR(__xludf.DUMMYFUNCTION("""COMPUTED_VALUE"""),"Lidlidda")</f>
        <v>Lidlidda</v>
      </c>
      <c r="M23" s="142" t="str">
        <f>IFERROR(__xludf.DUMMYFUNCTION("""COMPUTED_VALUE"""),"Magsingal")</f>
        <v>Magsingal</v>
      </c>
      <c r="N23" s="142" t="str">
        <f>IFERROR(__xludf.DUMMYFUNCTION("""COMPUTED_VALUE"""),"Nagbukel")</f>
        <v>Nagbukel</v>
      </c>
      <c r="O23" s="142" t="str">
        <f>IFERROR(__xludf.DUMMYFUNCTION("""COMPUTED_VALUE"""),"Narvacan")</f>
        <v>Narvacan</v>
      </c>
      <c r="P23" s="142" t="str">
        <f>IFERROR(__xludf.DUMMYFUNCTION("""COMPUTED_VALUE"""),"Quirino")</f>
        <v>Quirino</v>
      </c>
      <c r="Q23" s="142" t="str">
        <f>IFERROR(__xludf.DUMMYFUNCTION("""COMPUTED_VALUE"""),"Salcedo")</f>
        <v>Salcedo</v>
      </c>
      <c r="R23" s="142" t="str">
        <f>IFERROR(__xludf.DUMMYFUNCTION("""COMPUTED_VALUE"""),"San Emilio")</f>
        <v>San Emilio</v>
      </c>
      <c r="S23" s="142" t="str">
        <f>IFERROR(__xludf.DUMMYFUNCTION("""COMPUTED_VALUE"""),"San Esteban")</f>
        <v>San Esteban</v>
      </c>
      <c r="T23" s="142" t="str">
        <f>IFERROR(__xludf.DUMMYFUNCTION("""COMPUTED_VALUE"""),"San Ildefonso")</f>
        <v>San Ildefonso</v>
      </c>
      <c r="U23" s="142" t="str">
        <f>IFERROR(__xludf.DUMMYFUNCTION("""COMPUTED_VALUE"""),"San Juan")</f>
        <v>San Juan</v>
      </c>
      <c r="V23" s="142" t="str">
        <f>IFERROR(__xludf.DUMMYFUNCTION("""COMPUTED_VALUE"""),"San Vicente")</f>
        <v>San Vicente</v>
      </c>
      <c r="W23" s="142" t="str">
        <f>IFERROR(__xludf.DUMMYFUNCTION("""COMPUTED_VALUE"""),"Santa")</f>
        <v>Santa</v>
      </c>
      <c r="X23" s="142" t="str">
        <f>IFERROR(__xludf.DUMMYFUNCTION("""COMPUTED_VALUE"""),"Santa Catalina")</f>
        <v>Santa Catalina</v>
      </c>
      <c r="Y23" s="142" t="str">
        <f>IFERROR(__xludf.DUMMYFUNCTION("""COMPUTED_VALUE"""),"Santa Cruz")</f>
        <v>Santa Cruz</v>
      </c>
      <c r="Z23" s="142" t="str">
        <f>IFERROR(__xludf.DUMMYFUNCTION("""COMPUTED_VALUE"""),"Santa Lucia")</f>
        <v>Santa Lucia</v>
      </c>
      <c r="AA23" s="142" t="str">
        <f>IFERROR(__xludf.DUMMYFUNCTION("""COMPUTED_VALUE"""),"Santa Maria")</f>
        <v>Santa Maria</v>
      </c>
      <c r="AB23" s="142" t="str">
        <f>IFERROR(__xludf.DUMMYFUNCTION("""COMPUTED_VALUE"""),"Santiago")</f>
        <v>Santiago</v>
      </c>
      <c r="AC23" s="142" t="str">
        <f>IFERROR(__xludf.DUMMYFUNCTION("""COMPUTED_VALUE"""),"Santo Domingo")</f>
        <v>Santo Domingo</v>
      </c>
      <c r="AD23" s="142" t="str">
        <f>IFERROR(__xludf.DUMMYFUNCTION("""COMPUTED_VALUE"""),"Sigay")</f>
        <v>Sigay</v>
      </c>
      <c r="AE23" s="142" t="str">
        <f>IFERROR(__xludf.DUMMYFUNCTION("""COMPUTED_VALUE"""),"Sinait")</f>
        <v>Sinait</v>
      </c>
      <c r="AF23" s="142" t="str">
        <f>IFERROR(__xludf.DUMMYFUNCTION("""COMPUTED_VALUE"""),"Sugpon")</f>
        <v>Sugpon</v>
      </c>
      <c r="AG23" s="142" t="str">
        <f>IFERROR(__xludf.DUMMYFUNCTION("""COMPUTED_VALUE"""),"Suyo")</f>
        <v>Suyo</v>
      </c>
      <c r="AH23" s="142" t="str">
        <f>IFERROR(__xludf.DUMMYFUNCTION("""COMPUTED_VALUE"""),"Tagudin")</f>
        <v>Tagudin</v>
      </c>
      <c r="AI23" s="142" t="str">
        <f>IFERROR(__xludf.DUMMYFUNCTION("""COMPUTED_VALUE"""),"City of Vigan")</f>
        <v>City of Vigan</v>
      </c>
      <c r="AJ23" s="8"/>
      <c r="AK23" s="8"/>
      <c r="AL23" s="8"/>
      <c r="AM23" s="8"/>
      <c r="AN23" s="8"/>
      <c r="AO23" s="8"/>
      <c r="AP23" s="8"/>
      <c r="AQ23" s="8"/>
      <c r="AR23" s="8"/>
      <c r="AS23" s="8"/>
      <c r="AT23" s="8"/>
      <c r="AU23" s="8"/>
      <c r="AV23" s="8"/>
      <c r="AW23" s="8"/>
      <c r="AX23" s="8"/>
      <c r="AY23" s="8"/>
      <c r="AZ23" s="8"/>
      <c r="BA23" s="8"/>
      <c r="BB23" s="8"/>
      <c r="BC23" s="8"/>
      <c r="BD23" s="8"/>
      <c r="BE23" s="8"/>
    </row>
    <row r="24">
      <c r="A24" s="142" t="s">
        <v>404</v>
      </c>
      <c r="B24" s="142" t="str">
        <f>IFERROR(__xludf.DUMMYFUNCTION("""COMPUTED_VALUE"""),"Alilem")</f>
        <v>Alilem</v>
      </c>
      <c r="C24" s="142" t="str">
        <f>IFERROR(__xludf.DUMMYFUNCTION("""COMPUTED_VALUE"""),"Banayoyo")</f>
        <v>Banayoyo</v>
      </c>
      <c r="D24" s="142" t="str">
        <f>IFERROR(__xludf.DUMMYFUNCTION("""COMPUTED_VALUE"""),"Bantay")</f>
        <v>Bantay</v>
      </c>
      <c r="E24" s="142" t="str">
        <f>IFERROR(__xludf.DUMMYFUNCTION("""COMPUTED_VALUE"""),"Burgos")</f>
        <v>Burgos</v>
      </c>
      <c r="F24" s="142" t="str">
        <f>IFERROR(__xludf.DUMMYFUNCTION("""COMPUTED_VALUE"""),"Cabugao")</f>
        <v>Cabugao</v>
      </c>
      <c r="G24" s="142" t="str">
        <f>IFERROR(__xludf.DUMMYFUNCTION("""COMPUTED_VALUE"""),"City of Candon")</f>
        <v>City of Candon</v>
      </c>
      <c r="H24" s="142" t="str">
        <f>IFERROR(__xludf.DUMMYFUNCTION("""COMPUTED_VALUE"""),"Caoayan")</f>
        <v>Caoayan</v>
      </c>
      <c r="I24" s="142" t="str">
        <f>IFERROR(__xludf.DUMMYFUNCTION("""COMPUTED_VALUE"""),"Cervantes")</f>
        <v>Cervantes</v>
      </c>
      <c r="J24" s="142" t="str">
        <f>IFERROR(__xludf.DUMMYFUNCTION("""COMPUTED_VALUE"""),"Galimuyod")</f>
        <v>Galimuyod</v>
      </c>
      <c r="K24" s="142" t="str">
        <f>IFERROR(__xludf.DUMMYFUNCTION("""COMPUTED_VALUE"""),"Gregorio del Pilar")</f>
        <v>Gregorio del Pilar</v>
      </c>
      <c r="L24" s="142" t="str">
        <f>IFERROR(__xludf.DUMMYFUNCTION("""COMPUTED_VALUE"""),"Lidlidda")</f>
        <v>Lidlidda</v>
      </c>
      <c r="M24" s="142" t="str">
        <f>IFERROR(__xludf.DUMMYFUNCTION("""COMPUTED_VALUE"""),"Magsingal")</f>
        <v>Magsingal</v>
      </c>
      <c r="N24" s="142" t="str">
        <f>IFERROR(__xludf.DUMMYFUNCTION("""COMPUTED_VALUE"""),"Nagbukel")</f>
        <v>Nagbukel</v>
      </c>
      <c r="O24" s="142" t="str">
        <f>IFERROR(__xludf.DUMMYFUNCTION("""COMPUTED_VALUE"""),"Narvacan")</f>
        <v>Narvacan</v>
      </c>
      <c r="P24" s="142" t="str">
        <f>IFERROR(__xludf.DUMMYFUNCTION("""COMPUTED_VALUE"""),"Quirino")</f>
        <v>Quirino</v>
      </c>
      <c r="Q24" s="142" t="str">
        <f>IFERROR(__xludf.DUMMYFUNCTION("""COMPUTED_VALUE"""),"Salcedo")</f>
        <v>Salcedo</v>
      </c>
      <c r="R24" s="142" t="str">
        <f>IFERROR(__xludf.DUMMYFUNCTION("""COMPUTED_VALUE"""),"San Emilio")</f>
        <v>San Emilio</v>
      </c>
      <c r="S24" s="142" t="str">
        <f>IFERROR(__xludf.DUMMYFUNCTION("""COMPUTED_VALUE"""),"San Esteban")</f>
        <v>San Esteban</v>
      </c>
      <c r="T24" s="142" t="str">
        <f>IFERROR(__xludf.DUMMYFUNCTION("""COMPUTED_VALUE"""),"San Ildefonso")</f>
        <v>San Ildefonso</v>
      </c>
      <c r="U24" s="142" t="str">
        <f>IFERROR(__xludf.DUMMYFUNCTION("""COMPUTED_VALUE"""),"San Juan")</f>
        <v>San Juan</v>
      </c>
      <c r="V24" s="142" t="str">
        <f>IFERROR(__xludf.DUMMYFUNCTION("""COMPUTED_VALUE"""),"San Vicente")</f>
        <v>San Vicente</v>
      </c>
      <c r="W24" s="142" t="str">
        <f>IFERROR(__xludf.DUMMYFUNCTION("""COMPUTED_VALUE"""),"Santa")</f>
        <v>Santa</v>
      </c>
      <c r="X24" s="142" t="str">
        <f>IFERROR(__xludf.DUMMYFUNCTION("""COMPUTED_VALUE"""),"Santa Catalina")</f>
        <v>Santa Catalina</v>
      </c>
      <c r="Y24" s="142" t="str">
        <f>IFERROR(__xludf.DUMMYFUNCTION("""COMPUTED_VALUE"""),"Santa Cruz")</f>
        <v>Santa Cruz</v>
      </c>
      <c r="Z24" s="142" t="str">
        <f>IFERROR(__xludf.DUMMYFUNCTION("""COMPUTED_VALUE"""),"Santa Lucia")</f>
        <v>Santa Lucia</v>
      </c>
      <c r="AA24" s="142" t="str">
        <f>IFERROR(__xludf.DUMMYFUNCTION("""COMPUTED_VALUE"""),"Santa Maria")</f>
        <v>Santa Maria</v>
      </c>
      <c r="AB24" s="142" t="str">
        <f>IFERROR(__xludf.DUMMYFUNCTION("""COMPUTED_VALUE"""),"Santiago")</f>
        <v>Santiago</v>
      </c>
      <c r="AC24" s="142" t="str">
        <f>IFERROR(__xludf.DUMMYFUNCTION("""COMPUTED_VALUE"""),"Santo Domingo")</f>
        <v>Santo Domingo</v>
      </c>
      <c r="AD24" s="142" t="str">
        <f>IFERROR(__xludf.DUMMYFUNCTION("""COMPUTED_VALUE"""),"Sigay")</f>
        <v>Sigay</v>
      </c>
      <c r="AE24" s="142" t="str">
        <f>IFERROR(__xludf.DUMMYFUNCTION("""COMPUTED_VALUE"""),"Sinait")</f>
        <v>Sinait</v>
      </c>
      <c r="AF24" s="142" t="str">
        <f>IFERROR(__xludf.DUMMYFUNCTION("""COMPUTED_VALUE"""),"Sugpon")</f>
        <v>Sugpon</v>
      </c>
      <c r="AG24" s="142" t="str">
        <f>IFERROR(__xludf.DUMMYFUNCTION("""COMPUTED_VALUE"""),"Suyo")</f>
        <v>Suyo</v>
      </c>
      <c r="AH24" s="142" t="str">
        <f>IFERROR(__xludf.DUMMYFUNCTION("""COMPUTED_VALUE"""),"Tagudin")</f>
        <v>Tagudin</v>
      </c>
      <c r="AI24" s="142" t="str">
        <f>IFERROR(__xludf.DUMMYFUNCTION("""COMPUTED_VALUE"""),"City of Vigan")</f>
        <v>City of Vigan</v>
      </c>
      <c r="AJ24" s="8"/>
      <c r="AK24" s="8"/>
      <c r="AL24" s="8"/>
      <c r="AM24" s="8"/>
      <c r="AN24" s="8"/>
      <c r="AO24" s="8"/>
      <c r="AP24" s="8"/>
      <c r="AQ24" s="8"/>
      <c r="AR24" s="8"/>
      <c r="AS24" s="8"/>
      <c r="AT24" s="8"/>
      <c r="AU24" s="8"/>
      <c r="AV24" s="8"/>
      <c r="AW24" s="8"/>
      <c r="AX24" s="8"/>
      <c r="AY24" s="8"/>
      <c r="AZ24" s="8"/>
      <c r="BA24" s="8"/>
      <c r="BB24" s="8"/>
      <c r="BC24" s="8"/>
      <c r="BD24" s="8"/>
      <c r="BE24" s="8"/>
    </row>
    <row r="25">
      <c r="A25" s="142" t="s">
        <v>404</v>
      </c>
      <c r="B25" s="142" t="str">
        <f>IFERROR(__xludf.DUMMYFUNCTION("""COMPUTED_VALUE"""),"Alilem")</f>
        <v>Alilem</v>
      </c>
      <c r="C25" s="142" t="str">
        <f>IFERROR(__xludf.DUMMYFUNCTION("""COMPUTED_VALUE"""),"Banayoyo")</f>
        <v>Banayoyo</v>
      </c>
      <c r="D25" s="142" t="str">
        <f>IFERROR(__xludf.DUMMYFUNCTION("""COMPUTED_VALUE"""),"Bantay")</f>
        <v>Bantay</v>
      </c>
      <c r="E25" s="142" t="str">
        <f>IFERROR(__xludf.DUMMYFUNCTION("""COMPUTED_VALUE"""),"Burgos")</f>
        <v>Burgos</v>
      </c>
      <c r="F25" s="142" t="str">
        <f>IFERROR(__xludf.DUMMYFUNCTION("""COMPUTED_VALUE"""),"Cabugao")</f>
        <v>Cabugao</v>
      </c>
      <c r="G25" s="142" t="str">
        <f>IFERROR(__xludf.DUMMYFUNCTION("""COMPUTED_VALUE"""),"City of Candon")</f>
        <v>City of Candon</v>
      </c>
      <c r="H25" s="142" t="str">
        <f>IFERROR(__xludf.DUMMYFUNCTION("""COMPUTED_VALUE"""),"Caoayan")</f>
        <v>Caoayan</v>
      </c>
      <c r="I25" s="142" t="str">
        <f>IFERROR(__xludf.DUMMYFUNCTION("""COMPUTED_VALUE"""),"Cervantes")</f>
        <v>Cervantes</v>
      </c>
      <c r="J25" s="142" t="str">
        <f>IFERROR(__xludf.DUMMYFUNCTION("""COMPUTED_VALUE"""),"Galimuyod")</f>
        <v>Galimuyod</v>
      </c>
      <c r="K25" s="142" t="str">
        <f>IFERROR(__xludf.DUMMYFUNCTION("""COMPUTED_VALUE"""),"Gregorio del Pilar")</f>
        <v>Gregorio del Pilar</v>
      </c>
      <c r="L25" s="142" t="str">
        <f>IFERROR(__xludf.DUMMYFUNCTION("""COMPUTED_VALUE"""),"Lidlidda")</f>
        <v>Lidlidda</v>
      </c>
      <c r="M25" s="142" t="str">
        <f>IFERROR(__xludf.DUMMYFUNCTION("""COMPUTED_VALUE"""),"Magsingal")</f>
        <v>Magsingal</v>
      </c>
      <c r="N25" s="142" t="str">
        <f>IFERROR(__xludf.DUMMYFUNCTION("""COMPUTED_VALUE"""),"Nagbukel")</f>
        <v>Nagbukel</v>
      </c>
      <c r="O25" s="142" t="str">
        <f>IFERROR(__xludf.DUMMYFUNCTION("""COMPUTED_VALUE"""),"Narvacan")</f>
        <v>Narvacan</v>
      </c>
      <c r="P25" s="142" t="str">
        <f>IFERROR(__xludf.DUMMYFUNCTION("""COMPUTED_VALUE"""),"Quirino")</f>
        <v>Quirino</v>
      </c>
      <c r="Q25" s="142" t="str">
        <f>IFERROR(__xludf.DUMMYFUNCTION("""COMPUTED_VALUE"""),"Salcedo")</f>
        <v>Salcedo</v>
      </c>
      <c r="R25" s="142" t="str">
        <f>IFERROR(__xludf.DUMMYFUNCTION("""COMPUTED_VALUE"""),"San Emilio")</f>
        <v>San Emilio</v>
      </c>
      <c r="S25" s="142" t="str">
        <f>IFERROR(__xludf.DUMMYFUNCTION("""COMPUTED_VALUE"""),"San Esteban")</f>
        <v>San Esteban</v>
      </c>
      <c r="T25" s="142" t="str">
        <f>IFERROR(__xludf.DUMMYFUNCTION("""COMPUTED_VALUE"""),"San Ildefonso")</f>
        <v>San Ildefonso</v>
      </c>
      <c r="U25" s="142" t="str">
        <f>IFERROR(__xludf.DUMMYFUNCTION("""COMPUTED_VALUE"""),"San Juan")</f>
        <v>San Juan</v>
      </c>
      <c r="V25" s="142" t="str">
        <f>IFERROR(__xludf.DUMMYFUNCTION("""COMPUTED_VALUE"""),"San Vicente")</f>
        <v>San Vicente</v>
      </c>
      <c r="W25" s="142" t="str">
        <f>IFERROR(__xludf.DUMMYFUNCTION("""COMPUTED_VALUE"""),"Santa")</f>
        <v>Santa</v>
      </c>
      <c r="X25" s="142" t="str">
        <f>IFERROR(__xludf.DUMMYFUNCTION("""COMPUTED_VALUE"""),"Santa Catalina")</f>
        <v>Santa Catalina</v>
      </c>
      <c r="Y25" s="142" t="str">
        <f>IFERROR(__xludf.DUMMYFUNCTION("""COMPUTED_VALUE"""),"Santa Cruz")</f>
        <v>Santa Cruz</v>
      </c>
      <c r="Z25" s="142" t="str">
        <f>IFERROR(__xludf.DUMMYFUNCTION("""COMPUTED_VALUE"""),"Santa Lucia")</f>
        <v>Santa Lucia</v>
      </c>
      <c r="AA25" s="142" t="str">
        <f>IFERROR(__xludf.DUMMYFUNCTION("""COMPUTED_VALUE"""),"Santa Maria")</f>
        <v>Santa Maria</v>
      </c>
      <c r="AB25" s="142" t="str">
        <f>IFERROR(__xludf.DUMMYFUNCTION("""COMPUTED_VALUE"""),"Santiago")</f>
        <v>Santiago</v>
      </c>
      <c r="AC25" s="142" t="str">
        <f>IFERROR(__xludf.DUMMYFUNCTION("""COMPUTED_VALUE"""),"Santo Domingo")</f>
        <v>Santo Domingo</v>
      </c>
      <c r="AD25" s="142" t="str">
        <f>IFERROR(__xludf.DUMMYFUNCTION("""COMPUTED_VALUE"""),"Sigay")</f>
        <v>Sigay</v>
      </c>
      <c r="AE25" s="142" t="str">
        <f>IFERROR(__xludf.DUMMYFUNCTION("""COMPUTED_VALUE"""),"Sinait")</f>
        <v>Sinait</v>
      </c>
      <c r="AF25" s="142" t="str">
        <f>IFERROR(__xludf.DUMMYFUNCTION("""COMPUTED_VALUE"""),"Sugpon")</f>
        <v>Sugpon</v>
      </c>
      <c r="AG25" s="142" t="str">
        <f>IFERROR(__xludf.DUMMYFUNCTION("""COMPUTED_VALUE"""),"Suyo")</f>
        <v>Suyo</v>
      </c>
      <c r="AH25" s="142" t="str">
        <f>IFERROR(__xludf.DUMMYFUNCTION("""COMPUTED_VALUE"""),"Tagudin")</f>
        <v>Tagudin</v>
      </c>
      <c r="AI25" s="142" t="str">
        <f>IFERROR(__xludf.DUMMYFUNCTION("""COMPUTED_VALUE"""),"City of Vigan")</f>
        <v>City of Vigan</v>
      </c>
      <c r="AJ25" s="8"/>
      <c r="AK25" s="8"/>
      <c r="AL25" s="8"/>
      <c r="AM25" s="8"/>
      <c r="AN25" s="8"/>
      <c r="AO25" s="8"/>
      <c r="AP25" s="8"/>
      <c r="AQ25" s="8"/>
      <c r="AR25" s="8"/>
      <c r="AS25" s="8"/>
      <c r="AT25" s="8"/>
      <c r="AU25" s="8"/>
      <c r="AV25" s="8"/>
      <c r="AW25" s="8"/>
      <c r="AX25" s="8"/>
      <c r="AY25" s="8"/>
      <c r="AZ25" s="8"/>
      <c r="BA25" s="8"/>
      <c r="BB25" s="8"/>
      <c r="BC25" s="8"/>
      <c r="BD25" s="8"/>
      <c r="BE25" s="8"/>
    </row>
    <row r="26">
      <c r="A26" s="142" t="s">
        <v>404</v>
      </c>
      <c r="B26" s="142" t="str">
        <f>IFERROR(__xludf.DUMMYFUNCTION("""COMPUTED_VALUE"""),"Alilem")</f>
        <v>Alilem</v>
      </c>
      <c r="C26" s="142" t="str">
        <f>IFERROR(__xludf.DUMMYFUNCTION("""COMPUTED_VALUE"""),"Banayoyo")</f>
        <v>Banayoyo</v>
      </c>
      <c r="D26" s="142" t="str">
        <f>IFERROR(__xludf.DUMMYFUNCTION("""COMPUTED_VALUE"""),"Bantay")</f>
        <v>Bantay</v>
      </c>
      <c r="E26" s="142" t="str">
        <f>IFERROR(__xludf.DUMMYFUNCTION("""COMPUTED_VALUE"""),"Burgos")</f>
        <v>Burgos</v>
      </c>
      <c r="F26" s="142" t="str">
        <f>IFERROR(__xludf.DUMMYFUNCTION("""COMPUTED_VALUE"""),"Cabugao")</f>
        <v>Cabugao</v>
      </c>
      <c r="G26" s="142" t="str">
        <f>IFERROR(__xludf.DUMMYFUNCTION("""COMPUTED_VALUE"""),"City of Candon")</f>
        <v>City of Candon</v>
      </c>
      <c r="H26" s="142" t="str">
        <f>IFERROR(__xludf.DUMMYFUNCTION("""COMPUTED_VALUE"""),"Caoayan")</f>
        <v>Caoayan</v>
      </c>
      <c r="I26" s="142" t="str">
        <f>IFERROR(__xludf.DUMMYFUNCTION("""COMPUTED_VALUE"""),"Cervantes")</f>
        <v>Cervantes</v>
      </c>
      <c r="J26" s="142" t="str">
        <f>IFERROR(__xludf.DUMMYFUNCTION("""COMPUTED_VALUE"""),"Galimuyod")</f>
        <v>Galimuyod</v>
      </c>
      <c r="K26" s="142" t="str">
        <f>IFERROR(__xludf.DUMMYFUNCTION("""COMPUTED_VALUE"""),"Gregorio del Pilar")</f>
        <v>Gregorio del Pilar</v>
      </c>
      <c r="L26" s="142" t="str">
        <f>IFERROR(__xludf.DUMMYFUNCTION("""COMPUTED_VALUE"""),"Lidlidda")</f>
        <v>Lidlidda</v>
      </c>
      <c r="M26" s="142" t="str">
        <f>IFERROR(__xludf.DUMMYFUNCTION("""COMPUTED_VALUE"""),"Magsingal")</f>
        <v>Magsingal</v>
      </c>
      <c r="N26" s="142" t="str">
        <f>IFERROR(__xludf.DUMMYFUNCTION("""COMPUTED_VALUE"""),"Nagbukel")</f>
        <v>Nagbukel</v>
      </c>
      <c r="O26" s="142" t="str">
        <f>IFERROR(__xludf.DUMMYFUNCTION("""COMPUTED_VALUE"""),"Narvacan")</f>
        <v>Narvacan</v>
      </c>
      <c r="P26" s="142" t="str">
        <f>IFERROR(__xludf.DUMMYFUNCTION("""COMPUTED_VALUE"""),"Quirino")</f>
        <v>Quirino</v>
      </c>
      <c r="Q26" s="142" t="str">
        <f>IFERROR(__xludf.DUMMYFUNCTION("""COMPUTED_VALUE"""),"Salcedo")</f>
        <v>Salcedo</v>
      </c>
      <c r="R26" s="142" t="str">
        <f>IFERROR(__xludf.DUMMYFUNCTION("""COMPUTED_VALUE"""),"San Emilio")</f>
        <v>San Emilio</v>
      </c>
      <c r="S26" s="142" t="str">
        <f>IFERROR(__xludf.DUMMYFUNCTION("""COMPUTED_VALUE"""),"San Esteban")</f>
        <v>San Esteban</v>
      </c>
      <c r="T26" s="142" t="str">
        <f>IFERROR(__xludf.DUMMYFUNCTION("""COMPUTED_VALUE"""),"San Ildefonso")</f>
        <v>San Ildefonso</v>
      </c>
      <c r="U26" s="142" t="str">
        <f>IFERROR(__xludf.DUMMYFUNCTION("""COMPUTED_VALUE"""),"San Juan")</f>
        <v>San Juan</v>
      </c>
      <c r="V26" s="142" t="str">
        <f>IFERROR(__xludf.DUMMYFUNCTION("""COMPUTED_VALUE"""),"San Vicente")</f>
        <v>San Vicente</v>
      </c>
      <c r="W26" s="142" t="str">
        <f>IFERROR(__xludf.DUMMYFUNCTION("""COMPUTED_VALUE"""),"Santa")</f>
        <v>Santa</v>
      </c>
      <c r="X26" s="142" t="str">
        <f>IFERROR(__xludf.DUMMYFUNCTION("""COMPUTED_VALUE"""),"Santa Catalina")</f>
        <v>Santa Catalina</v>
      </c>
      <c r="Y26" s="142" t="str">
        <f>IFERROR(__xludf.DUMMYFUNCTION("""COMPUTED_VALUE"""),"Santa Cruz")</f>
        <v>Santa Cruz</v>
      </c>
      <c r="Z26" s="142" t="str">
        <f>IFERROR(__xludf.DUMMYFUNCTION("""COMPUTED_VALUE"""),"Santa Lucia")</f>
        <v>Santa Lucia</v>
      </c>
      <c r="AA26" s="142" t="str">
        <f>IFERROR(__xludf.DUMMYFUNCTION("""COMPUTED_VALUE"""),"Santa Maria")</f>
        <v>Santa Maria</v>
      </c>
      <c r="AB26" s="142" t="str">
        <f>IFERROR(__xludf.DUMMYFUNCTION("""COMPUTED_VALUE"""),"Santiago")</f>
        <v>Santiago</v>
      </c>
      <c r="AC26" s="142" t="str">
        <f>IFERROR(__xludf.DUMMYFUNCTION("""COMPUTED_VALUE"""),"Santo Domingo")</f>
        <v>Santo Domingo</v>
      </c>
      <c r="AD26" s="142" t="str">
        <f>IFERROR(__xludf.DUMMYFUNCTION("""COMPUTED_VALUE"""),"Sigay")</f>
        <v>Sigay</v>
      </c>
      <c r="AE26" s="142" t="str">
        <f>IFERROR(__xludf.DUMMYFUNCTION("""COMPUTED_VALUE"""),"Sinait")</f>
        <v>Sinait</v>
      </c>
      <c r="AF26" s="142" t="str">
        <f>IFERROR(__xludf.DUMMYFUNCTION("""COMPUTED_VALUE"""),"Sugpon")</f>
        <v>Sugpon</v>
      </c>
      <c r="AG26" s="142" t="str">
        <f>IFERROR(__xludf.DUMMYFUNCTION("""COMPUTED_VALUE"""),"Suyo")</f>
        <v>Suyo</v>
      </c>
      <c r="AH26" s="142" t="str">
        <f>IFERROR(__xludf.DUMMYFUNCTION("""COMPUTED_VALUE"""),"Tagudin")</f>
        <v>Tagudin</v>
      </c>
      <c r="AI26" s="142" t="str">
        <f>IFERROR(__xludf.DUMMYFUNCTION("""COMPUTED_VALUE"""),"City of Vigan")</f>
        <v>City of Vigan</v>
      </c>
      <c r="AJ26" s="8"/>
      <c r="AK26" s="8"/>
      <c r="AL26" s="8"/>
      <c r="AM26" s="8"/>
      <c r="AN26" s="8"/>
      <c r="AO26" s="8"/>
      <c r="AP26" s="8"/>
      <c r="AQ26" s="8"/>
      <c r="AR26" s="8"/>
      <c r="AS26" s="8"/>
      <c r="AT26" s="8"/>
      <c r="AU26" s="8"/>
      <c r="AV26" s="8"/>
      <c r="AW26" s="8"/>
      <c r="AX26" s="8"/>
      <c r="AY26" s="8"/>
      <c r="AZ26" s="8"/>
      <c r="BA26" s="8"/>
      <c r="BB26" s="8"/>
      <c r="BC26" s="8"/>
      <c r="BD26" s="8"/>
      <c r="BE26" s="8"/>
    </row>
    <row r="27">
      <c r="A27" s="142" t="s">
        <v>404</v>
      </c>
      <c r="B27" s="142" t="str">
        <f>IFERROR(__xludf.DUMMYFUNCTION("""COMPUTED_VALUE"""),"Alilem")</f>
        <v>Alilem</v>
      </c>
      <c r="C27" s="142" t="str">
        <f>IFERROR(__xludf.DUMMYFUNCTION("""COMPUTED_VALUE"""),"Banayoyo")</f>
        <v>Banayoyo</v>
      </c>
      <c r="D27" s="142" t="str">
        <f>IFERROR(__xludf.DUMMYFUNCTION("""COMPUTED_VALUE"""),"Bantay")</f>
        <v>Bantay</v>
      </c>
      <c r="E27" s="142" t="str">
        <f>IFERROR(__xludf.DUMMYFUNCTION("""COMPUTED_VALUE"""),"Burgos")</f>
        <v>Burgos</v>
      </c>
      <c r="F27" s="142" t="str">
        <f>IFERROR(__xludf.DUMMYFUNCTION("""COMPUTED_VALUE"""),"Cabugao")</f>
        <v>Cabugao</v>
      </c>
      <c r="G27" s="142" t="str">
        <f>IFERROR(__xludf.DUMMYFUNCTION("""COMPUTED_VALUE"""),"City of Candon")</f>
        <v>City of Candon</v>
      </c>
      <c r="H27" s="142" t="str">
        <f>IFERROR(__xludf.DUMMYFUNCTION("""COMPUTED_VALUE"""),"Caoayan")</f>
        <v>Caoayan</v>
      </c>
      <c r="I27" s="142" t="str">
        <f>IFERROR(__xludf.DUMMYFUNCTION("""COMPUTED_VALUE"""),"Cervantes")</f>
        <v>Cervantes</v>
      </c>
      <c r="J27" s="142" t="str">
        <f>IFERROR(__xludf.DUMMYFUNCTION("""COMPUTED_VALUE"""),"Galimuyod")</f>
        <v>Galimuyod</v>
      </c>
      <c r="K27" s="142" t="str">
        <f>IFERROR(__xludf.DUMMYFUNCTION("""COMPUTED_VALUE"""),"Gregorio del Pilar")</f>
        <v>Gregorio del Pilar</v>
      </c>
      <c r="L27" s="142" t="str">
        <f>IFERROR(__xludf.DUMMYFUNCTION("""COMPUTED_VALUE"""),"Lidlidda")</f>
        <v>Lidlidda</v>
      </c>
      <c r="M27" s="142" t="str">
        <f>IFERROR(__xludf.DUMMYFUNCTION("""COMPUTED_VALUE"""),"Magsingal")</f>
        <v>Magsingal</v>
      </c>
      <c r="N27" s="142" t="str">
        <f>IFERROR(__xludf.DUMMYFUNCTION("""COMPUTED_VALUE"""),"Nagbukel")</f>
        <v>Nagbukel</v>
      </c>
      <c r="O27" s="142" t="str">
        <f>IFERROR(__xludf.DUMMYFUNCTION("""COMPUTED_VALUE"""),"Narvacan")</f>
        <v>Narvacan</v>
      </c>
      <c r="P27" s="142" t="str">
        <f>IFERROR(__xludf.DUMMYFUNCTION("""COMPUTED_VALUE"""),"Quirino")</f>
        <v>Quirino</v>
      </c>
      <c r="Q27" s="142" t="str">
        <f>IFERROR(__xludf.DUMMYFUNCTION("""COMPUTED_VALUE"""),"Salcedo")</f>
        <v>Salcedo</v>
      </c>
      <c r="R27" s="142" t="str">
        <f>IFERROR(__xludf.DUMMYFUNCTION("""COMPUTED_VALUE"""),"San Emilio")</f>
        <v>San Emilio</v>
      </c>
      <c r="S27" s="142" t="str">
        <f>IFERROR(__xludf.DUMMYFUNCTION("""COMPUTED_VALUE"""),"San Esteban")</f>
        <v>San Esteban</v>
      </c>
      <c r="T27" s="142" t="str">
        <f>IFERROR(__xludf.DUMMYFUNCTION("""COMPUTED_VALUE"""),"San Ildefonso")</f>
        <v>San Ildefonso</v>
      </c>
      <c r="U27" s="142" t="str">
        <f>IFERROR(__xludf.DUMMYFUNCTION("""COMPUTED_VALUE"""),"San Juan")</f>
        <v>San Juan</v>
      </c>
      <c r="V27" s="142" t="str">
        <f>IFERROR(__xludf.DUMMYFUNCTION("""COMPUTED_VALUE"""),"San Vicente")</f>
        <v>San Vicente</v>
      </c>
      <c r="W27" s="142" t="str">
        <f>IFERROR(__xludf.DUMMYFUNCTION("""COMPUTED_VALUE"""),"Santa")</f>
        <v>Santa</v>
      </c>
      <c r="X27" s="142" t="str">
        <f>IFERROR(__xludf.DUMMYFUNCTION("""COMPUTED_VALUE"""),"Santa Catalina")</f>
        <v>Santa Catalina</v>
      </c>
      <c r="Y27" s="142" t="str">
        <f>IFERROR(__xludf.DUMMYFUNCTION("""COMPUTED_VALUE"""),"Santa Cruz")</f>
        <v>Santa Cruz</v>
      </c>
      <c r="Z27" s="142" t="str">
        <f>IFERROR(__xludf.DUMMYFUNCTION("""COMPUTED_VALUE"""),"Santa Lucia")</f>
        <v>Santa Lucia</v>
      </c>
      <c r="AA27" s="142" t="str">
        <f>IFERROR(__xludf.DUMMYFUNCTION("""COMPUTED_VALUE"""),"Santa Maria")</f>
        <v>Santa Maria</v>
      </c>
      <c r="AB27" s="142" t="str">
        <f>IFERROR(__xludf.DUMMYFUNCTION("""COMPUTED_VALUE"""),"Santiago")</f>
        <v>Santiago</v>
      </c>
      <c r="AC27" s="142" t="str">
        <f>IFERROR(__xludf.DUMMYFUNCTION("""COMPUTED_VALUE"""),"Santo Domingo")</f>
        <v>Santo Domingo</v>
      </c>
      <c r="AD27" s="142" t="str">
        <f>IFERROR(__xludf.DUMMYFUNCTION("""COMPUTED_VALUE"""),"Sigay")</f>
        <v>Sigay</v>
      </c>
      <c r="AE27" s="142" t="str">
        <f>IFERROR(__xludf.DUMMYFUNCTION("""COMPUTED_VALUE"""),"Sinait")</f>
        <v>Sinait</v>
      </c>
      <c r="AF27" s="142" t="str">
        <f>IFERROR(__xludf.DUMMYFUNCTION("""COMPUTED_VALUE"""),"Sugpon")</f>
        <v>Sugpon</v>
      </c>
      <c r="AG27" s="142" t="str">
        <f>IFERROR(__xludf.DUMMYFUNCTION("""COMPUTED_VALUE"""),"Suyo")</f>
        <v>Suyo</v>
      </c>
      <c r="AH27" s="142" t="str">
        <f>IFERROR(__xludf.DUMMYFUNCTION("""COMPUTED_VALUE"""),"Tagudin")</f>
        <v>Tagudin</v>
      </c>
      <c r="AI27" s="142" t="str">
        <f>IFERROR(__xludf.DUMMYFUNCTION("""COMPUTED_VALUE"""),"City of Vigan")</f>
        <v>City of Vigan</v>
      </c>
      <c r="AJ27" s="8"/>
      <c r="AK27" s="8"/>
      <c r="AL27" s="8"/>
      <c r="AM27" s="8"/>
      <c r="AN27" s="8"/>
      <c r="AO27" s="8"/>
      <c r="AP27" s="8"/>
      <c r="AQ27" s="8"/>
      <c r="AR27" s="8"/>
      <c r="AS27" s="8"/>
      <c r="AT27" s="8"/>
      <c r="AU27" s="8"/>
      <c r="AV27" s="8"/>
      <c r="AW27" s="8"/>
      <c r="AX27" s="8"/>
      <c r="AY27" s="8"/>
      <c r="AZ27" s="8"/>
      <c r="BA27" s="8"/>
      <c r="BB27" s="8"/>
      <c r="BC27" s="8"/>
      <c r="BD27" s="8"/>
      <c r="BE27" s="8"/>
    </row>
    <row r="28">
      <c r="A28" s="142" t="s">
        <v>438</v>
      </c>
      <c r="B28" s="142" t="str">
        <f>IFERROR(__xludf.DUMMYFUNCTION("""COMPUTED_VALUE"""),"Agoo")</f>
        <v>Agoo</v>
      </c>
      <c r="C28" s="142" t="str">
        <f>IFERROR(__xludf.DUMMYFUNCTION("""COMPUTED_VALUE"""),"Aringay")</f>
        <v>Aringay</v>
      </c>
      <c r="D28" s="142" t="str">
        <f>IFERROR(__xludf.DUMMYFUNCTION("""COMPUTED_VALUE"""),"Bacnotan")</f>
        <v>Bacnotan</v>
      </c>
      <c r="E28" s="142" t="str">
        <f>IFERROR(__xludf.DUMMYFUNCTION("""COMPUTED_VALUE"""),"Bagulin")</f>
        <v>Bagulin</v>
      </c>
      <c r="F28" s="142" t="str">
        <f>IFERROR(__xludf.DUMMYFUNCTION("""COMPUTED_VALUE"""),"Balaoan")</f>
        <v>Balaoan</v>
      </c>
      <c r="G28" s="142" t="str">
        <f>IFERROR(__xludf.DUMMYFUNCTION("""COMPUTED_VALUE"""),"Bangar")</f>
        <v>Bangar</v>
      </c>
      <c r="H28" s="142" t="str">
        <f>IFERROR(__xludf.DUMMYFUNCTION("""COMPUTED_VALUE"""),"Bauang")</f>
        <v>Bauang</v>
      </c>
      <c r="I28" s="142" t="str">
        <f>IFERROR(__xludf.DUMMYFUNCTION("""COMPUTED_VALUE"""),"Burgos")</f>
        <v>Burgos</v>
      </c>
      <c r="J28" s="142" t="str">
        <f>IFERROR(__xludf.DUMMYFUNCTION("""COMPUTED_VALUE"""),"Caba")</f>
        <v>Caba</v>
      </c>
      <c r="K28" s="142" t="str">
        <f>IFERROR(__xludf.DUMMYFUNCTION("""COMPUTED_VALUE"""),"Luna")</f>
        <v>Luna</v>
      </c>
      <c r="L28" s="142" t="str">
        <f>IFERROR(__xludf.DUMMYFUNCTION("""COMPUTED_VALUE"""),"Naguilian")</f>
        <v>Naguilian</v>
      </c>
      <c r="M28" s="142" t="str">
        <f>IFERROR(__xludf.DUMMYFUNCTION("""COMPUTED_VALUE"""),"Pugo")</f>
        <v>Pugo</v>
      </c>
      <c r="N28" s="142" t="str">
        <f>IFERROR(__xludf.DUMMYFUNCTION("""COMPUTED_VALUE"""),"Rosario")</f>
        <v>Rosario</v>
      </c>
      <c r="O28" s="142" t="str">
        <f>IFERROR(__xludf.DUMMYFUNCTION("""COMPUTED_VALUE"""),"City of San Fernando")</f>
        <v>City of San Fernando</v>
      </c>
      <c r="P28" s="142" t="str">
        <f>IFERROR(__xludf.DUMMYFUNCTION("""COMPUTED_VALUE"""),"San Gabriel")</f>
        <v>San Gabriel</v>
      </c>
      <c r="Q28" s="142" t="str">
        <f>IFERROR(__xludf.DUMMYFUNCTION("""COMPUTED_VALUE"""),"San Juan")</f>
        <v>San Juan</v>
      </c>
      <c r="R28" s="142" t="str">
        <f>IFERROR(__xludf.DUMMYFUNCTION("""COMPUTED_VALUE"""),"Santo Tomas")</f>
        <v>Santo Tomas</v>
      </c>
      <c r="S28" s="142" t="str">
        <f>IFERROR(__xludf.DUMMYFUNCTION("""COMPUTED_VALUE"""),"Santol")</f>
        <v>Santol</v>
      </c>
      <c r="T28" s="142" t="str">
        <f>IFERROR(__xludf.DUMMYFUNCTION("""COMPUTED_VALUE"""),"Sudipen")</f>
        <v>Sudipen</v>
      </c>
      <c r="U28" s="142" t="str">
        <f>IFERROR(__xludf.DUMMYFUNCTION("""COMPUTED_VALUE"""),"Tubao")</f>
        <v>Tubao</v>
      </c>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row>
    <row r="29">
      <c r="A29" s="142" t="s">
        <v>438</v>
      </c>
      <c r="B29" s="142" t="str">
        <f>IFERROR(__xludf.DUMMYFUNCTION("""COMPUTED_VALUE"""),"Agoo")</f>
        <v>Agoo</v>
      </c>
      <c r="C29" s="142" t="str">
        <f>IFERROR(__xludf.DUMMYFUNCTION("""COMPUTED_VALUE"""),"Aringay")</f>
        <v>Aringay</v>
      </c>
      <c r="D29" s="142" t="str">
        <f>IFERROR(__xludf.DUMMYFUNCTION("""COMPUTED_VALUE"""),"Bacnotan")</f>
        <v>Bacnotan</v>
      </c>
      <c r="E29" s="142" t="str">
        <f>IFERROR(__xludf.DUMMYFUNCTION("""COMPUTED_VALUE"""),"Bagulin")</f>
        <v>Bagulin</v>
      </c>
      <c r="F29" s="142" t="str">
        <f>IFERROR(__xludf.DUMMYFUNCTION("""COMPUTED_VALUE"""),"Balaoan")</f>
        <v>Balaoan</v>
      </c>
      <c r="G29" s="142" t="str">
        <f>IFERROR(__xludf.DUMMYFUNCTION("""COMPUTED_VALUE"""),"Bangar")</f>
        <v>Bangar</v>
      </c>
      <c r="H29" s="142" t="str">
        <f>IFERROR(__xludf.DUMMYFUNCTION("""COMPUTED_VALUE"""),"Bauang")</f>
        <v>Bauang</v>
      </c>
      <c r="I29" s="142" t="str">
        <f>IFERROR(__xludf.DUMMYFUNCTION("""COMPUTED_VALUE"""),"Burgos")</f>
        <v>Burgos</v>
      </c>
      <c r="J29" s="142" t="str">
        <f>IFERROR(__xludf.DUMMYFUNCTION("""COMPUTED_VALUE"""),"Caba")</f>
        <v>Caba</v>
      </c>
      <c r="K29" s="142" t="str">
        <f>IFERROR(__xludf.DUMMYFUNCTION("""COMPUTED_VALUE"""),"Luna")</f>
        <v>Luna</v>
      </c>
      <c r="L29" s="142" t="str">
        <f>IFERROR(__xludf.DUMMYFUNCTION("""COMPUTED_VALUE"""),"Naguilian")</f>
        <v>Naguilian</v>
      </c>
      <c r="M29" s="142" t="str">
        <f>IFERROR(__xludf.DUMMYFUNCTION("""COMPUTED_VALUE"""),"Pugo")</f>
        <v>Pugo</v>
      </c>
      <c r="N29" s="142" t="str">
        <f>IFERROR(__xludf.DUMMYFUNCTION("""COMPUTED_VALUE"""),"Rosario")</f>
        <v>Rosario</v>
      </c>
      <c r="O29" s="142" t="str">
        <f>IFERROR(__xludf.DUMMYFUNCTION("""COMPUTED_VALUE"""),"City of San Fernando")</f>
        <v>City of San Fernando</v>
      </c>
      <c r="P29" s="142" t="str">
        <f>IFERROR(__xludf.DUMMYFUNCTION("""COMPUTED_VALUE"""),"San Gabriel")</f>
        <v>San Gabriel</v>
      </c>
      <c r="Q29" s="142" t="str">
        <f>IFERROR(__xludf.DUMMYFUNCTION("""COMPUTED_VALUE"""),"San Juan")</f>
        <v>San Juan</v>
      </c>
      <c r="R29" s="142" t="str">
        <f>IFERROR(__xludf.DUMMYFUNCTION("""COMPUTED_VALUE"""),"Santo Tomas")</f>
        <v>Santo Tomas</v>
      </c>
      <c r="S29" s="142" t="str">
        <f>IFERROR(__xludf.DUMMYFUNCTION("""COMPUTED_VALUE"""),"Santol")</f>
        <v>Santol</v>
      </c>
      <c r="T29" s="142" t="str">
        <f>IFERROR(__xludf.DUMMYFUNCTION("""COMPUTED_VALUE"""),"Sudipen")</f>
        <v>Sudipen</v>
      </c>
      <c r="U29" s="142" t="str">
        <f>IFERROR(__xludf.DUMMYFUNCTION("""COMPUTED_VALUE"""),"Tubao")</f>
        <v>Tubao</v>
      </c>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row>
    <row r="30">
      <c r="A30" s="142" t="s">
        <v>438</v>
      </c>
      <c r="B30" s="142" t="str">
        <f>IFERROR(__xludf.DUMMYFUNCTION("""COMPUTED_VALUE"""),"Agoo")</f>
        <v>Agoo</v>
      </c>
      <c r="C30" s="142" t="str">
        <f>IFERROR(__xludf.DUMMYFUNCTION("""COMPUTED_VALUE"""),"Aringay")</f>
        <v>Aringay</v>
      </c>
      <c r="D30" s="142" t="str">
        <f>IFERROR(__xludf.DUMMYFUNCTION("""COMPUTED_VALUE"""),"Bacnotan")</f>
        <v>Bacnotan</v>
      </c>
      <c r="E30" s="142" t="str">
        <f>IFERROR(__xludf.DUMMYFUNCTION("""COMPUTED_VALUE"""),"Bagulin")</f>
        <v>Bagulin</v>
      </c>
      <c r="F30" s="142" t="str">
        <f>IFERROR(__xludf.DUMMYFUNCTION("""COMPUTED_VALUE"""),"Balaoan")</f>
        <v>Balaoan</v>
      </c>
      <c r="G30" s="142" t="str">
        <f>IFERROR(__xludf.DUMMYFUNCTION("""COMPUTED_VALUE"""),"Bangar")</f>
        <v>Bangar</v>
      </c>
      <c r="H30" s="142" t="str">
        <f>IFERROR(__xludf.DUMMYFUNCTION("""COMPUTED_VALUE"""),"Bauang")</f>
        <v>Bauang</v>
      </c>
      <c r="I30" s="142" t="str">
        <f>IFERROR(__xludf.DUMMYFUNCTION("""COMPUTED_VALUE"""),"Burgos")</f>
        <v>Burgos</v>
      </c>
      <c r="J30" s="142" t="str">
        <f>IFERROR(__xludf.DUMMYFUNCTION("""COMPUTED_VALUE"""),"Caba")</f>
        <v>Caba</v>
      </c>
      <c r="K30" s="142" t="str">
        <f>IFERROR(__xludf.DUMMYFUNCTION("""COMPUTED_VALUE"""),"Luna")</f>
        <v>Luna</v>
      </c>
      <c r="L30" s="142" t="str">
        <f>IFERROR(__xludf.DUMMYFUNCTION("""COMPUTED_VALUE"""),"Naguilian")</f>
        <v>Naguilian</v>
      </c>
      <c r="M30" s="142" t="str">
        <f>IFERROR(__xludf.DUMMYFUNCTION("""COMPUTED_VALUE"""),"Pugo")</f>
        <v>Pugo</v>
      </c>
      <c r="N30" s="142" t="str">
        <f>IFERROR(__xludf.DUMMYFUNCTION("""COMPUTED_VALUE"""),"Rosario")</f>
        <v>Rosario</v>
      </c>
      <c r="O30" s="142" t="str">
        <f>IFERROR(__xludf.DUMMYFUNCTION("""COMPUTED_VALUE"""),"City of San Fernando")</f>
        <v>City of San Fernando</v>
      </c>
      <c r="P30" s="142" t="str">
        <f>IFERROR(__xludf.DUMMYFUNCTION("""COMPUTED_VALUE"""),"San Gabriel")</f>
        <v>San Gabriel</v>
      </c>
      <c r="Q30" s="142" t="str">
        <f>IFERROR(__xludf.DUMMYFUNCTION("""COMPUTED_VALUE"""),"San Juan")</f>
        <v>San Juan</v>
      </c>
      <c r="R30" s="142" t="str">
        <f>IFERROR(__xludf.DUMMYFUNCTION("""COMPUTED_VALUE"""),"Santo Tomas")</f>
        <v>Santo Tomas</v>
      </c>
      <c r="S30" s="142" t="str">
        <f>IFERROR(__xludf.DUMMYFUNCTION("""COMPUTED_VALUE"""),"Santol")</f>
        <v>Santol</v>
      </c>
      <c r="T30" s="142" t="str">
        <f>IFERROR(__xludf.DUMMYFUNCTION("""COMPUTED_VALUE"""),"Sudipen")</f>
        <v>Sudipen</v>
      </c>
      <c r="U30" s="142" t="str">
        <f>IFERROR(__xludf.DUMMYFUNCTION("""COMPUTED_VALUE"""),"Tubao")</f>
        <v>Tubao</v>
      </c>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row>
    <row r="31">
      <c r="A31" s="142" t="s">
        <v>144</v>
      </c>
      <c r="B31" s="142" t="str">
        <f>IFERROR(__xludf.DUMMYFUNCTION("""COMPUTED_VALUE"""),"Agno")</f>
        <v>Agno</v>
      </c>
      <c r="C31" s="142" t="str">
        <f>IFERROR(__xludf.DUMMYFUNCTION("""COMPUTED_VALUE"""),"Aguilar")</f>
        <v>Aguilar</v>
      </c>
      <c r="D31" s="142" t="str">
        <f>IFERROR(__xludf.DUMMYFUNCTION("""COMPUTED_VALUE"""),"City of Alaminos")</f>
        <v>City of Alaminos</v>
      </c>
      <c r="E31" s="142" t="str">
        <f>IFERROR(__xludf.DUMMYFUNCTION("""COMPUTED_VALUE"""),"Alcala")</f>
        <v>Alcala</v>
      </c>
      <c r="F31" s="142" t="str">
        <f>IFERROR(__xludf.DUMMYFUNCTION("""COMPUTED_VALUE"""),"Anda")</f>
        <v>Anda</v>
      </c>
      <c r="G31" s="142" t="str">
        <f>IFERROR(__xludf.DUMMYFUNCTION("""COMPUTED_VALUE"""),"Asingan")</f>
        <v>Asingan</v>
      </c>
      <c r="H31" s="142" t="str">
        <f>IFERROR(__xludf.DUMMYFUNCTION("""COMPUTED_VALUE"""),"Balungao")</f>
        <v>Balungao</v>
      </c>
      <c r="I31" s="142" t="str">
        <f>IFERROR(__xludf.DUMMYFUNCTION("""COMPUTED_VALUE"""),"Bani")</f>
        <v>Bani</v>
      </c>
      <c r="J31" s="142" t="str">
        <f>IFERROR(__xludf.DUMMYFUNCTION("""COMPUTED_VALUE"""),"Basista")</f>
        <v>Basista</v>
      </c>
      <c r="K31" s="142" t="str">
        <f>IFERROR(__xludf.DUMMYFUNCTION("""COMPUTED_VALUE"""),"Bautista")</f>
        <v>Bautista</v>
      </c>
      <c r="L31" s="142" t="str">
        <f>IFERROR(__xludf.DUMMYFUNCTION("""COMPUTED_VALUE"""),"Bayambang")</f>
        <v>Bayambang</v>
      </c>
      <c r="M31" s="142" t="str">
        <f>IFERROR(__xludf.DUMMYFUNCTION("""COMPUTED_VALUE"""),"Binalonan")</f>
        <v>Binalonan</v>
      </c>
      <c r="N31" s="142" t="str">
        <f>IFERROR(__xludf.DUMMYFUNCTION("""COMPUTED_VALUE"""),"Binmaley")</f>
        <v>Binmaley</v>
      </c>
      <c r="O31" s="142" t="str">
        <f>IFERROR(__xludf.DUMMYFUNCTION("""COMPUTED_VALUE"""),"Bolinao")</f>
        <v>Bolinao</v>
      </c>
      <c r="P31" s="142" t="str">
        <f>IFERROR(__xludf.DUMMYFUNCTION("""COMPUTED_VALUE"""),"Bugallon")</f>
        <v>Bugallon</v>
      </c>
      <c r="Q31" s="142" t="str">
        <f>IFERROR(__xludf.DUMMYFUNCTION("""COMPUTED_VALUE"""),"Burgos")</f>
        <v>Burgos</v>
      </c>
      <c r="R31" s="142" t="str">
        <f>IFERROR(__xludf.DUMMYFUNCTION("""COMPUTED_VALUE"""),"Calasiao")</f>
        <v>Calasiao</v>
      </c>
      <c r="S31" s="142" t="str">
        <f>IFERROR(__xludf.DUMMYFUNCTION("""COMPUTED_VALUE"""),"City of Dagupan")</f>
        <v>City of Dagupan</v>
      </c>
      <c r="T31" s="142" t="str">
        <f>IFERROR(__xludf.DUMMYFUNCTION("""COMPUTED_VALUE"""),"Dasol")</f>
        <v>Dasol</v>
      </c>
      <c r="U31" s="142" t="str">
        <f>IFERROR(__xludf.DUMMYFUNCTION("""COMPUTED_VALUE"""),"Infanta")</f>
        <v>Infanta</v>
      </c>
      <c r="V31" s="142" t="str">
        <f>IFERROR(__xludf.DUMMYFUNCTION("""COMPUTED_VALUE"""),"Labrador")</f>
        <v>Labrador</v>
      </c>
      <c r="W31" s="142" t="str">
        <f>IFERROR(__xludf.DUMMYFUNCTION("""COMPUTED_VALUE"""),"Lingayen")</f>
        <v>Lingayen</v>
      </c>
      <c r="X31" s="142" t="str">
        <f>IFERROR(__xludf.DUMMYFUNCTION("""COMPUTED_VALUE"""),"Mabini")</f>
        <v>Mabini</v>
      </c>
      <c r="Y31" s="142" t="str">
        <f>IFERROR(__xludf.DUMMYFUNCTION("""COMPUTED_VALUE"""),"Malasiqui")</f>
        <v>Malasiqui</v>
      </c>
      <c r="Z31" s="142" t="str">
        <f>IFERROR(__xludf.DUMMYFUNCTION("""COMPUTED_VALUE"""),"Manaoag")</f>
        <v>Manaoag</v>
      </c>
      <c r="AA31" s="142" t="str">
        <f>IFERROR(__xludf.DUMMYFUNCTION("""COMPUTED_VALUE"""),"Mangaldan")</f>
        <v>Mangaldan</v>
      </c>
      <c r="AB31" s="142" t="str">
        <f>IFERROR(__xludf.DUMMYFUNCTION("""COMPUTED_VALUE"""),"Mangatarem")</f>
        <v>Mangatarem</v>
      </c>
      <c r="AC31" s="142" t="str">
        <f>IFERROR(__xludf.DUMMYFUNCTION("""COMPUTED_VALUE"""),"Mapandan")</f>
        <v>Mapandan</v>
      </c>
      <c r="AD31" s="142" t="str">
        <f>IFERROR(__xludf.DUMMYFUNCTION("""COMPUTED_VALUE"""),"Natividad")</f>
        <v>Natividad</v>
      </c>
      <c r="AE31" s="142" t="str">
        <f>IFERROR(__xludf.DUMMYFUNCTION("""COMPUTED_VALUE"""),"Pozorrubio")</f>
        <v>Pozorrubio</v>
      </c>
      <c r="AF31" s="142" t="str">
        <f>IFERROR(__xludf.DUMMYFUNCTION("""COMPUTED_VALUE"""),"Rosales")</f>
        <v>Rosales</v>
      </c>
      <c r="AG31" s="142" t="str">
        <f>IFERROR(__xludf.DUMMYFUNCTION("""COMPUTED_VALUE"""),"City of San Carlos")</f>
        <v>City of San Carlos</v>
      </c>
      <c r="AH31" s="142" t="str">
        <f>IFERROR(__xludf.DUMMYFUNCTION("""COMPUTED_VALUE"""),"San Fabian")</f>
        <v>San Fabian</v>
      </c>
      <c r="AI31" s="142" t="str">
        <f>IFERROR(__xludf.DUMMYFUNCTION("""COMPUTED_VALUE"""),"San Jacinto")</f>
        <v>San Jacinto</v>
      </c>
      <c r="AJ31" s="142" t="str">
        <f>IFERROR(__xludf.DUMMYFUNCTION("""COMPUTED_VALUE"""),"San Manuel")</f>
        <v>San Manuel</v>
      </c>
      <c r="AK31" s="142" t="str">
        <f>IFERROR(__xludf.DUMMYFUNCTION("""COMPUTED_VALUE"""),"San Nicolas")</f>
        <v>San Nicolas</v>
      </c>
      <c r="AL31" s="142" t="str">
        <f>IFERROR(__xludf.DUMMYFUNCTION("""COMPUTED_VALUE"""),"San Quintin")</f>
        <v>San Quintin</v>
      </c>
      <c r="AM31" s="142" t="str">
        <f>IFERROR(__xludf.DUMMYFUNCTION("""COMPUTED_VALUE"""),"Santa Barbara")</f>
        <v>Santa Barbara</v>
      </c>
      <c r="AN31" s="142" t="str">
        <f>IFERROR(__xludf.DUMMYFUNCTION("""COMPUTED_VALUE"""),"Santa Maria")</f>
        <v>Santa Maria</v>
      </c>
      <c r="AO31" s="142" t="str">
        <f>IFERROR(__xludf.DUMMYFUNCTION("""COMPUTED_VALUE"""),"Santo Tomas")</f>
        <v>Santo Tomas</v>
      </c>
      <c r="AP31" s="142" t="str">
        <f>IFERROR(__xludf.DUMMYFUNCTION("""COMPUTED_VALUE"""),"Sison")</f>
        <v>Sison</v>
      </c>
      <c r="AQ31" s="142" t="str">
        <f>IFERROR(__xludf.DUMMYFUNCTION("""COMPUTED_VALUE"""),"Sual")</f>
        <v>Sual</v>
      </c>
      <c r="AR31" s="142" t="str">
        <f>IFERROR(__xludf.DUMMYFUNCTION("""COMPUTED_VALUE"""),"Tayug")</f>
        <v>Tayug</v>
      </c>
      <c r="AS31" s="142" t="str">
        <f>IFERROR(__xludf.DUMMYFUNCTION("""COMPUTED_VALUE"""),"Umingan")</f>
        <v>Umingan</v>
      </c>
      <c r="AT31" s="142" t="str">
        <f>IFERROR(__xludf.DUMMYFUNCTION("""COMPUTED_VALUE"""),"Urbiztondo")</f>
        <v>Urbiztondo</v>
      </c>
      <c r="AU31" s="142" t="str">
        <f>IFERROR(__xludf.DUMMYFUNCTION("""COMPUTED_VALUE"""),"City of Urdaneta")</f>
        <v>City of Urdaneta</v>
      </c>
      <c r="AV31" s="142" t="str">
        <f>IFERROR(__xludf.DUMMYFUNCTION("""COMPUTED_VALUE"""),"Villasis")</f>
        <v>Villasis</v>
      </c>
      <c r="AW31" s="142" t="str">
        <f>IFERROR(__xludf.DUMMYFUNCTION("""COMPUTED_VALUE"""),"Laoac")</f>
        <v>Laoac</v>
      </c>
      <c r="AX31" s="8"/>
      <c r="AY31" s="8"/>
      <c r="AZ31" s="8"/>
      <c r="BA31" s="8"/>
      <c r="BB31" s="8"/>
      <c r="BC31" s="8"/>
      <c r="BD31" s="8"/>
      <c r="BE31" s="8"/>
    </row>
    <row r="32">
      <c r="A32" s="142" t="s">
        <v>144</v>
      </c>
      <c r="B32" s="142" t="str">
        <f>IFERROR(__xludf.DUMMYFUNCTION("""COMPUTED_VALUE"""),"Agno")</f>
        <v>Agno</v>
      </c>
      <c r="C32" s="142" t="str">
        <f>IFERROR(__xludf.DUMMYFUNCTION("""COMPUTED_VALUE"""),"Aguilar")</f>
        <v>Aguilar</v>
      </c>
      <c r="D32" s="142" t="str">
        <f>IFERROR(__xludf.DUMMYFUNCTION("""COMPUTED_VALUE"""),"City of Alaminos")</f>
        <v>City of Alaminos</v>
      </c>
      <c r="E32" s="142" t="str">
        <f>IFERROR(__xludf.DUMMYFUNCTION("""COMPUTED_VALUE"""),"Alcala")</f>
        <v>Alcala</v>
      </c>
      <c r="F32" s="142" t="str">
        <f>IFERROR(__xludf.DUMMYFUNCTION("""COMPUTED_VALUE"""),"Anda")</f>
        <v>Anda</v>
      </c>
      <c r="G32" s="142" t="str">
        <f>IFERROR(__xludf.DUMMYFUNCTION("""COMPUTED_VALUE"""),"Asingan")</f>
        <v>Asingan</v>
      </c>
      <c r="H32" s="142" t="str">
        <f>IFERROR(__xludf.DUMMYFUNCTION("""COMPUTED_VALUE"""),"Balungao")</f>
        <v>Balungao</v>
      </c>
      <c r="I32" s="142" t="str">
        <f>IFERROR(__xludf.DUMMYFUNCTION("""COMPUTED_VALUE"""),"Bani")</f>
        <v>Bani</v>
      </c>
      <c r="J32" s="142" t="str">
        <f>IFERROR(__xludf.DUMMYFUNCTION("""COMPUTED_VALUE"""),"Basista")</f>
        <v>Basista</v>
      </c>
      <c r="K32" s="142" t="str">
        <f>IFERROR(__xludf.DUMMYFUNCTION("""COMPUTED_VALUE"""),"Bautista")</f>
        <v>Bautista</v>
      </c>
      <c r="L32" s="142" t="str">
        <f>IFERROR(__xludf.DUMMYFUNCTION("""COMPUTED_VALUE"""),"Bayambang")</f>
        <v>Bayambang</v>
      </c>
      <c r="M32" s="142" t="str">
        <f>IFERROR(__xludf.DUMMYFUNCTION("""COMPUTED_VALUE"""),"Binalonan")</f>
        <v>Binalonan</v>
      </c>
      <c r="N32" s="142" t="str">
        <f>IFERROR(__xludf.DUMMYFUNCTION("""COMPUTED_VALUE"""),"Binmaley")</f>
        <v>Binmaley</v>
      </c>
      <c r="O32" s="142" t="str">
        <f>IFERROR(__xludf.DUMMYFUNCTION("""COMPUTED_VALUE"""),"Bolinao")</f>
        <v>Bolinao</v>
      </c>
      <c r="P32" s="142" t="str">
        <f>IFERROR(__xludf.DUMMYFUNCTION("""COMPUTED_VALUE"""),"Bugallon")</f>
        <v>Bugallon</v>
      </c>
      <c r="Q32" s="142" t="str">
        <f>IFERROR(__xludf.DUMMYFUNCTION("""COMPUTED_VALUE"""),"Burgos")</f>
        <v>Burgos</v>
      </c>
      <c r="R32" s="142" t="str">
        <f>IFERROR(__xludf.DUMMYFUNCTION("""COMPUTED_VALUE"""),"Calasiao")</f>
        <v>Calasiao</v>
      </c>
      <c r="S32" s="142" t="str">
        <f>IFERROR(__xludf.DUMMYFUNCTION("""COMPUTED_VALUE"""),"City of Dagupan")</f>
        <v>City of Dagupan</v>
      </c>
      <c r="T32" s="142" t="str">
        <f>IFERROR(__xludf.DUMMYFUNCTION("""COMPUTED_VALUE"""),"Dasol")</f>
        <v>Dasol</v>
      </c>
      <c r="U32" s="142" t="str">
        <f>IFERROR(__xludf.DUMMYFUNCTION("""COMPUTED_VALUE"""),"Infanta")</f>
        <v>Infanta</v>
      </c>
      <c r="V32" s="142" t="str">
        <f>IFERROR(__xludf.DUMMYFUNCTION("""COMPUTED_VALUE"""),"Labrador")</f>
        <v>Labrador</v>
      </c>
      <c r="W32" s="142" t="str">
        <f>IFERROR(__xludf.DUMMYFUNCTION("""COMPUTED_VALUE"""),"Lingayen")</f>
        <v>Lingayen</v>
      </c>
      <c r="X32" s="142" t="str">
        <f>IFERROR(__xludf.DUMMYFUNCTION("""COMPUTED_VALUE"""),"Mabini")</f>
        <v>Mabini</v>
      </c>
      <c r="Y32" s="142" t="str">
        <f>IFERROR(__xludf.DUMMYFUNCTION("""COMPUTED_VALUE"""),"Malasiqui")</f>
        <v>Malasiqui</v>
      </c>
      <c r="Z32" s="142" t="str">
        <f>IFERROR(__xludf.DUMMYFUNCTION("""COMPUTED_VALUE"""),"Manaoag")</f>
        <v>Manaoag</v>
      </c>
      <c r="AA32" s="142" t="str">
        <f>IFERROR(__xludf.DUMMYFUNCTION("""COMPUTED_VALUE"""),"Mangaldan")</f>
        <v>Mangaldan</v>
      </c>
      <c r="AB32" s="142" t="str">
        <f>IFERROR(__xludf.DUMMYFUNCTION("""COMPUTED_VALUE"""),"Mangatarem")</f>
        <v>Mangatarem</v>
      </c>
      <c r="AC32" s="142" t="str">
        <f>IFERROR(__xludf.DUMMYFUNCTION("""COMPUTED_VALUE"""),"Mapandan")</f>
        <v>Mapandan</v>
      </c>
      <c r="AD32" s="142" t="str">
        <f>IFERROR(__xludf.DUMMYFUNCTION("""COMPUTED_VALUE"""),"Natividad")</f>
        <v>Natividad</v>
      </c>
      <c r="AE32" s="142" t="str">
        <f>IFERROR(__xludf.DUMMYFUNCTION("""COMPUTED_VALUE"""),"Pozorrubio")</f>
        <v>Pozorrubio</v>
      </c>
      <c r="AF32" s="142" t="str">
        <f>IFERROR(__xludf.DUMMYFUNCTION("""COMPUTED_VALUE"""),"Rosales")</f>
        <v>Rosales</v>
      </c>
      <c r="AG32" s="142" t="str">
        <f>IFERROR(__xludf.DUMMYFUNCTION("""COMPUTED_VALUE"""),"City of San Carlos")</f>
        <v>City of San Carlos</v>
      </c>
      <c r="AH32" s="142" t="str">
        <f>IFERROR(__xludf.DUMMYFUNCTION("""COMPUTED_VALUE"""),"San Fabian")</f>
        <v>San Fabian</v>
      </c>
      <c r="AI32" s="142" t="str">
        <f>IFERROR(__xludf.DUMMYFUNCTION("""COMPUTED_VALUE"""),"San Jacinto")</f>
        <v>San Jacinto</v>
      </c>
      <c r="AJ32" s="142" t="str">
        <f>IFERROR(__xludf.DUMMYFUNCTION("""COMPUTED_VALUE"""),"San Manuel")</f>
        <v>San Manuel</v>
      </c>
      <c r="AK32" s="142" t="str">
        <f>IFERROR(__xludf.DUMMYFUNCTION("""COMPUTED_VALUE"""),"San Nicolas")</f>
        <v>San Nicolas</v>
      </c>
      <c r="AL32" s="142" t="str">
        <f>IFERROR(__xludf.DUMMYFUNCTION("""COMPUTED_VALUE"""),"San Quintin")</f>
        <v>San Quintin</v>
      </c>
      <c r="AM32" s="142" t="str">
        <f>IFERROR(__xludf.DUMMYFUNCTION("""COMPUTED_VALUE"""),"Santa Barbara")</f>
        <v>Santa Barbara</v>
      </c>
      <c r="AN32" s="142" t="str">
        <f>IFERROR(__xludf.DUMMYFUNCTION("""COMPUTED_VALUE"""),"Santa Maria")</f>
        <v>Santa Maria</v>
      </c>
      <c r="AO32" s="142" t="str">
        <f>IFERROR(__xludf.DUMMYFUNCTION("""COMPUTED_VALUE"""),"Santo Tomas")</f>
        <v>Santo Tomas</v>
      </c>
      <c r="AP32" s="142" t="str">
        <f>IFERROR(__xludf.DUMMYFUNCTION("""COMPUTED_VALUE"""),"Sison")</f>
        <v>Sison</v>
      </c>
      <c r="AQ32" s="142" t="str">
        <f>IFERROR(__xludf.DUMMYFUNCTION("""COMPUTED_VALUE"""),"Sual")</f>
        <v>Sual</v>
      </c>
      <c r="AR32" s="142" t="str">
        <f>IFERROR(__xludf.DUMMYFUNCTION("""COMPUTED_VALUE"""),"Tayug")</f>
        <v>Tayug</v>
      </c>
      <c r="AS32" s="142" t="str">
        <f>IFERROR(__xludf.DUMMYFUNCTION("""COMPUTED_VALUE"""),"Umingan")</f>
        <v>Umingan</v>
      </c>
      <c r="AT32" s="142" t="str">
        <f>IFERROR(__xludf.DUMMYFUNCTION("""COMPUTED_VALUE"""),"Urbiztondo")</f>
        <v>Urbiztondo</v>
      </c>
      <c r="AU32" s="142" t="str">
        <f>IFERROR(__xludf.DUMMYFUNCTION("""COMPUTED_VALUE"""),"City of Urdaneta")</f>
        <v>City of Urdaneta</v>
      </c>
      <c r="AV32" s="142" t="str">
        <f>IFERROR(__xludf.DUMMYFUNCTION("""COMPUTED_VALUE"""),"Villasis")</f>
        <v>Villasis</v>
      </c>
      <c r="AW32" s="142" t="str">
        <f>IFERROR(__xludf.DUMMYFUNCTION("""COMPUTED_VALUE"""),"Laoac")</f>
        <v>Laoac</v>
      </c>
      <c r="AX32" s="8"/>
      <c r="AY32" s="8"/>
      <c r="AZ32" s="8"/>
      <c r="BA32" s="8"/>
      <c r="BB32" s="8"/>
      <c r="BC32" s="8"/>
      <c r="BD32" s="8"/>
      <c r="BE32" s="8"/>
    </row>
    <row r="33">
      <c r="A33" s="142" t="s">
        <v>144</v>
      </c>
      <c r="B33" s="142" t="str">
        <f>IFERROR(__xludf.DUMMYFUNCTION("""COMPUTED_VALUE"""),"Agno")</f>
        <v>Agno</v>
      </c>
      <c r="C33" s="142" t="str">
        <f>IFERROR(__xludf.DUMMYFUNCTION("""COMPUTED_VALUE"""),"Aguilar")</f>
        <v>Aguilar</v>
      </c>
      <c r="D33" s="142" t="str">
        <f>IFERROR(__xludf.DUMMYFUNCTION("""COMPUTED_VALUE"""),"City of Alaminos")</f>
        <v>City of Alaminos</v>
      </c>
      <c r="E33" s="142" t="str">
        <f>IFERROR(__xludf.DUMMYFUNCTION("""COMPUTED_VALUE"""),"Alcala")</f>
        <v>Alcala</v>
      </c>
      <c r="F33" s="142" t="str">
        <f>IFERROR(__xludf.DUMMYFUNCTION("""COMPUTED_VALUE"""),"Anda")</f>
        <v>Anda</v>
      </c>
      <c r="G33" s="142" t="str">
        <f>IFERROR(__xludf.DUMMYFUNCTION("""COMPUTED_VALUE"""),"Asingan")</f>
        <v>Asingan</v>
      </c>
      <c r="H33" s="142" t="str">
        <f>IFERROR(__xludf.DUMMYFUNCTION("""COMPUTED_VALUE"""),"Balungao")</f>
        <v>Balungao</v>
      </c>
      <c r="I33" s="142" t="str">
        <f>IFERROR(__xludf.DUMMYFUNCTION("""COMPUTED_VALUE"""),"Bani")</f>
        <v>Bani</v>
      </c>
      <c r="J33" s="142" t="str">
        <f>IFERROR(__xludf.DUMMYFUNCTION("""COMPUTED_VALUE"""),"Basista")</f>
        <v>Basista</v>
      </c>
      <c r="K33" s="142" t="str">
        <f>IFERROR(__xludf.DUMMYFUNCTION("""COMPUTED_VALUE"""),"Bautista")</f>
        <v>Bautista</v>
      </c>
      <c r="L33" s="142" t="str">
        <f>IFERROR(__xludf.DUMMYFUNCTION("""COMPUTED_VALUE"""),"Bayambang")</f>
        <v>Bayambang</v>
      </c>
      <c r="M33" s="142" t="str">
        <f>IFERROR(__xludf.DUMMYFUNCTION("""COMPUTED_VALUE"""),"Binalonan")</f>
        <v>Binalonan</v>
      </c>
      <c r="N33" s="142" t="str">
        <f>IFERROR(__xludf.DUMMYFUNCTION("""COMPUTED_VALUE"""),"Binmaley")</f>
        <v>Binmaley</v>
      </c>
      <c r="O33" s="142" t="str">
        <f>IFERROR(__xludf.DUMMYFUNCTION("""COMPUTED_VALUE"""),"Bolinao")</f>
        <v>Bolinao</v>
      </c>
      <c r="P33" s="142" t="str">
        <f>IFERROR(__xludf.DUMMYFUNCTION("""COMPUTED_VALUE"""),"Bugallon")</f>
        <v>Bugallon</v>
      </c>
      <c r="Q33" s="142" t="str">
        <f>IFERROR(__xludf.DUMMYFUNCTION("""COMPUTED_VALUE"""),"Burgos")</f>
        <v>Burgos</v>
      </c>
      <c r="R33" s="142" t="str">
        <f>IFERROR(__xludf.DUMMYFUNCTION("""COMPUTED_VALUE"""),"Calasiao")</f>
        <v>Calasiao</v>
      </c>
      <c r="S33" s="142" t="str">
        <f>IFERROR(__xludf.DUMMYFUNCTION("""COMPUTED_VALUE"""),"City of Dagupan")</f>
        <v>City of Dagupan</v>
      </c>
      <c r="T33" s="142" t="str">
        <f>IFERROR(__xludf.DUMMYFUNCTION("""COMPUTED_VALUE"""),"Dasol")</f>
        <v>Dasol</v>
      </c>
      <c r="U33" s="142" t="str">
        <f>IFERROR(__xludf.DUMMYFUNCTION("""COMPUTED_VALUE"""),"Infanta")</f>
        <v>Infanta</v>
      </c>
      <c r="V33" s="142" t="str">
        <f>IFERROR(__xludf.DUMMYFUNCTION("""COMPUTED_VALUE"""),"Labrador")</f>
        <v>Labrador</v>
      </c>
      <c r="W33" s="142" t="str">
        <f>IFERROR(__xludf.DUMMYFUNCTION("""COMPUTED_VALUE"""),"Lingayen")</f>
        <v>Lingayen</v>
      </c>
      <c r="X33" s="142" t="str">
        <f>IFERROR(__xludf.DUMMYFUNCTION("""COMPUTED_VALUE"""),"Mabini")</f>
        <v>Mabini</v>
      </c>
      <c r="Y33" s="142" t="str">
        <f>IFERROR(__xludf.DUMMYFUNCTION("""COMPUTED_VALUE"""),"Malasiqui")</f>
        <v>Malasiqui</v>
      </c>
      <c r="Z33" s="142" t="str">
        <f>IFERROR(__xludf.DUMMYFUNCTION("""COMPUTED_VALUE"""),"Manaoag")</f>
        <v>Manaoag</v>
      </c>
      <c r="AA33" s="142" t="str">
        <f>IFERROR(__xludf.DUMMYFUNCTION("""COMPUTED_VALUE"""),"Mangaldan")</f>
        <v>Mangaldan</v>
      </c>
      <c r="AB33" s="142" t="str">
        <f>IFERROR(__xludf.DUMMYFUNCTION("""COMPUTED_VALUE"""),"Mangatarem")</f>
        <v>Mangatarem</v>
      </c>
      <c r="AC33" s="142" t="str">
        <f>IFERROR(__xludf.DUMMYFUNCTION("""COMPUTED_VALUE"""),"Mapandan")</f>
        <v>Mapandan</v>
      </c>
      <c r="AD33" s="142" t="str">
        <f>IFERROR(__xludf.DUMMYFUNCTION("""COMPUTED_VALUE"""),"Natividad")</f>
        <v>Natividad</v>
      </c>
      <c r="AE33" s="142" t="str">
        <f>IFERROR(__xludf.DUMMYFUNCTION("""COMPUTED_VALUE"""),"Pozorrubio")</f>
        <v>Pozorrubio</v>
      </c>
      <c r="AF33" s="142" t="str">
        <f>IFERROR(__xludf.DUMMYFUNCTION("""COMPUTED_VALUE"""),"Rosales")</f>
        <v>Rosales</v>
      </c>
      <c r="AG33" s="142" t="str">
        <f>IFERROR(__xludf.DUMMYFUNCTION("""COMPUTED_VALUE"""),"City of San Carlos")</f>
        <v>City of San Carlos</v>
      </c>
      <c r="AH33" s="142" t="str">
        <f>IFERROR(__xludf.DUMMYFUNCTION("""COMPUTED_VALUE"""),"San Fabian")</f>
        <v>San Fabian</v>
      </c>
      <c r="AI33" s="142" t="str">
        <f>IFERROR(__xludf.DUMMYFUNCTION("""COMPUTED_VALUE"""),"San Jacinto")</f>
        <v>San Jacinto</v>
      </c>
      <c r="AJ33" s="142" t="str">
        <f>IFERROR(__xludf.DUMMYFUNCTION("""COMPUTED_VALUE"""),"San Manuel")</f>
        <v>San Manuel</v>
      </c>
      <c r="AK33" s="142" t="str">
        <f>IFERROR(__xludf.DUMMYFUNCTION("""COMPUTED_VALUE"""),"San Nicolas")</f>
        <v>San Nicolas</v>
      </c>
      <c r="AL33" s="142" t="str">
        <f>IFERROR(__xludf.DUMMYFUNCTION("""COMPUTED_VALUE"""),"San Quintin")</f>
        <v>San Quintin</v>
      </c>
      <c r="AM33" s="142" t="str">
        <f>IFERROR(__xludf.DUMMYFUNCTION("""COMPUTED_VALUE"""),"Santa Barbara")</f>
        <v>Santa Barbara</v>
      </c>
      <c r="AN33" s="142" t="str">
        <f>IFERROR(__xludf.DUMMYFUNCTION("""COMPUTED_VALUE"""),"Santa Maria")</f>
        <v>Santa Maria</v>
      </c>
      <c r="AO33" s="142" t="str">
        <f>IFERROR(__xludf.DUMMYFUNCTION("""COMPUTED_VALUE"""),"Santo Tomas")</f>
        <v>Santo Tomas</v>
      </c>
      <c r="AP33" s="142" t="str">
        <f>IFERROR(__xludf.DUMMYFUNCTION("""COMPUTED_VALUE"""),"Sison")</f>
        <v>Sison</v>
      </c>
      <c r="AQ33" s="142" t="str">
        <f>IFERROR(__xludf.DUMMYFUNCTION("""COMPUTED_VALUE"""),"Sual")</f>
        <v>Sual</v>
      </c>
      <c r="AR33" s="142" t="str">
        <f>IFERROR(__xludf.DUMMYFUNCTION("""COMPUTED_VALUE"""),"Tayug")</f>
        <v>Tayug</v>
      </c>
      <c r="AS33" s="142" t="str">
        <f>IFERROR(__xludf.DUMMYFUNCTION("""COMPUTED_VALUE"""),"Umingan")</f>
        <v>Umingan</v>
      </c>
      <c r="AT33" s="142" t="str">
        <f>IFERROR(__xludf.DUMMYFUNCTION("""COMPUTED_VALUE"""),"Urbiztondo")</f>
        <v>Urbiztondo</v>
      </c>
      <c r="AU33" s="142" t="str">
        <f>IFERROR(__xludf.DUMMYFUNCTION("""COMPUTED_VALUE"""),"City of Urdaneta")</f>
        <v>City of Urdaneta</v>
      </c>
      <c r="AV33" s="142" t="str">
        <f>IFERROR(__xludf.DUMMYFUNCTION("""COMPUTED_VALUE"""),"Villasis")</f>
        <v>Villasis</v>
      </c>
      <c r="AW33" s="142" t="str">
        <f>IFERROR(__xludf.DUMMYFUNCTION("""COMPUTED_VALUE"""),"Laoac")</f>
        <v>Laoac</v>
      </c>
      <c r="AX33" s="8"/>
      <c r="AY33" s="8"/>
      <c r="AZ33" s="8"/>
      <c r="BA33" s="8"/>
      <c r="BB33" s="8"/>
      <c r="BC33" s="8"/>
      <c r="BD33" s="8"/>
      <c r="BE33" s="8"/>
    </row>
    <row r="34">
      <c r="A34" s="142" t="s">
        <v>144</v>
      </c>
      <c r="B34" s="142" t="str">
        <f>IFERROR(__xludf.DUMMYFUNCTION("""COMPUTED_VALUE"""),"Agno")</f>
        <v>Agno</v>
      </c>
      <c r="C34" s="142" t="str">
        <f>IFERROR(__xludf.DUMMYFUNCTION("""COMPUTED_VALUE"""),"Aguilar")</f>
        <v>Aguilar</v>
      </c>
      <c r="D34" s="142" t="str">
        <f>IFERROR(__xludf.DUMMYFUNCTION("""COMPUTED_VALUE"""),"City of Alaminos")</f>
        <v>City of Alaminos</v>
      </c>
      <c r="E34" s="142" t="str">
        <f>IFERROR(__xludf.DUMMYFUNCTION("""COMPUTED_VALUE"""),"Alcala")</f>
        <v>Alcala</v>
      </c>
      <c r="F34" s="142" t="str">
        <f>IFERROR(__xludf.DUMMYFUNCTION("""COMPUTED_VALUE"""),"Anda")</f>
        <v>Anda</v>
      </c>
      <c r="G34" s="142" t="str">
        <f>IFERROR(__xludf.DUMMYFUNCTION("""COMPUTED_VALUE"""),"Asingan")</f>
        <v>Asingan</v>
      </c>
      <c r="H34" s="142" t="str">
        <f>IFERROR(__xludf.DUMMYFUNCTION("""COMPUTED_VALUE"""),"Balungao")</f>
        <v>Balungao</v>
      </c>
      <c r="I34" s="142" t="str">
        <f>IFERROR(__xludf.DUMMYFUNCTION("""COMPUTED_VALUE"""),"Bani")</f>
        <v>Bani</v>
      </c>
      <c r="J34" s="142" t="str">
        <f>IFERROR(__xludf.DUMMYFUNCTION("""COMPUTED_VALUE"""),"Basista")</f>
        <v>Basista</v>
      </c>
      <c r="K34" s="142" t="str">
        <f>IFERROR(__xludf.DUMMYFUNCTION("""COMPUTED_VALUE"""),"Bautista")</f>
        <v>Bautista</v>
      </c>
      <c r="L34" s="142" t="str">
        <f>IFERROR(__xludf.DUMMYFUNCTION("""COMPUTED_VALUE"""),"Bayambang")</f>
        <v>Bayambang</v>
      </c>
      <c r="M34" s="142" t="str">
        <f>IFERROR(__xludf.DUMMYFUNCTION("""COMPUTED_VALUE"""),"Binalonan")</f>
        <v>Binalonan</v>
      </c>
      <c r="N34" s="142" t="str">
        <f>IFERROR(__xludf.DUMMYFUNCTION("""COMPUTED_VALUE"""),"Binmaley")</f>
        <v>Binmaley</v>
      </c>
      <c r="O34" s="142" t="str">
        <f>IFERROR(__xludf.DUMMYFUNCTION("""COMPUTED_VALUE"""),"Bolinao")</f>
        <v>Bolinao</v>
      </c>
      <c r="P34" s="142" t="str">
        <f>IFERROR(__xludf.DUMMYFUNCTION("""COMPUTED_VALUE"""),"Bugallon")</f>
        <v>Bugallon</v>
      </c>
      <c r="Q34" s="142" t="str">
        <f>IFERROR(__xludf.DUMMYFUNCTION("""COMPUTED_VALUE"""),"Burgos")</f>
        <v>Burgos</v>
      </c>
      <c r="R34" s="142" t="str">
        <f>IFERROR(__xludf.DUMMYFUNCTION("""COMPUTED_VALUE"""),"Calasiao")</f>
        <v>Calasiao</v>
      </c>
      <c r="S34" s="142" t="str">
        <f>IFERROR(__xludf.DUMMYFUNCTION("""COMPUTED_VALUE"""),"City of Dagupan")</f>
        <v>City of Dagupan</v>
      </c>
      <c r="T34" s="142" t="str">
        <f>IFERROR(__xludf.DUMMYFUNCTION("""COMPUTED_VALUE"""),"Dasol")</f>
        <v>Dasol</v>
      </c>
      <c r="U34" s="142" t="str">
        <f>IFERROR(__xludf.DUMMYFUNCTION("""COMPUTED_VALUE"""),"Infanta")</f>
        <v>Infanta</v>
      </c>
      <c r="V34" s="142" t="str">
        <f>IFERROR(__xludf.DUMMYFUNCTION("""COMPUTED_VALUE"""),"Labrador")</f>
        <v>Labrador</v>
      </c>
      <c r="W34" s="142" t="str">
        <f>IFERROR(__xludf.DUMMYFUNCTION("""COMPUTED_VALUE"""),"Lingayen")</f>
        <v>Lingayen</v>
      </c>
      <c r="X34" s="142" t="str">
        <f>IFERROR(__xludf.DUMMYFUNCTION("""COMPUTED_VALUE"""),"Mabini")</f>
        <v>Mabini</v>
      </c>
      <c r="Y34" s="142" t="str">
        <f>IFERROR(__xludf.DUMMYFUNCTION("""COMPUTED_VALUE"""),"Malasiqui")</f>
        <v>Malasiqui</v>
      </c>
      <c r="Z34" s="142" t="str">
        <f>IFERROR(__xludf.DUMMYFUNCTION("""COMPUTED_VALUE"""),"Manaoag")</f>
        <v>Manaoag</v>
      </c>
      <c r="AA34" s="142" t="str">
        <f>IFERROR(__xludf.DUMMYFUNCTION("""COMPUTED_VALUE"""),"Mangaldan")</f>
        <v>Mangaldan</v>
      </c>
      <c r="AB34" s="142" t="str">
        <f>IFERROR(__xludf.DUMMYFUNCTION("""COMPUTED_VALUE"""),"Mangatarem")</f>
        <v>Mangatarem</v>
      </c>
      <c r="AC34" s="142" t="str">
        <f>IFERROR(__xludf.DUMMYFUNCTION("""COMPUTED_VALUE"""),"Mapandan")</f>
        <v>Mapandan</v>
      </c>
      <c r="AD34" s="142" t="str">
        <f>IFERROR(__xludf.DUMMYFUNCTION("""COMPUTED_VALUE"""),"Natividad")</f>
        <v>Natividad</v>
      </c>
      <c r="AE34" s="142" t="str">
        <f>IFERROR(__xludf.DUMMYFUNCTION("""COMPUTED_VALUE"""),"Pozorrubio")</f>
        <v>Pozorrubio</v>
      </c>
      <c r="AF34" s="142" t="str">
        <f>IFERROR(__xludf.DUMMYFUNCTION("""COMPUTED_VALUE"""),"Rosales")</f>
        <v>Rosales</v>
      </c>
      <c r="AG34" s="142" t="str">
        <f>IFERROR(__xludf.DUMMYFUNCTION("""COMPUTED_VALUE"""),"City of San Carlos")</f>
        <v>City of San Carlos</v>
      </c>
      <c r="AH34" s="142" t="str">
        <f>IFERROR(__xludf.DUMMYFUNCTION("""COMPUTED_VALUE"""),"San Fabian")</f>
        <v>San Fabian</v>
      </c>
      <c r="AI34" s="142" t="str">
        <f>IFERROR(__xludf.DUMMYFUNCTION("""COMPUTED_VALUE"""),"San Jacinto")</f>
        <v>San Jacinto</v>
      </c>
      <c r="AJ34" s="142" t="str">
        <f>IFERROR(__xludf.DUMMYFUNCTION("""COMPUTED_VALUE"""),"San Manuel")</f>
        <v>San Manuel</v>
      </c>
      <c r="AK34" s="142" t="str">
        <f>IFERROR(__xludf.DUMMYFUNCTION("""COMPUTED_VALUE"""),"San Nicolas")</f>
        <v>San Nicolas</v>
      </c>
      <c r="AL34" s="142" t="str">
        <f>IFERROR(__xludf.DUMMYFUNCTION("""COMPUTED_VALUE"""),"San Quintin")</f>
        <v>San Quintin</v>
      </c>
      <c r="AM34" s="142" t="str">
        <f>IFERROR(__xludf.DUMMYFUNCTION("""COMPUTED_VALUE"""),"Santa Barbara")</f>
        <v>Santa Barbara</v>
      </c>
      <c r="AN34" s="142" t="str">
        <f>IFERROR(__xludf.DUMMYFUNCTION("""COMPUTED_VALUE"""),"Santa Maria")</f>
        <v>Santa Maria</v>
      </c>
      <c r="AO34" s="142" t="str">
        <f>IFERROR(__xludf.DUMMYFUNCTION("""COMPUTED_VALUE"""),"Santo Tomas")</f>
        <v>Santo Tomas</v>
      </c>
      <c r="AP34" s="142" t="str">
        <f>IFERROR(__xludf.DUMMYFUNCTION("""COMPUTED_VALUE"""),"Sison")</f>
        <v>Sison</v>
      </c>
      <c r="AQ34" s="142" t="str">
        <f>IFERROR(__xludf.DUMMYFUNCTION("""COMPUTED_VALUE"""),"Sual")</f>
        <v>Sual</v>
      </c>
      <c r="AR34" s="142" t="str">
        <f>IFERROR(__xludf.DUMMYFUNCTION("""COMPUTED_VALUE"""),"Tayug")</f>
        <v>Tayug</v>
      </c>
      <c r="AS34" s="142" t="str">
        <f>IFERROR(__xludf.DUMMYFUNCTION("""COMPUTED_VALUE"""),"Umingan")</f>
        <v>Umingan</v>
      </c>
      <c r="AT34" s="142" t="str">
        <f>IFERROR(__xludf.DUMMYFUNCTION("""COMPUTED_VALUE"""),"Urbiztondo")</f>
        <v>Urbiztondo</v>
      </c>
      <c r="AU34" s="142" t="str">
        <f>IFERROR(__xludf.DUMMYFUNCTION("""COMPUTED_VALUE"""),"City of Urdaneta")</f>
        <v>City of Urdaneta</v>
      </c>
      <c r="AV34" s="142" t="str">
        <f>IFERROR(__xludf.DUMMYFUNCTION("""COMPUTED_VALUE"""),"Villasis")</f>
        <v>Villasis</v>
      </c>
      <c r="AW34" s="142" t="str">
        <f>IFERROR(__xludf.DUMMYFUNCTION("""COMPUTED_VALUE"""),"Laoac")</f>
        <v>Laoac</v>
      </c>
      <c r="AX34" s="8"/>
      <c r="AY34" s="8"/>
      <c r="AZ34" s="8"/>
      <c r="BA34" s="8"/>
      <c r="BB34" s="8"/>
      <c r="BC34" s="8"/>
      <c r="BD34" s="8"/>
      <c r="BE34" s="8"/>
    </row>
    <row r="35">
      <c r="A35" s="142" t="s">
        <v>144</v>
      </c>
      <c r="B35" s="142" t="str">
        <f>IFERROR(__xludf.DUMMYFUNCTION("""COMPUTED_VALUE"""),"Agno")</f>
        <v>Agno</v>
      </c>
      <c r="C35" s="142" t="str">
        <f>IFERROR(__xludf.DUMMYFUNCTION("""COMPUTED_VALUE"""),"Aguilar")</f>
        <v>Aguilar</v>
      </c>
      <c r="D35" s="142" t="str">
        <f>IFERROR(__xludf.DUMMYFUNCTION("""COMPUTED_VALUE"""),"City of Alaminos")</f>
        <v>City of Alaminos</v>
      </c>
      <c r="E35" s="142" t="str">
        <f>IFERROR(__xludf.DUMMYFUNCTION("""COMPUTED_VALUE"""),"Alcala")</f>
        <v>Alcala</v>
      </c>
      <c r="F35" s="142" t="str">
        <f>IFERROR(__xludf.DUMMYFUNCTION("""COMPUTED_VALUE"""),"Anda")</f>
        <v>Anda</v>
      </c>
      <c r="G35" s="142" t="str">
        <f>IFERROR(__xludf.DUMMYFUNCTION("""COMPUTED_VALUE"""),"Asingan")</f>
        <v>Asingan</v>
      </c>
      <c r="H35" s="142" t="str">
        <f>IFERROR(__xludf.DUMMYFUNCTION("""COMPUTED_VALUE"""),"Balungao")</f>
        <v>Balungao</v>
      </c>
      <c r="I35" s="142" t="str">
        <f>IFERROR(__xludf.DUMMYFUNCTION("""COMPUTED_VALUE"""),"Bani")</f>
        <v>Bani</v>
      </c>
      <c r="J35" s="142" t="str">
        <f>IFERROR(__xludf.DUMMYFUNCTION("""COMPUTED_VALUE"""),"Basista")</f>
        <v>Basista</v>
      </c>
      <c r="K35" s="142" t="str">
        <f>IFERROR(__xludf.DUMMYFUNCTION("""COMPUTED_VALUE"""),"Bautista")</f>
        <v>Bautista</v>
      </c>
      <c r="L35" s="142" t="str">
        <f>IFERROR(__xludf.DUMMYFUNCTION("""COMPUTED_VALUE"""),"Bayambang")</f>
        <v>Bayambang</v>
      </c>
      <c r="M35" s="142" t="str">
        <f>IFERROR(__xludf.DUMMYFUNCTION("""COMPUTED_VALUE"""),"Binalonan")</f>
        <v>Binalonan</v>
      </c>
      <c r="N35" s="142" t="str">
        <f>IFERROR(__xludf.DUMMYFUNCTION("""COMPUTED_VALUE"""),"Binmaley")</f>
        <v>Binmaley</v>
      </c>
      <c r="O35" s="142" t="str">
        <f>IFERROR(__xludf.DUMMYFUNCTION("""COMPUTED_VALUE"""),"Bolinao")</f>
        <v>Bolinao</v>
      </c>
      <c r="P35" s="142" t="str">
        <f>IFERROR(__xludf.DUMMYFUNCTION("""COMPUTED_VALUE"""),"Bugallon")</f>
        <v>Bugallon</v>
      </c>
      <c r="Q35" s="142" t="str">
        <f>IFERROR(__xludf.DUMMYFUNCTION("""COMPUTED_VALUE"""),"Burgos")</f>
        <v>Burgos</v>
      </c>
      <c r="R35" s="142" t="str">
        <f>IFERROR(__xludf.DUMMYFUNCTION("""COMPUTED_VALUE"""),"Calasiao")</f>
        <v>Calasiao</v>
      </c>
      <c r="S35" s="142" t="str">
        <f>IFERROR(__xludf.DUMMYFUNCTION("""COMPUTED_VALUE"""),"City of Dagupan")</f>
        <v>City of Dagupan</v>
      </c>
      <c r="T35" s="142" t="str">
        <f>IFERROR(__xludf.DUMMYFUNCTION("""COMPUTED_VALUE"""),"Dasol")</f>
        <v>Dasol</v>
      </c>
      <c r="U35" s="142" t="str">
        <f>IFERROR(__xludf.DUMMYFUNCTION("""COMPUTED_VALUE"""),"Infanta")</f>
        <v>Infanta</v>
      </c>
      <c r="V35" s="142" t="str">
        <f>IFERROR(__xludf.DUMMYFUNCTION("""COMPUTED_VALUE"""),"Labrador")</f>
        <v>Labrador</v>
      </c>
      <c r="W35" s="142" t="str">
        <f>IFERROR(__xludf.DUMMYFUNCTION("""COMPUTED_VALUE"""),"Lingayen")</f>
        <v>Lingayen</v>
      </c>
      <c r="X35" s="142" t="str">
        <f>IFERROR(__xludf.DUMMYFUNCTION("""COMPUTED_VALUE"""),"Mabini")</f>
        <v>Mabini</v>
      </c>
      <c r="Y35" s="142" t="str">
        <f>IFERROR(__xludf.DUMMYFUNCTION("""COMPUTED_VALUE"""),"Malasiqui")</f>
        <v>Malasiqui</v>
      </c>
      <c r="Z35" s="142" t="str">
        <f>IFERROR(__xludf.DUMMYFUNCTION("""COMPUTED_VALUE"""),"Manaoag")</f>
        <v>Manaoag</v>
      </c>
      <c r="AA35" s="142" t="str">
        <f>IFERROR(__xludf.DUMMYFUNCTION("""COMPUTED_VALUE"""),"Mangaldan")</f>
        <v>Mangaldan</v>
      </c>
      <c r="AB35" s="142" t="str">
        <f>IFERROR(__xludf.DUMMYFUNCTION("""COMPUTED_VALUE"""),"Mangatarem")</f>
        <v>Mangatarem</v>
      </c>
      <c r="AC35" s="142" t="str">
        <f>IFERROR(__xludf.DUMMYFUNCTION("""COMPUTED_VALUE"""),"Mapandan")</f>
        <v>Mapandan</v>
      </c>
      <c r="AD35" s="142" t="str">
        <f>IFERROR(__xludf.DUMMYFUNCTION("""COMPUTED_VALUE"""),"Natividad")</f>
        <v>Natividad</v>
      </c>
      <c r="AE35" s="142" t="str">
        <f>IFERROR(__xludf.DUMMYFUNCTION("""COMPUTED_VALUE"""),"Pozorrubio")</f>
        <v>Pozorrubio</v>
      </c>
      <c r="AF35" s="142" t="str">
        <f>IFERROR(__xludf.DUMMYFUNCTION("""COMPUTED_VALUE"""),"Rosales")</f>
        <v>Rosales</v>
      </c>
      <c r="AG35" s="142" t="str">
        <f>IFERROR(__xludf.DUMMYFUNCTION("""COMPUTED_VALUE"""),"City of San Carlos")</f>
        <v>City of San Carlos</v>
      </c>
      <c r="AH35" s="142" t="str">
        <f>IFERROR(__xludf.DUMMYFUNCTION("""COMPUTED_VALUE"""),"San Fabian")</f>
        <v>San Fabian</v>
      </c>
      <c r="AI35" s="142" t="str">
        <f>IFERROR(__xludf.DUMMYFUNCTION("""COMPUTED_VALUE"""),"San Jacinto")</f>
        <v>San Jacinto</v>
      </c>
      <c r="AJ35" s="142" t="str">
        <f>IFERROR(__xludf.DUMMYFUNCTION("""COMPUTED_VALUE"""),"San Manuel")</f>
        <v>San Manuel</v>
      </c>
      <c r="AK35" s="142" t="str">
        <f>IFERROR(__xludf.DUMMYFUNCTION("""COMPUTED_VALUE"""),"San Nicolas")</f>
        <v>San Nicolas</v>
      </c>
      <c r="AL35" s="142" t="str">
        <f>IFERROR(__xludf.DUMMYFUNCTION("""COMPUTED_VALUE"""),"San Quintin")</f>
        <v>San Quintin</v>
      </c>
      <c r="AM35" s="142" t="str">
        <f>IFERROR(__xludf.DUMMYFUNCTION("""COMPUTED_VALUE"""),"Santa Barbara")</f>
        <v>Santa Barbara</v>
      </c>
      <c r="AN35" s="142" t="str">
        <f>IFERROR(__xludf.DUMMYFUNCTION("""COMPUTED_VALUE"""),"Santa Maria")</f>
        <v>Santa Maria</v>
      </c>
      <c r="AO35" s="142" t="str">
        <f>IFERROR(__xludf.DUMMYFUNCTION("""COMPUTED_VALUE"""),"Santo Tomas")</f>
        <v>Santo Tomas</v>
      </c>
      <c r="AP35" s="142" t="str">
        <f>IFERROR(__xludf.DUMMYFUNCTION("""COMPUTED_VALUE"""),"Sison")</f>
        <v>Sison</v>
      </c>
      <c r="AQ35" s="142" t="str">
        <f>IFERROR(__xludf.DUMMYFUNCTION("""COMPUTED_VALUE"""),"Sual")</f>
        <v>Sual</v>
      </c>
      <c r="AR35" s="142" t="str">
        <f>IFERROR(__xludf.DUMMYFUNCTION("""COMPUTED_VALUE"""),"Tayug")</f>
        <v>Tayug</v>
      </c>
      <c r="AS35" s="142" t="str">
        <f>IFERROR(__xludf.DUMMYFUNCTION("""COMPUTED_VALUE"""),"Umingan")</f>
        <v>Umingan</v>
      </c>
      <c r="AT35" s="142" t="str">
        <f>IFERROR(__xludf.DUMMYFUNCTION("""COMPUTED_VALUE"""),"Urbiztondo")</f>
        <v>Urbiztondo</v>
      </c>
      <c r="AU35" s="142" t="str">
        <f>IFERROR(__xludf.DUMMYFUNCTION("""COMPUTED_VALUE"""),"City of Urdaneta")</f>
        <v>City of Urdaneta</v>
      </c>
      <c r="AV35" s="142" t="str">
        <f>IFERROR(__xludf.DUMMYFUNCTION("""COMPUTED_VALUE"""),"Villasis")</f>
        <v>Villasis</v>
      </c>
      <c r="AW35" s="142" t="str">
        <f>IFERROR(__xludf.DUMMYFUNCTION("""COMPUTED_VALUE"""),"Laoac")</f>
        <v>Laoac</v>
      </c>
      <c r="AX35" s="8"/>
      <c r="AY35" s="8"/>
      <c r="AZ35" s="8"/>
      <c r="BA35" s="8"/>
      <c r="BB35" s="8"/>
      <c r="BC35" s="8"/>
      <c r="BD35" s="8"/>
      <c r="BE35" s="8"/>
    </row>
    <row r="36">
      <c r="A36" s="142" t="s">
        <v>144</v>
      </c>
      <c r="B36" s="142" t="str">
        <f>IFERROR(__xludf.DUMMYFUNCTION("""COMPUTED_VALUE"""),"Agno")</f>
        <v>Agno</v>
      </c>
      <c r="C36" s="142" t="str">
        <f>IFERROR(__xludf.DUMMYFUNCTION("""COMPUTED_VALUE"""),"Aguilar")</f>
        <v>Aguilar</v>
      </c>
      <c r="D36" s="142" t="str">
        <f>IFERROR(__xludf.DUMMYFUNCTION("""COMPUTED_VALUE"""),"City of Alaminos")</f>
        <v>City of Alaminos</v>
      </c>
      <c r="E36" s="142" t="str">
        <f>IFERROR(__xludf.DUMMYFUNCTION("""COMPUTED_VALUE"""),"Alcala")</f>
        <v>Alcala</v>
      </c>
      <c r="F36" s="142" t="str">
        <f>IFERROR(__xludf.DUMMYFUNCTION("""COMPUTED_VALUE"""),"Anda")</f>
        <v>Anda</v>
      </c>
      <c r="G36" s="142" t="str">
        <f>IFERROR(__xludf.DUMMYFUNCTION("""COMPUTED_VALUE"""),"Asingan")</f>
        <v>Asingan</v>
      </c>
      <c r="H36" s="142" t="str">
        <f>IFERROR(__xludf.DUMMYFUNCTION("""COMPUTED_VALUE"""),"Balungao")</f>
        <v>Balungao</v>
      </c>
      <c r="I36" s="142" t="str">
        <f>IFERROR(__xludf.DUMMYFUNCTION("""COMPUTED_VALUE"""),"Bani")</f>
        <v>Bani</v>
      </c>
      <c r="J36" s="142" t="str">
        <f>IFERROR(__xludf.DUMMYFUNCTION("""COMPUTED_VALUE"""),"Basista")</f>
        <v>Basista</v>
      </c>
      <c r="K36" s="142" t="str">
        <f>IFERROR(__xludf.DUMMYFUNCTION("""COMPUTED_VALUE"""),"Bautista")</f>
        <v>Bautista</v>
      </c>
      <c r="L36" s="142" t="str">
        <f>IFERROR(__xludf.DUMMYFUNCTION("""COMPUTED_VALUE"""),"Bayambang")</f>
        <v>Bayambang</v>
      </c>
      <c r="M36" s="142" t="str">
        <f>IFERROR(__xludf.DUMMYFUNCTION("""COMPUTED_VALUE"""),"Binalonan")</f>
        <v>Binalonan</v>
      </c>
      <c r="N36" s="142" t="str">
        <f>IFERROR(__xludf.DUMMYFUNCTION("""COMPUTED_VALUE"""),"Binmaley")</f>
        <v>Binmaley</v>
      </c>
      <c r="O36" s="142" t="str">
        <f>IFERROR(__xludf.DUMMYFUNCTION("""COMPUTED_VALUE"""),"Bolinao")</f>
        <v>Bolinao</v>
      </c>
      <c r="P36" s="142" t="str">
        <f>IFERROR(__xludf.DUMMYFUNCTION("""COMPUTED_VALUE"""),"Bugallon")</f>
        <v>Bugallon</v>
      </c>
      <c r="Q36" s="142" t="str">
        <f>IFERROR(__xludf.DUMMYFUNCTION("""COMPUTED_VALUE"""),"Burgos")</f>
        <v>Burgos</v>
      </c>
      <c r="R36" s="142" t="str">
        <f>IFERROR(__xludf.DUMMYFUNCTION("""COMPUTED_VALUE"""),"Calasiao")</f>
        <v>Calasiao</v>
      </c>
      <c r="S36" s="142" t="str">
        <f>IFERROR(__xludf.DUMMYFUNCTION("""COMPUTED_VALUE"""),"City of Dagupan")</f>
        <v>City of Dagupan</v>
      </c>
      <c r="T36" s="142" t="str">
        <f>IFERROR(__xludf.DUMMYFUNCTION("""COMPUTED_VALUE"""),"Dasol")</f>
        <v>Dasol</v>
      </c>
      <c r="U36" s="142" t="str">
        <f>IFERROR(__xludf.DUMMYFUNCTION("""COMPUTED_VALUE"""),"Infanta")</f>
        <v>Infanta</v>
      </c>
      <c r="V36" s="142" t="str">
        <f>IFERROR(__xludf.DUMMYFUNCTION("""COMPUTED_VALUE"""),"Labrador")</f>
        <v>Labrador</v>
      </c>
      <c r="W36" s="142" t="str">
        <f>IFERROR(__xludf.DUMMYFUNCTION("""COMPUTED_VALUE"""),"Lingayen")</f>
        <v>Lingayen</v>
      </c>
      <c r="X36" s="142" t="str">
        <f>IFERROR(__xludf.DUMMYFUNCTION("""COMPUTED_VALUE"""),"Mabini")</f>
        <v>Mabini</v>
      </c>
      <c r="Y36" s="142" t="str">
        <f>IFERROR(__xludf.DUMMYFUNCTION("""COMPUTED_VALUE"""),"Malasiqui")</f>
        <v>Malasiqui</v>
      </c>
      <c r="Z36" s="142" t="str">
        <f>IFERROR(__xludf.DUMMYFUNCTION("""COMPUTED_VALUE"""),"Manaoag")</f>
        <v>Manaoag</v>
      </c>
      <c r="AA36" s="142" t="str">
        <f>IFERROR(__xludf.DUMMYFUNCTION("""COMPUTED_VALUE"""),"Mangaldan")</f>
        <v>Mangaldan</v>
      </c>
      <c r="AB36" s="142" t="str">
        <f>IFERROR(__xludf.DUMMYFUNCTION("""COMPUTED_VALUE"""),"Mangatarem")</f>
        <v>Mangatarem</v>
      </c>
      <c r="AC36" s="142" t="str">
        <f>IFERROR(__xludf.DUMMYFUNCTION("""COMPUTED_VALUE"""),"Mapandan")</f>
        <v>Mapandan</v>
      </c>
      <c r="AD36" s="142" t="str">
        <f>IFERROR(__xludf.DUMMYFUNCTION("""COMPUTED_VALUE"""),"Natividad")</f>
        <v>Natividad</v>
      </c>
      <c r="AE36" s="142" t="str">
        <f>IFERROR(__xludf.DUMMYFUNCTION("""COMPUTED_VALUE"""),"Pozorrubio")</f>
        <v>Pozorrubio</v>
      </c>
      <c r="AF36" s="142" t="str">
        <f>IFERROR(__xludf.DUMMYFUNCTION("""COMPUTED_VALUE"""),"Rosales")</f>
        <v>Rosales</v>
      </c>
      <c r="AG36" s="142" t="str">
        <f>IFERROR(__xludf.DUMMYFUNCTION("""COMPUTED_VALUE"""),"City of San Carlos")</f>
        <v>City of San Carlos</v>
      </c>
      <c r="AH36" s="142" t="str">
        <f>IFERROR(__xludf.DUMMYFUNCTION("""COMPUTED_VALUE"""),"San Fabian")</f>
        <v>San Fabian</v>
      </c>
      <c r="AI36" s="142" t="str">
        <f>IFERROR(__xludf.DUMMYFUNCTION("""COMPUTED_VALUE"""),"San Jacinto")</f>
        <v>San Jacinto</v>
      </c>
      <c r="AJ36" s="142" t="str">
        <f>IFERROR(__xludf.DUMMYFUNCTION("""COMPUTED_VALUE"""),"San Manuel")</f>
        <v>San Manuel</v>
      </c>
      <c r="AK36" s="142" t="str">
        <f>IFERROR(__xludf.DUMMYFUNCTION("""COMPUTED_VALUE"""),"San Nicolas")</f>
        <v>San Nicolas</v>
      </c>
      <c r="AL36" s="142" t="str">
        <f>IFERROR(__xludf.DUMMYFUNCTION("""COMPUTED_VALUE"""),"San Quintin")</f>
        <v>San Quintin</v>
      </c>
      <c r="AM36" s="142" t="str">
        <f>IFERROR(__xludf.DUMMYFUNCTION("""COMPUTED_VALUE"""),"Santa Barbara")</f>
        <v>Santa Barbara</v>
      </c>
      <c r="AN36" s="142" t="str">
        <f>IFERROR(__xludf.DUMMYFUNCTION("""COMPUTED_VALUE"""),"Santa Maria")</f>
        <v>Santa Maria</v>
      </c>
      <c r="AO36" s="142" t="str">
        <f>IFERROR(__xludf.DUMMYFUNCTION("""COMPUTED_VALUE"""),"Santo Tomas")</f>
        <v>Santo Tomas</v>
      </c>
      <c r="AP36" s="142" t="str">
        <f>IFERROR(__xludf.DUMMYFUNCTION("""COMPUTED_VALUE"""),"Sison")</f>
        <v>Sison</v>
      </c>
      <c r="AQ36" s="142" t="str">
        <f>IFERROR(__xludf.DUMMYFUNCTION("""COMPUTED_VALUE"""),"Sual")</f>
        <v>Sual</v>
      </c>
      <c r="AR36" s="142" t="str">
        <f>IFERROR(__xludf.DUMMYFUNCTION("""COMPUTED_VALUE"""),"Tayug")</f>
        <v>Tayug</v>
      </c>
      <c r="AS36" s="142" t="str">
        <f>IFERROR(__xludf.DUMMYFUNCTION("""COMPUTED_VALUE"""),"Umingan")</f>
        <v>Umingan</v>
      </c>
      <c r="AT36" s="142" t="str">
        <f>IFERROR(__xludf.DUMMYFUNCTION("""COMPUTED_VALUE"""),"Urbiztondo")</f>
        <v>Urbiztondo</v>
      </c>
      <c r="AU36" s="142" t="str">
        <f>IFERROR(__xludf.DUMMYFUNCTION("""COMPUTED_VALUE"""),"City of Urdaneta")</f>
        <v>City of Urdaneta</v>
      </c>
      <c r="AV36" s="142" t="str">
        <f>IFERROR(__xludf.DUMMYFUNCTION("""COMPUTED_VALUE"""),"Villasis")</f>
        <v>Villasis</v>
      </c>
      <c r="AW36" s="142" t="str">
        <f>IFERROR(__xludf.DUMMYFUNCTION("""COMPUTED_VALUE"""),"Laoac")</f>
        <v>Laoac</v>
      </c>
      <c r="AX36" s="8"/>
      <c r="AY36" s="8"/>
      <c r="AZ36" s="8"/>
      <c r="BA36" s="8"/>
      <c r="BB36" s="8"/>
      <c r="BC36" s="8"/>
      <c r="BD36" s="8"/>
      <c r="BE36" s="8"/>
    </row>
    <row r="37">
      <c r="A37" s="142" t="s">
        <v>144</v>
      </c>
      <c r="B37" s="142" t="str">
        <f>IFERROR(__xludf.DUMMYFUNCTION("""COMPUTED_VALUE"""),"Agno")</f>
        <v>Agno</v>
      </c>
      <c r="C37" s="142" t="str">
        <f>IFERROR(__xludf.DUMMYFUNCTION("""COMPUTED_VALUE"""),"Aguilar")</f>
        <v>Aguilar</v>
      </c>
      <c r="D37" s="142" t="str">
        <f>IFERROR(__xludf.DUMMYFUNCTION("""COMPUTED_VALUE"""),"City of Alaminos")</f>
        <v>City of Alaminos</v>
      </c>
      <c r="E37" s="142" t="str">
        <f>IFERROR(__xludf.DUMMYFUNCTION("""COMPUTED_VALUE"""),"Alcala")</f>
        <v>Alcala</v>
      </c>
      <c r="F37" s="142" t="str">
        <f>IFERROR(__xludf.DUMMYFUNCTION("""COMPUTED_VALUE"""),"Anda")</f>
        <v>Anda</v>
      </c>
      <c r="G37" s="142" t="str">
        <f>IFERROR(__xludf.DUMMYFUNCTION("""COMPUTED_VALUE"""),"Asingan")</f>
        <v>Asingan</v>
      </c>
      <c r="H37" s="142" t="str">
        <f>IFERROR(__xludf.DUMMYFUNCTION("""COMPUTED_VALUE"""),"Balungao")</f>
        <v>Balungao</v>
      </c>
      <c r="I37" s="142" t="str">
        <f>IFERROR(__xludf.DUMMYFUNCTION("""COMPUTED_VALUE"""),"Bani")</f>
        <v>Bani</v>
      </c>
      <c r="J37" s="142" t="str">
        <f>IFERROR(__xludf.DUMMYFUNCTION("""COMPUTED_VALUE"""),"Basista")</f>
        <v>Basista</v>
      </c>
      <c r="K37" s="142" t="str">
        <f>IFERROR(__xludf.DUMMYFUNCTION("""COMPUTED_VALUE"""),"Bautista")</f>
        <v>Bautista</v>
      </c>
      <c r="L37" s="142" t="str">
        <f>IFERROR(__xludf.DUMMYFUNCTION("""COMPUTED_VALUE"""),"Bayambang")</f>
        <v>Bayambang</v>
      </c>
      <c r="M37" s="142" t="str">
        <f>IFERROR(__xludf.DUMMYFUNCTION("""COMPUTED_VALUE"""),"Binalonan")</f>
        <v>Binalonan</v>
      </c>
      <c r="N37" s="142" t="str">
        <f>IFERROR(__xludf.DUMMYFUNCTION("""COMPUTED_VALUE"""),"Binmaley")</f>
        <v>Binmaley</v>
      </c>
      <c r="O37" s="142" t="str">
        <f>IFERROR(__xludf.DUMMYFUNCTION("""COMPUTED_VALUE"""),"Bolinao")</f>
        <v>Bolinao</v>
      </c>
      <c r="P37" s="142" t="str">
        <f>IFERROR(__xludf.DUMMYFUNCTION("""COMPUTED_VALUE"""),"Bugallon")</f>
        <v>Bugallon</v>
      </c>
      <c r="Q37" s="142" t="str">
        <f>IFERROR(__xludf.DUMMYFUNCTION("""COMPUTED_VALUE"""),"Burgos")</f>
        <v>Burgos</v>
      </c>
      <c r="R37" s="142" t="str">
        <f>IFERROR(__xludf.DUMMYFUNCTION("""COMPUTED_VALUE"""),"Calasiao")</f>
        <v>Calasiao</v>
      </c>
      <c r="S37" s="142" t="str">
        <f>IFERROR(__xludf.DUMMYFUNCTION("""COMPUTED_VALUE"""),"City of Dagupan")</f>
        <v>City of Dagupan</v>
      </c>
      <c r="T37" s="142" t="str">
        <f>IFERROR(__xludf.DUMMYFUNCTION("""COMPUTED_VALUE"""),"Dasol")</f>
        <v>Dasol</v>
      </c>
      <c r="U37" s="142" t="str">
        <f>IFERROR(__xludf.DUMMYFUNCTION("""COMPUTED_VALUE"""),"Infanta")</f>
        <v>Infanta</v>
      </c>
      <c r="V37" s="142" t="str">
        <f>IFERROR(__xludf.DUMMYFUNCTION("""COMPUTED_VALUE"""),"Labrador")</f>
        <v>Labrador</v>
      </c>
      <c r="W37" s="142" t="str">
        <f>IFERROR(__xludf.DUMMYFUNCTION("""COMPUTED_VALUE"""),"Lingayen")</f>
        <v>Lingayen</v>
      </c>
      <c r="X37" s="142" t="str">
        <f>IFERROR(__xludf.DUMMYFUNCTION("""COMPUTED_VALUE"""),"Mabini")</f>
        <v>Mabini</v>
      </c>
      <c r="Y37" s="142" t="str">
        <f>IFERROR(__xludf.DUMMYFUNCTION("""COMPUTED_VALUE"""),"Malasiqui")</f>
        <v>Malasiqui</v>
      </c>
      <c r="Z37" s="142" t="str">
        <f>IFERROR(__xludf.DUMMYFUNCTION("""COMPUTED_VALUE"""),"Manaoag")</f>
        <v>Manaoag</v>
      </c>
      <c r="AA37" s="142" t="str">
        <f>IFERROR(__xludf.DUMMYFUNCTION("""COMPUTED_VALUE"""),"Mangaldan")</f>
        <v>Mangaldan</v>
      </c>
      <c r="AB37" s="142" t="str">
        <f>IFERROR(__xludf.DUMMYFUNCTION("""COMPUTED_VALUE"""),"Mangatarem")</f>
        <v>Mangatarem</v>
      </c>
      <c r="AC37" s="142" t="str">
        <f>IFERROR(__xludf.DUMMYFUNCTION("""COMPUTED_VALUE"""),"Mapandan")</f>
        <v>Mapandan</v>
      </c>
      <c r="AD37" s="142" t="str">
        <f>IFERROR(__xludf.DUMMYFUNCTION("""COMPUTED_VALUE"""),"Natividad")</f>
        <v>Natividad</v>
      </c>
      <c r="AE37" s="142" t="str">
        <f>IFERROR(__xludf.DUMMYFUNCTION("""COMPUTED_VALUE"""),"Pozorrubio")</f>
        <v>Pozorrubio</v>
      </c>
      <c r="AF37" s="142" t="str">
        <f>IFERROR(__xludf.DUMMYFUNCTION("""COMPUTED_VALUE"""),"Rosales")</f>
        <v>Rosales</v>
      </c>
      <c r="AG37" s="142" t="str">
        <f>IFERROR(__xludf.DUMMYFUNCTION("""COMPUTED_VALUE"""),"City of San Carlos")</f>
        <v>City of San Carlos</v>
      </c>
      <c r="AH37" s="142" t="str">
        <f>IFERROR(__xludf.DUMMYFUNCTION("""COMPUTED_VALUE"""),"San Fabian")</f>
        <v>San Fabian</v>
      </c>
      <c r="AI37" s="142" t="str">
        <f>IFERROR(__xludf.DUMMYFUNCTION("""COMPUTED_VALUE"""),"San Jacinto")</f>
        <v>San Jacinto</v>
      </c>
      <c r="AJ37" s="142" t="str">
        <f>IFERROR(__xludf.DUMMYFUNCTION("""COMPUTED_VALUE"""),"San Manuel")</f>
        <v>San Manuel</v>
      </c>
      <c r="AK37" s="142" t="str">
        <f>IFERROR(__xludf.DUMMYFUNCTION("""COMPUTED_VALUE"""),"San Nicolas")</f>
        <v>San Nicolas</v>
      </c>
      <c r="AL37" s="142" t="str">
        <f>IFERROR(__xludf.DUMMYFUNCTION("""COMPUTED_VALUE"""),"San Quintin")</f>
        <v>San Quintin</v>
      </c>
      <c r="AM37" s="142" t="str">
        <f>IFERROR(__xludf.DUMMYFUNCTION("""COMPUTED_VALUE"""),"Santa Barbara")</f>
        <v>Santa Barbara</v>
      </c>
      <c r="AN37" s="142" t="str">
        <f>IFERROR(__xludf.DUMMYFUNCTION("""COMPUTED_VALUE"""),"Santa Maria")</f>
        <v>Santa Maria</v>
      </c>
      <c r="AO37" s="142" t="str">
        <f>IFERROR(__xludf.DUMMYFUNCTION("""COMPUTED_VALUE"""),"Santo Tomas")</f>
        <v>Santo Tomas</v>
      </c>
      <c r="AP37" s="142" t="str">
        <f>IFERROR(__xludf.DUMMYFUNCTION("""COMPUTED_VALUE"""),"Sison")</f>
        <v>Sison</v>
      </c>
      <c r="AQ37" s="142" t="str">
        <f>IFERROR(__xludf.DUMMYFUNCTION("""COMPUTED_VALUE"""),"Sual")</f>
        <v>Sual</v>
      </c>
      <c r="AR37" s="142" t="str">
        <f>IFERROR(__xludf.DUMMYFUNCTION("""COMPUTED_VALUE"""),"Tayug")</f>
        <v>Tayug</v>
      </c>
      <c r="AS37" s="142" t="str">
        <f>IFERROR(__xludf.DUMMYFUNCTION("""COMPUTED_VALUE"""),"Umingan")</f>
        <v>Umingan</v>
      </c>
      <c r="AT37" s="142" t="str">
        <f>IFERROR(__xludf.DUMMYFUNCTION("""COMPUTED_VALUE"""),"Urbiztondo")</f>
        <v>Urbiztondo</v>
      </c>
      <c r="AU37" s="142" t="str">
        <f>IFERROR(__xludf.DUMMYFUNCTION("""COMPUTED_VALUE"""),"City of Urdaneta")</f>
        <v>City of Urdaneta</v>
      </c>
      <c r="AV37" s="142" t="str">
        <f>IFERROR(__xludf.DUMMYFUNCTION("""COMPUTED_VALUE"""),"Villasis")</f>
        <v>Villasis</v>
      </c>
      <c r="AW37" s="142" t="str">
        <f>IFERROR(__xludf.DUMMYFUNCTION("""COMPUTED_VALUE"""),"Laoac")</f>
        <v>Laoac</v>
      </c>
      <c r="AX37" s="8"/>
      <c r="AY37" s="8"/>
      <c r="AZ37" s="8"/>
      <c r="BA37" s="8"/>
      <c r="BB37" s="8"/>
      <c r="BC37" s="8"/>
      <c r="BD37" s="8"/>
      <c r="BE37" s="8"/>
    </row>
    <row r="38">
      <c r="A38" s="142" t="s">
        <v>144</v>
      </c>
      <c r="B38" s="142" t="str">
        <f>IFERROR(__xludf.DUMMYFUNCTION("""COMPUTED_VALUE"""),"Agno")</f>
        <v>Agno</v>
      </c>
      <c r="C38" s="142" t="str">
        <f>IFERROR(__xludf.DUMMYFUNCTION("""COMPUTED_VALUE"""),"Aguilar")</f>
        <v>Aguilar</v>
      </c>
      <c r="D38" s="142" t="str">
        <f>IFERROR(__xludf.DUMMYFUNCTION("""COMPUTED_VALUE"""),"City of Alaminos")</f>
        <v>City of Alaminos</v>
      </c>
      <c r="E38" s="142" t="str">
        <f>IFERROR(__xludf.DUMMYFUNCTION("""COMPUTED_VALUE"""),"Alcala")</f>
        <v>Alcala</v>
      </c>
      <c r="F38" s="142" t="str">
        <f>IFERROR(__xludf.DUMMYFUNCTION("""COMPUTED_VALUE"""),"Anda")</f>
        <v>Anda</v>
      </c>
      <c r="G38" s="142" t="str">
        <f>IFERROR(__xludf.DUMMYFUNCTION("""COMPUTED_VALUE"""),"Asingan")</f>
        <v>Asingan</v>
      </c>
      <c r="H38" s="142" t="str">
        <f>IFERROR(__xludf.DUMMYFUNCTION("""COMPUTED_VALUE"""),"Balungao")</f>
        <v>Balungao</v>
      </c>
      <c r="I38" s="142" t="str">
        <f>IFERROR(__xludf.DUMMYFUNCTION("""COMPUTED_VALUE"""),"Bani")</f>
        <v>Bani</v>
      </c>
      <c r="J38" s="142" t="str">
        <f>IFERROR(__xludf.DUMMYFUNCTION("""COMPUTED_VALUE"""),"Basista")</f>
        <v>Basista</v>
      </c>
      <c r="K38" s="142" t="str">
        <f>IFERROR(__xludf.DUMMYFUNCTION("""COMPUTED_VALUE"""),"Bautista")</f>
        <v>Bautista</v>
      </c>
      <c r="L38" s="142" t="str">
        <f>IFERROR(__xludf.DUMMYFUNCTION("""COMPUTED_VALUE"""),"Bayambang")</f>
        <v>Bayambang</v>
      </c>
      <c r="M38" s="142" t="str">
        <f>IFERROR(__xludf.DUMMYFUNCTION("""COMPUTED_VALUE"""),"Binalonan")</f>
        <v>Binalonan</v>
      </c>
      <c r="N38" s="142" t="str">
        <f>IFERROR(__xludf.DUMMYFUNCTION("""COMPUTED_VALUE"""),"Binmaley")</f>
        <v>Binmaley</v>
      </c>
      <c r="O38" s="142" t="str">
        <f>IFERROR(__xludf.DUMMYFUNCTION("""COMPUTED_VALUE"""),"Bolinao")</f>
        <v>Bolinao</v>
      </c>
      <c r="P38" s="142" t="str">
        <f>IFERROR(__xludf.DUMMYFUNCTION("""COMPUTED_VALUE"""),"Bugallon")</f>
        <v>Bugallon</v>
      </c>
      <c r="Q38" s="142" t="str">
        <f>IFERROR(__xludf.DUMMYFUNCTION("""COMPUTED_VALUE"""),"Burgos")</f>
        <v>Burgos</v>
      </c>
      <c r="R38" s="142" t="str">
        <f>IFERROR(__xludf.DUMMYFUNCTION("""COMPUTED_VALUE"""),"Calasiao")</f>
        <v>Calasiao</v>
      </c>
      <c r="S38" s="142" t="str">
        <f>IFERROR(__xludf.DUMMYFUNCTION("""COMPUTED_VALUE"""),"City of Dagupan")</f>
        <v>City of Dagupan</v>
      </c>
      <c r="T38" s="142" t="str">
        <f>IFERROR(__xludf.DUMMYFUNCTION("""COMPUTED_VALUE"""),"Dasol")</f>
        <v>Dasol</v>
      </c>
      <c r="U38" s="142" t="str">
        <f>IFERROR(__xludf.DUMMYFUNCTION("""COMPUTED_VALUE"""),"Infanta")</f>
        <v>Infanta</v>
      </c>
      <c r="V38" s="142" t="str">
        <f>IFERROR(__xludf.DUMMYFUNCTION("""COMPUTED_VALUE"""),"Labrador")</f>
        <v>Labrador</v>
      </c>
      <c r="W38" s="142" t="str">
        <f>IFERROR(__xludf.DUMMYFUNCTION("""COMPUTED_VALUE"""),"Lingayen")</f>
        <v>Lingayen</v>
      </c>
      <c r="X38" s="142" t="str">
        <f>IFERROR(__xludf.DUMMYFUNCTION("""COMPUTED_VALUE"""),"Mabini")</f>
        <v>Mabini</v>
      </c>
      <c r="Y38" s="142" t="str">
        <f>IFERROR(__xludf.DUMMYFUNCTION("""COMPUTED_VALUE"""),"Malasiqui")</f>
        <v>Malasiqui</v>
      </c>
      <c r="Z38" s="142" t="str">
        <f>IFERROR(__xludf.DUMMYFUNCTION("""COMPUTED_VALUE"""),"Manaoag")</f>
        <v>Manaoag</v>
      </c>
      <c r="AA38" s="142" t="str">
        <f>IFERROR(__xludf.DUMMYFUNCTION("""COMPUTED_VALUE"""),"Mangaldan")</f>
        <v>Mangaldan</v>
      </c>
      <c r="AB38" s="142" t="str">
        <f>IFERROR(__xludf.DUMMYFUNCTION("""COMPUTED_VALUE"""),"Mangatarem")</f>
        <v>Mangatarem</v>
      </c>
      <c r="AC38" s="142" t="str">
        <f>IFERROR(__xludf.DUMMYFUNCTION("""COMPUTED_VALUE"""),"Mapandan")</f>
        <v>Mapandan</v>
      </c>
      <c r="AD38" s="142" t="str">
        <f>IFERROR(__xludf.DUMMYFUNCTION("""COMPUTED_VALUE"""),"Natividad")</f>
        <v>Natividad</v>
      </c>
      <c r="AE38" s="142" t="str">
        <f>IFERROR(__xludf.DUMMYFUNCTION("""COMPUTED_VALUE"""),"Pozorrubio")</f>
        <v>Pozorrubio</v>
      </c>
      <c r="AF38" s="142" t="str">
        <f>IFERROR(__xludf.DUMMYFUNCTION("""COMPUTED_VALUE"""),"Rosales")</f>
        <v>Rosales</v>
      </c>
      <c r="AG38" s="142" t="str">
        <f>IFERROR(__xludf.DUMMYFUNCTION("""COMPUTED_VALUE"""),"City of San Carlos")</f>
        <v>City of San Carlos</v>
      </c>
      <c r="AH38" s="142" t="str">
        <f>IFERROR(__xludf.DUMMYFUNCTION("""COMPUTED_VALUE"""),"San Fabian")</f>
        <v>San Fabian</v>
      </c>
      <c r="AI38" s="142" t="str">
        <f>IFERROR(__xludf.DUMMYFUNCTION("""COMPUTED_VALUE"""),"San Jacinto")</f>
        <v>San Jacinto</v>
      </c>
      <c r="AJ38" s="142" t="str">
        <f>IFERROR(__xludf.DUMMYFUNCTION("""COMPUTED_VALUE"""),"San Manuel")</f>
        <v>San Manuel</v>
      </c>
      <c r="AK38" s="142" t="str">
        <f>IFERROR(__xludf.DUMMYFUNCTION("""COMPUTED_VALUE"""),"San Nicolas")</f>
        <v>San Nicolas</v>
      </c>
      <c r="AL38" s="142" t="str">
        <f>IFERROR(__xludf.DUMMYFUNCTION("""COMPUTED_VALUE"""),"San Quintin")</f>
        <v>San Quintin</v>
      </c>
      <c r="AM38" s="142" t="str">
        <f>IFERROR(__xludf.DUMMYFUNCTION("""COMPUTED_VALUE"""),"Santa Barbara")</f>
        <v>Santa Barbara</v>
      </c>
      <c r="AN38" s="142" t="str">
        <f>IFERROR(__xludf.DUMMYFUNCTION("""COMPUTED_VALUE"""),"Santa Maria")</f>
        <v>Santa Maria</v>
      </c>
      <c r="AO38" s="142" t="str">
        <f>IFERROR(__xludf.DUMMYFUNCTION("""COMPUTED_VALUE"""),"Santo Tomas")</f>
        <v>Santo Tomas</v>
      </c>
      <c r="AP38" s="142" t="str">
        <f>IFERROR(__xludf.DUMMYFUNCTION("""COMPUTED_VALUE"""),"Sison")</f>
        <v>Sison</v>
      </c>
      <c r="AQ38" s="142" t="str">
        <f>IFERROR(__xludf.DUMMYFUNCTION("""COMPUTED_VALUE"""),"Sual")</f>
        <v>Sual</v>
      </c>
      <c r="AR38" s="142" t="str">
        <f>IFERROR(__xludf.DUMMYFUNCTION("""COMPUTED_VALUE"""),"Tayug")</f>
        <v>Tayug</v>
      </c>
      <c r="AS38" s="142" t="str">
        <f>IFERROR(__xludf.DUMMYFUNCTION("""COMPUTED_VALUE"""),"Umingan")</f>
        <v>Umingan</v>
      </c>
      <c r="AT38" s="142" t="str">
        <f>IFERROR(__xludf.DUMMYFUNCTION("""COMPUTED_VALUE"""),"Urbiztondo")</f>
        <v>Urbiztondo</v>
      </c>
      <c r="AU38" s="142" t="str">
        <f>IFERROR(__xludf.DUMMYFUNCTION("""COMPUTED_VALUE"""),"City of Urdaneta")</f>
        <v>City of Urdaneta</v>
      </c>
      <c r="AV38" s="142" t="str">
        <f>IFERROR(__xludf.DUMMYFUNCTION("""COMPUTED_VALUE"""),"Villasis")</f>
        <v>Villasis</v>
      </c>
      <c r="AW38" s="142" t="str">
        <f>IFERROR(__xludf.DUMMYFUNCTION("""COMPUTED_VALUE"""),"Laoac")</f>
        <v>Laoac</v>
      </c>
      <c r="AX38" s="8"/>
      <c r="AY38" s="8"/>
      <c r="AZ38" s="8"/>
      <c r="BA38" s="8"/>
      <c r="BB38" s="8"/>
      <c r="BC38" s="8"/>
      <c r="BD38" s="8"/>
      <c r="BE38" s="8"/>
    </row>
    <row r="39">
      <c r="A39" s="142" t="s">
        <v>144</v>
      </c>
      <c r="B39" s="142" t="str">
        <f>IFERROR(__xludf.DUMMYFUNCTION("""COMPUTED_VALUE"""),"Agno")</f>
        <v>Agno</v>
      </c>
      <c r="C39" s="142" t="str">
        <f>IFERROR(__xludf.DUMMYFUNCTION("""COMPUTED_VALUE"""),"Aguilar")</f>
        <v>Aguilar</v>
      </c>
      <c r="D39" s="142" t="str">
        <f>IFERROR(__xludf.DUMMYFUNCTION("""COMPUTED_VALUE"""),"City of Alaminos")</f>
        <v>City of Alaminos</v>
      </c>
      <c r="E39" s="142" t="str">
        <f>IFERROR(__xludf.DUMMYFUNCTION("""COMPUTED_VALUE"""),"Alcala")</f>
        <v>Alcala</v>
      </c>
      <c r="F39" s="142" t="str">
        <f>IFERROR(__xludf.DUMMYFUNCTION("""COMPUTED_VALUE"""),"Anda")</f>
        <v>Anda</v>
      </c>
      <c r="G39" s="142" t="str">
        <f>IFERROR(__xludf.DUMMYFUNCTION("""COMPUTED_VALUE"""),"Asingan")</f>
        <v>Asingan</v>
      </c>
      <c r="H39" s="142" t="str">
        <f>IFERROR(__xludf.DUMMYFUNCTION("""COMPUTED_VALUE"""),"Balungao")</f>
        <v>Balungao</v>
      </c>
      <c r="I39" s="142" t="str">
        <f>IFERROR(__xludf.DUMMYFUNCTION("""COMPUTED_VALUE"""),"Bani")</f>
        <v>Bani</v>
      </c>
      <c r="J39" s="142" t="str">
        <f>IFERROR(__xludf.DUMMYFUNCTION("""COMPUTED_VALUE"""),"Basista")</f>
        <v>Basista</v>
      </c>
      <c r="K39" s="142" t="str">
        <f>IFERROR(__xludf.DUMMYFUNCTION("""COMPUTED_VALUE"""),"Bautista")</f>
        <v>Bautista</v>
      </c>
      <c r="L39" s="142" t="str">
        <f>IFERROR(__xludf.DUMMYFUNCTION("""COMPUTED_VALUE"""),"Bayambang")</f>
        <v>Bayambang</v>
      </c>
      <c r="M39" s="142" t="str">
        <f>IFERROR(__xludf.DUMMYFUNCTION("""COMPUTED_VALUE"""),"Binalonan")</f>
        <v>Binalonan</v>
      </c>
      <c r="N39" s="142" t="str">
        <f>IFERROR(__xludf.DUMMYFUNCTION("""COMPUTED_VALUE"""),"Binmaley")</f>
        <v>Binmaley</v>
      </c>
      <c r="O39" s="142" t="str">
        <f>IFERROR(__xludf.DUMMYFUNCTION("""COMPUTED_VALUE"""),"Bolinao")</f>
        <v>Bolinao</v>
      </c>
      <c r="P39" s="142" t="str">
        <f>IFERROR(__xludf.DUMMYFUNCTION("""COMPUTED_VALUE"""),"Bugallon")</f>
        <v>Bugallon</v>
      </c>
      <c r="Q39" s="142" t="str">
        <f>IFERROR(__xludf.DUMMYFUNCTION("""COMPUTED_VALUE"""),"Burgos")</f>
        <v>Burgos</v>
      </c>
      <c r="R39" s="142" t="str">
        <f>IFERROR(__xludf.DUMMYFUNCTION("""COMPUTED_VALUE"""),"Calasiao")</f>
        <v>Calasiao</v>
      </c>
      <c r="S39" s="142" t="str">
        <f>IFERROR(__xludf.DUMMYFUNCTION("""COMPUTED_VALUE"""),"City of Dagupan")</f>
        <v>City of Dagupan</v>
      </c>
      <c r="T39" s="142" t="str">
        <f>IFERROR(__xludf.DUMMYFUNCTION("""COMPUTED_VALUE"""),"Dasol")</f>
        <v>Dasol</v>
      </c>
      <c r="U39" s="142" t="str">
        <f>IFERROR(__xludf.DUMMYFUNCTION("""COMPUTED_VALUE"""),"Infanta")</f>
        <v>Infanta</v>
      </c>
      <c r="V39" s="142" t="str">
        <f>IFERROR(__xludf.DUMMYFUNCTION("""COMPUTED_VALUE"""),"Labrador")</f>
        <v>Labrador</v>
      </c>
      <c r="W39" s="142" t="str">
        <f>IFERROR(__xludf.DUMMYFUNCTION("""COMPUTED_VALUE"""),"Lingayen")</f>
        <v>Lingayen</v>
      </c>
      <c r="X39" s="142" t="str">
        <f>IFERROR(__xludf.DUMMYFUNCTION("""COMPUTED_VALUE"""),"Mabini")</f>
        <v>Mabini</v>
      </c>
      <c r="Y39" s="142" t="str">
        <f>IFERROR(__xludf.DUMMYFUNCTION("""COMPUTED_VALUE"""),"Malasiqui")</f>
        <v>Malasiqui</v>
      </c>
      <c r="Z39" s="142" t="str">
        <f>IFERROR(__xludf.DUMMYFUNCTION("""COMPUTED_VALUE"""),"Manaoag")</f>
        <v>Manaoag</v>
      </c>
      <c r="AA39" s="142" t="str">
        <f>IFERROR(__xludf.DUMMYFUNCTION("""COMPUTED_VALUE"""),"Mangaldan")</f>
        <v>Mangaldan</v>
      </c>
      <c r="AB39" s="142" t="str">
        <f>IFERROR(__xludf.DUMMYFUNCTION("""COMPUTED_VALUE"""),"Mangatarem")</f>
        <v>Mangatarem</v>
      </c>
      <c r="AC39" s="142" t="str">
        <f>IFERROR(__xludf.DUMMYFUNCTION("""COMPUTED_VALUE"""),"Mapandan")</f>
        <v>Mapandan</v>
      </c>
      <c r="AD39" s="142" t="str">
        <f>IFERROR(__xludf.DUMMYFUNCTION("""COMPUTED_VALUE"""),"Natividad")</f>
        <v>Natividad</v>
      </c>
      <c r="AE39" s="142" t="str">
        <f>IFERROR(__xludf.DUMMYFUNCTION("""COMPUTED_VALUE"""),"Pozorrubio")</f>
        <v>Pozorrubio</v>
      </c>
      <c r="AF39" s="142" t="str">
        <f>IFERROR(__xludf.DUMMYFUNCTION("""COMPUTED_VALUE"""),"Rosales")</f>
        <v>Rosales</v>
      </c>
      <c r="AG39" s="142" t="str">
        <f>IFERROR(__xludf.DUMMYFUNCTION("""COMPUTED_VALUE"""),"City of San Carlos")</f>
        <v>City of San Carlos</v>
      </c>
      <c r="AH39" s="142" t="str">
        <f>IFERROR(__xludf.DUMMYFUNCTION("""COMPUTED_VALUE"""),"San Fabian")</f>
        <v>San Fabian</v>
      </c>
      <c r="AI39" s="142" t="str">
        <f>IFERROR(__xludf.DUMMYFUNCTION("""COMPUTED_VALUE"""),"San Jacinto")</f>
        <v>San Jacinto</v>
      </c>
      <c r="AJ39" s="142" t="str">
        <f>IFERROR(__xludf.DUMMYFUNCTION("""COMPUTED_VALUE"""),"San Manuel")</f>
        <v>San Manuel</v>
      </c>
      <c r="AK39" s="142" t="str">
        <f>IFERROR(__xludf.DUMMYFUNCTION("""COMPUTED_VALUE"""),"San Nicolas")</f>
        <v>San Nicolas</v>
      </c>
      <c r="AL39" s="142" t="str">
        <f>IFERROR(__xludf.DUMMYFUNCTION("""COMPUTED_VALUE"""),"San Quintin")</f>
        <v>San Quintin</v>
      </c>
      <c r="AM39" s="142" t="str">
        <f>IFERROR(__xludf.DUMMYFUNCTION("""COMPUTED_VALUE"""),"Santa Barbara")</f>
        <v>Santa Barbara</v>
      </c>
      <c r="AN39" s="142" t="str">
        <f>IFERROR(__xludf.DUMMYFUNCTION("""COMPUTED_VALUE"""),"Santa Maria")</f>
        <v>Santa Maria</v>
      </c>
      <c r="AO39" s="142" t="str">
        <f>IFERROR(__xludf.DUMMYFUNCTION("""COMPUTED_VALUE"""),"Santo Tomas")</f>
        <v>Santo Tomas</v>
      </c>
      <c r="AP39" s="142" t="str">
        <f>IFERROR(__xludf.DUMMYFUNCTION("""COMPUTED_VALUE"""),"Sison")</f>
        <v>Sison</v>
      </c>
      <c r="AQ39" s="142" t="str">
        <f>IFERROR(__xludf.DUMMYFUNCTION("""COMPUTED_VALUE"""),"Sual")</f>
        <v>Sual</v>
      </c>
      <c r="AR39" s="142" t="str">
        <f>IFERROR(__xludf.DUMMYFUNCTION("""COMPUTED_VALUE"""),"Tayug")</f>
        <v>Tayug</v>
      </c>
      <c r="AS39" s="142" t="str">
        <f>IFERROR(__xludf.DUMMYFUNCTION("""COMPUTED_VALUE"""),"Umingan")</f>
        <v>Umingan</v>
      </c>
      <c r="AT39" s="142" t="str">
        <f>IFERROR(__xludf.DUMMYFUNCTION("""COMPUTED_VALUE"""),"Urbiztondo")</f>
        <v>Urbiztondo</v>
      </c>
      <c r="AU39" s="142" t="str">
        <f>IFERROR(__xludf.DUMMYFUNCTION("""COMPUTED_VALUE"""),"City of Urdaneta")</f>
        <v>City of Urdaneta</v>
      </c>
      <c r="AV39" s="142" t="str">
        <f>IFERROR(__xludf.DUMMYFUNCTION("""COMPUTED_VALUE"""),"Villasis")</f>
        <v>Villasis</v>
      </c>
      <c r="AW39" s="142" t="str">
        <f>IFERROR(__xludf.DUMMYFUNCTION("""COMPUTED_VALUE"""),"Laoac")</f>
        <v>Laoac</v>
      </c>
      <c r="AX39" s="8"/>
      <c r="AY39" s="8"/>
      <c r="AZ39" s="8"/>
      <c r="BA39" s="8"/>
      <c r="BB39" s="8"/>
      <c r="BC39" s="8"/>
      <c r="BD39" s="8"/>
      <c r="BE39" s="8"/>
    </row>
    <row r="40">
      <c r="A40" s="142" t="s">
        <v>482</v>
      </c>
      <c r="B40" s="142" t="str">
        <f>IFERROR(__xludf.DUMMYFUNCTION("""COMPUTED_VALUE"""),"Abulug")</f>
        <v>Abulug</v>
      </c>
      <c r="C40" s="142" t="str">
        <f>IFERROR(__xludf.DUMMYFUNCTION("""COMPUTED_VALUE"""),"Alcala")</f>
        <v>Alcala</v>
      </c>
      <c r="D40" s="142" t="str">
        <f>IFERROR(__xludf.DUMMYFUNCTION("""COMPUTED_VALUE"""),"Allacapan")</f>
        <v>Allacapan</v>
      </c>
      <c r="E40" s="142" t="str">
        <f>IFERROR(__xludf.DUMMYFUNCTION("""COMPUTED_VALUE"""),"Amulung")</f>
        <v>Amulung</v>
      </c>
      <c r="F40" s="142" t="str">
        <f>IFERROR(__xludf.DUMMYFUNCTION("""COMPUTED_VALUE"""),"Aparri")</f>
        <v>Aparri</v>
      </c>
      <c r="G40" s="142" t="str">
        <f>IFERROR(__xludf.DUMMYFUNCTION("""COMPUTED_VALUE"""),"Baggao")</f>
        <v>Baggao</v>
      </c>
      <c r="H40" s="142" t="str">
        <f>IFERROR(__xludf.DUMMYFUNCTION("""COMPUTED_VALUE"""),"Ballesteros")</f>
        <v>Ballesteros</v>
      </c>
      <c r="I40" s="142" t="str">
        <f>IFERROR(__xludf.DUMMYFUNCTION("""COMPUTED_VALUE"""),"Buguey")</f>
        <v>Buguey</v>
      </c>
      <c r="J40" s="142" t="str">
        <f>IFERROR(__xludf.DUMMYFUNCTION("""COMPUTED_VALUE"""),"Calayan")</f>
        <v>Calayan</v>
      </c>
      <c r="K40" s="142" t="str">
        <f>IFERROR(__xludf.DUMMYFUNCTION("""COMPUTED_VALUE"""),"Camalaniugan")</f>
        <v>Camalaniugan</v>
      </c>
      <c r="L40" s="142" t="str">
        <f>IFERROR(__xludf.DUMMYFUNCTION("""COMPUTED_VALUE"""),"Claveria")</f>
        <v>Claveria</v>
      </c>
      <c r="M40" s="142" t="str">
        <f>IFERROR(__xludf.DUMMYFUNCTION("""COMPUTED_VALUE"""),"Enrile")</f>
        <v>Enrile</v>
      </c>
      <c r="N40" s="142" t="str">
        <f>IFERROR(__xludf.DUMMYFUNCTION("""COMPUTED_VALUE"""),"Gattaran")</f>
        <v>Gattaran</v>
      </c>
      <c r="O40" s="142" t="str">
        <f>IFERROR(__xludf.DUMMYFUNCTION("""COMPUTED_VALUE"""),"Gonzaga")</f>
        <v>Gonzaga</v>
      </c>
      <c r="P40" s="142" t="str">
        <f>IFERROR(__xludf.DUMMYFUNCTION("""COMPUTED_VALUE"""),"Iguig")</f>
        <v>Iguig</v>
      </c>
      <c r="Q40" s="142" t="str">
        <f>IFERROR(__xludf.DUMMYFUNCTION("""COMPUTED_VALUE"""),"Lal-Lo")</f>
        <v>Lal-Lo</v>
      </c>
      <c r="R40" s="142" t="str">
        <f>IFERROR(__xludf.DUMMYFUNCTION("""COMPUTED_VALUE"""),"Lasam")</f>
        <v>Lasam</v>
      </c>
      <c r="S40" s="142" t="str">
        <f>IFERROR(__xludf.DUMMYFUNCTION("""COMPUTED_VALUE"""),"Pamplona")</f>
        <v>Pamplona</v>
      </c>
      <c r="T40" s="142" t="str">
        <f>IFERROR(__xludf.DUMMYFUNCTION("""COMPUTED_VALUE"""),"Peñablanca")</f>
        <v>Peñablanca</v>
      </c>
      <c r="U40" s="142" t="str">
        <f>IFERROR(__xludf.DUMMYFUNCTION("""COMPUTED_VALUE"""),"Piat")</f>
        <v>Piat</v>
      </c>
      <c r="V40" s="142" t="str">
        <f>IFERROR(__xludf.DUMMYFUNCTION("""COMPUTED_VALUE"""),"Rizal")</f>
        <v>Rizal</v>
      </c>
      <c r="W40" s="142" t="str">
        <f>IFERROR(__xludf.DUMMYFUNCTION("""COMPUTED_VALUE"""),"Sanchez-Mira")</f>
        <v>Sanchez-Mira</v>
      </c>
      <c r="X40" s="142" t="str">
        <f>IFERROR(__xludf.DUMMYFUNCTION("""COMPUTED_VALUE"""),"Santa Ana")</f>
        <v>Santa Ana</v>
      </c>
      <c r="Y40" s="142" t="str">
        <f>IFERROR(__xludf.DUMMYFUNCTION("""COMPUTED_VALUE"""),"Santa Praxedes")</f>
        <v>Santa Praxedes</v>
      </c>
      <c r="Z40" s="142" t="str">
        <f>IFERROR(__xludf.DUMMYFUNCTION("""COMPUTED_VALUE"""),"Santa Teresita")</f>
        <v>Santa Teresita</v>
      </c>
      <c r="AA40" s="142" t="str">
        <f>IFERROR(__xludf.DUMMYFUNCTION("""COMPUTED_VALUE"""),"Santo Niño")</f>
        <v>Santo Niño</v>
      </c>
      <c r="AB40" s="142" t="str">
        <f>IFERROR(__xludf.DUMMYFUNCTION("""COMPUTED_VALUE"""),"Solana")</f>
        <v>Solana</v>
      </c>
      <c r="AC40" s="142" t="str">
        <f>IFERROR(__xludf.DUMMYFUNCTION("""COMPUTED_VALUE"""),"Tuao")</f>
        <v>Tuao</v>
      </c>
      <c r="AD40" s="142" t="str">
        <f>IFERROR(__xludf.DUMMYFUNCTION("""COMPUTED_VALUE"""),"Tuguegarao City")</f>
        <v>Tuguegarao City</v>
      </c>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row>
    <row r="41">
      <c r="A41" s="142" t="s">
        <v>294</v>
      </c>
      <c r="B41" s="142" t="str">
        <f>IFERROR(__xludf.DUMMYFUNCTION("""COMPUTED_VALUE"""),"Botolan")</f>
        <v>Botolan</v>
      </c>
      <c r="C41" s="142" t="str">
        <f>IFERROR(__xludf.DUMMYFUNCTION("""COMPUTED_VALUE"""),"Cabangan")</f>
        <v>Cabangan</v>
      </c>
      <c r="D41" s="142" t="str">
        <f>IFERROR(__xludf.DUMMYFUNCTION("""COMPUTED_VALUE"""),"Candelaria")</f>
        <v>Candelaria</v>
      </c>
      <c r="E41" s="142" t="str">
        <f>IFERROR(__xludf.DUMMYFUNCTION("""COMPUTED_VALUE"""),"Castillejos")</f>
        <v>Castillejos</v>
      </c>
      <c r="F41" s="142" t="str">
        <f>IFERROR(__xludf.DUMMYFUNCTION("""COMPUTED_VALUE"""),"Iba")</f>
        <v>Iba</v>
      </c>
      <c r="G41" s="142" t="str">
        <f>IFERROR(__xludf.DUMMYFUNCTION("""COMPUTED_VALUE"""),"Masinloc")</f>
        <v>Masinloc</v>
      </c>
      <c r="H41" s="142" t="str">
        <f>IFERROR(__xludf.DUMMYFUNCTION("""COMPUTED_VALUE"""),"City of Olongapo")</f>
        <v>City of Olongapo</v>
      </c>
      <c r="I41" s="142" t="str">
        <f>IFERROR(__xludf.DUMMYFUNCTION("""COMPUTED_VALUE"""),"Palauig")</f>
        <v>Palauig</v>
      </c>
      <c r="J41" s="142" t="str">
        <f>IFERROR(__xludf.DUMMYFUNCTION("""COMPUTED_VALUE"""),"San Antonio")</f>
        <v>San Antonio</v>
      </c>
      <c r="K41" s="142" t="str">
        <f>IFERROR(__xludf.DUMMYFUNCTION("""COMPUTED_VALUE"""),"San Felipe")</f>
        <v>San Felipe</v>
      </c>
      <c r="L41" s="142" t="str">
        <f>IFERROR(__xludf.DUMMYFUNCTION("""COMPUTED_VALUE"""),"San Marcelino")</f>
        <v>San Marcelino</v>
      </c>
      <c r="M41" s="142" t="str">
        <f>IFERROR(__xludf.DUMMYFUNCTION("""COMPUTED_VALUE"""),"San Narciso")</f>
        <v>San Narciso</v>
      </c>
      <c r="N41" s="142" t="str">
        <f>IFERROR(__xludf.DUMMYFUNCTION("""COMPUTED_VALUE"""),"Santa Cruz")</f>
        <v>Santa Cruz</v>
      </c>
      <c r="O41" s="142" t="str">
        <f>IFERROR(__xludf.DUMMYFUNCTION("""COMPUTED_VALUE"""),"Subic")</f>
        <v>Subic</v>
      </c>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row>
    <row r="42">
      <c r="A42" s="142" t="s">
        <v>258</v>
      </c>
      <c r="B42" s="142" t="str">
        <f>IFERROR(__xludf.DUMMYFUNCTION("""COMPUTED_VALUE"""),"Agoncillo")</f>
        <v>Agoncillo</v>
      </c>
      <c r="C42" s="142" t="str">
        <f>IFERROR(__xludf.DUMMYFUNCTION("""COMPUTED_VALUE"""),"Alitagtag")</f>
        <v>Alitagtag</v>
      </c>
      <c r="D42" s="142" t="str">
        <f>IFERROR(__xludf.DUMMYFUNCTION("""COMPUTED_VALUE"""),"Balayan")</f>
        <v>Balayan</v>
      </c>
      <c r="E42" s="142" t="str">
        <f>IFERROR(__xludf.DUMMYFUNCTION("""COMPUTED_VALUE"""),"Balete")</f>
        <v>Balete</v>
      </c>
      <c r="F42" s="142" t="str">
        <f>IFERROR(__xludf.DUMMYFUNCTION("""COMPUTED_VALUE"""),"Batangas City")</f>
        <v>Batangas City</v>
      </c>
      <c r="G42" s="142" t="str">
        <f>IFERROR(__xludf.DUMMYFUNCTION("""COMPUTED_VALUE"""),"Bauan")</f>
        <v>Bauan</v>
      </c>
      <c r="H42" s="142" t="str">
        <f>IFERROR(__xludf.DUMMYFUNCTION("""COMPUTED_VALUE"""),"City of Calaca")</f>
        <v>City of Calaca</v>
      </c>
      <c r="I42" s="142" t="str">
        <f>IFERROR(__xludf.DUMMYFUNCTION("""COMPUTED_VALUE"""),"Calatagan")</f>
        <v>Calatagan</v>
      </c>
      <c r="J42" s="142" t="str">
        <f>IFERROR(__xludf.DUMMYFUNCTION("""COMPUTED_VALUE"""),"Cuenca")</f>
        <v>Cuenca</v>
      </c>
      <c r="K42" s="142" t="str">
        <f>IFERROR(__xludf.DUMMYFUNCTION("""COMPUTED_VALUE"""),"Ibaan")</f>
        <v>Ibaan</v>
      </c>
      <c r="L42" s="142" t="str">
        <f>IFERROR(__xludf.DUMMYFUNCTION("""COMPUTED_VALUE"""),"Laurel")</f>
        <v>Laurel</v>
      </c>
      <c r="M42" s="142" t="str">
        <f>IFERROR(__xludf.DUMMYFUNCTION("""COMPUTED_VALUE"""),"Lemery")</f>
        <v>Lemery</v>
      </c>
      <c r="N42" s="142" t="str">
        <f>IFERROR(__xludf.DUMMYFUNCTION("""COMPUTED_VALUE"""),"Lian")</f>
        <v>Lian</v>
      </c>
      <c r="O42" s="142" t="str">
        <f>IFERROR(__xludf.DUMMYFUNCTION("""COMPUTED_VALUE"""),"City of Lipa")</f>
        <v>City of Lipa</v>
      </c>
      <c r="P42" s="142" t="str">
        <f>IFERROR(__xludf.DUMMYFUNCTION("""COMPUTED_VALUE"""),"Lobo")</f>
        <v>Lobo</v>
      </c>
      <c r="Q42" s="142" t="str">
        <f>IFERROR(__xludf.DUMMYFUNCTION("""COMPUTED_VALUE"""),"Mabini")</f>
        <v>Mabini</v>
      </c>
      <c r="R42" s="142" t="str">
        <f>IFERROR(__xludf.DUMMYFUNCTION("""COMPUTED_VALUE"""),"Malvar")</f>
        <v>Malvar</v>
      </c>
      <c r="S42" s="142" t="str">
        <f>IFERROR(__xludf.DUMMYFUNCTION("""COMPUTED_VALUE"""),"Mataasnakahoy")</f>
        <v>Mataasnakahoy</v>
      </c>
      <c r="T42" s="142" t="str">
        <f>IFERROR(__xludf.DUMMYFUNCTION("""COMPUTED_VALUE"""),"Nasugbu")</f>
        <v>Nasugbu</v>
      </c>
      <c r="U42" s="142" t="str">
        <f>IFERROR(__xludf.DUMMYFUNCTION("""COMPUTED_VALUE"""),"Padre Garcia")</f>
        <v>Padre Garcia</v>
      </c>
      <c r="V42" s="142" t="str">
        <f>IFERROR(__xludf.DUMMYFUNCTION("""COMPUTED_VALUE"""),"Rosario")</f>
        <v>Rosario</v>
      </c>
      <c r="W42" s="142" t="str">
        <f>IFERROR(__xludf.DUMMYFUNCTION("""COMPUTED_VALUE"""),"San Jose")</f>
        <v>San Jose</v>
      </c>
      <c r="X42" s="142" t="str">
        <f>IFERROR(__xludf.DUMMYFUNCTION("""COMPUTED_VALUE"""),"San Juan")</f>
        <v>San Juan</v>
      </c>
      <c r="Y42" s="142" t="str">
        <f>IFERROR(__xludf.DUMMYFUNCTION("""COMPUTED_VALUE"""),"San Luis")</f>
        <v>San Luis</v>
      </c>
      <c r="Z42" s="142" t="str">
        <f>IFERROR(__xludf.DUMMYFUNCTION("""COMPUTED_VALUE"""),"San Nicolas")</f>
        <v>San Nicolas</v>
      </c>
      <c r="AA42" s="142" t="str">
        <f>IFERROR(__xludf.DUMMYFUNCTION("""COMPUTED_VALUE"""),"San Pascual")</f>
        <v>San Pascual</v>
      </c>
      <c r="AB42" s="142" t="str">
        <f>IFERROR(__xludf.DUMMYFUNCTION("""COMPUTED_VALUE"""),"Santa Teresita")</f>
        <v>Santa Teresita</v>
      </c>
      <c r="AC42" s="142" t="str">
        <f>IFERROR(__xludf.DUMMYFUNCTION("""COMPUTED_VALUE"""),"City of Sto. Tomas")</f>
        <v>City of Sto. Tomas</v>
      </c>
      <c r="AD42" s="142" t="str">
        <f>IFERROR(__xludf.DUMMYFUNCTION("""COMPUTED_VALUE"""),"Taal")</f>
        <v>Taal</v>
      </c>
      <c r="AE42" s="142" t="str">
        <f>IFERROR(__xludf.DUMMYFUNCTION("""COMPUTED_VALUE"""),"Talisay")</f>
        <v>Talisay</v>
      </c>
      <c r="AF42" s="142" t="str">
        <f>IFERROR(__xludf.DUMMYFUNCTION("""COMPUTED_VALUE"""),"City of Tanauan")</f>
        <v>City of Tanauan</v>
      </c>
      <c r="AG42" s="142" t="str">
        <f>IFERROR(__xludf.DUMMYFUNCTION("""COMPUTED_VALUE"""),"Taysan")</f>
        <v>Taysan</v>
      </c>
      <c r="AH42" s="142" t="str">
        <f>IFERROR(__xludf.DUMMYFUNCTION("""COMPUTED_VALUE"""),"Tingloy")</f>
        <v>Tingloy</v>
      </c>
      <c r="AI42" s="142" t="str">
        <f>IFERROR(__xludf.DUMMYFUNCTION("""COMPUTED_VALUE"""),"Tuy")</f>
        <v>Tuy</v>
      </c>
      <c r="AJ42" s="8"/>
      <c r="AK42" s="8"/>
      <c r="AL42" s="8"/>
      <c r="AM42" s="8"/>
      <c r="AN42" s="8"/>
      <c r="AO42" s="8"/>
      <c r="AP42" s="8"/>
      <c r="AQ42" s="8"/>
      <c r="AR42" s="8"/>
      <c r="AS42" s="8"/>
      <c r="AT42" s="8"/>
      <c r="AU42" s="8"/>
      <c r="AV42" s="8"/>
      <c r="AW42" s="8"/>
      <c r="AX42" s="8"/>
      <c r="AY42" s="8"/>
      <c r="AZ42" s="8"/>
      <c r="BA42" s="8"/>
      <c r="BB42" s="8"/>
      <c r="BC42" s="8"/>
      <c r="BD42" s="8"/>
      <c r="BE42" s="8"/>
    </row>
    <row r="43">
      <c r="A43" s="142" t="s">
        <v>497</v>
      </c>
      <c r="B43" s="142" t="str">
        <f>IFERROR(__xludf.DUMMYFUNCTION("""COMPUTED_VALUE"""),"Agdangan")</f>
        <v>Agdangan</v>
      </c>
      <c r="C43" s="142" t="str">
        <f>IFERROR(__xludf.DUMMYFUNCTION("""COMPUTED_VALUE"""),"Alabat")</f>
        <v>Alabat</v>
      </c>
      <c r="D43" s="142" t="str">
        <f>IFERROR(__xludf.DUMMYFUNCTION("""COMPUTED_VALUE"""),"Atimonan")</f>
        <v>Atimonan</v>
      </c>
      <c r="E43" s="142" t="str">
        <f>IFERROR(__xludf.DUMMYFUNCTION("""COMPUTED_VALUE"""),"Buenavista")</f>
        <v>Buenavista</v>
      </c>
      <c r="F43" s="142" t="str">
        <f>IFERROR(__xludf.DUMMYFUNCTION("""COMPUTED_VALUE"""),"Burdeos")</f>
        <v>Burdeos</v>
      </c>
      <c r="G43" s="142" t="str">
        <f>IFERROR(__xludf.DUMMYFUNCTION("""COMPUTED_VALUE"""),"Calauag")</f>
        <v>Calauag</v>
      </c>
      <c r="H43" s="142" t="str">
        <f>IFERROR(__xludf.DUMMYFUNCTION("""COMPUTED_VALUE"""),"Candelaria")</f>
        <v>Candelaria</v>
      </c>
      <c r="I43" s="142" t="str">
        <f>IFERROR(__xludf.DUMMYFUNCTION("""COMPUTED_VALUE"""),"Catanauan")</f>
        <v>Catanauan</v>
      </c>
      <c r="J43" s="142" t="str">
        <f>IFERROR(__xludf.DUMMYFUNCTION("""COMPUTED_VALUE"""),"Dolores")</f>
        <v>Dolores</v>
      </c>
      <c r="K43" s="142" t="str">
        <f>IFERROR(__xludf.DUMMYFUNCTION("""COMPUTED_VALUE"""),"General Luna")</f>
        <v>General Luna</v>
      </c>
      <c r="L43" s="142" t="str">
        <f>IFERROR(__xludf.DUMMYFUNCTION("""COMPUTED_VALUE"""),"General Nakar")</f>
        <v>General Nakar</v>
      </c>
      <c r="M43" s="142" t="str">
        <f>IFERROR(__xludf.DUMMYFUNCTION("""COMPUTED_VALUE"""),"Guinayangan")</f>
        <v>Guinayangan</v>
      </c>
      <c r="N43" s="142" t="str">
        <f>IFERROR(__xludf.DUMMYFUNCTION("""COMPUTED_VALUE"""),"Gumaca")</f>
        <v>Gumaca</v>
      </c>
      <c r="O43" s="142" t="str">
        <f>IFERROR(__xludf.DUMMYFUNCTION("""COMPUTED_VALUE"""),"Infanta")</f>
        <v>Infanta</v>
      </c>
      <c r="P43" s="142" t="str">
        <f>IFERROR(__xludf.DUMMYFUNCTION("""COMPUTED_VALUE"""),"Jomalig")</f>
        <v>Jomalig</v>
      </c>
      <c r="Q43" s="142" t="str">
        <f>IFERROR(__xludf.DUMMYFUNCTION("""COMPUTED_VALUE"""),"Lopez")</f>
        <v>Lopez</v>
      </c>
      <c r="R43" s="142" t="str">
        <f>IFERROR(__xludf.DUMMYFUNCTION("""COMPUTED_VALUE"""),"Lucban")</f>
        <v>Lucban</v>
      </c>
      <c r="S43" s="142" t="str">
        <f>IFERROR(__xludf.DUMMYFUNCTION("""COMPUTED_VALUE"""),"Macalelon")</f>
        <v>Macalelon</v>
      </c>
      <c r="T43" s="142" t="str">
        <f>IFERROR(__xludf.DUMMYFUNCTION("""COMPUTED_VALUE"""),"Mauban")</f>
        <v>Mauban</v>
      </c>
      <c r="U43" s="142" t="str">
        <f>IFERROR(__xludf.DUMMYFUNCTION("""COMPUTED_VALUE"""),"Mulanay")</f>
        <v>Mulanay</v>
      </c>
      <c r="V43" s="142" t="str">
        <f>IFERROR(__xludf.DUMMYFUNCTION("""COMPUTED_VALUE"""),"Padre Burgos")</f>
        <v>Padre Burgos</v>
      </c>
      <c r="W43" s="142" t="str">
        <f>IFERROR(__xludf.DUMMYFUNCTION("""COMPUTED_VALUE"""),"Pagbilao")</f>
        <v>Pagbilao</v>
      </c>
      <c r="X43" s="142" t="str">
        <f>IFERROR(__xludf.DUMMYFUNCTION("""COMPUTED_VALUE"""),"Panukulan")</f>
        <v>Panukulan</v>
      </c>
      <c r="Y43" s="142" t="str">
        <f>IFERROR(__xludf.DUMMYFUNCTION("""COMPUTED_VALUE"""),"Patnanungan")</f>
        <v>Patnanungan</v>
      </c>
      <c r="Z43" s="142" t="str">
        <f>IFERROR(__xludf.DUMMYFUNCTION("""COMPUTED_VALUE"""),"Perez")</f>
        <v>Perez</v>
      </c>
      <c r="AA43" s="142" t="str">
        <f>IFERROR(__xludf.DUMMYFUNCTION("""COMPUTED_VALUE"""),"Pitogo")</f>
        <v>Pitogo</v>
      </c>
      <c r="AB43" s="142" t="str">
        <f>IFERROR(__xludf.DUMMYFUNCTION("""COMPUTED_VALUE"""),"Plaridel")</f>
        <v>Plaridel</v>
      </c>
      <c r="AC43" s="142" t="str">
        <f>IFERROR(__xludf.DUMMYFUNCTION("""COMPUTED_VALUE"""),"Polillo")</f>
        <v>Polillo</v>
      </c>
      <c r="AD43" s="142" t="str">
        <f>IFERROR(__xludf.DUMMYFUNCTION("""COMPUTED_VALUE"""),"Quezon")</f>
        <v>Quezon</v>
      </c>
      <c r="AE43" s="142" t="str">
        <f>IFERROR(__xludf.DUMMYFUNCTION("""COMPUTED_VALUE"""),"Real")</f>
        <v>Real</v>
      </c>
      <c r="AF43" s="142" t="str">
        <f>IFERROR(__xludf.DUMMYFUNCTION("""COMPUTED_VALUE"""),"Sampaloc")</f>
        <v>Sampaloc</v>
      </c>
      <c r="AG43" s="142" t="str">
        <f>IFERROR(__xludf.DUMMYFUNCTION("""COMPUTED_VALUE"""),"San Andres")</f>
        <v>San Andres</v>
      </c>
      <c r="AH43" s="142" t="str">
        <f>IFERROR(__xludf.DUMMYFUNCTION("""COMPUTED_VALUE"""),"San Antonio")</f>
        <v>San Antonio</v>
      </c>
      <c r="AI43" s="142" t="str">
        <f>IFERROR(__xludf.DUMMYFUNCTION("""COMPUTED_VALUE"""),"San Francisco")</f>
        <v>San Francisco</v>
      </c>
      <c r="AJ43" s="142" t="str">
        <f>IFERROR(__xludf.DUMMYFUNCTION("""COMPUTED_VALUE"""),"San Narciso")</f>
        <v>San Narciso</v>
      </c>
      <c r="AK43" s="142" t="str">
        <f>IFERROR(__xludf.DUMMYFUNCTION("""COMPUTED_VALUE"""),"Sariaya")</f>
        <v>Sariaya</v>
      </c>
      <c r="AL43" s="142" t="str">
        <f>IFERROR(__xludf.DUMMYFUNCTION("""COMPUTED_VALUE"""),"Tagkawayan")</f>
        <v>Tagkawayan</v>
      </c>
      <c r="AM43" s="142" t="str">
        <f>IFERROR(__xludf.DUMMYFUNCTION("""COMPUTED_VALUE"""),"City of Tayabas")</f>
        <v>City of Tayabas</v>
      </c>
      <c r="AN43" s="142" t="str">
        <f>IFERROR(__xludf.DUMMYFUNCTION("""COMPUTED_VALUE"""),"Tiaong")</f>
        <v>Tiaong</v>
      </c>
      <c r="AO43" s="142" t="str">
        <f>IFERROR(__xludf.DUMMYFUNCTION("""COMPUTED_VALUE"""),"Unisan")</f>
        <v>Unisan</v>
      </c>
      <c r="AP43" s="142" t="str">
        <f>IFERROR(__xludf.DUMMYFUNCTION("""COMPUTED_VALUE"""),"Rizal")</f>
        <v>Rizal</v>
      </c>
      <c r="AQ43" s="142" t="str">
        <f>IFERROR(__xludf.DUMMYFUNCTION("""COMPUTED_VALUE"""),"Angono")</f>
        <v>Angono</v>
      </c>
      <c r="AR43" s="142" t="str">
        <f>IFERROR(__xludf.DUMMYFUNCTION("""COMPUTED_VALUE"""),"City of Antipolo")</f>
        <v>City of Antipolo</v>
      </c>
      <c r="AS43" s="142" t="str">
        <f>IFERROR(__xludf.DUMMYFUNCTION("""COMPUTED_VALUE"""),"Baras")</f>
        <v>Baras</v>
      </c>
      <c r="AT43" s="142" t="str">
        <f>IFERROR(__xludf.DUMMYFUNCTION("""COMPUTED_VALUE"""),"Binangonan")</f>
        <v>Binangonan</v>
      </c>
      <c r="AU43" s="142" t="str">
        <f>IFERROR(__xludf.DUMMYFUNCTION("""COMPUTED_VALUE"""),"Cainta")</f>
        <v>Cainta</v>
      </c>
      <c r="AV43" s="142" t="str">
        <f>IFERROR(__xludf.DUMMYFUNCTION("""COMPUTED_VALUE"""),"Cardona")</f>
        <v>Cardona</v>
      </c>
      <c r="AW43" s="142" t="str">
        <f>IFERROR(__xludf.DUMMYFUNCTION("""COMPUTED_VALUE"""),"Jala-Jala")</f>
        <v>Jala-Jala</v>
      </c>
      <c r="AX43" s="142" t="str">
        <f>IFERROR(__xludf.DUMMYFUNCTION("""COMPUTED_VALUE"""),"Rodriguez")</f>
        <v>Rodriguez</v>
      </c>
      <c r="AY43" s="142" t="str">
        <f>IFERROR(__xludf.DUMMYFUNCTION("""COMPUTED_VALUE"""),"Morong")</f>
        <v>Morong</v>
      </c>
      <c r="AZ43" s="142" t="str">
        <f>IFERROR(__xludf.DUMMYFUNCTION("""COMPUTED_VALUE"""),"Pililla")</f>
        <v>Pililla</v>
      </c>
      <c r="BA43" s="142" t="str">
        <f>IFERROR(__xludf.DUMMYFUNCTION("""COMPUTED_VALUE"""),"San Mateo")</f>
        <v>San Mateo</v>
      </c>
      <c r="BB43" s="142" t="str">
        <f>IFERROR(__xludf.DUMMYFUNCTION("""COMPUTED_VALUE"""),"Tanay")</f>
        <v>Tanay</v>
      </c>
      <c r="BC43" s="142" t="str">
        <f>IFERROR(__xludf.DUMMYFUNCTION("""COMPUTED_VALUE"""),"Taytay")</f>
        <v>Taytay</v>
      </c>
      <c r="BD43" s="142" t="str">
        <f>IFERROR(__xludf.DUMMYFUNCTION("""COMPUTED_VALUE"""),"Teresa")</f>
        <v>Teresa</v>
      </c>
      <c r="BE43" s="142" t="str">
        <f>IFERROR(__xludf.DUMMYFUNCTION("""COMPUTED_VALUE"""),"City of Lucena")</f>
        <v>City of Lucena</v>
      </c>
    </row>
    <row r="44">
      <c r="A44" s="142" t="s">
        <v>497</v>
      </c>
      <c r="B44" s="142" t="str">
        <f>IFERROR(__xludf.DUMMYFUNCTION("""COMPUTED_VALUE"""),"Agdangan")</f>
        <v>Agdangan</v>
      </c>
      <c r="C44" s="142" t="str">
        <f>IFERROR(__xludf.DUMMYFUNCTION("""COMPUTED_VALUE"""),"Alabat")</f>
        <v>Alabat</v>
      </c>
      <c r="D44" s="142" t="str">
        <f>IFERROR(__xludf.DUMMYFUNCTION("""COMPUTED_VALUE"""),"Atimonan")</f>
        <v>Atimonan</v>
      </c>
      <c r="E44" s="142" t="str">
        <f>IFERROR(__xludf.DUMMYFUNCTION("""COMPUTED_VALUE"""),"Buenavista")</f>
        <v>Buenavista</v>
      </c>
      <c r="F44" s="142" t="str">
        <f>IFERROR(__xludf.DUMMYFUNCTION("""COMPUTED_VALUE"""),"Burdeos")</f>
        <v>Burdeos</v>
      </c>
      <c r="G44" s="142" t="str">
        <f>IFERROR(__xludf.DUMMYFUNCTION("""COMPUTED_VALUE"""),"Calauag")</f>
        <v>Calauag</v>
      </c>
      <c r="H44" s="142" t="str">
        <f>IFERROR(__xludf.DUMMYFUNCTION("""COMPUTED_VALUE"""),"Candelaria")</f>
        <v>Candelaria</v>
      </c>
      <c r="I44" s="142" t="str">
        <f>IFERROR(__xludf.DUMMYFUNCTION("""COMPUTED_VALUE"""),"Catanauan")</f>
        <v>Catanauan</v>
      </c>
      <c r="J44" s="142" t="str">
        <f>IFERROR(__xludf.DUMMYFUNCTION("""COMPUTED_VALUE"""),"Dolores")</f>
        <v>Dolores</v>
      </c>
      <c r="K44" s="142" t="str">
        <f>IFERROR(__xludf.DUMMYFUNCTION("""COMPUTED_VALUE"""),"General Luna")</f>
        <v>General Luna</v>
      </c>
      <c r="L44" s="142" t="str">
        <f>IFERROR(__xludf.DUMMYFUNCTION("""COMPUTED_VALUE"""),"General Nakar")</f>
        <v>General Nakar</v>
      </c>
      <c r="M44" s="142" t="str">
        <f>IFERROR(__xludf.DUMMYFUNCTION("""COMPUTED_VALUE"""),"Guinayangan")</f>
        <v>Guinayangan</v>
      </c>
      <c r="N44" s="142" t="str">
        <f>IFERROR(__xludf.DUMMYFUNCTION("""COMPUTED_VALUE"""),"Gumaca")</f>
        <v>Gumaca</v>
      </c>
      <c r="O44" s="142" t="str">
        <f>IFERROR(__xludf.DUMMYFUNCTION("""COMPUTED_VALUE"""),"Infanta")</f>
        <v>Infanta</v>
      </c>
      <c r="P44" s="142" t="str">
        <f>IFERROR(__xludf.DUMMYFUNCTION("""COMPUTED_VALUE"""),"Jomalig")</f>
        <v>Jomalig</v>
      </c>
      <c r="Q44" s="142" t="str">
        <f>IFERROR(__xludf.DUMMYFUNCTION("""COMPUTED_VALUE"""),"Lopez")</f>
        <v>Lopez</v>
      </c>
      <c r="R44" s="142" t="str">
        <f>IFERROR(__xludf.DUMMYFUNCTION("""COMPUTED_VALUE"""),"Lucban")</f>
        <v>Lucban</v>
      </c>
      <c r="S44" s="142" t="str">
        <f>IFERROR(__xludf.DUMMYFUNCTION("""COMPUTED_VALUE"""),"Macalelon")</f>
        <v>Macalelon</v>
      </c>
      <c r="T44" s="142" t="str">
        <f>IFERROR(__xludf.DUMMYFUNCTION("""COMPUTED_VALUE"""),"Mauban")</f>
        <v>Mauban</v>
      </c>
      <c r="U44" s="142" t="str">
        <f>IFERROR(__xludf.DUMMYFUNCTION("""COMPUTED_VALUE"""),"Mulanay")</f>
        <v>Mulanay</v>
      </c>
      <c r="V44" s="142" t="str">
        <f>IFERROR(__xludf.DUMMYFUNCTION("""COMPUTED_VALUE"""),"Padre Burgos")</f>
        <v>Padre Burgos</v>
      </c>
      <c r="W44" s="142" t="str">
        <f>IFERROR(__xludf.DUMMYFUNCTION("""COMPUTED_VALUE"""),"Pagbilao")</f>
        <v>Pagbilao</v>
      </c>
      <c r="X44" s="142" t="str">
        <f>IFERROR(__xludf.DUMMYFUNCTION("""COMPUTED_VALUE"""),"Panukulan")</f>
        <v>Panukulan</v>
      </c>
      <c r="Y44" s="142" t="str">
        <f>IFERROR(__xludf.DUMMYFUNCTION("""COMPUTED_VALUE"""),"Patnanungan")</f>
        <v>Patnanungan</v>
      </c>
      <c r="Z44" s="142" t="str">
        <f>IFERROR(__xludf.DUMMYFUNCTION("""COMPUTED_VALUE"""),"Perez")</f>
        <v>Perez</v>
      </c>
      <c r="AA44" s="142" t="str">
        <f>IFERROR(__xludf.DUMMYFUNCTION("""COMPUTED_VALUE"""),"Pitogo")</f>
        <v>Pitogo</v>
      </c>
      <c r="AB44" s="142" t="str">
        <f>IFERROR(__xludf.DUMMYFUNCTION("""COMPUTED_VALUE"""),"Plaridel")</f>
        <v>Plaridel</v>
      </c>
      <c r="AC44" s="142" t="str">
        <f>IFERROR(__xludf.DUMMYFUNCTION("""COMPUTED_VALUE"""),"Polillo")</f>
        <v>Polillo</v>
      </c>
      <c r="AD44" s="142" t="str">
        <f>IFERROR(__xludf.DUMMYFUNCTION("""COMPUTED_VALUE"""),"Quezon")</f>
        <v>Quezon</v>
      </c>
      <c r="AE44" s="142" t="str">
        <f>IFERROR(__xludf.DUMMYFUNCTION("""COMPUTED_VALUE"""),"Real")</f>
        <v>Real</v>
      </c>
      <c r="AF44" s="142" t="str">
        <f>IFERROR(__xludf.DUMMYFUNCTION("""COMPUTED_VALUE"""),"Sampaloc")</f>
        <v>Sampaloc</v>
      </c>
      <c r="AG44" s="142" t="str">
        <f>IFERROR(__xludf.DUMMYFUNCTION("""COMPUTED_VALUE"""),"San Andres")</f>
        <v>San Andres</v>
      </c>
      <c r="AH44" s="142" t="str">
        <f>IFERROR(__xludf.DUMMYFUNCTION("""COMPUTED_VALUE"""),"San Antonio")</f>
        <v>San Antonio</v>
      </c>
      <c r="AI44" s="142" t="str">
        <f>IFERROR(__xludf.DUMMYFUNCTION("""COMPUTED_VALUE"""),"San Francisco")</f>
        <v>San Francisco</v>
      </c>
      <c r="AJ44" s="142" t="str">
        <f>IFERROR(__xludf.DUMMYFUNCTION("""COMPUTED_VALUE"""),"San Narciso")</f>
        <v>San Narciso</v>
      </c>
      <c r="AK44" s="142" t="str">
        <f>IFERROR(__xludf.DUMMYFUNCTION("""COMPUTED_VALUE"""),"Sariaya")</f>
        <v>Sariaya</v>
      </c>
      <c r="AL44" s="142" t="str">
        <f>IFERROR(__xludf.DUMMYFUNCTION("""COMPUTED_VALUE"""),"Tagkawayan")</f>
        <v>Tagkawayan</v>
      </c>
      <c r="AM44" s="142" t="str">
        <f>IFERROR(__xludf.DUMMYFUNCTION("""COMPUTED_VALUE"""),"City of Tayabas")</f>
        <v>City of Tayabas</v>
      </c>
      <c r="AN44" s="142" t="str">
        <f>IFERROR(__xludf.DUMMYFUNCTION("""COMPUTED_VALUE"""),"Tiaong")</f>
        <v>Tiaong</v>
      </c>
      <c r="AO44" s="142" t="str">
        <f>IFERROR(__xludf.DUMMYFUNCTION("""COMPUTED_VALUE"""),"Unisan")</f>
        <v>Unisan</v>
      </c>
      <c r="AP44" s="142" t="str">
        <f>IFERROR(__xludf.DUMMYFUNCTION("""COMPUTED_VALUE"""),"Rizal")</f>
        <v>Rizal</v>
      </c>
      <c r="AQ44" s="142" t="str">
        <f>IFERROR(__xludf.DUMMYFUNCTION("""COMPUTED_VALUE"""),"Angono")</f>
        <v>Angono</v>
      </c>
      <c r="AR44" s="142" t="str">
        <f>IFERROR(__xludf.DUMMYFUNCTION("""COMPUTED_VALUE"""),"City of Antipolo")</f>
        <v>City of Antipolo</v>
      </c>
      <c r="AS44" s="142" t="str">
        <f>IFERROR(__xludf.DUMMYFUNCTION("""COMPUTED_VALUE"""),"Baras")</f>
        <v>Baras</v>
      </c>
      <c r="AT44" s="142" t="str">
        <f>IFERROR(__xludf.DUMMYFUNCTION("""COMPUTED_VALUE"""),"Binangonan")</f>
        <v>Binangonan</v>
      </c>
      <c r="AU44" s="142" t="str">
        <f>IFERROR(__xludf.DUMMYFUNCTION("""COMPUTED_VALUE"""),"Cainta")</f>
        <v>Cainta</v>
      </c>
      <c r="AV44" s="142" t="str">
        <f>IFERROR(__xludf.DUMMYFUNCTION("""COMPUTED_VALUE"""),"Cardona")</f>
        <v>Cardona</v>
      </c>
      <c r="AW44" s="142" t="str">
        <f>IFERROR(__xludf.DUMMYFUNCTION("""COMPUTED_VALUE"""),"Jala-Jala")</f>
        <v>Jala-Jala</v>
      </c>
      <c r="AX44" s="142" t="str">
        <f>IFERROR(__xludf.DUMMYFUNCTION("""COMPUTED_VALUE"""),"Rodriguez")</f>
        <v>Rodriguez</v>
      </c>
      <c r="AY44" s="142" t="str">
        <f>IFERROR(__xludf.DUMMYFUNCTION("""COMPUTED_VALUE"""),"Morong")</f>
        <v>Morong</v>
      </c>
      <c r="AZ44" s="142" t="str">
        <f>IFERROR(__xludf.DUMMYFUNCTION("""COMPUTED_VALUE"""),"Pililla")</f>
        <v>Pililla</v>
      </c>
      <c r="BA44" s="142" t="str">
        <f>IFERROR(__xludf.DUMMYFUNCTION("""COMPUTED_VALUE"""),"San Mateo")</f>
        <v>San Mateo</v>
      </c>
      <c r="BB44" s="142" t="str">
        <f>IFERROR(__xludf.DUMMYFUNCTION("""COMPUTED_VALUE"""),"Tanay")</f>
        <v>Tanay</v>
      </c>
      <c r="BC44" s="142" t="str">
        <f>IFERROR(__xludf.DUMMYFUNCTION("""COMPUTED_VALUE"""),"Taytay")</f>
        <v>Taytay</v>
      </c>
      <c r="BD44" s="142" t="str">
        <f>IFERROR(__xludf.DUMMYFUNCTION("""COMPUTED_VALUE"""),"Teresa")</f>
        <v>Teresa</v>
      </c>
      <c r="BE44" s="142" t="str">
        <f>IFERROR(__xludf.DUMMYFUNCTION("""COMPUTED_VALUE"""),"City of Lucena")</f>
        <v>City of Lucena</v>
      </c>
    </row>
    <row r="45">
      <c r="A45" s="142" t="s">
        <v>497</v>
      </c>
      <c r="B45" s="142" t="str">
        <f>IFERROR(__xludf.DUMMYFUNCTION("""COMPUTED_VALUE"""),"Agdangan")</f>
        <v>Agdangan</v>
      </c>
      <c r="C45" s="142" t="str">
        <f>IFERROR(__xludf.DUMMYFUNCTION("""COMPUTED_VALUE"""),"Alabat")</f>
        <v>Alabat</v>
      </c>
      <c r="D45" s="142" t="str">
        <f>IFERROR(__xludf.DUMMYFUNCTION("""COMPUTED_VALUE"""),"Atimonan")</f>
        <v>Atimonan</v>
      </c>
      <c r="E45" s="142" t="str">
        <f>IFERROR(__xludf.DUMMYFUNCTION("""COMPUTED_VALUE"""),"Buenavista")</f>
        <v>Buenavista</v>
      </c>
      <c r="F45" s="142" t="str">
        <f>IFERROR(__xludf.DUMMYFUNCTION("""COMPUTED_VALUE"""),"Burdeos")</f>
        <v>Burdeos</v>
      </c>
      <c r="G45" s="142" t="str">
        <f>IFERROR(__xludf.DUMMYFUNCTION("""COMPUTED_VALUE"""),"Calauag")</f>
        <v>Calauag</v>
      </c>
      <c r="H45" s="142" t="str">
        <f>IFERROR(__xludf.DUMMYFUNCTION("""COMPUTED_VALUE"""),"Candelaria")</f>
        <v>Candelaria</v>
      </c>
      <c r="I45" s="142" t="str">
        <f>IFERROR(__xludf.DUMMYFUNCTION("""COMPUTED_VALUE"""),"Catanauan")</f>
        <v>Catanauan</v>
      </c>
      <c r="J45" s="142" t="str">
        <f>IFERROR(__xludf.DUMMYFUNCTION("""COMPUTED_VALUE"""),"Dolores")</f>
        <v>Dolores</v>
      </c>
      <c r="K45" s="142" t="str">
        <f>IFERROR(__xludf.DUMMYFUNCTION("""COMPUTED_VALUE"""),"General Luna")</f>
        <v>General Luna</v>
      </c>
      <c r="L45" s="142" t="str">
        <f>IFERROR(__xludf.DUMMYFUNCTION("""COMPUTED_VALUE"""),"General Nakar")</f>
        <v>General Nakar</v>
      </c>
      <c r="M45" s="142" t="str">
        <f>IFERROR(__xludf.DUMMYFUNCTION("""COMPUTED_VALUE"""),"Guinayangan")</f>
        <v>Guinayangan</v>
      </c>
      <c r="N45" s="142" t="str">
        <f>IFERROR(__xludf.DUMMYFUNCTION("""COMPUTED_VALUE"""),"Gumaca")</f>
        <v>Gumaca</v>
      </c>
      <c r="O45" s="142" t="str">
        <f>IFERROR(__xludf.DUMMYFUNCTION("""COMPUTED_VALUE"""),"Infanta")</f>
        <v>Infanta</v>
      </c>
      <c r="P45" s="142" t="str">
        <f>IFERROR(__xludf.DUMMYFUNCTION("""COMPUTED_VALUE"""),"Jomalig")</f>
        <v>Jomalig</v>
      </c>
      <c r="Q45" s="142" t="str">
        <f>IFERROR(__xludf.DUMMYFUNCTION("""COMPUTED_VALUE"""),"Lopez")</f>
        <v>Lopez</v>
      </c>
      <c r="R45" s="142" t="str">
        <f>IFERROR(__xludf.DUMMYFUNCTION("""COMPUTED_VALUE"""),"Lucban")</f>
        <v>Lucban</v>
      </c>
      <c r="S45" s="142" t="str">
        <f>IFERROR(__xludf.DUMMYFUNCTION("""COMPUTED_VALUE"""),"Macalelon")</f>
        <v>Macalelon</v>
      </c>
      <c r="T45" s="142" t="str">
        <f>IFERROR(__xludf.DUMMYFUNCTION("""COMPUTED_VALUE"""),"Mauban")</f>
        <v>Mauban</v>
      </c>
      <c r="U45" s="142" t="str">
        <f>IFERROR(__xludf.DUMMYFUNCTION("""COMPUTED_VALUE"""),"Mulanay")</f>
        <v>Mulanay</v>
      </c>
      <c r="V45" s="142" t="str">
        <f>IFERROR(__xludf.DUMMYFUNCTION("""COMPUTED_VALUE"""),"Padre Burgos")</f>
        <v>Padre Burgos</v>
      </c>
      <c r="W45" s="142" t="str">
        <f>IFERROR(__xludf.DUMMYFUNCTION("""COMPUTED_VALUE"""),"Pagbilao")</f>
        <v>Pagbilao</v>
      </c>
      <c r="X45" s="142" t="str">
        <f>IFERROR(__xludf.DUMMYFUNCTION("""COMPUTED_VALUE"""),"Panukulan")</f>
        <v>Panukulan</v>
      </c>
      <c r="Y45" s="142" t="str">
        <f>IFERROR(__xludf.DUMMYFUNCTION("""COMPUTED_VALUE"""),"Patnanungan")</f>
        <v>Patnanungan</v>
      </c>
      <c r="Z45" s="142" t="str">
        <f>IFERROR(__xludf.DUMMYFUNCTION("""COMPUTED_VALUE"""),"Perez")</f>
        <v>Perez</v>
      </c>
      <c r="AA45" s="142" t="str">
        <f>IFERROR(__xludf.DUMMYFUNCTION("""COMPUTED_VALUE"""),"Pitogo")</f>
        <v>Pitogo</v>
      </c>
      <c r="AB45" s="142" t="str">
        <f>IFERROR(__xludf.DUMMYFUNCTION("""COMPUTED_VALUE"""),"Plaridel")</f>
        <v>Plaridel</v>
      </c>
      <c r="AC45" s="142" t="str">
        <f>IFERROR(__xludf.DUMMYFUNCTION("""COMPUTED_VALUE"""),"Polillo")</f>
        <v>Polillo</v>
      </c>
      <c r="AD45" s="142" t="str">
        <f>IFERROR(__xludf.DUMMYFUNCTION("""COMPUTED_VALUE"""),"Quezon")</f>
        <v>Quezon</v>
      </c>
      <c r="AE45" s="142" t="str">
        <f>IFERROR(__xludf.DUMMYFUNCTION("""COMPUTED_VALUE"""),"Real")</f>
        <v>Real</v>
      </c>
      <c r="AF45" s="142" t="str">
        <f>IFERROR(__xludf.DUMMYFUNCTION("""COMPUTED_VALUE"""),"Sampaloc")</f>
        <v>Sampaloc</v>
      </c>
      <c r="AG45" s="142" t="str">
        <f>IFERROR(__xludf.DUMMYFUNCTION("""COMPUTED_VALUE"""),"San Andres")</f>
        <v>San Andres</v>
      </c>
      <c r="AH45" s="142" t="str">
        <f>IFERROR(__xludf.DUMMYFUNCTION("""COMPUTED_VALUE"""),"San Antonio")</f>
        <v>San Antonio</v>
      </c>
      <c r="AI45" s="142" t="str">
        <f>IFERROR(__xludf.DUMMYFUNCTION("""COMPUTED_VALUE"""),"San Francisco")</f>
        <v>San Francisco</v>
      </c>
      <c r="AJ45" s="142" t="str">
        <f>IFERROR(__xludf.DUMMYFUNCTION("""COMPUTED_VALUE"""),"San Narciso")</f>
        <v>San Narciso</v>
      </c>
      <c r="AK45" s="142" t="str">
        <f>IFERROR(__xludf.DUMMYFUNCTION("""COMPUTED_VALUE"""),"Sariaya")</f>
        <v>Sariaya</v>
      </c>
      <c r="AL45" s="142" t="str">
        <f>IFERROR(__xludf.DUMMYFUNCTION("""COMPUTED_VALUE"""),"Tagkawayan")</f>
        <v>Tagkawayan</v>
      </c>
      <c r="AM45" s="142" t="str">
        <f>IFERROR(__xludf.DUMMYFUNCTION("""COMPUTED_VALUE"""),"City of Tayabas")</f>
        <v>City of Tayabas</v>
      </c>
      <c r="AN45" s="142" t="str">
        <f>IFERROR(__xludf.DUMMYFUNCTION("""COMPUTED_VALUE"""),"Tiaong")</f>
        <v>Tiaong</v>
      </c>
      <c r="AO45" s="142" t="str">
        <f>IFERROR(__xludf.DUMMYFUNCTION("""COMPUTED_VALUE"""),"Unisan")</f>
        <v>Unisan</v>
      </c>
      <c r="AP45" s="142" t="str">
        <f>IFERROR(__xludf.DUMMYFUNCTION("""COMPUTED_VALUE"""),"Rizal")</f>
        <v>Rizal</v>
      </c>
      <c r="AQ45" s="142" t="str">
        <f>IFERROR(__xludf.DUMMYFUNCTION("""COMPUTED_VALUE"""),"Angono")</f>
        <v>Angono</v>
      </c>
      <c r="AR45" s="142" t="str">
        <f>IFERROR(__xludf.DUMMYFUNCTION("""COMPUTED_VALUE"""),"City of Antipolo")</f>
        <v>City of Antipolo</v>
      </c>
      <c r="AS45" s="142" t="str">
        <f>IFERROR(__xludf.DUMMYFUNCTION("""COMPUTED_VALUE"""),"Baras")</f>
        <v>Baras</v>
      </c>
      <c r="AT45" s="142" t="str">
        <f>IFERROR(__xludf.DUMMYFUNCTION("""COMPUTED_VALUE"""),"Binangonan")</f>
        <v>Binangonan</v>
      </c>
      <c r="AU45" s="142" t="str">
        <f>IFERROR(__xludf.DUMMYFUNCTION("""COMPUTED_VALUE"""),"Cainta")</f>
        <v>Cainta</v>
      </c>
      <c r="AV45" s="142" t="str">
        <f>IFERROR(__xludf.DUMMYFUNCTION("""COMPUTED_VALUE"""),"Cardona")</f>
        <v>Cardona</v>
      </c>
      <c r="AW45" s="142" t="str">
        <f>IFERROR(__xludf.DUMMYFUNCTION("""COMPUTED_VALUE"""),"Jala-Jala")</f>
        <v>Jala-Jala</v>
      </c>
      <c r="AX45" s="142" t="str">
        <f>IFERROR(__xludf.DUMMYFUNCTION("""COMPUTED_VALUE"""),"Rodriguez")</f>
        <v>Rodriguez</v>
      </c>
      <c r="AY45" s="142" t="str">
        <f>IFERROR(__xludf.DUMMYFUNCTION("""COMPUTED_VALUE"""),"Morong")</f>
        <v>Morong</v>
      </c>
      <c r="AZ45" s="142" t="str">
        <f>IFERROR(__xludf.DUMMYFUNCTION("""COMPUTED_VALUE"""),"Pililla")</f>
        <v>Pililla</v>
      </c>
      <c r="BA45" s="142" t="str">
        <f>IFERROR(__xludf.DUMMYFUNCTION("""COMPUTED_VALUE"""),"San Mateo")</f>
        <v>San Mateo</v>
      </c>
      <c r="BB45" s="142" t="str">
        <f>IFERROR(__xludf.DUMMYFUNCTION("""COMPUTED_VALUE"""),"Tanay")</f>
        <v>Tanay</v>
      </c>
      <c r="BC45" s="142" t="str">
        <f>IFERROR(__xludf.DUMMYFUNCTION("""COMPUTED_VALUE"""),"Taytay")</f>
        <v>Taytay</v>
      </c>
      <c r="BD45" s="142" t="str">
        <f>IFERROR(__xludf.DUMMYFUNCTION("""COMPUTED_VALUE"""),"Teresa")</f>
        <v>Teresa</v>
      </c>
      <c r="BE45" s="142" t="str">
        <f>IFERROR(__xludf.DUMMYFUNCTION("""COMPUTED_VALUE"""),"City of Lucena")</f>
        <v>City of Lucena</v>
      </c>
    </row>
    <row r="46">
      <c r="A46" s="142" t="s">
        <v>497</v>
      </c>
      <c r="B46" s="142" t="str">
        <f>IFERROR(__xludf.DUMMYFUNCTION("""COMPUTED_VALUE"""),"Agdangan")</f>
        <v>Agdangan</v>
      </c>
      <c r="C46" s="142" t="str">
        <f>IFERROR(__xludf.DUMMYFUNCTION("""COMPUTED_VALUE"""),"Alabat")</f>
        <v>Alabat</v>
      </c>
      <c r="D46" s="142" t="str">
        <f>IFERROR(__xludf.DUMMYFUNCTION("""COMPUTED_VALUE"""),"Atimonan")</f>
        <v>Atimonan</v>
      </c>
      <c r="E46" s="142" t="str">
        <f>IFERROR(__xludf.DUMMYFUNCTION("""COMPUTED_VALUE"""),"Buenavista")</f>
        <v>Buenavista</v>
      </c>
      <c r="F46" s="142" t="str">
        <f>IFERROR(__xludf.DUMMYFUNCTION("""COMPUTED_VALUE"""),"Burdeos")</f>
        <v>Burdeos</v>
      </c>
      <c r="G46" s="142" t="str">
        <f>IFERROR(__xludf.DUMMYFUNCTION("""COMPUTED_VALUE"""),"Calauag")</f>
        <v>Calauag</v>
      </c>
      <c r="H46" s="142" t="str">
        <f>IFERROR(__xludf.DUMMYFUNCTION("""COMPUTED_VALUE"""),"Candelaria")</f>
        <v>Candelaria</v>
      </c>
      <c r="I46" s="142" t="str">
        <f>IFERROR(__xludf.DUMMYFUNCTION("""COMPUTED_VALUE"""),"Catanauan")</f>
        <v>Catanauan</v>
      </c>
      <c r="J46" s="142" t="str">
        <f>IFERROR(__xludf.DUMMYFUNCTION("""COMPUTED_VALUE"""),"Dolores")</f>
        <v>Dolores</v>
      </c>
      <c r="K46" s="142" t="str">
        <f>IFERROR(__xludf.DUMMYFUNCTION("""COMPUTED_VALUE"""),"General Luna")</f>
        <v>General Luna</v>
      </c>
      <c r="L46" s="142" t="str">
        <f>IFERROR(__xludf.DUMMYFUNCTION("""COMPUTED_VALUE"""),"General Nakar")</f>
        <v>General Nakar</v>
      </c>
      <c r="M46" s="142" t="str">
        <f>IFERROR(__xludf.DUMMYFUNCTION("""COMPUTED_VALUE"""),"Guinayangan")</f>
        <v>Guinayangan</v>
      </c>
      <c r="N46" s="142" t="str">
        <f>IFERROR(__xludf.DUMMYFUNCTION("""COMPUTED_VALUE"""),"Gumaca")</f>
        <v>Gumaca</v>
      </c>
      <c r="O46" s="142" t="str">
        <f>IFERROR(__xludf.DUMMYFUNCTION("""COMPUTED_VALUE"""),"Infanta")</f>
        <v>Infanta</v>
      </c>
      <c r="P46" s="142" t="str">
        <f>IFERROR(__xludf.DUMMYFUNCTION("""COMPUTED_VALUE"""),"Jomalig")</f>
        <v>Jomalig</v>
      </c>
      <c r="Q46" s="142" t="str">
        <f>IFERROR(__xludf.DUMMYFUNCTION("""COMPUTED_VALUE"""),"Lopez")</f>
        <v>Lopez</v>
      </c>
      <c r="R46" s="142" t="str">
        <f>IFERROR(__xludf.DUMMYFUNCTION("""COMPUTED_VALUE"""),"Lucban")</f>
        <v>Lucban</v>
      </c>
      <c r="S46" s="142" t="str">
        <f>IFERROR(__xludf.DUMMYFUNCTION("""COMPUTED_VALUE"""),"Macalelon")</f>
        <v>Macalelon</v>
      </c>
      <c r="T46" s="142" t="str">
        <f>IFERROR(__xludf.DUMMYFUNCTION("""COMPUTED_VALUE"""),"Mauban")</f>
        <v>Mauban</v>
      </c>
      <c r="U46" s="142" t="str">
        <f>IFERROR(__xludf.DUMMYFUNCTION("""COMPUTED_VALUE"""),"Mulanay")</f>
        <v>Mulanay</v>
      </c>
      <c r="V46" s="142" t="str">
        <f>IFERROR(__xludf.DUMMYFUNCTION("""COMPUTED_VALUE"""),"Padre Burgos")</f>
        <v>Padre Burgos</v>
      </c>
      <c r="W46" s="142" t="str">
        <f>IFERROR(__xludf.DUMMYFUNCTION("""COMPUTED_VALUE"""),"Pagbilao")</f>
        <v>Pagbilao</v>
      </c>
      <c r="X46" s="142" t="str">
        <f>IFERROR(__xludf.DUMMYFUNCTION("""COMPUTED_VALUE"""),"Panukulan")</f>
        <v>Panukulan</v>
      </c>
      <c r="Y46" s="142" t="str">
        <f>IFERROR(__xludf.DUMMYFUNCTION("""COMPUTED_VALUE"""),"Patnanungan")</f>
        <v>Patnanungan</v>
      </c>
      <c r="Z46" s="142" t="str">
        <f>IFERROR(__xludf.DUMMYFUNCTION("""COMPUTED_VALUE"""),"Perez")</f>
        <v>Perez</v>
      </c>
      <c r="AA46" s="142" t="str">
        <f>IFERROR(__xludf.DUMMYFUNCTION("""COMPUTED_VALUE"""),"Pitogo")</f>
        <v>Pitogo</v>
      </c>
      <c r="AB46" s="142" t="str">
        <f>IFERROR(__xludf.DUMMYFUNCTION("""COMPUTED_VALUE"""),"Plaridel")</f>
        <v>Plaridel</v>
      </c>
      <c r="AC46" s="142" t="str">
        <f>IFERROR(__xludf.DUMMYFUNCTION("""COMPUTED_VALUE"""),"Polillo")</f>
        <v>Polillo</v>
      </c>
      <c r="AD46" s="142" t="str">
        <f>IFERROR(__xludf.DUMMYFUNCTION("""COMPUTED_VALUE"""),"Quezon")</f>
        <v>Quezon</v>
      </c>
      <c r="AE46" s="142" t="str">
        <f>IFERROR(__xludf.DUMMYFUNCTION("""COMPUTED_VALUE"""),"Real")</f>
        <v>Real</v>
      </c>
      <c r="AF46" s="142" t="str">
        <f>IFERROR(__xludf.DUMMYFUNCTION("""COMPUTED_VALUE"""),"Sampaloc")</f>
        <v>Sampaloc</v>
      </c>
      <c r="AG46" s="142" t="str">
        <f>IFERROR(__xludf.DUMMYFUNCTION("""COMPUTED_VALUE"""),"San Andres")</f>
        <v>San Andres</v>
      </c>
      <c r="AH46" s="142" t="str">
        <f>IFERROR(__xludf.DUMMYFUNCTION("""COMPUTED_VALUE"""),"San Antonio")</f>
        <v>San Antonio</v>
      </c>
      <c r="AI46" s="142" t="str">
        <f>IFERROR(__xludf.DUMMYFUNCTION("""COMPUTED_VALUE"""),"San Francisco")</f>
        <v>San Francisco</v>
      </c>
      <c r="AJ46" s="142" t="str">
        <f>IFERROR(__xludf.DUMMYFUNCTION("""COMPUTED_VALUE"""),"San Narciso")</f>
        <v>San Narciso</v>
      </c>
      <c r="AK46" s="142" t="str">
        <f>IFERROR(__xludf.DUMMYFUNCTION("""COMPUTED_VALUE"""),"Sariaya")</f>
        <v>Sariaya</v>
      </c>
      <c r="AL46" s="142" t="str">
        <f>IFERROR(__xludf.DUMMYFUNCTION("""COMPUTED_VALUE"""),"Tagkawayan")</f>
        <v>Tagkawayan</v>
      </c>
      <c r="AM46" s="142" t="str">
        <f>IFERROR(__xludf.DUMMYFUNCTION("""COMPUTED_VALUE"""),"City of Tayabas")</f>
        <v>City of Tayabas</v>
      </c>
      <c r="AN46" s="142" t="str">
        <f>IFERROR(__xludf.DUMMYFUNCTION("""COMPUTED_VALUE"""),"Tiaong")</f>
        <v>Tiaong</v>
      </c>
      <c r="AO46" s="142" t="str">
        <f>IFERROR(__xludf.DUMMYFUNCTION("""COMPUTED_VALUE"""),"Unisan")</f>
        <v>Unisan</v>
      </c>
      <c r="AP46" s="142" t="str">
        <f>IFERROR(__xludf.DUMMYFUNCTION("""COMPUTED_VALUE"""),"Rizal")</f>
        <v>Rizal</v>
      </c>
      <c r="AQ46" s="142" t="str">
        <f>IFERROR(__xludf.DUMMYFUNCTION("""COMPUTED_VALUE"""),"Angono")</f>
        <v>Angono</v>
      </c>
      <c r="AR46" s="142" t="str">
        <f>IFERROR(__xludf.DUMMYFUNCTION("""COMPUTED_VALUE"""),"City of Antipolo")</f>
        <v>City of Antipolo</v>
      </c>
      <c r="AS46" s="142" t="str">
        <f>IFERROR(__xludf.DUMMYFUNCTION("""COMPUTED_VALUE"""),"Baras")</f>
        <v>Baras</v>
      </c>
      <c r="AT46" s="142" t="str">
        <f>IFERROR(__xludf.DUMMYFUNCTION("""COMPUTED_VALUE"""),"Binangonan")</f>
        <v>Binangonan</v>
      </c>
      <c r="AU46" s="142" t="str">
        <f>IFERROR(__xludf.DUMMYFUNCTION("""COMPUTED_VALUE"""),"Cainta")</f>
        <v>Cainta</v>
      </c>
      <c r="AV46" s="142" t="str">
        <f>IFERROR(__xludf.DUMMYFUNCTION("""COMPUTED_VALUE"""),"Cardona")</f>
        <v>Cardona</v>
      </c>
      <c r="AW46" s="142" t="str">
        <f>IFERROR(__xludf.DUMMYFUNCTION("""COMPUTED_VALUE"""),"Jala-Jala")</f>
        <v>Jala-Jala</v>
      </c>
      <c r="AX46" s="142" t="str">
        <f>IFERROR(__xludf.DUMMYFUNCTION("""COMPUTED_VALUE"""),"Rodriguez")</f>
        <v>Rodriguez</v>
      </c>
      <c r="AY46" s="142" t="str">
        <f>IFERROR(__xludf.DUMMYFUNCTION("""COMPUTED_VALUE"""),"Morong")</f>
        <v>Morong</v>
      </c>
      <c r="AZ46" s="142" t="str">
        <f>IFERROR(__xludf.DUMMYFUNCTION("""COMPUTED_VALUE"""),"Pililla")</f>
        <v>Pililla</v>
      </c>
      <c r="BA46" s="142" t="str">
        <f>IFERROR(__xludf.DUMMYFUNCTION("""COMPUTED_VALUE"""),"San Mateo")</f>
        <v>San Mateo</v>
      </c>
      <c r="BB46" s="142" t="str">
        <f>IFERROR(__xludf.DUMMYFUNCTION("""COMPUTED_VALUE"""),"Tanay")</f>
        <v>Tanay</v>
      </c>
      <c r="BC46" s="142" t="str">
        <f>IFERROR(__xludf.DUMMYFUNCTION("""COMPUTED_VALUE"""),"Taytay")</f>
        <v>Taytay</v>
      </c>
      <c r="BD46" s="142" t="str">
        <f>IFERROR(__xludf.DUMMYFUNCTION("""COMPUTED_VALUE"""),"Teresa")</f>
        <v>Teresa</v>
      </c>
      <c r="BE46" s="142" t="str">
        <f>IFERROR(__xludf.DUMMYFUNCTION("""COMPUTED_VALUE"""),"City of Lucena")</f>
        <v>City of Lucena</v>
      </c>
    </row>
    <row r="47">
      <c r="A47" s="142" t="s">
        <v>497</v>
      </c>
      <c r="B47" s="142" t="str">
        <f>IFERROR(__xludf.DUMMYFUNCTION("""COMPUTED_VALUE"""),"Agdangan")</f>
        <v>Agdangan</v>
      </c>
      <c r="C47" s="142" t="str">
        <f>IFERROR(__xludf.DUMMYFUNCTION("""COMPUTED_VALUE"""),"Alabat")</f>
        <v>Alabat</v>
      </c>
      <c r="D47" s="142" t="str">
        <f>IFERROR(__xludf.DUMMYFUNCTION("""COMPUTED_VALUE"""),"Atimonan")</f>
        <v>Atimonan</v>
      </c>
      <c r="E47" s="142" t="str">
        <f>IFERROR(__xludf.DUMMYFUNCTION("""COMPUTED_VALUE"""),"Buenavista")</f>
        <v>Buenavista</v>
      </c>
      <c r="F47" s="142" t="str">
        <f>IFERROR(__xludf.DUMMYFUNCTION("""COMPUTED_VALUE"""),"Burdeos")</f>
        <v>Burdeos</v>
      </c>
      <c r="G47" s="142" t="str">
        <f>IFERROR(__xludf.DUMMYFUNCTION("""COMPUTED_VALUE"""),"Calauag")</f>
        <v>Calauag</v>
      </c>
      <c r="H47" s="142" t="str">
        <f>IFERROR(__xludf.DUMMYFUNCTION("""COMPUTED_VALUE"""),"Candelaria")</f>
        <v>Candelaria</v>
      </c>
      <c r="I47" s="142" t="str">
        <f>IFERROR(__xludf.DUMMYFUNCTION("""COMPUTED_VALUE"""),"Catanauan")</f>
        <v>Catanauan</v>
      </c>
      <c r="J47" s="142" t="str">
        <f>IFERROR(__xludf.DUMMYFUNCTION("""COMPUTED_VALUE"""),"Dolores")</f>
        <v>Dolores</v>
      </c>
      <c r="K47" s="142" t="str">
        <f>IFERROR(__xludf.DUMMYFUNCTION("""COMPUTED_VALUE"""),"General Luna")</f>
        <v>General Luna</v>
      </c>
      <c r="L47" s="142" t="str">
        <f>IFERROR(__xludf.DUMMYFUNCTION("""COMPUTED_VALUE"""),"General Nakar")</f>
        <v>General Nakar</v>
      </c>
      <c r="M47" s="142" t="str">
        <f>IFERROR(__xludf.DUMMYFUNCTION("""COMPUTED_VALUE"""),"Guinayangan")</f>
        <v>Guinayangan</v>
      </c>
      <c r="N47" s="142" t="str">
        <f>IFERROR(__xludf.DUMMYFUNCTION("""COMPUTED_VALUE"""),"Gumaca")</f>
        <v>Gumaca</v>
      </c>
      <c r="O47" s="142" t="str">
        <f>IFERROR(__xludf.DUMMYFUNCTION("""COMPUTED_VALUE"""),"Infanta")</f>
        <v>Infanta</v>
      </c>
      <c r="P47" s="142" t="str">
        <f>IFERROR(__xludf.DUMMYFUNCTION("""COMPUTED_VALUE"""),"Jomalig")</f>
        <v>Jomalig</v>
      </c>
      <c r="Q47" s="142" t="str">
        <f>IFERROR(__xludf.DUMMYFUNCTION("""COMPUTED_VALUE"""),"Lopez")</f>
        <v>Lopez</v>
      </c>
      <c r="R47" s="142" t="str">
        <f>IFERROR(__xludf.DUMMYFUNCTION("""COMPUTED_VALUE"""),"Lucban")</f>
        <v>Lucban</v>
      </c>
      <c r="S47" s="142" t="str">
        <f>IFERROR(__xludf.DUMMYFUNCTION("""COMPUTED_VALUE"""),"Macalelon")</f>
        <v>Macalelon</v>
      </c>
      <c r="T47" s="142" t="str">
        <f>IFERROR(__xludf.DUMMYFUNCTION("""COMPUTED_VALUE"""),"Mauban")</f>
        <v>Mauban</v>
      </c>
      <c r="U47" s="142" t="str">
        <f>IFERROR(__xludf.DUMMYFUNCTION("""COMPUTED_VALUE"""),"Mulanay")</f>
        <v>Mulanay</v>
      </c>
      <c r="V47" s="142" t="str">
        <f>IFERROR(__xludf.DUMMYFUNCTION("""COMPUTED_VALUE"""),"Padre Burgos")</f>
        <v>Padre Burgos</v>
      </c>
      <c r="W47" s="142" t="str">
        <f>IFERROR(__xludf.DUMMYFUNCTION("""COMPUTED_VALUE"""),"Pagbilao")</f>
        <v>Pagbilao</v>
      </c>
      <c r="X47" s="142" t="str">
        <f>IFERROR(__xludf.DUMMYFUNCTION("""COMPUTED_VALUE"""),"Panukulan")</f>
        <v>Panukulan</v>
      </c>
      <c r="Y47" s="142" t="str">
        <f>IFERROR(__xludf.DUMMYFUNCTION("""COMPUTED_VALUE"""),"Patnanungan")</f>
        <v>Patnanungan</v>
      </c>
      <c r="Z47" s="142" t="str">
        <f>IFERROR(__xludf.DUMMYFUNCTION("""COMPUTED_VALUE"""),"Perez")</f>
        <v>Perez</v>
      </c>
      <c r="AA47" s="142" t="str">
        <f>IFERROR(__xludf.DUMMYFUNCTION("""COMPUTED_VALUE"""),"Pitogo")</f>
        <v>Pitogo</v>
      </c>
      <c r="AB47" s="142" t="str">
        <f>IFERROR(__xludf.DUMMYFUNCTION("""COMPUTED_VALUE"""),"Plaridel")</f>
        <v>Plaridel</v>
      </c>
      <c r="AC47" s="142" t="str">
        <f>IFERROR(__xludf.DUMMYFUNCTION("""COMPUTED_VALUE"""),"Polillo")</f>
        <v>Polillo</v>
      </c>
      <c r="AD47" s="142" t="str">
        <f>IFERROR(__xludf.DUMMYFUNCTION("""COMPUTED_VALUE"""),"Quezon")</f>
        <v>Quezon</v>
      </c>
      <c r="AE47" s="142" t="str">
        <f>IFERROR(__xludf.DUMMYFUNCTION("""COMPUTED_VALUE"""),"Real")</f>
        <v>Real</v>
      </c>
      <c r="AF47" s="142" t="str">
        <f>IFERROR(__xludf.DUMMYFUNCTION("""COMPUTED_VALUE"""),"Sampaloc")</f>
        <v>Sampaloc</v>
      </c>
      <c r="AG47" s="142" t="str">
        <f>IFERROR(__xludf.DUMMYFUNCTION("""COMPUTED_VALUE"""),"San Andres")</f>
        <v>San Andres</v>
      </c>
      <c r="AH47" s="142" t="str">
        <f>IFERROR(__xludf.DUMMYFUNCTION("""COMPUTED_VALUE"""),"San Antonio")</f>
        <v>San Antonio</v>
      </c>
      <c r="AI47" s="142" t="str">
        <f>IFERROR(__xludf.DUMMYFUNCTION("""COMPUTED_VALUE"""),"San Francisco")</f>
        <v>San Francisco</v>
      </c>
      <c r="AJ47" s="142" t="str">
        <f>IFERROR(__xludf.DUMMYFUNCTION("""COMPUTED_VALUE"""),"San Narciso")</f>
        <v>San Narciso</v>
      </c>
      <c r="AK47" s="142" t="str">
        <f>IFERROR(__xludf.DUMMYFUNCTION("""COMPUTED_VALUE"""),"Sariaya")</f>
        <v>Sariaya</v>
      </c>
      <c r="AL47" s="142" t="str">
        <f>IFERROR(__xludf.DUMMYFUNCTION("""COMPUTED_VALUE"""),"Tagkawayan")</f>
        <v>Tagkawayan</v>
      </c>
      <c r="AM47" s="142" t="str">
        <f>IFERROR(__xludf.DUMMYFUNCTION("""COMPUTED_VALUE"""),"City of Tayabas")</f>
        <v>City of Tayabas</v>
      </c>
      <c r="AN47" s="142" t="str">
        <f>IFERROR(__xludf.DUMMYFUNCTION("""COMPUTED_VALUE"""),"Tiaong")</f>
        <v>Tiaong</v>
      </c>
      <c r="AO47" s="142" t="str">
        <f>IFERROR(__xludf.DUMMYFUNCTION("""COMPUTED_VALUE"""),"Unisan")</f>
        <v>Unisan</v>
      </c>
      <c r="AP47" s="142" t="str">
        <f>IFERROR(__xludf.DUMMYFUNCTION("""COMPUTED_VALUE"""),"Rizal")</f>
        <v>Rizal</v>
      </c>
      <c r="AQ47" s="142" t="str">
        <f>IFERROR(__xludf.DUMMYFUNCTION("""COMPUTED_VALUE"""),"Angono")</f>
        <v>Angono</v>
      </c>
      <c r="AR47" s="142" t="str">
        <f>IFERROR(__xludf.DUMMYFUNCTION("""COMPUTED_VALUE"""),"City of Antipolo")</f>
        <v>City of Antipolo</v>
      </c>
      <c r="AS47" s="142" t="str">
        <f>IFERROR(__xludf.DUMMYFUNCTION("""COMPUTED_VALUE"""),"Baras")</f>
        <v>Baras</v>
      </c>
      <c r="AT47" s="142" t="str">
        <f>IFERROR(__xludf.DUMMYFUNCTION("""COMPUTED_VALUE"""),"Binangonan")</f>
        <v>Binangonan</v>
      </c>
      <c r="AU47" s="142" t="str">
        <f>IFERROR(__xludf.DUMMYFUNCTION("""COMPUTED_VALUE"""),"Cainta")</f>
        <v>Cainta</v>
      </c>
      <c r="AV47" s="142" t="str">
        <f>IFERROR(__xludf.DUMMYFUNCTION("""COMPUTED_VALUE"""),"Cardona")</f>
        <v>Cardona</v>
      </c>
      <c r="AW47" s="142" t="str">
        <f>IFERROR(__xludf.DUMMYFUNCTION("""COMPUTED_VALUE"""),"Jala-Jala")</f>
        <v>Jala-Jala</v>
      </c>
      <c r="AX47" s="142" t="str">
        <f>IFERROR(__xludf.DUMMYFUNCTION("""COMPUTED_VALUE"""),"Rodriguez")</f>
        <v>Rodriguez</v>
      </c>
      <c r="AY47" s="142" t="str">
        <f>IFERROR(__xludf.DUMMYFUNCTION("""COMPUTED_VALUE"""),"Morong")</f>
        <v>Morong</v>
      </c>
      <c r="AZ47" s="142" t="str">
        <f>IFERROR(__xludf.DUMMYFUNCTION("""COMPUTED_VALUE"""),"Pililla")</f>
        <v>Pililla</v>
      </c>
      <c r="BA47" s="142" t="str">
        <f>IFERROR(__xludf.DUMMYFUNCTION("""COMPUTED_VALUE"""),"San Mateo")</f>
        <v>San Mateo</v>
      </c>
      <c r="BB47" s="142" t="str">
        <f>IFERROR(__xludf.DUMMYFUNCTION("""COMPUTED_VALUE"""),"Tanay")</f>
        <v>Tanay</v>
      </c>
      <c r="BC47" s="142" t="str">
        <f>IFERROR(__xludf.DUMMYFUNCTION("""COMPUTED_VALUE"""),"Taytay")</f>
        <v>Taytay</v>
      </c>
      <c r="BD47" s="142" t="str">
        <f>IFERROR(__xludf.DUMMYFUNCTION("""COMPUTED_VALUE"""),"Teresa")</f>
        <v>Teresa</v>
      </c>
      <c r="BE47" s="142" t="str">
        <f>IFERROR(__xludf.DUMMYFUNCTION("""COMPUTED_VALUE"""),"City of Lucena")</f>
        <v>City of Lucena</v>
      </c>
    </row>
    <row r="48">
      <c r="A48" s="142" t="s">
        <v>497</v>
      </c>
      <c r="B48" s="142" t="str">
        <f>IFERROR(__xludf.DUMMYFUNCTION("""COMPUTED_VALUE"""),"Agdangan")</f>
        <v>Agdangan</v>
      </c>
      <c r="C48" s="142" t="str">
        <f>IFERROR(__xludf.DUMMYFUNCTION("""COMPUTED_VALUE"""),"Alabat")</f>
        <v>Alabat</v>
      </c>
      <c r="D48" s="142" t="str">
        <f>IFERROR(__xludf.DUMMYFUNCTION("""COMPUTED_VALUE"""),"Atimonan")</f>
        <v>Atimonan</v>
      </c>
      <c r="E48" s="142" t="str">
        <f>IFERROR(__xludf.DUMMYFUNCTION("""COMPUTED_VALUE"""),"Buenavista")</f>
        <v>Buenavista</v>
      </c>
      <c r="F48" s="142" t="str">
        <f>IFERROR(__xludf.DUMMYFUNCTION("""COMPUTED_VALUE"""),"Burdeos")</f>
        <v>Burdeos</v>
      </c>
      <c r="G48" s="142" t="str">
        <f>IFERROR(__xludf.DUMMYFUNCTION("""COMPUTED_VALUE"""),"Calauag")</f>
        <v>Calauag</v>
      </c>
      <c r="H48" s="142" t="str">
        <f>IFERROR(__xludf.DUMMYFUNCTION("""COMPUTED_VALUE"""),"Candelaria")</f>
        <v>Candelaria</v>
      </c>
      <c r="I48" s="142" t="str">
        <f>IFERROR(__xludf.DUMMYFUNCTION("""COMPUTED_VALUE"""),"Catanauan")</f>
        <v>Catanauan</v>
      </c>
      <c r="J48" s="142" t="str">
        <f>IFERROR(__xludf.DUMMYFUNCTION("""COMPUTED_VALUE"""),"Dolores")</f>
        <v>Dolores</v>
      </c>
      <c r="K48" s="142" t="str">
        <f>IFERROR(__xludf.DUMMYFUNCTION("""COMPUTED_VALUE"""),"General Luna")</f>
        <v>General Luna</v>
      </c>
      <c r="L48" s="142" t="str">
        <f>IFERROR(__xludf.DUMMYFUNCTION("""COMPUTED_VALUE"""),"General Nakar")</f>
        <v>General Nakar</v>
      </c>
      <c r="M48" s="142" t="str">
        <f>IFERROR(__xludf.DUMMYFUNCTION("""COMPUTED_VALUE"""),"Guinayangan")</f>
        <v>Guinayangan</v>
      </c>
      <c r="N48" s="142" t="str">
        <f>IFERROR(__xludf.DUMMYFUNCTION("""COMPUTED_VALUE"""),"Gumaca")</f>
        <v>Gumaca</v>
      </c>
      <c r="O48" s="142" t="str">
        <f>IFERROR(__xludf.DUMMYFUNCTION("""COMPUTED_VALUE"""),"Infanta")</f>
        <v>Infanta</v>
      </c>
      <c r="P48" s="142" t="str">
        <f>IFERROR(__xludf.DUMMYFUNCTION("""COMPUTED_VALUE"""),"Jomalig")</f>
        <v>Jomalig</v>
      </c>
      <c r="Q48" s="142" t="str">
        <f>IFERROR(__xludf.DUMMYFUNCTION("""COMPUTED_VALUE"""),"Lopez")</f>
        <v>Lopez</v>
      </c>
      <c r="R48" s="142" t="str">
        <f>IFERROR(__xludf.DUMMYFUNCTION("""COMPUTED_VALUE"""),"Lucban")</f>
        <v>Lucban</v>
      </c>
      <c r="S48" s="142" t="str">
        <f>IFERROR(__xludf.DUMMYFUNCTION("""COMPUTED_VALUE"""),"Macalelon")</f>
        <v>Macalelon</v>
      </c>
      <c r="T48" s="142" t="str">
        <f>IFERROR(__xludf.DUMMYFUNCTION("""COMPUTED_VALUE"""),"Mauban")</f>
        <v>Mauban</v>
      </c>
      <c r="U48" s="142" t="str">
        <f>IFERROR(__xludf.DUMMYFUNCTION("""COMPUTED_VALUE"""),"Mulanay")</f>
        <v>Mulanay</v>
      </c>
      <c r="V48" s="142" t="str">
        <f>IFERROR(__xludf.DUMMYFUNCTION("""COMPUTED_VALUE"""),"Padre Burgos")</f>
        <v>Padre Burgos</v>
      </c>
      <c r="W48" s="142" t="str">
        <f>IFERROR(__xludf.DUMMYFUNCTION("""COMPUTED_VALUE"""),"Pagbilao")</f>
        <v>Pagbilao</v>
      </c>
      <c r="X48" s="142" t="str">
        <f>IFERROR(__xludf.DUMMYFUNCTION("""COMPUTED_VALUE"""),"Panukulan")</f>
        <v>Panukulan</v>
      </c>
      <c r="Y48" s="142" t="str">
        <f>IFERROR(__xludf.DUMMYFUNCTION("""COMPUTED_VALUE"""),"Patnanungan")</f>
        <v>Patnanungan</v>
      </c>
      <c r="Z48" s="142" t="str">
        <f>IFERROR(__xludf.DUMMYFUNCTION("""COMPUTED_VALUE"""),"Perez")</f>
        <v>Perez</v>
      </c>
      <c r="AA48" s="142" t="str">
        <f>IFERROR(__xludf.DUMMYFUNCTION("""COMPUTED_VALUE"""),"Pitogo")</f>
        <v>Pitogo</v>
      </c>
      <c r="AB48" s="142" t="str">
        <f>IFERROR(__xludf.DUMMYFUNCTION("""COMPUTED_VALUE"""),"Plaridel")</f>
        <v>Plaridel</v>
      </c>
      <c r="AC48" s="142" t="str">
        <f>IFERROR(__xludf.DUMMYFUNCTION("""COMPUTED_VALUE"""),"Polillo")</f>
        <v>Polillo</v>
      </c>
      <c r="AD48" s="142" t="str">
        <f>IFERROR(__xludf.DUMMYFUNCTION("""COMPUTED_VALUE"""),"Quezon")</f>
        <v>Quezon</v>
      </c>
      <c r="AE48" s="142" t="str">
        <f>IFERROR(__xludf.DUMMYFUNCTION("""COMPUTED_VALUE"""),"Real")</f>
        <v>Real</v>
      </c>
      <c r="AF48" s="142" t="str">
        <f>IFERROR(__xludf.DUMMYFUNCTION("""COMPUTED_VALUE"""),"Sampaloc")</f>
        <v>Sampaloc</v>
      </c>
      <c r="AG48" s="142" t="str">
        <f>IFERROR(__xludf.DUMMYFUNCTION("""COMPUTED_VALUE"""),"San Andres")</f>
        <v>San Andres</v>
      </c>
      <c r="AH48" s="142" t="str">
        <f>IFERROR(__xludf.DUMMYFUNCTION("""COMPUTED_VALUE"""),"San Antonio")</f>
        <v>San Antonio</v>
      </c>
      <c r="AI48" s="142" t="str">
        <f>IFERROR(__xludf.DUMMYFUNCTION("""COMPUTED_VALUE"""),"San Francisco")</f>
        <v>San Francisco</v>
      </c>
      <c r="AJ48" s="142" t="str">
        <f>IFERROR(__xludf.DUMMYFUNCTION("""COMPUTED_VALUE"""),"San Narciso")</f>
        <v>San Narciso</v>
      </c>
      <c r="AK48" s="142" t="str">
        <f>IFERROR(__xludf.DUMMYFUNCTION("""COMPUTED_VALUE"""),"Sariaya")</f>
        <v>Sariaya</v>
      </c>
      <c r="AL48" s="142" t="str">
        <f>IFERROR(__xludf.DUMMYFUNCTION("""COMPUTED_VALUE"""),"Tagkawayan")</f>
        <v>Tagkawayan</v>
      </c>
      <c r="AM48" s="142" t="str">
        <f>IFERROR(__xludf.DUMMYFUNCTION("""COMPUTED_VALUE"""),"City of Tayabas")</f>
        <v>City of Tayabas</v>
      </c>
      <c r="AN48" s="142" t="str">
        <f>IFERROR(__xludf.DUMMYFUNCTION("""COMPUTED_VALUE"""),"Tiaong")</f>
        <v>Tiaong</v>
      </c>
      <c r="AO48" s="142" t="str">
        <f>IFERROR(__xludf.DUMMYFUNCTION("""COMPUTED_VALUE"""),"Unisan")</f>
        <v>Unisan</v>
      </c>
      <c r="AP48" s="142" t="str">
        <f>IFERROR(__xludf.DUMMYFUNCTION("""COMPUTED_VALUE"""),"Rizal")</f>
        <v>Rizal</v>
      </c>
      <c r="AQ48" s="142" t="str">
        <f>IFERROR(__xludf.DUMMYFUNCTION("""COMPUTED_VALUE"""),"Angono")</f>
        <v>Angono</v>
      </c>
      <c r="AR48" s="142" t="str">
        <f>IFERROR(__xludf.DUMMYFUNCTION("""COMPUTED_VALUE"""),"City of Antipolo")</f>
        <v>City of Antipolo</v>
      </c>
      <c r="AS48" s="142" t="str">
        <f>IFERROR(__xludf.DUMMYFUNCTION("""COMPUTED_VALUE"""),"Baras")</f>
        <v>Baras</v>
      </c>
      <c r="AT48" s="142" t="str">
        <f>IFERROR(__xludf.DUMMYFUNCTION("""COMPUTED_VALUE"""),"Binangonan")</f>
        <v>Binangonan</v>
      </c>
      <c r="AU48" s="142" t="str">
        <f>IFERROR(__xludf.DUMMYFUNCTION("""COMPUTED_VALUE"""),"Cainta")</f>
        <v>Cainta</v>
      </c>
      <c r="AV48" s="142" t="str">
        <f>IFERROR(__xludf.DUMMYFUNCTION("""COMPUTED_VALUE"""),"Cardona")</f>
        <v>Cardona</v>
      </c>
      <c r="AW48" s="142" t="str">
        <f>IFERROR(__xludf.DUMMYFUNCTION("""COMPUTED_VALUE"""),"Jala-Jala")</f>
        <v>Jala-Jala</v>
      </c>
      <c r="AX48" s="142" t="str">
        <f>IFERROR(__xludf.DUMMYFUNCTION("""COMPUTED_VALUE"""),"Rodriguez")</f>
        <v>Rodriguez</v>
      </c>
      <c r="AY48" s="142" t="str">
        <f>IFERROR(__xludf.DUMMYFUNCTION("""COMPUTED_VALUE"""),"Morong")</f>
        <v>Morong</v>
      </c>
      <c r="AZ48" s="142" t="str">
        <f>IFERROR(__xludf.DUMMYFUNCTION("""COMPUTED_VALUE"""),"Pililla")</f>
        <v>Pililla</v>
      </c>
      <c r="BA48" s="142" t="str">
        <f>IFERROR(__xludf.DUMMYFUNCTION("""COMPUTED_VALUE"""),"San Mateo")</f>
        <v>San Mateo</v>
      </c>
      <c r="BB48" s="142" t="str">
        <f>IFERROR(__xludf.DUMMYFUNCTION("""COMPUTED_VALUE"""),"Tanay")</f>
        <v>Tanay</v>
      </c>
      <c r="BC48" s="142" t="str">
        <f>IFERROR(__xludf.DUMMYFUNCTION("""COMPUTED_VALUE"""),"Taytay")</f>
        <v>Taytay</v>
      </c>
      <c r="BD48" s="142" t="str">
        <f>IFERROR(__xludf.DUMMYFUNCTION("""COMPUTED_VALUE"""),"Teresa")</f>
        <v>Teresa</v>
      </c>
      <c r="BE48" s="142" t="str">
        <f>IFERROR(__xludf.DUMMYFUNCTION("""COMPUTED_VALUE"""),"City of Lucena")</f>
        <v>City of Lucena</v>
      </c>
    </row>
    <row r="49">
      <c r="A49" s="142" t="s">
        <v>523</v>
      </c>
      <c r="B49" s="142" t="str">
        <f>IFERROR(__xludf.DUMMYFUNCTION("""COMPUTED_VALUE"""),"Aborlan")</f>
        <v>Aborlan</v>
      </c>
      <c r="C49" s="142" t="str">
        <f>IFERROR(__xludf.DUMMYFUNCTION("""COMPUTED_VALUE"""),"Agutaya")</f>
        <v>Agutaya</v>
      </c>
      <c r="D49" s="142" t="str">
        <f>IFERROR(__xludf.DUMMYFUNCTION("""COMPUTED_VALUE"""),"Araceli")</f>
        <v>Araceli</v>
      </c>
      <c r="E49" s="142" t="str">
        <f>IFERROR(__xludf.DUMMYFUNCTION("""COMPUTED_VALUE"""),"Balabac")</f>
        <v>Balabac</v>
      </c>
      <c r="F49" s="142" t="str">
        <f>IFERROR(__xludf.DUMMYFUNCTION("""COMPUTED_VALUE"""),"Bataraza")</f>
        <v>Bataraza</v>
      </c>
      <c r="G49" s="142" t="str">
        <f>IFERROR(__xludf.DUMMYFUNCTION("""COMPUTED_VALUE"""),"Brooke's Point")</f>
        <v>Brooke's Point</v>
      </c>
      <c r="H49" s="142" t="str">
        <f>IFERROR(__xludf.DUMMYFUNCTION("""COMPUTED_VALUE"""),"Busuanga")</f>
        <v>Busuanga</v>
      </c>
      <c r="I49" s="142" t="str">
        <f>IFERROR(__xludf.DUMMYFUNCTION("""COMPUTED_VALUE"""),"Cagayancillo")</f>
        <v>Cagayancillo</v>
      </c>
      <c r="J49" s="142" t="str">
        <f>IFERROR(__xludf.DUMMYFUNCTION("""COMPUTED_VALUE"""),"Coron")</f>
        <v>Coron</v>
      </c>
      <c r="K49" s="142" t="str">
        <f>IFERROR(__xludf.DUMMYFUNCTION("""COMPUTED_VALUE"""),"Cuyo")</f>
        <v>Cuyo</v>
      </c>
      <c r="L49" s="142" t="str">
        <f>IFERROR(__xludf.DUMMYFUNCTION("""COMPUTED_VALUE"""),"Dumaran")</f>
        <v>Dumaran</v>
      </c>
      <c r="M49" s="142" t="str">
        <f>IFERROR(__xludf.DUMMYFUNCTION("""COMPUTED_VALUE"""),"El Nido")</f>
        <v>El Nido</v>
      </c>
      <c r="N49" s="142" t="str">
        <f>IFERROR(__xludf.DUMMYFUNCTION("""COMPUTED_VALUE"""),"Linapacan")</f>
        <v>Linapacan</v>
      </c>
      <c r="O49" s="142" t="str">
        <f>IFERROR(__xludf.DUMMYFUNCTION("""COMPUTED_VALUE"""),"Magsaysay")</f>
        <v>Magsaysay</v>
      </c>
      <c r="P49" s="142" t="str">
        <f>IFERROR(__xludf.DUMMYFUNCTION("""COMPUTED_VALUE"""),"Narra")</f>
        <v>Narra</v>
      </c>
      <c r="Q49" s="142" t="str">
        <f>IFERROR(__xludf.DUMMYFUNCTION("""COMPUTED_VALUE"""),"City of Puerto Princesa")</f>
        <v>City of Puerto Princesa</v>
      </c>
      <c r="R49" s="142" t="str">
        <f>IFERROR(__xludf.DUMMYFUNCTION("""COMPUTED_VALUE"""),"Quezon")</f>
        <v>Quezon</v>
      </c>
      <c r="S49" s="142" t="str">
        <f>IFERROR(__xludf.DUMMYFUNCTION("""COMPUTED_VALUE"""),"Roxas")</f>
        <v>Roxas</v>
      </c>
      <c r="T49" s="142" t="str">
        <f>IFERROR(__xludf.DUMMYFUNCTION("""COMPUTED_VALUE"""),"San Vicente")</f>
        <v>San Vicente</v>
      </c>
      <c r="U49" s="142" t="str">
        <f>IFERROR(__xludf.DUMMYFUNCTION("""COMPUTED_VALUE"""),"Taytay")</f>
        <v>Taytay</v>
      </c>
      <c r="V49" s="142" t="str">
        <f>IFERROR(__xludf.DUMMYFUNCTION("""COMPUTED_VALUE"""),"Kalayaan")</f>
        <v>Kalayaan</v>
      </c>
      <c r="W49" s="142" t="str">
        <f>IFERROR(__xludf.DUMMYFUNCTION("""COMPUTED_VALUE"""),"Culion")</f>
        <v>Culion</v>
      </c>
      <c r="X49" s="142" t="str">
        <f>IFERROR(__xludf.DUMMYFUNCTION("""COMPUTED_VALUE"""),"Dr. Jose P. Rizal")</f>
        <v>Dr. Jose P. Rizal</v>
      </c>
      <c r="Y49" s="142" t="str">
        <f>IFERROR(__xludf.DUMMYFUNCTION("""COMPUTED_VALUE"""),"Sofronio Española")</f>
        <v>Sofronio Española</v>
      </c>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row>
    <row r="50">
      <c r="A50" s="142" t="s">
        <v>529</v>
      </c>
      <c r="B50" s="142" t="str">
        <f>IFERROR(__xludf.DUMMYFUNCTION("""COMPUTED_VALUE"""),"Alcantara")</f>
        <v>Alcantara</v>
      </c>
      <c r="C50" s="142" t="str">
        <f>IFERROR(__xludf.DUMMYFUNCTION("""COMPUTED_VALUE"""),"Banton")</f>
        <v>Banton</v>
      </c>
      <c r="D50" s="142" t="str">
        <f>IFERROR(__xludf.DUMMYFUNCTION("""COMPUTED_VALUE"""),"Cajidiocan")</f>
        <v>Cajidiocan</v>
      </c>
      <c r="E50" s="142" t="str">
        <f>IFERROR(__xludf.DUMMYFUNCTION("""COMPUTED_VALUE"""),"Calatrava")</f>
        <v>Calatrava</v>
      </c>
      <c r="F50" s="142" t="str">
        <f>IFERROR(__xludf.DUMMYFUNCTION("""COMPUTED_VALUE"""),"Concepcion")</f>
        <v>Concepcion</v>
      </c>
      <c r="G50" s="142" t="str">
        <f>IFERROR(__xludf.DUMMYFUNCTION("""COMPUTED_VALUE"""),"Corcuera")</f>
        <v>Corcuera</v>
      </c>
      <c r="H50" s="142" t="str">
        <f>IFERROR(__xludf.DUMMYFUNCTION("""COMPUTED_VALUE"""),"Looc")</f>
        <v>Looc</v>
      </c>
      <c r="I50" s="142" t="str">
        <f>IFERROR(__xludf.DUMMYFUNCTION("""COMPUTED_VALUE"""),"Magdiwang")</f>
        <v>Magdiwang</v>
      </c>
      <c r="J50" s="142" t="str">
        <f>IFERROR(__xludf.DUMMYFUNCTION("""COMPUTED_VALUE"""),"Odiongan")</f>
        <v>Odiongan</v>
      </c>
      <c r="K50" s="142" t="str">
        <f>IFERROR(__xludf.DUMMYFUNCTION("""COMPUTED_VALUE"""),"Romblon")</f>
        <v>Romblon</v>
      </c>
      <c r="L50" s="142" t="str">
        <f>IFERROR(__xludf.DUMMYFUNCTION("""COMPUTED_VALUE"""),"San Agustin")</f>
        <v>San Agustin</v>
      </c>
      <c r="M50" s="142" t="str">
        <f>IFERROR(__xludf.DUMMYFUNCTION("""COMPUTED_VALUE"""),"San Andres")</f>
        <v>San Andres</v>
      </c>
      <c r="N50" s="142" t="str">
        <f>IFERROR(__xludf.DUMMYFUNCTION("""COMPUTED_VALUE"""),"San Fernando")</f>
        <v>San Fernando</v>
      </c>
      <c r="O50" s="142" t="str">
        <f>IFERROR(__xludf.DUMMYFUNCTION("""COMPUTED_VALUE"""),"San Jose")</f>
        <v>San Jose</v>
      </c>
      <c r="P50" s="142" t="str">
        <f>IFERROR(__xludf.DUMMYFUNCTION("""COMPUTED_VALUE"""),"Santa Fe")</f>
        <v>Santa Fe</v>
      </c>
      <c r="Q50" s="142" t="str">
        <f>IFERROR(__xludf.DUMMYFUNCTION("""COMPUTED_VALUE"""),"Ferrol")</f>
        <v>Ferrol</v>
      </c>
      <c r="R50" s="142" t="str">
        <f>IFERROR(__xludf.DUMMYFUNCTION("""COMPUTED_VALUE"""),"Santa Maria")</f>
        <v>Santa Maria</v>
      </c>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row>
    <row r="51">
      <c r="A51" s="142" t="s">
        <v>536</v>
      </c>
      <c r="B51" s="142" t="str">
        <f>IFERROR(__xludf.DUMMYFUNCTION("""COMPUTED_VALUE"""),"Barcelona")</f>
        <v>Barcelona</v>
      </c>
      <c r="C51" s="142" t="str">
        <f>IFERROR(__xludf.DUMMYFUNCTION("""COMPUTED_VALUE"""),"Bulan")</f>
        <v>Bulan</v>
      </c>
      <c r="D51" s="142" t="str">
        <f>IFERROR(__xludf.DUMMYFUNCTION("""COMPUTED_VALUE"""),"Bulusan")</f>
        <v>Bulusan</v>
      </c>
      <c r="E51" s="142" t="str">
        <f>IFERROR(__xludf.DUMMYFUNCTION("""COMPUTED_VALUE"""),"Casiguran")</f>
        <v>Casiguran</v>
      </c>
      <c r="F51" s="142" t="str">
        <f>IFERROR(__xludf.DUMMYFUNCTION("""COMPUTED_VALUE"""),"Castilla")</f>
        <v>Castilla</v>
      </c>
      <c r="G51" s="142" t="str">
        <f>IFERROR(__xludf.DUMMYFUNCTION("""COMPUTED_VALUE"""),"Donsol")</f>
        <v>Donsol</v>
      </c>
      <c r="H51" s="142" t="str">
        <f>IFERROR(__xludf.DUMMYFUNCTION("""COMPUTED_VALUE"""),"Gubat")</f>
        <v>Gubat</v>
      </c>
      <c r="I51" s="142" t="str">
        <f>IFERROR(__xludf.DUMMYFUNCTION("""COMPUTED_VALUE"""),"Irosin")</f>
        <v>Irosin</v>
      </c>
      <c r="J51" s="142" t="str">
        <f>IFERROR(__xludf.DUMMYFUNCTION("""COMPUTED_VALUE"""),"Juban")</f>
        <v>Juban</v>
      </c>
      <c r="K51" s="142" t="str">
        <f>IFERROR(__xludf.DUMMYFUNCTION("""COMPUTED_VALUE"""),"Magallanes")</f>
        <v>Magallanes</v>
      </c>
      <c r="L51" s="142" t="str">
        <f>IFERROR(__xludf.DUMMYFUNCTION("""COMPUTED_VALUE"""),"Matnog")</f>
        <v>Matnog</v>
      </c>
      <c r="M51" s="142" t="str">
        <f>IFERROR(__xludf.DUMMYFUNCTION("""COMPUTED_VALUE"""),"Pilar")</f>
        <v>Pilar</v>
      </c>
      <c r="N51" s="142" t="str">
        <f>IFERROR(__xludf.DUMMYFUNCTION("""COMPUTED_VALUE"""),"Prieto Diaz")</f>
        <v>Prieto Diaz</v>
      </c>
      <c r="O51" s="142" t="str">
        <f>IFERROR(__xludf.DUMMYFUNCTION("""COMPUTED_VALUE"""),"Santa Magdalena")</f>
        <v>Santa Magdalena</v>
      </c>
      <c r="P51" s="142" t="str">
        <f>IFERROR(__xludf.DUMMYFUNCTION("""COMPUTED_VALUE"""),"City of Sorsogon")</f>
        <v>City of Sorsogon</v>
      </c>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row>
    <row r="52">
      <c r="A52" s="142" t="s">
        <v>536</v>
      </c>
      <c r="B52" s="142" t="str">
        <f>IFERROR(__xludf.DUMMYFUNCTION("""COMPUTED_VALUE"""),"Barcelona")</f>
        <v>Barcelona</v>
      </c>
      <c r="C52" s="142" t="str">
        <f>IFERROR(__xludf.DUMMYFUNCTION("""COMPUTED_VALUE"""),"Bulan")</f>
        <v>Bulan</v>
      </c>
      <c r="D52" s="142" t="str">
        <f>IFERROR(__xludf.DUMMYFUNCTION("""COMPUTED_VALUE"""),"Bulusan")</f>
        <v>Bulusan</v>
      </c>
      <c r="E52" s="142" t="str">
        <f>IFERROR(__xludf.DUMMYFUNCTION("""COMPUTED_VALUE"""),"Casiguran")</f>
        <v>Casiguran</v>
      </c>
      <c r="F52" s="142" t="str">
        <f>IFERROR(__xludf.DUMMYFUNCTION("""COMPUTED_VALUE"""),"Castilla")</f>
        <v>Castilla</v>
      </c>
      <c r="G52" s="142" t="str">
        <f>IFERROR(__xludf.DUMMYFUNCTION("""COMPUTED_VALUE"""),"Donsol")</f>
        <v>Donsol</v>
      </c>
      <c r="H52" s="142" t="str">
        <f>IFERROR(__xludf.DUMMYFUNCTION("""COMPUTED_VALUE"""),"Gubat")</f>
        <v>Gubat</v>
      </c>
      <c r="I52" s="142" t="str">
        <f>IFERROR(__xludf.DUMMYFUNCTION("""COMPUTED_VALUE"""),"Irosin")</f>
        <v>Irosin</v>
      </c>
      <c r="J52" s="142" t="str">
        <f>IFERROR(__xludf.DUMMYFUNCTION("""COMPUTED_VALUE"""),"Juban")</f>
        <v>Juban</v>
      </c>
      <c r="K52" s="142" t="str">
        <f>IFERROR(__xludf.DUMMYFUNCTION("""COMPUTED_VALUE"""),"Magallanes")</f>
        <v>Magallanes</v>
      </c>
      <c r="L52" s="142" t="str">
        <f>IFERROR(__xludf.DUMMYFUNCTION("""COMPUTED_VALUE"""),"Matnog")</f>
        <v>Matnog</v>
      </c>
      <c r="M52" s="142" t="str">
        <f>IFERROR(__xludf.DUMMYFUNCTION("""COMPUTED_VALUE"""),"Pilar")</f>
        <v>Pilar</v>
      </c>
      <c r="N52" s="142" t="str">
        <f>IFERROR(__xludf.DUMMYFUNCTION("""COMPUTED_VALUE"""),"Prieto Diaz")</f>
        <v>Prieto Diaz</v>
      </c>
      <c r="O52" s="142" t="str">
        <f>IFERROR(__xludf.DUMMYFUNCTION("""COMPUTED_VALUE"""),"Santa Magdalena")</f>
        <v>Santa Magdalena</v>
      </c>
      <c r="P52" s="142" t="str">
        <f>IFERROR(__xludf.DUMMYFUNCTION("""COMPUTED_VALUE"""),"City of Sorsogon")</f>
        <v>City of Sorsogon</v>
      </c>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row>
    <row r="53">
      <c r="A53" s="142" t="s">
        <v>536</v>
      </c>
      <c r="B53" s="142" t="str">
        <f>IFERROR(__xludf.DUMMYFUNCTION("""COMPUTED_VALUE"""),"Barcelona")</f>
        <v>Barcelona</v>
      </c>
      <c r="C53" s="142" t="str">
        <f>IFERROR(__xludf.DUMMYFUNCTION("""COMPUTED_VALUE"""),"Bulan")</f>
        <v>Bulan</v>
      </c>
      <c r="D53" s="142" t="str">
        <f>IFERROR(__xludf.DUMMYFUNCTION("""COMPUTED_VALUE"""),"Bulusan")</f>
        <v>Bulusan</v>
      </c>
      <c r="E53" s="142" t="str">
        <f>IFERROR(__xludf.DUMMYFUNCTION("""COMPUTED_VALUE"""),"Casiguran")</f>
        <v>Casiguran</v>
      </c>
      <c r="F53" s="142" t="str">
        <f>IFERROR(__xludf.DUMMYFUNCTION("""COMPUTED_VALUE"""),"Castilla")</f>
        <v>Castilla</v>
      </c>
      <c r="G53" s="142" t="str">
        <f>IFERROR(__xludf.DUMMYFUNCTION("""COMPUTED_VALUE"""),"Donsol")</f>
        <v>Donsol</v>
      </c>
      <c r="H53" s="142" t="str">
        <f>IFERROR(__xludf.DUMMYFUNCTION("""COMPUTED_VALUE"""),"Gubat")</f>
        <v>Gubat</v>
      </c>
      <c r="I53" s="142" t="str">
        <f>IFERROR(__xludf.DUMMYFUNCTION("""COMPUTED_VALUE"""),"Irosin")</f>
        <v>Irosin</v>
      </c>
      <c r="J53" s="142" t="str">
        <f>IFERROR(__xludf.DUMMYFUNCTION("""COMPUTED_VALUE"""),"Juban")</f>
        <v>Juban</v>
      </c>
      <c r="K53" s="142" t="str">
        <f>IFERROR(__xludf.DUMMYFUNCTION("""COMPUTED_VALUE"""),"Magallanes")</f>
        <v>Magallanes</v>
      </c>
      <c r="L53" s="142" t="str">
        <f>IFERROR(__xludf.DUMMYFUNCTION("""COMPUTED_VALUE"""),"Matnog")</f>
        <v>Matnog</v>
      </c>
      <c r="M53" s="142" t="str">
        <f>IFERROR(__xludf.DUMMYFUNCTION("""COMPUTED_VALUE"""),"Pilar")</f>
        <v>Pilar</v>
      </c>
      <c r="N53" s="142" t="str">
        <f>IFERROR(__xludf.DUMMYFUNCTION("""COMPUTED_VALUE"""),"Prieto Diaz")</f>
        <v>Prieto Diaz</v>
      </c>
      <c r="O53" s="142" t="str">
        <f>IFERROR(__xludf.DUMMYFUNCTION("""COMPUTED_VALUE"""),"Santa Magdalena")</f>
        <v>Santa Magdalena</v>
      </c>
      <c r="P53" s="142" t="str">
        <f>IFERROR(__xludf.DUMMYFUNCTION("""COMPUTED_VALUE"""),"City of Sorsogon")</f>
        <v>City of Sorsogon</v>
      </c>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row>
    <row r="54">
      <c r="A54" s="142" t="s">
        <v>536</v>
      </c>
      <c r="B54" s="142" t="str">
        <f>IFERROR(__xludf.DUMMYFUNCTION("""COMPUTED_VALUE"""),"Barcelona")</f>
        <v>Barcelona</v>
      </c>
      <c r="C54" s="142" t="str">
        <f>IFERROR(__xludf.DUMMYFUNCTION("""COMPUTED_VALUE"""),"Bulan")</f>
        <v>Bulan</v>
      </c>
      <c r="D54" s="142" t="str">
        <f>IFERROR(__xludf.DUMMYFUNCTION("""COMPUTED_VALUE"""),"Bulusan")</f>
        <v>Bulusan</v>
      </c>
      <c r="E54" s="142" t="str">
        <f>IFERROR(__xludf.DUMMYFUNCTION("""COMPUTED_VALUE"""),"Casiguran")</f>
        <v>Casiguran</v>
      </c>
      <c r="F54" s="142" t="str">
        <f>IFERROR(__xludf.DUMMYFUNCTION("""COMPUTED_VALUE"""),"Castilla")</f>
        <v>Castilla</v>
      </c>
      <c r="G54" s="142" t="str">
        <f>IFERROR(__xludf.DUMMYFUNCTION("""COMPUTED_VALUE"""),"Donsol")</f>
        <v>Donsol</v>
      </c>
      <c r="H54" s="142" t="str">
        <f>IFERROR(__xludf.DUMMYFUNCTION("""COMPUTED_VALUE"""),"Gubat")</f>
        <v>Gubat</v>
      </c>
      <c r="I54" s="142" t="str">
        <f>IFERROR(__xludf.DUMMYFUNCTION("""COMPUTED_VALUE"""),"Irosin")</f>
        <v>Irosin</v>
      </c>
      <c r="J54" s="142" t="str">
        <f>IFERROR(__xludf.DUMMYFUNCTION("""COMPUTED_VALUE"""),"Juban")</f>
        <v>Juban</v>
      </c>
      <c r="K54" s="142" t="str">
        <f>IFERROR(__xludf.DUMMYFUNCTION("""COMPUTED_VALUE"""),"Magallanes")</f>
        <v>Magallanes</v>
      </c>
      <c r="L54" s="142" t="str">
        <f>IFERROR(__xludf.DUMMYFUNCTION("""COMPUTED_VALUE"""),"Matnog")</f>
        <v>Matnog</v>
      </c>
      <c r="M54" s="142" t="str">
        <f>IFERROR(__xludf.DUMMYFUNCTION("""COMPUTED_VALUE"""),"Pilar")</f>
        <v>Pilar</v>
      </c>
      <c r="N54" s="142" t="str">
        <f>IFERROR(__xludf.DUMMYFUNCTION("""COMPUTED_VALUE"""),"Prieto Diaz")</f>
        <v>Prieto Diaz</v>
      </c>
      <c r="O54" s="142" t="str">
        <f>IFERROR(__xludf.DUMMYFUNCTION("""COMPUTED_VALUE"""),"Santa Magdalena")</f>
        <v>Santa Magdalena</v>
      </c>
      <c r="P54" s="142" t="str">
        <f>IFERROR(__xludf.DUMMYFUNCTION("""COMPUTED_VALUE"""),"City of Sorsogon")</f>
        <v>City of Sorsogon</v>
      </c>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row>
    <row r="55">
      <c r="A55" s="142" t="s">
        <v>536</v>
      </c>
      <c r="B55" s="142" t="str">
        <f>IFERROR(__xludf.DUMMYFUNCTION("""COMPUTED_VALUE"""),"Barcelona")</f>
        <v>Barcelona</v>
      </c>
      <c r="C55" s="142" t="str">
        <f>IFERROR(__xludf.DUMMYFUNCTION("""COMPUTED_VALUE"""),"Bulan")</f>
        <v>Bulan</v>
      </c>
      <c r="D55" s="142" t="str">
        <f>IFERROR(__xludf.DUMMYFUNCTION("""COMPUTED_VALUE"""),"Bulusan")</f>
        <v>Bulusan</v>
      </c>
      <c r="E55" s="142" t="str">
        <f>IFERROR(__xludf.DUMMYFUNCTION("""COMPUTED_VALUE"""),"Casiguran")</f>
        <v>Casiguran</v>
      </c>
      <c r="F55" s="142" t="str">
        <f>IFERROR(__xludf.DUMMYFUNCTION("""COMPUTED_VALUE"""),"Castilla")</f>
        <v>Castilla</v>
      </c>
      <c r="G55" s="142" t="str">
        <f>IFERROR(__xludf.DUMMYFUNCTION("""COMPUTED_VALUE"""),"Donsol")</f>
        <v>Donsol</v>
      </c>
      <c r="H55" s="142" t="str">
        <f>IFERROR(__xludf.DUMMYFUNCTION("""COMPUTED_VALUE"""),"Gubat")</f>
        <v>Gubat</v>
      </c>
      <c r="I55" s="142" t="str">
        <f>IFERROR(__xludf.DUMMYFUNCTION("""COMPUTED_VALUE"""),"Irosin")</f>
        <v>Irosin</v>
      </c>
      <c r="J55" s="142" t="str">
        <f>IFERROR(__xludf.DUMMYFUNCTION("""COMPUTED_VALUE"""),"Juban")</f>
        <v>Juban</v>
      </c>
      <c r="K55" s="142" t="str">
        <f>IFERROR(__xludf.DUMMYFUNCTION("""COMPUTED_VALUE"""),"Magallanes")</f>
        <v>Magallanes</v>
      </c>
      <c r="L55" s="142" t="str">
        <f>IFERROR(__xludf.DUMMYFUNCTION("""COMPUTED_VALUE"""),"Matnog")</f>
        <v>Matnog</v>
      </c>
      <c r="M55" s="142" t="str">
        <f>IFERROR(__xludf.DUMMYFUNCTION("""COMPUTED_VALUE"""),"Pilar")</f>
        <v>Pilar</v>
      </c>
      <c r="N55" s="142" t="str">
        <f>IFERROR(__xludf.DUMMYFUNCTION("""COMPUTED_VALUE"""),"Prieto Diaz")</f>
        <v>Prieto Diaz</v>
      </c>
      <c r="O55" s="142" t="str">
        <f>IFERROR(__xludf.DUMMYFUNCTION("""COMPUTED_VALUE"""),"Santa Magdalena")</f>
        <v>Santa Magdalena</v>
      </c>
      <c r="P55" s="142" t="str">
        <f>IFERROR(__xludf.DUMMYFUNCTION("""COMPUTED_VALUE"""),"City of Sorsogon")</f>
        <v>City of Sorsogon</v>
      </c>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row>
    <row r="56">
      <c r="A56" s="142" t="s">
        <v>536</v>
      </c>
      <c r="B56" s="142" t="str">
        <f>IFERROR(__xludf.DUMMYFUNCTION("""COMPUTED_VALUE"""),"Barcelona")</f>
        <v>Barcelona</v>
      </c>
      <c r="C56" s="142" t="str">
        <f>IFERROR(__xludf.DUMMYFUNCTION("""COMPUTED_VALUE"""),"Bulan")</f>
        <v>Bulan</v>
      </c>
      <c r="D56" s="142" t="str">
        <f>IFERROR(__xludf.DUMMYFUNCTION("""COMPUTED_VALUE"""),"Bulusan")</f>
        <v>Bulusan</v>
      </c>
      <c r="E56" s="142" t="str">
        <f>IFERROR(__xludf.DUMMYFUNCTION("""COMPUTED_VALUE"""),"Casiguran")</f>
        <v>Casiguran</v>
      </c>
      <c r="F56" s="142" t="str">
        <f>IFERROR(__xludf.DUMMYFUNCTION("""COMPUTED_VALUE"""),"Castilla")</f>
        <v>Castilla</v>
      </c>
      <c r="G56" s="142" t="str">
        <f>IFERROR(__xludf.DUMMYFUNCTION("""COMPUTED_VALUE"""),"Donsol")</f>
        <v>Donsol</v>
      </c>
      <c r="H56" s="142" t="str">
        <f>IFERROR(__xludf.DUMMYFUNCTION("""COMPUTED_VALUE"""),"Gubat")</f>
        <v>Gubat</v>
      </c>
      <c r="I56" s="142" t="str">
        <f>IFERROR(__xludf.DUMMYFUNCTION("""COMPUTED_VALUE"""),"Irosin")</f>
        <v>Irosin</v>
      </c>
      <c r="J56" s="142" t="str">
        <f>IFERROR(__xludf.DUMMYFUNCTION("""COMPUTED_VALUE"""),"Juban")</f>
        <v>Juban</v>
      </c>
      <c r="K56" s="142" t="str">
        <f>IFERROR(__xludf.DUMMYFUNCTION("""COMPUTED_VALUE"""),"Magallanes")</f>
        <v>Magallanes</v>
      </c>
      <c r="L56" s="142" t="str">
        <f>IFERROR(__xludf.DUMMYFUNCTION("""COMPUTED_VALUE"""),"Matnog")</f>
        <v>Matnog</v>
      </c>
      <c r="M56" s="142" t="str">
        <f>IFERROR(__xludf.DUMMYFUNCTION("""COMPUTED_VALUE"""),"Pilar")</f>
        <v>Pilar</v>
      </c>
      <c r="N56" s="142" t="str">
        <f>IFERROR(__xludf.DUMMYFUNCTION("""COMPUTED_VALUE"""),"Prieto Diaz")</f>
        <v>Prieto Diaz</v>
      </c>
      <c r="O56" s="142" t="str">
        <f>IFERROR(__xludf.DUMMYFUNCTION("""COMPUTED_VALUE"""),"Santa Magdalena")</f>
        <v>Santa Magdalena</v>
      </c>
      <c r="P56" s="142" t="str">
        <f>IFERROR(__xludf.DUMMYFUNCTION("""COMPUTED_VALUE"""),"City of Sorsogon")</f>
        <v>City of Sorsogon</v>
      </c>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row>
    <row r="57">
      <c r="A57" s="142" t="s">
        <v>536</v>
      </c>
      <c r="B57" s="142" t="str">
        <f>IFERROR(__xludf.DUMMYFUNCTION("""COMPUTED_VALUE"""),"Barcelona")</f>
        <v>Barcelona</v>
      </c>
      <c r="C57" s="142" t="str">
        <f>IFERROR(__xludf.DUMMYFUNCTION("""COMPUTED_VALUE"""),"Bulan")</f>
        <v>Bulan</v>
      </c>
      <c r="D57" s="142" t="str">
        <f>IFERROR(__xludf.DUMMYFUNCTION("""COMPUTED_VALUE"""),"Bulusan")</f>
        <v>Bulusan</v>
      </c>
      <c r="E57" s="142" t="str">
        <f>IFERROR(__xludf.DUMMYFUNCTION("""COMPUTED_VALUE"""),"Casiguran")</f>
        <v>Casiguran</v>
      </c>
      <c r="F57" s="142" t="str">
        <f>IFERROR(__xludf.DUMMYFUNCTION("""COMPUTED_VALUE"""),"Castilla")</f>
        <v>Castilla</v>
      </c>
      <c r="G57" s="142" t="str">
        <f>IFERROR(__xludf.DUMMYFUNCTION("""COMPUTED_VALUE"""),"Donsol")</f>
        <v>Donsol</v>
      </c>
      <c r="H57" s="142" t="str">
        <f>IFERROR(__xludf.DUMMYFUNCTION("""COMPUTED_VALUE"""),"Gubat")</f>
        <v>Gubat</v>
      </c>
      <c r="I57" s="142" t="str">
        <f>IFERROR(__xludf.DUMMYFUNCTION("""COMPUTED_VALUE"""),"Irosin")</f>
        <v>Irosin</v>
      </c>
      <c r="J57" s="142" t="str">
        <f>IFERROR(__xludf.DUMMYFUNCTION("""COMPUTED_VALUE"""),"Juban")</f>
        <v>Juban</v>
      </c>
      <c r="K57" s="142" t="str">
        <f>IFERROR(__xludf.DUMMYFUNCTION("""COMPUTED_VALUE"""),"Magallanes")</f>
        <v>Magallanes</v>
      </c>
      <c r="L57" s="142" t="str">
        <f>IFERROR(__xludf.DUMMYFUNCTION("""COMPUTED_VALUE"""),"Matnog")</f>
        <v>Matnog</v>
      </c>
      <c r="M57" s="142" t="str">
        <f>IFERROR(__xludf.DUMMYFUNCTION("""COMPUTED_VALUE"""),"Pilar")</f>
        <v>Pilar</v>
      </c>
      <c r="N57" s="142" t="str">
        <f>IFERROR(__xludf.DUMMYFUNCTION("""COMPUTED_VALUE"""),"Prieto Diaz")</f>
        <v>Prieto Diaz</v>
      </c>
      <c r="O57" s="142" t="str">
        <f>IFERROR(__xludf.DUMMYFUNCTION("""COMPUTED_VALUE"""),"Santa Magdalena")</f>
        <v>Santa Magdalena</v>
      </c>
      <c r="P57" s="142" t="str">
        <f>IFERROR(__xludf.DUMMYFUNCTION("""COMPUTED_VALUE"""),"City of Sorsogon")</f>
        <v>City of Sorsogon</v>
      </c>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row>
    <row r="58">
      <c r="A58" s="142" t="s">
        <v>558</v>
      </c>
      <c r="B58" s="142" t="str">
        <f>IFERROR(__xludf.DUMMYFUNCTION("""COMPUTED_VALUE"""),"Ajuy")</f>
        <v>Ajuy</v>
      </c>
      <c r="C58" s="142" t="str">
        <f>IFERROR(__xludf.DUMMYFUNCTION("""COMPUTED_VALUE"""),"Alimodian")</f>
        <v>Alimodian</v>
      </c>
      <c r="D58" s="142" t="str">
        <f>IFERROR(__xludf.DUMMYFUNCTION("""COMPUTED_VALUE"""),"Anilao")</f>
        <v>Anilao</v>
      </c>
      <c r="E58" s="142" t="str">
        <f>IFERROR(__xludf.DUMMYFUNCTION("""COMPUTED_VALUE"""),"Badiangan")</f>
        <v>Badiangan</v>
      </c>
      <c r="F58" s="142" t="str">
        <f>IFERROR(__xludf.DUMMYFUNCTION("""COMPUTED_VALUE"""),"Balasan")</f>
        <v>Balasan</v>
      </c>
      <c r="G58" s="142" t="str">
        <f>IFERROR(__xludf.DUMMYFUNCTION("""COMPUTED_VALUE"""),"Banate")</f>
        <v>Banate</v>
      </c>
      <c r="H58" s="142" t="str">
        <f>IFERROR(__xludf.DUMMYFUNCTION("""COMPUTED_VALUE"""),"Barotac Nuevo")</f>
        <v>Barotac Nuevo</v>
      </c>
      <c r="I58" s="142" t="str">
        <f>IFERROR(__xludf.DUMMYFUNCTION("""COMPUTED_VALUE"""),"Barotac Viejo")</f>
        <v>Barotac Viejo</v>
      </c>
      <c r="J58" s="142" t="str">
        <f>IFERROR(__xludf.DUMMYFUNCTION("""COMPUTED_VALUE"""),"Batad")</f>
        <v>Batad</v>
      </c>
      <c r="K58" s="142" t="str">
        <f>IFERROR(__xludf.DUMMYFUNCTION("""COMPUTED_VALUE"""),"Bingawan")</f>
        <v>Bingawan</v>
      </c>
      <c r="L58" s="142" t="str">
        <f>IFERROR(__xludf.DUMMYFUNCTION("""COMPUTED_VALUE"""),"Cabatuan")</f>
        <v>Cabatuan</v>
      </c>
      <c r="M58" s="142" t="str">
        <f>IFERROR(__xludf.DUMMYFUNCTION("""COMPUTED_VALUE"""),"Calinog")</f>
        <v>Calinog</v>
      </c>
      <c r="N58" s="142" t="str">
        <f>IFERROR(__xludf.DUMMYFUNCTION("""COMPUTED_VALUE"""),"Carles")</f>
        <v>Carles</v>
      </c>
      <c r="O58" s="142" t="str">
        <f>IFERROR(__xludf.DUMMYFUNCTION("""COMPUTED_VALUE"""),"Concepcion")</f>
        <v>Concepcion</v>
      </c>
      <c r="P58" s="142" t="str">
        <f>IFERROR(__xludf.DUMMYFUNCTION("""COMPUTED_VALUE"""),"Dingle")</f>
        <v>Dingle</v>
      </c>
      <c r="Q58" s="142" t="str">
        <f>IFERROR(__xludf.DUMMYFUNCTION("""COMPUTED_VALUE"""),"Dueñas")</f>
        <v>Dueñas</v>
      </c>
      <c r="R58" s="142" t="str">
        <f>IFERROR(__xludf.DUMMYFUNCTION("""COMPUTED_VALUE"""),"Dumangas")</f>
        <v>Dumangas</v>
      </c>
      <c r="S58" s="142" t="str">
        <f>IFERROR(__xludf.DUMMYFUNCTION("""COMPUTED_VALUE"""),"Estancia")</f>
        <v>Estancia</v>
      </c>
      <c r="T58" s="142" t="str">
        <f>IFERROR(__xludf.DUMMYFUNCTION("""COMPUTED_VALUE"""),"Guimbal")</f>
        <v>Guimbal</v>
      </c>
      <c r="U58" s="142" t="str">
        <f>IFERROR(__xludf.DUMMYFUNCTION("""COMPUTED_VALUE"""),"Igbaras")</f>
        <v>Igbaras</v>
      </c>
      <c r="V58" s="142" t="str">
        <f>IFERROR(__xludf.DUMMYFUNCTION("""COMPUTED_VALUE"""),"City of Iloilo")</f>
        <v>City of Iloilo</v>
      </c>
      <c r="W58" s="142" t="str">
        <f>IFERROR(__xludf.DUMMYFUNCTION("""COMPUTED_VALUE"""),"Janiuay")</f>
        <v>Janiuay</v>
      </c>
      <c r="X58" s="142" t="str">
        <f>IFERROR(__xludf.DUMMYFUNCTION("""COMPUTED_VALUE"""),"Lambunao")</f>
        <v>Lambunao</v>
      </c>
      <c r="Y58" s="142" t="str">
        <f>IFERROR(__xludf.DUMMYFUNCTION("""COMPUTED_VALUE"""),"Leganes")</f>
        <v>Leganes</v>
      </c>
      <c r="Z58" s="142" t="str">
        <f>IFERROR(__xludf.DUMMYFUNCTION("""COMPUTED_VALUE"""),"Lemery")</f>
        <v>Lemery</v>
      </c>
      <c r="AA58" s="142" t="str">
        <f>IFERROR(__xludf.DUMMYFUNCTION("""COMPUTED_VALUE"""),"Leon")</f>
        <v>Leon</v>
      </c>
      <c r="AB58" s="142" t="str">
        <f>IFERROR(__xludf.DUMMYFUNCTION("""COMPUTED_VALUE"""),"Maasin")</f>
        <v>Maasin</v>
      </c>
      <c r="AC58" s="142" t="str">
        <f>IFERROR(__xludf.DUMMYFUNCTION("""COMPUTED_VALUE"""),"Miagao")</f>
        <v>Miagao</v>
      </c>
      <c r="AD58" s="142" t="str">
        <f>IFERROR(__xludf.DUMMYFUNCTION("""COMPUTED_VALUE"""),"Mina")</f>
        <v>Mina</v>
      </c>
      <c r="AE58" s="142" t="str">
        <f>IFERROR(__xludf.DUMMYFUNCTION("""COMPUTED_VALUE"""),"New Lucena")</f>
        <v>New Lucena</v>
      </c>
      <c r="AF58" s="142" t="str">
        <f>IFERROR(__xludf.DUMMYFUNCTION("""COMPUTED_VALUE"""),"Oton")</f>
        <v>Oton</v>
      </c>
      <c r="AG58" s="142" t="str">
        <f>IFERROR(__xludf.DUMMYFUNCTION("""COMPUTED_VALUE"""),"City of Passi")</f>
        <v>City of Passi</v>
      </c>
      <c r="AH58" s="142" t="str">
        <f>IFERROR(__xludf.DUMMYFUNCTION("""COMPUTED_VALUE"""),"Pavia")</f>
        <v>Pavia</v>
      </c>
      <c r="AI58" s="142" t="str">
        <f>IFERROR(__xludf.DUMMYFUNCTION("""COMPUTED_VALUE"""),"Pototan")</f>
        <v>Pototan</v>
      </c>
      <c r="AJ58" s="142" t="str">
        <f>IFERROR(__xludf.DUMMYFUNCTION("""COMPUTED_VALUE"""),"San Dionisio")</f>
        <v>San Dionisio</v>
      </c>
      <c r="AK58" s="142" t="str">
        <f>IFERROR(__xludf.DUMMYFUNCTION("""COMPUTED_VALUE"""),"San Enrique")</f>
        <v>San Enrique</v>
      </c>
      <c r="AL58" s="142" t="str">
        <f>IFERROR(__xludf.DUMMYFUNCTION("""COMPUTED_VALUE"""),"San Joaquin")</f>
        <v>San Joaquin</v>
      </c>
      <c r="AM58" s="142" t="str">
        <f>IFERROR(__xludf.DUMMYFUNCTION("""COMPUTED_VALUE"""),"San Miguel")</f>
        <v>San Miguel</v>
      </c>
      <c r="AN58" s="142" t="str">
        <f>IFERROR(__xludf.DUMMYFUNCTION("""COMPUTED_VALUE"""),"San Rafael")</f>
        <v>San Rafael</v>
      </c>
      <c r="AO58" s="142" t="str">
        <f>IFERROR(__xludf.DUMMYFUNCTION("""COMPUTED_VALUE"""),"Santa Barbara")</f>
        <v>Santa Barbara</v>
      </c>
      <c r="AP58" s="142" t="str">
        <f>IFERROR(__xludf.DUMMYFUNCTION("""COMPUTED_VALUE"""),"Sara")</f>
        <v>Sara</v>
      </c>
      <c r="AQ58" s="142" t="str">
        <f>IFERROR(__xludf.DUMMYFUNCTION("""COMPUTED_VALUE"""),"Tigbauan")</f>
        <v>Tigbauan</v>
      </c>
      <c r="AR58" s="142" t="str">
        <f>IFERROR(__xludf.DUMMYFUNCTION("""COMPUTED_VALUE"""),"Tubungan")</f>
        <v>Tubungan</v>
      </c>
      <c r="AS58" s="142" t="str">
        <f>IFERROR(__xludf.DUMMYFUNCTION("""COMPUTED_VALUE"""),"Zarraga")</f>
        <v>Zarraga</v>
      </c>
      <c r="AT58" s="8"/>
      <c r="AU58" s="8"/>
      <c r="AV58" s="8"/>
      <c r="AW58" s="8"/>
      <c r="AX58" s="8"/>
      <c r="AY58" s="8"/>
      <c r="AZ58" s="8"/>
      <c r="BA58" s="8"/>
      <c r="BB58" s="8"/>
      <c r="BC58" s="8"/>
      <c r="BD58" s="8"/>
      <c r="BE58" s="8"/>
    </row>
    <row r="59">
      <c r="A59" s="142" t="s">
        <v>563</v>
      </c>
      <c r="B59" s="142" t="str">
        <f>IFERROR(__xludf.DUMMYFUNCTION("""COMPUTED_VALUE"""),"Alburquerque")</f>
        <v>Alburquerque</v>
      </c>
      <c r="C59" s="142" t="str">
        <f>IFERROR(__xludf.DUMMYFUNCTION("""COMPUTED_VALUE"""),"Alicia")</f>
        <v>Alicia</v>
      </c>
      <c r="D59" s="142" t="str">
        <f>IFERROR(__xludf.DUMMYFUNCTION("""COMPUTED_VALUE"""),"Anda")</f>
        <v>Anda</v>
      </c>
      <c r="E59" s="142" t="str">
        <f>IFERROR(__xludf.DUMMYFUNCTION("""COMPUTED_VALUE"""),"Antequera")</f>
        <v>Antequera</v>
      </c>
      <c r="F59" s="142" t="str">
        <f>IFERROR(__xludf.DUMMYFUNCTION("""COMPUTED_VALUE"""),"Baclayon")</f>
        <v>Baclayon</v>
      </c>
      <c r="G59" s="142" t="str">
        <f>IFERROR(__xludf.DUMMYFUNCTION("""COMPUTED_VALUE"""),"Balilihan")</f>
        <v>Balilihan</v>
      </c>
      <c r="H59" s="142" t="str">
        <f>IFERROR(__xludf.DUMMYFUNCTION("""COMPUTED_VALUE"""),"Batuan")</f>
        <v>Batuan</v>
      </c>
      <c r="I59" s="142" t="str">
        <f>IFERROR(__xludf.DUMMYFUNCTION("""COMPUTED_VALUE"""),"Bilar")</f>
        <v>Bilar</v>
      </c>
      <c r="J59" s="142" t="str">
        <f>IFERROR(__xludf.DUMMYFUNCTION("""COMPUTED_VALUE"""),"Buenavista")</f>
        <v>Buenavista</v>
      </c>
      <c r="K59" s="142" t="str">
        <f>IFERROR(__xludf.DUMMYFUNCTION("""COMPUTED_VALUE"""),"Calape")</f>
        <v>Calape</v>
      </c>
      <c r="L59" s="142" t="str">
        <f>IFERROR(__xludf.DUMMYFUNCTION("""COMPUTED_VALUE"""),"Candijay")</f>
        <v>Candijay</v>
      </c>
      <c r="M59" s="142" t="str">
        <f>IFERROR(__xludf.DUMMYFUNCTION("""COMPUTED_VALUE"""),"Carmen")</f>
        <v>Carmen</v>
      </c>
      <c r="N59" s="142" t="str">
        <f>IFERROR(__xludf.DUMMYFUNCTION("""COMPUTED_VALUE"""),"Catigbian")</f>
        <v>Catigbian</v>
      </c>
      <c r="O59" s="142" t="str">
        <f>IFERROR(__xludf.DUMMYFUNCTION("""COMPUTED_VALUE"""),"Clarin")</f>
        <v>Clarin</v>
      </c>
      <c r="P59" s="142" t="str">
        <f>IFERROR(__xludf.DUMMYFUNCTION("""COMPUTED_VALUE"""),"Corella")</f>
        <v>Corella</v>
      </c>
      <c r="Q59" s="142" t="str">
        <f>IFERROR(__xludf.DUMMYFUNCTION("""COMPUTED_VALUE"""),"Cortes")</f>
        <v>Cortes</v>
      </c>
      <c r="R59" s="142" t="str">
        <f>IFERROR(__xludf.DUMMYFUNCTION("""COMPUTED_VALUE"""),"Dagohoy")</f>
        <v>Dagohoy</v>
      </c>
      <c r="S59" s="142" t="str">
        <f>IFERROR(__xludf.DUMMYFUNCTION("""COMPUTED_VALUE"""),"Danao")</f>
        <v>Danao</v>
      </c>
      <c r="T59" s="142" t="str">
        <f>IFERROR(__xludf.DUMMYFUNCTION("""COMPUTED_VALUE"""),"Dauis")</f>
        <v>Dauis</v>
      </c>
      <c r="U59" s="142" t="str">
        <f>IFERROR(__xludf.DUMMYFUNCTION("""COMPUTED_VALUE"""),"Dimiao")</f>
        <v>Dimiao</v>
      </c>
      <c r="V59" s="142" t="str">
        <f>IFERROR(__xludf.DUMMYFUNCTION("""COMPUTED_VALUE"""),"Duero")</f>
        <v>Duero</v>
      </c>
      <c r="W59" s="142" t="str">
        <f>IFERROR(__xludf.DUMMYFUNCTION("""COMPUTED_VALUE"""),"Garcia Hernandez")</f>
        <v>Garcia Hernandez</v>
      </c>
      <c r="X59" s="142" t="str">
        <f>IFERROR(__xludf.DUMMYFUNCTION("""COMPUTED_VALUE"""),"Guindulman")</f>
        <v>Guindulman</v>
      </c>
      <c r="Y59" s="142" t="str">
        <f>IFERROR(__xludf.DUMMYFUNCTION("""COMPUTED_VALUE"""),"Inabanga")</f>
        <v>Inabanga</v>
      </c>
      <c r="Z59" s="142" t="str">
        <f>IFERROR(__xludf.DUMMYFUNCTION("""COMPUTED_VALUE"""),"Jagna")</f>
        <v>Jagna</v>
      </c>
      <c r="AA59" s="142" t="str">
        <f>IFERROR(__xludf.DUMMYFUNCTION("""COMPUTED_VALUE"""),"Getafe")</f>
        <v>Getafe</v>
      </c>
      <c r="AB59" s="142" t="str">
        <f>IFERROR(__xludf.DUMMYFUNCTION("""COMPUTED_VALUE"""),"Lila")</f>
        <v>Lila</v>
      </c>
      <c r="AC59" s="142" t="str">
        <f>IFERROR(__xludf.DUMMYFUNCTION("""COMPUTED_VALUE"""),"Loay")</f>
        <v>Loay</v>
      </c>
      <c r="AD59" s="142" t="str">
        <f>IFERROR(__xludf.DUMMYFUNCTION("""COMPUTED_VALUE"""),"Loboc")</f>
        <v>Loboc</v>
      </c>
      <c r="AE59" s="142" t="str">
        <f>IFERROR(__xludf.DUMMYFUNCTION("""COMPUTED_VALUE"""),"Loon")</f>
        <v>Loon</v>
      </c>
      <c r="AF59" s="142" t="str">
        <f>IFERROR(__xludf.DUMMYFUNCTION("""COMPUTED_VALUE"""),"Mabini")</f>
        <v>Mabini</v>
      </c>
      <c r="AG59" s="142" t="str">
        <f>IFERROR(__xludf.DUMMYFUNCTION("""COMPUTED_VALUE"""),"Maribojoc")</f>
        <v>Maribojoc</v>
      </c>
      <c r="AH59" s="142" t="str">
        <f>IFERROR(__xludf.DUMMYFUNCTION("""COMPUTED_VALUE"""),"Panglao")</f>
        <v>Panglao</v>
      </c>
      <c r="AI59" s="142" t="str">
        <f>IFERROR(__xludf.DUMMYFUNCTION("""COMPUTED_VALUE"""),"Pilar")</f>
        <v>Pilar</v>
      </c>
      <c r="AJ59" s="142" t="str">
        <f>IFERROR(__xludf.DUMMYFUNCTION("""COMPUTED_VALUE"""),"President Carlos P. Garcia")</f>
        <v>President Carlos P. Garcia</v>
      </c>
      <c r="AK59" s="142" t="str">
        <f>IFERROR(__xludf.DUMMYFUNCTION("""COMPUTED_VALUE"""),"Sagbayan")</f>
        <v>Sagbayan</v>
      </c>
      <c r="AL59" s="142" t="str">
        <f>IFERROR(__xludf.DUMMYFUNCTION("""COMPUTED_VALUE"""),"San Isidro")</f>
        <v>San Isidro</v>
      </c>
      <c r="AM59" s="142" t="str">
        <f>IFERROR(__xludf.DUMMYFUNCTION("""COMPUTED_VALUE"""),"San Miguel")</f>
        <v>San Miguel</v>
      </c>
      <c r="AN59" s="142" t="str">
        <f>IFERROR(__xludf.DUMMYFUNCTION("""COMPUTED_VALUE"""),"Sevilla")</f>
        <v>Sevilla</v>
      </c>
      <c r="AO59" s="142" t="str">
        <f>IFERROR(__xludf.DUMMYFUNCTION("""COMPUTED_VALUE"""),"Sierra Bullones")</f>
        <v>Sierra Bullones</v>
      </c>
      <c r="AP59" s="142" t="str">
        <f>IFERROR(__xludf.DUMMYFUNCTION("""COMPUTED_VALUE"""),"Sikatuna")</f>
        <v>Sikatuna</v>
      </c>
      <c r="AQ59" s="142" t="str">
        <f>IFERROR(__xludf.DUMMYFUNCTION("""COMPUTED_VALUE"""),"City of Tagbilaran")</f>
        <v>City of Tagbilaran</v>
      </c>
      <c r="AR59" s="142" t="str">
        <f>IFERROR(__xludf.DUMMYFUNCTION("""COMPUTED_VALUE"""),"Talibon")</f>
        <v>Talibon</v>
      </c>
      <c r="AS59" s="142" t="str">
        <f>IFERROR(__xludf.DUMMYFUNCTION("""COMPUTED_VALUE"""),"Trinidad")</f>
        <v>Trinidad</v>
      </c>
      <c r="AT59" s="142" t="str">
        <f>IFERROR(__xludf.DUMMYFUNCTION("""COMPUTED_VALUE"""),"Tubigon")</f>
        <v>Tubigon</v>
      </c>
      <c r="AU59" s="142" t="str">
        <f>IFERROR(__xludf.DUMMYFUNCTION("""COMPUTED_VALUE"""),"Ubay")</f>
        <v>Ubay</v>
      </c>
      <c r="AV59" s="142" t="str">
        <f>IFERROR(__xludf.DUMMYFUNCTION("""COMPUTED_VALUE"""),"Valencia")</f>
        <v>Valencia</v>
      </c>
      <c r="AW59" s="142" t="str">
        <f>IFERROR(__xludf.DUMMYFUNCTION("""COMPUTED_VALUE"""),"Bien Unido")</f>
        <v>Bien Unido</v>
      </c>
      <c r="AX59" s="8"/>
      <c r="AY59" s="8"/>
      <c r="AZ59" s="8"/>
      <c r="BA59" s="8"/>
      <c r="BB59" s="8"/>
      <c r="BC59" s="8"/>
      <c r="BD59" s="8"/>
      <c r="BE59" s="8"/>
    </row>
    <row r="60">
      <c r="A60" s="142" t="s">
        <v>194</v>
      </c>
      <c r="B60" s="142" t="str">
        <f>IFERROR(__xludf.DUMMYFUNCTION("""COMPUTED_VALUE"""),"Alcantara")</f>
        <v>Alcantara</v>
      </c>
      <c r="C60" s="142" t="str">
        <f>IFERROR(__xludf.DUMMYFUNCTION("""COMPUTED_VALUE"""),"Alcoy")</f>
        <v>Alcoy</v>
      </c>
      <c r="D60" s="142" t="str">
        <f>IFERROR(__xludf.DUMMYFUNCTION("""COMPUTED_VALUE"""),"Alegria")</f>
        <v>Alegria</v>
      </c>
      <c r="E60" s="142" t="str">
        <f>IFERROR(__xludf.DUMMYFUNCTION("""COMPUTED_VALUE"""),"Aloguinsan")</f>
        <v>Aloguinsan</v>
      </c>
      <c r="F60" s="142" t="str">
        <f>IFERROR(__xludf.DUMMYFUNCTION("""COMPUTED_VALUE"""),"Argao")</f>
        <v>Argao</v>
      </c>
      <c r="G60" s="142" t="str">
        <f>IFERROR(__xludf.DUMMYFUNCTION("""COMPUTED_VALUE"""),"Asturias")</f>
        <v>Asturias</v>
      </c>
      <c r="H60" s="142" t="str">
        <f>IFERROR(__xludf.DUMMYFUNCTION("""COMPUTED_VALUE"""),"Badian")</f>
        <v>Badian</v>
      </c>
      <c r="I60" s="142" t="str">
        <f>IFERROR(__xludf.DUMMYFUNCTION("""COMPUTED_VALUE"""),"Balamban")</f>
        <v>Balamban</v>
      </c>
      <c r="J60" s="142" t="str">
        <f>IFERROR(__xludf.DUMMYFUNCTION("""COMPUTED_VALUE"""),"Bantayan")</f>
        <v>Bantayan</v>
      </c>
      <c r="K60" s="142" t="str">
        <f>IFERROR(__xludf.DUMMYFUNCTION("""COMPUTED_VALUE"""),"Barili")</f>
        <v>Barili</v>
      </c>
      <c r="L60" s="142" t="str">
        <f>IFERROR(__xludf.DUMMYFUNCTION("""COMPUTED_VALUE"""),"City of Bogo")</f>
        <v>City of Bogo</v>
      </c>
      <c r="M60" s="142" t="str">
        <f>IFERROR(__xludf.DUMMYFUNCTION("""COMPUTED_VALUE"""),"Boljoon")</f>
        <v>Boljoon</v>
      </c>
      <c r="N60" s="142" t="str">
        <f>IFERROR(__xludf.DUMMYFUNCTION("""COMPUTED_VALUE"""),"Borbon")</f>
        <v>Borbon</v>
      </c>
      <c r="O60" s="142" t="str">
        <f>IFERROR(__xludf.DUMMYFUNCTION("""COMPUTED_VALUE"""),"City of Carcar")</f>
        <v>City of Carcar</v>
      </c>
      <c r="P60" s="142" t="str">
        <f>IFERROR(__xludf.DUMMYFUNCTION("""COMPUTED_VALUE"""),"Carmen")</f>
        <v>Carmen</v>
      </c>
      <c r="Q60" s="142" t="str">
        <f>IFERROR(__xludf.DUMMYFUNCTION("""COMPUTED_VALUE"""),"Catmon")</f>
        <v>Catmon</v>
      </c>
      <c r="R60" s="142" t="str">
        <f>IFERROR(__xludf.DUMMYFUNCTION("""COMPUTED_VALUE"""),"Compostela")</f>
        <v>Compostela</v>
      </c>
      <c r="S60" s="142" t="str">
        <f>IFERROR(__xludf.DUMMYFUNCTION("""COMPUTED_VALUE"""),"Consolacion")</f>
        <v>Consolacion</v>
      </c>
      <c r="T60" s="142" t="str">
        <f>IFERROR(__xludf.DUMMYFUNCTION("""COMPUTED_VALUE"""),"Cordova")</f>
        <v>Cordova</v>
      </c>
      <c r="U60" s="142" t="str">
        <f>IFERROR(__xludf.DUMMYFUNCTION("""COMPUTED_VALUE"""),"Daanbantayan")</f>
        <v>Daanbantayan</v>
      </c>
      <c r="V60" s="142" t="str">
        <f>IFERROR(__xludf.DUMMYFUNCTION("""COMPUTED_VALUE"""),"Dalaguete")</f>
        <v>Dalaguete</v>
      </c>
      <c r="W60" s="142" t="str">
        <f>IFERROR(__xludf.DUMMYFUNCTION("""COMPUTED_VALUE"""),"Danao City")</f>
        <v>Danao City</v>
      </c>
      <c r="X60" s="142" t="str">
        <f>IFERROR(__xludf.DUMMYFUNCTION("""COMPUTED_VALUE"""),"Dumanjug")</f>
        <v>Dumanjug</v>
      </c>
      <c r="Y60" s="142" t="str">
        <f>IFERROR(__xludf.DUMMYFUNCTION("""COMPUTED_VALUE"""),"Ginatilan")</f>
        <v>Ginatilan</v>
      </c>
      <c r="Z60" s="142" t="str">
        <f>IFERROR(__xludf.DUMMYFUNCTION("""COMPUTED_VALUE"""),"Liloan")</f>
        <v>Liloan</v>
      </c>
      <c r="AA60" s="142" t="str">
        <f>IFERROR(__xludf.DUMMYFUNCTION("""COMPUTED_VALUE"""),"Madridejos")</f>
        <v>Madridejos</v>
      </c>
      <c r="AB60" s="142" t="str">
        <f>IFERROR(__xludf.DUMMYFUNCTION("""COMPUTED_VALUE"""),"Malabuyoc")</f>
        <v>Malabuyoc</v>
      </c>
      <c r="AC60" s="142" t="str">
        <f>IFERROR(__xludf.DUMMYFUNCTION("""COMPUTED_VALUE"""),"Medellin")</f>
        <v>Medellin</v>
      </c>
      <c r="AD60" s="142" t="str">
        <f>IFERROR(__xludf.DUMMYFUNCTION("""COMPUTED_VALUE"""),"Minglanilla")</f>
        <v>Minglanilla</v>
      </c>
      <c r="AE60" s="142" t="str">
        <f>IFERROR(__xludf.DUMMYFUNCTION("""COMPUTED_VALUE"""),"Moalboal")</f>
        <v>Moalboal</v>
      </c>
      <c r="AF60" s="142" t="str">
        <f>IFERROR(__xludf.DUMMYFUNCTION("""COMPUTED_VALUE"""),"City of Naga")</f>
        <v>City of Naga</v>
      </c>
      <c r="AG60" s="142" t="str">
        <f>IFERROR(__xludf.DUMMYFUNCTION("""COMPUTED_VALUE"""),"Oslob")</f>
        <v>Oslob</v>
      </c>
      <c r="AH60" s="142" t="str">
        <f>IFERROR(__xludf.DUMMYFUNCTION("""COMPUTED_VALUE"""),"Pilar")</f>
        <v>Pilar</v>
      </c>
      <c r="AI60" s="142" t="str">
        <f>IFERROR(__xludf.DUMMYFUNCTION("""COMPUTED_VALUE"""),"Pinamungajan")</f>
        <v>Pinamungajan</v>
      </c>
      <c r="AJ60" s="142" t="str">
        <f>IFERROR(__xludf.DUMMYFUNCTION("""COMPUTED_VALUE"""),"Poro")</f>
        <v>Poro</v>
      </c>
      <c r="AK60" s="142" t="str">
        <f>IFERROR(__xludf.DUMMYFUNCTION("""COMPUTED_VALUE"""),"Ronda")</f>
        <v>Ronda</v>
      </c>
      <c r="AL60" s="142" t="str">
        <f>IFERROR(__xludf.DUMMYFUNCTION("""COMPUTED_VALUE"""),"Samboan")</f>
        <v>Samboan</v>
      </c>
      <c r="AM60" s="142" t="str">
        <f>IFERROR(__xludf.DUMMYFUNCTION("""COMPUTED_VALUE"""),"San Fernando")</f>
        <v>San Fernando</v>
      </c>
      <c r="AN60" s="142" t="str">
        <f>IFERROR(__xludf.DUMMYFUNCTION("""COMPUTED_VALUE"""),"San Francisco")</f>
        <v>San Francisco</v>
      </c>
      <c r="AO60" s="142" t="str">
        <f>IFERROR(__xludf.DUMMYFUNCTION("""COMPUTED_VALUE"""),"San Remigio")</f>
        <v>San Remigio</v>
      </c>
      <c r="AP60" s="142" t="str">
        <f>IFERROR(__xludf.DUMMYFUNCTION("""COMPUTED_VALUE"""),"Santa Fe")</f>
        <v>Santa Fe</v>
      </c>
      <c r="AQ60" s="142" t="str">
        <f>IFERROR(__xludf.DUMMYFUNCTION("""COMPUTED_VALUE"""),"Santander")</f>
        <v>Santander</v>
      </c>
      <c r="AR60" s="142" t="str">
        <f>IFERROR(__xludf.DUMMYFUNCTION("""COMPUTED_VALUE"""),"Sibonga")</f>
        <v>Sibonga</v>
      </c>
      <c r="AS60" s="142" t="str">
        <f>IFERROR(__xludf.DUMMYFUNCTION("""COMPUTED_VALUE"""),"Sogod")</f>
        <v>Sogod</v>
      </c>
      <c r="AT60" s="142" t="str">
        <f>IFERROR(__xludf.DUMMYFUNCTION("""COMPUTED_VALUE"""),"Tabogon")</f>
        <v>Tabogon</v>
      </c>
      <c r="AU60" s="142" t="str">
        <f>IFERROR(__xludf.DUMMYFUNCTION("""COMPUTED_VALUE"""),"Tabuelan")</f>
        <v>Tabuelan</v>
      </c>
      <c r="AV60" s="142" t="str">
        <f>IFERROR(__xludf.DUMMYFUNCTION("""COMPUTED_VALUE"""),"City of Talisay")</f>
        <v>City of Talisay</v>
      </c>
      <c r="AW60" s="142" t="str">
        <f>IFERROR(__xludf.DUMMYFUNCTION("""COMPUTED_VALUE"""),"City of Toledo")</f>
        <v>City of Toledo</v>
      </c>
      <c r="AX60" s="142" t="str">
        <f>IFERROR(__xludf.DUMMYFUNCTION("""COMPUTED_VALUE"""),"Tuburan")</f>
        <v>Tuburan</v>
      </c>
      <c r="AY60" s="142" t="str">
        <f>IFERROR(__xludf.DUMMYFUNCTION("""COMPUTED_VALUE"""),"Tudela")</f>
        <v>Tudela</v>
      </c>
      <c r="AZ60" s="142" t="str">
        <f>IFERROR(__xludf.DUMMYFUNCTION("""COMPUTED_VALUE"""),"City of Cebu")</f>
        <v>City of Cebu</v>
      </c>
      <c r="BA60" s="142" t="str">
        <f>IFERROR(__xludf.DUMMYFUNCTION("""COMPUTED_VALUE"""),"City of Lapu-Lapu")</f>
        <v>City of Lapu-Lapu</v>
      </c>
      <c r="BB60" s="142" t="str">
        <f>IFERROR(__xludf.DUMMYFUNCTION("""COMPUTED_VALUE"""),"City of Mandaue")</f>
        <v>City of Mandaue</v>
      </c>
      <c r="BC60" s="8"/>
      <c r="BD60" s="8"/>
      <c r="BE60" s="8"/>
    </row>
    <row r="61">
      <c r="A61" s="142" t="s">
        <v>194</v>
      </c>
      <c r="B61" s="142" t="str">
        <f>IFERROR(__xludf.DUMMYFUNCTION("""COMPUTED_VALUE"""),"Alcantara")</f>
        <v>Alcantara</v>
      </c>
      <c r="C61" s="142" t="str">
        <f>IFERROR(__xludf.DUMMYFUNCTION("""COMPUTED_VALUE"""),"Alcoy")</f>
        <v>Alcoy</v>
      </c>
      <c r="D61" s="142" t="str">
        <f>IFERROR(__xludf.DUMMYFUNCTION("""COMPUTED_VALUE"""),"Alegria")</f>
        <v>Alegria</v>
      </c>
      <c r="E61" s="142" t="str">
        <f>IFERROR(__xludf.DUMMYFUNCTION("""COMPUTED_VALUE"""),"Aloguinsan")</f>
        <v>Aloguinsan</v>
      </c>
      <c r="F61" s="142" t="str">
        <f>IFERROR(__xludf.DUMMYFUNCTION("""COMPUTED_VALUE"""),"Argao")</f>
        <v>Argao</v>
      </c>
      <c r="G61" s="142" t="str">
        <f>IFERROR(__xludf.DUMMYFUNCTION("""COMPUTED_VALUE"""),"Asturias")</f>
        <v>Asturias</v>
      </c>
      <c r="H61" s="142" t="str">
        <f>IFERROR(__xludf.DUMMYFUNCTION("""COMPUTED_VALUE"""),"Badian")</f>
        <v>Badian</v>
      </c>
      <c r="I61" s="142" t="str">
        <f>IFERROR(__xludf.DUMMYFUNCTION("""COMPUTED_VALUE"""),"Balamban")</f>
        <v>Balamban</v>
      </c>
      <c r="J61" s="142" t="str">
        <f>IFERROR(__xludf.DUMMYFUNCTION("""COMPUTED_VALUE"""),"Bantayan")</f>
        <v>Bantayan</v>
      </c>
      <c r="K61" s="142" t="str">
        <f>IFERROR(__xludf.DUMMYFUNCTION("""COMPUTED_VALUE"""),"Barili")</f>
        <v>Barili</v>
      </c>
      <c r="L61" s="142" t="str">
        <f>IFERROR(__xludf.DUMMYFUNCTION("""COMPUTED_VALUE"""),"City of Bogo")</f>
        <v>City of Bogo</v>
      </c>
      <c r="M61" s="142" t="str">
        <f>IFERROR(__xludf.DUMMYFUNCTION("""COMPUTED_VALUE"""),"Boljoon")</f>
        <v>Boljoon</v>
      </c>
      <c r="N61" s="142" t="str">
        <f>IFERROR(__xludf.DUMMYFUNCTION("""COMPUTED_VALUE"""),"Borbon")</f>
        <v>Borbon</v>
      </c>
      <c r="O61" s="142" t="str">
        <f>IFERROR(__xludf.DUMMYFUNCTION("""COMPUTED_VALUE"""),"City of Carcar")</f>
        <v>City of Carcar</v>
      </c>
      <c r="P61" s="142" t="str">
        <f>IFERROR(__xludf.DUMMYFUNCTION("""COMPUTED_VALUE"""),"Carmen")</f>
        <v>Carmen</v>
      </c>
      <c r="Q61" s="142" t="str">
        <f>IFERROR(__xludf.DUMMYFUNCTION("""COMPUTED_VALUE"""),"Catmon")</f>
        <v>Catmon</v>
      </c>
      <c r="R61" s="142" t="str">
        <f>IFERROR(__xludf.DUMMYFUNCTION("""COMPUTED_VALUE"""),"Compostela")</f>
        <v>Compostela</v>
      </c>
      <c r="S61" s="142" t="str">
        <f>IFERROR(__xludf.DUMMYFUNCTION("""COMPUTED_VALUE"""),"Consolacion")</f>
        <v>Consolacion</v>
      </c>
      <c r="T61" s="142" t="str">
        <f>IFERROR(__xludf.DUMMYFUNCTION("""COMPUTED_VALUE"""),"Cordova")</f>
        <v>Cordova</v>
      </c>
      <c r="U61" s="142" t="str">
        <f>IFERROR(__xludf.DUMMYFUNCTION("""COMPUTED_VALUE"""),"Daanbantayan")</f>
        <v>Daanbantayan</v>
      </c>
      <c r="V61" s="142" t="str">
        <f>IFERROR(__xludf.DUMMYFUNCTION("""COMPUTED_VALUE"""),"Dalaguete")</f>
        <v>Dalaguete</v>
      </c>
      <c r="W61" s="142" t="str">
        <f>IFERROR(__xludf.DUMMYFUNCTION("""COMPUTED_VALUE"""),"Danao City")</f>
        <v>Danao City</v>
      </c>
      <c r="X61" s="142" t="str">
        <f>IFERROR(__xludf.DUMMYFUNCTION("""COMPUTED_VALUE"""),"Dumanjug")</f>
        <v>Dumanjug</v>
      </c>
      <c r="Y61" s="142" t="str">
        <f>IFERROR(__xludf.DUMMYFUNCTION("""COMPUTED_VALUE"""),"Ginatilan")</f>
        <v>Ginatilan</v>
      </c>
      <c r="Z61" s="142" t="str">
        <f>IFERROR(__xludf.DUMMYFUNCTION("""COMPUTED_VALUE"""),"Liloan")</f>
        <v>Liloan</v>
      </c>
      <c r="AA61" s="142" t="str">
        <f>IFERROR(__xludf.DUMMYFUNCTION("""COMPUTED_VALUE"""),"Madridejos")</f>
        <v>Madridejos</v>
      </c>
      <c r="AB61" s="142" t="str">
        <f>IFERROR(__xludf.DUMMYFUNCTION("""COMPUTED_VALUE"""),"Malabuyoc")</f>
        <v>Malabuyoc</v>
      </c>
      <c r="AC61" s="142" t="str">
        <f>IFERROR(__xludf.DUMMYFUNCTION("""COMPUTED_VALUE"""),"Medellin")</f>
        <v>Medellin</v>
      </c>
      <c r="AD61" s="142" t="str">
        <f>IFERROR(__xludf.DUMMYFUNCTION("""COMPUTED_VALUE"""),"Minglanilla")</f>
        <v>Minglanilla</v>
      </c>
      <c r="AE61" s="142" t="str">
        <f>IFERROR(__xludf.DUMMYFUNCTION("""COMPUTED_VALUE"""),"Moalboal")</f>
        <v>Moalboal</v>
      </c>
      <c r="AF61" s="142" t="str">
        <f>IFERROR(__xludf.DUMMYFUNCTION("""COMPUTED_VALUE"""),"City of Naga")</f>
        <v>City of Naga</v>
      </c>
      <c r="AG61" s="142" t="str">
        <f>IFERROR(__xludf.DUMMYFUNCTION("""COMPUTED_VALUE"""),"Oslob")</f>
        <v>Oslob</v>
      </c>
      <c r="AH61" s="142" t="str">
        <f>IFERROR(__xludf.DUMMYFUNCTION("""COMPUTED_VALUE"""),"Pilar")</f>
        <v>Pilar</v>
      </c>
      <c r="AI61" s="142" t="str">
        <f>IFERROR(__xludf.DUMMYFUNCTION("""COMPUTED_VALUE"""),"Pinamungajan")</f>
        <v>Pinamungajan</v>
      </c>
      <c r="AJ61" s="142" t="str">
        <f>IFERROR(__xludf.DUMMYFUNCTION("""COMPUTED_VALUE"""),"Poro")</f>
        <v>Poro</v>
      </c>
      <c r="AK61" s="142" t="str">
        <f>IFERROR(__xludf.DUMMYFUNCTION("""COMPUTED_VALUE"""),"Ronda")</f>
        <v>Ronda</v>
      </c>
      <c r="AL61" s="142" t="str">
        <f>IFERROR(__xludf.DUMMYFUNCTION("""COMPUTED_VALUE"""),"Samboan")</f>
        <v>Samboan</v>
      </c>
      <c r="AM61" s="142" t="str">
        <f>IFERROR(__xludf.DUMMYFUNCTION("""COMPUTED_VALUE"""),"San Fernando")</f>
        <v>San Fernando</v>
      </c>
      <c r="AN61" s="142" t="str">
        <f>IFERROR(__xludf.DUMMYFUNCTION("""COMPUTED_VALUE"""),"San Francisco")</f>
        <v>San Francisco</v>
      </c>
      <c r="AO61" s="142" t="str">
        <f>IFERROR(__xludf.DUMMYFUNCTION("""COMPUTED_VALUE"""),"San Remigio")</f>
        <v>San Remigio</v>
      </c>
      <c r="AP61" s="142" t="str">
        <f>IFERROR(__xludf.DUMMYFUNCTION("""COMPUTED_VALUE"""),"Santa Fe")</f>
        <v>Santa Fe</v>
      </c>
      <c r="AQ61" s="142" t="str">
        <f>IFERROR(__xludf.DUMMYFUNCTION("""COMPUTED_VALUE"""),"Santander")</f>
        <v>Santander</v>
      </c>
      <c r="AR61" s="142" t="str">
        <f>IFERROR(__xludf.DUMMYFUNCTION("""COMPUTED_VALUE"""),"Sibonga")</f>
        <v>Sibonga</v>
      </c>
      <c r="AS61" s="142" t="str">
        <f>IFERROR(__xludf.DUMMYFUNCTION("""COMPUTED_VALUE"""),"Sogod")</f>
        <v>Sogod</v>
      </c>
      <c r="AT61" s="142" t="str">
        <f>IFERROR(__xludf.DUMMYFUNCTION("""COMPUTED_VALUE"""),"Tabogon")</f>
        <v>Tabogon</v>
      </c>
      <c r="AU61" s="142" t="str">
        <f>IFERROR(__xludf.DUMMYFUNCTION("""COMPUTED_VALUE"""),"Tabuelan")</f>
        <v>Tabuelan</v>
      </c>
      <c r="AV61" s="142" t="str">
        <f>IFERROR(__xludf.DUMMYFUNCTION("""COMPUTED_VALUE"""),"City of Talisay")</f>
        <v>City of Talisay</v>
      </c>
      <c r="AW61" s="142" t="str">
        <f>IFERROR(__xludf.DUMMYFUNCTION("""COMPUTED_VALUE"""),"City of Toledo")</f>
        <v>City of Toledo</v>
      </c>
      <c r="AX61" s="142" t="str">
        <f>IFERROR(__xludf.DUMMYFUNCTION("""COMPUTED_VALUE"""),"Tuburan")</f>
        <v>Tuburan</v>
      </c>
      <c r="AY61" s="142" t="str">
        <f>IFERROR(__xludf.DUMMYFUNCTION("""COMPUTED_VALUE"""),"Tudela")</f>
        <v>Tudela</v>
      </c>
      <c r="AZ61" s="142" t="str">
        <f>IFERROR(__xludf.DUMMYFUNCTION("""COMPUTED_VALUE"""),"City of Cebu")</f>
        <v>City of Cebu</v>
      </c>
      <c r="BA61" s="142" t="str">
        <f>IFERROR(__xludf.DUMMYFUNCTION("""COMPUTED_VALUE"""),"City of Lapu-Lapu")</f>
        <v>City of Lapu-Lapu</v>
      </c>
      <c r="BB61" s="142" t="str">
        <f>IFERROR(__xludf.DUMMYFUNCTION("""COMPUTED_VALUE"""),"City of Mandaue")</f>
        <v>City of Mandaue</v>
      </c>
      <c r="BC61" s="8"/>
      <c r="BD61" s="8"/>
      <c r="BE61" s="8"/>
    </row>
    <row r="62">
      <c r="A62" s="142" t="s">
        <v>194</v>
      </c>
      <c r="B62" s="142" t="str">
        <f>IFERROR(__xludf.DUMMYFUNCTION("""COMPUTED_VALUE"""),"Alcantara")</f>
        <v>Alcantara</v>
      </c>
      <c r="C62" s="142" t="str">
        <f>IFERROR(__xludf.DUMMYFUNCTION("""COMPUTED_VALUE"""),"Alcoy")</f>
        <v>Alcoy</v>
      </c>
      <c r="D62" s="142" t="str">
        <f>IFERROR(__xludf.DUMMYFUNCTION("""COMPUTED_VALUE"""),"Alegria")</f>
        <v>Alegria</v>
      </c>
      <c r="E62" s="142" t="str">
        <f>IFERROR(__xludf.DUMMYFUNCTION("""COMPUTED_VALUE"""),"Aloguinsan")</f>
        <v>Aloguinsan</v>
      </c>
      <c r="F62" s="142" t="str">
        <f>IFERROR(__xludf.DUMMYFUNCTION("""COMPUTED_VALUE"""),"Argao")</f>
        <v>Argao</v>
      </c>
      <c r="G62" s="142" t="str">
        <f>IFERROR(__xludf.DUMMYFUNCTION("""COMPUTED_VALUE"""),"Asturias")</f>
        <v>Asturias</v>
      </c>
      <c r="H62" s="142" t="str">
        <f>IFERROR(__xludf.DUMMYFUNCTION("""COMPUTED_VALUE"""),"Badian")</f>
        <v>Badian</v>
      </c>
      <c r="I62" s="142" t="str">
        <f>IFERROR(__xludf.DUMMYFUNCTION("""COMPUTED_VALUE"""),"Balamban")</f>
        <v>Balamban</v>
      </c>
      <c r="J62" s="142" t="str">
        <f>IFERROR(__xludf.DUMMYFUNCTION("""COMPUTED_VALUE"""),"Bantayan")</f>
        <v>Bantayan</v>
      </c>
      <c r="K62" s="142" t="str">
        <f>IFERROR(__xludf.DUMMYFUNCTION("""COMPUTED_VALUE"""),"Barili")</f>
        <v>Barili</v>
      </c>
      <c r="L62" s="142" t="str">
        <f>IFERROR(__xludf.DUMMYFUNCTION("""COMPUTED_VALUE"""),"City of Bogo")</f>
        <v>City of Bogo</v>
      </c>
      <c r="M62" s="142" t="str">
        <f>IFERROR(__xludf.DUMMYFUNCTION("""COMPUTED_VALUE"""),"Boljoon")</f>
        <v>Boljoon</v>
      </c>
      <c r="N62" s="142" t="str">
        <f>IFERROR(__xludf.DUMMYFUNCTION("""COMPUTED_VALUE"""),"Borbon")</f>
        <v>Borbon</v>
      </c>
      <c r="O62" s="142" t="str">
        <f>IFERROR(__xludf.DUMMYFUNCTION("""COMPUTED_VALUE"""),"City of Carcar")</f>
        <v>City of Carcar</v>
      </c>
      <c r="P62" s="142" t="str">
        <f>IFERROR(__xludf.DUMMYFUNCTION("""COMPUTED_VALUE"""),"Carmen")</f>
        <v>Carmen</v>
      </c>
      <c r="Q62" s="142" t="str">
        <f>IFERROR(__xludf.DUMMYFUNCTION("""COMPUTED_VALUE"""),"Catmon")</f>
        <v>Catmon</v>
      </c>
      <c r="R62" s="142" t="str">
        <f>IFERROR(__xludf.DUMMYFUNCTION("""COMPUTED_VALUE"""),"Compostela")</f>
        <v>Compostela</v>
      </c>
      <c r="S62" s="142" t="str">
        <f>IFERROR(__xludf.DUMMYFUNCTION("""COMPUTED_VALUE"""),"Consolacion")</f>
        <v>Consolacion</v>
      </c>
      <c r="T62" s="142" t="str">
        <f>IFERROR(__xludf.DUMMYFUNCTION("""COMPUTED_VALUE"""),"Cordova")</f>
        <v>Cordova</v>
      </c>
      <c r="U62" s="142" t="str">
        <f>IFERROR(__xludf.DUMMYFUNCTION("""COMPUTED_VALUE"""),"Daanbantayan")</f>
        <v>Daanbantayan</v>
      </c>
      <c r="V62" s="142" t="str">
        <f>IFERROR(__xludf.DUMMYFUNCTION("""COMPUTED_VALUE"""),"Dalaguete")</f>
        <v>Dalaguete</v>
      </c>
      <c r="W62" s="142" t="str">
        <f>IFERROR(__xludf.DUMMYFUNCTION("""COMPUTED_VALUE"""),"Danao City")</f>
        <v>Danao City</v>
      </c>
      <c r="X62" s="142" t="str">
        <f>IFERROR(__xludf.DUMMYFUNCTION("""COMPUTED_VALUE"""),"Dumanjug")</f>
        <v>Dumanjug</v>
      </c>
      <c r="Y62" s="142" t="str">
        <f>IFERROR(__xludf.DUMMYFUNCTION("""COMPUTED_VALUE"""),"Ginatilan")</f>
        <v>Ginatilan</v>
      </c>
      <c r="Z62" s="142" t="str">
        <f>IFERROR(__xludf.DUMMYFUNCTION("""COMPUTED_VALUE"""),"Liloan")</f>
        <v>Liloan</v>
      </c>
      <c r="AA62" s="142" t="str">
        <f>IFERROR(__xludf.DUMMYFUNCTION("""COMPUTED_VALUE"""),"Madridejos")</f>
        <v>Madridejos</v>
      </c>
      <c r="AB62" s="142" t="str">
        <f>IFERROR(__xludf.DUMMYFUNCTION("""COMPUTED_VALUE"""),"Malabuyoc")</f>
        <v>Malabuyoc</v>
      </c>
      <c r="AC62" s="142" t="str">
        <f>IFERROR(__xludf.DUMMYFUNCTION("""COMPUTED_VALUE"""),"Medellin")</f>
        <v>Medellin</v>
      </c>
      <c r="AD62" s="142" t="str">
        <f>IFERROR(__xludf.DUMMYFUNCTION("""COMPUTED_VALUE"""),"Minglanilla")</f>
        <v>Minglanilla</v>
      </c>
      <c r="AE62" s="142" t="str">
        <f>IFERROR(__xludf.DUMMYFUNCTION("""COMPUTED_VALUE"""),"Moalboal")</f>
        <v>Moalboal</v>
      </c>
      <c r="AF62" s="142" t="str">
        <f>IFERROR(__xludf.DUMMYFUNCTION("""COMPUTED_VALUE"""),"City of Naga")</f>
        <v>City of Naga</v>
      </c>
      <c r="AG62" s="142" t="str">
        <f>IFERROR(__xludf.DUMMYFUNCTION("""COMPUTED_VALUE"""),"Oslob")</f>
        <v>Oslob</v>
      </c>
      <c r="AH62" s="142" t="str">
        <f>IFERROR(__xludf.DUMMYFUNCTION("""COMPUTED_VALUE"""),"Pilar")</f>
        <v>Pilar</v>
      </c>
      <c r="AI62" s="142" t="str">
        <f>IFERROR(__xludf.DUMMYFUNCTION("""COMPUTED_VALUE"""),"Pinamungajan")</f>
        <v>Pinamungajan</v>
      </c>
      <c r="AJ62" s="142" t="str">
        <f>IFERROR(__xludf.DUMMYFUNCTION("""COMPUTED_VALUE"""),"Poro")</f>
        <v>Poro</v>
      </c>
      <c r="AK62" s="142" t="str">
        <f>IFERROR(__xludf.DUMMYFUNCTION("""COMPUTED_VALUE"""),"Ronda")</f>
        <v>Ronda</v>
      </c>
      <c r="AL62" s="142" t="str">
        <f>IFERROR(__xludf.DUMMYFUNCTION("""COMPUTED_VALUE"""),"Samboan")</f>
        <v>Samboan</v>
      </c>
      <c r="AM62" s="142" t="str">
        <f>IFERROR(__xludf.DUMMYFUNCTION("""COMPUTED_VALUE"""),"San Fernando")</f>
        <v>San Fernando</v>
      </c>
      <c r="AN62" s="142" t="str">
        <f>IFERROR(__xludf.DUMMYFUNCTION("""COMPUTED_VALUE"""),"San Francisco")</f>
        <v>San Francisco</v>
      </c>
      <c r="AO62" s="142" t="str">
        <f>IFERROR(__xludf.DUMMYFUNCTION("""COMPUTED_VALUE"""),"San Remigio")</f>
        <v>San Remigio</v>
      </c>
      <c r="AP62" s="142" t="str">
        <f>IFERROR(__xludf.DUMMYFUNCTION("""COMPUTED_VALUE"""),"Santa Fe")</f>
        <v>Santa Fe</v>
      </c>
      <c r="AQ62" s="142" t="str">
        <f>IFERROR(__xludf.DUMMYFUNCTION("""COMPUTED_VALUE"""),"Santander")</f>
        <v>Santander</v>
      </c>
      <c r="AR62" s="142" t="str">
        <f>IFERROR(__xludf.DUMMYFUNCTION("""COMPUTED_VALUE"""),"Sibonga")</f>
        <v>Sibonga</v>
      </c>
      <c r="AS62" s="142" t="str">
        <f>IFERROR(__xludf.DUMMYFUNCTION("""COMPUTED_VALUE"""),"Sogod")</f>
        <v>Sogod</v>
      </c>
      <c r="AT62" s="142" t="str">
        <f>IFERROR(__xludf.DUMMYFUNCTION("""COMPUTED_VALUE"""),"Tabogon")</f>
        <v>Tabogon</v>
      </c>
      <c r="AU62" s="142" t="str">
        <f>IFERROR(__xludf.DUMMYFUNCTION("""COMPUTED_VALUE"""),"Tabuelan")</f>
        <v>Tabuelan</v>
      </c>
      <c r="AV62" s="142" t="str">
        <f>IFERROR(__xludf.DUMMYFUNCTION("""COMPUTED_VALUE"""),"City of Talisay")</f>
        <v>City of Talisay</v>
      </c>
      <c r="AW62" s="142" t="str">
        <f>IFERROR(__xludf.DUMMYFUNCTION("""COMPUTED_VALUE"""),"City of Toledo")</f>
        <v>City of Toledo</v>
      </c>
      <c r="AX62" s="142" t="str">
        <f>IFERROR(__xludf.DUMMYFUNCTION("""COMPUTED_VALUE"""),"Tuburan")</f>
        <v>Tuburan</v>
      </c>
      <c r="AY62" s="142" t="str">
        <f>IFERROR(__xludf.DUMMYFUNCTION("""COMPUTED_VALUE"""),"Tudela")</f>
        <v>Tudela</v>
      </c>
      <c r="AZ62" s="142" t="str">
        <f>IFERROR(__xludf.DUMMYFUNCTION("""COMPUTED_VALUE"""),"City of Cebu")</f>
        <v>City of Cebu</v>
      </c>
      <c r="BA62" s="142" t="str">
        <f>IFERROR(__xludf.DUMMYFUNCTION("""COMPUTED_VALUE"""),"City of Lapu-Lapu")</f>
        <v>City of Lapu-Lapu</v>
      </c>
      <c r="BB62" s="142" t="str">
        <f>IFERROR(__xludf.DUMMYFUNCTION("""COMPUTED_VALUE"""),"City of Mandaue")</f>
        <v>City of Mandaue</v>
      </c>
      <c r="BC62" s="8"/>
      <c r="BD62" s="8"/>
      <c r="BE62" s="8"/>
    </row>
    <row r="63">
      <c r="A63" s="142" t="s">
        <v>580</v>
      </c>
      <c r="B63" s="142" t="str">
        <f>IFERROR(__xludf.DUMMYFUNCTION("""COMPUTED_VALUE"""),"Arteche")</f>
        <v>Arteche</v>
      </c>
      <c r="C63" s="142" t="str">
        <f>IFERROR(__xludf.DUMMYFUNCTION("""COMPUTED_VALUE"""),"Balangiga")</f>
        <v>Balangiga</v>
      </c>
      <c r="D63" s="142" t="str">
        <f>IFERROR(__xludf.DUMMYFUNCTION("""COMPUTED_VALUE"""),"Balangkayan")</f>
        <v>Balangkayan</v>
      </c>
      <c r="E63" s="142" t="str">
        <f>IFERROR(__xludf.DUMMYFUNCTION("""COMPUTED_VALUE"""),"City of Borongan")</f>
        <v>City of Borongan</v>
      </c>
      <c r="F63" s="142" t="str">
        <f>IFERROR(__xludf.DUMMYFUNCTION("""COMPUTED_VALUE"""),"Can-Avid")</f>
        <v>Can-Avid</v>
      </c>
      <c r="G63" s="142" t="str">
        <f>IFERROR(__xludf.DUMMYFUNCTION("""COMPUTED_VALUE"""),"Dolores")</f>
        <v>Dolores</v>
      </c>
      <c r="H63" s="142" t="str">
        <f>IFERROR(__xludf.DUMMYFUNCTION("""COMPUTED_VALUE"""),"General Macarthur")</f>
        <v>General Macarthur</v>
      </c>
      <c r="I63" s="142" t="str">
        <f>IFERROR(__xludf.DUMMYFUNCTION("""COMPUTED_VALUE"""),"Giporlos")</f>
        <v>Giporlos</v>
      </c>
      <c r="J63" s="142" t="str">
        <f>IFERROR(__xludf.DUMMYFUNCTION("""COMPUTED_VALUE"""),"Guiuan")</f>
        <v>Guiuan</v>
      </c>
      <c r="K63" s="142" t="str">
        <f>IFERROR(__xludf.DUMMYFUNCTION("""COMPUTED_VALUE"""),"Hernani")</f>
        <v>Hernani</v>
      </c>
      <c r="L63" s="142" t="str">
        <f>IFERROR(__xludf.DUMMYFUNCTION("""COMPUTED_VALUE"""),"Jipapad")</f>
        <v>Jipapad</v>
      </c>
      <c r="M63" s="142" t="str">
        <f>IFERROR(__xludf.DUMMYFUNCTION("""COMPUTED_VALUE"""),"Lawaan")</f>
        <v>Lawaan</v>
      </c>
      <c r="N63" s="142" t="str">
        <f>IFERROR(__xludf.DUMMYFUNCTION("""COMPUTED_VALUE"""),"Llorente")</f>
        <v>Llorente</v>
      </c>
      <c r="O63" s="142" t="str">
        <f>IFERROR(__xludf.DUMMYFUNCTION("""COMPUTED_VALUE"""),"Maslog")</f>
        <v>Maslog</v>
      </c>
      <c r="P63" s="142" t="str">
        <f>IFERROR(__xludf.DUMMYFUNCTION("""COMPUTED_VALUE"""),"Maydolong")</f>
        <v>Maydolong</v>
      </c>
      <c r="Q63" s="142" t="str">
        <f>IFERROR(__xludf.DUMMYFUNCTION("""COMPUTED_VALUE"""),"Mercedes")</f>
        <v>Mercedes</v>
      </c>
      <c r="R63" s="142" t="str">
        <f>IFERROR(__xludf.DUMMYFUNCTION("""COMPUTED_VALUE"""),"Oras")</f>
        <v>Oras</v>
      </c>
      <c r="S63" s="142" t="str">
        <f>IFERROR(__xludf.DUMMYFUNCTION("""COMPUTED_VALUE"""),"Quinapondan")</f>
        <v>Quinapondan</v>
      </c>
      <c r="T63" s="142" t="str">
        <f>IFERROR(__xludf.DUMMYFUNCTION("""COMPUTED_VALUE"""),"Salcedo")</f>
        <v>Salcedo</v>
      </c>
      <c r="U63" s="142" t="str">
        <f>IFERROR(__xludf.DUMMYFUNCTION("""COMPUTED_VALUE"""),"San Julian")</f>
        <v>San Julian</v>
      </c>
      <c r="V63" s="142" t="str">
        <f>IFERROR(__xludf.DUMMYFUNCTION("""COMPUTED_VALUE"""),"San Policarpo")</f>
        <v>San Policarpo</v>
      </c>
      <c r="W63" s="142" t="str">
        <f>IFERROR(__xludf.DUMMYFUNCTION("""COMPUTED_VALUE"""),"Sulat")</f>
        <v>Sulat</v>
      </c>
      <c r="X63" s="142" t="str">
        <f>IFERROR(__xludf.DUMMYFUNCTION("""COMPUTED_VALUE"""),"Taft")</f>
        <v>Taft</v>
      </c>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row>
    <row r="64">
      <c r="A64" s="142" t="s">
        <v>585</v>
      </c>
      <c r="B64" s="142" t="str">
        <f>IFERROR(__xludf.DUMMYFUNCTION("""COMPUTED_VALUE"""),"Abuyog")</f>
        <v>Abuyog</v>
      </c>
      <c r="C64" s="142" t="str">
        <f>IFERROR(__xludf.DUMMYFUNCTION("""COMPUTED_VALUE"""),"Alangalang")</f>
        <v>Alangalang</v>
      </c>
      <c r="D64" s="142" t="str">
        <f>IFERROR(__xludf.DUMMYFUNCTION("""COMPUTED_VALUE"""),"Albuera")</f>
        <v>Albuera</v>
      </c>
      <c r="E64" s="142" t="str">
        <f>IFERROR(__xludf.DUMMYFUNCTION("""COMPUTED_VALUE"""),"Babatngon")</f>
        <v>Babatngon</v>
      </c>
      <c r="F64" s="142" t="str">
        <f>IFERROR(__xludf.DUMMYFUNCTION("""COMPUTED_VALUE"""),"Barugo")</f>
        <v>Barugo</v>
      </c>
      <c r="G64" s="142" t="str">
        <f>IFERROR(__xludf.DUMMYFUNCTION("""COMPUTED_VALUE"""),"Bato")</f>
        <v>Bato</v>
      </c>
      <c r="H64" s="142" t="str">
        <f>IFERROR(__xludf.DUMMYFUNCTION("""COMPUTED_VALUE"""),"City of Baybay")</f>
        <v>City of Baybay</v>
      </c>
      <c r="I64" s="142" t="str">
        <f>IFERROR(__xludf.DUMMYFUNCTION("""COMPUTED_VALUE"""),"Burauen")</f>
        <v>Burauen</v>
      </c>
      <c r="J64" s="142" t="str">
        <f>IFERROR(__xludf.DUMMYFUNCTION("""COMPUTED_VALUE"""),"Calubian")</f>
        <v>Calubian</v>
      </c>
      <c r="K64" s="142" t="str">
        <f>IFERROR(__xludf.DUMMYFUNCTION("""COMPUTED_VALUE"""),"Capoocan")</f>
        <v>Capoocan</v>
      </c>
      <c r="L64" s="142" t="str">
        <f>IFERROR(__xludf.DUMMYFUNCTION("""COMPUTED_VALUE"""),"Carigara")</f>
        <v>Carigara</v>
      </c>
      <c r="M64" s="142" t="str">
        <f>IFERROR(__xludf.DUMMYFUNCTION("""COMPUTED_VALUE"""),"Dagami")</f>
        <v>Dagami</v>
      </c>
      <c r="N64" s="142" t="str">
        <f>IFERROR(__xludf.DUMMYFUNCTION("""COMPUTED_VALUE"""),"Dulag")</f>
        <v>Dulag</v>
      </c>
      <c r="O64" s="142" t="str">
        <f>IFERROR(__xludf.DUMMYFUNCTION("""COMPUTED_VALUE"""),"Hilongos")</f>
        <v>Hilongos</v>
      </c>
      <c r="P64" s="142" t="str">
        <f>IFERROR(__xludf.DUMMYFUNCTION("""COMPUTED_VALUE"""),"Hindang")</f>
        <v>Hindang</v>
      </c>
      <c r="Q64" s="142" t="str">
        <f>IFERROR(__xludf.DUMMYFUNCTION("""COMPUTED_VALUE"""),"Inopacan")</f>
        <v>Inopacan</v>
      </c>
      <c r="R64" s="142" t="str">
        <f>IFERROR(__xludf.DUMMYFUNCTION("""COMPUTED_VALUE"""),"Isabel")</f>
        <v>Isabel</v>
      </c>
      <c r="S64" s="142" t="str">
        <f>IFERROR(__xludf.DUMMYFUNCTION("""COMPUTED_VALUE"""),"Jaro")</f>
        <v>Jaro</v>
      </c>
      <c r="T64" s="142" t="str">
        <f>IFERROR(__xludf.DUMMYFUNCTION("""COMPUTED_VALUE"""),"Javier")</f>
        <v>Javier</v>
      </c>
      <c r="U64" s="142" t="str">
        <f>IFERROR(__xludf.DUMMYFUNCTION("""COMPUTED_VALUE"""),"Julita")</f>
        <v>Julita</v>
      </c>
      <c r="V64" s="142" t="str">
        <f>IFERROR(__xludf.DUMMYFUNCTION("""COMPUTED_VALUE"""),"Kananga")</f>
        <v>Kananga</v>
      </c>
      <c r="W64" s="142" t="str">
        <f>IFERROR(__xludf.DUMMYFUNCTION("""COMPUTED_VALUE"""),"La Paz")</f>
        <v>La Paz</v>
      </c>
      <c r="X64" s="142" t="str">
        <f>IFERROR(__xludf.DUMMYFUNCTION("""COMPUTED_VALUE"""),"Leyte")</f>
        <v>Leyte</v>
      </c>
      <c r="Y64" s="142" t="str">
        <f>IFERROR(__xludf.DUMMYFUNCTION("""COMPUTED_VALUE"""),"Macarthur")</f>
        <v>Macarthur</v>
      </c>
      <c r="Z64" s="142" t="str">
        <f>IFERROR(__xludf.DUMMYFUNCTION("""COMPUTED_VALUE"""),"Mahaplag")</f>
        <v>Mahaplag</v>
      </c>
      <c r="AA64" s="142" t="str">
        <f>IFERROR(__xludf.DUMMYFUNCTION("""COMPUTED_VALUE"""),"Matag-Ob")</f>
        <v>Matag-Ob</v>
      </c>
      <c r="AB64" s="142" t="str">
        <f>IFERROR(__xludf.DUMMYFUNCTION("""COMPUTED_VALUE"""),"Matalom")</f>
        <v>Matalom</v>
      </c>
      <c r="AC64" s="142" t="str">
        <f>IFERROR(__xludf.DUMMYFUNCTION("""COMPUTED_VALUE"""),"Mayorga")</f>
        <v>Mayorga</v>
      </c>
      <c r="AD64" s="142" t="str">
        <f>IFERROR(__xludf.DUMMYFUNCTION("""COMPUTED_VALUE"""),"Merida")</f>
        <v>Merida</v>
      </c>
      <c r="AE64" s="142" t="str">
        <f>IFERROR(__xludf.DUMMYFUNCTION("""COMPUTED_VALUE"""),"Ormoc City")</f>
        <v>Ormoc City</v>
      </c>
      <c r="AF64" s="142" t="str">
        <f>IFERROR(__xludf.DUMMYFUNCTION("""COMPUTED_VALUE"""),"Palo")</f>
        <v>Palo</v>
      </c>
      <c r="AG64" s="142" t="str">
        <f>IFERROR(__xludf.DUMMYFUNCTION("""COMPUTED_VALUE"""),"Palompon")</f>
        <v>Palompon</v>
      </c>
      <c r="AH64" s="142" t="str">
        <f>IFERROR(__xludf.DUMMYFUNCTION("""COMPUTED_VALUE"""),"Pastrana")</f>
        <v>Pastrana</v>
      </c>
      <c r="AI64" s="142" t="str">
        <f>IFERROR(__xludf.DUMMYFUNCTION("""COMPUTED_VALUE"""),"San Isidro")</f>
        <v>San Isidro</v>
      </c>
      <c r="AJ64" s="142" t="str">
        <f>IFERROR(__xludf.DUMMYFUNCTION("""COMPUTED_VALUE"""),"San Miguel")</f>
        <v>San Miguel</v>
      </c>
      <c r="AK64" s="142" t="str">
        <f>IFERROR(__xludf.DUMMYFUNCTION("""COMPUTED_VALUE"""),"Santa Fe")</f>
        <v>Santa Fe</v>
      </c>
      <c r="AL64" s="142" t="str">
        <f>IFERROR(__xludf.DUMMYFUNCTION("""COMPUTED_VALUE"""),"Tabango")</f>
        <v>Tabango</v>
      </c>
      <c r="AM64" s="142" t="str">
        <f>IFERROR(__xludf.DUMMYFUNCTION("""COMPUTED_VALUE"""),"Tabontabon")</f>
        <v>Tabontabon</v>
      </c>
      <c r="AN64" s="142" t="str">
        <f>IFERROR(__xludf.DUMMYFUNCTION("""COMPUTED_VALUE"""),"City of Tacloban")</f>
        <v>City of Tacloban</v>
      </c>
      <c r="AO64" s="142" t="str">
        <f>IFERROR(__xludf.DUMMYFUNCTION("""COMPUTED_VALUE"""),"Tanauan")</f>
        <v>Tanauan</v>
      </c>
      <c r="AP64" s="142" t="str">
        <f>IFERROR(__xludf.DUMMYFUNCTION("""COMPUTED_VALUE"""),"Tolosa")</f>
        <v>Tolosa</v>
      </c>
      <c r="AQ64" s="142" t="str">
        <f>IFERROR(__xludf.DUMMYFUNCTION("""COMPUTED_VALUE"""),"Tunga")</f>
        <v>Tunga</v>
      </c>
      <c r="AR64" s="142" t="str">
        <f>IFERROR(__xludf.DUMMYFUNCTION("""COMPUTED_VALUE"""),"Villaba")</f>
        <v>Villaba</v>
      </c>
      <c r="AS64" s="8"/>
      <c r="AT64" s="8"/>
      <c r="AU64" s="8"/>
      <c r="AV64" s="8"/>
      <c r="AW64" s="8"/>
      <c r="AX64" s="8"/>
      <c r="AY64" s="8"/>
      <c r="AZ64" s="8"/>
      <c r="BA64" s="8"/>
      <c r="BB64" s="8"/>
      <c r="BC64" s="8"/>
      <c r="BD64" s="8"/>
      <c r="BE64" s="8"/>
    </row>
    <row r="65">
      <c r="A65" s="142" t="s">
        <v>591</v>
      </c>
      <c r="B65" s="142" t="str">
        <f>IFERROR(__xludf.DUMMYFUNCTION("""COMPUTED_VALUE"""),"City of Dapitan")</f>
        <v>City of Dapitan</v>
      </c>
      <c r="C65" s="142" t="str">
        <f>IFERROR(__xludf.DUMMYFUNCTION("""COMPUTED_VALUE"""),"City of Dipolog")</f>
        <v>City of Dipolog</v>
      </c>
      <c r="D65" s="142" t="str">
        <f>IFERROR(__xludf.DUMMYFUNCTION("""COMPUTED_VALUE"""),"Katipunan")</f>
        <v>Katipunan</v>
      </c>
      <c r="E65" s="142" t="str">
        <f>IFERROR(__xludf.DUMMYFUNCTION("""COMPUTED_VALUE"""),"La Libertad")</f>
        <v>La Libertad</v>
      </c>
      <c r="F65" s="142" t="str">
        <f>IFERROR(__xludf.DUMMYFUNCTION("""COMPUTED_VALUE"""),"Labason")</f>
        <v>Labason</v>
      </c>
      <c r="G65" s="142" t="str">
        <f>IFERROR(__xludf.DUMMYFUNCTION("""COMPUTED_VALUE"""),"Liloy")</f>
        <v>Liloy</v>
      </c>
      <c r="H65" s="142" t="str">
        <f>IFERROR(__xludf.DUMMYFUNCTION("""COMPUTED_VALUE"""),"Manukan")</f>
        <v>Manukan</v>
      </c>
      <c r="I65" s="142" t="str">
        <f>IFERROR(__xludf.DUMMYFUNCTION("""COMPUTED_VALUE"""),"Mutia")</f>
        <v>Mutia</v>
      </c>
      <c r="J65" s="142" t="str">
        <f>IFERROR(__xludf.DUMMYFUNCTION("""COMPUTED_VALUE"""),"Piñan")</f>
        <v>Piñan</v>
      </c>
      <c r="K65" s="142" t="str">
        <f>IFERROR(__xludf.DUMMYFUNCTION("""COMPUTED_VALUE"""),"Polanco")</f>
        <v>Polanco</v>
      </c>
      <c r="L65" s="142" t="str">
        <f>IFERROR(__xludf.DUMMYFUNCTION("""COMPUTED_VALUE"""),"Pres. Manuel A. Roxas")</f>
        <v>Pres. Manuel A. Roxas</v>
      </c>
      <c r="M65" s="142" t="str">
        <f>IFERROR(__xludf.DUMMYFUNCTION("""COMPUTED_VALUE"""),"Rizal")</f>
        <v>Rizal</v>
      </c>
      <c r="N65" s="142" t="str">
        <f>IFERROR(__xludf.DUMMYFUNCTION("""COMPUTED_VALUE"""),"Salug")</f>
        <v>Salug</v>
      </c>
      <c r="O65" s="142" t="str">
        <f>IFERROR(__xludf.DUMMYFUNCTION("""COMPUTED_VALUE"""),"Sergio Osmeña Sr.")</f>
        <v>Sergio Osmeña Sr.</v>
      </c>
      <c r="P65" s="142" t="str">
        <f>IFERROR(__xludf.DUMMYFUNCTION("""COMPUTED_VALUE"""),"Siayan")</f>
        <v>Siayan</v>
      </c>
      <c r="Q65" s="142" t="str">
        <f>IFERROR(__xludf.DUMMYFUNCTION("""COMPUTED_VALUE"""),"Sibuco")</f>
        <v>Sibuco</v>
      </c>
      <c r="R65" s="142" t="str">
        <f>IFERROR(__xludf.DUMMYFUNCTION("""COMPUTED_VALUE"""),"Sibutad")</f>
        <v>Sibutad</v>
      </c>
      <c r="S65" s="142" t="str">
        <f>IFERROR(__xludf.DUMMYFUNCTION("""COMPUTED_VALUE"""),"Sindangan")</f>
        <v>Sindangan</v>
      </c>
      <c r="T65" s="142" t="str">
        <f>IFERROR(__xludf.DUMMYFUNCTION("""COMPUTED_VALUE"""),"Siocon")</f>
        <v>Siocon</v>
      </c>
      <c r="U65" s="142" t="str">
        <f>IFERROR(__xludf.DUMMYFUNCTION("""COMPUTED_VALUE"""),"Sirawai")</f>
        <v>Sirawai</v>
      </c>
      <c r="V65" s="142" t="str">
        <f>IFERROR(__xludf.DUMMYFUNCTION("""COMPUTED_VALUE"""),"Tampilisan")</f>
        <v>Tampilisan</v>
      </c>
      <c r="W65" s="142" t="str">
        <f>IFERROR(__xludf.DUMMYFUNCTION("""COMPUTED_VALUE"""),"Jose Dalman")</f>
        <v>Jose Dalman</v>
      </c>
      <c r="X65" s="142" t="str">
        <f>IFERROR(__xludf.DUMMYFUNCTION("""COMPUTED_VALUE"""),"Gutalac")</f>
        <v>Gutalac</v>
      </c>
      <c r="Y65" s="142" t="str">
        <f>IFERROR(__xludf.DUMMYFUNCTION("""COMPUTED_VALUE"""),"Baliguian")</f>
        <v>Baliguian</v>
      </c>
      <c r="Z65" s="142" t="str">
        <f>IFERROR(__xludf.DUMMYFUNCTION("""COMPUTED_VALUE"""),"Godod")</f>
        <v>Godod</v>
      </c>
      <c r="AA65" s="142" t="str">
        <f>IFERROR(__xludf.DUMMYFUNCTION("""COMPUTED_VALUE"""),"Leon T. Postigo")</f>
        <v>Leon T. Postigo</v>
      </c>
      <c r="AB65" s="142" t="str">
        <f>IFERROR(__xludf.DUMMYFUNCTION("""COMPUTED_VALUE"""),"Kalawit")</f>
        <v>Kalawit</v>
      </c>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row>
    <row r="66">
      <c r="A66" s="142" t="s">
        <v>591</v>
      </c>
      <c r="B66" s="142" t="str">
        <f>IFERROR(__xludf.DUMMYFUNCTION("""COMPUTED_VALUE"""),"City of Dapitan")</f>
        <v>City of Dapitan</v>
      </c>
      <c r="C66" s="142" t="str">
        <f>IFERROR(__xludf.DUMMYFUNCTION("""COMPUTED_VALUE"""),"City of Dipolog")</f>
        <v>City of Dipolog</v>
      </c>
      <c r="D66" s="142" t="str">
        <f>IFERROR(__xludf.DUMMYFUNCTION("""COMPUTED_VALUE"""),"Katipunan")</f>
        <v>Katipunan</v>
      </c>
      <c r="E66" s="142" t="str">
        <f>IFERROR(__xludf.DUMMYFUNCTION("""COMPUTED_VALUE"""),"La Libertad")</f>
        <v>La Libertad</v>
      </c>
      <c r="F66" s="142" t="str">
        <f>IFERROR(__xludf.DUMMYFUNCTION("""COMPUTED_VALUE"""),"Labason")</f>
        <v>Labason</v>
      </c>
      <c r="G66" s="142" t="str">
        <f>IFERROR(__xludf.DUMMYFUNCTION("""COMPUTED_VALUE"""),"Liloy")</f>
        <v>Liloy</v>
      </c>
      <c r="H66" s="142" t="str">
        <f>IFERROR(__xludf.DUMMYFUNCTION("""COMPUTED_VALUE"""),"Manukan")</f>
        <v>Manukan</v>
      </c>
      <c r="I66" s="142" t="str">
        <f>IFERROR(__xludf.DUMMYFUNCTION("""COMPUTED_VALUE"""),"Mutia")</f>
        <v>Mutia</v>
      </c>
      <c r="J66" s="142" t="str">
        <f>IFERROR(__xludf.DUMMYFUNCTION("""COMPUTED_VALUE"""),"Piñan")</f>
        <v>Piñan</v>
      </c>
      <c r="K66" s="142" t="str">
        <f>IFERROR(__xludf.DUMMYFUNCTION("""COMPUTED_VALUE"""),"Polanco")</f>
        <v>Polanco</v>
      </c>
      <c r="L66" s="142" t="str">
        <f>IFERROR(__xludf.DUMMYFUNCTION("""COMPUTED_VALUE"""),"Pres. Manuel A. Roxas")</f>
        <v>Pres. Manuel A. Roxas</v>
      </c>
      <c r="M66" s="142" t="str">
        <f>IFERROR(__xludf.DUMMYFUNCTION("""COMPUTED_VALUE"""),"Rizal")</f>
        <v>Rizal</v>
      </c>
      <c r="N66" s="142" t="str">
        <f>IFERROR(__xludf.DUMMYFUNCTION("""COMPUTED_VALUE"""),"Salug")</f>
        <v>Salug</v>
      </c>
      <c r="O66" s="142" t="str">
        <f>IFERROR(__xludf.DUMMYFUNCTION("""COMPUTED_VALUE"""),"Sergio Osmeña Sr.")</f>
        <v>Sergio Osmeña Sr.</v>
      </c>
      <c r="P66" s="142" t="str">
        <f>IFERROR(__xludf.DUMMYFUNCTION("""COMPUTED_VALUE"""),"Siayan")</f>
        <v>Siayan</v>
      </c>
      <c r="Q66" s="142" t="str">
        <f>IFERROR(__xludf.DUMMYFUNCTION("""COMPUTED_VALUE"""),"Sibuco")</f>
        <v>Sibuco</v>
      </c>
      <c r="R66" s="142" t="str">
        <f>IFERROR(__xludf.DUMMYFUNCTION("""COMPUTED_VALUE"""),"Sibutad")</f>
        <v>Sibutad</v>
      </c>
      <c r="S66" s="142" t="str">
        <f>IFERROR(__xludf.DUMMYFUNCTION("""COMPUTED_VALUE"""),"Sindangan")</f>
        <v>Sindangan</v>
      </c>
      <c r="T66" s="142" t="str">
        <f>IFERROR(__xludf.DUMMYFUNCTION("""COMPUTED_VALUE"""),"Siocon")</f>
        <v>Siocon</v>
      </c>
      <c r="U66" s="142" t="str">
        <f>IFERROR(__xludf.DUMMYFUNCTION("""COMPUTED_VALUE"""),"Sirawai")</f>
        <v>Sirawai</v>
      </c>
      <c r="V66" s="142" t="str">
        <f>IFERROR(__xludf.DUMMYFUNCTION("""COMPUTED_VALUE"""),"Tampilisan")</f>
        <v>Tampilisan</v>
      </c>
      <c r="W66" s="142" t="str">
        <f>IFERROR(__xludf.DUMMYFUNCTION("""COMPUTED_VALUE"""),"Jose Dalman")</f>
        <v>Jose Dalman</v>
      </c>
      <c r="X66" s="142" t="str">
        <f>IFERROR(__xludf.DUMMYFUNCTION("""COMPUTED_VALUE"""),"Gutalac")</f>
        <v>Gutalac</v>
      </c>
      <c r="Y66" s="142" t="str">
        <f>IFERROR(__xludf.DUMMYFUNCTION("""COMPUTED_VALUE"""),"Baliguian")</f>
        <v>Baliguian</v>
      </c>
      <c r="Z66" s="142" t="str">
        <f>IFERROR(__xludf.DUMMYFUNCTION("""COMPUTED_VALUE"""),"Godod")</f>
        <v>Godod</v>
      </c>
      <c r="AA66" s="142" t="str">
        <f>IFERROR(__xludf.DUMMYFUNCTION("""COMPUTED_VALUE"""),"Leon T. Postigo")</f>
        <v>Leon T. Postigo</v>
      </c>
      <c r="AB66" s="142" t="str">
        <f>IFERROR(__xludf.DUMMYFUNCTION("""COMPUTED_VALUE"""),"Kalawit")</f>
        <v>Kalawit</v>
      </c>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row>
    <row r="67">
      <c r="A67" s="142" t="s">
        <v>591</v>
      </c>
      <c r="B67" s="142" t="str">
        <f>IFERROR(__xludf.DUMMYFUNCTION("""COMPUTED_VALUE"""),"City of Dapitan")</f>
        <v>City of Dapitan</v>
      </c>
      <c r="C67" s="142" t="str">
        <f>IFERROR(__xludf.DUMMYFUNCTION("""COMPUTED_VALUE"""),"City of Dipolog")</f>
        <v>City of Dipolog</v>
      </c>
      <c r="D67" s="142" t="str">
        <f>IFERROR(__xludf.DUMMYFUNCTION("""COMPUTED_VALUE"""),"Katipunan")</f>
        <v>Katipunan</v>
      </c>
      <c r="E67" s="142" t="str">
        <f>IFERROR(__xludf.DUMMYFUNCTION("""COMPUTED_VALUE"""),"La Libertad")</f>
        <v>La Libertad</v>
      </c>
      <c r="F67" s="142" t="str">
        <f>IFERROR(__xludf.DUMMYFUNCTION("""COMPUTED_VALUE"""),"Labason")</f>
        <v>Labason</v>
      </c>
      <c r="G67" s="142" t="str">
        <f>IFERROR(__xludf.DUMMYFUNCTION("""COMPUTED_VALUE"""),"Liloy")</f>
        <v>Liloy</v>
      </c>
      <c r="H67" s="142" t="str">
        <f>IFERROR(__xludf.DUMMYFUNCTION("""COMPUTED_VALUE"""),"Manukan")</f>
        <v>Manukan</v>
      </c>
      <c r="I67" s="142" t="str">
        <f>IFERROR(__xludf.DUMMYFUNCTION("""COMPUTED_VALUE"""),"Mutia")</f>
        <v>Mutia</v>
      </c>
      <c r="J67" s="142" t="str">
        <f>IFERROR(__xludf.DUMMYFUNCTION("""COMPUTED_VALUE"""),"Piñan")</f>
        <v>Piñan</v>
      </c>
      <c r="K67" s="142" t="str">
        <f>IFERROR(__xludf.DUMMYFUNCTION("""COMPUTED_VALUE"""),"Polanco")</f>
        <v>Polanco</v>
      </c>
      <c r="L67" s="142" t="str">
        <f>IFERROR(__xludf.DUMMYFUNCTION("""COMPUTED_VALUE"""),"Pres. Manuel A. Roxas")</f>
        <v>Pres. Manuel A. Roxas</v>
      </c>
      <c r="M67" s="142" t="str">
        <f>IFERROR(__xludf.DUMMYFUNCTION("""COMPUTED_VALUE"""),"Rizal")</f>
        <v>Rizal</v>
      </c>
      <c r="N67" s="142" t="str">
        <f>IFERROR(__xludf.DUMMYFUNCTION("""COMPUTED_VALUE"""),"Salug")</f>
        <v>Salug</v>
      </c>
      <c r="O67" s="142" t="str">
        <f>IFERROR(__xludf.DUMMYFUNCTION("""COMPUTED_VALUE"""),"Sergio Osmeña Sr.")</f>
        <v>Sergio Osmeña Sr.</v>
      </c>
      <c r="P67" s="142" t="str">
        <f>IFERROR(__xludf.DUMMYFUNCTION("""COMPUTED_VALUE"""),"Siayan")</f>
        <v>Siayan</v>
      </c>
      <c r="Q67" s="142" t="str">
        <f>IFERROR(__xludf.DUMMYFUNCTION("""COMPUTED_VALUE"""),"Sibuco")</f>
        <v>Sibuco</v>
      </c>
      <c r="R67" s="142" t="str">
        <f>IFERROR(__xludf.DUMMYFUNCTION("""COMPUTED_VALUE"""),"Sibutad")</f>
        <v>Sibutad</v>
      </c>
      <c r="S67" s="142" t="str">
        <f>IFERROR(__xludf.DUMMYFUNCTION("""COMPUTED_VALUE"""),"Sindangan")</f>
        <v>Sindangan</v>
      </c>
      <c r="T67" s="142" t="str">
        <f>IFERROR(__xludf.DUMMYFUNCTION("""COMPUTED_VALUE"""),"Siocon")</f>
        <v>Siocon</v>
      </c>
      <c r="U67" s="142" t="str">
        <f>IFERROR(__xludf.DUMMYFUNCTION("""COMPUTED_VALUE"""),"Sirawai")</f>
        <v>Sirawai</v>
      </c>
      <c r="V67" s="142" t="str">
        <f>IFERROR(__xludf.DUMMYFUNCTION("""COMPUTED_VALUE"""),"Tampilisan")</f>
        <v>Tampilisan</v>
      </c>
      <c r="W67" s="142" t="str">
        <f>IFERROR(__xludf.DUMMYFUNCTION("""COMPUTED_VALUE"""),"Jose Dalman")</f>
        <v>Jose Dalman</v>
      </c>
      <c r="X67" s="142" t="str">
        <f>IFERROR(__xludf.DUMMYFUNCTION("""COMPUTED_VALUE"""),"Gutalac")</f>
        <v>Gutalac</v>
      </c>
      <c r="Y67" s="142" t="str">
        <f>IFERROR(__xludf.DUMMYFUNCTION("""COMPUTED_VALUE"""),"Baliguian")</f>
        <v>Baliguian</v>
      </c>
      <c r="Z67" s="142" t="str">
        <f>IFERROR(__xludf.DUMMYFUNCTION("""COMPUTED_VALUE"""),"Godod")</f>
        <v>Godod</v>
      </c>
      <c r="AA67" s="142" t="str">
        <f>IFERROR(__xludf.DUMMYFUNCTION("""COMPUTED_VALUE"""),"Leon T. Postigo")</f>
        <v>Leon T. Postigo</v>
      </c>
      <c r="AB67" s="142" t="str">
        <f>IFERROR(__xludf.DUMMYFUNCTION("""COMPUTED_VALUE"""),"Kalawit")</f>
        <v>Kalawit</v>
      </c>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row>
    <row r="68">
      <c r="A68" s="142" t="s">
        <v>600</v>
      </c>
      <c r="B68" s="142" t="str">
        <f>IFERROR(__xludf.DUMMYFUNCTION("""COMPUTED_VALUE"""),"Bacolod")</f>
        <v>Bacolod</v>
      </c>
      <c r="C68" s="142" t="str">
        <f>IFERROR(__xludf.DUMMYFUNCTION("""COMPUTED_VALUE"""),"Baloi")</f>
        <v>Baloi</v>
      </c>
      <c r="D68" s="142" t="str">
        <f>IFERROR(__xludf.DUMMYFUNCTION("""COMPUTED_VALUE"""),"Baroy")</f>
        <v>Baroy</v>
      </c>
      <c r="E68" s="142" t="str">
        <f>IFERROR(__xludf.DUMMYFUNCTION("""COMPUTED_VALUE"""),"City of Iligan")</f>
        <v>City of Iligan</v>
      </c>
      <c r="F68" s="142" t="str">
        <f>IFERROR(__xludf.DUMMYFUNCTION("""COMPUTED_VALUE"""),"Kapatagan")</f>
        <v>Kapatagan</v>
      </c>
      <c r="G68" s="142" t="str">
        <f>IFERROR(__xludf.DUMMYFUNCTION("""COMPUTED_VALUE"""),"Sultan Naga Dimaporo")</f>
        <v>Sultan Naga Dimaporo</v>
      </c>
      <c r="H68" s="142" t="str">
        <f>IFERROR(__xludf.DUMMYFUNCTION("""COMPUTED_VALUE"""),"Kauswagan")</f>
        <v>Kauswagan</v>
      </c>
      <c r="I68" s="142" t="str">
        <f>IFERROR(__xludf.DUMMYFUNCTION("""COMPUTED_VALUE"""),"Kolambugan")</f>
        <v>Kolambugan</v>
      </c>
      <c r="J68" s="142" t="str">
        <f>IFERROR(__xludf.DUMMYFUNCTION("""COMPUTED_VALUE"""),"Lala")</f>
        <v>Lala</v>
      </c>
      <c r="K68" s="142" t="str">
        <f>IFERROR(__xludf.DUMMYFUNCTION("""COMPUTED_VALUE"""),"Linamon")</f>
        <v>Linamon</v>
      </c>
      <c r="L68" s="142" t="str">
        <f>IFERROR(__xludf.DUMMYFUNCTION("""COMPUTED_VALUE"""),"Magsaysay")</f>
        <v>Magsaysay</v>
      </c>
      <c r="M68" s="142" t="str">
        <f>IFERROR(__xludf.DUMMYFUNCTION("""COMPUTED_VALUE"""),"Maigo")</f>
        <v>Maigo</v>
      </c>
      <c r="N68" s="142" t="str">
        <f>IFERROR(__xludf.DUMMYFUNCTION("""COMPUTED_VALUE"""),"Matungao")</f>
        <v>Matungao</v>
      </c>
      <c r="O68" s="142" t="str">
        <f>IFERROR(__xludf.DUMMYFUNCTION("""COMPUTED_VALUE"""),"Munai")</f>
        <v>Munai</v>
      </c>
      <c r="P68" s="142" t="str">
        <f>IFERROR(__xludf.DUMMYFUNCTION("""COMPUTED_VALUE"""),"Nunungan")</f>
        <v>Nunungan</v>
      </c>
      <c r="Q68" s="142" t="str">
        <f>IFERROR(__xludf.DUMMYFUNCTION("""COMPUTED_VALUE"""),"Pantao Ragat")</f>
        <v>Pantao Ragat</v>
      </c>
      <c r="R68" s="142" t="str">
        <f>IFERROR(__xludf.DUMMYFUNCTION("""COMPUTED_VALUE"""),"Poona Piagapo")</f>
        <v>Poona Piagapo</v>
      </c>
      <c r="S68" s="142" t="str">
        <f>IFERROR(__xludf.DUMMYFUNCTION("""COMPUTED_VALUE"""),"Salvador")</f>
        <v>Salvador</v>
      </c>
      <c r="T68" s="142" t="str">
        <f>IFERROR(__xludf.DUMMYFUNCTION("""COMPUTED_VALUE"""),"Sapad")</f>
        <v>Sapad</v>
      </c>
      <c r="U68" s="142" t="str">
        <f>IFERROR(__xludf.DUMMYFUNCTION("""COMPUTED_VALUE"""),"Tagoloan")</f>
        <v>Tagoloan</v>
      </c>
      <c r="V68" s="142" t="str">
        <f>IFERROR(__xludf.DUMMYFUNCTION("""COMPUTED_VALUE"""),"Tangcal")</f>
        <v>Tangcal</v>
      </c>
      <c r="W68" s="142" t="str">
        <f>IFERROR(__xludf.DUMMYFUNCTION("""COMPUTED_VALUE"""),"Tubod")</f>
        <v>Tubod</v>
      </c>
      <c r="X68" s="142" t="str">
        <f>IFERROR(__xludf.DUMMYFUNCTION("""COMPUTED_VALUE"""),"Pantar")</f>
        <v>Pantar</v>
      </c>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row>
    <row r="69">
      <c r="A69" s="142" t="s">
        <v>600</v>
      </c>
      <c r="B69" s="142" t="str">
        <f>IFERROR(__xludf.DUMMYFUNCTION("""COMPUTED_VALUE"""),"Bacolod")</f>
        <v>Bacolod</v>
      </c>
      <c r="C69" s="142" t="str">
        <f>IFERROR(__xludf.DUMMYFUNCTION("""COMPUTED_VALUE"""),"Baloi")</f>
        <v>Baloi</v>
      </c>
      <c r="D69" s="142" t="str">
        <f>IFERROR(__xludf.DUMMYFUNCTION("""COMPUTED_VALUE"""),"Baroy")</f>
        <v>Baroy</v>
      </c>
      <c r="E69" s="142" t="str">
        <f>IFERROR(__xludf.DUMMYFUNCTION("""COMPUTED_VALUE"""),"City of Iligan")</f>
        <v>City of Iligan</v>
      </c>
      <c r="F69" s="142" t="str">
        <f>IFERROR(__xludf.DUMMYFUNCTION("""COMPUTED_VALUE"""),"Kapatagan")</f>
        <v>Kapatagan</v>
      </c>
      <c r="G69" s="142" t="str">
        <f>IFERROR(__xludf.DUMMYFUNCTION("""COMPUTED_VALUE"""),"Sultan Naga Dimaporo")</f>
        <v>Sultan Naga Dimaporo</v>
      </c>
      <c r="H69" s="142" t="str">
        <f>IFERROR(__xludf.DUMMYFUNCTION("""COMPUTED_VALUE"""),"Kauswagan")</f>
        <v>Kauswagan</v>
      </c>
      <c r="I69" s="142" t="str">
        <f>IFERROR(__xludf.DUMMYFUNCTION("""COMPUTED_VALUE"""),"Kolambugan")</f>
        <v>Kolambugan</v>
      </c>
      <c r="J69" s="142" t="str">
        <f>IFERROR(__xludf.DUMMYFUNCTION("""COMPUTED_VALUE"""),"Lala")</f>
        <v>Lala</v>
      </c>
      <c r="K69" s="142" t="str">
        <f>IFERROR(__xludf.DUMMYFUNCTION("""COMPUTED_VALUE"""),"Linamon")</f>
        <v>Linamon</v>
      </c>
      <c r="L69" s="142" t="str">
        <f>IFERROR(__xludf.DUMMYFUNCTION("""COMPUTED_VALUE"""),"Magsaysay")</f>
        <v>Magsaysay</v>
      </c>
      <c r="M69" s="142" t="str">
        <f>IFERROR(__xludf.DUMMYFUNCTION("""COMPUTED_VALUE"""),"Maigo")</f>
        <v>Maigo</v>
      </c>
      <c r="N69" s="142" t="str">
        <f>IFERROR(__xludf.DUMMYFUNCTION("""COMPUTED_VALUE"""),"Matungao")</f>
        <v>Matungao</v>
      </c>
      <c r="O69" s="142" t="str">
        <f>IFERROR(__xludf.DUMMYFUNCTION("""COMPUTED_VALUE"""),"Munai")</f>
        <v>Munai</v>
      </c>
      <c r="P69" s="142" t="str">
        <f>IFERROR(__xludf.DUMMYFUNCTION("""COMPUTED_VALUE"""),"Nunungan")</f>
        <v>Nunungan</v>
      </c>
      <c r="Q69" s="142" t="str">
        <f>IFERROR(__xludf.DUMMYFUNCTION("""COMPUTED_VALUE"""),"Pantao Ragat")</f>
        <v>Pantao Ragat</v>
      </c>
      <c r="R69" s="142" t="str">
        <f>IFERROR(__xludf.DUMMYFUNCTION("""COMPUTED_VALUE"""),"Poona Piagapo")</f>
        <v>Poona Piagapo</v>
      </c>
      <c r="S69" s="142" t="str">
        <f>IFERROR(__xludf.DUMMYFUNCTION("""COMPUTED_VALUE"""),"Salvador")</f>
        <v>Salvador</v>
      </c>
      <c r="T69" s="142" t="str">
        <f>IFERROR(__xludf.DUMMYFUNCTION("""COMPUTED_VALUE"""),"Sapad")</f>
        <v>Sapad</v>
      </c>
      <c r="U69" s="142" t="str">
        <f>IFERROR(__xludf.DUMMYFUNCTION("""COMPUTED_VALUE"""),"Tagoloan")</f>
        <v>Tagoloan</v>
      </c>
      <c r="V69" s="142" t="str">
        <f>IFERROR(__xludf.DUMMYFUNCTION("""COMPUTED_VALUE"""),"Tangcal")</f>
        <v>Tangcal</v>
      </c>
      <c r="W69" s="142" t="str">
        <f>IFERROR(__xludf.DUMMYFUNCTION("""COMPUTED_VALUE"""),"Tubod")</f>
        <v>Tubod</v>
      </c>
      <c r="X69" s="142" t="str">
        <f>IFERROR(__xludf.DUMMYFUNCTION("""COMPUTED_VALUE"""),"Pantar")</f>
        <v>Pantar</v>
      </c>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row>
    <row r="70">
      <c r="A70" s="142" t="s">
        <v>172</v>
      </c>
      <c r="B70" s="142" t="str">
        <f>IFERROR(__xludf.DUMMYFUNCTION("""COMPUTED_VALUE"""),"Alubijid")</f>
        <v>Alubijid</v>
      </c>
      <c r="C70" s="142" t="str">
        <f>IFERROR(__xludf.DUMMYFUNCTION("""COMPUTED_VALUE"""),"Balingasag")</f>
        <v>Balingasag</v>
      </c>
      <c r="D70" s="142" t="str">
        <f>IFERROR(__xludf.DUMMYFUNCTION("""COMPUTED_VALUE"""),"Balingoan")</f>
        <v>Balingoan</v>
      </c>
      <c r="E70" s="142" t="str">
        <f>IFERROR(__xludf.DUMMYFUNCTION("""COMPUTED_VALUE"""),"Binuangan")</f>
        <v>Binuangan</v>
      </c>
      <c r="F70" s="142" t="str">
        <f>IFERROR(__xludf.DUMMYFUNCTION("""COMPUTED_VALUE"""),"City of Cagayan De Oro")</f>
        <v>City of Cagayan De Oro</v>
      </c>
      <c r="G70" s="142" t="str">
        <f>IFERROR(__xludf.DUMMYFUNCTION("""COMPUTED_VALUE"""),"Claveria")</f>
        <v>Claveria</v>
      </c>
      <c r="H70" s="142" t="str">
        <f>IFERROR(__xludf.DUMMYFUNCTION("""COMPUTED_VALUE"""),"City of El Salvador")</f>
        <v>City of El Salvador</v>
      </c>
      <c r="I70" s="142" t="str">
        <f>IFERROR(__xludf.DUMMYFUNCTION("""COMPUTED_VALUE"""),"City of Gingoog")</f>
        <v>City of Gingoog</v>
      </c>
      <c r="J70" s="142" t="str">
        <f>IFERROR(__xludf.DUMMYFUNCTION("""COMPUTED_VALUE"""),"Gitagum")</f>
        <v>Gitagum</v>
      </c>
      <c r="K70" s="142" t="str">
        <f>IFERROR(__xludf.DUMMYFUNCTION("""COMPUTED_VALUE"""),"Initao")</f>
        <v>Initao</v>
      </c>
      <c r="L70" s="142" t="str">
        <f>IFERROR(__xludf.DUMMYFUNCTION("""COMPUTED_VALUE"""),"Jasaan")</f>
        <v>Jasaan</v>
      </c>
      <c r="M70" s="142" t="str">
        <f>IFERROR(__xludf.DUMMYFUNCTION("""COMPUTED_VALUE"""),"Kinoguitan")</f>
        <v>Kinoguitan</v>
      </c>
      <c r="N70" s="142" t="str">
        <f>IFERROR(__xludf.DUMMYFUNCTION("""COMPUTED_VALUE"""),"Lagonglong")</f>
        <v>Lagonglong</v>
      </c>
      <c r="O70" s="142" t="str">
        <f>IFERROR(__xludf.DUMMYFUNCTION("""COMPUTED_VALUE"""),"Laguindingan")</f>
        <v>Laguindingan</v>
      </c>
      <c r="P70" s="142" t="str">
        <f>IFERROR(__xludf.DUMMYFUNCTION("""COMPUTED_VALUE"""),"Libertad")</f>
        <v>Libertad</v>
      </c>
      <c r="Q70" s="142" t="str">
        <f>IFERROR(__xludf.DUMMYFUNCTION("""COMPUTED_VALUE"""),"Lugait")</f>
        <v>Lugait</v>
      </c>
      <c r="R70" s="142" t="str">
        <f>IFERROR(__xludf.DUMMYFUNCTION("""COMPUTED_VALUE"""),"Magsaysay")</f>
        <v>Magsaysay</v>
      </c>
      <c r="S70" s="142" t="str">
        <f>IFERROR(__xludf.DUMMYFUNCTION("""COMPUTED_VALUE"""),"Manticao")</f>
        <v>Manticao</v>
      </c>
      <c r="T70" s="142" t="str">
        <f>IFERROR(__xludf.DUMMYFUNCTION("""COMPUTED_VALUE"""),"Medina")</f>
        <v>Medina</v>
      </c>
      <c r="U70" s="142" t="str">
        <f>IFERROR(__xludf.DUMMYFUNCTION("""COMPUTED_VALUE"""),"Naawan")</f>
        <v>Naawan</v>
      </c>
      <c r="V70" s="142" t="str">
        <f>IFERROR(__xludf.DUMMYFUNCTION("""COMPUTED_VALUE"""),"Opol")</f>
        <v>Opol</v>
      </c>
      <c r="W70" s="142" t="str">
        <f>IFERROR(__xludf.DUMMYFUNCTION("""COMPUTED_VALUE"""),"Salay")</f>
        <v>Salay</v>
      </c>
      <c r="X70" s="142" t="str">
        <f>IFERROR(__xludf.DUMMYFUNCTION("""COMPUTED_VALUE"""),"Sugbongcogon")</f>
        <v>Sugbongcogon</v>
      </c>
      <c r="Y70" s="142" t="str">
        <f>IFERROR(__xludf.DUMMYFUNCTION("""COMPUTED_VALUE"""),"Tagoloan")</f>
        <v>Tagoloan</v>
      </c>
      <c r="Z70" s="142" t="str">
        <f>IFERROR(__xludf.DUMMYFUNCTION("""COMPUTED_VALUE"""),"Talisayan")</f>
        <v>Talisayan</v>
      </c>
      <c r="AA70" s="142" t="str">
        <f>IFERROR(__xludf.DUMMYFUNCTION("""COMPUTED_VALUE"""),"Villanueva")</f>
        <v>Villanueva</v>
      </c>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row>
    <row r="71">
      <c r="A71" s="142" t="s">
        <v>615</v>
      </c>
      <c r="B71" s="142" t="str">
        <f>IFERROR(__xludf.DUMMYFUNCTION("""COMPUTED_VALUE"""),"Bansalan")</f>
        <v>Bansalan</v>
      </c>
      <c r="C71" s="142" t="str">
        <f>IFERROR(__xludf.DUMMYFUNCTION("""COMPUTED_VALUE"""),"City of Davao")</f>
        <v>City of Davao</v>
      </c>
      <c r="D71" s="142" t="str">
        <f>IFERROR(__xludf.DUMMYFUNCTION("""COMPUTED_VALUE"""),"City of Digos")</f>
        <v>City of Digos</v>
      </c>
      <c r="E71" s="142" t="str">
        <f>IFERROR(__xludf.DUMMYFUNCTION("""COMPUTED_VALUE"""),"Hagonoy")</f>
        <v>Hagonoy</v>
      </c>
      <c r="F71" s="142" t="str">
        <f>IFERROR(__xludf.DUMMYFUNCTION("""COMPUTED_VALUE"""),"Kiblawan")</f>
        <v>Kiblawan</v>
      </c>
      <c r="G71" s="142" t="str">
        <f>IFERROR(__xludf.DUMMYFUNCTION("""COMPUTED_VALUE"""),"Magsaysay")</f>
        <v>Magsaysay</v>
      </c>
      <c r="H71" s="142" t="str">
        <f>IFERROR(__xludf.DUMMYFUNCTION("""COMPUTED_VALUE"""),"Malalag")</f>
        <v>Malalag</v>
      </c>
      <c r="I71" s="142" t="str">
        <f>IFERROR(__xludf.DUMMYFUNCTION("""COMPUTED_VALUE"""),"Matanao")</f>
        <v>Matanao</v>
      </c>
      <c r="J71" s="142" t="str">
        <f>IFERROR(__xludf.DUMMYFUNCTION("""COMPUTED_VALUE"""),"Padada")</f>
        <v>Padada</v>
      </c>
      <c r="K71" s="142" t="str">
        <f>IFERROR(__xludf.DUMMYFUNCTION("""COMPUTED_VALUE"""),"Santa Cruz")</f>
        <v>Santa Cruz</v>
      </c>
      <c r="L71" s="142" t="str">
        <f>IFERROR(__xludf.DUMMYFUNCTION("""COMPUTED_VALUE"""),"Sulop")</f>
        <v>Sulop</v>
      </c>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row>
    <row r="72">
      <c r="A72" s="142" t="s">
        <v>620</v>
      </c>
      <c r="B72" s="142" t="str">
        <f>IFERROR(__xludf.DUMMYFUNCTION("""COMPUTED_VALUE"""),"City of Caloocan")</f>
        <v>City of Caloocan</v>
      </c>
      <c r="C72" s="142" t="str">
        <f>IFERROR(__xludf.DUMMYFUNCTION("""COMPUTED_VALUE"""),"City of Las Piñas")</f>
        <v>City of Las Piñas</v>
      </c>
      <c r="D72" s="142" t="str">
        <f>IFERROR(__xludf.DUMMYFUNCTION("""COMPUTED_VALUE"""),"City of Makati")</f>
        <v>City of Makati</v>
      </c>
      <c r="E72" s="142" t="str">
        <f>IFERROR(__xludf.DUMMYFUNCTION("""COMPUTED_VALUE"""),"City of Malabon")</f>
        <v>City of Malabon</v>
      </c>
      <c r="F72" s="142" t="str">
        <f>IFERROR(__xludf.DUMMYFUNCTION("""COMPUTED_VALUE"""),"City of Mandaluyong")</f>
        <v>City of Mandaluyong</v>
      </c>
      <c r="G72" s="142" t="str">
        <f>IFERROR(__xludf.DUMMYFUNCTION("""COMPUTED_VALUE"""),"City of Manila")</f>
        <v>City of Manila</v>
      </c>
      <c r="H72" s="142" t="str">
        <f>IFERROR(__xludf.DUMMYFUNCTION("""COMPUTED_VALUE"""),"City of Marikina")</f>
        <v>City of Marikina</v>
      </c>
      <c r="I72" s="142" t="str">
        <f>IFERROR(__xludf.DUMMYFUNCTION("""COMPUTED_VALUE"""),"City of Muntinlupa")</f>
        <v>City of Muntinlupa</v>
      </c>
      <c r="J72" s="142" t="str">
        <f>IFERROR(__xludf.DUMMYFUNCTION("""COMPUTED_VALUE"""),"City of Navotas")</f>
        <v>City of Navotas</v>
      </c>
      <c r="K72" s="142" t="str">
        <f>IFERROR(__xludf.DUMMYFUNCTION("""COMPUTED_VALUE"""),"City of Parañaque")</f>
        <v>City of Parañaque</v>
      </c>
      <c r="L72" s="142" t="str">
        <f>IFERROR(__xludf.DUMMYFUNCTION("""COMPUTED_VALUE"""),"Pasay City")</f>
        <v>Pasay City</v>
      </c>
      <c r="M72" s="142" t="str">
        <f>IFERROR(__xludf.DUMMYFUNCTION("""COMPUTED_VALUE"""),"City of Pasig")</f>
        <v>City of Pasig</v>
      </c>
      <c r="N72" s="142" t="str">
        <f>IFERROR(__xludf.DUMMYFUNCTION("""COMPUTED_VALUE"""),"Quezon City")</f>
        <v>Quezon City</v>
      </c>
      <c r="O72" s="142" t="str">
        <f>IFERROR(__xludf.DUMMYFUNCTION("""COMPUTED_VALUE"""),"City of San Juan")</f>
        <v>City of San Juan</v>
      </c>
      <c r="P72" s="142" t="str">
        <f>IFERROR(__xludf.DUMMYFUNCTION("""COMPUTED_VALUE"""),"City of Taguig")</f>
        <v>City of Taguig</v>
      </c>
      <c r="Q72" s="142" t="str">
        <f>IFERROR(__xludf.DUMMYFUNCTION("""COMPUTED_VALUE"""),"City of Valenzuela")</f>
        <v>City of Valenzuela</v>
      </c>
      <c r="R72" s="142" t="str">
        <f>IFERROR(__xludf.DUMMYFUNCTION("""COMPUTED_VALUE"""),"Pateros")</f>
        <v>Pateros</v>
      </c>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row>
    <row r="73">
      <c r="A73" s="142" t="s">
        <v>626</v>
      </c>
      <c r="B73" s="142" t="str">
        <f>IFERROR(__xludf.DUMMYFUNCTION("""COMPUTED_VALUE"""),"City of Bacolod")</f>
        <v>City of Bacolod</v>
      </c>
      <c r="C73" s="142" t="str">
        <f>IFERROR(__xludf.DUMMYFUNCTION("""COMPUTED_VALUE"""),"City of Bago")</f>
        <v>City of Bago</v>
      </c>
      <c r="D73" s="142" t="str">
        <f>IFERROR(__xludf.DUMMYFUNCTION("""COMPUTED_VALUE"""),"Binalbagan")</f>
        <v>Binalbagan</v>
      </c>
      <c r="E73" s="142" t="str">
        <f>IFERROR(__xludf.DUMMYFUNCTION("""COMPUTED_VALUE"""),"City of Cadiz")</f>
        <v>City of Cadiz</v>
      </c>
      <c r="F73" s="142" t="str">
        <f>IFERROR(__xludf.DUMMYFUNCTION("""COMPUTED_VALUE"""),"Calatrava")</f>
        <v>Calatrava</v>
      </c>
      <c r="G73" s="142" t="str">
        <f>IFERROR(__xludf.DUMMYFUNCTION("""COMPUTED_VALUE"""),"Candoni")</f>
        <v>Candoni</v>
      </c>
      <c r="H73" s="142" t="str">
        <f>IFERROR(__xludf.DUMMYFUNCTION("""COMPUTED_VALUE"""),"Cauayan")</f>
        <v>Cauayan</v>
      </c>
      <c r="I73" s="142" t="str">
        <f>IFERROR(__xludf.DUMMYFUNCTION("""COMPUTED_VALUE"""),"Enrique B. Magalona")</f>
        <v>Enrique B. Magalona</v>
      </c>
      <c r="J73" s="142" t="str">
        <f>IFERROR(__xludf.DUMMYFUNCTION("""COMPUTED_VALUE"""),"City of Escalante")</f>
        <v>City of Escalante</v>
      </c>
      <c r="K73" s="142" t="str">
        <f>IFERROR(__xludf.DUMMYFUNCTION("""COMPUTED_VALUE"""),"City of Himamaylan")</f>
        <v>City of Himamaylan</v>
      </c>
      <c r="L73" s="142" t="str">
        <f>IFERROR(__xludf.DUMMYFUNCTION("""COMPUTED_VALUE"""),"Hinigaran")</f>
        <v>Hinigaran</v>
      </c>
      <c r="M73" s="142" t="str">
        <f>IFERROR(__xludf.DUMMYFUNCTION("""COMPUTED_VALUE"""),"Hinoba-an")</f>
        <v>Hinoba-an</v>
      </c>
      <c r="N73" s="142" t="str">
        <f>IFERROR(__xludf.DUMMYFUNCTION("""COMPUTED_VALUE"""),"Ilog")</f>
        <v>Ilog</v>
      </c>
      <c r="O73" s="142" t="str">
        <f>IFERROR(__xludf.DUMMYFUNCTION("""COMPUTED_VALUE"""),"Isabela")</f>
        <v>Isabela</v>
      </c>
      <c r="P73" s="142" t="str">
        <f>IFERROR(__xludf.DUMMYFUNCTION("""COMPUTED_VALUE"""),"City of Kabankalan")</f>
        <v>City of Kabankalan</v>
      </c>
      <c r="Q73" s="142" t="str">
        <f>IFERROR(__xludf.DUMMYFUNCTION("""COMPUTED_VALUE"""),"City of La Carlota")</f>
        <v>City of La Carlota</v>
      </c>
      <c r="R73" s="142" t="str">
        <f>IFERROR(__xludf.DUMMYFUNCTION("""COMPUTED_VALUE"""),"La Castellana")</f>
        <v>La Castellana</v>
      </c>
      <c r="S73" s="142" t="str">
        <f>IFERROR(__xludf.DUMMYFUNCTION("""COMPUTED_VALUE"""),"Manapla")</f>
        <v>Manapla</v>
      </c>
      <c r="T73" s="142" t="str">
        <f>IFERROR(__xludf.DUMMYFUNCTION("""COMPUTED_VALUE"""),"Moises Padilla")</f>
        <v>Moises Padilla</v>
      </c>
      <c r="U73" s="142" t="str">
        <f>IFERROR(__xludf.DUMMYFUNCTION("""COMPUTED_VALUE"""),"Murcia")</f>
        <v>Murcia</v>
      </c>
      <c r="V73" s="142" t="str">
        <f>IFERROR(__xludf.DUMMYFUNCTION("""COMPUTED_VALUE"""),"Pontevedra")</f>
        <v>Pontevedra</v>
      </c>
      <c r="W73" s="142" t="str">
        <f>IFERROR(__xludf.DUMMYFUNCTION("""COMPUTED_VALUE"""),"Pulupandan")</f>
        <v>Pulupandan</v>
      </c>
      <c r="X73" s="142" t="str">
        <f>IFERROR(__xludf.DUMMYFUNCTION("""COMPUTED_VALUE"""),"City of Sagay")</f>
        <v>City of Sagay</v>
      </c>
      <c r="Y73" s="142" t="str">
        <f>IFERROR(__xludf.DUMMYFUNCTION("""COMPUTED_VALUE"""),"City of San Carlos")</f>
        <v>City of San Carlos</v>
      </c>
      <c r="Z73" s="142" t="str">
        <f>IFERROR(__xludf.DUMMYFUNCTION("""COMPUTED_VALUE"""),"San Enrique")</f>
        <v>San Enrique</v>
      </c>
      <c r="AA73" s="142" t="str">
        <f>IFERROR(__xludf.DUMMYFUNCTION("""COMPUTED_VALUE"""),"City of Silay")</f>
        <v>City of Silay</v>
      </c>
      <c r="AB73" s="142" t="str">
        <f>IFERROR(__xludf.DUMMYFUNCTION("""COMPUTED_VALUE"""),"City of Sipalay")</f>
        <v>City of Sipalay</v>
      </c>
      <c r="AC73" s="142" t="str">
        <f>IFERROR(__xludf.DUMMYFUNCTION("""COMPUTED_VALUE"""),"City of Talisay")</f>
        <v>City of Talisay</v>
      </c>
      <c r="AD73" s="142" t="str">
        <f>IFERROR(__xludf.DUMMYFUNCTION("""COMPUTED_VALUE"""),"Toboso")</f>
        <v>Toboso</v>
      </c>
      <c r="AE73" s="142" t="str">
        <f>IFERROR(__xludf.DUMMYFUNCTION("""COMPUTED_VALUE"""),"Valladolid")</f>
        <v>Valladolid</v>
      </c>
      <c r="AF73" s="142" t="str">
        <f>IFERROR(__xludf.DUMMYFUNCTION("""COMPUTED_VALUE"""),"City of Victorias")</f>
        <v>City of Victorias</v>
      </c>
      <c r="AG73" s="142" t="str">
        <f>IFERROR(__xludf.DUMMYFUNCTION("""COMPUTED_VALUE"""),"Salvador Benedicto")</f>
        <v>Salvador Benedicto</v>
      </c>
      <c r="AH73" s="8"/>
      <c r="AI73" s="8"/>
      <c r="AJ73" s="8"/>
      <c r="AK73" s="8"/>
      <c r="AL73" s="8"/>
      <c r="AM73" s="8"/>
      <c r="AN73" s="8"/>
      <c r="AO73" s="8"/>
      <c r="AP73" s="8"/>
      <c r="AQ73" s="8"/>
      <c r="AR73" s="8"/>
      <c r="AS73" s="8"/>
      <c r="AT73" s="8"/>
      <c r="AU73" s="8"/>
      <c r="AV73" s="8"/>
      <c r="AW73" s="8"/>
      <c r="AX73" s="8"/>
      <c r="AY73" s="8"/>
      <c r="AZ73" s="8"/>
      <c r="BA73" s="8"/>
      <c r="BB73" s="8"/>
      <c r="BC73" s="8"/>
      <c r="BD73" s="8"/>
      <c r="BE73" s="8"/>
    </row>
    <row r="74">
      <c r="A74" s="142" t="s">
        <v>632</v>
      </c>
      <c r="B74" s="142" t="str">
        <f>IFERROR(__xludf.DUMMYFUNCTION("""COMPUTED_VALUE"""),"Amlan")</f>
        <v>Amlan</v>
      </c>
      <c r="C74" s="142" t="str">
        <f>IFERROR(__xludf.DUMMYFUNCTION("""COMPUTED_VALUE"""),"Ayungon")</f>
        <v>Ayungon</v>
      </c>
      <c r="D74" s="142" t="str">
        <f>IFERROR(__xludf.DUMMYFUNCTION("""COMPUTED_VALUE"""),"Bacong")</f>
        <v>Bacong</v>
      </c>
      <c r="E74" s="142" t="str">
        <f>IFERROR(__xludf.DUMMYFUNCTION("""COMPUTED_VALUE"""),"City of Bais")</f>
        <v>City of Bais</v>
      </c>
      <c r="F74" s="142" t="str">
        <f>IFERROR(__xludf.DUMMYFUNCTION("""COMPUTED_VALUE"""),"Basay")</f>
        <v>Basay</v>
      </c>
      <c r="G74" s="142" t="str">
        <f>IFERROR(__xludf.DUMMYFUNCTION("""COMPUTED_VALUE"""),"City of Bayawan")</f>
        <v>City of Bayawan</v>
      </c>
      <c r="H74" s="142" t="str">
        <f>IFERROR(__xludf.DUMMYFUNCTION("""COMPUTED_VALUE"""),"Bindoy")</f>
        <v>Bindoy</v>
      </c>
      <c r="I74" s="142" t="str">
        <f>IFERROR(__xludf.DUMMYFUNCTION("""COMPUTED_VALUE"""),"City of Canlaon")</f>
        <v>City of Canlaon</v>
      </c>
      <c r="J74" s="142" t="str">
        <f>IFERROR(__xludf.DUMMYFUNCTION("""COMPUTED_VALUE"""),"Dauin")</f>
        <v>Dauin</v>
      </c>
      <c r="K74" s="142" t="str">
        <f>IFERROR(__xludf.DUMMYFUNCTION("""COMPUTED_VALUE"""),"City of Dumaguete")</f>
        <v>City of Dumaguete</v>
      </c>
      <c r="L74" s="142" t="str">
        <f>IFERROR(__xludf.DUMMYFUNCTION("""COMPUTED_VALUE"""),"City of Guihulngan")</f>
        <v>City of Guihulngan</v>
      </c>
      <c r="M74" s="142" t="str">
        <f>IFERROR(__xludf.DUMMYFUNCTION("""COMPUTED_VALUE"""),"Jimalalud")</f>
        <v>Jimalalud</v>
      </c>
      <c r="N74" s="142" t="str">
        <f>IFERROR(__xludf.DUMMYFUNCTION("""COMPUTED_VALUE"""),"La Libertad")</f>
        <v>La Libertad</v>
      </c>
      <c r="O74" s="142" t="str">
        <f>IFERROR(__xludf.DUMMYFUNCTION("""COMPUTED_VALUE"""),"Mabinay")</f>
        <v>Mabinay</v>
      </c>
      <c r="P74" s="142" t="str">
        <f>IFERROR(__xludf.DUMMYFUNCTION("""COMPUTED_VALUE"""),"Manjuyod")</f>
        <v>Manjuyod</v>
      </c>
      <c r="Q74" s="142" t="str">
        <f>IFERROR(__xludf.DUMMYFUNCTION("""COMPUTED_VALUE"""),"Pamplona")</f>
        <v>Pamplona</v>
      </c>
      <c r="R74" s="142" t="str">
        <f>IFERROR(__xludf.DUMMYFUNCTION("""COMPUTED_VALUE"""),"San Jose")</f>
        <v>San Jose</v>
      </c>
      <c r="S74" s="142" t="str">
        <f>IFERROR(__xludf.DUMMYFUNCTION("""COMPUTED_VALUE"""),"Santa Catalina")</f>
        <v>Santa Catalina</v>
      </c>
      <c r="T74" s="142" t="str">
        <f>IFERROR(__xludf.DUMMYFUNCTION("""COMPUTED_VALUE"""),"Siaton")</f>
        <v>Siaton</v>
      </c>
      <c r="U74" s="142" t="str">
        <f>IFERROR(__xludf.DUMMYFUNCTION("""COMPUTED_VALUE"""),"Sibulan")</f>
        <v>Sibulan</v>
      </c>
      <c r="V74" s="142" t="str">
        <f>IFERROR(__xludf.DUMMYFUNCTION("""COMPUTED_VALUE"""),"City of Tanjay")</f>
        <v>City of Tanjay</v>
      </c>
      <c r="W74" s="142" t="str">
        <f>IFERROR(__xludf.DUMMYFUNCTION("""COMPUTED_VALUE"""),"Tayasan")</f>
        <v>Tayasan</v>
      </c>
      <c r="X74" s="142" t="str">
        <f>IFERROR(__xludf.DUMMYFUNCTION("""COMPUTED_VALUE"""),"Valencia")</f>
        <v>Valencia</v>
      </c>
      <c r="Y74" s="142" t="str">
        <f>IFERROR(__xludf.DUMMYFUNCTION("""COMPUTED_VALUE"""),"Vallehermoso")</f>
        <v>Vallehermoso</v>
      </c>
      <c r="Z74" s="142" t="str">
        <f>IFERROR(__xludf.DUMMYFUNCTION("""COMPUTED_VALUE"""),"Zamboanguita")</f>
        <v>Zamboanguita</v>
      </c>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row>
    <row r="75">
      <c r="A75" s="142" t="s">
        <v>632</v>
      </c>
      <c r="B75" s="142" t="str">
        <f>IFERROR(__xludf.DUMMYFUNCTION("""COMPUTED_VALUE"""),"Amlan")</f>
        <v>Amlan</v>
      </c>
      <c r="C75" s="142" t="str">
        <f>IFERROR(__xludf.DUMMYFUNCTION("""COMPUTED_VALUE"""),"Ayungon")</f>
        <v>Ayungon</v>
      </c>
      <c r="D75" s="142" t="str">
        <f>IFERROR(__xludf.DUMMYFUNCTION("""COMPUTED_VALUE"""),"Bacong")</f>
        <v>Bacong</v>
      </c>
      <c r="E75" s="142" t="str">
        <f>IFERROR(__xludf.DUMMYFUNCTION("""COMPUTED_VALUE"""),"City of Bais")</f>
        <v>City of Bais</v>
      </c>
      <c r="F75" s="142" t="str">
        <f>IFERROR(__xludf.DUMMYFUNCTION("""COMPUTED_VALUE"""),"Basay")</f>
        <v>Basay</v>
      </c>
      <c r="G75" s="142" t="str">
        <f>IFERROR(__xludf.DUMMYFUNCTION("""COMPUTED_VALUE"""),"City of Bayawan")</f>
        <v>City of Bayawan</v>
      </c>
      <c r="H75" s="142" t="str">
        <f>IFERROR(__xludf.DUMMYFUNCTION("""COMPUTED_VALUE"""),"Bindoy")</f>
        <v>Bindoy</v>
      </c>
      <c r="I75" s="142" t="str">
        <f>IFERROR(__xludf.DUMMYFUNCTION("""COMPUTED_VALUE"""),"City of Canlaon")</f>
        <v>City of Canlaon</v>
      </c>
      <c r="J75" s="142" t="str">
        <f>IFERROR(__xludf.DUMMYFUNCTION("""COMPUTED_VALUE"""),"Dauin")</f>
        <v>Dauin</v>
      </c>
      <c r="K75" s="142" t="str">
        <f>IFERROR(__xludf.DUMMYFUNCTION("""COMPUTED_VALUE"""),"City of Dumaguete")</f>
        <v>City of Dumaguete</v>
      </c>
      <c r="L75" s="142" t="str">
        <f>IFERROR(__xludf.DUMMYFUNCTION("""COMPUTED_VALUE"""),"City of Guihulngan")</f>
        <v>City of Guihulngan</v>
      </c>
      <c r="M75" s="142" t="str">
        <f>IFERROR(__xludf.DUMMYFUNCTION("""COMPUTED_VALUE"""),"Jimalalud")</f>
        <v>Jimalalud</v>
      </c>
      <c r="N75" s="142" t="str">
        <f>IFERROR(__xludf.DUMMYFUNCTION("""COMPUTED_VALUE"""),"La Libertad")</f>
        <v>La Libertad</v>
      </c>
      <c r="O75" s="142" t="str">
        <f>IFERROR(__xludf.DUMMYFUNCTION("""COMPUTED_VALUE"""),"Mabinay")</f>
        <v>Mabinay</v>
      </c>
      <c r="P75" s="142" t="str">
        <f>IFERROR(__xludf.DUMMYFUNCTION("""COMPUTED_VALUE"""),"Manjuyod")</f>
        <v>Manjuyod</v>
      </c>
      <c r="Q75" s="142" t="str">
        <f>IFERROR(__xludf.DUMMYFUNCTION("""COMPUTED_VALUE"""),"Pamplona")</f>
        <v>Pamplona</v>
      </c>
      <c r="R75" s="142" t="str">
        <f>IFERROR(__xludf.DUMMYFUNCTION("""COMPUTED_VALUE"""),"San Jose")</f>
        <v>San Jose</v>
      </c>
      <c r="S75" s="142" t="str">
        <f>IFERROR(__xludf.DUMMYFUNCTION("""COMPUTED_VALUE"""),"Santa Catalina")</f>
        <v>Santa Catalina</v>
      </c>
      <c r="T75" s="142" t="str">
        <f>IFERROR(__xludf.DUMMYFUNCTION("""COMPUTED_VALUE"""),"Siaton")</f>
        <v>Siaton</v>
      </c>
      <c r="U75" s="142" t="str">
        <f>IFERROR(__xludf.DUMMYFUNCTION("""COMPUTED_VALUE"""),"Sibulan")</f>
        <v>Sibulan</v>
      </c>
      <c r="V75" s="142" t="str">
        <f>IFERROR(__xludf.DUMMYFUNCTION("""COMPUTED_VALUE"""),"City of Tanjay")</f>
        <v>City of Tanjay</v>
      </c>
      <c r="W75" s="142" t="str">
        <f>IFERROR(__xludf.DUMMYFUNCTION("""COMPUTED_VALUE"""),"Tayasan")</f>
        <v>Tayasan</v>
      </c>
      <c r="X75" s="142" t="str">
        <f>IFERROR(__xludf.DUMMYFUNCTION("""COMPUTED_VALUE"""),"Valencia")</f>
        <v>Valencia</v>
      </c>
      <c r="Y75" s="142" t="str">
        <f>IFERROR(__xludf.DUMMYFUNCTION("""COMPUTED_VALUE"""),"Vallehermoso")</f>
        <v>Vallehermoso</v>
      </c>
      <c r="Z75" s="142" t="str">
        <f>IFERROR(__xludf.DUMMYFUNCTION("""COMPUTED_VALUE"""),"Zamboanguita")</f>
        <v>Zamboanguita</v>
      </c>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row>
    <row r="76">
      <c r="A76" s="142" t="s">
        <v>643</v>
      </c>
      <c r="B76" s="142" t="str">
        <f>IFERROR(__xludf.DUMMYFUNCTION("""COMPUTED_VALUE"""),"Barira")</f>
        <v>Barira</v>
      </c>
      <c r="C76" s="142" t="str">
        <f>IFERROR(__xludf.DUMMYFUNCTION("""COMPUTED_VALUE"""),"Buldon")</f>
        <v>Buldon</v>
      </c>
      <c r="D76" s="142" t="str">
        <f>IFERROR(__xludf.DUMMYFUNCTION("""COMPUTED_VALUE"""),"City of Cotabato")</f>
        <v>City of Cotabato</v>
      </c>
      <c r="E76" s="142" t="str">
        <f>IFERROR(__xludf.DUMMYFUNCTION("""COMPUTED_VALUE"""),"Datu Blah T. Sinsuat")</f>
        <v>Datu Blah T. Sinsuat</v>
      </c>
      <c r="F76" s="142" t="str">
        <f>IFERROR(__xludf.DUMMYFUNCTION("""COMPUTED_VALUE"""),"Datu Odin Sinsuat")</f>
        <v>Datu Odin Sinsuat</v>
      </c>
      <c r="G76" s="142" t="str">
        <f>IFERROR(__xludf.DUMMYFUNCTION("""COMPUTED_VALUE"""),"Kabuntalan")</f>
        <v>Kabuntalan</v>
      </c>
      <c r="H76" s="142" t="str">
        <f>IFERROR(__xludf.DUMMYFUNCTION("""COMPUTED_VALUE"""),"Matanog")</f>
        <v>Matanog</v>
      </c>
      <c r="I76" s="142" t="str">
        <f>IFERROR(__xludf.DUMMYFUNCTION("""COMPUTED_VALUE"""),"Northern Kabuntalan")</f>
        <v>Northern Kabuntalan</v>
      </c>
      <c r="J76" s="142" t="str">
        <f>IFERROR(__xludf.DUMMYFUNCTION("""COMPUTED_VALUE"""),"Parang")</f>
        <v>Parang</v>
      </c>
      <c r="K76" s="142" t="str">
        <f>IFERROR(__xludf.DUMMYFUNCTION("""COMPUTED_VALUE"""),"Sultan Kudarat")</f>
        <v>Sultan Kudarat</v>
      </c>
      <c r="L76" s="142" t="str">
        <f>IFERROR(__xludf.DUMMYFUNCTION("""COMPUTED_VALUE"""),"Sultan Mastura")</f>
        <v>Sultan Mastura</v>
      </c>
      <c r="M76" s="142" t="str">
        <f>IFERROR(__xludf.DUMMYFUNCTION("""COMPUTED_VALUE"""),"Talitay")</f>
        <v>Talitay</v>
      </c>
      <c r="N76" s="142" t="str">
        <f>IFERROR(__xludf.DUMMYFUNCTION("""COMPUTED_VALUE"""),"Upi")</f>
        <v>Upi</v>
      </c>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row>
    <row r="77">
      <c r="A77" s="142" t="s">
        <v>649</v>
      </c>
      <c r="B77" s="142" t="str">
        <f>IFERROR(__xludf.DUMMYFUNCTION("""COMPUTED_VALUE"""),"Buenavista")</f>
        <v>Buenavista</v>
      </c>
      <c r="C77" s="142" t="str">
        <f>IFERROR(__xludf.DUMMYFUNCTION("""COMPUTED_VALUE"""),"City of Butuan")</f>
        <v>City of Butuan</v>
      </c>
      <c r="D77" s="142" t="str">
        <f>IFERROR(__xludf.DUMMYFUNCTION("""COMPUTED_VALUE"""),"City of Cabadbaran")</f>
        <v>City of Cabadbaran</v>
      </c>
      <c r="E77" s="142" t="str">
        <f>IFERROR(__xludf.DUMMYFUNCTION("""COMPUTED_VALUE"""),"Carmen")</f>
        <v>Carmen</v>
      </c>
      <c r="F77" s="142" t="str">
        <f>IFERROR(__xludf.DUMMYFUNCTION("""COMPUTED_VALUE"""),"Jabonga")</f>
        <v>Jabonga</v>
      </c>
      <c r="G77" s="142" t="str">
        <f>IFERROR(__xludf.DUMMYFUNCTION("""COMPUTED_VALUE"""),"Kitcharao")</f>
        <v>Kitcharao</v>
      </c>
      <c r="H77" s="142" t="str">
        <f>IFERROR(__xludf.DUMMYFUNCTION("""COMPUTED_VALUE"""),"Las Nieves")</f>
        <v>Las Nieves</v>
      </c>
      <c r="I77" s="142" t="str">
        <f>IFERROR(__xludf.DUMMYFUNCTION("""COMPUTED_VALUE"""),"Magallanes")</f>
        <v>Magallanes</v>
      </c>
      <c r="J77" s="142" t="str">
        <f>IFERROR(__xludf.DUMMYFUNCTION("""COMPUTED_VALUE"""),"Nasipit")</f>
        <v>Nasipit</v>
      </c>
      <c r="K77" s="142" t="str">
        <f>IFERROR(__xludf.DUMMYFUNCTION("""COMPUTED_VALUE"""),"Santiago")</f>
        <v>Santiago</v>
      </c>
      <c r="L77" s="142" t="str">
        <f>IFERROR(__xludf.DUMMYFUNCTION("""COMPUTED_VALUE"""),"Tubay")</f>
        <v>Tubay</v>
      </c>
      <c r="M77" s="142" t="str">
        <f>IFERROR(__xludf.DUMMYFUNCTION("""COMPUTED_VALUE"""),"Remedios T. Romualdez")</f>
        <v>Remedios T. Romualdez</v>
      </c>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row>
    <row r="78">
      <c r="A78" s="142" t="s">
        <v>615</v>
      </c>
      <c r="B78" s="142" t="str">
        <f>IFERROR(__xludf.DUMMYFUNCTION("""COMPUTED_VALUE"""),"Bansalan")</f>
        <v>Bansalan</v>
      </c>
      <c r="C78" s="142" t="str">
        <f>IFERROR(__xludf.DUMMYFUNCTION("""COMPUTED_VALUE"""),"City of Davao")</f>
        <v>City of Davao</v>
      </c>
      <c r="D78" s="142" t="str">
        <f>IFERROR(__xludf.DUMMYFUNCTION("""COMPUTED_VALUE"""),"City of Digos")</f>
        <v>City of Digos</v>
      </c>
      <c r="E78" s="142" t="str">
        <f>IFERROR(__xludf.DUMMYFUNCTION("""COMPUTED_VALUE"""),"Hagonoy")</f>
        <v>Hagonoy</v>
      </c>
      <c r="F78" s="142" t="str">
        <f>IFERROR(__xludf.DUMMYFUNCTION("""COMPUTED_VALUE"""),"Kiblawan")</f>
        <v>Kiblawan</v>
      </c>
      <c r="G78" s="142" t="str">
        <f>IFERROR(__xludf.DUMMYFUNCTION("""COMPUTED_VALUE"""),"Magsaysay")</f>
        <v>Magsaysay</v>
      </c>
      <c r="H78" s="142" t="str">
        <f>IFERROR(__xludf.DUMMYFUNCTION("""COMPUTED_VALUE"""),"Malalag")</f>
        <v>Malalag</v>
      </c>
      <c r="I78" s="142" t="str">
        <f>IFERROR(__xludf.DUMMYFUNCTION("""COMPUTED_VALUE"""),"Matanao")</f>
        <v>Matanao</v>
      </c>
      <c r="J78" s="142" t="str">
        <f>IFERROR(__xludf.DUMMYFUNCTION("""COMPUTED_VALUE"""),"Padada")</f>
        <v>Padada</v>
      </c>
      <c r="K78" s="142" t="str">
        <f>IFERROR(__xludf.DUMMYFUNCTION("""COMPUTED_VALUE"""),"Santa Cruz")</f>
        <v>Santa Cruz</v>
      </c>
      <c r="L78" s="142" t="str">
        <f>IFERROR(__xludf.DUMMYFUNCTION("""COMPUTED_VALUE"""),"Sulop")</f>
        <v>Sulop</v>
      </c>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row>
    <row r="79">
      <c r="A79" s="142" t="s">
        <v>615</v>
      </c>
      <c r="B79" s="142" t="str">
        <f>IFERROR(__xludf.DUMMYFUNCTION("""COMPUTED_VALUE"""),"Bansalan")</f>
        <v>Bansalan</v>
      </c>
      <c r="C79" s="142" t="str">
        <f>IFERROR(__xludf.DUMMYFUNCTION("""COMPUTED_VALUE"""),"City of Davao")</f>
        <v>City of Davao</v>
      </c>
      <c r="D79" s="142" t="str">
        <f>IFERROR(__xludf.DUMMYFUNCTION("""COMPUTED_VALUE"""),"City of Digos")</f>
        <v>City of Digos</v>
      </c>
      <c r="E79" s="142" t="str">
        <f>IFERROR(__xludf.DUMMYFUNCTION("""COMPUTED_VALUE"""),"Hagonoy")</f>
        <v>Hagonoy</v>
      </c>
      <c r="F79" s="142" t="str">
        <f>IFERROR(__xludf.DUMMYFUNCTION("""COMPUTED_VALUE"""),"Kiblawan")</f>
        <v>Kiblawan</v>
      </c>
      <c r="G79" s="142" t="str">
        <f>IFERROR(__xludf.DUMMYFUNCTION("""COMPUTED_VALUE"""),"Magsaysay")</f>
        <v>Magsaysay</v>
      </c>
      <c r="H79" s="142" t="str">
        <f>IFERROR(__xludf.DUMMYFUNCTION("""COMPUTED_VALUE"""),"Malalag")</f>
        <v>Malalag</v>
      </c>
      <c r="I79" s="142" t="str">
        <f>IFERROR(__xludf.DUMMYFUNCTION("""COMPUTED_VALUE"""),"Matanao")</f>
        <v>Matanao</v>
      </c>
      <c r="J79" s="142" t="str">
        <f>IFERROR(__xludf.DUMMYFUNCTION("""COMPUTED_VALUE"""),"Padada")</f>
        <v>Padada</v>
      </c>
      <c r="K79" s="142" t="str">
        <f>IFERROR(__xludf.DUMMYFUNCTION("""COMPUTED_VALUE"""),"Santa Cruz")</f>
        <v>Santa Cruz</v>
      </c>
      <c r="L79" s="142" t="str">
        <f>IFERROR(__xludf.DUMMYFUNCTION("""COMPUTED_VALUE"""),"Sulop")</f>
        <v>Sulop</v>
      </c>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row>
    <row r="80">
      <c r="A80" s="142" t="s">
        <v>144</v>
      </c>
      <c r="B80" s="142" t="str">
        <f>IFERROR(__xludf.DUMMYFUNCTION("""COMPUTED_VALUE"""),"Agno")</f>
        <v>Agno</v>
      </c>
      <c r="C80" s="142" t="str">
        <f>IFERROR(__xludf.DUMMYFUNCTION("""COMPUTED_VALUE"""),"Aguilar")</f>
        <v>Aguilar</v>
      </c>
      <c r="D80" s="142" t="str">
        <f>IFERROR(__xludf.DUMMYFUNCTION("""COMPUTED_VALUE"""),"City of Alaminos")</f>
        <v>City of Alaminos</v>
      </c>
      <c r="E80" s="142" t="str">
        <f>IFERROR(__xludf.DUMMYFUNCTION("""COMPUTED_VALUE"""),"Alcala")</f>
        <v>Alcala</v>
      </c>
      <c r="F80" s="142" t="str">
        <f>IFERROR(__xludf.DUMMYFUNCTION("""COMPUTED_VALUE"""),"Anda")</f>
        <v>Anda</v>
      </c>
      <c r="G80" s="142" t="str">
        <f>IFERROR(__xludf.DUMMYFUNCTION("""COMPUTED_VALUE"""),"Asingan")</f>
        <v>Asingan</v>
      </c>
      <c r="H80" s="142" t="str">
        <f>IFERROR(__xludf.DUMMYFUNCTION("""COMPUTED_VALUE"""),"Balungao")</f>
        <v>Balungao</v>
      </c>
      <c r="I80" s="142" t="str">
        <f>IFERROR(__xludf.DUMMYFUNCTION("""COMPUTED_VALUE"""),"Bani")</f>
        <v>Bani</v>
      </c>
      <c r="J80" s="142" t="str">
        <f>IFERROR(__xludf.DUMMYFUNCTION("""COMPUTED_VALUE"""),"Basista")</f>
        <v>Basista</v>
      </c>
      <c r="K80" s="142" t="str">
        <f>IFERROR(__xludf.DUMMYFUNCTION("""COMPUTED_VALUE"""),"Bautista")</f>
        <v>Bautista</v>
      </c>
      <c r="L80" s="142" t="str">
        <f>IFERROR(__xludf.DUMMYFUNCTION("""COMPUTED_VALUE"""),"Bayambang")</f>
        <v>Bayambang</v>
      </c>
      <c r="M80" s="142" t="str">
        <f>IFERROR(__xludf.DUMMYFUNCTION("""COMPUTED_VALUE"""),"Binalonan")</f>
        <v>Binalonan</v>
      </c>
      <c r="N80" s="142" t="str">
        <f>IFERROR(__xludf.DUMMYFUNCTION("""COMPUTED_VALUE"""),"Binmaley")</f>
        <v>Binmaley</v>
      </c>
      <c r="O80" s="142" t="str">
        <f>IFERROR(__xludf.DUMMYFUNCTION("""COMPUTED_VALUE"""),"Bolinao")</f>
        <v>Bolinao</v>
      </c>
      <c r="P80" s="142" t="str">
        <f>IFERROR(__xludf.DUMMYFUNCTION("""COMPUTED_VALUE"""),"Bugallon")</f>
        <v>Bugallon</v>
      </c>
      <c r="Q80" s="142" t="str">
        <f>IFERROR(__xludf.DUMMYFUNCTION("""COMPUTED_VALUE"""),"Burgos")</f>
        <v>Burgos</v>
      </c>
      <c r="R80" s="142" t="str">
        <f>IFERROR(__xludf.DUMMYFUNCTION("""COMPUTED_VALUE"""),"Calasiao")</f>
        <v>Calasiao</v>
      </c>
      <c r="S80" s="142" t="str">
        <f>IFERROR(__xludf.DUMMYFUNCTION("""COMPUTED_VALUE"""),"City of Dagupan")</f>
        <v>City of Dagupan</v>
      </c>
      <c r="T80" s="142" t="str">
        <f>IFERROR(__xludf.DUMMYFUNCTION("""COMPUTED_VALUE"""),"Dasol")</f>
        <v>Dasol</v>
      </c>
      <c r="U80" s="142" t="str">
        <f>IFERROR(__xludf.DUMMYFUNCTION("""COMPUTED_VALUE"""),"Infanta")</f>
        <v>Infanta</v>
      </c>
      <c r="V80" s="142" t="str">
        <f>IFERROR(__xludf.DUMMYFUNCTION("""COMPUTED_VALUE"""),"Labrador")</f>
        <v>Labrador</v>
      </c>
      <c r="W80" s="142" t="str">
        <f>IFERROR(__xludf.DUMMYFUNCTION("""COMPUTED_VALUE"""),"Lingayen")</f>
        <v>Lingayen</v>
      </c>
      <c r="X80" s="142" t="str">
        <f>IFERROR(__xludf.DUMMYFUNCTION("""COMPUTED_VALUE"""),"Mabini")</f>
        <v>Mabini</v>
      </c>
      <c r="Y80" s="142" t="str">
        <f>IFERROR(__xludf.DUMMYFUNCTION("""COMPUTED_VALUE"""),"Malasiqui")</f>
        <v>Malasiqui</v>
      </c>
      <c r="Z80" s="142" t="str">
        <f>IFERROR(__xludf.DUMMYFUNCTION("""COMPUTED_VALUE"""),"Manaoag")</f>
        <v>Manaoag</v>
      </c>
      <c r="AA80" s="142" t="str">
        <f>IFERROR(__xludf.DUMMYFUNCTION("""COMPUTED_VALUE"""),"Mangaldan")</f>
        <v>Mangaldan</v>
      </c>
      <c r="AB80" s="142" t="str">
        <f>IFERROR(__xludf.DUMMYFUNCTION("""COMPUTED_VALUE"""),"Mangatarem")</f>
        <v>Mangatarem</v>
      </c>
      <c r="AC80" s="142" t="str">
        <f>IFERROR(__xludf.DUMMYFUNCTION("""COMPUTED_VALUE"""),"Mapandan")</f>
        <v>Mapandan</v>
      </c>
      <c r="AD80" s="142" t="str">
        <f>IFERROR(__xludf.DUMMYFUNCTION("""COMPUTED_VALUE"""),"Natividad")</f>
        <v>Natividad</v>
      </c>
      <c r="AE80" s="142" t="str">
        <f>IFERROR(__xludf.DUMMYFUNCTION("""COMPUTED_VALUE"""),"Pozorrubio")</f>
        <v>Pozorrubio</v>
      </c>
      <c r="AF80" s="142" t="str">
        <f>IFERROR(__xludf.DUMMYFUNCTION("""COMPUTED_VALUE"""),"Rosales")</f>
        <v>Rosales</v>
      </c>
      <c r="AG80" s="142" t="str">
        <f>IFERROR(__xludf.DUMMYFUNCTION("""COMPUTED_VALUE"""),"City of San Carlos")</f>
        <v>City of San Carlos</v>
      </c>
      <c r="AH80" s="142" t="str">
        <f>IFERROR(__xludf.DUMMYFUNCTION("""COMPUTED_VALUE"""),"San Fabian")</f>
        <v>San Fabian</v>
      </c>
      <c r="AI80" s="142" t="str">
        <f>IFERROR(__xludf.DUMMYFUNCTION("""COMPUTED_VALUE"""),"San Jacinto")</f>
        <v>San Jacinto</v>
      </c>
      <c r="AJ80" s="142" t="str">
        <f>IFERROR(__xludf.DUMMYFUNCTION("""COMPUTED_VALUE"""),"San Manuel")</f>
        <v>San Manuel</v>
      </c>
      <c r="AK80" s="142" t="str">
        <f>IFERROR(__xludf.DUMMYFUNCTION("""COMPUTED_VALUE"""),"San Nicolas")</f>
        <v>San Nicolas</v>
      </c>
      <c r="AL80" s="142" t="str">
        <f>IFERROR(__xludf.DUMMYFUNCTION("""COMPUTED_VALUE"""),"San Quintin")</f>
        <v>San Quintin</v>
      </c>
      <c r="AM80" s="142" t="str">
        <f>IFERROR(__xludf.DUMMYFUNCTION("""COMPUTED_VALUE"""),"Santa Barbara")</f>
        <v>Santa Barbara</v>
      </c>
      <c r="AN80" s="142" t="str">
        <f>IFERROR(__xludf.DUMMYFUNCTION("""COMPUTED_VALUE"""),"Santa Maria")</f>
        <v>Santa Maria</v>
      </c>
      <c r="AO80" s="142" t="str">
        <f>IFERROR(__xludf.DUMMYFUNCTION("""COMPUTED_VALUE"""),"Santo Tomas")</f>
        <v>Santo Tomas</v>
      </c>
      <c r="AP80" s="142" t="str">
        <f>IFERROR(__xludf.DUMMYFUNCTION("""COMPUTED_VALUE"""),"Sison")</f>
        <v>Sison</v>
      </c>
      <c r="AQ80" s="142" t="str">
        <f>IFERROR(__xludf.DUMMYFUNCTION("""COMPUTED_VALUE"""),"Sual")</f>
        <v>Sual</v>
      </c>
      <c r="AR80" s="142" t="str">
        <f>IFERROR(__xludf.DUMMYFUNCTION("""COMPUTED_VALUE"""),"Tayug")</f>
        <v>Tayug</v>
      </c>
      <c r="AS80" s="142" t="str">
        <f>IFERROR(__xludf.DUMMYFUNCTION("""COMPUTED_VALUE"""),"Umingan")</f>
        <v>Umingan</v>
      </c>
      <c r="AT80" s="142" t="str">
        <f>IFERROR(__xludf.DUMMYFUNCTION("""COMPUTED_VALUE"""),"Urbiztondo")</f>
        <v>Urbiztondo</v>
      </c>
      <c r="AU80" s="142" t="str">
        <f>IFERROR(__xludf.DUMMYFUNCTION("""COMPUTED_VALUE"""),"City of Urdaneta")</f>
        <v>City of Urdaneta</v>
      </c>
      <c r="AV80" s="142" t="str">
        <f>IFERROR(__xludf.DUMMYFUNCTION("""COMPUTED_VALUE"""),"Villasis")</f>
        <v>Villasis</v>
      </c>
      <c r="AW80" s="142" t="str">
        <f>IFERROR(__xludf.DUMMYFUNCTION("""COMPUTED_VALUE"""),"Laoac")</f>
        <v>Laoac</v>
      </c>
      <c r="AX80" s="8"/>
      <c r="AY80" s="8"/>
      <c r="AZ80" s="8"/>
      <c r="BA80" s="8"/>
      <c r="BB80" s="8"/>
      <c r="BC80" s="8"/>
      <c r="BD80" s="8"/>
      <c r="BE80" s="8"/>
    </row>
    <row r="81">
      <c r="A81" s="142" t="s">
        <v>144</v>
      </c>
      <c r="B81" s="142" t="str">
        <f>IFERROR(__xludf.DUMMYFUNCTION("""COMPUTED_VALUE"""),"Agno")</f>
        <v>Agno</v>
      </c>
      <c r="C81" s="142" t="str">
        <f>IFERROR(__xludf.DUMMYFUNCTION("""COMPUTED_VALUE"""),"Aguilar")</f>
        <v>Aguilar</v>
      </c>
      <c r="D81" s="142" t="str">
        <f>IFERROR(__xludf.DUMMYFUNCTION("""COMPUTED_VALUE"""),"City of Alaminos")</f>
        <v>City of Alaminos</v>
      </c>
      <c r="E81" s="142" t="str">
        <f>IFERROR(__xludf.DUMMYFUNCTION("""COMPUTED_VALUE"""),"Alcala")</f>
        <v>Alcala</v>
      </c>
      <c r="F81" s="142" t="str">
        <f>IFERROR(__xludf.DUMMYFUNCTION("""COMPUTED_VALUE"""),"Anda")</f>
        <v>Anda</v>
      </c>
      <c r="G81" s="142" t="str">
        <f>IFERROR(__xludf.DUMMYFUNCTION("""COMPUTED_VALUE"""),"Asingan")</f>
        <v>Asingan</v>
      </c>
      <c r="H81" s="142" t="str">
        <f>IFERROR(__xludf.DUMMYFUNCTION("""COMPUTED_VALUE"""),"Balungao")</f>
        <v>Balungao</v>
      </c>
      <c r="I81" s="142" t="str">
        <f>IFERROR(__xludf.DUMMYFUNCTION("""COMPUTED_VALUE"""),"Bani")</f>
        <v>Bani</v>
      </c>
      <c r="J81" s="142" t="str">
        <f>IFERROR(__xludf.DUMMYFUNCTION("""COMPUTED_VALUE"""),"Basista")</f>
        <v>Basista</v>
      </c>
      <c r="K81" s="142" t="str">
        <f>IFERROR(__xludf.DUMMYFUNCTION("""COMPUTED_VALUE"""),"Bautista")</f>
        <v>Bautista</v>
      </c>
      <c r="L81" s="142" t="str">
        <f>IFERROR(__xludf.DUMMYFUNCTION("""COMPUTED_VALUE"""),"Bayambang")</f>
        <v>Bayambang</v>
      </c>
      <c r="M81" s="142" t="str">
        <f>IFERROR(__xludf.DUMMYFUNCTION("""COMPUTED_VALUE"""),"Binalonan")</f>
        <v>Binalonan</v>
      </c>
      <c r="N81" s="142" t="str">
        <f>IFERROR(__xludf.DUMMYFUNCTION("""COMPUTED_VALUE"""),"Binmaley")</f>
        <v>Binmaley</v>
      </c>
      <c r="O81" s="142" t="str">
        <f>IFERROR(__xludf.DUMMYFUNCTION("""COMPUTED_VALUE"""),"Bolinao")</f>
        <v>Bolinao</v>
      </c>
      <c r="P81" s="142" t="str">
        <f>IFERROR(__xludf.DUMMYFUNCTION("""COMPUTED_VALUE"""),"Bugallon")</f>
        <v>Bugallon</v>
      </c>
      <c r="Q81" s="142" t="str">
        <f>IFERROR(__xludf.DUMMYFUNCTION("""COMPUTED_VALUE"""),"Burgos")</f>
        <v>Burgos</v>
      </c>
      <c r="R81" s="142" t="str">
        <f>IFERROR(__xludf.DUMMYFUNCTION("""COMPUTED_VALUE"""),"Calasiao")</f>
        <v>Calasiao</v>
      </c>
      <c r="S81" s="142" t="str">
        <f>IFERROR(__xludf.DUMMYFUNCTION("""COMPUTED_VALUE"""),"City of Dagupan")</f>
        <v>City of Dagupan</v>
      </c>
      <c r="T81" s="142" t="str">
        <f>IFERROR(__xludf.DUMMYFUNCTION("""COMPUTED_VALUE"""),"Dasol")</f>
        <v>Dasol</v>
      </c>
      <c r="U81" s="142" t="str">
        <f>IFERROR(__xludf.DUMMYFUNCTION("""COMPUTED_VALUE"""),"Infanta")</f>
        <v>Infanta</v>
      </c>
      <c r="V81" s="142" t="str">
        <f>IFERROR(__xludf.DUMMYFUNCTION("""COMPUTED_VALUE"""),"Labrador")</f>
        <v>Labrador</v>
      </c>
      <c r="W81" s="142" t="str">
        <f>IFERROR(__xludf.DUMMYFUNCTION("""COMPUTED_VALUE"""),"Lingayen")</f>
        <v>Lingayen</v>
      </c>
      <c r="X81" s="142" t="str">
        <f>IFERROR(__xludf.DUMMYFUNCTION("""COMPUTED_VALUE"""),"Mabini")</f>
        <v>Mabini</v>
      </c>
      <c r="Y81" s="142" t="str">
        <f>IFERROR(__xludf.DUMMYFUNCTION("""COMPUTED_VALUE"""),"Malasiqui")</f>
        <v>Malasiqui</v>
      </c>
      <c r="Z81" s="142" t="str">
        <f>IFERROR(__xludf.DUMMYFUNCTION("""COMPUTED_VALUE"""),"Manaoag")</f>
        <v>Manaoag</v>
      </c>
      <c r="AA81" s="142" t="str">
        <f>IFERROR(__xludf.DUMMYFUNCTION("""COMPUTED_VALUE"""),"Mangaldan")</f>
        <v>Mangaldan</v>
      </c>
      <c r="AB81" s="142" t="str">
        <f>IFERROR(__xludf.DUMMYFUNCTION("""COMPUTED_VALUE"""),"Mangatarem")</f>
        <v>Mangatarem</v>
      </c>
      <c r="AC81" s="142" t="str">
        <f>IFERROR(__xludf.DUMMYFUNCTION("""COMPUTED_VALUE"""),"Mapandan")</f>
        <v>Mapandan</v>
      </c>
      <c r="AD81" s="142" t="str">
        <f>IFERROR(__xludf.DUMMYFUNCTION("""COMPUTED_VALUE"""),"Natividad")</f>
        <v>Natividad</v>
      </c>
      <c r="AE81" s="142" t="str">
        <f>IFERROR(__xludf.DUMMYFUNCTION("""COMPUTED_VALUE"""),"Pozorrubio")</f>
        <v>Pozorrubio</v>
      </c>
      <c r="AF81" s="142" t="str">
        <f>IFERROR(__xludf.DUMMYFUNCTION("""COMPUTED_VALUE"""),"Rosales")</f>
        <v>Rosales</v>
      </c>
      <c r="AG81" s="142" t="str">
        <f>IFERROR(__xludf.DUMMYFUNCTION("""COMPUTED_VALUE"""),"City of San Carlos")</f>
        <v>City of San Carlos</v>
      </c>
      <c r="AH81" s="142" t="str">
        <f>IFERROR(__xludf.DUMMYFUNCTION("""COMPUTED_VALUE"""),"San Fabian")</f>
        <v>San Fabian</v>
      </c>
      <c r="AI81" s="142" t="str">
        <f>IFERROR(__xludf.DUMMYFUNCTION("""COMPUTED_VALUE"""),"San Jacinto")</f>
        <v>San Jacinto</v>
      </c>
      <c r="AJ81" s="142" t="str">
        <f>IFERROR(__xludf.DUMMYFUNCTION("""COMPUTED_VALUE"""),"San Manuel")</f>
        <v>San Manuel</v>
      </c>
      <c r="AK81" s="142" t="str">
        <f>IFERROR(__xludf.DUMMYFUNCTION("""COMPUTED_VALUE"""),"San Nicolas")</f>
        <v>San Nicolas</v>
      </c>
      <c r="AL81" s="142" t="str">
        <f>IFERROR(__xludf.DUMMYFUNCTION("""COMPUTED_VALUE"""),"San Quintin")</f>
        <v>San Quintin</v>
      </c>
      <c r="AM81" s="142" t="str">
        <f>IFERROR(__xludf.DUMMYFUNCTION("""COMPUTED_VALUE"""),"Santa Barbara")</f>
        <v>Santa Barbara</v>
      </c>
      <c r="AN81" s="142" t="str">
        <f>IFERROR(__xludf.DUMMYFUNCTION("""COMPUTED_VALUE"""),"Santa Maria")</f>
        <v>Santa Maria</v>
      </c>
      <c r="AO81" s="142" t="str">
        <f>IFERROR(__xludf.DUMMYFUNCTION("""COMPUTED_VALUE"""),"Santo Tomas")</f>
        <v>Santo Tomas</v>
      </c>
      <c r="AP81" s="142" t="str">
        <f>IFERROR(__xludf.DUMMYFUNCTION("""COMPUTED_VALUE"""),"Sison")</f>
        <v>Sison</v>
      </c>
      <c r="AQ81" s="142" t="str">
        <f>IFERROR(__xludf.DUMMYFUNCTION("""COMPUTED_VALUE"""),"Sual")</f>
        <v>Sual</v>
      </c>
      <c r="AR81" s="142" t="str">
        <f>IFERROR(__xludf.DUMMYFUNCTION("""COMPUTED_VALUE"""),"Tayug")</f>
        <v>Tayug</v>
      </c>
      <c r="AS81" s="142" t="str">
        <f>IFERROR(__xludf.DUMMYFUNCTION("""COMPUTED_VALUE"""),"Umingan")</f>
        <v>Umingan</v>
      </c>
      <c r="AT81" s="142" t="str">
        <f>IFERROR(__xludf.DUMMYFUNCTION("""COMPUTED_VALUE"""),"Urbiztondo")</f>
        <v>Urbiztondo</v>
      </c>
      <c r="AU81" s="142" t="str">
        <f>IFERROR(__xludf.DUMMYFUNCTION("""COMPUTED_VALUE"""),"City of Urdaneta")</f>
        <v>City of Urdaneta</v>
      </c>
      <c r="AV81" s="142" t="str">
        <f>IFERROR(__xludf.DUMMYFUNCTION("""COMPUTED_VALUE"""),"Villasis")</f>
        <v>Villasis</v>
      </c>
      <c r="AW81" s="142" t="str">
        <f>IFERROR(__xludf.DUMMYFUNCTION("""COMPUTED_VALUE"""),"Laoac")</f>
        <v>Laoac</v>
      </c>
      <c r="AX81" s="8"/>
      <c r="AY81" s="8"/>
      <c r="AZ81" s="8"/>
      <c r="BA81" s="8"/>
      <c r="BB81" s="8"/>
      <c r="BC81" s="8"/>
      <c r="BD81" s="8"/>
      <c r="BE81" s="8"/>
    </row>
    <row r="82">
      <c r="A82" s="142" t="s">
        <v>294</v>
      </c>
      <c r="B82" s="142" t="str">
        <f>IFERROR(__xludf.DUMMYFUNCTION("""COMPUTED_VALUE"""),"Botolan")</f>
        <v>Botolan</v>
      </c>
      <c r="C82" s="142" t="str">
        <f>IFERROR(__xludf.DUMMYFUNCTION("""COMPUTED_VALUE"""),"Cabangan")</f>
        <v>Cabangan</v>
      </c>
      <c r="D82" s="142" t="str">
        <f>IFERROR(__xludf.DUMMYFUNCTION("""COMPUTED_VALUE"""),"Candelaria")</f>
        <v>Candelaria</v>
      </c>
      <c r="E82" s="142" t="str">
        <f>IFERROR(__xludf.DUMMYFUNCTION("""COMPUTED_VALUE"""),"Castillejos")</f>
        <v>Castillejos</v>
      </c>
      <c r="F82" s="142" t="str">
        <f>IFERROR(__xludf.DUMMYFUNCTION("""COMPUTED_VALUE"""),"Iba")</f>
        <v>Iba</v>
      </c>
      <c r="G82" s="142" t="str">
        <f>IFERROR(__xludf.DUMMYFUNCTION("""COMPUTED_VALUE"""),"Masinloc")</f>
        <v>Masinloc</v>
      </c>
      <c r="H82" s="142" t="str">
        <f>IFERROR(__xludf.DUMMYFUNCTION("""COMPUTED_VALUE"""),"City of Olongapo")</f>
        <v>City of Olongapo</v>
      </c>
      <c r="I82" s="142" t="str">
        <f>IFERROR(__xludf.DUMMYFUNCTION("""COMPUTED_VALUE"""),"Palauig")</f>
        <v>Palauig</v>
      </c>
      <c r="J82" s="142" t="str">
        <f>IFERROR(__xludf.DUMMYFUNCTION("""COMPUTED_VALUE"""),"San Antonio")</f>
        <v>San Antonio</v>
      </c>
      <c r="K82" s="142" t="str">
        <f>IFERROR(__xludf.DUMMYFUNCTION("""COMPUTED_VALUE"""),"San Felipe")</f>
        <v>San Felipe</v>
      </c>
      <c r="L82" s="142" t="str">
        <f>IFERROR(__xludf.DUMMYFUNCTION("""COMPUTED_VALUE"""),"San Marcelino")</f>
        <v>San Marcelino</v>
      </c>
      <c r="M82" s="142" t="str">
        <f>IFERROR(__xludf.DUMMYFUNCTION("""COMPUTED_VALUE"""),"San Narciso")</f>
        <v>San Narciso</v>
      </c>
      <c r="N82" s="142" t="str">
        <f>IFERROR(__xludf.DUMMYFUNCTION("""COMPUTED_VALUE"""),"Santa Cruz")</f>
        <v>Santa Cruz</v>
      </c>
      <c r="O82" s="142" t="str">
        <f>IFERROR(__xludf.DUMMYFUNCTION("""COMPUTED_VALUE"""),"Subic")</f>
        <v>Subic</v>
      </c>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row>
    <row r="83">
      <c r="A83" s="142" t="s">
        <v>714</v>
      </c>
      <c r="B83" s="142" t="str">
        <f>IFERROR(__xludf.DUMMYFUNCTION("""COMPUTED_VALUE"""),"Allen")</f>
        <v>Allen</v>
      </c>
      <c r="C83" s="142" t="str">
        <f>IFERROR(__xludf.DUMMYFUNCTION("""COMPUTED_VALUE"""),"Biri")</f>
        <v>Biri</v>
      </c>
      <c r="D83" s="142" t="str">
        <f>IFERROR(__xludf.DUMMYFUNCTION("""COMPUTED_VALUE"""),"Bobon")</f>
        <v>Bobon</v>
      </c>
      <c r="E83" s="142" t="str">
        <f>IFERROR(__xludf.DUMMYFUNCTION("""COMPUTED_VALUE"""),"Capul")</f>
        <v>Capul</v>
      </c>
      <c r="F83" s="142" t="str">
        <f>IFERROR(__xludf.DUMMYFUNCTION("""COMPUTED_VALUE"""),"Catarman")</f>
        <v>Catarman</v>
      </c>
      <c r="G83" s="142" t="str">
        <f>IFERROR(__xludf.DUMMYFUNCTION("""COMPUTED_VALUE"""),"Catubig")</f>
        <v>Catubig</v>
      </c>
      <c r="H83" s="142" t="str">
        <f>IFERROR(__xludf.DUMMYFUNCTION("""COMPUTED_VALUE"""),"Gamay")</f>
        <v>Gamay</v>
      </c>
      <c r="I83" s="142" t="str">
        <f>IFERROR(__xludf.DUMMYFUNCTION("""COMPUTED_VALUE"""),"Laoang")</f>
        <v>Laoang</v>
      </c>
      <c r="J83" s="142" t="str">
        <f>IFERROR(__xludf.DUMMYFUNCTION("""COMPUTED_VALUE"""),"Lapinig")</f>
        <v>Lapinig</v>
      </c>
      <c r="K83" s="142" t="str">
        <f>IFERROR(__xludf.DUMMYFUNCTION("""COMPUTED_VALUE"""),"Las Navas")</f>
        <v>Las Navas</v>
      </c>
      <c r="L83" s="142" t="str">
        <f>IFERROR(__xludf.DUMMYFUNCTION("""COMPUTED_VALUE"""),"Lavezares")</f>
        <v>Lavezares</v>
      </c>
      <c r="M83" s="142" t="str">
        <f>IFERROR(__xludf.DUMMYFUNCTION("""COMPUTED_VALUE"""),"Mapanas")</f>
        <v>Mapanas</v>
      </c>
      <c r="N83" s="142" t="str">
        <f>IFERROR(__xludf.DUMMYFUNCTION("""COMPUTED_VALUE"""),"Mondragon")</f>
        <v>Mondragon</v>
      </c>
      <c r="O83" s="142" t="str">
        <f>IFERROR(__xludf.DUMMYFUNCTION("""COMPUTED_VALUE"""),"Palapag")</f>
        <v>Palapag</v>
      </c>
      <c r="P83" s="142" t="str">
        <f>IFERROR(__xludf.DUMMYFUNCTION("""COMPUTED_VALUE"""),"Pambujan")</f>
        <v>Pambujan</v>
      </c>
      <c r="Q83" s="142" t="str">
        <f>IFERROR(__xludf.DUMMYFUNCTION("""COMPUTED_VALUE"""),"Rosario")</f>
        <v>Rosario</v>
      </c>
      <c r="R83" s="142" t="str">
        <f>IFERROR(__xludf.DUMMYFUNCTION("""COMPUTED_VALUE"""),"San Antonio")</f>
        <v>San Antonio</v>
      </c>
      <c r="S83" s="142" t="str">
        <f>IFERROR(__xludf.DUMMYFUNCTION("""COMPUTED_VALUE"""),"San Isidro")</f>
        <v>San Isidro</v>
      </c>
      <c r="T83" s="142" t="str">
        <f>IFERROR(__xludf.DUMMYFUNCTION("""COMPUTED_VALUE"""),"San Jose")</f>
        <v>San Jose</v>
      </c>
      <c r="U83" s="142" t="str">
        <f>IFERROR(__xludf.DUMMYFUNCTION("""COMPUTED_VALUE"""),"San Roque")</f>
        <v>San Roque</v>
      </c>
      <c r="V83" s="142" t="str">
        <f>IFERROR(__xludf.DUMMYFUNCTION("""COMPUTED_VALUE"""),"San Vicente")</f>
        <v>San Vicente</v>
      </c>
      <c r="W83" s="142" t="str">
        <f>IFERROR(__xludf.DUMMYFUNCTION("""COMPUTED_VALUE"""),"Silvino Lobos")</f>
        <v>Silvino Lobos</v>
      </c>
      <c r="X83" s="142" t="str">
        <f>IFERROR(__xludf.DUMMYFUNCTION("""COMPUTED_VALUE"""),"Victoria")</f>
        <v>Victoria</v>
      </c>
      <c r="Y83" s="142" t="str">
        <f>IFERROR(__xludf.DUMMYFUNCTION("""COMPUTED_VALUE"""),"Lope De Vega")</f>
        <v>Lope De Vega</v>
      </c>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row>
    <row r="84">
      <c r="A84" s="142" t="s">
        <v>144</v>
      </c>
      <c r="B84" s="142" t="str">
        <f>IFERROR(__xludf.DUMMYFUNCTION("""COMPUTED_VALUE"""),"Agno")</f>
        <v>Agno</v>
      </c>
      <c r="C84" s="142" t="str">
        <f>IFERROR(__xludf.DUMMYFUNCTION("""COMPUTED_VALUE"""),"Aguilar")</f>
        <v>Aguilar</v>
      </c>
      <c r="D84" s="142" t="str">
        <f>IFERROR(__xludf.DUMMYFUNCTION("""COMPUTED_VALUE"""),"City of Alaminos")</f>
        <v>City of Alaminos</v>
      </c>
      <c r="E84" s="142" t="str">
        <f>IFERROR(__xludf.DUMMYFUNCTION("""COMPUTED_VALUE"""),"Alcala")</f>
        <v>Alcala</v>
      </c>
      <c r="F84" s="142" t="str">
        <f>IFERROR(__xludf.DUMMYFUNCTION("""COMPUTED_VALUE"""),"Anda")</f>
        <v>Anda</v>
      </c>
      <c r="G84" s="142" t="str">
        <f>IFERROR(__xludf.DUMMYFUNCTION("""COMPUTED_VALUE"""),"Asingan")</f>
        <v>Asingan</v>
      </c>
      <c r="H84" s="142" t="str">
        <f>IFERROR(__xludf.DUMMYFUNCTION("""COMPUTED_VALUE"""),"Balungao")</f>
        <v>Balungao</v>
      </c>
      <c r="I84" s="142" t="str">
        <f>IFERROR(__xludf.DUMMYFUNCTION("""COMPUTED_VALUE"""),"Bani")</f>
        <v>Bani</v>
      </c>
      <c r="J84" s="142" t="str">
        <f>IFERROR(__xludf.DUMMYFUNCTION("""COMPUTED_VALUE"""),"Basista")</f>
        <v>Basista</v>
      </c>
      <c r="K84" s="142" t="str">
        <f>IFERROR(__xludf.DUMMYFUNCTION("""COMPUTED_VALUE"""),"Bautista")</f>
        <v>Bautista</v>
      </c>
      <c r="L84" s="142" t="str">
        <f>IFERROR(__xludf.DUMMYFUNCTION("""COMPUTED_VALUE"""),"Bayambang")</f>
        <v>Bayambang</v>
      </c>
      <c r="M84" s="142" t="str">
        <f>IFERROR(__xludf.DUMMYFUNCTION("""COMPUTED_VALUE"""),"Binalonan")</f>
        <v>Binalonan</v>
      </c>
      <c r="N84" s="142" t="str">
        <f>IFERROR(__xludf.DUMMYFUNCTION("""COMPUTED_VALUE"""),"Binmaley")</f>
        <v>Binmaley</v>
      </c>
      <c r="O84" s="142" t="str">
        <f>IFERROR(__xludf.DUMMYFUNCTION("""COMPUTED_VALUE"""),"Bolinao")</f>
        <v>Bolinao</v>
      </c>
      <c r="P84" s="142" t="str">
        <f>IFERROR(__xludf.DUMMYFUNCTION("""COMPUTED_VALUE"""),"Bugallon")</f>
        <v>Bugallon</v>
      </c>
      <c r="Q84" s="142" t="str">
        <f>IFERROR(__xludf.DUMMYFUNCTION("""COMPUTED_VALUE"""),"Burgos")</f>
        <v>Burgos</v>
      </c>
      <c r="R84" s="142" t="str">
        <f>IFERROR(__xludf.DUMMYFUNCTION("""COMPUTED_VALUE"""),"Calasiao")</f>
        <v>Calasiao</v>
      </c>
      <c r="S84" s="142" t="str">
        <f>IFERROR(__xludf.DUMMYFUNCTION("""COMPUTED_VALUE"""),"City of Dagupan")</f>
        <v>City of Dagupan</v>
      </c>
      <c r="T84" s="142" t="str">
        <f>IFERROR(__xludf.DUMMYFUNCTION("""COMPUTED_VALUE"""),"Dasol")</f>
        <v>Dasol</v>
      </c>
      <c r="U84" s="142" t="str">
        <f>IFERROR(__xludf.DUMMYFUNCTION("""COMPUTED_VALUE"""),"Infanta")</f>
        <v>Infanta</v>
      </c>
      <c r="V84" s="142" t="str">
        <f>IFERROR(__xludf.DUMMYFUNCTION("""COMPUTED_VALUE"""),"Labrador")</f>
        <v>Labrador</v>
      </c>
      <c r="W84" s="142" t="str">
        <f>IFERROR(__xludf.DUMMYFUNCTION("""COMPUTED_VALUE"""),"Lingayen")</f>
        <v>Lingayen</v>
      </c>
      <c r="X84" s="142" t="str">
        <f>IFERROR(__xludf.DUMMYFUNCTION("""COMPUTED_VALUE"""),"Mabini")</f>
        <v>Mabini</v>
      </c>
      <c r="Y84" s="142" t="str">
        <f>IFERROR(__xludf.DUMMYFUNCTION("""COMPUTED_VALUE"""),"Malasiqui")</f>
        <v>Malasiqui</v>
      </c>
      <c r="Z84" s="142" t="str">
        <f>IFERROR(__xludf.DUMMYFUNCTION("""COMPUTED_VALUE"""),"Manaoag")</f>
        <v>Manaoag</v>
      </c>
      <c r="AA84" s="142" t="str">
        <f>IFERROR(__xludf.DUMMYFUNCTION("""COMPUTED_VALUE"""),"Mangaldan")</f>
        <v>Mangaldan</v>
      </c>
      <c r="AB84" s="142" t="str">
        <f>IFERROR(__xludf.DUMMYFUNCTION("""COMPUTED_VALUE"""),"Mangatarem")</f>
        <v>Mangatarem</v>
      </c>
      <c r="AC84" s="142" t="str">
        <f>IFERROR(__xludf.DUMMYFUNCTION("""COMPUTED_VALUE"""),"Mapandan")</f>
        <v>Mapandan</v>
      </c>
      <c r="AD84" s="142" t="str">
        <f>IFERROR(__xludf.DUMMYFUNCTION("""COMPUTED_VALUE"""),"Natividad")</f>
        <v>Natividad</v>
      </c>
      <c r="AE84" s="142" t="str">
        <f>IFERROR(__xludf.DUMMYFUNCTION("""COMPUTED_VALUE"""),"Pozorrubio")</f>
        <v>Pozorrubio</v>
      </c>
      <c r="AF84" s="142" t="str">
        <f>IFERROR(__xludf.DUMMYFUNCTION("""COMPUTED_VALUE"""),"Rosales")</f>
        <v>Rosales</v>
      </c>
      <c r="AG84" s="142" t="str">
        <f>IFERROR(__xludf.DUMMYFUNCTION("""COMPUTED_VALUE"""),"City of San Carlos")</f>
        <v>City of San Carlos</v>
      </c>
      <c r="AH84" s="142" t="str">
        <f>IFERROR(__xludf.DUMMYFUNCTION("""COMPUTED_VALUE"""),"San Fabian")</f>
        <v>San Fabian</v>
      </c>
      <c r="AI84" s="142" t="str">
        <f>IFERROR(__xludf.DUMMYFUNCTION("""COMPUTED_VALUE"""),"San Jacinto")</f>
        <v>San Jacinto</v>
      </c>
      <c r="AJ84" s="142" t="str">
        <f>IFERROR(__xludf.DUMMYFUNCTION("""COMPUTED_VALUE"""),"San Manuel")</f>
        <v>San Manuel</v>
      </c>
      <c r="AK84" s="142" t="str">
        <f>IFERROR(__xludf.DUMMYFUNCTION("""COMPUTED_VALUE"""),"San Nicolas")</f>
        <v>San Nicolas</v>
      </c>
      <c r="AL84" s="142" t="str">
        <f>IFERROR(__xludf.DUMMYFUNCTION("""COMPUTED_VALUE"""),"San Quintin")</f>
        <v>San Quintin</v>
      </c>
      <c r="AM84" s="142" t="str">
        <f>IFERROR(__xludf.DUMMYFUNCTION("""COMPUTED_VALUE"""),"Santa Barbara")</f>
        <v>Santa Barbara</v>
      </c>
      <c r="AN84" s="142" t="str">
        <f>IFERROR(__xludf.DUMMYFUNCTION("""COMPUTED_VALUE"""),"Santa Maria")</f>
        <v>Santa Maria</v>
      </c>
      <c r="AO84" s="142" t="str">
        <f>IFERROR(__xludf.DUMMYFUNCTION("""COMPUTED_VALUE"""),"Santo Tomas")</f>
        <v>Santo Tomas</v>
      </c>
      <c r="AP84" s="142" t="str">
        <f>IFERROR(__xludf.DUMMYFUNCTION("""COMPUTED_VALUE"""),"Sison")</f>
        <v>Sison</v>
      </c>
      <c r="AQ84" s="142" t="str">
        <f>IFERROR(__xludf.DUMMYFUNCTION("""COMPUTED_VALUE"""),"Sual")</f>
        <v>Sual</v>
      </c>
      <c r="AR84" s="142" t="str">
        <f>IFERROR(__xludf.DUMMYFUNCTION("""COMPUTED_VALUE"""),"Tayug")</f>
        <v>Tayug</v>
      </c>
      <c r="AS84" s="142" t="str">
        <f>IFERROR(__xludf.DUMMYFUNCTION("""COMPUTED_VALUE"""),"Umingan")</f>
        <v>Umingan</v>
      </c>
      <c r="AT84" s="142" t="str">
        <f>IFERROR(__xludf.DUMMYFUNCTION("""COMPUTED_VALUE"""),"Urbiztondo")</f>
        <v>Urbiztondo</v>
      </c>
      <c r="AU84" s="142" t="str">
        <f>IFERROR(__xludf.DUMMYFUNCTION("""COMPUTED_VALUE"""),"City of Urdaneta")</f>
        <v>City of Urdaneta</v>
      </c>
      <c r="AV84" s="142" t="str">
        <f>IFERROR(__xludf.DUMMYFUNCTION("""COMPUTED_VALUE"""),"Villasis")</f>
        <v>Villasis</v>
      </c>
      <c r="AW84" s="142" t="str">
        <f>IFERROR(__xludf.DUMMYFUNCTION("""COMPUTED_VALUE"""),"Laoac")</f>
        <v>Laoac</v>
      </c>
      <c r="AX84" s="8"/>
      <c r="AY84" s="8"/>
      <c r="AZ84" s="8"/>
      <c r="BA84" s="8"/>
      <c r="BB84" s="8"/>
      <c r="BC84" s="8"/>
      <c r="BD84" s="8"/>
      <c r="BE84" s="8"/>
    </row>
    <row r="85">
      <c r="A85" s="142" t="s">
        <v>315</v>
      </c>
      <c r="B85" s="142" t="str">
        <f>IFERROR(__xludf.DUMMYFUNCTION("""COMPUTED_VALUE"""),"Altavas")</f>
        <v>Altavas</v>
      </c>
      <c r="C85" s="142" t="str">
        <f>IFERROR(__xludf.DUMMYFUNCTION("""COMPUTED_VALUE"""),"Balete")</f>
        <v>Balete</v>
      </c>
      <c r="D85" s="142" t="str">
        <f>IFERROR(__xludf.DUMMYFUNCTION("""COMPUTED_VALUE"""),"Banga")</f>
        <v>Banga</v>
      </c>
      <c r="E85" s="142" t="str">
        <f>IFERROR(__xludf.DUMMYFUNCTION("""COMPUTED_VALUE"""),"Batan")</f>
        <v>Batan</v>
      </c>
      <c r="F85" s="142" t="str">
        <f>IFERROR(__xludf.DUMMYFUNCTION("""COMPUTED_VALUE"""),"Buruanga")</f>
        <v>Buruanga</v>
      </c>
      <c r="G85" s="142" t="str">
        <f>IFERROR(__xludf.DUMMYFUNCTION("""COMPUTED_VALUE"""),"Ibajay")</f>
        <v>Ibajay</v>
      </c>
      <c r="H85" s="142" t="str">
        <f>IFERROR(__xludf.DUMMYFUNCTION("""COMPUTED_VALUE"""),"Kalibo")</f>
        <v>Kalibo</v>
      </c>
      <c r="I85" s="142" t="str">
        <f>IFERROR(__xludf.DUMMYFUNCTION("""COMPUTED_VALUE"""),"Lezo")</f>
        <v>Lezo</v>
      </c>
      <c r="J85" s="142" t="str">
        <f>IFERROR(__xludf.DUMMYFUNCTION("""COMPUTED_VALUE"""),"Libacao")</f>
        <v>Libacao</v>
      </c>
      <c r="K85" s="142" t="str">
        <f>IFERROR(__xludf.DUMMYFUNCTION("""COMPUTED_VALUE"""),"Madalag")</f>
        <v>Madalag</v>
      </c>
      <c r="L85" s="142" t="str">
        <f>IFERROR(__xludf.DUMMYFUNCTION("""COMPUTED_VALUE"""),"Makato")</f>
        <v>Makato</v>
      </c>
      <c r="M85" s="142" t="str">
        <f>IFERROR(__xludf.DUMMYFUNCTION("""COMPUTED_VALUE"""),"Malay")</f>
        <v>Malay</v>
      </c>
      <c r="N85" s="142" t="str">
        <f>IFERROR(__xludf.DUMMYFUNCTION("""COMPUTED_VALUE"""),"Malinao")</f>
        <v>Malinao</v>
      </c>
      <c r="O85" s="142" t="str">
        <f>IFERROR(__xludf.DUMMYFUNCTION("""COMPUTED_VALUE"""),"Nabas")</f>
        <v>Nabas</v>
      </c>
      <c r="P85" s="142" t="str">
        <f>IFERROR(__xludf.DUMMYFUNCTION("""COMPUTED_VALUE"""),"New Washington")</f>
        <v>New Washington</v>
      </c>
      <c r="Q85" s="142" t="str">
        <f>IFERROR(__xludf.DUMMYFUNCTION("""COMPUTED_VALUE"""),"Numancia")</f>
        <v>Numancia</v>
      </c>
      <c r="R85" s="142" t="str">
        <f>IFERROR(__xludf.DUMMYFUNCTION("""COMPUTED_VALUE"""),"Tangalan")</f>
        <v>Tangalan</v>
      </c>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row>
    <row r="86">
      <c r="A86" s="142" t="s">
        <v>315</v>
      </c>
      <c r="B86" s="142" t="str">
        <f>IFERROR(__xludf.DUMMYFUNCTION("""COMPUTED_VALUE"""),"Altavas")</f>
        <v>Altavas</v>
      </c>
      <c r="C86" s="142" t="str">
        <f>IFERROR(__xludf.DUMMYFUNCTION("""COMPUTED_VALUE"""),"Balete")</f>
        <v>Balete</v>
      </c>
      <c r="D86" s="142" t="str">
        <f>IFERROR(__xludf.DUMMYFUNCTION("""COMPUTED_VALUE"""),"Banga")</f>
        <v>Banga</v>
      </c>
      <c r="E86" s="142" t="str">
        <f>IFERROR(__xludf.DUMMYFUNCTION("""COMPUTED_VALUE"""),"Batan")</f>
        <v>Batan</v>
      </c>
      <c r="F86" s="142" t="str">
        <f>IFERROR(__xludf.DUMMYFUNCTION("""COMPUTED_VALUE"""),"Buruanga")</f>
        <v>Buruanga</v>
      </c>
      <c r="G86" s="142" t="str">
        <f>IFERROR(__xludf.DUMMYFUNCTION("""COMPUTED_VALUE"""),"Ibajay")</f>
        <v>Ibajay</v>
      </c>
      <c r="H86" s="142" t="str">
        <f>IFERROR(__xludf.DUMMYFUNCTION("""COMPUTED_VALUE"""),"Kalibo")</f>
        <v>Kalibo</v>
      </c>
      <c r="I86" s="142" t="str">
        <f>IFERROR(__xludf.DUMMYFUNCTION("""COMPUTED_VALUE"""),"Lezo")</f>
        <v>Lezo</v>
      </c>
      <c r="J86" s="142" t="str">
        <f>IFERROR(__xludf.DUMMYFUNCTION("""COMPUTED_VALUE"""),"Libacao")</f>
        <v>Libacao</v>
      </c>
      <c r="K86" s="142" t="str">
        <f>IFERROR(__xludf.DUMMYFUNCTION("""COMPUTED_VALUE"""),"Madalag")</f>
        <v>Madalag</v>
      </c>
      <c r="L86" s="142" t="str">
        <f>IFERROR(__xludf.DUMMYFUNCTION("""COMPUTED_VALUE"""),"Makato")</f>
        <v>Makato</v>
      </c>
      <c r="M86" s="142" t="str">
        <f>IFERROR(__xludf.DUMMYFUNCTION("""COMPUTED_VALUE"""),"Malay")</f>
        <v>Malay</v>
      </c>
      <c r="N86" s="142" t="str">
        <f>IFERROR(__xludf.DUMMYFUNCTION("""COMPUTED_VALUE"""),"Malinao")</f>
        <v>Malinao</v>
      </c>
      <c r="O86" s="142" t="str">
        <f>IFERROR(__xludf.DUMMYFUNCTION("""COMPUTED_VALUE"""),"Nabas")</f>
        <v>Nabas</v>
      </c>
      <c r="P86" s="142" t="str">
        <f>IFERROR(__xludf.DUMMYFUNCTION("""COMPUTED_VALUE"""),"New Washington")</f>
        <v>New Washington</v>
      </c>
      <c r="Q86" s="142" t="str">
        <f>IFERROR(__xludf.DUMMYFUNCTION("""COMPUTED_VALUE"""),"Numancia")</f>
        <v>Numancia</v>
      </c>
      <c r="R86" s="142" t="str">
        <f>IFERROR(__xludf.DUMMYFUNCTION("""COMPUTED_VALUE"""),"Tangalan")</f>
        <v>Tangalan</v>
      </c>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row>
    <row r="87">
      <c r="A87" s="142" t="s">
        <v>315</v>
      </c>
      <c r="B87" s="142" t="str">
        <f>IFERROR(__xludf.DUMMYFUNCTION("""COMPUTED_VALUE"""),"Altavas")</f>
        <v>Altavas</v>
      </c>
      <c r="C87" s="142" t="str">
        <f>IFERROR(__xludf.DUMMYFUNCTION("""COMPUTED_VALUE"""),"Balete")</f>
        <v>Balete</v>
      </c>
      <c r="D87" s="142" t="str">
        <f>IFERROR(__xludf.DUMMYFUNCTION("""COMPUTED_VALUE"""),"Banga")</f>
        <v>Banga</v>
      </c>
      <c r="E87" s="142" t="str">
        <f>IFERROR(__xludf.DUMMYFUNCTION("""COMPUTED_VALUE"""),"Batan")</f>
        <v>Batan</v>
      </c>
      <c r="F87" s="142" t="str">
        <f>IFERROR(__xludf.DUMMYFUNCTION("""COMPUTED_VALUE"""),"Buruanga")</f>
        <v>Buruanga</v>
      </c>
      <c r="G87" s="142" t="str">
        <f>IFERROR(__xludf.DUMMYFUNCTION("""COMPUTED_VALUE"""),"Ibajay")</f>
        <v>Ibajay</v>
      </c>
      <c r="H87" s="142" t="str">
        <f>IFERROR(__xludf.DUMMYFUNCTION("""COMPUTED_VALUE"""),"Kalibo")</f>
        <v>Kalibo</v>
      </c>
      <c r="I87" s="142" t="str">
        <f>IFERROR(__xludf.DUMMYFUNCTION("""COMPUTED_VALUE"""),"Lezo")</f>
        <v>Lezo</v>
      </c>
      <c r="J87" s="142" t="str">
        <f>IFERROR(__xludf.DUMMYFUNCTION("""COMPUTED_VALUE"""),"Libacao")</f>
        <v>Libacao</v>
      </c>
      <c r="K87" s="142" t="str">
        <f>IFERROR(__xludf.DUMMYFUNCTION("""COMPUTED_VALUE"""),"Madalag")</f>
        <v>Madalag</v>
      </c>
      <c r="L87" s="142" t="str">
        <f>IFERROR(__xludf.DUMMYFUNCTION("""COMPUTED_VALUE"""),"Makato")</f>
        <v>Makato</v>
      </c>
      <c r="M87" s="142" t="str">
        <f>IFERROR(__xludf.DUMMYFUNCTION("""COMPUTED_VALUE"""),"Malay")</f>
        <v>Malay</v>
      </c>
      <c r="N87" s="142" t="str">
        <f>IFERROR(__xludf.DUMMYFUNCTION("""COMPUTED_VALUE"""),"Malinao")</f>
        <v>Malinao</v>
      </c>
      <c r="O87" s="142" t="str">
        <f>IFERROR(__xludf.DUMMYFUNCTION("""COMPUTED_VALUE"""),"Nabas")</f>
        <v>Nabas</v>
      </c>
      <c r="P87" s="142" t="str">
        <f>IFERROR(__xludf.DUMMYFUNCTION("""COMPUTED_VALUE"""),"New Washington")</f>
        <v>New Washington</v>
      </c>
      <c r="Q87" s="142" t="str">
        <f>IFERROR(__xludf.DUMMYFUNCTION("""COMPUTED_VALUE"""),"Numancia")</f>
        <v>Numancia</v>
      </c>
      <c r="R87" s="142" t="str">
        <f>IFERROR(__xludf.DUMMYFUNCTION("""COMPUTED_VALUE"""),"Tangalan")</f>
        <v>Tangalan</v>
      </c>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row>
    <row r="88">
      <c r="A88" s="142" t="s">
        <v>632</v>
      </c>
      <c r="B88" s="142" t="str">
        <f>IFERROR(__xludf.DUMMYFUNCTION("""COMPUTED_VALUE"""),"Amlan")</f>
        <v>Amlan</v>
      </c>
      <c r="C88" s="142" t="str">
        <f>IFERROR(__xludf.DUMMYFUNCTION("""COMPUTED_VALUE"""),"Ayungon")</f>
        <v>Ayungon</v>
      </c>
      <c r="D88" s="142" t="str">
        <f>IFERROR(__xludf.DUMMYFUNCTION("""COMPUTED_VALUE"""),"Bacong")</f>
        <v>Bacong</v>
      </c>
      <c r="E88" s="142" t="str">
        <f>IFERROR(__xludf.DUMMYFUNCTION("""COMPUTED_VALUE"""),"City of Bais")</f>
        <v>City of Bais</v>
      </c>
      <c r="F88" s="142" t="str">
        <f>IFERROR(__xludf.DUMMYFUNCTION("""COMPUTED_VALUE"""),"Basay")</f>
        <v>Basay</v>
      </c>
      <c r="G88" s="142" t="str">
        <f>IFERROR(__xludf.DUMMYFUNCTION("""COMPUTED_VALUE"""),"City of Bayawan")</f>
        <v>City of Bayawan</v>
      </c>
      <c r="H88" s="142" t="str">
        <f>IFERROR(__xludf.DUMMYFUNCTION("""COMPUTED_VALUE"""),"Bindoy")</f>
        <v>Bindoy</v>
      </c>
      <c r="I88" s="142" t="str">
        <f>IFERROR(__xludf.DUMMYFUNCTION("""COMPUTED_VALUE"""),"City of Canlaon")</f>
        <v>City of Canlaon</v>
      </c>
      <c r="J88" s="142" t="str">
        <f>IFERROR(__xludf.DUMMYFUNCTION("""COMPUTED_VALUE"""),"Dauin")</f>
        <v>Dauin</v>
      </c>
      <c r="K88" s="142" t="str">
        <f>IFERROR(__xludf.DUMMYFUNCTION("""COMPUTED_VALUE"""),"City of Dumaguete")</f>
        <v>City of Dumaguete</v>
      </c>
      <c r="L88" s="142" t="str">
        <f>IFERROR(__xludf.DUMMYFUNCTION("""COMPUTED_VALUE"""),"City of Guihulngan")</f>
        <v>City of Guihulngan</v>
      </c>
      <c r="M88" s="142" t="str">
        <f>IFERROR(__xludf.DUMMYFUNCTION("""COMPUTED_VALUE"""),"Jimalalud")</f>
        <v>Jimalalud</v>
      </c>
      <c r="N88" s="142" t="str">
        <f>IFERROR(__xludf.DUMMYFUNCTION("""COMPUTED_VALUE"""),"La Libertad")</f>
        <v>La Libertad</v>
      </c>
      <c r="O88" s="142" t="str">
        <f>IFERROR(__xludf.DUMMYFUNCTION("""COMPUTED_VALUE"""),"Mabinay")</f>
        <v>Mabinay</v>
      </c>
      <c r="P88" s="142" t="str">
        <f>IFERROR(__xludf.DUMMYFUNCTION("""COMPUTED_VALUE"""),"Manjuyod")</f>
        <v>Manjuyod</v>
      </c>
      <c r="Q88" s="142" t="str">
        <f>IFERROR(__xludf.DUMMYFUNCTION("""COMPUTED_VALUE"""),"Pamplona")</f>
        <v>Pamplona</v>
      </c>
      <c r="R88" s="142" t="str">
        <f>IFERROR(__xludf.DUMMYFUNCTION("""COMPUTED_VALUE"""),"San Jose")</f>
        <v>San Jose</v>
      </c>
      <c r="S88" s="142" t="str">
        <f>IFERROR(__xludf.DUMMYFUNCTION("""COMPUTED_VALUE"""),"Santa Catalina")</f>
        <v>Santa Catalina</v>
      </c>
      <c r="T88" s="142" t="str">
        <f>IFERROR(__xludf.DUMMYFUNCTION("""COMPUTED_VALUE"""),"Siaton")</f>
        <v>Siaton</v>
      </c>
      <c r="U88" s="142" t="str">
        <f>IFERROR(__xludf.DUMMYFUNCTION("""COMPUTED_VALUE"""),"Sibulan")</f>
        <v>Sibulan</v>
      </c>
      <c r="V88" s="142" t="str">
        <f>IFERROR(__xludf.DUMMYFUNCTION("""COMPUTED_VALUE"""),"City of Tanjay")</f>
        <v>City of Tanjay</v>
      </c>
      <c r="W88" s="142" t="str">
        <f>IFERROR(__xludf.DUMMYFUNCTION("""COMPUTED_VALUE"""),"Tayasan")</f>
        <v>Tayasan</v>
      </c>
      <c r="X88" s="142" t="str">
        <f>IFERROR(__xludf.DUMMYFUNCTION("""COMPUTED_VALUE"""),"Valencia")</f>
        <v>Valencia</v>
      </c>
      <c r="Y88" s="142" t="str">
        <f>IFERROR(__xludf.DUMMYFUNCTION("""COMPUTED_VALUE"""),"Vallehermoso")</f>
        <v>Vallehermoso</v>
      </c>
      <c r="Z88" s="142" t="str">
        <f>IFERROR(__xludf.DUMMYFUNCTION("""COMPUTED_VALUE"""),"Zamboanguita")</f>
        <v>Zamboanguita</v>
      </c>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row>
    <row r="89">
      <c r="A89" s="142" t="s">
        <v>769</v>
      </c>
      <c r="B89" s="142" t="str">
        <f>IFERROR(__xludf.DUMMYFUNCTION("""COMPUTED_VALUE"""),"Aurora")</f>
        <v>Aurora</v>
      </c>
      <c r="C89" s="142" t="str">
        <f>IFERROR(__xludf.DUMMYFUNCTION("""COMPUTED_VALUE"""),"Bayog")</f>
        <v>Bayog</v>
      </c>
      <c r="D89" s="142" t="str">
        <f>IFERROR(__xludf.DUMMYFUNCTION("""COMPUTED_VALUE"""),"Dimataling")</f>
        <v>Dimataling</v>
      </c>
      <c r="E89" s="142" t="str">
        <f>IFERROR(__xludf.DUMMYFUNCTION("""COMPUTED_VALUE"""),"Dinas")</f>
        <v>Dinas</v>
      </c>
      <c r="F89" s="142" t="str">
        <f>IFERROR(__xludf.DUMMYFUNCTION("""COMPUTED_VALUE"""),"Dumalinao")</f>
        <v>Dumalinao</v>
      </c>
      <c r="G89" s="142" t="str">
        <f>IFERROR(__xludf.DUMMYFUNCTION("""COMPUTED_VALUE"""),"Dumingag")</f>
        <v>Dumingag</v>
      </c>
      <c r="H89" s="142" t="str">
        <f>IFERROR(__xludf.DUMMYFUNCTION("""COMPUTED_VALUE"""),"Kumalarang")</f>
        <v>Kumalarang</v>
      </c>
      <c r="I89" s="142" t="str">
        <f>IFERROR(__xludf.DUMMYFUNCTION("""COMPUTED_VALUE"""),"Labangan")</f>
        <v>Labangan</v>
      </c>
      <c r="J89" s="142" t="str">
        <f>IFERROR(__xludf.DUMMYFUNCTION("""COMPUTED_VALUE"""),"Lapuyan")</f>
        <v>Lapuyan</v>
      </c>
      <c r="K89" s="142" t="str">
        <f>IFERROR(__xludf.DUMMYFUNCTION("""COMPUTED_VALUE"""),"Mahayag")</f>
        <v>Mahayag</v>
      </c>
      <c r="L89" s="142" t="str">
        <f>IFERROR(__xludf.DUMMYFUNCTION("""COMPUTED_VALUE"""),"Margosatubig")</f>
        <v>Margosatubig</v>
      </c>
      <c r="M89" s="142" t="str">
        <f>IFERROR(__xludf.DUMMYFUNCTION("""COMPUTED_VALUE"""),"Midsalip")</f>
        <v>Midsalip</v>
      </c>
      <c r="N89" s="142" t="str">
        <f>IFERROR(__xludf.DUMMYFUNCTION("""COMPUTED_VALUE"""),"Molave")</f>
        <v>Molave</v>
      </c>
      <c r="O89" s="142" t="str">
        <f>IFERROR(__xludf.DUMMYFUNCTION("""COMPUTED_VALUE"""),"City of Pagadian")</f>
        <v>City of Pagadian</v>
      </c>
      <c r="P89" s="142" t="str">
        <f>IFERROR(__xludf.DUMMYFUNCTION("""COMPUTED_VALUE"""),"Ramon Magsaysay")</f>
        <v>Ramon Magsaysay</v>
      </c>
      <c r="Q89" s="142" t="str">
        <f>IFERROR(__xludf.DUMMYFUNCTION("""COMPUTED_VALUE"""),"San Miguel")</f>
        <v>San Miguel</v>
      </c>
      <c r="R89" s="142" t="str">
        <f>IFERROR(__xludf.DUMMYFUNCTION("""COMPUTED_VALUE"""),"San Pablo")</f>
        <v>San Pablo</v>
      </c>
      <c r="S89" s="142" t="str">
        <f>IFERROR(__xludf.DUMMYFUNCTION("""COMPUTED_VALUE"""),"Tabina")</f>
        <v>Tabina</v>
      </c>
      <c r="T89" s="142" t="str">
        <f>IFERROR(__xludf.DUMMYFUNCTION("""COMPUTED_VALUE"""),"Tambulig")</f>
        <v>Tambulig</v>
      </c>
      <c r="U89" s="142" t="str">
        <f>IFERROR(__xludf.DUMMYFUNCTION("""COMPUTED_VALUE"""),"Tukuran")</f>
        <v>Tukuran</v>
      </c>
      <c r="V89" s="142" t="str">
        <f>IFERROR(__xludf.DUMMYFUNCTION("""COMPUTED_VALUE"""),"City of Zamboanga")</f>
        <v>City of Zamboanga</v>
      </c>
      <c r="W89" s="142" t="str">
        <f>IFERROR(__xludf.DUMMYFUNCTION("""COMPUTED_VALUE"""),"Lakewood")</f>
        <v>Lakewood</v>
      </c>
      <c r="X89" s="142" t="str">
        <f>IFERROR(__xludf.DUMMYFUNCTION("""COMPUTED_VALUE"""),"Josefina")</f>
        <v>Josefina</v>
      </c>
      <c r="Y89" s="142" t="str">
        <f>IFERROR(__xludf.DUMMYFUNCTION("""COMPUTED_VALUE"""),"Pitogo")</f>
        <v>Pitogo</v>
      </c>
      <c r="Z89" s="142" t="str">
        <f>IFERROR(__xludf.DUMMYFUNCTION("""COMPUTED_VALUE"""),"Sominot")</f>
        <v>Sominot</v>
      </c>
      <c r="AA89" s="142" t="str">
        <f>IFERROR(__xludf.DUMMYFUNCTION("""COMPUTED_VALUE"""),"Vincenzo A. Sagun")</f>
        <v>Vincenzo A. Sagun</v>
      </c>
      <c r="AB89" s="142" t="str">
        <f>IFERROR(__xludf.DUMMYFUNCTION("""COMPUTED_VALUE"""),"Guipos")</f>
        <v>Guipos</v>
      </c>
      <c r="AC89" s="142" t="str">
        <f>IFERROR(__xludf.DUMMYFUNCTION("""COMPUTED_VALUE"""),"Tigbao")</f>
        <v>Tigbao</v>
      </c>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row>
    <row r="90">
      <c r="A90" s="142" t="s">
        <v>615</v>
      </c>
      <c r="B90" s="142" t="str">
        <f>IFERROR(__xludf.DUMMYFUNCTION("""COMPUTED_VALUE"""),"Bansalan")</f>
        <v>Bansalan</v>
      </c>
      <c r="C90" s="142" t="str">
        <f>IFERROR(__xludf.DUMMYFUNCTION("""COMPUTED_VALUE"""),"City of Davao")</f>
        <v>City of Davao</v>
      </c>
      <c r="D90" s="142" t="str">
        <f>IFERROR(__xludf.DUMMYFUNCTION("""COMPUTED_VALUE"""),"City of Digos")</f>
        <v>City of Digos</v>
      </c>
      <c r="E90" s="142" t="str">
        <f>IFERROR(__xludf.DUMMYFUNCTION("""COMPUTED_VALUE"""),"Hagonoy")</f>
        <v>Hagonoy</v>
      </c>
      <c r="F90" s="142" t="str">
        <f>IFERROR(__xludf.DUMMYFUNCTION("""COMPUTED_VALUE"""),"Kiblawan")</f>
        <v>Kiblawan</v>
      </c>
      <c r="G90" s="142" t="str">
        <f>IFERROR(__xludf.DUMMYFUNCTION("""COMPUTED_VALUE"""),"Magsaysay")</f>
        <v>Magsaysay</v>
      </c>
      <c r="H90" s="142" t="str">
        <f>IFERROR(__xludf.DUMMYFUNCTION("""COMPUTED_VALUE"""),"Malalag")</f>
        <v>Malalag</v>
      </c>
      <c r="I90" s="142" t="str">
        <f>IFERROR(__xludf.DUMMYFUNCTION("""COMPUTED_VALUE"""),"Matanao")</f>
        <v>Matanao</v>
      </c>
      <c r="J90" s="142" t="str">
        <f>IFERROR(__xludf.DUMMYFUNCTION("""COMPUTED_VALUE"""),"Padada")</f>
        <v>Padada</v>
      </c>
      <c r="K90" s="142" t="str">
        <f>IFERROR(__xludf.DUMMYFUNCTION("""COMPUTED_VALUE"""),"Santa Cruz")</f>
        <v>Santa Cruz</v>
      </c>
      <c r="L90" s="142" t="str">
        <f>IFERROR(__xludf.DUMMYFUNCTION("""COMPUTED_VALUE"""),"Sulop")</f>
        <v>Sulop</v>
      </c>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row>
    <row r="91">
      <c r="A91" s="142" t="s">
        <v>558</v>
      </c>
      <c r="B91" s="142" t="str">
        <f>IFERROR(__xludf.DUMMYFUNCTION("""COMPUTED_VALUE"""),"Ajuy")</f>
        <v>Ajuy</v>
      </c>
      <c r="C91" s="142" t="str">
        <f>IFERROR(__xludf.DUMMYFUNCTION("""COMPUTED_VALUE"""),"Alimodian")</f>
        <v>Alimodian</v>
      </c>
      <c r="D91" s="142" t="str">
        <f>IFERROR(__xludf.DUMMYFUNCTION("""COMPUTED_VALUE"""),"Anilao")</f>
        <v>Anilao</v>
      </c>
      <c r="E91" s="142" t="str">
        <f>IFERROR(__xludf.DUMMYFUNCTION("""COMPUTED_VALUE"""),"Badiangan")</f>
        <v>Badiangan</v>
      </c>
      <c r="F91" s="142" t="str">
        <f>IFERROR(__xludf.DUMMYFUNCTION("""COMPUTED_VALUE"""),"Balasan")</f>
        <v>Balasan</v>
      </c>
      <c r="G91" s="142" t="str">
        <f>IFERROR(__xludf.DUMMYFUNCTION("""COMPUTED_VALUE"""),"Banate")</f>
        <v>Banate</v>
      </c>
      <c r="H91" s="142" t="str">
        <f>IFERROR(__xludf.DUMMYFUNCTION("""COMPUTED_VALUE"""),"Barotac Nuevo")</f>
        <v>Barotac Nuevo</v>
      </c>
      <c r="I91" s="142" t="str">
        <f>IFERROR(__xludf.DUMMYFUNCTION("""COMPUTED_VALUE"""),"Barotac Viejo")</f>
        <v>Barotac Viejo</v>
      </c>
      <c r="J91" s="142" t="str">
        <f>IFERROR(__xludf.DUMMYFUNCTION("""COMPUTED_VALUE"""),"Batad")</f>
        <v>Batad</v>
      </c>
      <c r="K91" s="142" t="str">
        <f>IFERROR(__xludf.DUMMYFUNCTION("""COMPUTED_VALUE"""),"Bingawan")</f>
        <v>Bingawan</v>
      </c>
      <c r="L91" s="142" t="str">
        <f>IFERROR(__xludf.DUMMYFUNCTION("""COMPUTED_VALUE"""),"Cabatuan")</f>
        <v>Cabatuan</v>
      </c>
      <c r="M91" s="142" t="str">
        <f>IFERROR(__xludf.DUMMYFUNCTION("""COMPUTED_VALUE"""),"Calinog")</f>
        <v>Calinog</v>
      </c>
      <c r="N91" s="142" t="str">
        <f>IFERROR(__xludf.DUMMYFUNCTION("""COMPUTED_VALUE"""),"Carles")</f>
        <v>Carles</v>
      </c>
      <c r="O91" s="142" t="str">
        <f>IFERROR(__xludf.DUMMYFUNCTION("""COMPUTED_VALUE"""),"Concepcion")</f>
        <v>Concepcion</v>
      </c>
      <c r="P91" s="142" t="str">
        <f>IFERROR(__xludf.DUMMYFUNCTION("""COMPUTED_VALUE"""),"Dingle")</f>
        <v>Dingle</v>
      </c>
      <c r="Q91" s="142" t="str">
        <f>IFERROR(__xludf.DUMMYFUNCTION("""COMPUTED_VALUE"""),"Dueñas")</f>
        <v>Dueñas</v>
      </c>
      <c r="R91" s="142" t="str">
        <f>IFERROR(__xludf.DUMMYFUNCTION("""COMPUTED_VALUE"""),"Dumangas")</f>
        <v>Dumangas</v>
      </c>
      <c r="S91" s="142" t="str">
        <f>IFERROR(__xludf.DUMMYFUNCTION("""COMPUTED_VALUE"""),"Estancia")</f>
        <v>Estancia</v>
      </c>
      <c r="T91" s="142" t="str">
        <f>IFERROR(__xludf.DUMMYFUNCTION("""COMPUTED_VALUE"""),"Guimbal")</f>
        <v>Guimbal</v>
      </c>
      <c r="U91" s="142" t="str">
        <f>IFERROR(__xludf.DUMMYFUNCTION("""COMPUTED_VALUE"""),"Igbaras")</f>
        <v>Igbaras</v>
      </c>
      <c r="V91" s="142" t="str">
        <f>IFERROR(__xludf.DUMMYFUNCTION("""COMPUTED_VALUE"""),"City of Iloilo")</f>
        <v>City of Iloilo</v>
      </c>
      <c r="W91" s="142" t="str">
        <f>IFERROR(__xludf.DUMMYFUNCTION("""COMPUTED_VALUE"""),"Janiuay")</f>
        <v>Janiuay</v>
      </c>
      <c r="X91" s="142" t="str">
        <f>IFERROR(__xludf.DUMMYFUNCTION("""COMPUTED_VALUE"""),"Lambunao")</f>
        <v>Lambunao</v>
      </c>
      <c r="Y91" s="142" t="str">
        <f>IFERROR(__xludf.DUMMYFUNCTION("""COMPUTED_VALUE"""),"Leganes")</f>
        <v>Leganes</v>
      </c>
      <c r="Z91" s="142" t="str">
        <f>IFERROR(__xludf.DUMMYFUNCTION("""COMPUTED_VALUE"""),"Lemery")</f>
        <v>Lemery</v>
      </c>
      <c r="AA91" s="142" t="str">
        <f>IFERROR(__xludf.DUMMYFUNCTION("""COMPUTED_VALUE"""),"Leon")</f>
        <v>Leon</v>
      </c>
      <c r="AB91" s="142" t="str">
        <f>IFERROR(__xludf.DUMMYFUNCTION("""COMPUTED_VALUE"""),"Maasin")</f>
        <v>Maasin</v>
      </c>
      <c r="AC91" s="142" t="str">
        <f>IFERROR(__xludf.DUMMYFUNCTION("""COMPUTED_VALUE"""),"Miagao")</f>
        <v>Miagao</v>
      </c>
      <c r="AD91" s="142" t="str">
        <f>IFERROR(__xludf.DUMMYFUNCTION("""COMPUTED_VALUE"""),"Mina")</f>
        <v>Mina</v>
      </c>
      <c r="AE91" s="142" t="str">
        <f>IFERROR(__xludf.DUMMYFUNCTION("""COMPUTED_VALUE"""),"New Lucena")</f>
        <v>New Lucena</v>
      </c>
      <c r="AF91" s="142" t="str">
        <f>IFERROR(__xludf.DUMMYFUNCTION("""COMPUTED_VALUE"""),"Oton")</f>
        <v>Oton</v>
      </c>
      <c r="AG91" s="142" t="str">
        <f>IFERROR(__xludf.DUMMYFUNCTION("""COMPUTED_VALUE"""),"City of Passi")</f>
        <v>City of Passi</v>
      </c>
      <c r="AH91" s="142" t="str">
        <f>IFERROR(__xludf.DUMMYFUNCTION("""COMPUTED_VALUE"""),"Pavia")</f>
        <v>Pavia</v>
      </c>
      <c r="AI91" s="142" t="str">
        <f>IFERROR(__xludf.DUMMYFUNCTION("""COMPUTED_VALUE"""),"Pototan")</f>
        <v>Pototan</v>
      </c>
      <c r="AJ91" s="142" t="str">
        <f>IFERROR(__xludf.DUMMYFUNCTION("""COMPUTED_VALUE"""),"San Dionisio")</f>
        <v>San Dionisio</v>
      </c>
      <c r="AK91" s="142" t="str">
        <f>IFERROR(__xludf.DUMMYFUNCTION("""COMPUTED_VALUE"""),"San Enrique")</f>
        <v>San Enrique</v>
      </c>
      <c r="AL91" s="142" t="str">
        <f>IFERROR(__xludf.DUMMYFUNCTION("""COMPUTED_VALUE"""),"San Joaquin")</f>
        <v>San Joaquin</v>
      </c>
      <c r="AM91" s="142" t="str">
        <f>IFERROR(__xludf.DUMMYFUNCTION("""COMPUTED_VALUE"""),"San Miguel")</f>
        <v>San Miguel</v>
      </c>
      <c r="AN91" s="142" t="str">
        <f>IFERROR(__xludf.DUMMYFUNCTION("""COMPUTED_VALUE"""),"San Rafael")</f>
        <v>San Rafael</v>
      </c>
      <c r="AO91" s="142" t="str">
        <f>IFERROR(__xludf.DUMMYFUNCTION("""COMPUTED_VALUE"""),"Santa Barbara")</f>
        <v>Santa Barbara</v>
      </c>
      <c r="AP91" s="142" t="str">
        <f>IFERROR(__xludf.DUMMYFUNCTION("""COMPUTED_VALUE"""),"Sara")</f>
        <v>Sara</v>
      </c>
      <c r="AQ91" s="142" t="str">
        <f>IFERROR(__xludf.DUMMYFUNCTION("""COMPUTED_VALUE"""),"Tigbauan")</f>
        <v>Tigbauan</v>
      </c>
      <c r="AR91" s="142" t="str">
        <f>IFERROR(__xludf.DUMMYFUNCTION("""COMPUTED_VALUE"""),"Tubungan")</f>
        <v>Tubungan</v>
      </c>
      <c r="AS91" s="142" t="str">
        <f>IFERROR(__xludf.DUMMYFUNCTION("""COMPUTED_VALUE"""),"Zarraga")</f>
        <v>Zarraga</v>
      </c>
      <c r="AT91" s="8"/>
      <c r="AU91" s="8"/>
      <c r="AV91" s="8"/>
      <c r="AW91" s="8"/>
      <c r="AX91" s="8"/>
      <c r="AY91" s="8"/>
      <c r="AZ91" s="8"/>
      <c r="BA91" s="8"/>
      <c r="BB91" s="8"/>
      <c r="BC91" s="8"/>
      <c r="BD91" s="8"/>
      <c r="BE91" s="8"/>
    </row>
    <row r="92">
      <c r="A92" s="142" t="s">
        <v>802</v>
      </c>
      <c r="B92" s="142" t="str">
        <f>IFERROR(__xludf.DUMMYFUNCTION("""COMPUTED_VALUE"""),"Boac")</f>
        <v>Boac</v>
      </c>
      <c r="C92" s="142" t="str">
        <f>IFERROR(__xludf.DUMMYFUNCTION("""COMPUTED_VALUE"""),"Buenavista")</f>
        <v>Buenavista</v>
      </c>
      <c r="D92" s="142" t="str">
        <f>IFERROR(__xludf.DUMMYFUNCTION("""COMPUTED_VALUE"""),"Gasan")</f>
        <v>Gasan</v>
      </c>
      <c r="E92" s="142" t="str">
        <f>IFERROR(__xludf.DUMMYFUNCTION("""COMPUTED_VALUE"""),"Mogpog")</f>
        <v>Mogpog</v>
      </c>
      <c r="F92" s="142" t="str">
        <f>IFERROR(__xludf.DUMMYFUNCTION("""COMPUTED_VALUE"""),"Santa Cruz")</f>
        <v>Santa Cruz</v>
      </c>
      <c r="G92" s="142" t="str">
        <f>IFERROR(__xludf.DUMMYFUNCTION("""COMPUTED_VALUE"""),"Torrijos")</f>
        <v>Torrijos</v>
      </c>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row>
    <row r="93">
      <c r="A93" s="142" t="s">
        <v>194</v>
      </c>
      <c r="B93" s="142" t="str">
        <f>IFERROR(__xludf.DUMMYFUNCTION("""COMPUTED_VALUE"""),"Alcantara")</f>
        <v>Alcantara</v>
      </c>
      <c r="C93" s="142" t="str">
        <f>IFERROR(__xludf.DUMMYFUNCTION("""COMPUTED_VALUE"""),"Alcoy")</f>
        <v>Alcoy</v>
      </c>
      <c r="D93" s="142" t="str">
        <f>IFERROR(__xludf.DUMMYFUNCTION("""COMPUTED_VALUE"""),"Alegria")</f>
        <v>Alegria</v>
      </c>
      <c r="E93" s="142" t="str">
        <f>IFERROR(__xludf.DUMMYFUNCTION("""COMPUTED_VALUE"""),"Aloguinsan")</f>
        <v>Aloguinsan</v>
      </c>
      <c r="F93" s="142" t="str">
        <f>IFERROR(__xludf.DUMMYFUNCTION("""COMPUTED_VALUE"""),"Argao")</f>
        <v>Argao</v>
      </c>
      <c r="G93" s="142" t="str">
        <f>IFERROR(__xludf.DUMMYFUNCTION("""COMPUTED_VALUE"""),"Asturias")</f>
        <v>Asturias</v>
      </c>
      <c r="H93" s="142" t="str">
        <f>IFERROR(__xludf.DUMMYFUNCTION("""COMPUTED_VALUE"""),"Badian")</f>
        <v>Badian</v>
      </c>
      <c r="I93" s="142" t="str">
        <f>IFERROR(__xludf.DUMMYFUNCTION("""COMPUTED_VALUE"""),"Balamban")</f>
        <v>Balamban</v>
      </c>
      <c r="J93" s="142" t="str">
        <f>IFERROR(__xludf.DUMMYFUNCTION("""COMPUTED_VALUE"""),"Bantayan")</f>
        <v>Bantayan</v>
      </c>
      <c r="K93" s="142" t="str">
        <f>IFERROR(__xludf.DUMMYFUNCTION("""COMPUTED_VALUE"""),"Barili")</f>
        <v>Barili</v>
      </c>
      <c r="L93" s="142" t="str">
        <f>IFERROR(__xludf.DUMMYFUNCTION("""COMPUTED_VALUE"""),"City of Bogo")</f>
        <v>City of Bogo</v>
      </c>
      <c r="M93" s="142" t="str">
        <f>IFERROR(__xludf.DUMMYFUNCTION("""COMPUTED_VALUE"""),"Boljoon")</f>
        <v>Boljoon</v>
      </c>
      <c r="N93" s="142" t="str">
        <f>IFERROR(__xludf.DUMMYFUNCTION("""COMPUTED_VALUE"""),"Borbon")</f>
        <v>Borbon</v>
      </c>
      <c r="O93" s="142" t="str">
        <f>IFERROR(__xludf.DUMMYFUNCTION("""COMPUTED_VALUE"""),"City of Carcar")</f>
        <v>City of Carcar</v>
      </c>
      <c r="P93" s="142" t="str">
        <f>IFERROR(__xludf.DUMMYFUNCTION("""COMPUTED_VALUE"""),"Carmen")</f>
        <v>Carmen</v>
      </c>
      <c r="Q93" s="142" t="str">
        <f>IFERROR(__xludf.DUMMYFUNCTION("""COMPUTED_VALUE"""),"Catmon")</f>
        <v>Catmon</v>
      </c>
      <c r="R93" s="142" t="str">
        <f>IFERROR(__xludf.DUMMYFUNCTION("""COMPUTED_VALUE"""),"Compostela")</f>
        <v>Compostela</v>
      </c>
      <c r="S93" s="142" t="str">
        <f>IFERROR(__xludf.DUMMYFUNCTION("""COMPUTED_VALUE"""),"Consolacion")</f>
        <v>Consolacion</v>
      </c>
      <c r="T93" s="142" t="str">
        <f>IFERROR(__xludf.DUMMYFUNCTION("""COMPUTED_VALUE"""),"Cordova")</f>
        <v>Cordova</v>
      </c>
      <c r="U93" s="142" t="str">
        <f>IFERROR(__xludf.DUMMYFUNCTION("""COMPUTED_VALUE"""),"Daanbantayan")</f>
        <v>Daanbantayan</v>
      </c>
      <c r="V93" s="142" t="str">
        <f>IFERROR(__xludf.DUMMYFUNCTION("""COMPUTED_VALUE"""),"Dalaguete")</f>
        <v>Dalaguete</v>
      </c>
      <c r="W93" s="142" t="str">
        <f>IFERROR(__xludf.DUMMYFUNCTION("""COMPUTED_VALUE"""),"Danao City")</f>
        <v>Danao City</v>
      </c>
      <c r="X93" s="142" t="str">
        <f>IFERROR(__xludf.DUMMYFUNCTION("""COMPUTED_VALUE"""),"Dumanjug")</f>
        <v>Dumanjug</v>
      </c>
      <c r="Y93" s="142" t="str">
        <f>IFERROR(__xludf.DUMMYFUNCTION("""COMPUTED_VALUE"""),"Ginatilan")</f>
        <v>Ginatilan</v>
      </c>
      <c r="Z93" s="142" t="str">
        <f>IFERROR(__xludf.DUMMYFUNCTION("""COMPUTED_VALUE"""),"Liloan")</f>
        <v>Liloan</v>
      </c>
      <c r="AA93" s="142" t="str">
        <f>IFERROR(__xludf.DUMMYFUNCTION("""COMPUTED_VALUE"""),"Madridejos")</f>
        <v>Madridejos</v>
      </c>
      <c r="AB93" s="142" t="str">
        <f>IFERROR(__xludf.DUMMYFUNCTION("""COMPUTED_VALUE"""),"Malabuyoc")</f>
        <v>Malabuyoc</v>
      </c>
      <c r="AC93" s="142" t="str">
        <f>IFERROR(__xludf.DUMMYFUNCTION("""COMPUTED_VALUE"""),"Medellin")</f>
        <v>Medellin</v>
      </c>
      <c r="AD93" s="142" t="str">
        <f>IFERROR(__xludf.DUMMYFUNCTION("""COMPUTED_VALUE"""),"Minglanilla")</f>
        <v>Minglanilla</v>
      </c>
      <c r="AE93" s="142" t="str">
        <f>IFERROR(__xludf.DUMMYFUNCTION("""COMPUTED_VALUE"""),"Moalboal")</f>
        <v>Moalboal</v>
      </c>
      <c r="AF93" s="142" t="str">
        <f>IFERROR(__xludf.DUMMYFUNCTION("""COMPUTED_VALUE"""),"City of Naga")</f>
        <v>City of Naga</v>
      </c>
      <c r="AG93" s="142" t="str">
        <f>IFERROR(__xludf.DUMMYFUNCTION("""COMPUTED_VALUE"""),"Oslob")</f>
        <v>Oslob</v>
      </c>
      <c r="AH93" s="142" t="str">
        <f>IFERROR(__xludf.DUMMYFUNCTION("""COMPUTED_VALUE"""),"Pilar")</f>
        <v>Pilar</v>
      </c>
      <c r="AI93" s="142" t="str">
        <f>IFERROR(__xludf.DUMMYFUNCTION("""COMPUTED_VALUE"""),"Pinamungajan")</f>
        <v>Pinamungajan</v>
      </c>
      <c r="AJ93" s="142" t="str">
        <f>IFERROR(__xludf.DUMMYFUNCTION("""COMPUTED_VALUE"""),"Poro")</f>
        <v>Poro</v>
      </c>
      <c r="AK93" s="142" t="str">
        <f>IFERROR(__xludf.DUMMYFUNCTION("""COMPUTED_VALUE"""),"Ronda")</f>
        <v>Ronda</v>
      </c>
      <c r="AL93" s="142" t="str">
        <f>IFERROR(__xludf.DUMMYFUNCTION("""COMPUTED_VALUE"""),"Samboan")</f>
        <v>Samboan</v>
      </c>
      <c r="AM93" s="142" t="str">
        <f>IFERROR(__xludf.DUMMYFUNCTION("""COMPUTED_VALUE"""),"San Fernando")</f>
        <v>San Fernando</v>
      </c>
      <c r="AN93" s="142" t="str">
        <f>IFERROR(__xludf.DUMMYFUNCTION("""COMPUTED_VALUE"""),"San Francisco")</f>
        <v>San Francisco</v>
      </c>
      <c r="AO93" s="142" t="str">
        <f>IFERROR(__xludf.DUMMYFUNCTION("""COMPUTED_VALUE"""),"San Remigio")</f>
        <v>San Remigio</v>
      </c>
      <c r="AP93" s="142" t="str">
        <f>IFERROR(__xludf.DUMMYFUNCTION("""COMPUTED_VALUE"""),"Santa Fe")</f>
        <v>Santa Fe</v>
      </c>
      <c r="AQ93" s="142" t="str">
        <f>IFERROR(__xludf.DUMMYFUNCTION("""COMPUTED_VALUE"""),"Santander")</f>
        <v>Santander</v>
      </c>
      <c r="AR93" s="142" t="str">
        <f>IFERROR(__xludf.DUMMYFUNCTION("""COMPUTED_VALUE"""),"Sibonga")</f>
        <v>Sibonga</v>
      </c>
      <c r="AS93" s="142" t="str">
        <f>IFERROR(__xludf.DUMMYFUNCTION("""COMPUTED_VALUE"""),"Sogod")</f>
        <v>Sogod</v>
      </c>
      <c r="AT93" s="142" t="str">
        <f>IFERROR(__xludf.DUMMYFUNCTION("""COMPUTED_VALUE"""),"Tabogon")</f>
        <v>Tabogon</v>
      </c>
      <c r="AU93" s="142" t="str">
        <f>IFERROR(__xludf.DUMMYFUNCTION("""COMPUTED_VALUE"""),"Tabuelan")</f>
        <v>Tabuelan</v>
      </c>
      <c r="AV93" s="142" t="str">
        <f>IFERROR(__xludf.DUMMYFUNCTION("""COMPUTED_VALUE"""),"City of Talisay")</f>
        <v>City of Talisay</v>
      </c>
      <c r="AW93" s="142" t="str">
        <f>IFERROR(__xludf.DUMMYFUNCTION("""COMPUTED_VALUE"""),"City of Toledo")</f>
        <v>City of Toledo</v>
      </c>
      <c r="AX93" s="142" t="str">
        <f>IFERROR(__xludf.DUMMYFUNCTION("""COMPUTED_VALUE"""),"Tuburan")</f>
        <v>Tuburan</v>
      </c>
      <c r="AY93" s="142" t="str">
        <f>IFERROR(__xludf.DUMMYFUNCTION("""COMPUTED_VALUE"""),"Tudela")</f>
        <v>Tudela</v>
      </c>
      <c r="AZ93" s="142" t="str">
        <f>IFERROR(__xludf.DUMMYFUNCTION("""COMPUTED_VALUE"""),"City of Cebu")</f>
        <v>City of Cebu</v>
      </c>
      <c r="BA93" s="142" t="str">
        <f>IFERROR(__xludf.DUMMYFUNCTION("""COMPUTED_VALUE"""),"City of Lapu-Lapu")</f>
        <v>City of Lapu-Lapu</v>
      </c>
      <c r="BB93" s="142" t="str">
        <f>IFERROR(__xludf.DUMMYFUNCTION("""COMPUTED_VALUE"""),"City of Mandaue")</f>
        <v>City of Mandaue</v>
      </c>
      <c r="BC93" s="8"/>
      <c r="BD93" s="8"/>
      <c r="BE93" s="8"/>
    </row>
    <row r="94">
      <c r="A94" s="142" t="s">
        <v>826</v>
      </c>
      <c r="B94" s="142" t="str">
        <f>IFERROR(__xludf.DUMMYFUNCTION("""COMPUTED_VALUE"""),"Enrique Villanueva")</f>
        <v>Enrique Villanueva</v>
      </c>
      <c r="C94" s="142" t="str">
        <f>IFERROR(__xludf.DUMMYFUNCTION("""COMPUTED_VALUE"""),"Larena")</f>
        <v>Larena</v>
      </c>
      <c r="D94" s="142" t="str">
        <f>IFERROR(__xludf.DUMMYFUNCTION("""COMPUTED_VALUE"""),"Lazi")</f>
        <v>Lazi</v>
      </c>
      <c r="E94" s="142" t="str">
        <f>IFERROR(__xludf.DUMMYFUNCTION("""COMPUTED_VALUE"""),"Maria")</f>
        <v>Maria</v>
      </c>
      <c r="F94" s="142" t="str">
        <f>IFERROR(__xludf.DUMMYFUNCTION("""COMPUTED_VALUE"""),"San Juan")</f>
        <v>San Juan</v>
      </c>
      <c r="G94" s="142" t="str">
        <f>IFERROR(__xludf.DUMMYFUNCTION("""COMPUTED_VALUE"""),"Siquijor")</f>
        <v>Siquijor</v>
      </c>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row>
    <row r="95">
      <c r="A95" s="142" t="s">
        <v>194</v>
      </c>
      <c r="B95" s="142" t="str">
        <f>IFERROR(__xludf.DUMMYFUNCTION("""COMPUTED_VALUE"""),"Alcantara")</f>
        <v>Alcantara</v>
      </c>
      <c r="C95" s="142" t="str">
        <f>IFERROR(__xludf.DUMMYFUNCTION("""COMPUTED_VALUE"""),"Alcoy")</f>
        <v>Alcoy</v>
      </c>
      <c r="D95" s="142" t="str">
        <f>IFERROR(__xludf.DUMMYFUNCTION("""COMPUTED_VALUE"""),"Alegria")</f>
        <v>Alegria</v>
      </c>
      <c r="E95" s="142" t="str">
        <f>IFERROR(__xludf.DUMMYFUNCTION("""COMPUTED_VALUE"""),"Aloguinsan")</f>
        <v>Aloguinsan</v>
      </c>
      <c r="F95" s="142" t="str">
        <f>IFERROR(__xludf.DUMMYFUNCTION("""COMPUTED_VALUE"""),"Argao")</f>
        <v>Argao</v>
      </c>
      <c r="G95" s="142" t="str">
        <f>IFERROR(__xludf.DUMMYFUNCTION("""COMPUTED_VALUE"""),"Asturias")</f>
        <v>Asturias</v>
      </c>
      <c r="H95" s="142" t="str">
        <f>IFERROR(__xludf.DUMMYFUNCTION("""COMPUTED_VALUE"""),"Badian")</f>
        <v>Badian</v>
      </c>
      <c r="I95" s="142" t="str">
        <f>IFERROR(__xludf.DUMMYFUNCTION("""COMPUTED_VALUE"""),"Balamban")</f>
        <v>Balamban</v>
      </c>
      <c r="J95" s="142" t="str">
        <f>IFERROR(__xludf.DUMMYFUNCTION("""COMPUTED_VALUE"""),"Bantayan")</f>
        <v>Bantayan</v>
      </c>
      <c r="K95" s="142" t="str">
        <f>IFERROR(__xludf.DUMMYFUNCTION("""COMPUTED_VALUE"""),"Barili")</f>
        <v>Barili</v>
      </c>
      <c r="L95" s="142" t="str">
        <f>IFERROR(__xludf.DUMMYFUNCTION("""COMPUTED_VALUE"""),"City of Bogo")</f>
        <v>City of Bogo</v>
      </c>
      <c r="M95" s="142" t="str">
        <f>IFERROR(__xludf.DUMMYFUNCTION("""COMPUTED_VALUE"""),"Boljoon")</f>
        <v>Boljoon</v>
      </c>
      <c r="N95" s="142" t="str">
        <f>IFERROR(__xludf.DUMMYFUNCTION("""COMPUTED_VALUE"""),"Borbon")</f>
        <v>Borbon</v>
      </c>
      <c r="O95" s="142" t="str">
        <f>IFERROR(__xludf.DUMMYFUNCTION("""COMPUTED_VALUE"""),"City of Carcar")</f>
        <v>City of Carcar</v>
      </c>
      <c r="P95" s="142" t="str">
        <f>IFERROR(__xludf.DUMMYFUNCTION("""COMPUTED_VALUE"""),"Carmen")</f>
        <v>Carmen</v>
      </c>
      <c r="Q95" s="142" t="str">
        <f>IFERROR(__xludf.DUMMYFUNCTION("""COMPUTED_VALUE"""),"Catmon")</f>
        <v>Catmon</v>
      </c>
      <c r="R95" s="142" t="str">
        <f>IFERROR(__xludf.DUMMYFUNCTION("""COMPUTED_VALUE"""),"Compostela")</f>
        <v>Compostela</v>
      </c>
      <c r="S95" s="142" t="str">
        <f>IFERROR(__xludf.DUMMYFUNCTION("""COMPUTED_VALUE"""),"Consolacion")</f>
        <v>Consolacion</v>
      </c>
      <c r="T95" s="142" t="str">
        <f>IFERROR(__xludf.DUMMYFUNCTION("""COMPUTED_VALUE"""),"Cordova")</f>
        <v>Cordova</v>
      </c>
      <c r="U95" s="142" t="str">
        <f>IFERROR(__xludf.DUMMYFUNCTION("""COMPUTED_VALUE"""),"Daanbantayan")</f>
        <v>Daanbantayan</v>
      </c>
      <c r="V95" s="142" t="str">
        <f>IFERROR(__xludf.DUMMYFUNCTION("""COMPUTED_VALUE"""),"Dalaguete")</f>
        <v>Dalaguete</v>
      </c>
      <c r="W95" s="142" t="str">
        <f>IFERROR(__xludf.DUMMYFUNCTION("""COMPUTED_VALUE"""),"Danao City")</f>
        <v>Danao City</v>
      </c>
      <c r="X95" s="142" t="str">
        <f>IFERROR(__xludf.DUMMYFUNCTION("""COMPUTED_VALUE"""),"Dumanjug")</f>
        <v>Dumanjug</v>
      </c>
      <c r="Y95" s="142" t="str">
        <f>IFERROR(__xludf.DUMMYFUNCTION("""COMPUTED_VALUE"""),"Ginatilan")</f>
        <v>Ginatilan</v>
      </c>
      <c r="Z95" s="142" t="str">
        <f>IFERROR(__xludf.DUMMYFUNCTION("""COMPUTED_VALUE"""),"Liloan")</f>
        <v>Liloan</v>
      </c>
      <c r="AA95" s="142" t="str">
        <f>IFERROR(__xludf.DUMMYFUNCTION("""COMPUTED_VALUE"""),"Madridejos")</f>
        <v>Madridejos</v>
      </c>
      <c r="AB95" s="142" t="str">
        <f>IFERROR(__xludf.DUMMYFUNCTION("""COMPUTED_VALUE"""),"Malabuyoc")</f>
        <v>Malabuyoc</v>
      </c>
      <c r="AC95" s="142" t="str">
        <f>IFERROR(__xludf.DUMMYFUNCTION("""COMPUTED_VALUE"""),"Medellin")</f>
        <v>Medellin</v>
      </c>
      <c r="AD95" s="142" t="str">
        <f>IFERROR(__xludf.DUMMYFUNCTION("""COMPUTED_VALUE"""),"Minglanilla")</f>
        <v>Minglanilla</v>
      </c>
      <c r="AE95" s="142" t="str">
        <f>IFERROR(__xludf.DUMMYFUNCTION("""COMPUTED_VALUE"""),"Moalboal")</f>
        <v>Moalboal</v>
      </c>
      <c r="AF95" s="142" t="str">
        <f>IFERROR(__xludf.DUMMYFUNCTION("""COMPUTED_VALUE"""),"City of Naga")</f>
        <v>City of Naga</v>
      </c>
      <c r="AG95" s="142" t="str">
        <f>IFERROR(__xludf.DUMMYFUNCTION("""COMPUTED_VALUE"""),"Oslob")</f>
        <v>Oslob</v>
      </c>
      <c r="AH95" s="142" t="str">
        <f>IFERROR(__xludf.DUMMYFUNCTION("""COMPUTED_VALUE"""),"Pilar")</f>
        <v>Pilar</v>
      </c>
      <c r="AI95" s="142" t="str">
        <f>IFERROR(__xludf.DUMMYFUNCTION("""COMPUTED_VALUE"""),"Pinamungajan")</f>
        <v>Pinamungajan</v>
      </c>
      <c r="AJ95" s="142" t="str">
        <f>IFERROR(__xludf.DUMMYFUNCTION("""COMPUTED_VALUE"""),"Poro")</f>
        <v>Poro</v>
      </c>
      <c r="AK95" s="142" t="str">
        <f>IFERROR(__xludf.DUMMYFUNCTION("""COMPUTED_VALUE"""),"Ronda")</f>
        <v>Ronda</v>
      </c>
      <c r="AL95" s="142" t="str">
        <f>IFERROR(__xludf.DUMMYFUNCTION("""COMPUTED_VALUE"""),"Samboan")</f>
        <v>Samboan</v>
      </c>
      <c r="AM95" s="142" t="str">
        <f>IFERROR(__xludf.DUMMYFUNCTION("""COMPUTED_VALUE"""),"San Fernando")</f>
        <v>San Fernando</v>
      </c>
      <c r="AN95" s="142" t="str">
        <f>IFERROR(__xludf.DUMMYFUNCTION("""COMPUTED_VALUE"""),"San Francisco")</f>
        <v>San Francisco</v>
      </c>
      <c r="AO95" s="142" t="str">
        <f>IFERROR(__xludf.DUMMYFUNCTION("""COMPUTED_VALUE"""),"San Remigio")</f>
        <v>San Remigio</v>
      </c>
      <c r="AP95" s="142" t="str">
        <f>IFERROR(__xludf.DUMMYFUNCTION("""COMPUTED_VALUE"""),"Santa Fe")</f>
        <v>Santa Fe</v>
      </c>
      <c r="AQ95" s="142" t="str">
        <f>IFERROR(__xludf.DUMMYFUNCTION("""COMPUTED_VALUE"""),"Santander")</f>
        <v>Santander</v>
      </c>
      <c r="AR95" s="142" t="str">
        <f>IFERROR(__xludf.DUMMYFUNCTION("""COMPUTED_VALUE"""),"Sibonga")</f>
        <v>Sibonga</v>
      </c>
      <c r="AS95" s="142" t="str">
        <f>IFERROR(__xludf.DUMMYFUNCTION("""COMPUTED_VALUE"""),"Sogod")</f>
        <v>Sogod</v>
      </c>
      <c r="AT95" s="142" t="str">
        <f>IFERROR(__xludf.DUMMYFUNCTION("""COMPUTED_VALUE"""),"Tabogon")</f>
        <v>Tabogon</v>
      </c>
      <c r="AU95" s="142" t="str">
        <f>IFERROR(__xludf.DUMMYFUNCTION("""COMPUTED_VALUE"""),"Tabuelan")</f>
        <v>Tabuelan</v>
      </c>
      <c r="AV95" s="142" t="str">
        <f>IFERROR(__xludf.DUMMYFUNCTION("""COMPUTED_VALUE"""),"City of Talisay")</f>
        <v>City of Talisay</v>
      </c>
      <c r="AW95" s="142" t="str">
        <f>IFERROR(__xludf.DUMMYFUNCTION("""COMPUTED_VALUE"""),"City of Toledo")</f>
        <v>City of Toledo</v>
      </c>
      <c r="AX95" s="142" t="str">
        <f>IFERROR(__xludf.DUMMYFUNCTION("""COMPUTED_VALUE"""),"Tuburan")</f>
        <v>Tuburan</v>
      </c>
      <c r="AY95" s="142" t="str">
        <f>IFERROR(__xludf.DUMMYFUNCTION("""COMPUTED_VALUE"""),"Tudela")</f>
        <v>Tudela</v>
      </c>
      <c r="AZ95" s="142" t="str">
        <f>IFERROR(__xludf.DUMMYFUNCTION("""COMPUTED_VALUE"""),"City of Cebu")</f>
        <v>City of Cebu</v>
      </c>
      <c r="BA95" s="142" t="str">
        <f>IFERROR(__xludf.DUMMYFUNCTION("""COMPUTED_VALUE"""),"City of Lapu-Lapu")</f>
        <v>City of Lapu-Lapu</v>
      </c>
      <c r="BB95" s="142" t="str">
        <f>IFERROR(__xludf.DUMMYFUNCTION("""COMPUTED_VALUE"""),"City of Mandaue")</f>
        <v>City of Mandaue</v>
      </c>
      <c r="BC95" s="8"/>
      <c r="BD95" s="8"/>
      <c r="BE95" s="8"/>
    </row>
    <row r="96">
      <c r="A96" s="142" t="s">
        <v>194</v>
      </c>
      <c r="B96" s="142" t="str">
        <f>IFERROR(__xludf.DUMMYFUNCTION("""COMPUTED_VALUE"""),"Alcantara")</f>
        <v>Alcantara</v>
      </c>
      <c r="C96" s="142" t="str">
        <f>IFERROR(__xludf.DUMMYFUNCTION("""COMPUTED_VALUE"""),"Alcoy")</f>
        <v>Alcoy</v>
      </c>
      <c r="D96" s="142" t="str">
        <f>IFERROR(__xludf.DUMMYFUNCTION("""COMPUTED_VALUE"""),"Alegria")</f>
        <v>Alegria</v>
      </c>
      <c r="E96" s="142" t="str">
        <f>IFERROR(__xludf.DUMMYFUNCTION("""COMPUTED_VALUE"""),"Aloguinsan")</f>
        <v>Aloguinsan</v>
      </c>
      <c r="F96" s="142" t="str">
        <f>IFERROR(__xludf.DUMMYFUNCTION("""COMPUTED_VALUE"""),"Argao")</f>
        <v>Argao</v>
      </c>
      <c r="G96" s="142" t="str">
        <f>IFERROR(__xludf.DUMMYFUNCTION("""COMPUTED_VALUE"""),"Asturias")</f>
        <v>Asturias</v>
      </c>
      <c r="H96" s="142" t="str">
        <f>IFERROR(__xludf.DUMMYFUNCTION("""COMPUTED_VALUE"""),"Badian")</f>
        <v>Badian</v>
      </c>
      <c r="I96" s="142" t="str">
        <f>IFERROR(__xludf.DUMMYFUNCTION("""COMPUTED_VALUE"""),"Balamban")</f>
        <v>Balamban</v>
      </c>
      <c r="J96" s="142" t="str">
        <f>IFERROR(__xludf.DUMMYFUNCTION("""COMPUTED_VALUE"""),"Bantayan")</f>
        <v>Bantayan</v>
      </c>
      <c r="K96" s="142" t="str">
        <f>IFERROR(__xludf.DUMMYFUNCTION("""COMPUTED_VALUE"""),"Barili")</f>
        <v>Barili</v>
      </c>
      <c r="L96" s="142" t="str">
        <f>IFERROR(__xludf.DUMMYFUNCTION("""COMPUTED_VALUE"""),"City of Bogo")</f>
        <v>City of Bogo</v>
      </c>
      <c r="M96" s="142" t="str">
        <f>IFERROR(__xludf.DUMMYFUNCTION("""COMPUTED_VALUE"""),"Boljoon")</f>
        <v>Boljoon</v>
      </c>
      <c r="N96" s="142" t="str">
        <f>IFERROR(__xludf.DUMMYFUNCTION("""COMPUTED_VALUE"""),"Borbon")</f>
        <v>Borbon</v>
      </c>
      <c r="O96" s="142" t="str">
        <f>IFERROR(__xludf.DUMMYFUNCTION("""COMPUTED_VALUE"""),"City of Carcar")</f>
        <v>City of Carcar</v>
      </c>
      <c r="P96" s="142" t="str">
        <f>IFERROR(__xludf.DUMMYFUNCTION("""COMPUTED_VALUE"""),"Carmen")</f>
        <v>Carmen</v>
      </c>
      <c r="Q96" s="142" t="str">
        <f>IFERROR(__xludf.DUMMYFUNCTION("""COMPUTED_VALUE"""),"Catmon")</f>
        <v>Catmon</v>
      </c>
      <c r="R96" s="142" t="str">
        <f>IFERROR(__xludf.DUMMYFUNCTION("""COMPUTED_VALUE"""),"Compostela")</f>
        <v>Compostela</v>
      </c>
      <c r="S96" s="142" t="str">
        <f>IFERROR(__xludf.DUMMYFUNCTION("""COMPUTED_VALUE"""),"Consolacion")</f>
        <v>Consolacion</v>
      </c>
      <c r="T96" s="142" t="str">
        <f>IFERROR(__xludf.DUMMYFUNCTION("""COMPUTED_VALUE"""),"Cordova")</f>
        <v>Cordova</v>
      </c>
      <c r="U96" s="142" t="str">
        <f>IFERROR(__xludf.DUMMYFUNCTION("""COMPUTED_VALUE"""),"Daanbantayan")</f>
        <v>Daanbantayan</v>
      </c>
      <c r="V96" s="142" t="str">
        <f>IFERROR(__xludf.DUMMYFUNCTION("""COMPUTED_VALUE"""),"Dalaguete")</f>
        <v>Dalaguete</v>
      </c>
      <c r="W96" s="142" t="str">
        <f>IFERROR(__xludf.DUMMYFUNCTION("""COMPUTED_VALUE"""),"Danao City")</f>
        <v>Danao City</v>
      </c>
      <c r="X96" s="142" t="str">
        <f>IFERROR(__xludf.DUMMYFUNCTION("""COMPUTED_VALUE"""),"Dumanjug")</f>
        <v>Dumanjug</v>
      </c>
      <c r="Y96" s="142" t="str">
        <f>IFERROR(__xludf.DUMMYFUNCTION("""COMPUTED_VALUE"""),"Ginatilan")</f>
        <v>Ginatilan</v>
      </c>
      <c r="Z96" s="142" t="str">
        <f>IFERROR(__xludf.DUMMYFUNCTION("""COMPUTED_VALUE"""),"Liloan")</f>
        <v>Liloan</v>
      </c>
      <c r="AA96" s="142" t="str">
        <f>IFERROR(__xludf.DUMMYFUNCTION("""COMPUTED_VALUE"""),"Madridejos")</f>
        <v>Madridejos</v>
      </c>
      <c r="AB96" s="142" t="str">
        <f>IFERROR(__xludf.DUMMYFUNCTION("""COMPUTED_VALUE"""),"Malabuyoc")</f>
        <v>Malabuyoc</v>
      </c>
      <c r="AC96" s="142" t="str">
        <f>IFERROR(__xludf.DUMMYFUNCTION("""COMPUTED_VALUE"""),"Medellin")</f>
        <v>Medellin</v>
      </c>
      <c r="AD96" s="142" t="str">
        <f>IFERROR(__xludf.DUMMYFUNCTION("""COMPUTED_VALUE"""),"Minglanilla")</f>
        <v>Minglanilla</v>
      </c>
      <c r="AE96" s="142" t="str">
        <f>IFERROR(__xludf.DUMMYFUNCTION("""COMPUTED_VALUE"""),"Moalboal")</f>
        <v>Moalboal</v>
      </c>
      <c r="AF96" s="142" t="str">
        <f>IFERROR(__xludf.DUMMYFUNCTION("""COMPUTED_VALUE"""),"City of Naga")</f>
        <v>City of Naga</v>
      </c>
      <c r="AG96" s="142" t="str">
        <f>IFERROR(__xludf.DUMMYFUNCTION("""COMPUTED_VALUE"""),"Oslob")</f>
        <v>Oslob</v>
      </c>
      <c r="AH96" s="142" t="str">
        <f>IFERROR(__xludf.DUMMYFUNCTION("""COMPUTED_VALUE"""),"Pilar")</f>
        <v>Pilar</v>
      </c>
      <c r="AI96" s="142" t="str">
        <f>IFERROR(__xludf.DUMMYFUNCTION("""COMPUTED_VALUE"""),"Pinamungajan")</f>
        <v>Pinamungajan</v>
      </c>
      <c r="AJ96" s="142" t="str">
        <f>IFERROR(__xludf.DUMMYFUNCTION("""COMPUTED_VALUE"""),"Poro")</f>
        <v>Poro</v>
      </c>
      <c r="AK96" s="142" t="str">
        <f>IFERROR(__xludf.DUMMYFUNCTION("""COMPUTED_VALUE"""),"Ronda")</f>
        <v>Ronda</v>
      </c>
      <c r="AL96" s="142" t="str">
        <f>IFERROR(__xludf.DUMMYFUNCTION("""COMPUTED_VALUE"""),"Samboan")</f>
        <v>Samboan</v>
      </c>
      <c r="AM96" s="142" t="str">
        <f>IFERROR(__xludf.DUMMYFUNCTION("""COMPUTED_VALUE"""),"San Fernando")</f>
        <v>San Fernando</v>
      </c>
      <c r="AN96" s="142" t="str">
        <f>IFERROR(__xludf.DUMMYFUNCTION("""COMPUTED_VALUE"""),"San Francisco")</f>
        <v>San Francisco</v>
      </c>
      <c r="AO96" s="142" t="str">
        <f>IFERROR(__xludf.DUMMYFUNCTION("""COMPUTED_VALUE"""),"San Remigio")</f>
        <v>San Remigio</v>
      </c>
      <c r="AP96" s="142" t="str">
        <f>IFERROR(__xludf.DUMMYFUNCTION("""COMPUTED_VALUE"""),"Santa Fe")</f>
        <v>Santa Fe</v>
      </c>
      <c r="AQ96" s="142" t="str">
        <f>IFERROR(__xludf.DUMMYFUNCTION("""COMPUTED_VALUE"""),"Santander")</f>
        <v>Santander</v>
      </c>
      <c r="AR96" s="142" t="str">
        <f>IFERROR(__xludf.DUMMYFUNCTION("""COMPUTED_VALUE"""),"Sibonga")</f>
        <v>Sibonga</v>
      </c>
      <c r="AS96" s="142" t="str">
        <f>IFERROR(__xludf.DUMMYFUNCTION("""COMPUTED_VALUE"""),"Sogod")</f>
        <v>Sogod</v>
      </c>
      <c r="AT96" s="142" t="str">
        <f>IFERROR(__xludf.DUMMYFUNCTION("""COMPUTED_VALUE"""),"Tabogon")</f>
        <v>Tabogon</v>
      </c>
      <c r="AU96" s="142" t="str">
        <f>IFERROR(__xludf.DUMMYFUNCTION("""COMPUTED_VALUE"""),"Tabuelan")</f>
        <v>Tabuelan</v>
      </c>
      <c r="AV96" s="142" t="str">
        <f>IFERROR(__xludf.DUMMYFUNCTION("""COMPUTED_VALUE"""),"City of Talisay")</f>
        <v>City of Talisay</v>
      </c>
      <c r="AW96" s="142" t="str">
        <f>IFERROR(__xludf.DUMMYFUNCTION("""COMPUTED_VALUE"""),"City of Toledo")</f>
        <v>City of Toledo</v>
      </c>
      <c r="AX96" s="142" t="str">
        <f>IFERROR(__xludf.DUMMYFUNCTION("""COMPUTED_VALUE"""),"Tuburan")</f>
        <v>Tuburan</v>
      </c>
      <c r="AY96" s="142" t="str">
        <f>IFERROR(__xludf.DUMMYFUNCTION("""COMPUTED_VALUE"""),"Tudela")</f>
        <v>Tudela</v>
      </c>
      <c r="AZ96" s="142" t="str">
        <f>IFERROR(__xludf.DUMMYFUNCTION("""COMPUTED_VALUE"""),"City of Cebu")</f>
        <v>City of Cebu</v>
      </c>
      <c r="BA96" s="142" t="str">
        <f>IFERROR(__xludf.DUMMYFUNCTION("""COMPUTED_VALUE"""),"City of Lapu-Lapu")</f>
        <v>City of Lapu-Lapu</v>
      </c>
      <c r="BB96" s="142" t="str">
        <f>IFERROR(__xludf.DUMMYFUNCTION("""COMPUTED_VALUE"""),"City of Mandaue")</f>
        <v>City of Mandaue</v>
      </c>
      <c r="BC96" s="8"/>
      <c r="BD96" s="8"/>
      <c r="BE96" s="8"/>
    </row>
    <row r="97">
      <c r="A97" s="142" t="s">
        <v>194</v>
      </c>
      <c r="B97" s="142" t="str">
        <f>IFERROR(__xludf.DUMMYFUNCTION("""COMPUTED_VALUE"""),"Alcantara")</f>
        <v>Alcantara</v>
      </c>
      <c r="C97" s="142" t="str">
        <f>IFERROR(__xludf.DUMMYFUNCTION("""COMPUTED_VALUE"""),"Alcoy")</f>
        <v>Alcoy</v>
      </c>
      <c r="D97" s="142" t="str">
        <f>IFERROR(__xludf.DUMMYFUNCTION("""COMPUTED_VALUE"""),"Alegria")</f>
        <v>Alegria</v>
      </c>
      <c r="E97" s="142" t="str">
        <f>IFERROR(__xludf.DUMMYFUNCTION("""COMPUTED_VALUE"""),"Aloguinsan")</f>
        <v>Aloguinsan</v>
      </c>
      <c r="F97" s="142" t="str">
        <f>IFERROR(__xludf.DUMMYFUNCTION("""COMPUTED_VALUE"""),"Argao")</f>
        <v>Argao</v>
      </c>
      <c r="G97" s="142" t="str">
        <f>IFERROR(__xludf.DUMMYFUNCTION("""COMPUTED_VALUE"""),"Asturias")</f>
        <v>Asturias</v>
      </c>
      <c r="H97" s="142" t="str">
        <f>IFERROR(__xludf.DUMMYFUNCTION("""COMPUTED_VALUE"""),"Badian")</f>
        <v>Badian</v>
      </c>
      <c r="I97" s="142" t="str">
        <f>IFERROR(__xludf.DUMMYFUNCTION("""COMPUTED_VALUE"""),"Balamban")</f>
        <v>Balamban</v>
      </c>
      <c r="J97" s="142" t="str">
        <f>IFERROR(__xludf.DUMMYFUNCTION("""COMPUTED_VALUE"""),"Bantayan")</f>
        <v>Bantayan</v>
      </c>
      <c r="K97" s="142" t="str">
        <f>IFERROR(__xludf.DUMMYFUNCTION("""COMPUTED_VALUE"""),"Barili")</f>
        <v>Barili</v>
      </c>
      <c r="L97" s="142" t="str">
        <f>IFERROR(__xludf.DUMMYFUNCTION("""COMPUTED_VALUE"""),"City of Bogo")</f>
        <v>City of Bogo</v>
      </c>
      <c r="M97" s="142" t="str">
        <f>IFERROR(__xludf.DUMMYFUNCTION("""COMPUTED_VALUE"""),"Boljoon")</f>
        <v>Boljoon</v>
      </c>
      <c r="N97" s="142" t="str">
        <f>IFERROR(__xludf.DUMMYFUNCTION("""COMPUTED_VALUE"""),"Borbon")</f>
        <v>Borbon</v>
      </c>
      <c r="O97" s="142" t="str">
        <f>IFERROR(__xludf.DUMMYFUNCTION("""COMPUTED_VALUE"""),"City of Carcar")</f>
        <v>City of Carcar</v>
      </c>
      <c r="P97" s="142" t="str">
        <f>IFERROR(__xludf.DUMMYFUNCTION("""COMPUTED_VALUE"""),"Carmen")</f>
        <v>Carmen</v>
      </c>
      <c r="Q97" s="142" t="str">
        <f>IFERROR(__xludf.DUMMYFUNCTION("""COMPUTED_VALUE"""),"Catmon")</f>
        <v>Catmon</v>
      </c>
      <c r="R97" s="142" t="str">
        <f>IFERROR(__xludf.DUMMYFUNCTION("""COMPUTED_VALUE"""),"Compostela")</f>
        <v>Compostela</v>
      </c>
      <c r="S97" s="142" t="str">
        <f>IFERROR(__xludf.DUMMYFUNCTION("""COMPUTED_VALUE"""),"Consolacion")</f>
        <v>Consolacion</v>
      </c>
      <c r="T97" s="142" t="str">
        <f>IFERROR(__xludf.DUMMYFUNCTION("""COMPUTED_VALUE"""),"Cordova")</f>
        <v>Cordova</v>
      </c>
      <c r="U97" s="142" t="str">
        <f>IFERROR(__xludf.DUMMYFUNCTION("""COMPUTED_VALUE"""),"Daanbantayan")</f>
        <v>Daanbantayan</v>
      </c>
      <c r="V97" s="142" t="str">
        <f>IFERROR(__xludf.DUMMYFUNCTION("""COMPUTED_VALUE"""),"Dalaguete")</f>
        <v>Dalaguete</v>
      </c>
      <c r="W97" s="142" t="str">
        <f>IFERROR(__xludf.DUMMYFUNCTION("""COMPUTED_VALUE"""),"Danao City")</f>
        <v>Danao City</v>
      </c>
      <c r="X97" s="142" t="str">
        <f>IFERROR(__xludf.DUMMYFUNCTION("""COMPUTED_VALUE"""),"Dumanjug")</f>
        <v>Dumanjug</v>
      </c>
      <c r="Y97" s="142" t="str">
        <f>IFERROR(__xludf.DUMMYFUNCTION("""COMPUTED_VALUE"""),"Ginatilan")</f>
        <v>Ginatilan</v>
      </c>
      <c r="Z97" s="142" t="str">
        <f>IFERROR(__xludf.DUMMYFUNCTION("""COMPUTED_VALUE"""),"Liloan")</f>
        <v>Liloan</v>
      </c>
      <c r="AA97" s="142" t="str">
        <f>IFERROR(__xludf.DUMMYFUNCTION("""COMPUTED_VALUE"""),"Madridejos")</f>
        <v>Madridejos</v>
      </c>
      <c r="AB97" s="142" t="str">
        <f>IFERROR(__xludf.DUMMYFUNCTION("""COMPUTED_VALUE"""),"Malabuyoc")</f>
        <v>Malabuyoc</v>
      </c>
      <c r="AC97" s="142" t="str">
        <f>IFERROR(__xludf.DUMMYFUNCTION("""COMPUTED_VALUE"""),"Medellin")</f>
        <v>Medellin</v>
      </c>
      <c r="AD97" s="142" t="str">
        <f>IFERROR(__xludf.DUMMYFUNCTION("""COMPUTED_VALUE"""),"Minglanilla")</f>
        <v>Minglanilla</v>
      </c>
      <c r="AE97" s="142" t="str">
        <f>IFERROR(__xludf.DUMMYFUNCTION("""COMPUTED_VALUE"""),"Moalboal")</f>
        <v>Moalboal</v>
      </c>
      <c r="AF97" s="142" t="str">
        <f>IFERROR(__xludf.DUMMYFUNCTION("""COMPUTED_VALUE"""),"City of Naga")</f>
        <v>City of Naga</v>
      </c>
      <c r="AG97" s="142" t="str">
        <f>IFERROR(__xludf.DUMMYFUNCTION("""COMPUTED_VALUE"""),"Oslob")</f>
        <v>Oslob</v>
      </c>
      <c r="AH97" s="142" t="str">
        <f>IFERROR(__xludf.DUMMYFUNCTION("""COMPUTED_VALUE"""),"Pilar")</f>
        <v>Pilar</v>
      </c>
      <c r="AI97" s="142" t="str">
        <f>IFERROR(__xludf.DUMMYFUNCTION("""COMPUTED_VALUE"""),"Pinamungajan")</f>
        <v>Pinamungajan</v>
      </c>
      <c r="AJ97" s="142" t="str">
        <f>IFERROR(__xludf.DUMMYFUNCTION("""COMPUTED_VALUE"""),"Poro")</f>
        <v>Poro</v>
      </c>
      <c r="AK97" s="142" t="str">
        <f>IFERROR(__xludf.DUMMYFUNCTION("""COMPUTED_VALUE"""),"Ronda")</f>
        <v>Ronda</v>
      </c>
      <c r="AL97" s="142" t="str">
        <f>IFERROR(__xludf.DUMMYFUNCTION("""COMPUTED_VALUE"""),"Samboan")</f>
        <v>Samboan</v>
      </c>
      <c r="AM97" s="142" t="str">
        <f>IFERROR(__xludf.DUMMYFUNCTION("""COMPUTED_VALUE"""),"San Fernando")</f>
        <v>San Fernando</v>
      </c>
      <c r="AN97" s="142" t="str">
        <f>IFERROR(__xludf.DUMMYFUNCTION("""COMPUTED_VALUE"""),"San Francisco")</f>
        <v>San Francisco</v>
      </c>
      <c r="AO97" s="142" t="str">
        <f>IFERROR(__xludf.DUMMYFUNCTION("""COMPUTED_VALUE"""),"San Remigio")</f>
        <v>San Remigio</v>
      </c>
      <c r="AP97" s="142" t="str">
        <f>IFERROR(__xludf.DUMMYFUNCTION("""COMPUTED_VALUE"""),"Santa Fe")</f>
        <v>Santa Fe</v>
      </c>
      <c r="AQ97" s="142" t="str">
        <f>IFERROR(__xludf.DUMMYFUNCTION("""COMPUTED_VALUE"""),"Santander")</f>
        <v>Santander</v>
      </c>
      <c r="AR97" s="142" t="str">
        <f>IFERROR(__xludf.DUMMYFUNCTION("""COMPUTED_VALUE"""),"Sibonga")</f>
        <v>Sibonga</v>
      </c>
      <c r="AS97" s="142" t="str">
        <f>IFERROR(__xludf.DUMMYFUNCTION("""COMPUTED_VALUE"""),"Sogod")</f>
        <v>Sogod</v>
      </c>
      <c r="AT97" s="142" t="str">
        <f>IFERROR(__xludf.DUMMYFUNCTION("""COMPUTED_VALUE"""),"Tabogon")</f>
        <v>Tabogon</v>
      </c>
      <c r="AU97" s="142" t="str">
        <f>IFERROR(__xludf.DUMMYFUNCTION("""COMPUTED_VALUE"""),"Tabuelan")</f>
        <v>Tabuelan</v>
      </c>
      <c r="AV97" s="142" t="str">
        <f>IFERROR(__xludf.DUMMYFUNCTION("""COMPUTED_VALUE"""),"City of Talisay")</f>
        <v>City of Talisay</v>
      </c>
      <c r="AW97" s="142" t="str">
        <f>IFERROR(__xludf.DUMMYFUNCTION("""COMPUTED_VALUE"""),"City of Toledo")</f>
        <v>City of Toledo</v>
      </c>
      <c r="AX97" s="142" t="str">
        <f>IFERROR(__xludf.DUMMYFUNCTION("""COMPUTED_VALUE"""),"Tuburan")</f>
        <v>Tuburan</v>
      </c>
      <c r="AY97" s="142" t="str">
        <f>IFERROR(__xludf.DUMMYFUNCTION("""COMPUTED_VALUE"""),"Tudela")</f>
        <v>Tudela</v>
      </c>
      <c r="AZ97" s="142" t="str">
        <f>IFERROR(__xludf.DUMMYFUNCTION("""COMPUTED_VALUE"""),"City of Cebu")</f>
        <v>City of Cebu</v>
      </c>
      <c r="BA97" s="142" t="str">
        <f>IFERROR(__xludf.DUMMYFUNCTION("""COMPUTED_VALUE"""),"City of Lapu-Lapu")</f>
        <v>City of Lapu-Lapu</v>
      </c>
      <c r="BB97" s="142" t="str">
        <f>IFERROR(__xludf.DUMMYFUNCTION("""COMPUTED_VALUE"""),"City of Mandaue")</f>
        <v>City of Mandaue</v>
      </c>
      <c r="BC97" s="8"/>
      <c r="BD97" s="8"/>
      <c r="BE97" s="8"/>
    </row>
    <row r="98">
      <c r="A98" s="142" t="s">
        <v>194</v>
      </c>
      <c r="B98" s="142" t="str">
        <f>IFERROR(__xludf.DUMMYFUNCTION("""COMPUTED_VALUE"""),"Alcantara")</f>
        <v>Alcantara</v>
      </c>
      <c r="C98" s="142" t="str">
        <f>IFERROR(__xludf.DUMMYFUNCTION("""COMPUTED_VALUE"""),"Alcoy")</f>
        <v>Alcoy</v>
      </c>
      <c r="D98" s="142" t="str">
        <f>IFERROR(__xludf.DUMMYFUNCTION("""COMPUTED_VALUE"""),"Alegria")</f>
        <v>Alegria</v>
      </c>
      <c r="E98" s="142" t="str">
        <f>IFERROR(__xludf.DUMMYFUNCTION("""COMPUTED_VALUE"""),"Aloguinsan")</f>
        <v>Aloguinsan</v>
      </c>
      <c r="F98" s="142" t="str">
        <f>IFERROR(__xludf.DUMMYFUNCTION("""COMPUTED_VALUE"""),"Argao")</f>
        <v>Argao</v>
      </c>
      <c r="G98" s="142" t="str">
        <f>IFERROR(__xludf.DUMMYFUNCTION("""COMPUTED_VALUE"""),"Asturias")</f>
        <v>Asturias</v>
      </c>
      <c r="H98" s="142" t="str">
        <f>IFERROR(__xludf.DUMMYFUNCTION("""COMPUTED_VALUE"""),"Badian")</f>
        <v>Badian</v>
      </c>
      <c r="I98" s="142" t="str">
        <f>IFERROR(__xludf.DUMMYFUNCTION("""COMPUTED_VALUE"""),"Balamban")</f>
        <v>Balamban</v>
      </c>
      <c r="J98" s="142" t="str">
        <f>IFERROR(__xludf.DUMMYFUNCTION("""COMPUTED_VALUE"""),"Bantayan")</f>
        <v>Bantayan</v>
      </c>
      <c r="K98" s="142" t="str">
        <f>IFERROR(__xludf.DUMMYFUNCTION("""COMPUTED_VALUE"""),"Barili")</f>
        <v>Barili</v>
      </c>
      <c r="L98" s="142" t="str">
        <f>IFERROR(__xludf.DUMMYFUNCTION("""COMPUTED_VALUE"""),"City of Bogo")</f>
        <v>City of Bogo</v>
      </c>
      <c r="M98" s="142" t="str">
        <f>IFERROR(__xludf.DUMMYFUNCTION("""COMPUTED_VALUE"""),"Boljoon")</f>
        <v>Boljoon</v>
      </c>
      <c r="N98" s="142" t="str">
        <f>IFERROR(__xludf.DUMMYFUNCTION("""COMPUTED_VALUE"""),"Borbon")</f>
        <v>Borbon</v>
      </c>
      <c r="O98" s="142" t="str">
        <f>IFERROR(__xludf.DUMMYFUNCTION("""COMPUTED_VALUE"""),"City of Carcar")</f>
        <v>City of Carcar</v>
      </c>
      <c r="P98" s="142" t="str">
        <f>IFERROR(__xludf.DUMMYFUNCTION("""COMPUTED_VALUE"""),"Carmen")</f>
        <v>Carmen</v>
      </c>
      <c r="Q98" s="142" t="str">
        <f>IFERROR(__xludf.DUMMYFUNCTION("""COMPUTED_VALUE"""),"Catmon")</f>
        <v>Catmon</v>
      </c>
      <c r="R98" s="142" t="str">
        <f>IFERROR(__xludf.DUMMYFUNCTION("""COMPUTED_VALUE"""),"Compostela")</f>
        <v>Compostela</v>
      </c>
      <c r="S98" s="142" t="str">
        <f>IFERROR(__xludf.DUMMYFUNCTION("""COMPUTED_VALUE"""),"Consolacion")</f>
        <v>Consolacion</v>
      </c>
      <c r="T98" s="142" t="str">
        <f>IFERROR(__xludf.DUMMYFUNCTION("""COMPUTED_VALUE"""),"Cordova")</f>
        <v>Cordova</v>
      </c>
      <c r="U98" s="142" t="str">
        <f>IFERROR(__xludf.DUMMYFUNCTION("""COMPUTED_VALUE"""),"Daanbantayan")</f>
        <v>Daanbantayan</v>
      </c>
      <c r="V98" s="142" t="str">
        <f>IFERROR(__xludf.DUMMYFUNCTION("""COMPUTED_VALUE"""),"Dalaguete")</f>
        <v>Dalaguete</v>
      </c>
      <c r="W98" s="142" t="str">
        <f>IFERROR(__xludf.DUMMYFUNCTION("""COMPUTED_VALUE"""),"Danao City")</f>
        <v>Danao City</v>
      </c>
      <c r="X98" s="142" t="str">
        <f>IFERROR(__xludf.DUMMYFUNCTION("""COMPUTED_VALUE"""),"Dumanjug")</f>
        <v>Dumanjug</v>
      </c>
      <c r="Y98" s="142" t="str">
        <f>IFERROR(__xludf.DUMMYFUNCTION("""COMPUTED_VALUE"""),"Ginatilan")</f>
        <v>Ginatilan</v>
      </c>
      <c r="Z98" s="142" t="str">
        <f>IFERROR(__xludf.DUMMYFUNCTION("""COMPUTED_VALUE"""),"Liloan")</f>
        <v>Liloan</v>
      </c>
      <c r="AA98" s="142" t="str">
        <f>IFERROR(__xludf.DUMMYFUNCTION("""COMPUTED_VALUE"""),"Madridejos")</f>
        <v>Madridejos</v>
      </c>
      <c r="AB98" s="142" t="str">
        <f>IFERROR(__xludf.DUMMYFUNCTION("""COMPUTED_VALUE"""),"Malabuyoc")</f>
        <v>Malabuyoc</v>
      </c>
      <c r="AC98" s="142" t="str">
        <f>IFERROR(__xludf.DUMMYFUNCTION("""COMPUTED_VALUE"""),"Medellin")</f>
        <v>Medellin</v>
      </c>
      <c r="AD98" s="142" t="str">
        <f>IFERROR(__xludf.DUMMYFUNCTION("""COMPUTED_VALUE"""),"Minglanilla")</f>
        <v>Minglanilla</v>
      </c>
      <c r="AE98" s="142" t="str">
        <f>IFERROR(__xludf.DUMMYFUNCTION("""COMPUTED_VALUE"""),"Moalboal")</f>
        <v>Moalboal</v>
      </c>
      <c r="AF98" s="142" t="str">
        <f>IFERROR(__xludf.DUMMYFUNCTION("""COMPUTED_VALUE"""),"City of Naga")</f>
        <v>City of Naga</v>
      </c>
      <c r="AG98" s="142" t="str">
        <f>IFERROR(__xludf.DUMMYFUNCTION("""COMPUTED_VALUE"""),"Oslob")</f>
        <v>Oslob</v>
      </c>
      <c r="AH98" s="142" t="str">
        <f>IFERROR(__xludf.DUMMYFUNCTION("""COMPUTED_VALUE"""),"Pilar")</f>
        <v>Pilar</v>
      </c>
      <c r="AI98" s="142" t="str">
        <f>IFERROR(__xludf.DUMMYFUNCTION("""COMPUTED_VALUE"""),"Pinamungajan")</f>
        <v>Pinamungajan</v>
      </c>
      <c r="AJ98" s="142" t="str">
        <f>IFERROR(__xludf.DUMMYFUNCTION("""COMPUTED_VALUE"""),"Poro")</f>
        <v>Poro</v>
      </c>
      <c r="AK98" s="142" t="str">
        <f>IFERROR(__xludf.DUMMYFUNCTION("""COMPUTED_VALUE"""),"Ronda")</f>
        <v>Ronda</v>
      </c>
      <c r="AL98" s="142" t="str">
        <f>IFERROR(__xludf.DUMMYFUNCTION("""COMPUTED_VALUE"""),"Samboan")</f>
        <v>Samboan</v>
      </c>
      <c r="AM98" s="142" t="str">
        <f>IFERROR(__xludf.DUMMYFUNCTION("""COMPUTED_VALUE"""),"San Fernando")</f>
        <v>San Fernando</v>
      </c>
      <c r="AN98" s="142" t="str">
        <f>IFERROR(__xludf.DUMMYFUNCTION("""COMPUTED_VALUE"""),"San Francisco")</f>
        <v>San Francisco</v>
      </c>
      <c r="AO98" s="142" t="str">
        <f>IFERROR(__xludf.DUMMYFUNCTION("""COMPUTED_VALUE"""),"San Remigio")</f>
        <v>San Remigio</v>
      </c>
      <c r="AP98" s="142" t="str">
        <f>IFERROR(__xludf.DUMMYFUNCTION("""COMPUTED_VALUE"""),"Santa Fe")</f>
        <v>Santa Fe</v>
      </c>
      <c r="AQ98" s="142" t="str">
        <f>IFERROR(__xludf.DUMMYFUNCTION("""COMPUTED_VALUE"""),"Santander")</f>
        <v>Santander</v>
      </c>
      <c r="AR98" s="142" t="str">
        <f>IFERROR(__xludf.DUMMYFUNCTION("""COMPUTED_VALUE"""),"Sibonga")</f>
        <v>Sibonga</v>
      </c>
      <c r="AS98" s="142" t="str">
        <f>IFERROR(__xludf.DUMMYFUNCTION("""COMPUTED_VALUE"""),"Sogod")</f>
        <v>Sogod</v>
      </c>
      <c r="AT98" s="142" t="str">
        <f>IFERROR(__xludf.DUMMYFUNCTION("""COMPUTED_VALUE"""),"Tabogon")</f>
        <v>Tabogon</v>
      </c>
      <c r="AU98" s="142" t="str">
        <f>IFERROR(__xludf.DUMMYFUNCTION("""COMPUTED_VALUE"""),"Tabuelan")</f>
        <v>Tabuelan</v>
      </c>
      <c r="AV98" s="142" t="str">
        <f>IFERROR(__xludf.DUMMYFUNCTION("""COMPUTED_VALUE"""),"City of Talisay")</f>
        <v>City of Talisay</v>
      </c>
      <c r="AW98" s="142" t="str">
        <f>IFERROR(__xludf.DUMMYFUNCTION("""COMPUTED_VALUE"""),"City of Toledo")</f>
        <v>City of Toledo</v>
      </c>
      <c r="AX98" s="142" t="str">
        <f>IFERROR(__xludf.DUMMYFUNCTION("""COMPUTED_VALUE"""),"Tuburan")</f>
        <v>Tuburan</v>
      </c>
      <c r="AY98" s="142" t="str">
        <f>IFERROR(__xludf.DUMMYFUNCTION("""COMPUTED_VALUE"""),"Tudela")</f>
        <v>Tudela</v>
      </c>
      <c r="AZ98" s="142" t="str">
        <f>IFERROR(__xludf.DUMMYFUNCTION("""COMPUTED_VALUE"""),"City of Cebu")</f>
        <v>City of Cebu</v>
      </c>
      <c r="BA98" s="142" t="str">
        <f>IFERROR(__xludf.DUMMYFUNCTION("""COMPUTED_VALUE"""),"City of Lapu-Lapu")</f>
        <v>City of Lapu-Lapu</v>
      </c>
      <c r="BB98" s="142" t="str">
        <f>IFERROR(__xludf.DUMMYFUNCTION("""COMPUTED_VALUE"""),"City of Mandaue")</f>
        <v>City of Mandaue</v>
      </c>
      <c r="BC98" s="8"/>
      <c r="BD98" s="8"/>
      <c r="BE98" s="8"/>
    </row>
    <row r="99">
      <c r="A99" s="142" t="s">
        <v>194</v>
      </c>
      <c r="B99" s="142" t="str">
        <f>IFERROR(__xludf.DUMMYFUNCTION("""COMPUTED_VALUE"""),"Alcantara")</f>
        <v>Alcantara</v>
      </c>
      <c r="C99" s="142" t="str">
        <f>IFERROR(__xludf.DUMMYFUNCTION("""COMPUTED_VALUE"""),"Alcoy")</f>
        <v>Alcoy</v>
      </c>
      <c r="D99" s="142" t="str">
        <f>IFERROR(__xludf.DUMMYFUNCTION("""COMPUTED_VALUE"""),"Alegria")</f>
        <v>Alegria</v>
      </c>
      <c r="E99" s="142" t="str">
        <f>IFERROR(__xludf.DUMMYFUNCTION("""COMPUTED_VALUE"""),"Aloguinsan")</f>
        <v>Aloguinsan</v>
      </c>
      <c r="F99" s="142" t="str">
        <f>IFERROR(__xludf.DUMMYFUNCTION("""COMPUTED_VALUE"""),"Argao")</f>
        <v>Argao</v>
      </c>
      <c r="G99" s="142" t="str">
        <f>IFERROR(__xludf.DUMMYFUNCTION("""COMPUTED_VALUE"""),"Asturias")</f>
        <v>Asturias</v>
      </c>
      <c r="H99" s="142" t="str">
        <f>IFERROR(__xludf.DUMMYFUNCTION("""COMPUTED_VALUE"""),"Badian")</f>
        <v>Badian</v>
      </c>
      <c r="I99" s="142" t="str">
        <f>IFERROR(__xludf.DUMMYFUNCTION("""COMPUTED_VALUE"""),"Balamban")</f>
        <v>Balamban</v>
      </c>
      <c r="J99" s="142" t="str">
        <f>IFERROR(__xludf.DUMMYFUNCTION("""COMPUTED_VALUE"""),"Bantayan")</f>
        <v>Bantayan</v>
      </c>
      <c r="K99" s="142" t="str">
        <f>IFERROR(__xludf.DUMMYFUNCTION("""COMPUTED_VALUE"""),"Barili")</f>
        <v>Barili</v>
      </c>
      <c r="L99" s="142" t="str">
        <f>IFERROR(__xludf.DUMMYFUNCTION("""COMPUTED_VALUE"""),"City of Bogo")</f>
        <v>City of Bogo</v>
      </c>
      <c r="M99" s="142" t="str">
        <f>IFERROR(__xludf.DUMMYFUNCTION("""COMPUTED_VALUE"""),"Boljoon")</f>
        <v>Boljoon</v>
      </c>
      <c r="N99" s="142" t="str">
        <f>IFERROR(__xludf.DUMMYFUNCTION("""COMPUTED_VALUE"""),"Borbon")</f>
        <v>Borbon</v>
      </c>
      <c r="O99" s="142" t="str">
        <f>IFERROR(__xludf.DUMMYFUNCTION("""COMPUTED_VALUE"""),"City of Carcar")</f>
        <v>City of Carcar</v>
      </c>
      <c r="P99" s="142" t="str">
        <f>IFERROR(__xludf.DUMMYFUNCTION("""COMPUTED_VALUE"""),"Carmen")</f>
        <v>Carmen</v>
      </c>
      <c r="Q99" s="142" t="str">
        <f>IFERROR(__xludf.DUMMYFUNCTION("""COMPUTED_VALUE"""),"Catmon")</f>
        <v>Catmon</v>
      </c>
      <c r="R99" s="142" t="str">
        <f>IFERROR(__xludf.DUMMYFUNCTION("""COMPUTED_VALUE"""),"Compostela")</f>
        <v>Compostela</v>
      </c>
      <c r="S99" s="142" t="str">
        <f>IFERROR(__xludf.DUMMYFUNCTION("""COMPUTED_VALUE"""),"Consolacion")</f>
        <v>Consolacion</v>
      </c>
      <c r="T99" s="142" t="str">
        <f>IFERROR(__xludf.DUMMYFUNCTION("""COMPUTED_VALUE"""),"Cordova")</f>
        <v>Cordova</v>
      </c>
      <c r="U99" s="142" t="str">
        <f>IFERROR(__xludf.DUMMYFUNCTION("""COMPUTED_VALUE"""),"Daanbantayan")</f>
        <v>Daanbantayan</v>
      </c>
      <c r="V99" s="142" t="str">
        <f>IFERROR(__xludf.DUMMYFUNCTION("""COMPUTED_VALUE"""),"Dalaguete")</f>
        <v>Dalaguete</v>
      </c>
      <c r="W99" s="142" t="str">
        <f>IFERROR(__xludf.DUMMYFUNCTION("""COMPUTED_VALUE"""),"Danao City")</f>
        <v>Danao City</v>
      </c>
      <c r="X99" s="142" t="str">
        <f>IFERROR(__xludf.DUMMYFUNCTION("""COMPUTED_VALUE"""),"Dumanjug")</f>
        <v>Dumanjug</v>
      </c>
      <c r="Y99" s="142" t="str">
        <f>IFERROR(__xludf.DUMMYFUNCTION("""COMPUTED_VALUE"""),"Ginatilan")</f>
        <v>Ginatilan</v>
      </c>
      <c r="Z99" s="142" t="str">
        <f>IFERROR(__xludf.DUMMYFUNCTION("""COMPUTED_VALUE"""),"Liloan")</f>
        <v>Liloan</v>
      </c>
      <c r="AA99" s="142" t="str">
        <f>IFERROR(__xludf.DUMMYFUNCTION("""COMPUTED_VALUE"""),"Madridejos")</f>
        <v>Madridejos</v>
      </c>
      <c r="AB99" s="142" t="str">
        <f>IFERROR(__xludf.DUMMYFUNCTION("""COMPUTED_VALUE"""),"Malabuyoc")</f>
        <v>Malabuyoc</v>
      </c>
      <c r="AC99" s="142" t="str">
        <f>IFERROR(__xludf.DUMMYFUNCTION("""COMPUTED_VALUE"""),"Medellin")</f>
        <v>Medellin</v>
      </c>
      <c r="AD99" s="142" t="str">
        <f>IFERROR(__xludf.DUMMYFUNCTION("""COMPUTED_VALUE"""),"Minglanilla")</f>
        <v>Minglanilla</v>
      </c>
      <c r="AE99" s="142" t="str">
        <f>IFERROR(__xludf.DUMMYFUNCTION("""COMPUTED_VALUE"""),"Moalboal")</f>
        <v>Moalboal</v>
      </c>
      <c r="AF99" s="142" t="str">
        <f>IFERROR(__xludf.DUMMYFUNCTION("""COMPUTED_VALUE"""),"City of Naga")</f>
        <v>City of Naga</v>
      </c>
      <c r="AG99" s="142" t="str">
        <f>IFERROR(__xludf.DUMMYFUNCTION("""COMPUTED_VALUE"""),"Oslob")</f>
        <v>Oslob</v>
      </c>
      <c r="AH99" s="142" t="str">
        <f>IFERROR(__xludf.DUMMYFUNCTION("""COMPUTED_VALUE"""),"Pilar")</f>
        <v>Pilar</v>
      </c>
      <c r="AI99" s="142" t="str">
        <f>IFERROR(__xludf.DUMMYFUNCTION("""COMPUTED_VALUE"""),"Pinamungajan")</f>
        <v>Pinamungajan</v>
      </c>
      <c r="AJ99" s="142" t="str">
        <f>IFERROR(__xludf.DUMMYFUNCTION("""COMPUTED_VALUE"""),"Poro")</f>
        <v>Poro</v>
      </c>
      <c r="AK99" s="142" t="str">
        <f>IFERROR(__xludf.DUMMYFUNCTION("""COMPUTED_VALUE"""),"Ronda")</f>
        <v>Ronda</v>
      </c>
      <c r="AL99" s="142" t="str">
        <f>IFERROR(__xludf.DUMMYFUNCTION("""COMPUTED_VALUE"""),"Samboan")</f>
        <v>Samboan</v>
      </c>
      <c r="AM99" s="142" t="str">
        <f>IFERROR(__xludf.DUMMYFUNCTION("""COMPUTED_VALUE"""),"San Fernando")</f>
        <v>San Fernando</v>
      </c>
      <c r="AN99" s="142" t="str">
        <f>IFERROR(__xludf.DUMMYFUNCTION("""COMPUTED_VALUE"""),"San Francisco")</f>
        <v>San Francisco</v>
      </c>
      <c r="AO99" s="142" t="str">
        <f>IFERROR(__xludf.DUMMYFUNCTION("""COMPUTED_VALUE"""),"San Remigio")</f>
        <v>San Remigio</v>
      </c>
      <c r="AP99" s="142" t="str">
        <f>IFERROR(__xludf.DUMMYFUNCTION("""COMPUTED_VALUE"""),"Santa Fe")</f>
        <v>Santa Fe</v>
      </c>
      <c r="AQ99" s="142" t="str">
        <f>IFERROR(__xludf.DUMMYFUNCTION("""COMPUTED_VALUE"""),"Santander")</f>
        <v>Santander</v>
      </c>
      <c r="AR99" s="142" t="str">
        <f>IFERROR(__xludf.DUMMYFUNCTION("""COMPUTED_VALUE"""),"Sibonga")</f>
        <v>Sibonga</v>
      </c>
      <c r="AS99" s="142" t="str">
        <f>IFERROR(__xludf.DUMMYFUNCTION("""COMPUTED_VALUE"""),"Sogod")</f>
        <v>Sogod</v>
      </c>
      <c r="AT99" s="142" t="str">
        <f>IFERROR(__xludf.DUMMYFUNCTION("""COMPUTED_VALUE"""),"Tabogon")</f>
        <v>Tabogon</v>
      </c>
      <c r="AU99" s="142" t="str">
        <f>IFERROR(__xludf.DUMMYFUNCTION("""COMPUTED_VALUE"""),"Tabuelan")</f>
        <v>Tabuelan</v>
      </c>
      <c r="AV99" s="142" t="str">
        <f>IFERROR(__xludf.DUMMYFUNCTION("""COMPUTED_VALUE"""),"City of Talisay")</f>
        <v>City of Talisay</v>
      </c>
      <c r="AW99" s="142" t="str">
        <f>IFERROR(__xludf.DUMMYFUNCTION("""COMPUTED_VALUE"""),"City of Toledo")</f>
        <v>City of Toledo</v>
      </c>
      <c r="AX99" s="142" t="str">
        <f>IFERROR(__xludf.DUMMYFUNCTION("""COMPUTED_VALUE"""),"Tuburan")</f>
        <v>Tuburan</v>
      </c>
      <c r="AY99" s="142" t="str">
        <f>IFERROR(__xludf.DUMMYFUNCTION("""COMPUTED_VALUE"""),"Tudela")</f>
        <v>Tudela</v>
      </c>
      <c r="AZ99" s="142" t="str">
        <f>IFERROR(__xludf.DUMMYFUNCTION("""COMPUTED_VALUE"""),"City of Cebu")</f>
        <v>City of Cebu</v>
      </c>
      <c r="BA99" s="142" t="str">
        <f>IFERROR(__xludf.DUMMYFUNCTION("""COMPUTED_VALUE"""),"City of Lapu-Lapu")</f>
        <v>City of Lapu-Lapu</v>
      </c>
      <c r="BB99" s="142" t="str">
        <f>IFERROR(__xludf.DUMMYFUNCTION("""COMPUTED_VALUE"""),"City of Mandaue")</f>
        <v>City of Mandaue</v>
      </c>
      <c r="BC99" s="8"/>
      <c r="BD99" s="8"/>
      <c r="BE99" s="8"/>
    </row>
    <row r="100">
      <c r="A100" s="142" t="s">
        <v>194</v>
      </c>
      <c r="B100" s="142" t="str">
        <f>IFERROR(__xludf.DUMMYFUNCTION("""COMPUTED_VALUE"""),"Alcantara")</f>
        <v>Alcantara</v>
      </c>
      <c r="C100" s="142" t="str">
        <f>IFERROR(__xludf.DUMMYFUNCTION("""COMPUTED_VALUE"""),"Alcoy")</f>
        <v>Alcoy</v>
      </c>
      <c r="D100" s="142" t="str">
        <f>IFERROR(__xludf.DUMMYFUNCTION("""COMPUTED_VALUE"""),"Alegria")</f>
        <v>Alegria</v>
      </c>
      <c r="E100" s="142" t="str">
        <f>IFERROR(__xludf.DUMMYFUNCTION("""COMPUTED_VALUE"""),"Aloguinsan")</f>
        <v>Aloguinsan</v>
      </c>
      <c r="F100" s="142" t="str">
        <f>IFERROR(__xludf.DUMMYFUNCTION("""COMPUTED_VALUE"""),"Argao")</f>
        <v>Argao</v>
      </c>
      <c r="G100" s="142" t="str">
        <f>IFERROR(__xludf.DUMMYFUNCTION("""COMPUTED_VALUE"""),"Asturias")</f>
        <v>Asturias</v>
      </c>
      <c r="H100" s="142" t="str">
        <f>IFERROR(__xludf.DUMMYFUNCTION("""COMPUTED_VALUE"""),"Badian")</f>
        <v>Badian</v>
      </c>
      <c r="I100" s="142" t="str">
        <f>IFERROR(__xludf.DUMMYFUNCTION("""COMPUTED_VALUE"""),"Balamban")</f>
        <v>Balamban</v>
      </c>
      <c r="J100" s="142" t="str">
        <f>IFERROR(__xludf.DUMMYFUNCTION("""COMPUTED_VALUE"""),"Bantayan")</f>
        <v>Bantayan</v>
      </c>
      <c r="K100" s="142" t="str">
        <f>IFERROR(__xludf.DUMMYFUNCTION("""COMPUTED_VALUE"""),"Barili")</f>
        <v>Barili</v>
      </c>
      <c r="L100" s="142" t="str">
        <f>IFERROR(__xludf.DUMMYFUNCTION("""COMPUTED_VALUE"""),"City of Bogo")</f>
        <v>City of Bogo</v>
      </c>
      <c r="M100" s="142" t="str">
        <f>IFERROR(__xludf.DUMMYFUNCTION("""COMPUTED_VALUE"""),"Boljoon")</f>
        <v>Boljoon</v>
      </c>
      <c r="N100" s="142" t="str">
        <f>IFERROR(__xludf.DUMMYFUNCTION("""COMPUTED_VALUE"""),"Borbon")</f>
        <v>Borbon</v>
      </c>
      <c r="O100" s="142" t="str">
        <f>IFERROR(__xludf.DUMMYFUNCTION("""COMPUTED_VALUE"""),"City of Carcar")</f>
        <v>City of Carcar</v>
      </c>
      <c r="P100" s="142" t="str">
        <f>IFERROR(__xludf.DUMMYFUNCTION("""COMPUTED_VALUE"""),"Carmen")</f>
        <v>Carmen</v>
      </c>
      <c r="Q100" s="142" t="str">
        <f>IFERROR(__xludf.DUMMYFUNCTION("""COMPUTED_VALUE"""),"Catmon")</f>
        <v>Catmon</v>
      </c>
      <c r="R100" s="142" t="str">
        <f>IFERROR(__xludf.DUMMYFUNCTION("""COMPUTED_VALUE"""),"Compostela")</f>
        <v>Compostela</v>
      </c>
      <c r="S100" s="142" t="str">
        <f>IFERROR(__xludf.DUMMYFUNCTION("""COMPUTED_VALUE"""),"Consolacion")</f>
        <v>Consolacion</v>
      </c>
      <c r="T100" s="142" t="str">
        <f>IFERROR(__xludf.DUMMYFUNCTION("""COMPUTED_VALUE"""),"Cordova")</f>
        <v>Cordova</v>
      </c>
      <c r="U100" s="142" t="str">
        <f>IFERROR(__xludf.DUMMYFUNCTION("""COMPUTED_VALUE"""),"Daanbantayan")</f>
        <v>Daanbantayan</v>
      </c>
      <c r="V100" s="142" t="str">
        <f>IFERROR(__xludf.DUMMYFUNCTION("""COMPUTED_VALUE"""),"Dalaguete")</f>
        <v>Dalaguete</v>
      </c>
      <c r="W100" s="142" t="str">
        <f>IFERROR(__xludf.DUMMYFUNCTION("""COMPUTED_VALUE"""),"Danao City")</f>
        <v>Danao City</v>
      </c>
      <c r="X100" s="142" t="str">
        <f>IFERROR(__xludf.DUMMYFUNCTION("""COMPUTED_VALUE"""),"Dumanjug")</f>
        <v>Dumanjug</v>
      </c>
      <c r="Y100" s="142" t="str">
        <f>IFERROR(__xludf.DUMMYFUNCTION("""COMPUTED_VALUE"""),"Ginatilan")</f>
        <v>Ginatilan</v>
      </c>
      <c r="Z100" s="142" t="str">
        <f>IFERROR(__xludf.DUMMYFUNCTION("""COMPUTED_VALUE"""),"Liloan")</f>
        <v>Liloan</v>
      </c>
      <c r="AA100" s="142" t="str">
        <f>IFERROR(__xludf.DUMMYFUNCTION("""COMPUTED_VALUE"""),"Madridejos")</f>
        <v>Madridejos</v>
      </c>
      <c r="AB100" s="142" t="str">
        <f>IFERROR(__xludf.DUMMYFUNCTION("""COMPUTED_VALUE"""),"Malabuyoc")</f>
        <v>Malabuyoc</v>
      </c>
      <c r="AC100" s="142" t="str">
        <f>IFERROR(__xludf.DUMMYFUNCTION("""COMPUTED_VALUE"""),"Medellin")</f>
        <v>Medellin</v>
      </c>
      <c r="AD100" s="142" t="str">
        <f>IFERROR(__xludf.DUMMYFUNCTION("""COMPUTED_VALUE"""),"Minglanilla")</f>
        <v>Minglanilla</v>
      </c>
      <c r="AE100" s="142" t="str">
        <f>IFERROR(__xludf.DUMMYFUNCTION("""COMPUTED_VALUE"""),"Moalboal")</f>
        <v>Moalboal</v>
      </c>
      <c r="AF100" s="142" t="str">
        <f>IFERROR(__xludf.DUMMYFUNCTION("""COMPUTED_VALUE"""),"City of Naga")</f>
        <v>City of Naga</v>
      </c>
      <c r="AG100" s="142" t="str">
        <f>IFERROR(__xludf.DUMMYFUNCTION("""COMPUTED_VALUE"""),"Oslob")</f>
        <v>Oslob</v>
      </c>
      <c r="AH100" s="142" t="str">
        <f>IFERROR(__xludf.DUMMYFUNCTION("""COMPUTED_VALUE"""),"Pilar")</f>
        <v>Pilar</v>
      </c>
      <c r="AI100" s="142" t="str">
        <f>IFERROR(__xludf.DUMMYFUNCTION("""COMPUTED_VALUE"""),"Pinamungajan")</f>
        <v>Pinamungajan</v>
      </c>
      <c r="AJ100" s="142" t="str">
        <f>IFERROR(__xludf.DUMMYFUNCTION("""COMPUTED_VALUE"""),"Poro")</f>
        <v>Poro</v>
      </c>
      <c r="AK100" s="142" t="str">
        <f>IFERROR(__xludf.DUMMYFUNCTION("""COMPUTED_VALUE"""),"Ronda")</f>
        <v>Ronda</v>
      </c>
      <c r="AL100" s="142" t="str">
        <f>IFERROR(__xludf.DUMMYFUNCTION("""COMPUTED_VALUE"""),"Samboan")</f>
        <v>Samboan</v>
      </c>
      <c r="AM100" s="142" t="str">
        <f>IFERROR(__xludf.DUMMYFUNCTION("""COMPUTED_VALUE"""),"San Fernando")</f>
        <v>San Fernando</v>
      </c>
      <c r="AN100" s="142" t="str">
        <f>IFERROR(__xludf.DUMMYFUNCTION("""COMPUTED_VALUE"""),"San Francisco")</f>
        <v>San Francisco</v>
      </c>
      <c r="AO100" s="142" t="str">
        <f>IFERROR(__xludf.DUMMYFUNCTION("""COMPUTED_VALUE"""),"San Remigio")</f>
        <v>San Remigio</v>
      </c>
      <c r="AP100" s="142" t="str">
        <f>IFERROR(__xludf.DUMMYFUNCTION("""COMPUTED_VALUE"""),"Santa Fe")</f>
        <v>Santa Fe</v>
      </c>
      <c r="AQ100" s="142" t="str">
        <f>IFERROR(__xludf.DUMMYFUNCTION("""COMPUTED_VALUE"""),"Santander")</f>
        <v>Santander</v>
      </c>
      <c r="AR100" s="142" t="str">
        <f>IFERROR(__xludf.DUMMYFUNCTION("""COMPUTED_VALUE"""),"Sibonga")</f>
        <v>Sibonga</v>
      </c>
      <c r="AS100" s="142" t="str">
        <f>IFERROR(__xludf.DUMMYFUNCTION("""COMPUTED_VALUE"""),"Sogod")</f>
        <v>Sogod</v>
      </c>
      <c r="AT100" s="142" t="str">
        <f>IFERROR(__xludf.DUMMYFUNCTION("""COMPUTED_VALUE"""),"Tabogon")</f>
        <v>Tabogon</v>
      </c>
      <c r="AU100" s="142" t="str">
        <f>IFERROR(__xludf.DUMMYFUNCTION("""COMPUTED_VALUE"""),"Tabuelan")</f>
        <v>Tabuelan</v>
      </c>
      <c r="AV100" s="142" t="str">
        <f>IFERROR(__xludf.DUMMYFUNCTION("""COMPUTED_VALUE"""),"City of Talisay")</f>
        <v>City of Talisay</v>
      </c>
      <c r="AW100" s="142" t="str">
        <f>IFERROR(__xludf.DUMMYFUNCTION("""COMPUTED_VALUE"""),"City of Toledo")</f>
        <v>City of Toledo</v>
      </c>
      <c r="AX100" s="142" t="str">
        <f>IFERROR(__xludf.DUMMYFUNCTION("""COMPUTED_VALUE"""),"Tuburan")</f>
        <v>Tuburan</v>
      </c>
      <c r="AY100" s="142" t="str">
        <f>IFERROR(__xludf.DUMMYFUNCTION("""COMPUTED_VALUE"""),"Tudela")</f>
        <v>Tudela</v>
      </c>
      <c r="AZ100" s="142" t="str">
        <f>IFERROR(__xludf.DUMMYFUNCTION("""COMPUTED_VALUE"""),"City of Cebu")</f>
        <v>City of Cebu</v>
      </c>
      <c r="BA100" s="142" t="str">
        <f>IFERROR(__xludf.DUMMYFUNCTION("""COMPUTED_VALUE"""),"City of Lapu-Lapu")</f>
        <v>City of Lapu-Lapu</v>
      </c>
      <c r="BB100" s="142" t="str">
        <f>IFERROR(__xludf.DUMMYFUNCTION("""COMPUTED_VALUE"""),"City of Mandaue")</f>
        <v>City of Mandaue</v>
      </c>
      <c r="BC100" s="8"/>
      <c r="BD100" s="8"/>
      <c r="BE100" s="8"/>
    </row>
    <row r="101">
      <c r="A101" s="142" t="s">
        <v>194</v>
      </c>
      <c r="B101" s="142" t="str">
        <f>IFERROR(__xludf.DUMMYFUNCTION("""COMPUTED_VALUE"""),"Alcantara")</f>
        <v>Alcantara</v>
      </c>
      <c r="C101" s="142" t="str">
        <f>IFERROR(__xludf.DUMMYFUNCTION("""COMPUTED_VALUE"""),"Alcoy")</f>
        <v>Alcoy</v>
      </c>
      <c r="D101" s="142" t="str">
        <f>IFERROR(__xludf.DUMMYFUNCTION("""COMPUTED_VALUE"""),"Alegria")</f>
        <v>Alegria</v>
      </c>
      <c r="E101" s="142" t="str">
        <f>IFERROR(__xludf.DUMMYFUNCTION("""COMPUTED_VALUE"""),"Aloguinsan")</f>
        <v>Aloguinsan</v>
      </c>
      <c r="F101" s="142" t="str">
        <f>IFERROR(__xludf.DUMMYFUNCTION("""COMPUTED_VALUE"""),"Argao")</f>
        <v>Argao</v>
      </c>
      <c r="G101" s="142" t="str">
        <f>IFERROR(__xludf.DUMMYFUNCTION("""COMPUTED_VALUE"""),"Asturias")</f>
        <v>Asturias</v>
      </c>
      <c r="H101" s="142" t="str">
        <f>IFERROR(__xludf.DUMMYFUNCTION("""COMPUTED_VALUE"""),"Badian")</f>
        <v>Badian</v>
      </c>
      <c r="I101" s="142" t="str">
        <f>IFERROR(__xludf.DUMMYFUNCTION("""COMPUTED_VALUE"""),"Balamban")</f>
        <v>Balamban</v>
      </c>
      <c r="J101" s="142" t="str">
        <f>IFERROR(__xludf.DUMMYFUNCTION("""COMPUTED_VALUE"""),"Bantayan")</f>
        <v>Bantayan</v>
      </c>
      <c r="K101" s="142" t="str">
        <f>IFERROR(__xludf.DUMMYFUNCTION("""COMPUTED_VALUE"""),"Barili")</f>
        <v>Barili</v>
      </c>
      <c r="L101" s="142" t="str">
        <f>IFERROR(__xludf.DUMMYFUNCTION("""COMPUTED_VALUE"""),"City of Bogo")</f>
        <v>City of Bogo</v>
      </c>
      <c r="M101" s="142" t="str">
        <f>IFERROR(__xludf.DUMMYFUNCTION("""COMPUTED_VALUE"""),"Boljoon")</f>
        <v>Boljoon</v>
      </c>
      <c r="N101" s="142" t="str">
        <f>IFERROR(__xludf.DUMMYFUNCTION("""COMPUTED_VALUE"""),"Borbon")</f>
        <v>Borbon</v>
      </c>
      <c r="O101" s="142" t="str">
        <f>IFERROR(__xludf.DUMMYFUNCTION("""COMPUTED_VALUE"""),"City of Carcar")</f>
        <v>City of Carcar</v>
      </c>
      <c r="P101" s="142" t="str">
        <f>IFERROR(__xludf.DUMMYFUNCTION("""COMPUTED_VALUE"""),"Carmen")</f>
        <v>Carmen</v>
      </c>
      <c r="Q101" s="142" t="str">
        <f>IFERROR(__xludf.DUMMYFUNCTION("""COMPUTED_VALUE"""),"Catmon")</f>
        <v>Catmon</v>
      </c>
      <c r="R101" s="142" t="str">
        <f>IFERROR(__xludf.DUMMYFUNCTION("""COMPUTED_VALUE"""),"Compostela")</f>
        <v>Compostela</v>
      </c>
      <c r="S101" s="142" t="str">
        <f>IFERROR(__xludf.DUMMYFUNCTION("""COMPUTED_VALUE"""),"Consolacion")</f>
        <v>Consolacion</v>
      </c>
      <c r="T101" s="142" t="str">
        <f>IFERROR(__xludf.DUMMYFUNCTION("""COMPUTED_VALUE"""),"Cordova")</f>
        <v>Cordova</v>
      </c>
      <c r="U101" s="142" t="str">
        <f>IFERROR(__xludf.DUMMYFUNCTION("""COMPUTED_VALUE"""),"Daanbantayan")</f>
        <v>Daanbantayan</v>
      </c>
      <c r="V101" s="142" t="str">
        <f>IFERROR(__xludf.DUMMYFUNCTION("""COMPUTED_VALUE"""),"Dalaguete")</f>
        <v>Dalaguete</v>
      </c>
      <c r="W101" s="142" t="str">
        <f>IFERROR(__xludf.DUMMYFUNCTION("""COMPUTED_VALUE"""),"Danao City")</f>
        <v>Danao City</v>
      </c>
      <c r="X101" s="142" t="str">
        <f>IFERROR(__xludf.DUMMYFUNCTION("""COMPUTED_VALUE"""),"Dumanjug")</f>
        <v>Dumanjug</v>
      </c>
      <c r="Y101" s="142" t="str">
        <f>IFERROR(__xludf.DUMMYFUNCTION("""COMPUTED_VALUE"""),"Ginatilan")</f>
        <v>Ginatilan</v>
      </c>
      <c r="Z101" s="142" t="str">
        <f>IFERROR(__xludf.DUMMYFUNCTION("""COMPUTED_VALUE"""),"Liloan")</f>
        <v>Liloan</v>
      </c>
      <c r="AA101" s="142" t="str">
        <f>IFERROR(__xludf.DUMMYFUNCTION("""COMPUTED_VALUE"""),"Madridejos")</f>
        <v>Madridejos</v>
      </c>
      <c r="AB101" s="142" t="str">
        <f>IFERROR(__xludf.DUMMYFUNCTION("""COMPUTED_VALUE"""),"Malabuyoc")</f>
        <v>Malabuyoc</v>
      </c>
      <c r="AC101" s="142" t="str">
        <f>IFERROR(__xludf.DUMMYFUNCTION("""COMPUTED_VALUE"""),"Medellin")</f>
        <v>Medellin</v>
      </c>
      <c r="AD101" s="142" t="str">
        <f>IFERROR(__xludf.DUMMYFUNCTION("""COMPUTED_VALUE"""),"Minglanilla")</f>
        <v>Minglanilla</v>
      </c>
      <c r="AE101" s="142" t="str">
        <f>IFERROR(__xludf.DUMMYFUNCTION("""COMPUTED_VALUE"""),"Moalboal")</f>
        <v>Moalboal</v>
      </c>
      <c r="AF101" s="142" t="str">
        <f>IFERROR(__xludf.DUMMYFUNCTION("""COMPUTED_VALUE"""),"City of Naga")</f>
        <v>City of Naga</v>
      </c>
      <c r="AG101" s="142" t="str">
        <f>IFERROR(__xludf.DUMMYFUNCTION("""COMPUTED_VALUE"""),"Oslob")</f>
        <v>Oslob</v>
      </c>
      <c r="AH101" s="142" t="str">
        <f>IFERROR(__xludf.DUMMYFUNCTION("""COMPUTED_VALUE"""),"Pilar")</f>
        <v>Pilar</v>
      </c>
      <c r="AI101" s="142" t="str">
        <f>IFERROR(__xludf.DUMMYFUNCTION("""COMPUTED_VALUE"""),"Pinamungajan")</f>
        <v>Pinamungajan</v>
      </c>
      <c r="AJ101" s="142" t="str">
        <f>IFERROR(__xludf.DUMMYFUNCTION("""COMPUTED_VALUE"""),"Poro")</f>
        <v>Poro</v>
      </c>
      <c r="AK101" s="142" t="str">
        <f>IFERROR(__xludf.DUMMYFUNCTION("""COMPUTED_VALUE"""),"Ronda")</f>
        <v>Ronda</v>
      </c>
      <c r="AL101" s="142" t="str">
        <f>IFERROR(__xludf.DUMMYFUNCTION("""COMPUTED_VALUE"""),"Samboan")</f>
        <v>Samboan</v>
      </c>
      <c r="AM101" s="142" t="str">
        <f>IFERROR(__xludf.DUMMYFUNCTION("""COMPUTED_VALUE"""),"San Fernando")</f>
        <v>San Fernando</v>
      </c>
      <c r="AN101" s="142" t="str">
        <f>IFERROR(__xludf.DUMMYFUNCTION("""COMPUTED_VALUE"""),"San Francisco")</f>
        <v>San Francisco</v>
      </c>
      <c r="AO101" s="142" t="str">
        <f>IFERROR(__xludf.DUMMYFUNCTION("""COMPUTED_VALUE"""),"San Remigio")</f>
        <v>San Remigio</v>
      </c>
      <c r="AP101" s="142" t="str">
        <f>IFERROR(__xludf.DUMMYFUNCTION("""COMPUTED_VALUE"""),"Santa Fe")</f>
        <v>Santa Fe</v>
      </c>
      <c r="AQ101" s="142" t="str">
        <f>IFERROR(__xludf.DUMMYFUNCTION("""COMPUTED_VALUE"""),"Santander")</f>
        <v>Santander</v>
      </c>
      <c r="AR101" s="142" t="str">
        <f>IFERROR(__xludf.DUMMYFUNCTION("""COMPUTED_VALUE"""),"Sibonga")</f>
        <v>Sibonga</v>
      </c>
      <c r="AS101" s="142" t="str">
        <f>IFERROR(__xludf.DUMMYFUNCTION("""COMPUTED_VALUE"""),"Sogod")</f>
        <v>Sogod</v>
      </c>
      <c r="AT101" s="142" t="str">
        <f>IFERROR(__xludf.DUMMYFUNCTION("""COMPUTED_VALUE"""),"Tabogon")</f>
        <v>Tabogon</v>
      </c>
      <c r="AU101" s="142" t="str">
        <f>IFERROR(__xludf.DUMMYFUNCTION("""COMPUTED_VALUE"""),"Tabuelan")</f>
        <v>Tabuelan</v>
      </c>
      <c r="AV101" s="142" t="str">
        <f>IFERROR(__xludf.DUMMYFUNCTION("""COMPUTED_VALUE"""),"City of Talisay")</f>
        <v>City of Talisay</v>
      </c>
      <c r="AW101" s="142" t="str">
        <f>IFERROR(__xludf.DUMMYFUNCTION("""COMPUTED_VALUE"""),"City of Toledo")</f>
        <v>City of Toledo</v>
      </c>
      <c r="AX101" s="142" t="str">
        <f>IFERROR(__xludf.DUMMYFUNCTION("""COMPUTED_VALUE"""),"Tuburan")</f>
        <v>Tuburan</v>
      </c>
      <c r="AY101" s="142" t="str">
        <f>IFERROR(__xludf.DUMMYFUNCTION("""COMPUTED_VALUE"""),"Tudela")</f>
        <v>Tudela</v>
      </c>
      <c r="AZ101" s="142" t="str">
        <f>IFERROR(__xludf.DUMMYFUNCTION("""COMPUTED_VALUE"""),"City of Cebu")</f>
        <v>City of Cebu</v>
      </c>
      <c r="BA101" s="142" t="str">
        <f>IFERROR(__xludf.DUMMYFUNCTION("""COMPUTED_VALUE"""),"City of Lapu-Lapu")</f>
        <v>City of Lapu-Lapu</v>
      </c>
      <c r="BB101" s="142" t="str">
        <f>IFERROR(__xludf.DUMMYFUNCTION("""COMPUTED_VALUE"""),"City of Mandaue")</f>
        <v>City of Mandaue</v>
      </c>
      <c r="BC101" s="8"/>
      <c r="BD101" s="8"/>
      <c r="BE101" s="8"/>
    </row>
    <row r="102">
      <c r="A102" s="142" t="s">
        <v>632</v>
      </c>
      <c r="B102" s="142" t="str">
        <f>IFERROR(__xludf.DUMMYFUNCTION("""COMPUTED_VALUE"""),"Amlan")</f>
        <v>Amlan</v>
      </c>
      <c r="C102" s="142" t="str">
        <f>IFERROR(__xludf.DUMMYFUNCTION("""COMPUTED_VALUE"""),"Ayungon")</f>
        <v>Ayungon</v>
      </c>
      <c r="D102" s="142" t="str">
        <f>IFERROR(__xludf.DUMMYFUNCTION("""COMPUTED_VALUE"""),"Bacong")</f>
        <v>Bacong</v>
      </c>
      <c r="E102" s="142" t="str">
        <f>IFERROR(__xludf.DUMMYFUNCTION("""COMPUTED_VALUE"""),"City of Bais")</f>
        <v>City of Bais</v>
      </c>
      <c r="F102" s="142" t="str">
        <f>IFERROR(__xludf.DUMMYFUNCTION("""COMPUTED_VALUE"""),"Basay")</f>
        <v>Basay</v>
      </c>
      <c r="G102" s="142" t="str">
        <f>IFERROR(__xludf.DUMMYFUNCTION("""COMPUTED_VALUE"""),"City of Bayawan")</f>
        <v>City of Bayawan</v>
      </c>
      <c r="H102" s="142" t="str">
        <f>IFERROR(__xludf.DUMMYFUNCTION("""COMPUTED_VALUE"""),"Bindoy")</f>
        <v>Bindoy</v>
      </c>
      <c r="I102" s="142" t="str">
        <f>IFERROR(__xludf.DUMMYFUNCTION("""COMPUTED_VALUE"""),"City of Canlaon")</f>
        <v>City of Canlaon</v>
      </c>
      <c r="J102" s="142" t="str">
        <f>IFERROR(__xludf.DUMMYFUNCTION("""COMPUTED_VALUE"""),"Dauin")</f>
        <v>Dauin</v>
      </c>
      <c r="K102" s="142" t="str">
        <f>IFERROR(__xludf.DUMMYFUNCTION("""COMPUTED_VALUE"""),"City of Dumaguete")</f>
        <v>City of Dumaguete</v>
      </c>
      <c r="L102" s="142" t="str">
        <f>IFERROR(__xludf.DUMMYFUNCTION("""COMPUTED_VALUE"""),"City of Guihulngan")</f>
        <v>City of Guihulngan</v>
      </c>
      <c r="M102" s="142" t="str">
        <f>IFERROR(__xludf.DUMMYFUNCTION("""COMPUTED_VALUE"""),"Jimalalud")</f>
        <v>Jimalalud</v>
      </c>
      <c r="N102" s="142" t="str">
        <f>IFERROR(__xludf.DUMMYFUNCTION("""COMPUTED_VALUE"""),"La Libertad")</f>
        <v>La Libertad</v>
      </c>
      <c r="O102" s="142" t="str">
        <f>IFERROR(__xludf.DUMMYFUNCTION("""COMPUTED_VALUE"""),"Mabinay")</f>
        <v>Mabinay</v>
      </c>
      <c r="P102" s="142" t="str">
        <f>IFERROR(__xludf.DUMMYFUNCTION("""COMPUTED_VALUE"""),"Manjuyod")</f>
        <v>Manjuyod</v>
      </c>
      <c r="Q102" s="142" t="str">
        <f>IFERROR(__xludf.DUMMYFUNCTION("""COMPUTED_VALUE"""),"Pamplona")</f>
        <v>Pamplona</v>
      </c>
      <c r="R102" s="142" t="str">
        <f>IFERROR(__xludf.DUMMYFUNCTION("""COMPUTED_VALUE"""),"San Jose")</f>
        <v>San Jose</v>
      </c>
      <c r="S102" s="142" t="str">
        <f>IFERROR(__xludf.DUMMYFUNCTION("""COMPUTED_VALUE"""),"Santa Catalina")</f>
        <v>Santa Catalina</v>
      </c>
      <c r="T102" s="142" t="str">
        <f>IFERROR(__xludf.DUMMYFUNCTION("""COMPUTED_VALUE"""),"Siaton")</f>
        <v>Siaton</v>
      </c>
      <c r="U102" s="142" t="str">
        <f>IFERROR(__xludf.DUMMYFUNCTION("""COMPUTED_VALUE"""),"Sibulan")</f>
        <v>Sibulan</v>
      </c>
      <c r="V102" s="142" t="str">
        <f>IFERROR(__xludf.DUMMYFUNCTION("""COMPUTED_VALUE"""),"City of Tanjay")</f>
        <v>City of Tanjay</v>
      </c>
      <c r="W102" s="142" t="str">
        <f>IFERROR(__xludf.DUMMYFUNCTION("""COMPUTED_VALUE"""),"Tayasan")</f>
        <v>Tayasan</v>
      </c>
      <c r="X102" s="142" t="str">
        <f>IFERROR(__xludf.DUMMYFUNCTION("""COMPUTED_VALUE"""),"Valencia")</f>
        <v>Valencia</v>
      </c>
      <c r="Y102" s="142" t="str">
        <f>IFERROR(__xludf.DUMMYFUNCTION("""COMPUTED_VALUE"""),"Vallehermoso")</f>
        <v>Vallehermoso</v>
      </c>
      <c r="Z102" s="142" t="str">
        <f>IFERROR(__xludf.DUMMYFUNCTION("""COMPUTED_VALUE"""),"Zamboanguita")</f>
        <v>Zamboanguita</v>
      </c>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row>
    <row r="103">
      <c r="A103" s="142" t="s">
        <v>315</v>
      </c>
      <c r="B103" s="142" t="str">
        <f>IFERROR(__xludf.DUMMYFUNCTION("""COMPUTED_VALUE"""),"Altavas")</f>
        <v>Altavas</v>
      </c>
      <c r="C103" s="142" t="str">
        <f>IFERROR(__xludf.DUMMYFUNCTION("""COMPUTED_VALUE"""),"Balete")</f>
        <v>Balete</v>
      </c>
      <c r="D103" s="142" t="str">
        <f>IFERROR(__xludf.DUMMYFUNCTION("""COMPUTED_VALUE"""),"Banga")</f>
        <v>Banga</v>
      </c>
      <c r="E103" s="142" t="str">
        <f>IFERROR(__xludf.DUMMYFUNCTION("""COMPUTED_VALUE"""),"Batan")</f>
        <v>Batan</v>
      </c>
      <c r="F103" s="142" t="str">
        <f>IFERROR(__xludf.DUMMYFUNCTION("""COMPUTED_VALUE"""),"Buruanga")</f>
        <v>Buruanga</v>
      </c>
      <c r="G103" s="142" t="str">
        <f>IFERROR(__xludf.DUMMYFUNCTION("""COMPUTED_VALUE"""),"Ibajay")</f>
        <v>Ibajay</v>
      </c>
      <c r="H103" s="142" t="str">
        <f>IFERROR(__xludf.DUMMYFUNCTION("""COMPUTED_VALUE"""),"Kalibo")</f>
        <v>Kalibo</v>
      </c>
      <c r="I103" s="142" t="str">
        <f>IFERROR(__xludf.DUMMYFUNCTION("""COMPUTED_VALUE"""),"Lezo")</f>
        <v>Lezo</v>
      </c>
      <c r="J103" s="142" t="str">
        <f>IFERROR(__xludf.DUMMYFUNCTION("""COMPUTED_VALUE"""),"Libacao")</f>
        <v>Libacao</v>
      </c>
      <c r="K103" s="142" t="str">
        <f>IFERROR(__xludf.DUMMYFUNCTION("""COMPUTED_VALUE"""),"Madalag")</f>
        <v>Madalag</v>
      </c>
      <c r="L103" s="142" t="str">
        <f>IFERROR(__xludf.DUMMYFUNCTION("""COMPUTED_VALUE"""),"Makato")</f>
        <v>Makato</v>
      </c>
      <c r="M103" s="142" t="str">
        <f>IFERROR(__xludf.DUMMYFUNCTION("""COMPUTED_VALUE"""),"Malay")</f>
        <v>Malay</v>
      </c>
      <c r="N103" s="142" t="str">
        <f>IFERROR(__xludf.DUMMYFUNCTION("""COMPUTED_VALUE"""),"Malinao")</f>
        <v>Malinao</v>
      </c>
      <c r="O103" s="142" t="str">
        <f>IFERROR(__xludf.DUMMYFUNCTION("""COMPUTED_VALUE"""),"Nabas")</f>
        <v>Nabas</v>
      </c>
      <c r="P103" s="142" t="str">
        <f>IFERROR(__xludf.DUMMYFUNCTION("""COMPUTED_VALUE"""),"New Washington")</f>
        <v>New Washington</v>
      </c>
      <c r="Q103" s="142" t="str">
        <f>IFERROR(__xludf.DUMMYFUNCTION("""COMPUTED_VALUE"""),"Numancia")</f>
        <v>Numancia</v>
      </c>
      <c r="R103" s="142" t="str">
        <f>IFERROR(__xludf.DUMMYFUNCTION("""COMPUTED_VALUE"""),"Tangalan")</f>
        <v>Tangalan</v>
      </c>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row>
    <row r="104">
      <c r="A104" s="142" t="s">
        <v>858</v>
      </c>
      <c r="B104" s="142" t="str">
        <f>IFERROR(__xludf.DUMMYFUNCTION("""COMPUTED_VALUE"""),"Anini-Y")</f>
        <v>Anini-Y</v>
      </c>
      <c r="C104" s="142" t="str">
        <f>IFERROR(__xludf.DUMMYFUNCTION("""COMPUTED_VALUE"""),"Barbaza")</f>
        <v>Barbaza</v>
      </c>
      <c r="D104" s="142" t="str">
        <f>IFERROR(__xludf.DUMMYFUNCTION("""COMPUTED_VALUE"""),"Belison")</f>
        <v>Belison</v>
      </c>
      <c r="E104" s="142" t="str">
        <f>IFERROR(__xludf.DUMMYFUNCTION("""COMPUTED_VALUE"""),"Bugasong")</f>
        <v>Bugasong</v>
      </c>
      <c r="F104" s="142" t="str">
        <f>IFERROR(__xludf.DUMMYFUNCTION("""COMPUTED_VALUE"""),"Caluya")</f>
        <v>Caluya</v>
      </c>
      <c r="G104" s="142" t="str">
        <f>IFERROR(__xludf.DUMMYFUNCTION("""COMPUTED_VALUE"""),"Culasi")</f>
        <v>Culasi</v>
      </c>
      <c r="H104" s="142" t="str">
        <f>IFERROR(__xludf.DUMMYFUNCTION("""COMPUTED_VALUE"""),"Tobias Fornier")</f>
        <v>Tobias Fornier</v>
      </c>
      <c r="I104" s="142" t="str">
        <f>IFERROR(__xludf.DUMMYFUNCTION("""COMPUTED_VALUE"""),"Hamtic")</f>
        <v>Hamtic</v>
      </c>
      <c r="J104" s="142" t="str">
        <f>IFERROR(__xludf.DUMMYFUNCTION("""COMPUTED_VALUE"""),"Laua-An")</f>
        <v>Laua-An</v>
      </c>
      <c r="K104" s="142" t="str">
        <f>IFERROR(__xludf.DUMMYFUNCTION("""COMPUTED_VALUE"""),"Libertad")</f>
        <v>Libertad</v>
      </c>
      <c r="L104" s="142" t="str">
        <f>IFERROR(__xludf.DUMMYFUNCTION("""COMPUTED_VALUE"""),"Pandan")</f>
        <v>Pandan</v>
      </c>
      <c r="M104" s="142" t="str">
        <f>IFERROR(__xludf.DUMMYFUNCTION("""COMPUTED_VALUE"""),"Patnongon")</f>
        <v>Patnongon</v>
      </c>
      <c r="N104" s="142" t="str">
        <f>IFERROR(__xludf.DUMMYFUNCTION("""COMPUTED_VALUE"""),"San Jose")</f>
        <v>San Jose</v>
      </c>
      <c r="O104" s="142" t="str">
        <f>IFERROR(__xludf.DUMMYFUNCTION("""COMPUTED_VALUE"""),"San Remigio")</f>
        <v>San Remigio</v>
      </c>
      <c r="P104" s="142" t="str">
        <f>IFERROR(__xludf.DUMMYFUNCTION("""COMPUTED_VALUE"""),"Sebaste")</f>
        <v>Sebaste</v>
      </c>
      <c r="Q104" s="142" t="str">
        <f>IFERROR(__xludf.DUMMYFUNCTION("""COMPUTED_VALUE"""),"Sibalom")</f>
        <v>Sibalom</v>
      </c>
      <c r="R104" s="142" t="str">
        <f>IFERROR(__xludf.DUMMYFUNCTION("""COMPUTED_VALUE"""),"Tibiao")</f>
        <v>Tibiao</v>
      </c>
      <c r="S104" s="142" t="str">
        <f>IFERROR(__xludf.DUMMYFUNCTION("""COMPUTED_VALUE"""),"Valderrama")</f>
        <v>Valderrama</v>
      </c>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row>
    <row r="105">
      <c r="A105" s="142" t="s">
        <v>194</v>
      </c>
      <c r="B105" s="142" t="str">
        <f>IFERROR(__xludf.DUMMYFUNCTION("""COMPUTED_VALUE"""),"Alcantara")</f>
        <v>Alcantara</v>
      </c>
      <c r="C105" s="142" t="str">
        <f>IFERROR(__xludf.DUMMYFUNCTION("""COMPUTED_VALUE"""),"Alcoy")</f>
        <v>Alcoy</v>
      </c>
      <c r="D105" s="142" t="str">
        <f>IFERROR(__xludf.DUMMYFUNCTION("""COMPUTED_VALUE"""),"Alegria")</f>
        <v>Alegria</v>
      </c>
      <c r="E105" s="142" t="str">
        <f>IFERROR(__xludf.DUMMYFUNCTION("""COMPUTED_VALUE"""),"Aloguinsan")</f>
        <v>Aloguinsan</v>
      </c>
      <c r="F105" s="142" t="str">
        <f>IFERROR(__xludf.DUMMYFUNCTION("""COMPUTED_VALUE"""),"Argao")</f>
        <v>Argao</v>
      </c>
      <c r="G105" s="142" t="str">
        <f>IFERROR(__xludf.DUMMYFUNCTION("""COMPUTED_VALUE"""),"Asturias")</f>
        <v>Asturias</v>
      </c>
      <c r="H105" s="142" t="str">
        <f>IFERROR(__xludf.DUMMYFUNCTION("""COMPUTED_VALUE"""),"Badian")</f>
        <v>Badian</v>
      </c>
      <c r="I105" s="142" t="str">
        <f>IFERROR(__xludf.DUMMYFUNCTION("""COMPUTED_VALUE"""),"Balamban")</f>
        <v>Balamban</v>
      </c>
      <c r="J105" s="142" t="str">
        <f>IFERROR(__xludf.DUMMYFUNCTION("""COMPUTED_VALUE"""),"Bantayan")</f>
        <v>Bantayan</v>
      </c>
      <c r="K105" s="142" t="str">
        <f>IFERROR(__xludf.DUMMYFUNCTION("""COMPUTED_VALUE"""),"Barili")</f>
        <v>Barili</v>
      </c>
      <c r="L105" s="142" t="str">
        <f>IFERROR(__xludf.DUMMYFUNCTION("""COMPUTED_VALUE"""),"City of Bogo")</f>
        <v>City of Bogo</v>
      </c>
      <c r="M105" s="142" t="str">
        <f>IFERROR(__xludf.DUMMYFUNCTION("""COMPUTED_VALUE"""),"Boljoon")</f>
        <v>Boljoon</v>
      </c>
      <c r="N105" s="142" t="str">
        <f>IFERROR(__xludf.DUMMYFUNCTION("""COMPUTED_VALUE"""),"Borbon")</f>
        <v>Borbon</v>
      </c>
      <c r="O105" s="142" t="str">
        <f>IFERROR(__xludf.DUMMYFUNCTION("""COMPUTED_VALUE"""),"City of Carcar")</f>
        <v>City of Carcar</v>
      </c>
      <c r="P105" s="142" t="str">
        <f>IFERROR(__xludf.DUMMYFUNCTION("""COMPUTED_VALUE"""),"Carmen")</f>
        <v>Carmen</v>
      </c>
      <c r="Q105" s="142" t="str">
        <f>IFERROR(__xludf.DUMMYFUNCTION("""COMPUTED_VALUE"""),"Catmon")</f>
        <v>Catmon</v>
      </c>
      <c r="R105" s="142" t="str">
        <f>IFERROR(__xludf.DUMMYFUNCTION("""COMPUTED_VALUE"""),"Compostela")</f>
        <v>Compostela</v>
      </c>
      <c r="S105" s="142" t="str">
        <f>IFERROR(__xludf.DUMMYFUNCTION("""COMPUTED_VALUE"""),"Consolacion")</f>
        <v>Consolacion</v>
      </c>
      <c r="T105" s="142" t="str">
        <f>IFERROR(__xludf.DUMMYFUNCTION("""COMPUTED_VALUE"""),"Cordova")</f>
        <v>Cordova</v>
      </c>
      <c r="U105" s="142" t="str">
        <f>IFERROR(__xludf.DUMMYFUNCTION("""COMPUTED_VALUE"""),"Daanbantayan")</f>
        <v>Daanbantayan</v>
      </c>
      <c r="V105" s="142" t="str">
        <f>IFERROR(__xludf.DUMMYFUNCTION("""COMPUTED_VALUE"""),"Dalaguete")</f>
        <v>Dalaguete</v>
      </c>
      <c r="W105" s="142" t="str">
        <f>IFERROR(__xludf.DUMMYFUNCTION("""COMPUTED_VALUE"""),"Danao City")</f>
        <v>Danao City</v>
      </c>
      <c r="X105" s="142" t="str">
        <f>IFERROR(__xludf.DUMMYFUNCTION("""COMPUTED_VALUE"""),"Dumanjug")</f>
        <v>Dumanjug</v>
      </c>
      <c r="Y105" s="142" t="str">
        <f>IFERROR(__xludf.DUMMYFUNCTION("""COMPUTED_VALUE"""),"Ginatilan")</f>
        <v>Ginatilan</v>
      </c>
      <c r="Z105" s="142" t="str">
        <f>IFERROR(__xludf.DUMMYFUNCTION("""COMPUTED_VALUE"""),"Liloan")</f>
        <v>Liloan</v>
      </c>
      <c r="AA105" s="142" t="str">
        <f>IFERROR(__xludf.DUMMYFUNCTION("""COMPUTED_VALUE"""),"Madridejos")</f>
        <v>Madridejos</v>
      </c>
      <c r="AB105" s="142" t="str">
        <f>IFERROR(__xludf.DUMMYFUNCTION("""COMPUTED_VALUE"""),"Malabuyoc")</f>
        <v>Malabuyoc</v>
      </c>
      <c r="AC105" s="142" t="str">
        <f>IFERROR(__xludf.DUMMYFUNCTION("""COMPUTED_VALUE"""),"Medellin")</f>
        <v>Medellin</v>
      </c>
      <c r="AD105" s="142" t="str">
        <f>IFERROR(__xludf.DUMMYFUNCTION("""COMPUTED_VALUE"""),"Minglanilla")</f>
        <v>Minglanilla</v>
      </c>
      <c r="AE105" s="142" t="str">
        <f>IFERROR(__xludf.DUMMYFUNCTION("""COMPUTED_VALUE"""),"Moalboal")</f>
        <v>Moalboal</v>
      </c>
      <c r="AF105" s="142" t="str">
        <f>IFERROR(__xludf.DUMMYFUNCTION("""COMPUTED_VALUE"""),"City of Naga")</f>
        <v>City of Naga</v>
      </c>
      <c r="AG105" s="142" t="str">
        <f>IFERROR(__xludf.DUMMYFUNCTION("""COMPUTED_VALUE"""),"Oslob")</f>
        <v>Oslob</v>
      </c>
      <c r="AH105" s="142" t="str">
        <f>IFERROR(__xludf.DUMMYFUNCTION("""COMPUTED_VALUE"""),"Pilar")</f>
        <v>Pilar</v>
      </c>
      <c r="AI105" s="142" t="str">
        <f>IFERROR(__xludf.DUMMYFUNCTION("""COMPUTED_VALUE"""),"Pinamungajan")</f>
        <v>Pinamungajan</v>
      </c>
      <c r="AJ105" s="142" t="str">
        <f>IFERROR(__xludf.DUMMYFUNCTION("""COMPUTED_VALUE"""),"Poro")</f>
        <v>Poro</v>
      </c>
      <c r="AK105" s="142" t="str">
        <f>IFERROR(__xludf.DUMMYFUNCTION("""COMPUTED_VALUE"""),"Ronda")</f>
        <v>Ronda</v>
      </c>
      <c r="AL105" s="142" t="str">
        <f>IFERROR(__xludf.DUMMYFUNCTION("""COMPUTED_VALUE"""),"Samboan")</f>
        <v>Samboan</v>
      </c>
      <c r="AM105" s="142" t="str">
        <f>IFERROR(__xludf.DUMMYFUNCTION("""COMPUTED_VALUE"""),"San Fernando")</f>
        <v>San Fernando</v>
      </c>
      <c r="AN105" s="142" t="str">
        <f>IFERROR(__xludf.DUMMYFUNCTION("""COMPUTED_VALUE"""),"San Francisco")</f>
        <v>San Francisco</v>
      </c>
      <c r="AO105" s="142" t="str">
        <f>IFERROR(__xludf.DUMMYFUNCTION("""COMPUTED_VALUE"""),"San Remigio")</f>
        <v>San Remigio</v>
      </c>
      <c r="AP105" s="142" t="str">
        <f>IFERROR(__xludf.DUMMYFUNCTION("""COMPUTED_VALUE"""),"Santa Fe")</f>
        <v>Santa Fe</v>
      </c>
      <c r="AQ105" s="142" t="str">
        <f>IFERROR(__xludf.DUMMYFUNCTION("""COMPUTED_VALUE"""),"Santander")</f>
        <v>Santander</v>
      </c>
      <c r="AR105" s="142" t="str">
        <f>IFERROR(__xludf.DUMMYFUNCTION("""COMPUTED_VALUE"""),"Sibonga")</f>
        <v>Sibonga</v>
      </c>
      <c r="AS105" s="142" t="str">
        <f>IFERROR(__xludf.DUMMYFUNCTION("""COMPUTED_VALUE"""),"Sogod")</f>
        <v>Sogod</v>
      </c>
      <c r="AT105" s="142" t="str">
        <f>IFERROR(__xludf.DUMMYFUNCTION("""COMPUTED_VALUE"""),"Tabogon")</f>
        <v>Tabogon</v>
      </c>
      <c r="AU105" s="142" t="str">
        <f>IFERROR(__xludf.DUMMYFUNCTION("""COMPUTED_VALUE"""),"Tabuelan")</f>
        <v>Tabuelan</v>
      </c>
      <c r="AV105" s="142" t="str">
        <f>IFERROR(__xludf.DUMMYFUNCTION("""COMPUTED_VALUE"""),"City of Talisay")</f>
        <v>City of Talisay</v>
      </c>
      <c r="AW105" s="142" t="str">
        <f>IFERROR(__xludf.DUMMYFUNCTION("""COMPUTED_VALUE"""),"City of Toledo")</f>
        <v>City of Toledo</v>
      </c>
      <c r="AX105" s="142" t="str">
        <f>IFERROR(__xludf.DUMMYFUNCTION("""COMPUTED_VALUE"""),"Tuburan")</f>
        <v>Tuburan</v>
      </c>
      <c r="AY105" s="142" t="str">
        <f>IFERROR(__xludf.DUMMYFUNCTION("""COMPUTED_VALUE"""),"Tudela")</f>
        <v>Tudela</v>
      </c>
      <c r="AZ105" s="142" t="str">
        <f>IFERROR(__xludf.DUMMYFUNCTION("""COMPUTED_VALUE"""),"City of Cebu")</f>
        <v>City of Cebu</v>
      </c>
      <c r="BA105" s="142" t="str">
        <f>IFERROR(__xludf.DUMMYFUNCTION("""COMPUTED_VALUE"""),"City of Lapu-Lapu")</f>
        <v>City of Lapu-Lapu</v>
      </c>
      <c r="BB105" s="142" t="str">
        <f>IFERROR(__xludf.DUMMYFUNCTION("""COMPUTED_VALUE"""),"City of Mandaue")</f>
        <v>City of Mandaue</v>
      </c>
      <c r="BC105" s="8"/>
      <c r="BD105" s="8"/>
      <c r="BE105" s="8"/>
    </row>
    <row r="106">
      <c r="A106" s="142" t="s">
        <v>194</v>
      </c>
      <c r="B106" s="142" t="str">
        <f>IFERROR(__xludf.DUMMYFUNCTION("""COMPUTED_VALUE"""),"Alcantara")</f>
        <v>Alcantara</v>
      </c>
      <c r="C106" s="142" t="str">
        <f>IFERROR(__xludf.DUMMYFUNCTION("""COMPUTED_VALUE"""),"Alcoy")</f>
        <v>Alcoy</v>
      </c>
      <c r="D106" s="142" t="str">
        <f>IFERROR(__xludf.DUMMYFUNCTION("""COMPUTED_VALUE"""),"Alegria")</f>
        <v>Alegria</v>
      </c>
      <c r="E106" s="142" t="str">
        <f>IFERROR(__xludf.DUMMYFUNCTION("""COMPUTED_VALUE"""),"Aloguinsan")</f>
        <v>Aloguinsan</v>
      </c>
      <c r="F106" s="142" t="str">
        <f>IFERROR(__xludf.DUMMYFUNCTION("""COMPUTED_VALUE"""),"Argao")</f>
        <v>Argao</v>
      </c>
      <c r="G106" s="142" t="str">
        <f>IFERROR(__xludf.DUMMYFUNCTION("""COMPUTED_VALUE"""),"Asturias")</f>
        <v>Asturias</v>
      </c>
      <c r="H106" s="142" t="str">
        <f>IFERROR(__xludf.DUMMYFUNCTION("""COMPUTED_VALUE"""),"Badian")</f>
        <v>Badian</v>
      </c>
      <c r="I106" s="142" t="str">
        <f>IFERROR(__xludf.DUMMYFUNCTION("""COMPUTED_VALUE"""),"Balamban")</f>
        <v>Balamban</v>
      </c>
      <c r="J106" s="142" t="str">
        <f>IFERROR(__xludf.DUMMYFUNCTION("""COMPUTED_VALUE"""),"Bantayan")</f>
        <v>Bantayan</v>
      </c>
      <c r="K106" s="142" t="str">
        <f>IFERROR(__xludf.DUMMYFUNCTION("""COMPUTED_VALUE"""),"Barili")</f>
        <v>Barili</v>
      </c>
      <c r="L106" s="142" t="str">
        <f>IFERROR(__xludf.DUMMYFUNCTION("""COMPUTED_VALUE"""),"City of Bogo")</f>
        <v>City of Bogo</v>
      </c>
      <c r="M106" s="142" t="str">
        <f>IFERROR(__xludf.DUMMYFUNCTION("""COMPUTED_VALUE"""),"Boljoon")</f>
        <v>Boljoon</v>
      </c>
      <c r="N106" s="142" t="str">
        <f>IFERROR(__xludf.DUMMYFUNCTION("""COMPUTED_VALUE"""),"Borbon")</f>
        <v>Borbon</v>
      </c>
      <c r="O106" s="142" t="str">
        <f>IFERROR(__xludf.DUMMYFUNCTION("""COMPUTED_VALUE"""),"City of Carcar")</f>
        <v>City of Carcar</v>
      </c>
      <c r="P106" s="142" t="str">
        <f>IFERROR(__xludf.DUMMYFUNCTION("""COMPUTED_VALUE"""),"Carmen")</f>
        <v>Carmen</v>
      </c>
      <c r="Q106" s="142" t="str">
        <f>IFERROR(__xludf.DUMMYFUNCTION("""COMPUTED_VALUE"""),"Catmon")</f>
        <v>Catmon</v>
      </c>
      <c r="R106" s="142" t="str">
        <f>IFERROR(__xludf.DUMMYFUNCTION("""COMPUTED_VALUE"""),"Compostela")</f>
        <v>Compostela</v>
      </c>
      <c r="S106" s="142" t="str">
        <f>IFERROR(__xludf.DUMMYFUNCTION("""COMPUTED_VALUE"""),"Consolacion")</f>
        <v>Consolacion</v>
      </c>
      <c r="T106" s="142" t="str">
        <f>IFERROR(__xludf.DUMMYFUNCTION("""COMPUTED_VALUE"""),"Cordova")</f>
        <v>Cordova</v>
      </c>
      <c r="U106" s="142" t="str">
        <f>IFERROR(__xludf.DUMMYFUNCTION("""COMPUTED_VALUE"""),"Daanbantayan")</f>
        <v>Daanbantayan</v>
      </c>
      <c r="V106" s="142" t="str">
        <f>IFERROR(__xludf.DUMMYFUNCTION("""COMPUTED_VALUE"""),"Dalaguete")</f>
        <v>Dalaguete</v>
      </c>
      <c r="W106" s="142" t="str">
        <f>IFERROR(__xludf.DUMMYFUNCTION("""COMPUTED_VALUE"""),"Danao City")</f>
        <v>Danao City</v>
      </c>
      <c r="X106" s="142" t="str">
        <f>IFERROR(__xludf.DUMMYFUNCTION("""COMPUTED_VALUE"""),"Dumanjug")</f>
        <v>Dumanjug</v>
      </c>
      <c r="Y106" s="142" t="str">
        <f>IFERROR(__xludf.DUMMYFUNCTION("""COMPUTED_VALUE"""),"Ginatilan")</f>
        <v>Ginatilan</v>
      </c>
      <c r="Z106" s="142" t="str">
        <f>IFERROR(__xludf.DUMMYFUNCTION("""COMPUTED_VALUE"""),"Liloan")</f>
        <v>Liloan</v>
      </c>
      <c r="AA106" s="142" t="str">
        <f>IFERROR(__xludf.DUMMYFUNCTION("""COMPUTED_VALUE"""),"Madridejos")</f>
        <v>Madridejos</v>
      </c>
      <c r="AB106" s="142" t="str">
        <f>IFERROR(__xludf.DUMMYFUNCTION("""COMPUTED_VALUE"""),"Malabuyoc")</f>
        <v>Malabuyoc</v>
      </c>
      <c r="AC106" s="142" t="str">
        <f>IFERROR(__xludf.DUMMYFUNCTION("""COMPUTED_VALUE"""),"Medellin")</f>
        <v>Medellin</v>
      </c>
      <c r="AD106" s="142" t="str">
        <f>IFERROR(__xludf.DUMMYFUNCTION("""COMPUTED_VALUE"""),"Minglanilla")</f>
        <v>Minglanilla</v>
      </c>
      <c r="AE106" s="142" t="str">
        <f>IFERROR(__xludf.DUMMYFUNCTION("""COMPUTED_VALUE"""),"Moalboal")</f>
        <v>Moalboal</v>
      </c>
      <c r="AF106" s="142" t="str">
        <f>IFERROR(__xludf.DUMMYFUNCTION("""COMPUTED_VALUE"""),"City of Naga")</f>
        <v>City of Naga</v>
      </c>
      <c r="AG106" s="142" t="str">
        <f>IFERROR(__xludf.DUMMYFUNCTION("""COMPUTED_VALUE"""),"Oslob")</f>
        <v>Oslob</v>
      </c>
      <c r="AH106" s="142" t="str">
        <f>IFERROR(__xludf.DUMMYFUNCTION("""COMPUTED_VALUE"""),"Pilar")</f>
        <v>Pilar</v>
      </c>
      <c r="AI106" s="142" t="str">
        <f>IFERROR(__xludf.DUMMYFUNCTION("""COMPUTED_VALUE"""),"Pinamungajan")</f>
        <v>Pinamungajan</v>
      </c>
      <c r="AJ106" s="142" t="str">
        <f>IFERROR(__xludf.DUMMYFUNCTION("""COMPUTED_VALUE"""),"Poro")</f>
        <v>Poro</v>
      </c>
      <c r="AK106" s="142" t="str">
        <f>IFERROR(__xludf.DUMMYFUNCTION("""COMPUTED_VALUE"""),"Ronda")</f>
        <v>Ronda</v>
      </c>
      <c r="AL106" s="142" t="str">
        <f>IFERROR(__xludf.DUMMYFUNCTION("""COMPUTED_VALUE"""),"Samboan")</f>
        <v>Samboan</v>
      </c>
      <c r="AM106" s="142" t="str">
        <f>IFERROR(__xludf.DUMMYFUNCTION("""COMPUTED_VALUE"""),"San Fernando")</f>
        <v>San Fernando</v>
      </c>
      <c r="AN106" s="142" t="str">
        <f>IFERROR(__xludf.DUMMYFUNCTION("""COMPUTED_VALUE"""),"San Francisco")</f>
        <v>San Francisco</v>
      </c>
      <c r="AO106" s="142" t="str">
        <f>IFERROR(__xludf.DUMMYFUNCTION("""COMPUTED_VALUE"""),"San Remigio")</f>
        <v>San Remigio</v>
      </c>
      <c r="AP106" s="142" t="str">
        <f>IFERROR(__xludf.DUMMYFUNCTION("""COMPUTED_VALUE"""),"Santa Fe")</f>
        <v>Santa Fe</v>
      </c>
      <c r="AQ106" s="142" t="str">
        <f>IFERROR(__xludf.DUMMYFUNCTION("""COMPUTED_VALUE"""),"Santander")</f>
        <v>Santander</v>
      </c>
      <c r="AR106" s="142" t="str">
        <f>IFERROR(__xludf.DUMMYFUNCTION("""COMPUTED_VALUE"""),"Sibonga")</f>
        <v>Sibonga</v>
      </c>
      <c r="AS106" s="142" t="str">
        <f>IFERROR(__xludf.DUMMYFUNCTION("""COMPUTED_VALUE"""),"Sogod")</f>
        <v>Sogod</v>
      </c>
      <c r="AT106" s="142" t="str">
        <f>IFERROR(__xludf.DUMMYFUNCTION("""COMPUTED_VALUE"""),"Tabogon")</f>
        <v>Tabogon</v>
      </c>
      <c r="AU106" s="142" t="str">
        <f>IFERROR(__xludf.DUMMYFUNCTION("""COMPUTED_VALUE"""),"Tabuelan")</f>
        <v>Tabuelan</v>
      </c>
      <c r="AV106" s="142" t="str">
        <f>IFERROR(__xludf.DUMMYFUNCTION("""COMPUTED_VALUE"""),"City of Talisay")</f>
        <v>City of Talisay</v>
      </c>
      <c r="AW106" s="142" t="str">
        <f>IFERROR(__xludf.DUMMYFUNCTION("""COMPUTED_VALUE"""),"City of Toledo")</f>
        <v>City of Toledo</v>
      </c>
      <c r="AX106" s="142" t="str">
        <f>IFERROR(__xludf.DUMMYFUNCTION("""COMPUTED_VALUE"""),"Tuburan")</f>
        <v>Tuburan</v>
      </c>
      <c r="AY106" s="142" t="str">
        <f>IFERROR(__xludf.DUMMYFUNCTION("""COMPUTED_VALUE"""),"Tudela")</f>
        <v>Tudela</v>
      </c>
      <c r="AZ106" s="142" t="str">
        <f>IFERROR(__xludf.DUMMYFUNCTION("""COMPUTED_VALUE"""),"City of Cebu")</f>
        <v>City of Cebu</v>
      </c>
      <c r="BA106" s="142" t="str">
        <f>IFERROR(__xludf.DUMMYFUNCTION("""COMPUTED_VALUE"""),"City of Lapu-Lapu")</f>
        <v>City of Lapu-Lapu</v>
      </c>
      <c r="BB106" s="142" t="str">
        <f>IFERROR(__xludf.DUMMYFUNCTION("""COMPUTED_VALUE"""),"City of Mandaue")</f>
        <v>City of Mandaue</v>
      </c>
      <c r="BC106" s="8"/>
      <c r="BD106" s="8"/>
      <c r="BE106" s="8"/>
    </row>
    <row r="107">
      <c r="A107" s="142" t="s">
        <v>893</v>
      </c>
      <c r="B107" s="142" t="str">
        <f>IFERROR(__xludf.DUMMYFUNCTION("""COMPUTED_VALUE"""),"Bacacay")</f>
        <v>Bacacay</v>
      </c>
      <c r="C107" s="142" t="str">
        <f>IFERROR(__xludf.DUMMYFUNCTION("""COMPUTED_VALUE"""),"Camalig")</f>
        <v>Camalig</v>
      </c>
      <c r="D107" s="142" t="str">
        <f>IFERROR(__xludf.DUMMYFUNCTION("""COMPUTED_VALUE"""),"Daraga")</f>
        <v>Daraga</v>
      </c>
      <c r="E107" s="142" t="str">
        <f>IFERROR(__xludf.DUMMYFUNCTION("""COMPUTED_VALUE"""),"Guinobatan")</f>
        <v>Guinobatan</v>
      </c>
      <c r="F107" s="142" t="str">
        <f>IFERROR(__xludf.DUMMYFUNCTION("""COMPUTED_VALUE"""),"Jovellar")</f>
        <v>Jovellar</v>
      </c>
      <c r="G107" s="142" t="str">
        <f>IFERROR(__xludf.DUMMYFUNCTION("""COMPUTED_VALUE"""),"City of Legazpi")</f>
        <v>City of Legazpi</v>
      </c>
      <c r="H107" s="142" t="str">
        <f>IFERROR(__xludf.DUMMYFUNCTION("""COMPUTED_VALUE"""),"Libon")</f>
        <v>Libon</v>
      </c>
      <c r="I107" s="142" t="str">
        <f>IFERROR(__xludf.DUMMYFUNCTION("""COMPUTED_VALUE"""),"City of Ligao")</f>
        <v>City of Ligao</v>
      </c>
      <c r="J107" s="142" t="str">
        <f>IFERROR(__xludf.DUMMYFUNCTION("""COMPUTED_VALUE"""),"Malilipot")</f>
        <v>Malilipot</v>
      </c>
      <c r="K107" s="142" t="str">
        <f>IFERROR(__xludf.DUMMYFUNCTION("""COMPUTED_VALUE"""),"Malinao")</f>
        <v>Malinao</v>
      </c>
      <c r="L107" s="142" t="str">
        <f>IFERROR(__xludf.DUMMYFUNCTION("""COMPUTED_VALUE"""),"Manito")</f>
        <v>Manito</v>
      </c>
      <c r="M107" s="142" t="str">
        <f>IFERROR(__xludf.DUMMYFUNCTION("""COMPUTED_VALUE"""),"Oas")</f>
        <v>Oas</v>
      </c>
      <c r="N107" s="142" t="str">
        <f>IFERROR(__xludf.DUMMYFUNCTION("""COMPUTED_VALUE"""),"Pio Duran")</f>
        <v>Pio Duran</v>
      </c>
      <c r="O107" s="142" t="str">
        <f>IFERROR(__xludf.DUMMYFUNCTION("""COMPUTED_VALUE"""),"Polangui")</f>
        <v>Polangui</v>
      </c>
      <c r="P107" s="142" t="str">
        <f>IFERROR(__xludf.DUMMYFUNCTION("""COMPUTED_VALUE"""),"Rapu-Rapu")</f>
        <v>Rapu-Rapu</v>
      </c>
      <c r="Q107" s="142" t="str">
        <f>IFERROR(__xludf.DUMMYFUNCTION("""COMPUTED_VALUE"""),"Santo Domingo")</f>
        <v>Santo Domingo</v>
      </c>
      <c r="R107" s="142" t="str">
        <f>IFERROR(__xludf.DUMMYFUNCTION("""COMPUTED_VALUE"""),"City of Tabaco")</f>
        <v>City of Tabaco</v>
      </c>
      <c r="S107" s="142" t="str">
        <f>IFERROR(__xludf.DUMMYFUNCTION("""COMPUTED_VALUE"""),"Tiwi")</f>
        <v>Tiwi</v>
      </c>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row>
    <row r="108">
      <c r="A108" s="142" t="s">
        <v>346</v>
      </c>
      <c r="B108" s="142" t="str">
        <f>IFERROR(__xludf.DUMMYFUNCTION("""COMPUTED_VALUE"""),"Alegria")</f>
        <v>Alegria</v>
      </c>
      <c r="C108" s="142" t="str">
        <f>IFERROR(__xludf.DUMMYFUNCTION("""COMPUTED_VALUE"""),"Bacuag")</f>
        <v>Bacuag</v>
      </c>
      <c r="D108" s="142" t="str">
        <f>IFERROR(__xludf.DUMMYFUNCTION("""COMPUTED_VALUE"""),"Burgos")</f>
        <v>Burgos</v>
      </c>
      <c r="E108" s="142" t="str">
        <f>IFERROR(__xludf.DUMMYFUNCTION("""COMPUTED_VALUE"""),"Claver")</f>
        <v>Claver</v>
      </c>
      <c r="F108" s="142" t="str">
        <f>IFERROR(__xludf.DUMMYFUNCTION("""COMPUTED_VALUE"""),"Dapa")</f>
        <v>Dapa</v>
      </c>
      <c r="G108" s="142" t="str">
        <f>IFERROR(__xludf.DUMMYFUNCTION("""COMPUTED_VALUE"""),"Del Carmen")</f>
        <v>Del Carmen</v>
      </c>
      <c r="H108" s="142" t="str">
        <f>IFERROR(__xludf.DUMMYFUNCTION("""COMPUTED_VALUE"""),"General Luna")</f>
        <v>General Luna</v>
      </c>
      <c r="I108" s="142" t="str">
        <f>IFERROR(__xludf.DUMMYFUNCTION("""COMPUTED_VALUE"""),"Gigaquit")</f>
        <v>Gigaquit</v>
      </c>
      <c r="J108" s="142" t="str">
        <f>IFERROR(__xludf.DUMMYFUNCTION("""COMPUTED_VALUE"""),"Mainit")</f>
        <v>Mainit</v>
      </c>
      <c r="K108" s="142" t="str">
        <f>IFERROR(__xludf.DUMMYFUNCTION("""COMPUTED_VALUE"""),"Malimono")</f>
        <v>Malimono</v>
      </c>
      <c r="L108" s="142" t="str">
        <f>IFERROR(__xludf.DUMMYFUNCTION("""COMPUTED_VALUE"""),"Pilar")</f>
        <v>Pilar</v>
      </c>
      <c r="M108" s="142" t="str">
        <f>IFERROR(__xludf.DUMMYFUNCTION("""COMPUTED_VALUE"""),"Placer")</f>
        <v>Placer</v>
      </c>
      <c r="N108" s="142" t="str">
        <f>IFERROR(__xludf.DUMMYFUNCTION("""COMPUTED_VALUE"""),"San Benito")</f>
        <v>San Benito</v>
      </c>
      <c r="O108" s="142" t="str">
        <f>IFERROR(__xludf.DUMMYFUNCTION("""COMPUTED_VALUE"""),"San Francisco")</f>
        <v>San Francisco</v>
      </c>
      <c r="P108" s="142" t="str">
        <f>IFERROR(__xludf.DUMMYFUNCTION("""COMPUTED_VALUE"""),"San Isidro")</f>
        <v>San Isidro</v>
      </c>
      <c r="Q108" s="142" t="str">
        <f>IFERROR(__xludf.DUMMYFUNCTION("""COMPUTED_VALUE"""),"Santa Monica")</f>
        <v>Santa Monica</v>
      </c>
      <c r="R108" s="142" t="str">
        <f>IFERROR(__xludf.DUMMYFUNCTION("""COMPUTED_VALUE"""),"Sison")</f>
        <v>Sison</v>
      </c>
      <c r="S108" s="142" t="str">
        <f>IFERROR(__xludf.DUMMYFUNCTION("""COMPUTED_VALUE"""),"Socorro")</f>
        <v>Socorro</v>
      </c>
      <c r="T108" s="142" t="str">
        <f>IFERROR(__xludf.DUMMYFUNCTION("""COMPUTED_VALUE"""),"City of Surigao")</f>
        <v>City of Surigao</v>
      </c>
      <c r="U108" s="142" t="str">
        <f>IFERROR(__xludf.DUMMYFUNCTION("""COMPUTED_VALUE"""),"Tagana-An")</f>
        <v>Tagana-An</v>
      </c>
      <c r="V108" s="142" t="str">
        <f>IFERROR(__xludf.DUMMYFUNCTION("""COMPUTED_VALUE"""),"Tubod")</f>
        <v>Tubod</v>
      </c>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row>
    <row r="109">
      <c r="A109" s="142" t="s">
        <v>523</v>
      </c>
      <c r="B109" s="142" t="str">
        <f>IFERROR(__xludf.DUMMYFUNCTION("""COMPUTED_VALUE"""),"Aborlan")</f>
        <v>Aborlan</v>
      </c>
      <c r="C109" s="142" t="str">
        <f>IFERROR(__xludf.DUMMYFUNCTION("""COMPUTED_VALUE"""),"Agutaya")</f>
        <v>Agutaya</v>
      </c>
      <c r="D109" s="142" t="str">
        <f>IFERROR(__xludf.DUMMYFUNCTION("""COMPUTED_VALUE"""),"Araceli")</f>
        <v>Araceli</v>
      </c>
      <c r="E109" s="142" t="str">
        <f>IFERROR(__xludf.DUMMYFUNCTION("""COMPUTED_VALUE"""),"Balabac")</f>
        <v>Balabac</v>
      </c>
      <c r="F109" s="142" t="str">
        <f>IFERROR(__xludf.DUMMYFUNCTION("""COMPUTED_VALUE"""),"Bataraza")</f>
        <v>Bataraza</v>
      </c>
      <c r="G109" s="142" t="str">
        <f>IFERROR(__xludf.DUMMYFUNCTION("""COMPUTED_VALUE"""),"Brooke's Point")</f>
        <v>Brooke's Point</v>
      </c>
      <c r="H109" s="142" t="str">
        <f>IFERROR(__xludf.DUMMYFUNCTION("""COMPUTED_VALUE"""),"Busuanga")</f>
        <v>Busuanga</v>
      </c>
      <c r="I109" s="142" t="str">
        <f>IFERROR(__xludf.DUMMYFUNCTION("""COMPUTED_VALUE"""),"Cagayancillo")</f>
        <v>Cagayancillo</v>
      </c>
      <c r="J109" s="142" t="str">
        <f>IFERROR(__xludf.DUMMYFUNCTION("""COMPUTED_VALUE"""),"Coron")</f>
        <v>Coron</v>
      </c>
      <c r="K109" s="142" t="str">
        <f>IFERROR(__xludf.DUMMYFUNCTION("""COMPUTED_VALUE"""),"Cuyo")</f>
        <v>Cuyo</v>
      </c>
      <c r="L109" s="142" t="str">
        <f>IFERROR(__xludf.DUMMYFUNCTION("""COMPUTED_VALUE"""),"Dumaran")</f>
        <v>Dumaran</v>
      </c>
      <c r="M109" s="142" t="str">
        <f>IFERROR(__xludf.DUMMYFUNCTION("""COMPUTED_VALUE"""),"El Nido")</f>
        <v>El Nido</v>
      </c>
      <c r="N109" s="142" t="str">
        <f>IFERROR(__xludf.DUMMYFUNCTION("""COMPUTED_VALUE"""),"Linapacan")</f>
        <v>Linapacan</v>
      </c>
      <c r="O109" s="142" t="str">
        <f>IFERROR(__xludf.DUMMYFUNCTION("""COMPUTED_VALUE"""),"Magsaysay")</f>
        <v>Magsaysay</v>
      </c>
      <c r="P109" s="142" t="str">
        <f>IFERROR(__xludf.DUMMYFUNCTION("""COMPUTED_VALUE"""),"Narra")</f>
        <v>Narra</v>
      </c>
      <c r="Q109" s="142" t="str">
        <f>IFERROR(__xludf.DUMMYFUNCTION("""COMPUTED_VALUE"""),"City of Puerto Princesa")</f>
        <v>City of Puerto Princesa</v>
      </c>
      <c r="R109" s="142" t="str">
        <f>IFERROR(__xludf.DUMMYFUNCTION("""COMPUTED_VALUE"""),"Quezon")</f>
        <v>Quezon</v>
      </c>
      <c r="S109" s="142" t="str">
        <f>IFERROR(__xludf.DUMMYFUNCTION("""COMPUTED_VALUE"""),"Roxas")</f>
        <v>Roxas</v>
      </c>
      <c r="T109" s="142" t="str">
        <f>IFERROR(__xludf.DUMMYFUNCTION("""COMPUTED_VALUE"""),"San Vicente")</f>
        <v>San Vicente</v>
      </c>
      <c r="U109" s="142" t="str">
        <f>IFERROR(__xludf.DUMMYFUNCTION("""COMPUTED_VALUE"""),"Taytay")</f>
        <v>Taytay</v>
      </c>
      <c r="V109" s="142" t="str">
        <f>IFERROR(__xludf.DUMMYFUNCTION("""COMPUTED_VALUE"""),"Kalayaan")</f>
        <v>Kalayaan</v>
      </c>
      <c r="W109" s="142" t="str">
        <f>IFERROR(__xludf.DUMMYFUNCTION("""COMPUTED_VALUE"""),"Culion")</f>
        <v>Culion</v>
      </c>
      <c r="X109" s="142" t="str">
        <f>IFERROR(__xludf.DUMMYFUNCTION("""COMPUTED_VALUE"""),"Dr. Jose P. Rizal")</f>
        <v>Dr. Jose P. Rizal</v>
      </c>
      <c r="Y109" s="142" t="str">
        <f>IFERROR(__xludf.DUMMYFUNCTION("""COMPUTED_VALUE"""),"Sofronio Española")</f>
        <v>Sofronio Española</v>
      </c>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row>
    <row r="110">
      <c r="A110" s="142" t="s">
        <v>144</v>
      </c>
      <c r="B110" s="142" t="str">
        <f>IFERROR(__xludf.DUMMYFUNCTION("""COMPUTED_VALUE"""),"Agno")</f>
        <v>Agno</v>
      </c>
      <c r="C110" s="142" t="str">
        <f>IFERROR(__xludf.DUMMYFUNCTION("""COMPUTED_VALUE"""),"Aguilar")</f>
        <v>Aguilar</v>
      </c>
      <c r="D110" s="142" t="str">
        <f>IFERROR(__xludf.DUMMYFUNCTION("""COMPUTED_VALUE"""),"City of Alaminos")</f>
        <v>City of Alaminos</v>
      </c>
      <c r="E110" s="142" t="str">
        <f>IFERROR(__xludf.DUMMYFUNCTION("""COMPUTED_VALUE"""),"Alcala")</f>
        <v>Alcala</v>
      </c>
      <c r="F110" s="142" t="str">
        <f>IFERROR(__xludf.DUMMYFUNCTION("""COMPUTED_VALUE"""),"Anda")</f>
        <v>Anda</v>
      </c>
      <c r="G110" s="142" t="str">
        <f>IFERROR(__xludf.DUMMYFUNCTION("""COMPUTED_VALUE"""),"Asingan")</f>
        <v>Asingan</v>
      </c>
      <c r="H110" s="142" t="str">
        <f>IFERROR(__xludf.DUMMYFUNCTION("""COMPUTED_VALUE"""),"Balungao")</f>
        <v>Balungao</v>
      </c>
      <c r="I110" s="142" t="str">
        <f>IFERROR(__xludf.DUMMYFUNCTION("""COMPUTED_VALUE"""),"Bani")</f>
        <v>Bani</v>
      </c>
      <c r="J110" s="142" t="str">
        <f>IFERROR(__xludf.DUMMYFUNCTION("""COMPUTED_VALUE"""),"Basista")</f>
        <v>Basista</v>
      </c>
      <c r="K110" s="142" t="str">
        <f>IFERROR(__xludf.DUMMYFUNCTION("""COMPUTED_VALUE"""),"Bautista")</f>
        <v>Bautista</v>
      </c>
      <c r="L110" s="142" t="str">
        <f>IFERROR(__xludf.DUMMYFUNCTION("""COMPUTED_VALUE"""),"Bayambang")</f>
        <v>Bayambang</v>
      </c>
      <c r="M110" s="142" t="str">
        <f>IFERROR(__xludf.DUMMYFUNCTION("""COMPUTED_VALUE"""),"Binalonan")</f>
        <v>Binalonan</v>
      </c>
      <c r="N110" s="142" t="str">
        <f>IFERROR(__xludf.DUMMYFUNCTION("""COMPUTED_VALUE"""),"Binmaley")</f>
        <v>Binmaley</v>
      </c>
      <c r="O110" s="142" t="str">
        <f>IFERROR(__xludf.DUMMYFUNCTION("""COMPUTED_VALUE"""),"Bolinao")</f>
        <v>Bolinao</v>
      </c>
      <c r="P110" s="142" t="str">
        <f>IFERROR(__xludf.DUMMYFUNCTION("""COMPUTED_VALUE"""),"Bugallon")</f>
        <v>Bugallon</v>
      </c>
      <c r="Q110" s="142" t="str">
        <f>IFERROR(__xludf.DUMMYFUNCTION("""COMPUTED_VALUE"""),"Burgos")</f>
        <v>Burgos</v>
      </c>
      <c r="R110" s="142" t="str">
        <f>IFERROR(__xludf.DUMMYFUNCTION("""COMPUTED_VALUE"""),"Calasiao")</f>
        <v>Calasiao</v>
      </c>
      <c r="S110" s="142" t="str">
        <f>IFERROR(__xludf.DUMMYFUNCTION("""COMPUTED_VALUE"""),"City of Dagupan")</f>
        <v>City of Dagupan</v>
      </c>
      <c r="T110" s="142" t="str">
        <f>IFERROR(__xludf.DUMMYFUNCTION("""COMPUTED_VALUE"""),"Dasol")</f>
        <v>Dasol</v>
      </c>
      <c r="U110" s="142" t="str">
        <f>IFERROR(__xludf.DUMMYFUNCTION("""COMPUTED_VALUE"""),"Infanta")</f>
        <v>Infanta</v>
      </c>
      <c r="V110" s="142" t="str">
        <f>IFERROR(__xludf.DUMMYFUNCTION("""COMPUTED_VALUE"""),"Labrador")</f>
        <v>Labrador</v>
      </c>
      <c r="W110" s="142" t="str">
        <f>IFERROR(__xludf.DUMMYFUNCTION("""COMPUTED_VALUE"""),"Lingayen")</f>
        <v>Lingayen</v>
      </c>
      <c r="X110" s="142" t="str">
        <f>IFERROR(__xludf.DUMMYFUNCTION("""COMPUTED_VALUE"""),"Mabini")</f>
        <v>Mabini</v>
      </c>
      <c r="Y110" s="142" t="str">
        <f>IFERROR(__xludf.DUMMYFUNCTION("""COMPUTED_VALUE"""),"Malasiqui")</f>
        <v>Malasiqui</v>
      </c>
      <c r="Z110" s="142" t="str">
        <f>IFERROR(__xludf.DUMMYFUNCTION("""COMPUTED_VALUE"""),"Manaoag")</f>
        <v>Manaoag</v>
      </c>
      <c r="AA110" s="142" t="str">
        <f>IFERROR(__xludf.DUMMYFUNCTION("""COMPUTED_VALUE"""),"Mangaldan")</f>
        <v>Mangaldan</v>
      </c>
      <c r="AB110" s="142" t="str">
        <f>IFERROR(__xludf.DUMMYFUNCTION("""COMPUTED_VALUE"""),"Mangatarem")</f>
        <v>Mangatarem</v>
      </c>
      <c r="AC110" s="142" t="str">
        <f>IFERROR(__xludf.DUMMYFUNCTION("""COMPUTED_VALUE"""),"Mapandan")</f>
        <v>Mapandan</v>
      </c>
      <c r="AD110" s="142" t="str">
        <f>IFERROR(__xludf.DUMMYFUNCTION("""COMPUTED_VALUE"""),"Natividad")</f>
        <v>Natividad</v>
      </c>
      <c r="AE110" s="142" t="str">
        <f>IFERROR(__xludf.DUMMYFUNCTION("""COMPUTED_VALUE"""),"Pozorrubio")</f>
        <v>Pozorrubio</v>
      </c>
      <c r="AF110" s="142" t="str">
        <f>IFERROR(__xludf.DUMMYFUNCTION("""COMPUTED_VALUE"""),"Rosales")</f>
        <v>Rosales</v>
      </c>
      <c r="AG110" s="142" t="str">
        <f>IFERROR(__xludf.DUMMYFUNCTION("""COMPUTED_VALUE"""),"City of San Carlos")</f>
        <v>City of San Carlos</v>
      </c>
      <c r="AH110" s="142" t="str">
        <f>IFERROR(__xludf.DUMMYFUNCTION("""COMPUTED_VALUE"""),"San Fabian")</f>
        <v>San Fabian</v>
      </c>
      <c r="AI110" s="142" t="str">
        <f>IFERROR(__xludf.DUMMYFUNCTION("""COMPUTED_VALUE"""),"San Jacinto")</f>
        <v>San Jacinto</v>
      </c>
      <c r="AJ110" s="142" t="str">
        <f>IFERROR(__xludf.DUMMYFUNCTION("""COMPUTED_VALUE"""),"San Manuel")</f>
        <v>San Manuel</v>
      </c>
      <c r="AK110" s="142" t="str">
        <f>IFERROR(__xludf.DUMMYFUNCTION("""COMPUTED_VALUE"""),"San Nicolas")</f>
        <v>San Nicolas</v>
      </c>
      <c r="AL110" s="142" t="str">
        <f>IFERROR(__xludf.DUMMYFUNCTION("""COMPUTED_VALUE"""),"San Quintin")</f>
        <v>San Quintin</v>
      </c>
      <c r="AM110" s="142" t="str">
        <f>IFERROR(__xludf.DUMMYFUNCTION("""COMPUTED_VALUE"""),"Santa Barbara")</f>
        <v>Santa Barbara</v>
      </c>
      <c r="AN110" s="142" t="str">
        <f>IFERROR(__xludf.DUMMYFUNCTION("""COMPUTED_VALUE"""),"Santa Maria")</f>
        <v>Santa Maria</v>
      </c>
      <c r="AO110" s="142" t="str">
        <f>IFERROR(__xludf.DUMMYFUNCTION("""COMPUTED_VALUE"""),"Santo Tomas")</f>
        <v>Santo Tomas</v>
      </c>
      <c r="AP110" s="142" t="str">
        <f>IFERROR(__xludf.DUMMYFUNCTION("""COMPUTED_VALUE"""),"Sison")</f>
        <v>Sison</v>
      </c>
      <c r="AQ110" s="142" t="str">
        <f>IFERROR(__xludf.DUMMYFUNCTION("""COMPUTED_VALUE"""),"Sual")</f>
        <v>Sual</v>
      </c>
      <c r="AR110" s="142" t="str">
        <f>IFERROR(__xludf.DUMMYFUNCTION("""COMPUTED_VALUE"""),"Tayug")</f>
        <v>Tayug</v>
      </c>
      <c r="AS110" s="142" t="str">
        <f>IFERROR(__xludf.DUMMYFUNCTION("""COMPUTED_VALUE"""),"Umingan")</f>
        <v>Umingan</v>
      </c>
      <c r="AT110" s="142" t="str">
        <f>IFERROR(__xludf.DUMMYFUNCTION("""COMPUTED_VALUE"""),"Urbiztondo")</f>
        <v>Urbiztondo</v>
      </c>
      <c r="AU110" s="142" t="str">
        <f>IFERROR(__xludf.DUMMYFUNCTION("""COMPUTED_VALUE"""),"City of Urdaneta")</f>
        <v>City of Urdaneta</v>
      </c>
      <c r="AV110" s="142" t="str">
        <f>IFERROR(__xludf.DUMMYFUNCTION("""COMPUTED_VALUE"""),"Villasis")</f>
        <v>Villasis</v>
      </c>
      <c r="AW110" s="142" t="str">
        <f>IFERROR(__xludf.DUMMYFUNCTION("""COMPUTED_VALUE"""),"Laoac")</f>
        <v>Laoac</v>
      </c>
      <c r="AX110" s="8"/>
      <c r="AY110" s="8"/>
      <c r="AZ110" s="8"/>
      <c r="BA110" s="8"/>
      <c r="BB110" s="8"/>
      <c r="BC110" s="8"/>
      <c r="BD110" s="8"/>
      <c r="BE110" s="8"/>
    </row>
    <row r="111">
      <c r="A111" s="142" t="s">
        <v>144</v>
      </c>
      <c r="B111" s="142" t="str">
        <f>IFERROR(__xludf.DUMMYFUNCTION("""COMPUTED_VALUE"""),"Agno")</f>
        <v>Agno</v>
      </c>
      <c r="C111" s="142" t="str">
        <f>IFERROR(__xludf.DUMMYFUNCTION("""COMPUTED_VALUE"""),"Aguilar")</f>
        <v>Aguilar</v>
      </c>
      <c r="D111" s="142" t="str">
        <f>IFERROR(__xludf.DUMMYFUNCTION("""COMPUTED_VALUE"""),"City of Alaminos")</f>
        <v>City of Alaminos</v>
      </c>
      <c r="E111" s="142" t="str">
        <f>IFERROR(__xludf.DUMMYFUNCTION("""COMPUTED_VALUE"""),"Alcala")</f>
        <v>Alcala</v>
      </c>
      <c r="F111" s="142" t="str">
        <f>IFERROR(__xludf.DUMMYFUNCTION("""COMPUTED_VALUE"""),"Anda")</f>
        <v>Anda</v>
      </c>
      <c r="G111" s="142" t="str">
        <f>IFERROR(__xludf.DUMMYFUNCTION("""COMPUTED_VALUE"""),"Asingan")</f>
        <v>Asingan</v>
      </c>
      <c r="H111" s="142" t="str">
        <f>IFERROR(__xludf.DUMMYFUNCTION("""COMPUTED_VALUE"""),"Balungao")</f>
        <v>Balungao</v>
      </c>
      <c r="I111" s="142" t="str">
        <f>IFERROR(__xludf.DUMMYFUNCTION("""COMPUTED_VALUE"""),"Bani")</f>
        <v>Bani</v>
      </c>
      <c r="J111" s="142" t="str">
        <f>IFERROR(__xludf.DUMMYFUNCTION("""COMPUTED_VALUE"""),"Basista")</f>
        <v>Basista</v>
      </c>
      <c r="K111" s="142" t="str">
        <f>IFERROR(__xludf.DUMMYFUNCTION("""COMPUTED_VALUE"""),"Bautista")</f>
        <v>Bautista</v>
      </c>
      <c r="L111" s="142" t="str">
        <f>IFERROR(__xludf.DUMMYFUNCTION("""COMPUTED_VALUE"""),"Bayambang")</f>
        <v>Bayambang</v>
      </c>
      <c r="M111" s="142" t="str">
        <f>IFERROR(__xludf.DUMMYFUNCTION("""COMPUTED_VALUE"""),"Binalonan")</f>
        <v>Binalonan</v>
      </c>
      <c r="N111" s="142" t="str">
        <f>IFERROR(__xludf.DUMMYFUNCTION("""COMPUTED_VALUE"""),"Binmaley")</f>
        <v>Binmaley</v>
      </c>
      <c r="O111" s="142" t="str">
        <f>IFERROR(__xludf.DUMMYFUNCTION("""COMPUTED_VALUE"""),"Bolinao")</f>
        <v>Bolinao</v>
      </c>
      <c r="P111" s="142" t="str">
        <f>IFERROR(__xludf.DUMMYFUNCTION("""COMPUTED_VALUE"""),"Bugallon")</f>
        <v>Bugallon</v>
      </c>
      <c r="Q111" s="142" t="str">
        <f>IFERROR(__xludf.DUMMYFUNCTION("""COMPUTED_VALUE"""),"Burgos")</f>
        <v>Burgos</v>
      </c>
      <c r="R111" s="142" t="str">
        <f>IFERROR(__xludf.DUMMYFUNCTION("""COMPUTED_VALUE"""),"Calasiao")</f>
        <v>Calasiao</v>
      </c>
      <c r="S111" s="142" t="str">
        <f>IFERROR(__xludf.DUMMYFUNCTION("""COMPUTED_VALUE"""),"City of Dagupan")</f>
        <v>City of Dagupan</v>
      </c>
      <c r="T111" s="142" t="str">
        <f>IFERROR(__xludf.DUMMYFUNCTION("""COMPUTED_VALUE"""),"Dasol")</f>
        <v>Dasol</v>
      </c>
      <c r="U111" s="142" t="str">
        <f>IFERROR(__xludf.DUMMYFUNCTION("""COMPUTED_VALUE"""),"Infanta")</f>
        <v>Infanta</v>
      </c>
      <c r="V111" s="142" t="str">
        <f>IFERROR(__xludf.DUMMYFUNCTION("""COMPUTED_VALUE"""),"Labrador")</f>
        <v>Labrador</v>
      </c>
      <c r="W111" s="142" t="str">
        <f>IFERROR(__xludf.DUMMYFUNCTION("""COMPUTED_VALUE"""),"Lingayen")</f>
        <v>Lingayen</v>
      </c>
      <c r="X111" s="142" t="str">
        <f>IFERROR(__xludf.DUMMYFUNCTION("""COMPUTED_VALUE"""),"Mabini")</f>
        <v>Mabini</v>
      </c>
      <c r="Y111" s="142" t="str">
        <f>IFERROR(__xludf.DUMMYFUNCTION("""COMPUTED_VALUE"""),"Malasiqui")</f>
        <v>Malasiqui</v>
      </c>
      <c r="Z111" s="142" t="str">
        <f>IFERROR(__xludf.DUMMYFUNCTION("""COMPUTED_VALUE"""),"Manaoag")</f>
        <v>Manaoag</v>
      </c>
      <c r="AA111" s="142" t="str">
        <f>IFERROR(__xludf.DUMMYFUNCTION("""COMPUTED_VALUE"""),"Mangaldan")</f>
        <v>Mangaldan</v>
      </c>
      <c r="AB111" s="142" t="str">
        <f>IFERROR(__xludf.DUMMYFUNCTION("""COMPUTED_VALUE"""),"Mangatarem")</f>
        <v>Mangatarem</v>
      </c>
      <c r="AC111" s="142" t="str">
        <f>IFERROR(__xludf.DUMMYFUNCTION("""COMPUTED_VALUE"""),"Mapandan")</f>
        <v>Mapandan</v>
      </c>
      <c r="AD111" s="142" t="str">
        <f>IFERROR(__xludf.DUMMYFUNCTION("""COMPUTED_VALUE"""),"Natividad")</f>
        <v>Natividad</v>
      </c>
      <c r="AE111" s="142" t="str">
        <f>IFERROR(__xludf.DUMMYFUNCTION("""COMPUTED_VALUE"""),"Pozorrubio")</f>
        <v>Pozorrubio</v>
      </c>
      <c r="AF111" s="142" t="str">
        <f>IFERROR(__xludf.DUMMYFUNCTION("""COMPUTED_VALUE"""),"Rosales")</f>
        <v>Rosales</v>
      </c>
      <c r="AG111" s="142" t="str">
        <f>IFERROR(__xludf.DUMMYFUNCTION("""COMPUTED_VALUE"""),"City of San Carlos")</f>
        <v>City of San Carlos</v>
      </c>
      <c r="AH111" s="142" t="str">
        <f>IFERROR(__xludf.DUMMYFUNCTION("""COMPUTED_VALUE"""),"San Fabian")</f>
        <v>San Fabian</v>
      </c>
      <c r="AI111" s="142" t="str">
        <f>IFERROR(__xludf.DUMMYFUNCTION("""COMPUTED_VALUE"""),"San Jacinto")</f>
        <v>San Jacinto</v>
      </c>
      <c r="AJ111" s="142" t="str">
        <f>IFERROR(__xludf.DUMMYFUNCTION("""COMPUTED_VALUE"""),"San Manuel")</f>
        <v>San Manuel</v>
      </c>
      <c r="AK111" s="142" t="str">
        <f>IFERROR(__xludf.DUMMYFUNCTION("""COMPUTED_VALUE"""),"San Nicolas")</f>
        <v>San Nicolas</v>
      </c>
      <c r="AL111" s="142" t="str">
        <f>IFERROR(__xludf.DUMMYFUNCTION("""COMPUTED_VALUE"""),"San Quintin")</f>
        <v>San Quintin</v>
      </c>
      <c r="AM111" s="142" t="str">
        <f>IFERROR(__xludf.DUMMYFUNCTION("""COMPUTED_VALUE"""),"Santa Barbara")</f>
        <v>Santa Barbara</v>
      </c>
      <c r="AN111" s="142" t="str">
        <f>IFERROR(__xludf.DUMMYFUNCTION("""COMPUTED_VALUE"""),"Santa Maria")</f>
        <v>Santa Maria</v>
      </c>
      <c r="AO111" s="142" t="str">
        <f>IFERROR(__xludf.DUMMYFUNCTION("""COMPUTED_VALUE"""),"Santo Tomas")</f>
        <v>Santo Tomas</v>
      </c>
      <c r="AP111" s="142" t="str">
        <f>IFERROR(__xludf.DUMMYFUNCTION("""COMPUTED_VALUE"""),"Sison")</f>
        <v>Sison</v>
      </c>
      <c r="AQ111" s="142" t="str">
        <f>IFERROR(__xludf.DUMMYFUNCTION("""COMPUTED_VALUE"""),"Sual")</f>
        <v>Sual</v>
      </c>
      <c r="AR111" s="142" t="str">
        <f>IFERROR(__xludf.DUMMYFUNCTION("""COMPUTED_VALUE"""),"Tayug")</f>
        <v>Tayug</v>
      </c>
      <c r="AS111" s="142" t="str">
        <f>IFERROR(__xludf.DUMMYFUNCTION("""COMPUTED_VALUE"""),"Umingan")</f>
        <v>Umingan</v>
      </c>
      <c r="AT111" s="142" t="str">
        <f>IFERROR(__xludf.DUMMYFUNCTION("""COMPUTED_VALUE"""),"Urbiztondo")</f>
        <v>Urbiztondo</v>
      </c>
      <c r="AU111" s="142" t="str">
        <f>IFERROR(__xludf.DUMMYFUNCTION("""COMPUTED_VALUE"""),"City of Urdaneta")</f>
        <v>City of Urdaneta</v>
      </c>
      <c r="AV111" s="142" t="str">
        <f>IFERROR(__xludf.DUMMYFUNCTION("""COMPUTED_VALUE"""),"Villasis")</f>
        <v>Villasis</v>
      </c>
      <c r="AW111" s="142" t="str">
        <f>IFERROR(__xludf.DUMMYFUNCTION("""COMPUTED_VALUE"""),"Laoac")</f>
        <v>Laoac</v>
      </c>
      <c r="AX111" s="8"/>
      <c r="AY111" s="8"/>
      <c r="AZ111" s="8"/>
      <c r="BA111" s="8"/>
      <c r="BB111" s="8"/>
      <c r="BC111" s="8"/>
      <c r="BD111" s="8"/>
      <c r="BE111" s="8"/>
    </row>
    <row r="112">
      <c r="A112" s="142" t="s">
        <v>294</v>
      </c>
      <c r="B112" s="142" t="str">
        <f>IFERROR(__xludf.DUMMYFUNCTION("""COMPUTED_VALUE"""),"Botolan")</f>
        <v>Botolan</v>
      </c>
      <c r="C112" s="142" t="str">
        <f>IFERROR(__xludf.DUMMYFUNCTION("""COMPUTED_VALUE"""),"Cabangan")</f>
        <v>Cabangan</v>
      </c>
      <c r="D112" s="142" t="str">
        <f>IFERROR(__xludf.DUMMYFUNCTION("""COMPUTED_VALUE"""),"Candelaria")</f>
        <v>Candelaria</v>
      </c>
      <c r="E112" s="142" t="str">
        <f>IFERROR(__xludf.DUMMYFUNCTION("""COMPUTED_VALUE"""),"Castillejos")</f>
        <v>Castillejos</v>
      </c>
      <c r="F112" s="142" t="str">
        <f>IFERROR(__xludf.DUMMYFUNCTION("""COMPUTED_VALUE"""),"Iba")</f>
        <v>Iba</v>
      </c>
      <c r="G112" s="142" t="str">
        <f>IFERROR(__xludf.DUMMYFUNCTION("""COMPUTED_VALUE"""),"Masinloc")</f>
        <v>Masinloc</v>
      </c>
      <c r="H112" s="142" t="str">
        <f>IFERROR(__xludf.DUMMYFUNCTION("""COMPUTED_VALUE"""),"City of Olongapo")</f>
        <v>City of Olongapo</v>
      </c>
      <c r="I112" s="142" t="str">
        <f>IFERROR(__xludf.DUMMYFUNCTION("""COMPUTED_VALUE"""),"Palauig")</f>
        <v>Palauig</v>
      </c>
      <c r="J112" s="142" t="str">
        <f>IFERROR(__xludf.DUMMYFUNCTION("""COMPUTED_VALUE"""),"San Antonio")</f>
        <v>San Antonio</v>
      </c>
      <c r="K112" s="142" t="str">
        <f>IFERROR(__xludf.DUMMYFUNCTION("""COMPUTED_VALUE"""),"San Felipe")</f>
        <v>San Felipe</v>
      </c>
      <c r="L112" s="142" t="str">
        <f>IFERROR(__xludf.DUMMYFUNCTION("""COMPUTED_VALUE"""),"San Marcelino")</f>
        <v>San Marcelino</v>
      </c>
      <c r="M112" s="142" t="str">
        <f>IFERROR(__xludf.DUMMYFUNCTION("""COMPUTED_VALUE"""),"San Narciso")</f>
        <v>San Narciso</v>
      </c>
      <c r="N112" s="142" t="str">
        <f>IFERROR(__xludf.DUMMYFUNCTION("""COMPUTED_VALUE"""),"Santa Cruz")</f>
        <v>Santa Cruz</v>
      </c>
      <c r="O112" s="142" t="str">
        <f>IFERROR(__xludf.DUMMYFUNCTION("""COMPUTED_VALUE"""),"Subic")</f>
        <v>Subic</v>
      </c>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row>
    <row r="113">
      <c r="A113" s="142" t="s">
        <v>497</v>
      </c>
      <c r="B113" s="142" t="str">
        <f>IFERROR(__xludf.DUMMYFUNCTION("""COMPUTED_VALUE"""),"Agdangan")</f>
        <v>Agdangan</v>
      </c>
      <c r="C113" s="142" t="str">
        <f>IFERROR(__xludf.DUMMYFUNCTION("""COMPUTED_VALUE"""),"Alabat")</f>
        <v>Alabat</v>
      </c>
      <c r="D113" s="142" t="str">
        <f>IFERROR(__xludf.DUMMYFUNCTION("""COMPUTED_VALUE"""),"Atimonan")</f>
        <v>Atimonan</v>
      </c>
      <c r="E113" s="142" t="str">
        <f>IFERROR(__xludf.DUMMYFUNCTION("""COMPUTED_VALUE"""),"Buenavista")</f>
        <v>Buenavista</v>
      </c>
      <c r="F113" s="142" t="str">
        <f>IFERROR(__xludf.DUMMYFUNCTION("""COMPUTED_VALUE"""),"Burdeos")</f>
        <v>Burdeos</v>
      </c>
      <c r="G113" s="142" t="str">
        <f>IFERROR(__xludf.DUMMYFUNCTION("""COMPUTED_VALUE"""),"Calauag")</f>
        <v>Calauag</v>
      </c>
      <c r="H113" s="142" t="str">
        <f>IFERROR(__xludf.DUMMYFUNCTION("""COMPUTED_VALUE"""),"Candelaria")</f>
        <v>Candelaria</v>
      </c>
      <c r="I113" s="142" t="str">
        <f>IFERROR(__xludf.DUMMYFUNCTION("""COMPUTED_VALUE"""),"Catanauan")</f>
        <v>Catanauan</v>
      </c>
      <c r="J113" s="142" t="str">
        <f>IFERROR(__xludf.DUMMYFUNCTION("""COMPUTED_VALUE"""),"Dolores")</f>
        <v>Dolores</v>
      </c>
      <c r="K113" s="142" t="str">
        <f>IFERROR(__xludf.DUMMYFUNCTION("""COMPUTED_VALUE"""),"General Luna")</f>
        <v>General Luna</v>
      </c>
      <c r="L113" s="142" t="str">
        <f>IFERROR(__xludf.DUMMYFUNCTION("""COMPUTED_VALUE"""),"General Nakar")</f>
        <v>General Nakar</v>
      </c>
      <c r="M113" s="142" t="str">
        <f>IFERROR(__xludf.DUMMYFUNCTION("""COMPUTED_VALUE"""),"Guinayangan")</f>
        <v>Guinayangan</v>
      </c>
      <c r="N113" s="142" t="str">
        <f>IFERROR(__xludf.DUMMYFUNCTION("""COMPUTED_VALUE"""),"Gumaca")</f>
        <v>Gumaca</v>
      </c>
      <c r="O113" s="142" t="str">
        <f>IFERROR(__xludf.DUMMYFUNCTION("""COMPUTED_VALUE"""),"Infanta")</f>
        <v>Infanta</v>
      </c>
      <c r="P113" s="142" t="str">
        <f>IFERROR(__xludf.DUMMYFUNCTION("""COMPUTED_VALUE"""),"Jomalig")</f>
        <v>Jomalig</v>
      </c>
      <c r="Q113" s="142" t="str">
        <f>IFERROR(__xludf.DUMMYFUNCTION("""COMPUTED_VALUE"""),"Lopez")</f>
        <v>Lopez</v>
      </c>
      <c r="R113" s="142" t="str">
        <f>IFERROR(__xludf.DUMMYFUNCTION("""COMPUTED_VALUE"""),"Lucban")</f>
        <v>Lucban</v>
      </c>
      <c r="S113" s="142" t="str">
        <f>IFERROR(__xludf.DUMMYFUNCTION("""COMPUTED_VALUE"""),"Macalelon")</f>
        <v>Macalelon</v>
      </c>
      <c r="T113" s="142" t="str">
        <f>IFERROR(__xludf.DUMMYFUNCTION("""COMPUTED_VALUE"""),"Mauban")</f>
        <v>Mauban</v>
      </c>
      <c r="U113" s="142" t="str">
        <f>IFERROR(__xludf.DUMMYFUNCTION("""COMPUTED_VALUE"""),"Mulanay")</f>
        <v>Mulanay</v>
      </c>
      <c r="V113" s="142" t="str">
        <f>IFERROR(__xludf.DUMMYFUNCTION("""COMPUTED_VALUE"""),"Padre Burgos")</f>
        <v>Padre Burgos</v>
      </c>
      <c r="W113" s="142" t="str">
        <f>IFERROR(__xludf.DUMMYFUNCTION("""COMPUTED_VALUE"""),"Pagbilao")</f>
        <v>Pagbilao</v>
      </c>
      <c r="X113" s="142" t="str">
        <f>IFERROR(__xludf.DUMMYFUNCTION("""COMPUTED_VALUE"""),"Panukulan")</f>
        <v>Panukulan</v>
      </c>
      <c r="Y113" s="142" t="str">
        <f>IFERROR(__xludf.DUMMYFUNCTION("""COMPUTED_VALUE"""),"Patnanungan")</f>
        <v>Patnanungan</v>
      </c>
      <c r="Z113" s="142" t="str">
        <f>IFERROR(__xludf.DUMMYFUNCTION("""COMPUTED_VALUE"""),"Perez")</f>
        <v>Perez</v>
      </c>
      <c r="AA113" s="142" t="str">
        <f>IFERROR(__xludf.DUMMYFUNCTION("""COMPUTED_VALUE"""),"Pitogo")</f>
        <v>Pitogo</v>
      </c>
      <c r="AB113" s="142" t="str">
        <f>IFERROR(__xludf.DUMMYFUNCTION("""COMPUTED_VALUE"""),"Plaridel")</f>
        <v>Plaridel</v>
      </c>
      <c r="AC113" s="142" t="str">
        <f>IFERROR(__xludf.DUMMYFUNCTION("""COMPUTED_VALUE"""),"Polillo")</f>
        <v>Polillo</v>
      </c>
      <c r="AD113" s="142" t="str">
        <f>IFERROR(__xludf.DUMMYFUNCTION("""COMPUTED_VALUE"""),"Quezon")</f>
        <v>Quezon</v>
      </c>
      <c r="AE113" s="142" t="str">
        <f>IFERROR(__xludf.DUMMYFUNCTION("""COMPUTED_VALUE"""),"Real")</f>
        <v>Real</v>
      </c>
      <c r="AF113" s="142" t="str">
        <f>IFERROR(__xludf.DUMMYFUNCTION("""COMPUTED_VALUE"""),"Sampaloc")</f>
        <v>Sampaloc</v>
      </c>
      <c r="AG113" s="142" t="str">
        <f>IFERROR(__xludf.DUMMYFUNCTION("""COMPUTED_VALUE"""),"San Andres")</f>
        <v>San Andres</v>
      </c>
      <c r="AH113" s="142" t="str">
        <f>IFERROR(__xludf.DUMMYFUNCTION("""COMPUTED_VALUE"""),"San Antonio")</f>
        <v>San Antonio</v>
      </c>
      <c r="AI113" s="142" t="str">
        <f>IFERROR(__xludf.DUMMYFUNCTION("""COMPUTED_VALUE"""),"San Francisco")</f>
        <v>San Francisco</v>
      </c>
      <c r="AJ113" s="142" t="str">
        <f>IFERROR(__xludf.DUMMYFUNCTION("""COMPUTED_VALUE"""),"San Narciso")</f>
        <v>San Narciso</v>
      </c>
      <c r="AK113" s="142" t="str">
        <f>IFERROR(__xludf.DUMMYFUNCTION("""COMPUTED_VALUE"""),"Sariaya")</f>
        <v>Sariaya</v>
      </c>
      <c r="AL113" s="142" t="str">
        <f>IFERROR(__xludf.DUMMYFUNCTION("""COMPUTED_VALUE"""),"Tagkawayan")</f>
        <v>Tagkawayan</v>
      </c>
      <c r="AM113" s="142" t="str">
        <f>IFERROR(__xludf.DUMMYFUNCTION("""COMPUTED_VALUE"""),"City of Tayabas")</f>
        <v>City of Tayabas</v>
      </c>
      <c r="AN113" s="142" t="str">
        <f>IFERROR(__xludf.DUMMYFUNCTION("""COMPUTED_VALUE"""),"Tiaong")</f>
        <v>Tiaong</v>
      </c>
      <c r="AO113" s="142" t="str">
        <f>IFERROR(__xludf.DUMMYFUNCTION("""COMPUTED_VALUE"""),"Unisan")</f>
        <v>Unisan</v>
      </c>
      <c r="AP113" s="142" t="str">
        <f>IFERROR(__xludf.DUMMYFUNCTION("""COMPUTED_VALUE"""),"Rizal")</f>
        <v>Rizal</v>
      </c>
      <c r="AQ113" s="142" t="str">
        <f>IFERROR(__xludf.DUMMYFUNCTION("""COMPUTED_VALUE"""),"Angono")</f>
        <v>Angono</v>
      </c>
      <c r="AR113" s="142" t="str">
        <f>IFERROR(__xludf.DUMMYFUNCTION("""COMPUTED_VALUE"""),"City of Antipolo")</f>
        <v>City of Antipolo</v>
      </c>
      <c r="AS113" s="142" t="str">
        <f>IFERROR(__xludf.DUMMYFUNCTION("""COMPUTED_VALUE"""),"Baras")</f>
        <v>Baras</v>
      </c>
      <c r="AT113" s="142" t="str">
        <f>IFERROR(__xludf.DUMMYFUNCTION("""COMPUTED_VALUE"""),"Binangonan")</f>
        <v>Binangonan</v>
      </c>
      <c r="AU113" s="142" t="str">
        <f>IFERROR(__xludf.DUMMYFUNCTION("""COMPUTED_VALUE"""),"Cainta")</f>
        <v>Cainta</v>
      </c>
      <c r="AV113" s="142" t="str">
        <f>IFERROR(__xludf.DUMMYFUNCTION("""COMPUTED_VALUE"""),"Cardona")</f>
        <v>Cardona</v>
      </c>
      <c r="AW113" s="142" t="str">
        <f>IFERROR(__xludf.DUMMYFUNCTION("""COMPUTED_VALUE"""),"Jala-Jala")</f>
        <v>Jala-Jala</v>
      </c>
      <c r="AX113" s="142" t="str">
        <f>IFERROR(__xludf.DUMMYFUNCTION("""COMPUTED_VALUE"""),"Rodriguez")</f>
        <v>Rodriguez</v>
      </c>
      <c r="AY113" s="142" t="str">
        <f>IFERROR(__xludf.DUMMYFUNCTION("""COMPUTED_VALUE"""),"Morong")</f>
        <v>Morong</v>
      </c>
      <c r="AZ113" s="142" t="str">
        <f>IFERROR(__xludf.DUMMYFUNCTION("""COMPUTED_VALUE"""),"Pililla")</f>
        <v>Pililla</v>
      </c>
      <c r="BA113" s="142" t="str">
        <f>IFERROR(__xludf.DUMMYFUNCTION("""COMPUTED_VALUE"""),"San Mateo")</f>
        <v>San Mateo</v>
      </c>
      <c r="BB113" s="142" t="str">
        <f>IFERROR(__xludf.DUMMYFUNCTION("""COMPUTED_VALUE"""),"Tanay")</f>
        <v>Tanay</v>
      </c>
      <c r="BC113" s="142" t="str">
        <f>IFERROR(__xludf.DUMMYFUNCTION("""COMPUTED_VALUE"""),"Taytay")</f>
        <v>Taytay</v>
      </c>
      <c r="BD113" s="142" t="str">
        <f>IFERROR(__xludf.DUMMYFUNCTION("""COMPUTED_VALUE"""),"Teresa")</f>
        <v>Teresa</v>
      </c>
      <c r="BE113" s="142" t="str">
        <f>IFERROR(__xludf.DUMMYFUNCTION("""COMPUTED_VALUE"""),"City of Lucena")</f>
        <v>City of Lucena</v>
      </c>
    </row>
    <row r="114">
      <c r="A114" s="142" t="s">
        <v>497</v>
      </c>
      <c r="B114" s="142" t="str">
        <f>IFERROR(__xludf.DUMMYFUNCTION("""COMPUTED_VALUE"""),"Agdangan")</f>
        <v>Agdangan</v>
      </c>
      <c r="C114" s="142" t="str">
        <f>IFERROR(__xludf.DUMMYFUNCTION("""COMPUTED_VALUE"""),"Alabat")</f>
        <v>Alabat</v>
      </c>
      <c r="D114" s="142" t="str">
        <f>IFERROR(__xludf.DUMMYFUNCTION("""COMPUTED_VALUE"""),"Atimonan")</f>
        <v>Atimonan</v>
      </c>
      <c r="E114" s="142" t="str">
        <f>IFERROR(__xludf.DUMMYFUNCTION("""COMPUTED_VALUE"""),"Buenavista")</f>
        <v>Buenavista</v>
      </c>
      <c r="F114" s="142" t="str">
        <f>IFERROR(__xludf.DUMMYFUNCTION("""COMPUTED_VALUE"""),"Burdeos")</f>
        <v>Burdeos</v>
      </c>
      <c r="G114" s="142" t="str">
        <f>IFERROR(__xludf.DUMMYFUNCTION("""COMPUTED_VALUE"""),"Calauag")</f>
        <v>Calauag</v>
      </c>
      <c r="H114" s="142" t="str">
        <f>IFERROR(__xludf.DUMMYFUNCTION("""COMPUTED_VALUE"""),"Candelaria")</f>
        <v>Candelaria</v>
      </c>
      <c r="I114" s="142" t="str">
        <f>IFERROR(__xludf.DUMMYFUNCTION("""COMPUTED_VALUE"""),"Catanauan")</f>
        <v>Catanauan</v>
      </c>
      <c r="J114" s="142" t="str">
        <f>IFERROR(__xludf.DUMMYFUNCTION("""COMPUTED_VALUE"""),"Dolores")</f>
        <v>Dolores</v>
      </c>
      <c r="K114" s="142" t="str">
        <f>IFERROR(__xludf.DUMMYFUNCTION("""COMPUTED_VALUE"""),"General Luna")</f>
        <v>General Luna</v>
      </c>
      <c r="L114" s="142" t="str">
        <f>IFERROR(__xludf.DUMMYFUNCTION("""COMPUTED_VALUE"""),"General Nakar")</f>
        <v>General Nakar</v>
      </c>
      <c r="M114" s="142" t="str">
        <f>IFERROR(__xludf.DUMMYFUNCTION("""COMPUTED_VALUE"""),"Guinayangan")</f>
        <v>Guinayangan</v>
      </c>
      <c r="N114" s="142" t="str">
        <f>IFERROR(__xludf.DUMMYFUNCTION("""COMPUTED_VALUE"""),"Gumaca")</f>
        <v>Gumaca</v>
      </c>
      <c r="O114" s="142" t="str">
        <f>IFERROR(__xludf.DUMMYFUNCTION("""COMPUTED_VALUE"""),"Infanta")</f>
        <v>Infanta</v>
      </c>
      <c r="P114" s="142" t="str">
        <f>IFERROR(__xludf.DUMMYFUNCTION("""COMPUTED_VALUE"""),"Jomalig")</f>
        <v>Jomalig</v>
      </c>
      <c r="Q114" s="142" t="str">
        <f>IFERROR(__xludf.DUMMYFUNCTION("""COMPUTED_VALUE"""),"Lopez")</f>
        <v>Lopez</v>
      </c>
      <c r="R114" s="142" t="str">
        <f>IFERROR(__xludf.DUMMYFUNCTION("""COMPUTED_VALUE"""),"Lucban")</f>
        <v>Lucban</v>
      </c>
      <c r="S114" s="142" t="str">
        <f>IFERROR(__xludf.DUMMYFUNCTION("""COMPUTED_VALUE"""),"Macalelon")</f>
        <v>Macalelon</v>
      </c>
      <c r="T114" s="142" t="str">
        <f>IFERROR(__xludf.DUMMYFUNCTION("""COMPUTED_VALUE"""),"Mauban")</f>
        <v>Mauban</v>
      </c>
      <c r="U114" s="142" t="str">
        <f>IFERROR(__xludf.DUMMYFUNCTION("""COMPUTED_VALUE"""),"Mulanay")</f>
        <v>Mulanay</v>
      </c>
      <c r="V114" s="142" t="str">
        <f>IFERROR(__xludf.DUMMYFUNCTION("""COMPUTED_VALUE"""),"Padre Burgos")</f>
        <v>Padre Burgos</v>
      </c>
      <c r="W114" s="142" t="str">
        <f>IFERROR(__xludf.DUMMYFUNCTION("""COMPUTED_VALUE"""),"Pagbilao")</f>
        <v>Pagbilao</v>
      </c>
      <c r="X114" s="142" t="str">
        <f>IFERROR(__xludf.DUMMYFUNCTION("""COMPUTED_VALUE"""),"Panukulan")</f>
        <v>Panukulan</v>
      </c>
      <c r="Y114" s="142" t="str">
        <f>IFERROR(__xludf.DUMMYFUNCTION("""COMPUTED_VALUE"""),"Patnanungan")</f>
        <v>Patnanungan</v>
      </c>
      <c r="Z114" s="142" t="str">
        <f>IFERROR(__xludf.DUMMYFUNCTION("""COMPUTED_VALUE"""),"Perez")</f>
        <v>Perez</v>
      </c>
      <c r="AA114" s="142" t="str">
        <f>IFERROR(__xludf.DUMMYFUNCTION("""COMPUTED_VALUE"""),"Pitogo")</f>
        <v>Pitogo</v>
      </c>
      <c r="AB114" s="142" t="str">
        <f>IFERROR(__xludf.DUMMYFUNCTION("""COMPUTED_VALUE"""),"Plaridel")</f>
        <v>Plaridel</v>
      </c>
      <c r="AC114" s="142" t="str">
        <f>IFERROR(__xludf.DUMMYFUNCTION("""COMPUTED_VALUE"""),"Polillo")</f>
        <v>Polillo</v>
      </c>
      <c r="AD114" s="142" t="str">
        <f>IFERROR(__xludf.DUMMYFUNCTION("""COMPUTED_VALUE"""),"Quezon")</f>
        <v>Quezon</v>
      </c>
      <c r="AE114" s="142" t="str">
        <f>IFERROR(__xludf.DUMMYFUNCTION("""COMPUTED_VALUE"""),"Real")</f>
        <v>Real</v>
      </c>
      <c r="AF114" s="142" t="str">
        <f>IFERROR(__xludf.DUMMYFUNCTION("""COMPUTED_VALUE"""),"Sampaloc")</f>
        <v>Sampaloc</v>
      </c>
      <c r="AG114" s="142" t="str">
        <f>IFERROR(__xludf.DUMMYFUNCTION("""COMPUTED_VALUE"""),"San Andres")</f>
        <v>San Andres</v>
      </c>
      <c r="AH114" s="142" t="str">
        <f>IFERROR(__xludf.DUMMYFUNCTION("""COMPUTED_VALUE"""),"San Antonio")</f>
        <v>San Antonio</v>
      </c>
      <c r="AI114" s="142" t="str">
        <f>IFERROR(__xludf.DUMMYFUNCTION("""COMPUTED_VALUE"""),"San Francisco")</f>
        <v>San Francisco</v>
      </c>
      <c r="AJ114" s="142" t="str">
        <f>IFERROR(__xludf.DUMMYFUNCTION("""COMPUTED_VALUE"""),"San Narciso")</f>
        <v>San Narciso</v>
      </c>
      <c r="AK114" s="142" t="str">
        <f>IFERROR(__xludf.DUMMYFUNCTION("""COMPUTED_VALUE"""),"Sariaya")</f>
        <v>Sariaya</v>
      </c>
      <c r="AL114" s="142" t="str">
        <f>IFERROR(__xludf.DUMMYFUNCTION("""COMPUTED_VALUE"""),"Tagkawayan")</f>
        <v>Tagkawayan</v>
      </c>
      <c r="AM114" s="142" t="str">
        <f>IFERROR(__xludf.DUMMYFUNCTION("""COMPUTED_VALUE"""),"City of Tayabas")</f>
        <v>City of Tayabas</v>
      </c>
      <c r="AN114" s="142" t="str">
        <f>IFERROR(__xludf.DUMMYFUNCTION("""COMPUTED_VALUE"""),"Tiaong")</f>
        <v>Tiaong</v>
      </c>
      <c r="AO114" s="142" t="str">
        <f>IFERROR(__xludf.DUMMYFUNCTION("""COMPUTED_VALUE"""),"Unisan")</f>
        <v>Unisan</v>
      </c>
      <c r="AP114" s="142" t="str">
        <f>IFERROR(__xludf.DUMMYFUNCTION("""COMPUTED_VALUE"""),"Rizal")</f>
        <v>Rizal</v>
      </c>
      <c r="AQ114" s="142" t="str">
        <f>IFERROR(__xludf.DUMMYFUNCTION("""COMPUTED_VALUE"""),"Angono")</f>
        <v>Angono</v>
      </c>
      <c r="AR114" s="142" t="str">
        <f>IFERROR(__xludf.DUMMYFUNCTION("""COMPUTED_VALUE"""),"City of Antipolo")</f>
        <v>City of Antipolo</v>
      </c>
      <c r="AS114" s="142" t="str">
        <f>IFERROR(__xludf.DUMMYFUNCTION("""COMPUTED_VALUE"""),"Baras")</f>
        <v>Baras</v>
      </c>
      <c r="AT114" s="142" t="str">
        <f>IFERROR(__xludf.DUMMYFUNCTION("""COMPUTED_VALUE"""),"Binangonan")</f>
        <v>Binangonan</v>
      </c>
      <c r="AU114" s="142" t="str">
        <f>IFERROR(__xludf.DUMMYFUNCTION("""COMPUTED_VALUE"""),"Cainta")</f>
        <v>Cainta</v>
      </c>
      <c r="AV114" s="142" t="str">
        <f>IFERROR(__xludf.DUMMYFUNCTION("""COMPUTED_VALUE"""),"Cardona")</f>
        <v>Cardona</v>
      </c>
      <c r="AW114" s="142" t="str">
        <f>IFERROR(__xludf.DUMMYFUNCTION("""COMPUTED_VALUE"""),"Jala-Jala")</f>
        <v>Jala-Jala</v>
      </c>
      <c r="AX114" s="142" t="str">
        <f>IFERROR(__xludf.DUMMYFUNCTION("""COMPUTED_VALUE"""),"Rodriguez")</f>
        <v>Rodriguez</v>
      </c>
      <c r="AY114" s="142" t="str">
        <f>IFERROR(__xludf.DUMMYFUNCTION("""COMPUTED_VALUE"""),"Morong")</f>
        <v>Morong</v>
      </c>
      <c r="AZ114" s="142" t="str">
        <f>IFERROR(__xludf.DUMMYFUNCTION("""COMPUTED_VALUE"""),"Pililla")</f>
        <v>Pililla</v>
      </c>
      <c r="BA114" s="142" t="str">
        <f>IFERROR(__xludf.DUMMYFUNCTION("""COMPUTED_VALUE"""),"San Mateo")</f>
        <v>San Mateo</v>
      </c>
      <c r="BB114" s="142" t="str">
        <f>IFERROR(__xludf.DUMMYFUNCTION("""COMPUTED_VALUE"""),"Tanay")</f>
        <v>Tanay</v>
      </c>
      <c r="BC114" s="142" t="str">
        <f>IFERROR(__xludf.DUMMYFUNCTION("""COMPUTED_VALUE"""),"Taytay")</f>
        <v>Taytay</v>
      </c>
      <c r="BD114" s="142" t="str">
        <f>IFERROR(__xludf.DUMMYFUNCTION("""COMPUTED_VALUE"""),"Teresa")</f>
        <v>Teresa</v>
      </c>
      <c r="BE114" s="142" t="str">
        <f>IFERROR(__xludf.DUMMYFUNCTION("""COMPUTED_VALUE"""),"City of Lucena")</f>
        <v>City of Lucena</v>
      </c>
    </row>
    <row r="115">
      <c r="A115" s="142" t="s">
        <v>558</v>
      </c>
      <c r="B115" s="142" t="str">
        <f>IFERROR(__xludf.DUMMYFUNCTION("""COMPUTED_VALUE"""),"Ajuy")</f>
        <v>Ajuy</v>
      </c>
      <c r="C115" s="142" t="str">
        <f>IFERROR(__xludf.DUMMYFUNCTION("""COMPUTED_VALUE"""),"Alimodian")</f>
        <v>Alimodian</v>
      </c>
      <c r="D115" s="142" t="str">
        <f>IFERROR(__xludf.DUMMYFUNCTION("""COMPUTED_VALUE"""),"Anilao")</f>
        <v>Anilao</v>
      </c>
      <c r="E115" s="142" t="str">
        <f>IFERROR(__xludf.DUMMYFUNCTION("""COMPUTED_VALUE"""),"Badiangan")</f>
        <v>Badiangan</v>
      </c>
      <c r="F115" s="142" t="str">
        <f>IFERROR(__xludf.DUMMYFUNCTION("""COMPUTED_VALUE"""),"Balasan")</f>
        <v>Balasan</v>
      </c>
      <c r="G115" s="142" t="str">
        <f>IFERROR(__xludf.DUMMYFUNCTION("""COMPUTED_VALUE"""),"Banate")</f>
        <v>Banate</v>
      </c>
      <c r="H115" s="142" t="str">
        <f>IFERROR(__xludf.DUMMYFUNCTION("""COMPUTED_VALUE"""),"Barotac Nuevo")</f>
        <v>Barotac Nuevo</v>
      </c>
      <c r="I115" s="142" t="str">
        <f>IFERROR(__xludf.DUMMYFUNCTION("""COMPUTED_VALUE"""),"Barotac Viejo")</f>
        <v>Barotac Viejo</v>
      </c>
      <c r="J115" s="142" t="str">
        <f>IFERROR(__xludf.DUMMYFUNCTION("""COMPUTED_VALUE"""),"Batad")</f>
        <v>Batad</v>
      </c>
      <c r="K115" s="142" t="str">
        <f>IFERROR(__xludf.DUMMYFUNCTION("""COMPUTED_VALUE"""),"Bingawan")</f>
        <v>Bingawan</v>
      </c>
      <c r="L115" s="142" t="str">
        <f>IFERROR(__xludf.DUMMYFUNCTION("""COMPUTED_VALUE"""),"Cabatuan")</f>
        <v>Cabatuan</v>
      </c>
      <c r="M115" s="142" t="str">
        <f>IFERROR(__xludf.DUMMYFUNCTION("""COMPUTED_VALUE"""),"Calinog")</f>
        <v>Calinog</v>
      </c>
      <c r="N115" s="142" t="str">
        <f>IFERROR(__xludf.DUMMYFUNCTION("""COMPUTED_VALUE"""),"Carles")</f>
        <v>Carles</v>
      </c>
      <c r="O115" s="142" t="str">
        <f>IFERROR(__xludf.DUMMYFUNCTION("""COMPUTED_VALUE"""),"Concepcion")</f>
        <v>Concepcion</v>
      </c>
      <c r="P115" s="142" t="str">
        <f>IFERROR(__xludf.DUMMYFUNCTION("""COMPUTED_VALUE"""),"Dingle")</f>
        <v>Dingle</v>
      </c>
      <c r="Q115" s="142" t="str">
        <f>IFERROR(__xludf.DUMMYFUNCTION("""COMPUTED_VALUE"""),"Dueñas")</f>
        <v>Dueñas</v>
      </c>
      <c r="R115" s="142" t="str">
        <f>IFERROR(__xludf.DUMMYFUNCTION("""COMPUTED_VALUE"""),"Dumangas")</f>
        <v>Dumangas</v>
      </c>
      <c r="S115" s="142" t="str">
        <f>IFERROR(__xludf.DUMMYFUNCTION("""COMPUTED_VALUE"""),"Estancia")</f>
        <v>Estancia</v>
      </c>
      <c r="T115" s="142" t="str">
        <f>IFERROR(__xludf.DUMMYFUNCTION("""COMPUTED_VALUE"""),"Guimbal")</f>
        <v>Guimbal</v>
      </c>
      <c r="U115" s="142" t="str">
        <f>IFERROR(__xludf.DUMMYFUNCTION("""COMPUTED_VALUE"""),"Igbaras")</f>
        <v>Igbaras</v>
      </c>
      <c r="V115" s="142" t="str">
        <f>IFERROR(__xludf.DUMMYFUNCTION("""COMPUTED_VALUE"""),"City of Iloilo")</f>
        <v>City of Iloilo</v>
      </c>
      <c r="W115" s="142" t="str">
        <f>IFERROR(__xludf.DUMMYFUNCTION("""COMPUTED_VALUE"""),"Janiuay")</f>
        <v>Janiuay</v>
      </c>
      <c r="X115" s="142" t="str">
        <f>IFERROR(__xludf.DUMMYFUNCTION("""COMPUTED_VALUE"""),"Lambunao")</f>
        <v>Lambunao</v>
      </c>
      <c r="Y115" s="142" t="str">
        <f>IFERROR(__xludf.DUMMYFUNCTION("""COMPUTED_VALUE"""),"Leganes")</f>
        <v>Leganes</v>
      </c>
      <c r="Z115" s="142" t="str">
        <f>IFERROR(__xludf.DUMMYFUNCTION("""COMPUTED_VALUE"""),"Lemery")</f>
        <v>Lemery</v>
      </c>
      <c r="AA115" s="142" t="str">
        <f>IFERROR(__xludf.DUMMYFUNCTION("""COMPUTED_VALUE"""),"Leon")</f>
        <v>Leon</v>
      </c>
      <c r="AB115" s="142" t="str">
        <f>IFERROR(__xludf.DUMMYFUNCTION("""COMPUTED_VALUE"""),"Maasin")</f>
        <v>Maasin</v>
      </c>
      <c r="AC115" s="142" t="str">
        <f>IFERROR(__xludf.DUMMYFUNCTION("""COMPUTED_VALUE"""),"Miagao")</f>
        <v>Miagao</v>
      </c>
      <c r="AD115" s="142" t="str">
        <f>IFERROR(__xludf.DUMMYFUNCTION("""COMPUTED_VALUE"""),"Mina")</f>
        <v>Mina</v>
      </c>
      <c r="AE115" s="142" t="str">
        <f>IFERROR(__xludf.DUMMYFUNCTION("""COMPUTED_VALUE"""),"New Lucena")</f>
        <v>New Lucena</v>
      </c>
      <c r="AF115" s="142" t="str">
        <f>IFERROR(__xludf.DUMMYFUNCTION("""COMPUTED_VALUE"""),"Oton")</f>
        <v>Oton</v>
      </c>
      <c r="AG115" s="142" t="str">
        <f>IFERROR(__xludf.DUMMYFUNCTION("""COMPUTED_VALUE"""),"City of Passi")</f>
        <v>City of Passi</v>
      </c>
      <c r="AH115" s="142" t="str">
        <f>IFERROR(__xludf.DUMMYFUNCTION("""COMPUTED_VALUE"""),"Pavia")</f>
        <v>Pavia</v>
      </c>
      <c r="AI115" s="142" t="str">
        <f>IFERROR(__xludf.DUMMYFUNCTION("""COMPUTED_VALUE"""),"Pototan")</f>
        <v>Pototan</v>
      </c>
      <c r="AJ115" s="142" t="str">
        <f>IFERROR(__xludf.DUMMYFUNCTION("""COMPUTED_VALUE"""),"San Dionisio")</f>
        <v>San Dionisio</v>
      </c>
      <c r="AK115" s="142" t="str">
        <f>IFERROR(__xludf.DUMMYFUNCTION("""COMPUTED_VALUE"""),"San Enrique")</f>
        <v>San Enrique</v>
      </c>
      <c r="AL115" s="142" t="str">
        <f>IFERROR(__xludf.DUMMYFUNCTION("""COMPUTED_VALUE"""),"San Joaquin")</f>
        <v>San Joaquin</v>
      </c>
      <c r="AM115" s="142" t="str">
        <f>IFERROR(__xludf.DUMMYFUNCTION("""COMPUTED_VALUE"""),"San Miguel")</f>
        <v>San Miguel</v>
      </c>
      <c r="AN115" s="142" t="str">
        <f>IFERROR(__xludf.DUMMYFUNCTION("""COMPUTED_VALUE"""),"San Rafael")</f>
        <v>San Rafael</v>
      </c>
      <c r="AO115" s="142" t="str">
        <f>IFERROR(__xludf.DUMMYFUNCTION("""COMPUTED_VALUE"""),"Santa Barbara")</f>
        <v>Santa Barbara</v>
      </c>
      <c r="AP115" s="142" t="str">
        <f>IFERROR(__xludf.DUMMYFUNCTION("""COMPUTED_VALUE"""),"Sara")</f>
        <v>Sara</v>
      </c>
      <c r="AQ115" s="142" t="str">
        <f>IFERROR(__xludf.DUMMYFUNCTION("""COMPUTED_VALUE"""),"Tigbauan")</f>
        <v>Tigbauan</v>
      </c>
      <c r="AR115" s="142" t="str">
        <f>IFERROR(__xludf.DUMMYFUNCTION("""COMPUTED_VALUE"""),"Tubungan")</f>
        <v>Tubungan</v>
      </c>
      <c r="AS115" s="142" t="str">
        <f>IFERROR(__xludf.DUMMYFUNCTION("""COMPUTED_VALUE"""),"Zarraga")</f>
        <v>Zarraga</v>
      </c>
      <c r="AT115" s="8"/>
      <c r="AU115" s="8"/>
      <c r="AV115" s="8"/>
      <c r="AW115" s="8"/>
      <c r="AX115" s="8"/>
      <c r="AY115" s="8"/>
      <c r="AZ115" s="8"/>
      <c r="BA115" s="8"/>
      <c r="BB115" s="8"/>
      <c r="BC115" s="8"/>
      <c r="BD115" s="8"/>
      <c r="BE115" s="8"/>
    </row>
    <row r="116">
      <c r="A116" s="142" t="s">
        <v>563</v>
      </c>
      <c r="B116" s="142" t="str">
        <f>IFERROR(__xludf.DUMMYFUNCTION("""COMPUTED_VALUE"""),"Alburquerque")</f>
        <v>Alburquerque</v>
      </c>
      <c r="C116" s="142" t="str">
        <f>IFERROR(__xludf.DUMMYFUNCTION("""COMPUTED_VALUE"""),"Alicia")</f>
        <v>Alicia</v>
      </c>
      <c r="D116" s="142" t="str">
        <f>IFERROR(__xludf.DUMMYFUNCTION("""COMPUTED_VALUE"""),"Anda")</f>
        <v>Anda</v>
      </c>
      <c r="E116" s="142" t="str">
        <f>IFERROR(__xludf.DUMMYFUNCTION("""COMPUTED_VALUE"""),"Antequera")</f>
        <v>Antequera</v>
      </c>
      <c r="F116" s="142" t="str">
        <f>IFERROR(__xludf.DUMMYFUNCTION("""COMPUTED_VALUE"""),"Baclayon")</f>
        <v>Baclayon</v>
      </c>
      <c r="G116" s="142" t="str">
        <f>IFERROR(__xludf.DUMMYFUNCTION("""COMPUTED_VALUE"""),"Balilihan")</f>
        <v>Balilihan</v>
      </c>
      <c r="H116" s="142" t="str">
        <f>IFERROR(__xludf.DUMMYFUNCTION("""COMPUTED_VALUE"""),"Batuan")</f>
        <v>Batuan</v>
      </c>
      <c r="I116" s="142" t="str">
        <f>IFERROR(__xludf.DUMMYFUNCTION("""COMPUTED_VALUE"""),"Bilar")</f>
        <v>Bilar</v>
      </c>
      <c r="J116" s="142" t="str">
        <f>IFERROR(__xludf.DUMMYFUNCTION("""COMPUTED_VALUE"""),"Buenavista")</f>
        <v>Buenavista</v>
      </c>
      <c r="K116" s="142" t="str">
        <f>IFERROR(__xludf.DUMMYFUNCTION("""COMPUTED_VALUE"""),"Calape")</f>
        <v>Calape</v>
      </c>
      <c r="L116" s="142" t="str">
        <f>IFERROR(__xludf.DUMMYFUNCTION("""COMPUTED_VALUE"""),"Candijay")</f>
        <v>Candijay</v>
      </c>
      <c r="M116" s="142" t="str">
        <f>IFERROR(__xludf.DUMMYFUNCTION("""COMPUTED_VALUE"""),"Carmen")</f>
        <v>Carmen</v>
      </c>
      <c r="N116" s="142" t="str">
        <f>IFERROR(__xludf.DUMMYFUNCTION("""COMPUTED_VALUE"""),"Catigbian")</f>
        <v>Catigbian</v>
      </c>
      <c r="O116" s="142" t="str">
        <f>IFERROR(__xludf.DUMMYFUNCTION("""COMPUTED_VALUE"""),"Clarin")</f>
        <v>Clarin</v>
      </c>
      <c r="P116" s="142" t="str">
        <f>IFERROR(__xludf.DUMMYFUNCTION("""COMPUTED_VALUE"""),"Corella")</f>
        <v>Corella</v>
      </c>
      <c r="Q116" s="142" t="str">
        <f>IFERROR(__xludf.DUMMYFUNCTION("""COMPUTED_VALUE"""),"Cortes")</f>
        <v>Cortes</v>
      </c>
      <c r="R116" s="142" t="str">
        <f>IFERROR(__xludf.DUMMYFUNCTION("""COMPUTED_VALUE"""),"Dagohoy")</f>
        <v>Dagohoy</v>
      </c>
      <c r="S116" s="142" t="str">
        <f>IFERROR(__xludf.DUMMYFUNCTION("""COMPUTED_VALUE"""),"Danao")</f>
        <v>Danao</v>
      </c>
      <c r="T116" s="142" t="str">
        <f>IFERROR(__xludf.DUMMYFUNCTION("""COMPUTED_VALUE"""),"Dauis")</f>
        <v>Dauis</v>
      </c>
      <c r="U116" s="142" t="str">
        <f>IFERROR(__xludf.DUMMYFUNCTION("""COMPUTED_VALUE"""),"Dimiao")</f>
        <v>Dimiao</v>
      </c>
      <c r="V116" s="142" t="str">
        <f>IFERROR(__xludf.DUMMYFUNCTION("""COMPUTED_VALUE"""),"Duero")</f>
        <v>Duero</v>
      </c>
      <c r="W116" s="142" t="str">
        <f>IFERROR(__xludf.DUMMYFUNCTION("""COMPUTED_VALUE"""),"Garcia Hernandez")</f>
        <v>Garcia Hernandez</v>
      </c>
      <c r="X116" s="142" t="str">
        <f>IFERROR(__xludf.DUMMYFUNCTION("""COMPUTED_VALUE"""),"Guindulman")</f>
        <v>Guindulman</v>
      </c>
      <c r="Y116" s="142" t="str">
        <f>IFERROR(__xludf.DUMMYFUNCTION("""COMPUTED_VALUE"""),"Inabanga")</f>
        <v>Inabanga</v>
      </c>
      <c r="Z116" s="142" t="str">
        <f>IFERROR(__xludf.DUMMYFUNCTION("""COMPUTED_VALUE"""),"Jagna")</f>
        <v>Jagna</v>
      </c>
      <c r="AA116" s="142" t="str">
        <f>IFERROR(__xludf.DUMMYFUNCTION("""COMPUTED_VALUE"""),"Getafe")</f>
        <v>Getafe</v>
      </c>
      <c r="AB116" s="142" t="str">
        <f>IFERROR(__xludf.DUMMYFUNCTION("""COMPUTED_VALUE"""),"Lila")</f>
        <v>Lila</v>
      </c>
      <c r="AC116" s="142" t="str">
        <f>IFERROR(__xludf.DUMMYFUNCTION("""COMPUTED_VALUE"""),"Loay")</f>
        <v>Loay</v>
      </c>
      <c r="AD116" s="142" t="str">
        <f>IFERROR(__xludf.DUMMYFUNCTION("""COMPUTED_VALUE"""),"Loboc")</f>
        <v>Loboc</v>
      </c>
      <c r="AE116" s="142" t="str">
        <f>IFERROR(__xludf.DUMMYFUNCTION("""COMPUTED_VALUE"""),"Loon")</f>
        <v>Loon</v>
      </c>
      <c r="AF116" s="142" t="str">
        <f>IFERROR(__xludf.DUMMYFUNCTION("""COMPUTED_VALUE"""),"Mabini")</f>
        <v>Mabini</v>
      </c>
      <c r="AG116" s="142" t="str">
        <f>IFERROR(__xludf.DUMMYFUNCTION("""COMPUTED_VALUE"""),"Maribojoc")</f>
        <v>Maribojoc</v>
      </c>
      <c r="AH116" s="142" t="str">
        <f>IFERROR(__xludf.DUMMYFUNCTION("""COMPUTED_VALUE"""),"Panglao")</f>
        <v>Panglao</v>
      </c>
      <c r="AI116" s="142" t="str">
        <f>IFERROR(__xludf.DUMMYFUNCTION("""COMPUTED_VALUE"""),"Pilar")</f>
        <v>Pilar</v>
      </c>
      <c r="AJ116" s="142" t="str">
        <f>IFERROR(__xludf.DUMMYFUNCTION("""COMPUTED_VALUE"""),"President Carlos P. Garcia")</f>
        <v>President Carlos P. Garcia</v>
      </c>
      <c r="AK116" s="142" t="str">
        <f>IFERROR(__xludf.DUMMYFUNCTION("""COMPUTED_VALUE"""),"Sagbayan")</f>
        <v>Sagbayan</v>
      </c>
      <c r="AL116" s="142" t="str">
        <f>IFERROR(__xludf.DUMMYFUNCTION("""COMPUTED_VALUE"""),"San Isidro")</f>
        <v>San Isidro</v>
      </c>
      <c r="AM116" s="142" t="str">
        <f>IFERROR(__xludf.DUMMYFUNCTION("""COMPUTED_VALUE"""),"San Miguel")</f>
        <v>San Miguel</v>
      </c>
      <c r="AN116" s="142" t="str">
        <f>IFERROR(__xludf.DUMMYFUNCTION("""COMPUTED_VALUE"""),"Sevilla")</f>
        <v>Sevilla</v>
      </c>
      <c r="AO116" s="142" t="str">
        <f>IFERROR(__xludf.DUMMYFUNCTION("""COMPUTED_VALUE"""),"Sierra Bullones")</f>
        <v>Sierra Bullones</v>
      </c>
      <c r="AP116" s="142" t="str">
        <f>IFERROR(__xludf.DUMMYFUNCTION("""COMPUTED_VALUE"""),"Sikatuna")</f>
        <v>Sikatuna</v>
      </c>
      <c r="AQ116" s="142" t="str">
        <f>IFERROR(__xludf.DUMMYFUNCTION("""COMPUTED_VALUE"""),"City of Tagbilaran")</f>
        <v>City of Tagbilaran</v>
      </c>
      <c r="AR116" s="142" t="str">
        <f>IFERROR(__xludf.DUMMYFUNCTION("""COMPUTED_VALUE"""),"Talibon")</f>
        <v>Talibon</v>
      </c>
      <c r="AS116" s="142" t="str">
        <f>IFERROR(__xludf.DUMMYFUNCTION("""COMPUTED_VALUE"""),"Trinidad")</f>
        <v>Trinidad</v>
      </c>
      <c r="AT116" s="142" t="str">
        <f>IFERROR(__xludf.DUMMYFUNCTION("""COMPUTED_VALUE"""),"Tubigon")</f>
        <v>Tubigon</v>
      </c>
      <c r="AU116" s="142" t="str">
        <f>IFERROR(__xludf.DUMMYFUNCTION("""COMPUTED_VALUE"""),"Ubay")</f>
        <v>Ubay</v>
      </c>
      <c r="AV116" s="142" t="str">
        <f>IFERROR(__xludf.DUMMYFUNCTION("""COMPUTED_VALUE"""),"Valencia")</f>
        <v>Valencia</v>
      </c>
      <c r="AW116" s="142" t="str">
        <f>IFERROR(__xludf.DUMMYFUNCTION("""COMPUTED_VALUE"""),"Bien Unido")</f>
        <v>Bien Unido</v>
      </c>
      <c r="AX116" s="8"/>
      <c r="AY116" s="8"/>
      <c r="AZ116" s="8"/>
      <c r="BA116" s="8"/>
      <c r="BB116" s="8"/>
      <c r="BC116" s="8"/>
      <c r="BD116" s="8"/>
      <c r="BE116" s="8"/>
    </row>
    <row r="117">
      <c r="A117" s="142" t="s">
        <v>194</v>
      </c>
      <c r="B117" s="142" t="str">
        <f>IFERROR(__xludf.DUMMYFUNCTION("""COMPUTED_VALUE"""),"Alcantara")</f>
        <v>Alcantara</v>
      </c>
      <c r="C117" s="142" t="str">
        <f>IFERROR(__xludf.DUMMYFUNCTION("""COMPUTED_VALUE"""),"Alcoy")</f>
        <v>Alcoy</v>
      </c>
      <c r="D117" s="142" t="str">
        <f>IFERROR(__xludf.DUMMYFUNCTION("""COMPUTED_VALUE"""),"Alegria")</f>
        <v>Alegria</v>
      </c>
      <c r="E117" s="142" t="str">
        <f>IFERROR(__xludf.DUMMYFUNCTION("""COMPUTED_VALUE"""),"Aloguinsan")</f>
        <v>Aloguinsan</v>
      </c>
      <c r="F117" s="142" t="str">
        <f>IFERROR(__xludf.DUMMYFUNCTION("""COMPUTED_VALUE"""),"Argao")</f>
        <v>Argao</v>
      </c>
      <c r="G117" s="142" t="str">
        <f>IFERROR(__xludf.DUMMYFUNCTION("""COMPUTED_VALUE"""),"Asturias")</f>
        <v>Asturias</v>
      </c>
      <c r="H117" s="142" t="str">
        <f>IFERROR(__xludf.DUMMYFUNCTION("""COMPUTED_VALUE"""),"Badian")</f>
        <v>Badian</v>
      </c>
      <c r="I117" s="142" t="str">
        <f>IFERROR(__xludf.DUMMYFUNCTION("""COMPUTED_VALUE"""),"Balamban")</f>
        <v>Balamban</v>
      </c>
      <c r="J117" s="142" t="str">
        <f>IFERROR(__xludf.DUMMYFUNCTION("""COMPUTED_VALUE"""),"Bantayan")</f>
        <v>Bantayan</v>
      </c>
      <c r="K117" s="142" t="str">
        <f>IFERROR(__xludf.DUMMYFUNCTION("""COMPUTED_VALUE"""),"Barili")</f>
        <v>Barili</v>
      </c>
      <c r="L117" s="142" t="str">
        <f>IFERROR(__xludf.DUMMYFUNCTION("""COMPUTED_VALUE"""),"City of Bogo")</f>
        <v>City of Bogo</v>
      </c>
      <c r="M117" s="142" t="str">
        <f>IFERROR(__xludf.DUMMYFUNCTION("""COMPUTED_VALUE"""),"Boljoon")</f>
        <v>Boljoon</v>
      </c>
      <c r="N117" s="142" t="str">
        <f>IFERROR(__xludf.DUMMYFUNCTION("""COMPUTED_VALUE"""),"Borbon")</f>
        <v>Borbon</v>
      </c>
      <c r="O117" s="142" t="str">
        <f>IFERROR(__xludf.DUMMYFUNCTION("""COMPUTED_VALUE"""),"City of Carcar")</f>
        <v>City of Carcar</v>
      </c>
      <c r="P117" s="142" t="str">
        <f>IFERROR(__xludf.DUMMYFUNCTION("""COMPUTED_VALUE"""),"Carmen")</f>
        <v>Carmen</v>
      </c>
      <c r="Q117" s="142" t="str">
        <f>IFERROR(__xludf.DUMMYFUNCTION("""COMPUTED_VALUE"""),"Catmon")</f>
        <v>Catmon</v>
      </c>
      <c r="R117" s="142" t="str">
        <f>IFERROR(__xludf.DUMMYFUNCTION("""COMPUTED_VALUE"""),"Compostela")</f>
        <v>Compostela</v>
      </c>
      <c r="S117" s="142" t="str">
        <f>IFERROR(__xludf.DUMMYFUNCTION("""COMPUTED_VALUE"""),"Consolacion")</f>
        <v>Consolacion</v>
      </c>
      <c r="T117" s="142" t="str">
        <f>IFERROR(__xludf.DUMMYFUNCTION("""COMPUTED_VALUE"""),"Cordova")</f>
        <v>Cordova</v>
      </c>
      <c r="U117" s="142" t="str">
        <f>IFERROR(__xludf.DUMMYFUNCTION("""COMPUTED_VALUE"""),"Daanbantayan")</f>
        <v>Daanbantayan</v>
      </c>
      <c r="V117" s="142" t="str">
        <f>IFERROR(__xludf.DUMMYFUNCTION("""COMPUTED_VALUE"""),"Dalaguete")</f>
        <v>Dalaguete</v>
      </c>
      <c r="W117" s="142" t="str">
        <f>IFERROR(__xludf.DUMMYFUNCTION("""COMPUTED_VALUE"""),"Danao City")</f>
        <v>Danao City</v>
      </c>
      <c r="X117" s="142" t="str">
        <f>IFERROR(__xludf.DUMMYFUNCTION("""COMPUTED_VALUE"""),"Dumanjug")</f>
        <v>Dumanjug</v>
      </c>
      <c r="Y117" s="142" t="str">
        <f>IFERROR(__xludf.DUMMYFUNCTION("""COMPUTED_VALUE"""),"Ginatilan")</f>
        <v>Ginatilan</v>
      </c>
      <c r="Z117" s="142" t="str">
        <f>IFERROR(__xludf.DUMMYFUNCTION("""COMPUTED_VALUE"""),"Liloan")</f>
        <v>Liloan</v>
      </c>
      <c r="AA117" s="142" t="str">
        <f>IFERROR(__xludf.DUMMYFUNCTION("""COMPUTED_VALUE"""),"Madridejos")</f>
        <v>Madridejos</v>
      </c>
      <c r="AB117" s="142" t="str">
        <f>IFERROR(__xludf.DUMMYFUNCTION("""COMPUTED_VALUE"""),"Malabuyoc")</f>
        <v>Malabuyoc</v>
      </c>
      <c r="AC117" s="142" t="str">
        <f>IFERROR(__xludf.DUMMYFUNCTION("""COMPUTED_VALUE"""),"Medellin")</f>
        <v>Medellin</v>
      </c>
      <c r="AD117" s="142" t="str">
        <f>IFERROR(__xludf.DUMMYFUNCTION("""COMPUTED_VALUE"""),"Minglanilla")</f>
        <v>Minglanilla</v>
      </c>
      <c r="AE117" s="142" t="str">
        <f>IFERROR(__xludf.DUMMYFUNCTION("""COMPUTED_VALUE"""),"Moalboal")</f>
        <v>Moalboal</v>
      </c>
      <c r="AF117" s="142" t="str">
        <f>IFERROR(__xludf.DUMMYFUNCTION("""COMPUTED_VALUE"""),"City of Naga")</f>
        <v>City of Naga</v>
      </c>
      <c r="AG117" s="142" t="str">
        <f>IFERROR(__xludf.DUMMYFUNCTION("""COMPUTED_VALUE"""),"Oslob")</f>
        <v>Oslob</v>
      </c>
      <c r="AH117" s="142" t="str">
        <f>IFERROR(__xludf.DUMMYFUNCTION("""COMPUTED_VALUE"""),"Pilar")</f>
        <v>Pilar</v>
      </c>
      <c r="AI117" s="142" t="str">
        <f>IFERROR(__xludf.DUMMYFUNCTION("""COMPUTED_VALUE"""),"Pinamungajan")</f>
        <v>Pinamungajan</v>
      </c>
      <c r="AJ117" s="142" t="str">
        <f>IFERROR(__xludf.DUMMYFUNCTION("""COMPUTED_VALUE"""),"Poro")</f>
        <v>Poro</v>
      </c>
      <c r="AK117" s="142" t="str">
        <f>IFERROR(__xludf.DUMMYFUNCTION("""COMPUTED_VALUE"""),"Ronda")</f>
        <v>Ronda</v>
      </c>
      <c r="AL117" s="142" t="str">
        <f>IFERROR(__xludf.DUMMYFUNCTION("""COMPUTED_VALUE"""),"Samboan")</f>
        <v>Samboan</v>
      </c>
      <c r="AM117" s="142" t="str">
        <f>IFERROR(__xludf.DUMMYFUNCTION("""COMPUTED_VALUE"""),"San Fernando")</f>
        <v>San Fernando</v>
      </c>
      <c r="AN117" s="142" t="str">
        <f>IFERROR(__xludf.DUMMYFUNCTION("""COMPUTED_VALUE"""),"San Francisco")</f>
        <v>San Francisco</v>
      </c>
      <c r="AO117" s="142" t="str">
        <f>IFERROR(__xludf.DUMMYFUNCTION("""COMPUTED_VALUE"""),"San Remigio")</f>
        <v>San Remigio</v>
      </c>
      <c r="AP117" s="142" t="str">
        <f>IFERROR(__xludf.DUMMYFUNCTION("""COMPUTED_VALUE"""),"Santa Fe")</f>
        <v>Santa Fe</v>
      </c>
      <c r="AQ117" s="142" t="str">
        <f>IFERROR(__xludf.DUMMYFUNCTION("""COMPUTED_VALUE"""),"Santander")</f>
        <v>Santander</v>
      </c>
      <c r="AR117" s="142" t="str">
        <f>IFERROR(__xludf.DUMMYFUNCTION("""COMPUTED_VALUE"""),"Sibonga")</f>
        <v>Sibonga</v>
      </c>
      <c r="AS117" s="142" t="str">
        <f>IFERROR(__xludf.DUMMYFUNCTION("""COMPUTED_VALUE"""),"Sogod")</f>
        <v>Sogod</v>
      </c>
      <c r="AT117" s="142" t="str">
        <f>IFERROR(__xludf.DUMMYFUNCTION("""COMPUTED_VALUE"""),"Tabogon")</f>
        <v>Tabogon</v>
      </c>
      <c r="AU117" s="142" t="str">
        <f>IFERROR(__xludf.DUMMYFUNCTION("""COMPUTED_VALUE"""),"Tabuelan")</f>
        <v>Tabuelan</v>
      </c>
      <c r="AV117" s="142" t="str">
        <f>IFERROR(__xludf.DUMMYFUNCTION("""COMPUTED_VALUE"""),"City of Talisay")</f>
        <v>City of Talisay</v>
      </c>
      <c r="AW117" s="142" t="str">
        <f>IFERROR(__xludf.DUMMYFUNCTION("""COMPUTED_VALUE"""),"City of Toledo")</f>
        <v>City of Toledo</v>
      </c>
      <c r="AX117" s="142" t="str">
        <f>IFERROR(__xludf.DUMMYFUNCTION("""COMPUTED_VALUE"""),"Tuburan")</f>
        <v>Tuburan</v>
      </c>
      <c r="AY117" s="142" t="str">
        <f>IFERROR(__xludf.DUMMYFUNCTION("""COMPUTED_VALUE"""),"Tudela")</f>
        <v>Tudela</v>
      </c>
      <c r="AZ117" s="142" t="str">
        <f>IFERROR(__xludf.DUMMYFUNCTION("""COMPUTED_VALUE"""),"City of Cebu")</f>
        <v>City of Cebu</v>
      </c>
      <c r="BA117" s="142" t="str">
        <f>IFERROR(__xludf.DUMMYFUNCTION("""COMPUTED_VALUE"""),"City of Lapu-Lapu")</f>
        <v>City of Lapu-Lapu</v>
      </c>
      <c r="BB117" s="142" t="str">
        <f>IFERROR(__xludf.DUMMYFUNCTION("""COMPUTED_VALUE"""),"City of Mandaue")</f>
        <v>City of Mandaue</v>
      </c>
      <c r="BC117" s="8"/>
      <c r="BD117" s="8"/>
      <c r="BE117" s="8"/>
    </row>
    <row r="118">
      <c r="A118" s="142" t="s">
        <v>194</v>
      </c>
      <c r="B118" s="142" t="str">
        <f>IFERROR(__xludf.DUMMYFUNCTION("""COMPUTED_VALUE"""),"Alcantara")</f>
        <v>Alcantara</v>
      </c>
      <c r="C118" s="142" t="str">
        <f>IFERROR(__xludf.DUMMYFUNCTION("""COMPUTED_VALUE"""),"Alcoy")</f>
        <v>Alcoy</v>
      </c>
      <c r="D118" s="142" t="str">
        <f>IFERROR(__xludf.DUMMYFUNCTION("""COMPUTED_VALUE"""),"Alegria")</f>
        <v>Alegria</v>
      </c>
      <c r="E118" s="142" t="str">
        <f>IFERROR(__xludf.DUMMYFUNCTION("""COMPUTED_VALUE"""),"Aloguinsan")</f>
        <v>Aloguinsan</v>
      </c>
      <c r="F118" s="142" t="str">
        <f>IFERROR(__xludf.DUMMYFUNCTION("""COMPUTED_VALUE"""),"Argao")</f>
        <v>Argao</v>
      </c>
      <c r="G118" s="142" t="str">
        <f>IFERROR(__xludf.DUMMYFUNCTION("""COMPUTED_VALUE"""),"Asturias")</f>
        <v>Asturias</v>
      </c>
      <c r="H118" s="142" t="str">
        <f>IFERROR(__xludf.DUMMYFUNCTION("""COMPUTED_VALUE"""),"Badian")</f>
        <v>Badian</v>
      </c>
      <c r="I118" s="142" t="str">
        <f>IFERROR(__xludf.DUMMYFUNCTION("""COMPUTED_VALUE"""),"Balamban")</f>
        <v>Balamban</v>
      </c>
      <c r="J118" s="142" t="str">
        <f>IFERROR(__xludf.DUMMYFUNCTION("""COMPUTED_VALUE"""),"Bantayan")</f>
        <v>Bantayan</v>
      </c>
      <c r="K118" s="142" t="str">
        <f>IFERROR(__xludf.DUMMYFUNCTION("""COMPUTED_VALUE"""),"Barili")</f>
        <v>Barili</v>
      </c>
      <c r="L118" s="142" t="str">
        <f>IFERROR(__xludf.DUMMYFUNCTION("""COMPUTED_VALUE"""),"City of Bogo")</f>
        <v>City of Bogo</v>
      </c>
      <c r="M118" s="142" t="str">
        <f>IFERROR(__xludf.DUMMYFUNCTION("""COMPUTED_VALUE"""),"Boljoon")</f>
        <v>Boljoon</v>
      </c>
      <c r="N118" s="142" t="str">
        <f>IFERROR(__xludf.DUMMYFUNCTION("""COMPUTED_VALUE"""),"Borbon")</f>
        <v>Borbon</v>
      </c>
      <c r="O118" s="142" t="str">
        <f>IFERROR(__xludf.DUMMYFUNCTION("""COMPUTED_VALUE"""),"City of Carcar")</f>
        <v>City of Carcar</v>
      </c>
      <c r="P118" s="142" t="str">
        <f>IFERROR(__xludf.DUMMYFUNCTION("""COMPUTED_VALUE"""),"Carmen")</f>
        <v>Carmen</v>
      </c>
      <c r="Q118" s="142" t="str">
        <f>IFERROR(__xludf.DUMMYFUNCTION("""COMPUTED_VALUE"""),"Catmon")</f>
        <v>Catmon</v>
      </c>
      <c r="R118" s="142" t="str">
        <f>IFERROR(__xludf.DUMMYFUNCTION("""COMPUTED_VALUE"""),"Compostela")</f>
        <v>Compostela</v>
      </c>
      <c r="S118" s="142" t="str">
        <f>IFERROR(__xludf.DUMMYFUNCTION("""COMPUTED_VALUE"""),"Consolacion")</f>
        <v>Consolacion</v>
      </c>
      <c r="T118" s="142" t="str">
        <f>IFERROR(__xludf.DUMMYFUNCTION("""COMPUTED_VALUE"""),"Cordova")</f>
        <v>Cordova</v>
      </c>
      <c r="U118" s="142" t="str">
        <f>IFERROR(__xludf.DUMMYFUNCTION("""COMPUTED_VALUE"""),"Daanbantayan")</f>
        <v>Daanbantayan</v>
      </c>
      <c r="V118" s="142" t="str">
        <f>IFERROR(__xludf.DUMMYFUNCTION("""COMPUTED_VALUE"""),"Dalaguete")</f>
        <v>Dalaguete</v>
      </c>
      <c r="W118" s="142" t="str">
        <f>IFERROR(__xludf.DUMMYFUNCTION("""COMPUTED_VALUE"""),"Danao City")</f>
        <v>Danao City</v>
      </c>
      <c r="X118" s="142" t="str">
        <f>IFERROR(__xludf.DUMMYFUNCTION("""COMPUTED_VALUE"""),"Dumanjug")</f>
        <v>Dumanjug</v>
      </c>
      <c r="Y118" s="142" t="str">
        <f>IFERROR(__xludf.DUMMYFUNCTION("""COMPUTED_VALUE"""),"Ginatilan")</f>
        <v>Ginatilan</v>
      </c>
      <c r="Z118" s="142" t="str">
        <f>IFERROR(__xludf.DUMMYFUNCTION("""COMPUTED_VALUE"""),"Liloan")</f>
        <v>Liloan</v>
      </c>
      <c r="AA118" s="142" t="str">
        <f>IFERROR(__xludf.DUMMYFUNCTION("""COMPUTED_VALUE"""),"Madridejos")</f>
        <v>Madridejos</v>
      </c>
      <c r="AB118" s="142" t="str">
        <f>IFERROR(__xludf.DUMMYFUNCTION("""COMPUTED_VALUE"""),"Malabuyoc")</f>
        <v>Malabuyoc</v>
      </c>
      <c r="AC118" s="142" t="str">
        <f>IFERROR(__xludf.DUMMYFUNCTION("""COMPUTED_VALUE"""),"Medellin")</f>
        <v>Medellin</v>
      </c>
      <c r="AD118" s="142" t="str">
        <f>IFERROR(__xludf.DUMMYFUNCTION("""COMPUTED_VALUE"""),"Minglanilla")</f>
        <v>Minglanilla</v>
      </c>
      <c r="AE118" s="142" t="str">
        <f>IFERROR(__xludf.DUMMYFUNCTION("""COMPUTED_VALUE"""),"Moalboal")</f>
        <v>Moalboal</v>
      </c>
      <c r="AF118" s="142" t="str">
        <f>IFERROR(__xludf.DUMMYFUNCTION("""COMPUTED_VALUE"""),"City of Naga")</f>
        <v>City of Naga</v>
      </c>
      <c r="AG118" s="142" t="str">
        <f>IFERROR(__xludf.DUMMYFUNCTION("""COMPUTED_VALUE"""),"Oslob")</f>
        <v>Oslob</v>
      </c>
      <c r="AH118" s="142" t="str">
        <f>IFERROR(__xludf.DUMMYFUNCTION("""COMPUTED_VALUE"""),"Pilar")</f>
        <v>Pilar</v>
      </c>
      <c r="AI118" s="142" t="str">
        <f>IFERROR(__xludf.DUMMYFUNCTION("""COMPUTED_VALUE"""),"Pinamungajan")</f>
        <v>Pinamungajan</v>
      </c>
      <c r="AJ118" s="142" t="str">
        <f>IFERROR(__xludf.DUMMYFUNCTION("""COMPUTED_VALUE"""),"Poro")</f>
        <v>Poro</v>
      </c>
      <c r="AK118" s="142" t="str">
        <f>IFERROR(__xludf.DUMMYFUNCTION("""COMPUTED_VALUE"""),"Ronda")</f>
        <v>Ronda</v>
      </c>
      <c r="AL118" s="142" t="str">
        <f>IFERROR(__xludf.DUMMYFUNCTION("""COMPUTED_VALUE"""),"Samboan")</f>
        <v>Samboan</v>
      </c>
      <c r="AM118" s="142" t="str">
        <f>IFERROR(__xludf.DUMMYFUNCTION("""COMPUTED_VALUE"""),"San Fernando")</f>
        <v>San Fernando</v>
      </c>
      <c r="AN118" s="142" t="str">
        <f>IFERROR(__xludf.DUMMYFUNCTION("""COMPUTED_VALUE"""),"San Francisco")</f>
        <v>San Francisco</v>
      </c>
      <c r="AO118" s="142" t="str">
        <f>IFERROR(__xludf.DUMMYFUNCTION("""COMPUTED_VALUE"""),"San Remigio")</f>
        <v>San Remigio</v>
      </c>
      <c r="AP118" s="142" t="str">
        <f>IFERROR(__xludf.DUMMYFUNCTION("""COMPUTED_VALUE"""),"Santa Fe")</f>
        <v>Santa Fe</v>
      </c>
      <c r="AQ118" s="142" t="str">
        <f>IFERROR(__xludf.DUMMYFUNCTION("""COMPUTED_VALUE"""),"Santander")</f>
        <v>Santander</v>
      </c>
      <c r="AR118" s="142" t="str">
        <f>IFERROR(__xludf.DUMMYFUNCTION("""COMPUTED_VALUE"""),"Sibonga")</f>
        <v>Sibonga</v>
      </c>
      <c r="AS118" s="142" t="str">
        <f>IFERROR(__xludf.DUMMYFUNCTION("""COMPUTED_VALUE"""),"Sogod")</f>
        <v>Sogod</v>
      </c>
      <c r="AT118" s="142" t="str">
        <f>IFERROR(__xludf.DUMMYFUNCTION("""COMPUTED_VALUE"""),"Tabogon")</f>
        <v>Tabogon</v>
      </c>
      <c r="AU118" s="142" t="str">
        <f>IFERROR(__xludf.DUMMYFUNCTION("""COMPUTED_VALUE"""),"Tabuelan")</f>
        <v>Tabuelan</v>
      </c>
      <c r="AV118" s="142" t="str">
        <f>IFERROR(__xludf.DUMMYFUNCTION("""COMPUTED_VALUE"""),"City of Talisay")</f>
        <v>City of Talisay</v>
      </c>
      <c r="AW118" s="142" t="str">
        <f>IFERROR(__xludf.DUMMYFUNCTION("""COMPUTED_VALUE"""),"City of Toledo")</f>
        <v>City of Toledo</v>
      </c>
      <c r="AX118" s="142" t="str">
        <f>IFERROR(__xludf.DUMMYFUNCTION("""COMPUTED_VALUE"""),"Tuburan")</f>
        <v>Tuburan</v>
      </c>
      <c r="AY118" s="142" t="str">
        <f>IFERROR(__xludf.DUMMYFUNCTION("""COMPUTED_VALUE"""),"Tudela")</f>
        <v>Tudela</v>
      </c>
      <c r="AZ118" s="142" t="str">
        <f>IFERROR(__xludf.DUMMYFUNCTION("""COMPUTED_VALUE"""),"City of Cebu")</f>
        <v>City of Cebu</v>
      </c>
      <c r="BA118" s="142" t="str">
        <f>IFERROR(__xludf.DUMMYFUNCTION("""COMPUTED_VALUE"""),"City of Lapu-Lapu")</f>
        <v>City of Lapu-Lapu</v>
      </c>
      <c r="BB118" s="142" t="str">
        <f>IFERROR(__xludf.DUMMYFUNCTION("""COMPUTED_VALUE"""),"City of Mandaue")</f>
        <v>City of Mandaue</v>
      </c>
      <c r="BC118" s="8"/>
      <c r="BD118" s="8"/>
      <c r="BE118" s="8"/>
    </row>
    <row r="119">
      <c r="A119" s="142" t="s">
        <v>194</v>
      </c>
      <c r="B119" s="142" t="str">
        <f>IFERROR(__xludf.DUMMYFUNCTION("""COMPUTED_VALUE"""),"Alcantara")</f>
        <v>Alcantara</v>
      </c>
      <c r="C119" s="142" t="str">
        <f>IFERROR(__xludf.DUMMYFUNCTION("""COMPUTED_VALUE"""),"Alcoy")</f>
        <v>Alcoy</v>
      </c>
      <c r="D119" s="142" t="str">
        <f>IFERROR(__xludf.DUMMYFUNCTION("""COMPUTED_VALUE"""),"Alegria")</f>
        <v>Alegria</v>
      </c>
      <c r="E119" s="142" t="str">
        <f>IFERROR(__xludf.DUMMYFUNCTION("""COMPUTED_VALUE"""),"Aloguinsan")</f>
        <v>Aloguinsan</v>
      </c>
      <c r="F119" s="142" t="str">
        <f>IFERROR(__xludf.DUMMYFUNCTION("""COMPUTED_VALUE"""),"Argao")</f>
        <v>Argao</v>
      </c>
      <c r="G119" s="142" t="str">
        <f>IFERROR(__xludf.DUMMYFUNCTION("""COMPUTED_VALUE"""),"Asturias")</f>
        <v>Asturias</v>
      </c>
      <c r="H119" s="142" t="str">
        <f>IFERROR(__xludf.DUMMYFUNCTION("""COMPUTED_VALUE"""),"Badian")</f>
        <v>Badian</v>
      </c>
      <c r="I119" s="142" t="str">
        <f>IFERROR(__xludf.DUMMYFUNCTION("""COMPUTED_VALUE"""),"Balamban")</f>
        <v>Balamban</v>
      </c>
      <c r="J119" s="142" t="str">
        <f>IFERROR(__xludf.DUMMYFUNCTION("""COMPUTED_VALUE"""),"Bantayan")</f>
        <v>Bantayan</v>
      </c>
      <c r="K119" s="142" t="str">
        <f>IFERROR(__xludf.DUMMYFUNCTION("""COMPUTED_VALUE"""),"Barili")</f>
        <v>Barili</v>
      </c>
      <c r="L119" s="142" t="str">
        <f>IFERROR(__xludf.DUMMYFUNCTION("""COMPUTED_VALUE"""),"City of Bogo")</f>
        <v>City of Bogo</v>
      </c>
      <c r="M119" s="142" t="str">
        <f>IFERROR(__xludf.DUMMYFUNCTION("""COMPUTED_VALUE"""),"Boljoon")</f>
        <v>Boljoon</v>
      </c>
      <c r="N119" s="142" t="str">
        <f>IFERROR(__xludf.DUMMYFUNCTION("""COMPUTED_VALUE"""),"Borbon")</f>
        <v>Borbon</v>
      </c>
      <c r="O119" s="142" t="str">
        <f>IFERROR(__xludf.DUMMYFUNCTION("""COMPUTED_VALUE"""),"City of Carcar")</f>
        <v>City of Carcar</v>
      </c>
      <c r="P119" s="142" t="str">
        <f>IFERROR(__xludf.DUMMYFUNCTION("""COMPUTED_VALUE"""),"Carmen")</f>
        <v>Carmen</v>
      </c>
      <c r="Q119" s="142" t="str">
        <f>IFERROR(__xludf.DUMMYFUNCTION("""COMPUTED_VALUE"""),"Catmon")</f>
        <v>Catmon</v>
      </c>
      <c r="R119" s="142" t="str">
        <f>IFERROR(__xludf.DUMMYFUNCTION("""COMPUTED_VALUE"""),"Compostela")</f>
        <v>Compostela</v>
      </c>
      <c r="S119" s="142" t="str">
        <f>IFERROR(__xludf.DUMMYFUNCTION("""COMPUTED_VALUE"""),"Consolacion")</f>
        <v>Consolacion</v>
      </c>
      <c r="T119" s="142" t="str">
        <f>IFERROR(__xludf.DUMMYFUNCTION("""COMPUTED_VALUE"""),"Cordova")</f>
        <v>Cordova</v>
      </c>
      <c r="U119" s="142" t="str">
        <f>IFERROR(__xludf.DUMMYFUNCTION("""COMPUTED_VALUE"""),"Daanbantayan")</f>
        <v>Daanbantayan</v>
      </c>
      <c r="V119" s="142" t="str">
        <f>IFERROR(__xludf.DUMMYFUNCTION("""COMPUTED_VALUE"""),"Dalaguete")</f>
        <v>Dalaguete</v>
      </c>
      <c r="W119" s="142" t="str">
        <f>IFERROR(__xludf.DUMMYFUNCTION("""COMPUTED_VALUE"""),"Danao City")</f>
        <v>Danao City</v>
      </c>
      <c r="X119" s="142" t="str">
        <f>IFERROR(__xludf.DUMMYFUNCTION("""COMPUTED_VALUE"""),"Dumanjug")</f>
        <v>Dumanjug</v>
      </c>
      <c r="Y119" s="142" t="str">
        <f>IFERROR(__xludf.DUMMYFUNCTION("""COMPUTED_VALUE"""),"Ginatilan")</f>
        <v>Ginatilan</v>
      </c>
      <c r="Z119" s="142" t="str">
        <f>IFERROR(__xludf.DUMMYFUNCTION("""COMPUTED_VALUE"""),"Liloan")</f>
        <v>Liloan</v>
      </c>
      <c r="AA119" s="142" t="str">
        <f>IFERROR(__xludf.DUMMYFUNCTION("""COMPUTED_VALUE"""),"Madridejos")</f>
        <v>Madridejos</v>
      </c>
      <c r="AB119" s="142" t="str">
        <f>IFERROR(__xludf.DUMMYFUNCTION("""COMPUTED_VALUE"""),"Malabuyoc")</f>
        <v>Malabuyoc</v>
      </c>
      <c r="AC119" s="142" t="str">
        <f>IFERROR(__xludf.DUMMYFUNCTION("""COMPUTED_VALUE"""),"Medellin")</f>
        <v>Medellin</v>
      </c>
      <c r="AD119" s="142" t="str">
        <f>IFERROR(__xludf.DUMMYFUNCTION("""COMPUTED_VALUE"""),"Minglanilla")</f>
        <v>Minglanilla</v>
      </c>
      <c r="AE119" s="142" t="str">
        <f>IFERROR(__xludf.DUMMYFUNCTION("""COMPUTED_VALUE"""),"Moalboal")</f>
        <v>Moalboal</v>
      </c>
      <c r="AF119" s="142" t="str">
        <f>IFERROR(__xludf.DUMMYFUNCTION("""COMPUTED_VALUE"""),"City of Naga")</f>
        <v>City of Naga</v>
      </c>
      <c r="AG119" s="142" t="str">
        <f>IFERROR(__xludf.DUMMYFUNCTION("""COMPUTED_VALUE"""),"Oslob")</f>
        <v>Oslob</v>
      </c>
      <c r="AH119" s="142" t="str">
        <f>IFERROR(__xludf.DUMMYFUNCTION("""COMPUTED_VALUE"""),"Pilar")</f>
        <v>Pilar</v>
      </c>
      <c r="AI119" s="142" t="str">
        <f>IFERROR(__xludf.DUMMYFUNCTION("""COMPUTED_VALUE"""),"Pinamungajan")</f>
        <v>Pinamungajan</v>
      </c>
      <c r="AJ119" s="142" t="str">
        <f>IFERROR(__xludf.DUMMYFUNCTION("""COMPUTED_VALUE"""),"Poro")</f>
        <v>Poro</v>
      </c>
      <c r="AK119" s="142" t="str">
        <f>IFERROR(__xludf.DUMMYFUNCTION("""COMPUTED_VALUE"""),"Ronda")</f>
        <v>Ronda</v>
      </c>
      <c r="AL119" s="142" t="str">
        <f>IFERROR(__xludf.DUMMYFUNCTION("""COMPUTED_VALUE"""),"Samboan")</f>
        <v>Samboan</v>
      </c>
      <c r="AM119" s="142" t="str">
        <f>IFERROR(__xludf.DUMMYFUNCTION("""COMPUTED_VALUE"""),"San Fernando")</f>
        <v>San Fernando</v>
      </c>
      <c r="AN119" s="142" t="str">
        <f>IFERROR(__xludf.DUMMYFUNCTION("""COMPUTED_VALUE"""),"San Francisco")</f>
        <v>San Francisco</v>
      </c>
      <c r="AO119" s="142" t="str">
        <f>IFERROR(__xludf.DUMMYFUNCTION("""COMPUTED_VALUE"""),"San Remigio")</f>
        <v>San Remigio</v>
      </c>
      <c r="AP119" s="142" t="str">
        <f>IFERROR(__xludf.DUMMYFUNCTION("""COMPUTED_VALUE"""),"Santa Fe")</f>
        <v>Santa Fe</v>
      </c>
      <c r="AQ119" s="142" t="str">
        <f>IFERROR(__xludf.DUMMYFUNCTION("""COMPUTED_VALUE"""),"Santander")</f>
        <v>Santander</v>
      </c>
      <c r="AR119" s="142" t="str">
        <f>IFERROR(__xludf.DUMMYFUNCTION("""COMPUTED_VALUE"""),"Sibonga")</f>
        <v>Sibonga</v>
      </c>
      <c r="AS119" s="142" t="str">
        <f>IFERROR(__xludf.DUMMYFUNCTION("""COMPUTED_VALUE"""),"Sogod")</f>
        <v>Sogod</v>
      </c>
      <c r="AT119" s="142" t="str">
        <f>IFERROR(__xludf.DUMMYFUNCTION("""COMPUTED_VALUE"""),"Tabogon")</f>
        <v>Tabogon</v>
      </c>
      <c r="AU119" s="142" t="str">
        <f>IFERROR(__xludf.DUMMYFUNCTION("""COMPUTED_VALUE"""),"Tabuelan")</f>
        <v>Tabuelan</v>
      </c>
      <c r="AV119" s="142" t="str">
        <f>IFERROR(__xludf.DUMMYFUNCTION("""COMPUTED_VALUE"""),"City of Talisay")</f>
        <v>City of Talisay</v>
      </c>
      <c r="AW119" s="142" t="str">
        <f>IFERROR(__xludf.DUMMYFUNCTION("""COMPUTED_VALUE"""),"City of Toledo")</f>
        <v>City of Toledo</v>
      </c>
      <c r="AX119" s="142" t="str">
        <f>IFERROR(__xludf.DUMMYFUNCTION("""COMPUTED_VALUE"""),"Tuburan")</f>
        <v>Tuburan</v>
      </c>
      <c r="AY119" s="142" t="str">
        <f>IFERROR(__xludf.DUMMYFUNCTION("""COMPUTED_VALUE"""),"Tudela")</f>
        <v>Tudela</v>
      </c>
      <c r="AZ119" s="142" t="str">
        <f>IFERROR(__xludf.DUMMYFUNCTION("""COMPUTED_VALUE"""),"City of Cebu")</f>
        <v>City of Cebu</v>
      </c>
      <c r="BA119" s="142" t="str">
        <f>IFERROR(__xludf.DUMMYFUNCTION("""COMPUTED_VALUE"""),"City of Lapu-Lapu")</f>
        <v>City of Lapu-Lapu</v>
      </c>
      <c r="BB119" s="142" t="str">
        <f>IFERROR(__xludf.DUMMYFUNCTION("""COMPUTED_VALUE"""),"City of Mandaue")</f>
        <v>City of Mandaue</v>
      </c>
      <c r="BC119" s="8"/>
      <c r="BD119" s="8"/>
      <c r="BE119" s="8"/>
    </row>
    <row r="120">
      <c r="A120" s="142" t="s">
        <v>580</v>
      </c>
      <c r="B120" s="142" t="str">
        <f>IFERROR(__xludf.DUMMYFUNCTION("""COMPUTED_VALUE"""),"Arteche")</f>
        <v>Arteche</v>
      </c>
      <c r="C120" s="142" t="str">
        <f>IFERROR(__xludf.DUMMYFUNCTION("""COMPUTED_VALUE"""),"Balangiga")</f>
        <v>Balangiga</v>
      </c>
      <c r="D120" s="142" t="str">
        <f>IFERROR(__xludf.DUMMYFUNCTION("""COMPUTED_VALUE"""),"Balangkayan")</f>
        <v>Balangkayan</v>
      </c>
      <c r="E120" s="142" t="str">
        <f>IFERROR(__xludf.DUMMYFUNCTION("""COMPUTED_VALUE"""),"City of Borongan")</f>
        <v>City of Borongan</v>
      </c>
      <c r="F120" s="142" t="str">
        <f>IFERROR(__xludf.DUMMYFUNCTION("""COMPUTED_VALUE"""),"Can-Avid")</f>
        <v>Can-Avid</v>
      </c>
      <c r="G120" s="142" t="str">
        <f>IFERROR(__xludf.DUMMYFUNCTION("""COMPUTED_VALUE"""),"Dolores")</f>
        <v>Dolores</v>
      </c>
      <c r="H120" s="142" t="str">
        <f>IFERROR(__xludf.DUMMYFUNCTION("""COMPUTED_VALUE"""),"General Macarthur")</f>
        <v>General Macarthur</v>
      </c>
      <c r="I120" s="142" t="str">
        <f>IFERROR(__xludf.DUMMYFUNCTION("""COMPUTED_VALUE"""),"Giporlos")</f>
        <v>Giporlos</v>
      </c>
      <c r="J120" s="142" t="str">
        <f>IFERROR(__xludf.DUMMYFUNCTION("""COMPUTED_VALUE"""),"Guiuan")</f>
        <v>Guiuan</v>
      </c>
      <c r="K120" s="142" t="str">
        <f>IFERROR(__xludf.DUMMYFUNCTION("""COMPUTED_VALUE"""),"Hernani")</f>
        <v>Hernani</v>
      </c>
      <c r="L120" s="142" t="str">
        <f>IFERROR(__xludf.DUMMYFUNCTION("""COMPUTED_VALUE"""),"Jipapad")</f>
        <v>Jipapad</v>
      </c>
      <c r="M120" s="142" t="str">
        <f>IFERROR(__xludf.DUMMYFUNCTION("""COMPUTED_VALUE"""),"Lawaan")</f>
        <v>Lawaan</v>
      </c>
      <c r="N120" s="142" t="str">
        <f>IFERROR(__xludf.DUMMYFUNCTION("""COMPUTED_VALUE"""),"Llorente")</f>
        <v>Llorente</v>
      </c>
      <c r="O120" s="142" t="str">
        <f>IFERROR(__xludf.DUMMYFUNCTION("""COMPUTED_VALUE"""),"Maslog")</f>
        <v>Maslog</v>
      </c>
      <c r="P120" s="142" t="str">
        <f>IFERROR(__xludf.DUMMYFUNCTION("""COMPUTED_VALUE"""),"Maydolong")</f>
        <v>Maydolong</v>
      </c>
      <c r="Q120" s="142" t="str">
        <f>IFERROR(__xludf.DUMMYFUNCTION("""COMPUTED_VALUE"""),"Mercedes")</f>
        <v>Mercedes</v>
      </c>
      <c r="R120" s="142" t="str">
        <f>IFERROR(__xludf.DUMMYFUNCTION("""COMPUTED_VALUE"""),"Oras")</f>
        <v>Oras</v>
      </c>
      <c r="S120" s="142" t="str">
        <f>IFERROR(__xludf.DUMMYFUNCTION("""COMPUTED_VALUE"""),"Quinapondan")</f>
        <v>Quinapondan</v>
      </c>
      <c r="T120" s="142" t="str">
        <f>IFERROR(__xludf.DUMMYFUNCTION("""COMPUTED_VALUE"""),"Salcedo")</f>
        <v>Salcedo</v>
      </c>
      <c r="U120" s="142" t="str">
        <f>IFERROR(__xludf.DUMMYFUNCTION("""COMPUTED_VALUE"""),"San Julian")</f>
        <v>San Julian</v>
      </c>
      <c r="V120" s="142" t="str">
        <f>IFERROR(__xludf.DUMMYFUNCTION("""COMPUTED_VALUE"""),"San Policarpo")</f>
        <v>San Policarpo</v>
      </c>
      <c r="W120" s="142" t="str">
        <f>IFERROR(__xludf.DUMMYFUNCTION("""COMPUTED_VALUE"""),"Sulat")</f>
        <v>Sulat</v>
      </c>
      <c r="X120" s="142" t="str">
        <f>IFERROR(__xludf.DUMMYFUNCTION("""COMPUTED_VALUE"""),"Taft")</f>
        <v>Taft</v>
      </c>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row>
    <row r="121">
      <c r="A121" s="142" t="s">
        <v>976</v>
      </c>
      <c r="B121" s="142" t="str">
        <f>IFERROR(__xludf.DUMMYFUNCTION("""COMPUTED_VALUE"""),"Aloran")</f>
        <v>Aloran</v>
      </c>
      <c r="C121" s="142" t="str">
        <f>IFERROR(__xludf.DUMMYFUNCTION("""COMPUTED_VALUE"""),"Baliangao")</f>
        <v>Baliangao</v>
      </c>
      <c r="D121" s="142" t="str">
        <f>IFERROR(__xludf.DUMMYFUNCTION("""COMPUTED_VALUE"""),"Bonifacio")</f>
        <v>Bonifacio</v>
      </c>
      <c r="E121" s="142" t="str">
        <f>IFERROR(__xludf.DUMMYFUNCTION("""COMPUTED_VALUE"""),"Calamba")</f>
        <v>Calamba</v>
      </c>
      <c r="F121" s="142" t="str">
        <f>IFERROR(__xludf.DUMMYFUNCTION("""COMPUTED_VALUE"""),"Clarin")</f>
        <v>Clarin</v>
      </c>
      <c r="G121" s="142" t="str">
        <f>IFERROR(__xludf.DUMMYFUNCTION("""COMPUTED_VALUE"""),"Concepcion")</f>
        <v>Concepcion</v>
      </c>
      <c r="H121" s="142" t="str">
        <f>IFERROR(__xludf.DUMMYFUNCTION("""COMPUTED_VALUE"""),"Jimenez")</f>
        <v>Jimenez</v>
      </c>
      <c r="I121" s="142" t="str">
        <f>IFERROR(__xludf.DUMMYFUNCTION("""COMPUTED_VALUE"""),"Lopez Jaena")</f>
        <v>Lopez Jaena</v>
      </c>
      <c r="J121" s="142" t="str">
        <f>IFERROR(__xludf.DUMMYFUNCTION("""COMPUTED_VALUE"""),"City of Oroquieta")</f>
        <v>City of Oroquieta</v>
      </c>
      <c r="K121" s="142" t="str">
        <f>IFERROR(__xludf.DUMMYFUNCTION("""COMPUTED_VALUE"""),"City of Ozamiz")</f>
        <v>City of Ozamiz</v>
      </c>
      <c r="L121" s="142" t="str">
        <f>IFERROR(__xludf.DUMMYFUNCTION("""COMPUTED_VALUE"""),"Panaon")</f>
        <v>Panaon</v>
      </c>
      <c r="M121" s="142" t="str">
        <f>IFERROR(__xludf.DUMMYFUNCTION("""COMPUTED_VALUE"""),"Plaridel")</f>
        <v>Plaridel</v>
      </c>
      <c r="N121" s="142" t="str">
        <f>IFERROR(__xludf.DUMMYFUNCTION("""COMPUTED_VALUE"""),"Sapang Dalaga")</f>
        <v>Sapang Dalaga</v>
      </c>
      <c r="O121" s="142" t="str">
        <f>IFERROR(__xludf.DUMMYFUNCTION("""COMPUTED_VALUE"""),"Sinacaban")</f>
        <v>Sinacaban</v>
      </c>
      <c r="P121" s="142" t="str">
        <f>IFERROR(__xludf.DUMMYFUNCTION("""COMPUTED_VALUE"""),"City of Tangub")</f>
        <v>City of Tangub</v>
      </c>
      <c r="Q121" s="142" t="str">
        <f>IFERROR(__xludf.DUMMYFUNCTION("""COMPUTED_VALUE"""),"Tudela")</f>
        <v>Tudela</v>
      </c>
      <c r="R121" s="142" t="str">
        <f>IFERROR(__xludf.DUMMYFUNCTION("""COMPUTED_VALUE"""),"Don Victoriano Chiongbian")</f>
        <v>Don Victoriano Chiongbian</v>
      </c>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row>
    <row r="122">
      <c r="A122" s="142" t="s">
        <v>331</v>
      </c>
      <c r="B122" s="142" t="str">
        <f>IFERROR(__xludf.DUMMYFUNCTION("""COMPUTED_VALUE"""),"Asuncion")</f>
        <v>Asuncion</v>
      </c>
      <c r="C122" s="142" t="str">
        <f>IFERROR(__xludf.DUMMYFUNCTION("""COMPUTED_VALUE"""),"Carmen")</f>
        <v>Carmen</v>
      </c>
      <c r="D122" s="142" t="str">
        <f>IFERROR(__xludf.DUMMYFUNCTION("""COMPUTED_VALUE"""),"Kapalong")</f>
        <v>Kapalong</v>
      </c>
      <c r="E122" s="142" t="str">
        <f>IFERROR(__xludf.DUMMYFUNCTION("""COMPUTED_VALUE"""),"New Corella")</f>
        <v>New Corella</v>
      </c>
      <c r="F122" s="142" t="str">
        <f>IFERROR(__xludf.DUMMYFUNCTION("""COMPUTED_VALUE"""),"City of Panabo")</f>
        <v>City of Panabo</v>
      </c>
      <c r="G122" s="142" t="str">
        <f>IFERROR(__xludf.DUMMYFUNCTION("""COMPUTED_VALUE"""),"Island Garden City of Samal")</f>
        <v>Island Garden City of Samal</v>
      </c>
      <c r="H122" s="142" t="str">
        <f>IFERROR(__xludf.DUMMYFUNCTION("""COMPUTED_VALUE"""),"Santo Tomas")</f>
        <v>Santo Tomas</v>
      </c>
      <c r="I122" s="142" t="str">
        <f>IFERROR(__xludf.DUMMYFUNCTION("""COMPUTED_VALUE"""),"City of Tagum")</f>
        <v>City of Tagum</v>
      </c>
      <c r="J122" s="142" t="str">
        <f>IFERROR(__xludf.DUMMYFUNCTION("""COMPUTED_VALUE"""),"Talaingod")</f>
        <v>Talaingod</v>
      </c>
      <c r="K122" s="142" t="str">
        <f>IFERROR(__xludf.DUMMYFUNCTION("""COMPUTED_VALUE"""),"Braulio E. Dujali")</f>
        <v>Braulio E. Dujali</v>
      </c>
      <c r="L122" s="142" t="str">
        <f>IFERROR(__xludf.DUMMYFUNCTION("""COMPUTED_VALUE"""),"San Isidro")</f>
        <v>San Isidro</v>
      </c>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row>
    <row r="123">
      <c r="A123" s="142" t="s">
        <v>626</v>
      </c>
      <c r="B123" s="142" t="str">
        <f>IFERROR(__xludf.DUMMYFUNCTION("""COMPUTED_VALUE"""),"City of Bacolod")</f>
        <v>City of Bacolod</v>
      </c>
      <c r="C123" s="142" t="str">
        <f>IFERROR(__xludf.DUMMYFUNCTION("""COMPUTED_VALUE"""),"City of Bago")</f>
        <v>City of Bago</v>
      </c>
      <c r="D123" s="142" t="str">
        <f>IFERROR(__xludf.DUMMYFUNCTION("""COMPUTED_VALUE"""),"Binalbagan")</f>
        <v>Binalbagan</v>
      </c>
      <c r="E123" s="142" t="str">
        <f>IFERROR(__xludf.DUMMYFUNCTION("""COMPUTED_VALUE"""),"City of Cadiz")</f>
        <v>City of Cadiz</v>
      </c>
      <c r="F123" s="142" t="str">
        <f>IFERROR(__xludf.DUMMYFUNCTION("""COMPUTED_VALUE"""),"Calatrava")</f>
        <v>Calatrava</v>
      </c>
      <c r="G123" s="142" t="str">
        <f>IFERROR(__xludf.DUMMYFUNCTION("""COMPUTED_VALUE"""),"Candoni")</f>
        <v>Candoni</v>
      </c>
      <c r="H123" s="142" t="str">
        <f>IFERROR(__xludf.DUMMYFUNCTION("""COMPUTED_VALUE"""),"Cauayan")</f>
        <v>Cauayan</v>
      </c>
      <c r="I123" s="142" t="str">
        <f>IFERROR(__xludf.DUMMYFUNCTION("""COMPUTED_VALUE"""),"Enrique B. Magalona")</f>
        <v>Enrique B. Magalona</v>
      </c>
      <c r="J123" s="142" t="str">
        <f>IFERROR(__xludf.DUMMYFUNCTION("""COMPUTED_VALUE"""),"City of Escalante")</f>
        <v>City of Escalante</v>
      </c>
      <c r="K123" s="142" t="str">
        <f>IFERROR(__xludf.DUMMYFUNCTION("""COMPUTED_VALUE"""),"City of Himamaylan")</f>
        <v>City of Himamaylan</v>
      </c>
      <c r="L123" s="142" t="str">
        <f>IFERROR(__xludf.DUMMYFUNCTION("""COMPUTED_VALUE"""),"Hinigaran")</f>
        <v>Hinigaran</v>
      </c>
      <c r="M123" s="142" t="str">
        <f>IFERROR(__xludf.DUMMYFUNCTION("""COMPUTED_VALUE"""),"Hinoba-an")</f>
        <v>Hinoba-an</v>
      </c>
      <c r="N123" s="142" t="str">
        <f>IFERROR(__xludf.DUMMYFUNCTION("""COMPUTED_VALUE"""),"Ilog")</f>
        <v>Ilog</v>
      </c>
      <c r="O123" s="142" t="str">
        <f>IFERROR(__xludf.DUMMYFUNCTION("""COMPUTED_VALUE"""),"Isabela")</f>
        <v>Isabela</v>
      </c>
      <c r="P123" s="142" t="str">
        <f>IFERROR(__xludf.DUMMYFUNCTION("""COMPUTED_VALUE"""),"City of Kabankalan")</f>
        <v>City of Kabankalan</v>
      </c>
      <c r="Q123" s="142" t="str">
        <f>IFERROR(__xludf.DUMMYFUNCTION("""COMPUTED_VALUE"""),"City of La Carlota")</f>
        <v>City of La Carlota</v>
      </c>
      <c r="R123" s="142" t="str">
        <f>IFERROR(__xludf.DUMMYFUNCTION("""COMPUTED_VALUE"""),"La Castellana")</f>
        <v>La Castellana</v>
      </c>
      <c r="S123" s="142" t="str">
        <f>IFERROR(__xludf.DUMMYFUNCTION("""COMPUTED_VALUE"""),"Manapla")</f>
        <v>Manapla</v>
      </c>
      <c r="T123" s="142" t="str">
        <f>IFERROR(__xludf.DUMMYFUNCTION("""COMPUTED_VALUE"""),"Moises Padilla")</f>
        <v>Moises Padilla</v>
      </c>
      <c r="U123" s="142" t="str">
        <f>IFERROR(__xludf.DUMMYFUNCTION("""COMPUTED_VALUE"""),"Murcia")</f>
        <v>Murcia</v>
      </c>
      <c r="V123" s="142" t="str">
        <f>IFERROR(__xludf.DUMMYFUNCTION("""COMPUTED_VALUE"""),"Pontevedra")</f>
        <v>Pontevedra</v>
      </c>
      <c r="W123" s="142" t="str">
        <f>IFERROR(__xludf.DUMMYFUNCTION("""COMPUTED_VALUE"""),"Pulupandan")</f>
        <v>Pulupandan</v>
      </c>
      <c r="X123" s="142" t="str">
        <f>IFERROR(__xludf.DUMMYFUNCTION("""COMPUTED_VALUE"""),"City of Sagay")</f>
        <v>City of Sagay</v>
      </c>
      <c r="Y123" s="142" t="str">
        <f>IFERROR(__xludf.DUMMYFUNCTION("""COMPUTED_VALUE"""),"City of San Carlos")</f>
        <v>City of San Carlos</v>
      </c>
      <c r="Z123" s="142" t="str">
        <f>IFERROR(__xludf.DUMMYFUNCTION("""COMPUTED_VALUE"""),"San Enrique")</f>
        <v>San Enrique</v>
      </c>
      <c r="AA123" s="142" t="str">
        <f>IFERROR(__xludf.DUMMYFUNCTION("""COMPUTED_VALUE"""),"City of Silay")</f>
        <v>City of Silay</v>
      </c>
      <c r="AB123" s="142" t="str">
        <f>IFERROR(__xludf.DUMMYFUNCTION("""COMPUTED_VALUE"""),"City of Sipalay")</f>
        <v>City of Sipalay</v>
      </c>
      <c r="AC123" s="142" t="str">
        <f>IFERROR(__xludf.DUMMYFUNCTION("""COMPUTED_VALUE"""),"City of Talisay")</f>
        <v>City of Talisay</v>
      </c>
      <c r="AD123" s="142" t="str">
        <f>IFERROR(__xludf.DUMMYFUNCTION("""COMPUTED_VALUE"""),"Toboso")</f>
        <v>Toboso</v>
      </c>
      <c r="AE123" s="142" t="str">
        <f>IFERROR(__xludf.DUMMYFUNCTION("""COMPUTED_VALUE"""),"Valladolid")</f>
        <v>Valladolid</v>
      </c>
      <c r="AF123" s="142" t="str">
        <f>IFERROR(__xludf.DUMMYFUNCTION("""COMPUTED_VALUE"""),"City of Victorias")</f>
        <v>City of Victorias</v>
      </c>
      <c r="AG123" s="142" t="str">
        <f>IFERROR(__xludf.DUMMYFUNCTION("""COMPUTED_VALUE"""),"Salvador Benedicto")</f>
        <v>Salvador Benedicto</v>
      </c>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row>
    <row r="124">
      <c r="A124" s="142" t="s">
        <v>632</v>
      </c>
      <c r="B124" s="142" t="str">
        <f>IFERROR(__xludf.DUMMYFUNCTION("""COMPUTED_VALUE"""),"Amlan")</f>
        <v>Amlan</v>
      </c>
      <c r="C124" s="142" t="str">
        <f>IFERROR(__xludf.DUMMYFUNCTION("""COMPUTED_VALUE"""),"Ayungon")</f>
        <v>Ayungon</v>
      </c>
      <c r="D124" s="142" t="str">
        <f>IFERROR(__xludf.DUMMYFUNCTION("""COMPUTED_VALUE"""),"Bacong")</f>
        <v>Bacong</v>
      </c>
      <c r="E124" s="142" t="str">
        <f>IFERROR(__xludf.DUMMYFUNCTION("""COMPUTED_VALUE"""),"City of Bais")</f>
        <v>City of Bais</v>
      </c>
      <c r="F124" s="142" t="str">
        <f>IFERROR(__xludf.DUMMYFUNCTION("""COMPUTED_VALUE"""),"Basay")</f>
        <v>Basay</v>
      </c>
      <c r="G124" s="142" t="str">
        <f>IFERROR(__xludf.DUMMYFUNCTION("""COMPUTED_VALUE"""),"City of Bayawan")</f>
        <v>City of Bayawan</v>
      </c>
      <c r="H124" s="142" t="str">
        <f>IFERROR(__xludf.DUMMYFUNCTION("""COMPUTED_VALUE"""),"Bindoy")</f>
        <v>Bindoy</v>
      </c>
      <c r="I124" s="142" t="str">
        <f>IFERROR(__xludf.DUMMYFUNCTION("""COMPUTED_VALUE"""),"City of Canlaon")</f>
        <v>City of Canlaon</v>
      </c>
      <c r="J124" s="142" t="str">
        <f>IFERROR(__xludf.DUMMYFUNCTION("""COMPUTED_VALUE"""),"Dauin")</f>
        <v>Dauin</v>
      </c>
      <c r="K124" s="142" t="str">
        <f>IFERROR(__xludf.DUMMYFUNCTION("""COMPUTED_VALUE"""),"City of Dumaguete")</f>
        <v>City of Dumaguete</v>
      </c>
      <c r="L124" s="142" t="str">
        <f>IFERROR(__xludf.DUMMYFUNCTION("""COMPUTED_VALUE"""),"City of Guihulngan")</f>
        <v>City of Guihulngan</v>
      </c>
      <c r="M124" s="142" t="str">
        <f>IFERROR(__xludf.DUMMYFUNCTION("""COMPUTED_VALUE"""),"Jimalalud")</f>
        <v>Jimalalud</v>
      </c>
      <c r="N124" s="142" t="str">
        <f>IFERROR(__xludf.DUMMYFUNCTION("""COMPUTED_VALUE"""),"La Libertad")</f>
        <v>La Libertad</v>
      </c>
      <c r="O124" s="142" t="str">
        <f>IFERROR(__xludf.DUMMYFUNCTION("""COMPUTED_VALUE"""),"Mabinay")</f>
        <v>Mabinay</v>
      </c>
      <c r="P124" s="142" t="str">
        <f>IFERROR(__xludf.DUMMYFUNCTION("""COMPUTED_VALUE"""),"Manjuyod")</f>
        <v>Manjuyod</v>
      </c>
      <c r="Q124" s="142" t="str">
        <f>IFERROR(__xludf.DUMMYFUNCTION("""COMPUTED_VALUE"""),"Pamplona")</f>
        <v>Pamplona</v>
      </c>
      <c r="R124" s="142" t="str">
        <f>IFERROR(__xludf.DUMMYFUNCTION("""COMPUTED_VALUE"""),"San Jose")</f>
        <v>San Jose</v>
      </c>
      <c r="S124" s="142" t="str">
        <f>IFERROR(__xludf.DUMMYFUNCTION("""COMPUTED_VALUE"""),"Santa Catalina")</f>
        <v>Santa Catalina</v>
      </c>
      <c r="T124" s="142" t="str">
        <f>IFERROR(__xludf.DUMMYFUNCTION("""COMPUTED_VALUE"""),"Siaton")</f>
        <v>Siaton</v>
      </c>
      <c r="U124" s="142" t="str">
        <f>IFERROR(__xludf.DUMMYFUNCTION("""COMPUTED_VALUE"""),"Sibulan")</f>
        <v>Sibulan</v>
      </c>
      <c r="V124" s="142" t="str">
        <f>IFERROR(__xludf.DUMMYFUNCTION("""COMPUTED_VALUE"""),"City of Tanjay")</f>
        <v>City of Tanjay</v>
      </c>
      <c r="W124" s="142" t="str">
        <f>IFERROR(__xludf.DUMMYFUNCTION("""COMPUTED_VALUE"""),"Tayasan")</f>
        <v>Tayasan</v>
      </c>
      <c r="X124" s="142" t="str">
        <f>IFERROR(__xludf.DUMMYFUNCTION("""COMPUTED_VALUE"""),"Valencia")</f>
        <v>Valencia</v>
      </c>
      <c r="Y124" s="142" t="str">
        <f>IFERROR(__xludf.DUMMYFUNCTION("""COMPUTED_VALUE"""),"Vallehermoso")</f>
        <v>Vallehermoso</v>
      </c>
      <c r="Z124" s="142" t="str">
        <f>IFERROR(__xludf.DUMMYFUNCTION("""COMPUTED_VALUE"""),"Zamboanguita")</f>
        <v>Zamboanguita</v>
      </c>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row>
    <row r="125">
      <c r="A125" s="142" t="s">
        <v>331</v>
      </c>
      <c r="B125" s="142" t="str">
        <f>IFERROR(__xludf.DUMMYFUNCTION("""COMPUTED_VALUE"""),"Asuncion")</f>
        <v>Asuncion</v>
      </c>
      <c r="C125" s="142" t="str">
        <f>IFERROR(__xludf.DUMMYFUNCTION("""COMPUTED_VALUE"""),"Carmen")</f>
        <v>Carmen</v>
      </c>
      <c r="D125" s="142" t="str">
        <f>IFERROR(__xludf.DUMMYFUNCTION("""COMPUTED_VALUE"""),"Kapalong")</f>
        <v>Kapalong</v>
      </c>
      <c r="E125" s="142" t="str">
        <f>IFERROR(__xludf.DUMMYFUNCTION("""COMPUTED_VALUE"""),"New Corella")</f>
        <v>New Corella</v>
      </c>
      <c r="F125" s="142" t="str">
        <f>IFERROR(__xludf.DUMMYFUNCTION("""COMPUTED_VALUE"""),"City of Panabo")</f>
        <v>City of Panabo</v>
      </c>
      <c r="G125" s="142" t="str">
        <f>IFERROR(__xludf.DUMMYFUNCTION("""COMPUTED_VALUE"""),"Island Garden City of Samal")</f>
        <v>Island Garden City of Samal</v>
      </c>
      <c r="H125" s="142" t="str">
        <f>IFERROR(__xludf.DUMMYFUNCTION("""COMPUTED_VALUE"""),"Santo Tomas")</f>
        <v>Santo Tomas</v>
      </c>
      <c r="I125" s="142" t="str">
        <f>IFERROR(__xludf.DUMMYFUNCTION("""COMPUTED_VALUE"""),"City of Tagum")</f>
        <v>City of Tagum</v>
      </c>
      <c r="J125" s="142" t="str">
        <f>IFERROR(__xludf.DUMMYFUNCTION("""COMPUTED_VALUE"""),"Talaingod")</f>
        <v>Talaingod</v>
      </c>
      <c r="K125" s="142" t="str">
        <f>IFERROR(__xludf.DUMMYFUNCTION("""COMPUTED_VALUE"""),"Braulio E. Dujali")</f>
        <v>Braulio E. Dujali</v>
      </c>
      <c r="L125" s="142" t="str">
        <f>IFERROR(__xludf.DUMMYFUNCTION("""COMPUTED_VALUE"""),"San Isidro")</f>
        <v>San Isidro</v>
      </c>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row>
    <row r="126">
      <c r="A126" s="142" t="s">
        <v>999</v>
      </c>
      <c r="B126" s="142" t="str">
        <f>IFERROR(__xludf.DUMMYFUNCTION("""COMPUTED_VALUE"""),"Baganga")</f>
        <v>Baganga</v>
      </c>
      <c r="C126" s="142" t="str">
        <f>IFERROR(__xludf.DUMMYFUNCTION("""COMPUTED_VALUE"""),"Banaybanay")</f>
        <v>Banaybanay</v>
      </c>
      <c r="D126" s="142" t="str">
        <f>IFERROR(__xludf.DUMMYFUNCTION("""COMPUTED_VALUE"""),"Boston")</f>
        <v>Boston</v>
      </c>
      <c r="E126" s="142" t="str">
        <f>IFERROR(__xludf.DUMMYFUNCTION("""COMPUTED_VALUE"""),"Caraga")</f>
        <v>Caraga</v>
      </c>
      <c r="F126" s="142" t="str">
        <f>IFERROR(__xludf.DUMMYFUNCTION("""COMPUTED_VALUE"""),"Cateel")</f>
        <v>Cateel</v>
      </c>
      <c r="G126" s="142" t="str">
        <f>IFERROR(__xludf.DUMMYFUNCTION("""COMPUTED_VALUE"""),"Governor Generoso")</f>
        <v>Governor Generoso</v>
      </c>
      <c r="H126" s="142" t="str">
        <f>IFERROR(__xludf.DUMMYFUNCTION("""COMPUTED_VALUE"""),"Lupon")</f>
        <v>Lupon</v>
      </c>
      <c r="I126" s="142" t="str">
        <f>IFERROR(__xludf.DUMMYFUNCTION("""COMPUTED_VALUE"""),"Manay")</f>
        <v>Manay</v>
      </c>
      <c r="J126" s="142" t="str">
        <f>IFERROR(__xludf.DUMMYFUNCTION("""COMPUTED_VALUE"""),"City of Mati")</f>
        <v>City of Mati</v>
      </c>
      <c r="K126" s="142" t="str">
        <f>IFERROR(__xludf.DUMMYFUNCTION("""COMPUTED_VALUE"""),"San Isidro")</f>
        <v>San Isidro</v>
      </c>
      <c r="L126" s="142" t="str">
        <f>IFERROR(__xludf.DUMMYFUNCTION("""COMPUTED_VALUE"""),"Tarragona")</f>
        <v>Tarragona</v>
      </c>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row>
    <row r="127">
      <c r="A127" s="142" t="s">
        <v>144</v>
      </c>
      <c r="B127" s="142" t="str">
        <f>IFERROR(__xludf.DUMMYFUNCTION("""COMPUTED_VALUE"""),"Agno")</f>
        <v>Agno</v>
      </c>
      <c r="C127" s="142" t="str">
        <f>IFERROR(__xludf.DUMMYFUNCTION("""COMPUTED_VALUE"""),"Aguilar")</f>
        <v>Aguilar</v>
      </c>
      <c r="D127" s="142" t="str">
        <f>IFERROR(__xludf.DUMMYFUNCTION("""COMPUTED_VALUE"""),"City of Alaminos")</f>
        <v>City of Alaminos</v>
      </c>
      <c r="E127" s="142" t="str">
        <f>IFERROR(__xludf.DUMMYFUNCTION("""COMPUTED_VALUE"""),"Alcala")</f>
        <v>Alcala</v>
      </c>
      <c r="F127" s="142" t="str">
        <f>IFERROR(__xludf.DUMMYFUNCTION("""COMPUTED_VALUE"""),"Anda")</f>
        <v>Anda</v>
      </c>
      <c r="G127" s="142" t="str">
        <f>IFERROR(__xludf.DUMMYFUNCTION("""COMPUTED_VALUE"""),"Asingan")</f>
        <v>Asingan</v>
      </c>
      <c r="H127" s="142" t="str">
        <f>IFERROR(__xludf.DUMMYFUNCTION("""COMPUTED_VALUE"""),"Balungao")</f>
        <v>Balungao</v>
      </c>
      <c r="I127" s="142" t="str">
        <f>IFERROR(__xludf.DUMMYFUNCTION("""COMPUTED_VALUE"""),"Bani")</f>
        <v>Bani</v>
      </c>
      <c r="J127" s="142" t="str">
        <f>IFERROR(__xludf.DUMMYFUNCTION("""COMPUTED_VALUE"""),"Basista")</f>
        <v>Basista</v>
      </c>
      <c r="K127" s="142" t="str">
        <f>IFERROR(__xludf.DUMMYFUNCTION("""COMPUTED_VALUE"""),"Bautista")</f>
        <v>Bautista</v>
      </c>
      <c r="L127" s="142" t="str">
        <f>IFERROR(__xludf.DUMMYFUNCTION("""COMPUTED_VALUE"""),"Bayambang")</f>
        <v>Bayambang</v>
      </c>
      <c r="M127" s="142" t="str">
        <f>IFERROR(__xludf.DUMMYFUNCTION("""COMPUTED_VALUE"""),"Binalonan")</f>
        <v>Binalonan</v>
      </c>
      <c r="N127" s="142" t="str">
        <f>IFERROR(__xludf.DUMMYFUNCTION("""COMPUTED_VALUE"""),"Binmaley")</f>
        <v>Binmaley</v>
      </c>
      <c r="O127" s="142" t="str">
        <f>IFERROR(__xludf.DUMMYFUNCTION("""COMPUTED_VALUE"""),"Bolinao")</f>
        <v>Bolinao</v>
      </c>
      <c r="P127" s="142" t="str">
        <f>IFERROR(__xludf.DUMMYFUNCTION("""COMPUTED_VALUE"""),"Bugallon")</f>
        <v>Bugallon</v>
      </c>
      <c r="Q127" s="142" t="str">
        <f>IFERROR(__xludf.DUMMYFUNCTION("""COMPUTED_VALUE"""),"Burgos")</f>
        <v>Burgos</v>
      </c>
      <c r="R127" s="142" t="str">
        <f>IFERROR(__xludf.DUMMYFUNCTION("""COMPUTED_VALUE"""),"Calasiao")</f>
        <v>Calasiao</v>
      </c>
      <c r="S127" s="142" t="str">
        <f>IFERROR(__xludf.DUMMYFUNCTION("""COMPUTED_VALUE"""),"City of Dagupan")</f>
        <v>City of Dagupan</v>
      </c>
      <c r="T127" s="142" t="str">
        <f>IFERROR(__xludf.DUMMYFUNCTION("""COMPUTED_VALUE"""),"Dasol")</f>
        <v>Dasol</v>
      </c>
      <c r="U127" s="142" t="str">
        <f>IFERROR(__xludf.DUMMYFUNCTION("""COMPUTED_VALUE"""),"Infanta")</f>
        <v>Infanta</v>
      </c>
      <c r="V127" s="142" t="str">
        <f>IFERROR(__xludf.DUMMYFUNCTION("""COMPUTED_VALUE"""),"Labrador")</f>
        <v>Labrador</v>
      </c>
      <c r="W127" s="142" t="str">
        <f>IFERROR(__xludf.DUMMYFUNCTION("""COMPUTED_VALUE"""),"Lingayen")</f>
        <v>Lingayen</v>
      </c>
      <c r="X127" s="142" t="str">
        <f>IFERROR(__xludf.DUMMYFUNCTION("""COMPUTED_VALUE"""),"Mabini")</f>
        <v>Mabini</v>
      </c>
      <c r="Y127" s="142" t="str">
        <f>IFERROR(__xludf.DUMMYFUNCTION("""COMPUTED_VALUE"""),"Malasiqui")</f>
        <v>Malasiqui</v>
      </c>
      <c r="Z127" s="142" t="str">
        <f>IFERROR(__xludf.DUMMYFUNCTION("""COMPUTED_VALUE"""),"Manaoag")</f>
        <v>Manaoag</v>
      </c>
      <c r="AA127" s="142" t="str">
        <f>IFERROR(__xludf.DUMMYFUNCTION("""COMPUTED_VALUE"""),"Mangaldan")</f>
        <v>Mangaldan</v>
      </c>
      <c r="AB127" s="142" t="str">
        <f>IFERROR(__xludf.DUMMYFUNCTION("""COMPUTED_VALUE"""),"Mangatarem")</f>
        <v>Mangatarem</v>
      </c>
      <c r="AC127" s="142" t="str">
        <f>IFERROR(__xludf.DUMMYFUNCTION("""COMPUTED_VALUE"""),"Mapandan")</f>
        <v>Mapandan</v>
      </c>
      <c r="AD127" s="142" t="str">
        <f>IFERROR(__xludf.DUMMYFUNCTION("""COMPUTED_VALUE"""),"Natividad")</f>
        <v>Natividad</v>
      </c>
      <c r="AE127" s="142" t="str">
        <f>IFERROR(__xludf.DUMMYFUNCTION("""COMPUTED_VALUE"""),"Pozorrubio")</f>
        <v>Pozorrubio</v>
      </c>
      <c r="AF127" s="142" t="str">
        <f>IFERROR(__xludf.DUMMYFUNCTION("""COMPUTED_VALUE"""),"Rosales")</f>
        <v>Rosales</v>
      </c>
      <c r="AG127" s="142" t="str">
        <f>IFERROR(__xludf.DUMMYFUNCTION("""COMPUTED_VALUE"""),"City of San Carlos")</f>
        <v>City of San Carlos</v>
      </c>
      <c r="AH127" s="142" t="str">
        <f>IFERROR(__xludf.DUMMYFUNCTION("""COMPUTED_VALUE"""),"San Fabian")</f>
        <v>San Fabian</v>
      </c>
      <c r="AI127" s="142" t="str">
        <f>IFERROR(__xludf.DUMMYFUNCTION("""COMPUTED_VALUE"""),"San Jacinto")</f>
        <v>San Jacinto</v>
      </c>
      <c r="AJ127" s="142" t="str">
        <f>IFERROR(__xludf.DUMMYFUNCTION("""COMPUTED_VALUE"""),"San Manuel")</f>
        <v>San Manuel</v>
      </c>
      <c r="AK127" s="142" t="str">
        <f>IFERROR(__xludf.DUMMYFUNCTION("""COMPUTED_VALUE"""),"San Nicolas")</f>
        <v>San Nicolas</v>
      </c>
      <c r="AL127" s="142" t="str">
        <f>IFERROR(__xludf.DUMMYFUNCTION("""COMPUTED_VALUE"""),"San Quintin")</f>
        <v>San Quintin</v>
      </c>
      <c r="AM127" s="142" t="str">
        <f>IFERROR(__xludf.DUMMYFUNCTION("""COMPUTED_VALUE"""),"Santa Barbara")</f>
        <v>Santa Barbara</v>
      </c>
      <c r="AN127" s="142" t="str">
        <f>IFERROR(__xludf.DUMMYFUNCTION("""COMPUTED_VALUE"""),"Santa Maria")</f>
        <v>Santa Maria</v>
      </c>
      <c r="AO127" s="142" t="str">
        <f>IFERROR(__xludf.DUMMYFUNCTION("""COMPUTED_VALUE"""),"Santo Tomas")</f>
        <v>Santo Tomas</v>
      </c>
      <c r="AP127" s="142" t="str">
        <f>IFERROR(__xludf.DUMMYFUNCTION("""COMPUTED_VALUE"""),"Sison")</f>
        <v>Sison</v>
      </c>
      <c r="AQ127" s="142" t="str">
        <f>IFERROR(__xludf.DUMMYFUNCTION("""COMPUTED_VALUE"""),"Sual")</f>
        <v>Sual</v>
      </c>
      <c r="AR127" s="142" t="str">
        <f>IFERROR(__xludf.DUMMYFUNCTION("""COMPUTED_VALUE"""),"Tayug")</f>
        <v>Tayug</v>
      </c>
      <c r="AS127" s="142" t="str">
        <f>IFERROR(__xludf.DUMMYFUNCTION("""COMPUTED_VALUE"""),"Umingan")</f>
        <v>Umingan</v>
      </c>
      <c r="AT127" s="142" t="str">
        <f>IFERROR(__xludf.DUMMYFUNCTION("""COMPUTED_VALUE"""),"Urbiztondo")</f>
        <v>Urbiztondo</v>
      </c>
      <c r="AU127" s="142" t="str">
        <f>IFERROR(__xludf.DUMMYFUNCTION("""COMPUTED_VALUE"""),"City of Urdaneta")</f>
        <v>City of Urdaneta</v>
      </c>
      <c r="AV127" s="142" t="str">
        <f>IFERROR(__xludf.DUMMYFUNCTION("""COMPUTED_VALUE"""),"Villasis")</f>
        <v>Villasis</v>
      </c>
      <c r="AW127" s="142" t="str">
        <f>IFERROR(__xludf.DUMMYFUNCTION("""COMPUTED_VALUE"""),"Laoac")</f>
        <v>Laoac</v>
      </c>
      <c r="AX127" s="8"/>
      <c r="AY127" s="8"/>
      <c r="AZ127" s="8"/>
      <c r="BA127" s="8"/>
      <c r="BB127" s="8"/>
      <c r="BC127" s="8"/>
      <c r="BD127" s="8"/>
      <c r="BE127" s="8"/>
    </row>
    <row r="128">
      <c r="A128" s="142" t="s">
        <v>144</v>
      </c>
      <c r="B128" s="142" t="str">
        <f>IFERROR(__xludf.DUMMYFUNCTION("""COMPUTED_VALUE"""),"Agno")</f>
        <v>Agno</v>
      </c>
      <c r="C128" s="142" t="str">
        <f>IFERROR(__xludf.DUMMYFUNCTION("""COMPUTED_VALUE"""),"Aguilar")</f>
        <v>Aguilar</v>
      </c>
      <c r="D128" s="142" t="str">
        <f>IFERROR(__xludf.DUMMYFUNCTION("""COMPUTED_VALUE"""),"City of Alaminos")</f>
        <v>City of Alaminos</v>
      </c>
      <c r="E128" s="142" t="str">
        <f>IFERROR(__xludf.DUMMYFUNCTION("""COMPUTED_VALUE"""),"Alcala")</f>
        <v>Alcala</v>
      </c>
      <c r="F128" s="142" t="str">
        <f>IFERROR(__xludf.DUMMYFUNCTION("""COMPUTED_VALUE"""),"Anda")</f>
        <v>Anda</v>
      </c>
      <c r="G128" s="142" t="str">
        <f>IFERROR(__xludf.DUMMYFUNCTION("""COMPUTED_VALUE"""),"Asingan")</f>
        <v>Asingan</v>
      </c>
      <c r="H128" s="142" t="str">
        <f>IFERROR(__xludf.DUMMYFUNCTION("""COMPUTED_VALUE"""),"Balungao")</f>
        <v>Balungao</v>
      </c>
      <c r="I128" s="142" t="str">
        <f>IFERROR(__xludf.DUMMYFUNCTION("""COMPUTED_VALUE"""),"Bani")</f>
        <v>Bani</v>
      </c>
      <c r="J128" s="142" t="str">
        <f>IFERROR(__xludf.DUMMYFUNCTION("""COMPUTED_VALUE"""),"Basista")</f>
        <v>Basista</v>
      </c>
      <c r="K128" s="142" t="str">
        <f>IFERROR(__xludf.DUMMYFUNCTION("""COMPUTED_VALUE"""),"Bautista")</f>
        <v>Bautista</v>
      </c>
      <c r="L128" s="142" t="str">
        <f>IFERROR(__xludf.DUMMYFUNCTION("""COMPUTED_VALUE"""),"Bayambang")</f>
        <v>Bayambang</v>
      </c>
      <c r="M128" s="142" t="str">
        <f>IFERROR(__xludf.DUMMYFUNCTION("""COMPUTED_VALUE"""),"Binalonan")</f>
        <v>Binalonan</v>
      </c>
      <c r="N128" s="142" t="str">
        <f>IFERROR(__xludf.DUMMYFUNCTION("""COMPUTED_VALUE"""),"Binmaley")</f>
        <v>Binmaley</v>
      </c>
      <c r="O128" s="142" t="str">
        <f>IFERROR(__xludf.DUMMYFUNCTION("""COMPUTED_VALUE"""),"Bolinao")</f>
        <v>Bolinao</v>
      </c>
      <c r="P128" s="142" t="str">
        <f>IFERROR(__xludf.DUMMYFUNCTION("""COMPUTED_VALUE"""),"Bugallon")</f>
        <v>Bugallon</v>
      </c>
      <c r="Q128" s="142" t="str">
        <f>IFERROR(__xludf.DUMMYFUNCTION("""COMPUTED_VALUE"""),"Burgos")</f>
        <v>Burgos</v>
      </c>
      <c r="R128" s="142" t="str">
        <f>IFERROR(__xludf.DUMMYFUNCTION("""COMPUTED_VALUE"""),"Calasiao")</f>
        <v>Calasiao</v>
      </c>
      <c r="S128" s="142" t="str">
        <f>IFERROR(__xludf.DUMMYFUNCTION("""COMPUTED_VALUE"""),"City of Dagupan")</f>
        <v>City of Dagupan</v>
      </c>
      <c r="T128" s="142" t="str">
        <f>IFERROR(__xludf.DUMMYFUNCTION("""COMPUTED_VALUE"""),"Dasol")</f>
        <v>Dasol</v>
      </c>
      <c r="U128" s="142" t="str">
        <f>IFERROR(__xludf.DUMMYFUNCTION("""COMPUTED_VALUE"""),"Infanta")</f>
        <v>Infanta</v>
      </c>
      <c r="V128" s="142" t="str">
        <f>IFERROR(__xludf.DUMMYFUNCTION("""COMPUTED_VALUE"""),"Labrador")</f>
        <v>Labrador</v>
      </c>
      <c r="W128" s="142" t="str">
        <f>IFERROR(__xludf.DUMMYFUNCTION("""COMPUTED_VALUE"""),"Lingayen")</f>
        <v>Lingayen</v>
      </c>
      <c r="X128" s="142" t="str">
        <f>IFERROR(__xludf.DUMMYFUNCTION("""COMPUTED_VALUE"""),"Mabini")</f>
        <v>Mabini</v>
      </c>
      <c r="Y128" s="142" t="str">
        <f>IFERROR(__xludf.DUMMYFUNCTION("""COMPUTED_VALUE"""),"Malasiqui")</f>
        <v>Malasiqui</v>
      </c>
      <c r="Z128" s="142" t="str">
        <f>IFERROR(__xludf.DUMMYFUNCTION("""COMPUTED_VALUE"""),"Manaoag")</f>
        <v>Manaoag</v>
      </c>
      <c r="AA128" s="142" t="str">
        <f>IFERROR(__xludf.DUMMYFUNCTION("""COMPUTED_VALUE"""),"Mangaldan")</f>
        <v>Mangaldan</v>
      </c>
      <c r="AB128" s="142" t="str">
        <f>IFERROR(__xludf.DUMMYFUNCTION("""COMPUTED_VALUE"""),"Mangatarem")</f>
        <v>Mangatarem</v>
      </c>
      <c r="AC128" s="142" t="str">
        <f>IFERROR(__xludf.DUMMYFUNCTION("""COMPUTED_VALUE"""),"Mapandan")</f>
        <v>Mapandan</v>
      </c>
      <c r="AD128" s="142" t="str">
        <f>IFERROR(__xludf.DUMMYFUNCTION("""COMPUTED_VALUE"""),"Natividad")</f>
        <v>Natividad</v>
      </c>
      <c r="AE128" s="142" t="str">
        <f>IFERROR(__xludf.DUMMYFUNCTION("""COMPUTED_VALUE"""),"Pozorrubio")</f>
        <v>Pozorrubio</v>
      </c>
      <c r="AF128" s="142" t="str">
        <f>IFERROR(__xludf.DUMMYFUNCTION("""COMPUTED_VALUE"""),"Rosales")</f>
        <v>Rosales</v>
      </c>
      <c r="AG128" s="142" t="str">
        <f>IFERROR(__xludf.DUMMYFUNCTION("""COMPUTED_VALUE"""),"City of San Carlos")</f>
        <v>City of San Carlos</v>
      </c>
      <c r="AH128" s="142" t="str">
        <f>IFERROR(__xludf.DUMMYFUNCTION("""COMPUTED_VALUE"""),"San Fabian")</f>
        <v>San Fabian</v>
      </c>
      <c r="AI128" s="142" t="str">
        <f>IFERROR(__xludf.DUMMYFUNCTION("""COMPUTED_VALUE"""),"San Jacinto")</f>
        <v>San Jacinto</v>
      </c>
      <c r="AJ128" s="142" t="str">
        <f>IFERROR(__xludf.DUMMYFUNCTION("""COMPUTED_VALUE"""),"San Manuel")</f>
        <v>San Manuel</v>
      </c>
      <c r="AK128" s="142" t="str">
        <f>IFERROR(__xludf.DUMMYFUNCTION("""COMPUTED_VALUE"""),"San Nicolas")</f>
        <v>San Nicolas</v>
      </c>
      <c r="AL128" s="142" t="str">
        <f>IFERROR(__xludf.DUMMYFUNCTION("""COMPUTED_VALUE"""),"San Quintin")</f>
        <v>San Quintin</v>
      </c>
      <c r="AM128" s="142" t="str">
        <f>IFERROR(__xludf.DUMMYFUNCTION("""COMPUTED_VALUE"""),"Santa Barbara")</f>
        <v>Santa Barbara</v>
      </c>
      <c r="AN128" s="142" t="str">
        <f>IFERROR(__xludf.DUMMYFUNCTION("""COMPUTED_VALUE"""),"Santa Maria")</f>
        <v>Santa Maria</v>
      </c>
      <c r="AO128" s="142" t="str">
        <f>IFERROR(__xludf.DUMMYFUNCTION("""COMPUTED_VALUE"""),"Santo Tomas")</f>
        <v>Santo Tomas</v>
      </c>
      <c r="AP128" s="142" t="str">
        <f>IFERROR(__xludf.DUMMYFUNCTION("""COMPUTED_VALUE"""),"Sison")</f>
        <v>Sison</v>
      </c>
      <c r="AQ128" s="142" t="str">
        <f>IFERROR(__xludf.DUMMYFUNCTION("""COMPUTED_VALUE"""),"Sual")</f>
        <v>Sual</v>
      </c>
      <c r="AR128" s="142" t="str">
        <f>IFERROR(__xludf.DUMMYFUNCTION("""COMPUTED_VALUE"""),"Tayug")</f>
        <v>Tayug</v>
      </c>
      <c r="AS128" s="142" t="str">
        <f>IFERROR(__xludf.DUMMYFUNCTION("""COMPUTED_VALUE"""),"Umingan")</f>
        <v>Umingan</v>
      </c>
      <c r="AT128" s="142" t="str">
        <f>IFERROR(__xludf.DUMMYFUNCTION("""COMPUTED_VALUE"""),"Urbiztondo")</f>
        <v>Urbiztondo</v>
      </c>
      <c r="AU128" s="142" t="str">
        <f>IFERROR(__xludf.DUMMYFUNCTION("""COMPUTED_VALUE"""),"City of Urdaneta")</f>
        <v>City of Urdaneta</v>
      </c>
      <c r="AV128" s="142" t="str">
        <f>IFERROR(__xludf.DUMMYFUNCTION("""COMPUTED_VALUE"""),"Villasis")</f>
        <v>Villasis</v>
      </c>
      <c r="AW128" s="142" t="str">
        <f>IFERROR(__xludf.DUMMYFUNCTION("""COMPUTED_VALUE"""),"Laoac")</f>
        <v>Laoac</v>
      </c>
      <c r="AX128" s="8"/>
      <c r="AY128" s="8"/>
      <c r="AZ128" s="8"/>
      <c r="BA128" s="8"/>
      <c r="BB128" s="8"/>
      <c r="BC128" s="8"/>
      <c r="BD128" s="8"/>
      <c r="BE128" s="8"/>
    </row>
    <row r="129">
      <c r="A129" s="142" t="s">
        <v>144</v>
      </c>
      <c r="B129" s="142" t="str">
        <f>IFERROR(__xludf.DUMMYFUNCTION("""COMPUTED_VALUE"""),"Agno")</f>
        <v>Agno</v>
      </c>
      <c r="C129" s="142" t="str">
        <f>IFERROR(__xludf.DUMMYFUNCTION("""COMPUTED_VALUE"""),"Aguilar")</f>
        <v>Aguilar</v>
      </c>
      <c r="D129" s="142" t="str">
        <f>IFERROR(__xludf.DUMMYFUNCTION("""COMPUTED_VALUE"""),"City of Alaminos")</f>
        <v>City of Alaminos</v>
      </c>
      <c r="E129" s="142" t="str">
        <f>IFERROR(__xludf.DUMMYFUNCTION("""COMPUTED_VALUE"""),"Alcala")</f>
        <v>Alcala</v>
      </c>
      <c r="F129" s="142" t="str">
        <f>IFERROR(__xludf.DUMMYFUNCTION("""COMPUTED_VALUE"""),"Anda")</f>
        <v>Anda</v>
      </c>
      <c r="G129" s="142" t="str">
        <f>IFERROR(__xludf.DUMMYFUNCTION("""COMPUTED_VALUE"""),"Asingan")</f>
        <v>Asingan</v>
      </c>
      <c r="H129" s="142" t="str">
        <f>IFERROR(__xludf.DUMMYFUNCTION("""COMPUTED_VALUE"""),"Balungao")</f>
        <v>Balungao</v>
      </c>
      <c r="I129" s="142" t="str">
        <f>IFERROR(__xludf.DUMMYFUNCTION("""COMPUTED_VALUE"""),"Bani")</f>
        <v>Bani</v>
      </c>
      <c r="J129" s="142" t="str">
        <f>IFERROR(__xludf.DUMMYFUNCTION("""COMPUTED_VALUE"""),"Basista")</f>
        <v>Basista</v>
      </c>
      <c r="K129" s="142" t="str">
        <f>IFERROR(__xludf.DUMMYFUNCTION("""COMPUTED_VALUE"""),"Bautista")</f>
        <v>Bautista</v>
      </c>
      <c r="L129" s="142" t="str">
        <f>IFERROR(__xludf.DUMMYFUNCTION("""COMPUTED_VALUE"""),"Bayambang")</f>
        <v>Bayambang</v>
      </c>
      <c r="M129" s="142" t="str">
        <f>IFERROR(__xludf.DUMMYFUNCTION("""COMPUTED_VALUE"""),"Binalonan")</f>
        <v>Binalonan</v>
      </c>
      <c r="N129" s="142" t="str">
        <f>IFERROR(__xludf.DUMMYFUNCTION("""COMPUTED_VALUE"""),"Binmaley")</f>
        <v>Binmaley</v>
      </c>
      <c r="O129" s="142" t="str">
        <f>IFERROR(__xludf.DUMMYFUNCTION("""COMPUTED_VALUE"""),"Bolinao")</f>
        <v>Bolinao</v>
      </c>
      <c r="P129" s="142" t="str">
        <f>IFERROR(__xludf.DUMMYFUNCTION("""COMPUTED_VALUE"""),"Bugallon")</f>
        <v>Bugallon</v>
      </c>
      <c r="Q129" s="142" t="str">
        <f>IFERROR(__xludf.DUMMYFUNCTION("""COMPUTED_VALUE"""),"Burgos")</f>
        <v>Burgos</v>
      </c>
      <c r="R129" s="142" t="str">
        <f>IFERROR(__xludf.DUMMYFUNCTION("""COMPUTED_VALUE"""),"Calasiao")</f>
        <v>Calasiao</v>
      </c>
      <c r="S129" s="142" t="str">
        <f>IFERROR(__xludf.DUMMYFUNCTION("""COMPUTED_VALUE"""),"City of Dagupan")</f>
        <v>City of Dagupan</v>
      </c>
      <c r="T129" s="142" t="str">
        <f>IFERROR(__xludf.DUMMYFUNCTION("""COMPUTED_VALUE"""),"Dasol")</f>
        <v>Dasol</v>
      </c>
      <c r="U129" s="142" t="str">
        <f>IFERROR(__xludf.DUMMYFUNCTION("""COMPUTED_VALUE"""),"Infanta")</f>
        <v>Infanta</v>
      </c>
      <c r="V129" s="142" t="str">
        <f>IFERROR(__xludf.DUMMYFUNCTION("""COMPUTED_VALUE"""),"Labrador")</f>
        <v>Labrador</v>
      </c>
      <c r="W129" s="142" t="str">
        <f>IFERROR(__xludf.DUMMYFUNCTION("""COMPUTED_VALUE"""),"Lingayen")</f>
        <v>Lingayen</v>
      </c>
      <c r="X129" s="142" t="str">
        <f>IFERROR(__xludf.DUMMYFUNCTION("""COMPUTED_VALUE"""),"Mabini")</f>
        <v>Mabini</v>
      </c>
      <c r="Y129" s="142" t="str">
        <f>IFERROR(__xludf.DUMMYFUNCTION("""COMPUTED_VALUE"""),"Malasiqui")</f>
        <v>Malasiqui</v>
      </c>
      <c r="Z129" s="142" t="str">
        <f>IFERROR(__xludf.DUMMYFUNCTION("""COMPUTED_VALUE"""),"Manaoag")</f>
        <v>Manaoag</v>
      </c>
      <c r="AA129" s="142" t="str">
        <f>IFERROR(__xludf.DUMMYFUNCTION("""COMPUTED_VALUE"""),"Mangaldan")</f>
        <v>Mangaldan</v>
      </c>
      <c r="AB129" s="142" t="str">
        <f>IFERROR(__xludf.DUMMYFUNCTION("""COMPUTED_VALUE"""),"Mangatarem")</f>
        <v>Mangatarem</v>
      </c>
      <c r="AC129" s="142" t="str">
        <f>IFERROR(__xludf.DUMMYFUNCTION("""COMPUTED_VALUE"""),"Mapandan")</f>
        <v>Mapandan</v>
      </c>
      <c r="AD129" s="142" t="str">
        <f>IFERROR(__xludf.DUMMYFUNCTION("""COMPUTED_VALUE"""),"Natividad")</f>
        <v>Natividad</v>
      </c>
      <c r="AE129" s="142" t="str">
        <f>IFERROR(__xludf.DUMMYFUNCTION("""COMPUTED_VALUE"""),"Pozorrubio")</f>
        <v>Pozorrubio</v>
      </c>
      <c r="AF129" s="142" t="str">
        <f>IFERROR(__xludf.DUMMYFUNCTION("""COMPUTED_VALUE"""),"Rosales")</f>
        <v>Rosales</v>
      </c>
      <c r="AG129" s="142" t="str">
        <f>IFERROR(__xludf.DUMMYFUNCTION("""COMPUTED_VALUE"""),"City of San Carlos")</f>
        <v>City of San Carlos</v>
      </c>
      <c r="AH129" s="142" t="str">
        <f>IFERROR(__xludf.DUMMYFUNCTION("""COMPUTED_VALUE"""),"San Fabian")</f>
        <v>San Fabian</v>
      </c>
      <c r="AI129" s="142" t="str">
        <f>IFERROR(__xludf.DUMMYFUNCTION("""COMPUTED_VALUE"""),"San Jacinto")</f>
        <v>San Jacinto</v>
      </c>
      <c r="AJ129" s="142" t="str">
        <f>IFERROR(__xludf.DUMMYFUNCTION("""COMPUTED_VALUE"""),"San Manuel")</f>
        <v>San Manuel</v>
      </c>
      <c r="AK129" s="142" t="str">
        <f>IFERROR(__xludf.DUMMYFUNCTION("""COMPUTED_VALUE"""),"San Nicolas")</f>
        <v>San Nicolas</v>
      </c>
      <c r="AL129" s="142" t="str">
        <f>IFERROR(__xludf.DUMMYFUNCTION("""COMPUTED_VALUE"""),"San Quintin")</f>
        <v>San Quintin</v>
      </c>
      <c r="AM129" s="142" t="str">
        <f>IFERROR(__xludf.DUMMYFUNCTION("""COMPUTED_VALUE"""),"Santa Barbara")</f>
        <v>Santa Barbara</v>
      </c>
      <c r="AN129" s="142" t="str">
        <f>IFERROR(__xludf.DUMMYFUNCTION("""COMPUTED_VALUE"""),"Santa Maria")</f>
        <v>Santa Maria</v>
      </c>
      <c r="AO129" s="142" t="str">
        <f>IFERROR(__xludf.DUMMYFUNCTION("""COMPUTED_VALUE"""),"Santo Tomas")</f>
        <v>Santo Tomas</v>
      </c>
      <c r="AP129" s="142" t="str">
        <f>IFERROR(__xludf.DUMMYFUNCTION("""COMPUTED_VALUE"""),"Sison")</f>
        <v>Sison</v>
      </c>
      <c r="AQ129" s="142" t="str">
        <f>IFERROR(__xludf.DUMMYFUNCTION("""COMPUTED_VALUE"""),"Sual")</f>
        <v>Sual</v>
      </c>
      <c r="AR129" s="142" t="str">
        <f>IFERROR(__xludf.DUMMYFUNCTION("""COMPUTED_VALUE"""),"Tayug")</f>
        <v>Tayug</v>
      </c>
      <c r="AS129" s="142" t="str">
        <f>IFERROR(__xludf.DUMMYFUNCTION("""COMPUTED_VALUE"""),"Umingan")</f>
        <v>Umingan</v>
      </c>
      <c r="AT129" s="142" t="str">
        <f>IFERROR(__xludf.DUMMYFUNCTION("""COMPUTED_VALUE"""),"Urbiztondo")</f>
        <v>Urbiztondo</v>
      </c>
      <c r="AU129" s="142" t="str">
        <f>IFERROR(__xludf.DUMMYFUNCTION("""COMPUTED_VALUE"""),"City of Urdaneta")</f>
        <v>City of Urdaneta</v>
      </c>
      <c r="AV129" s="142" t="str">
        <f>IFERROR(__xludf.DUMMYFUNCTION("""COMPUTED_VALUE"""),"Villasis")</f>
        <v>Villasis</v>
      </c>
      <c r="AW129" s="142" t="str">
        <f>IFERROR(__xludf.DUMMYFUNCTION("""COMPUTED_VALUE"""),"Laoac")</f>
        <v>Laoac</v>
      </c>
      <c r="AX129" s="8"/>
      <c r="AY129" s="8"/>
      <c r="AZ129" s="8"/>
      <c r="BA129" s="8"/>
      <c r="BB129" s="8"/>
      <c r="BC129" s="8"/>
      <c r="BD129" s="8"/>
      <c r="BE129" s="8"/>
    </row>
    <row r="130">
      <c r="A130" s="142" t="s">
        <v>144</v>
      </c>
      <c r="B130" s="142" t="str">
        <f>IFERROR(__xludf.DUMMYFUNCTION("""COMPUTED_VALUE"""),"Agno")</f>
        <v>Agno</v>
      </c>
      <c r="C130" s="142" t="str">
        <f>IFERROR(__xludf.DUMMYFUNCTION("""COMPUTED_VALUE"""),"Aguilar")</f>
        <v>Aguilar</v>
      </c>
      <c r="D130" s="142" t="str">
        <f>IFERROR(__xludf.DUMMYFUNCTION("""COMPUTED_VALUE"""),"City of Alaminos")</f>
        <v>City of Alaminos</v>
      </c>
      <c r="E130" s="142" t="str">
        <f>IFERROR(__xludf.DUMMYFUNCTION("""COMPUTED_VALUE"""),"Alcala")</f>
        <v>Alcala</v>
      </c>
      <c r="F130" s="142" t="str">
        <f>IFERROR(__xludf.DUMMYFUNCTION("""COMPUTED_VALUE"""),"Anda")</f>
        <v>Anda</v>
      </c>
      <c r="G130" s="142" t="str">
        <f>IFERROR(__xludf.DUMMYFUNCTION("""COMPUTED_VALUE"""),"Asingan")</f>
        <v>Asingan</v>
      </c>
      <c r="H130" s="142" t="str">
        <f>IFERROR(__xludf.DUMMYFUNCTION("""COMPUTED_VALUE"""),"Balungao")</f>
        <v>Balungao</v>
      </c>
      <c r="I130" s="142" t="str">
        <f>IFERROR(__xludf.DUMMYFUNCTION("""COMPUTED_VALUE"""),"Bani")</f>
        <v>Bani</v>
      </c>
      <c r="J130" s="142" t="str">
        <f>IFERROR(__xludf.DUMMYFUNCTION("""COMPUTED_VALUE"""),"Basista")</f>
        <v>Basista</v>
      </c>
      <c r="K130" s="142" t="str">
        <f>IFERROR(__xludf.DUMMYFUNCTION("""COMPUTED_VALUE"""),"Bautista")</f>
        <v>Bautista</v>
      </c>
      <c r="L130" s="142" t="str">
        <f>IFERROR(__xludf.DUMMYFUNCTION("""COMPUTED_VALUE"""),"Bayambang")</f>
        <v>Bayambang</v>
      </c>
      <c r="M130" s="142" t="str">
        <f>IFERROR(__xludf.DUMMYFUNCTION("""COMPUTED_VALUE"""),"Binalonan")</f>
        <v>Binalonan</v>
      </c>
      <c r="N130" s="142" t="str">
        <f>IFERROR(__xludf.DUMMYFUNCTION("""COMPUTED_VALUE"""),"Binmaley")</f>
        <v>Binmaley</v>
      </c>
      <c r="O130" s="142" t="str">
        <f>IFERROR(__xludf.DUMMYFUNCTION("""COMPUTED_VALUE"""),"Bolinao")</f>
        <v>Bolinao</v>
      </c>
      <c r="P130" s="142" t="str">
        <f>IFERROR(__xludf.DUMMYFUNCTION("""COMPUTED_VALUE"""),"Bugallon")</f>
        <v>Bugallon</v>
      </c>
      <c r="Q130" s="142" t="str">
        <f>IFERROR(__xludf.DUMMYFUNCTION("""COMPUTED_VALUE"""),"Burgos")</f>
        <v>Burgos</v>
      </c>
      <c r="R130" s="142" t="str">
        <f>IFERROR(__xludf.DUMMYFUNCTION("""COMPUTED_VALUE"""),"Calasiao")</f>
        <v>Calasiao</v>
      </c>
      <c r="S130" s="142" t="str">
        <f>IFERROR(__xludf.DUMMYFUNCTION("""COMPUTED_VALUE"""),"City of Dagupan")</f>
        <v>City of Dagupan</v>
      </c>
      <c r="T130" s="142" t="str">
        <f>IFERROR(__xludf.DUMMYFUNCTION("""COMPUTED_VALUE"""),"Dasol")</f>
        <v>Dasol</v>
      </c>
      <c r="U130" s="142" t="str">
        <f>IFERROR(__xludf.DUMMYFUNCTION("""COMPUTED_VALUE"""),"Infanta")</f>
        <v>Infanta</v>
      </c>
      <c r="V130" s="142" t="str">
        <f>IFERROR(__xludf.DUMMYFUNCTION("""COMPUTED_VALUE"""),"Labrador")</f>
        <v>Labrador</v>
      </c>
      <c r="W130" s="142" t="str">
        <f>IFERROR(__xludf.DUMMYFUNCTION("""COMPUTED_VALUE"""),"Lingayen")</f>
        <v>Lingayen</v>
      </c>
      <c r="X130" s="142" t="str">
        <f>IFERROR(__xludf.DUMMYFUNCTION("""COMPUTED_VALUE"""),"Mabini")</f>
        <v>Mabini</v>
      </c>
      <c r="Y130" s="142" t="str">
        <f>IFERROR(__xludf.DUMMYFUNCTION("""COMPUTED_VALUE"""),"Malasiqui")</f>
        <v>Malasiqui</v>
      </c>
      <c r="Z130" s="142" t="str">
        <f>IFERROR(__xludf.DUMMYFUNCTION("""COMPUTED_VALUE"""),"Manaoag")</f>
        <v>Manaoag</v>
      </c>
      <c r="AA130" s="142" t="str">
        <f>IFERROR(__xludf.DUMMYFUNCTION("""COMPUTED_VALUE"""),"Mangaldan")</f>
        <v>Mangaldan</v>
      </c>
      <c r="AB130" s="142" t="str">
        <f>IFERROR(__xludf.DUMMYFUNCTION("""COMPUTED_VALUE"""),"Mangatarem")</f>
        <v>Mangatarem</v>
      </c>
      <c r="AC130" s="142" t="str">
        <f>IFERROR(__xludf.DUMMYFUNCTION("""COMPUTED_VALUE"""),"Mapandan")</f>
        <v>Mapandan</v>
      </c>
      <c r="AD130" s="142" t="str">
        <f>IFERROR(__xludf.DUMMYFUNCTION("""COMPUTED_VALUE"""),"Natividad")</f>
        <v>Natividad</v>
      </c>
      <c r="AE130" s="142" t="str">
        <f>IFERROR(__xludf.DUMMYFUNCTION("""COMPUTED_VALUE"""),"Pozorrubio")</f>
        <v>Pozorrubio</v>
      </c>
      <c r="AF130" s="142" t="str">
        <f>IFERROR(__xludf.DUMMYFUNCTION("""COMPUTED_VALUE"""),"Rosales")</f>
        <v>Rosales</v>
      </c>
      <c r="AG130" s="142" t="str">
        <f>IFERROR(__xludf.DUMMYFUNCTION("""COMPUTED_VALUE"""),"City of San Carlos")</f>
        <v>City of San Carlos</v>
      </c>
      <c r="AH130" s="142" t="str">
        <f>IFERROR(__xludf.DUMMYFUNCTION("""COMPUTED_VALUE"""),"San Fabian")</f>
        <v>San Fabian</v>
      </c>
      <c r="AI130" s="142" t="str">
        <f>IFERROR(__xludf.DUMMYFUNCTION("""COMPUTED_VALUE"""),"San Jacinto")</f>
        <v>San Jacinto</v>
      </c>
      <c r="AJ130" s="142" t="str">
        <f>IFERROR(__xludf.DUMMYFUNCTION("""COMPUTED_VALUE"""),"San Manuel")</f>
        <v>San Manuel</v>
      </c>
      <c r="AK130" s="142" t="str">
        <f>IFERROR(__xludf.DUMMYFUNCTION("""COMPUTED_VALUE"""),"San Nicolas")</f>
        <v>San Nicolas</v>
      </c>
      <c r="AL130" s="142" t="str">
        <f>IFERROR(__xludf.DUMMYFUNCTION("""COMPUTED_VALUE"""),"San Quintin")</f>
        <v>San Quintin</v>
      </c>
      <c r="AM130" s="142" t="str">
        <f>IFERROR(__xludf.DUMMYFUNCTION("""COMPUTED_VALUE"""),"Santa Barbara")</f>
        <v>Santa Barbara</v>
      </c>
      <c r="AN130" s="142" t="str">
        <f>IFERROR(__xludf.DUMMYFUNCTION("""COMPUTED_VALUE"""),"Santa Maria")</f>
        <v>Santa Maria</v>
      </c>
      <c r="AO130" s="142" t="str">
        <f>IFERROR(__xludf.DUMMYFUNCTION("""COMPUTED_VALUE"""),"Santo Tomas")</f>
        <v>Santo Tomas</v>
      </c>
      <c r="AP130" s="142" t="str">
        <f>IFERROR(__xludf.DUMMYFUNCTION("""COMPUTED_VALUE"""),"Sison")</f>
        <v>Sison</v>
      </c>
      <c r="AQ130" s="142" t="str">
        <f>IFERROR(__xludf.DUMMYFUNCTION("""COMPUTED_VALUE"""),"Sual")</f>
        <v>Sual</v>
      </c>
      <c r="AR130" s="142" t="str">
        <f>IFERROR(__xludf.DUMMYFUNCTION("""COMPUTED_VALUE"""),"Tayug")</f>
        <v>Tayug</v>
      </c>
      <c r="AS130" s="142" t="str">
        <f>IFERROR(__xludf.DUMMYFUNCTION("""COMPUTED_VALUE"""),"Umingan")</f>
        <v>Umingan</v>
      </c>
      <c r="AT130" s="142" t="str">
        <f>IFERROR(__xludf.DUMMYFUNCTION("""COMPUTED_VALUE"""),"Urbiztondo")</f>
        <v>Urbiztondo</v>
      </c>
      <c r="AU130" s="142" t="str">
        <f>IFERROR(__xludf.DUMMYFUNCTION("""COMPUTED_VALUE"""),"City of Urdaneta")</f>
        <v>City of Urdaneta</v>
      </c>
      <c r="AV130" s="142" t="str">
        <f>IFERROR(__xludf.DUMMYFUNCTION("""COMPUTED_VALUE"""),"Villasis")</f>
        <v>Villasis</v>
      </c>
      <c r="AW130" s="142" t="str">
        <f>IFERROR(__xludf.DUMMYFUNCTION("""COMPUTED_VALUE"""),"Laoac")</f>
        <v>Laoac</v>
      </c>
      <c r="AX130" s="8"/>
      <c r="AY130" s="8"/>
      <c r="AZ130" s="8"/>
      <c r="BA130" s="8"/>
      <c r="BB130" s="8"/>
      <c r="BC130" s="8"/>
      <c r="BD130" s="8"/>
      <c r="BE130" s="8"/>
    </row>
    <row r="131">
      <c r="A131" s="142" t="s">
        <v>144</v>
      </c>
      <c r="B131" s="142" t="str">
        <f>IFERROR(__xludf.DUMMYFUNCTION("""COMPUTED_VALUE"""),"Agno")</f>
        <v>Agno</v>
      </c>
      <c r="C131" s="142" t="str">
        <f>IFERROR(__xludf.DUMMYFUNCTION("""COMPUTED_VALUE"""),"Aguilar")</f>
        <v>Aguilar</v>
      </c>
      <c r="D131" s="142" t="str">
        <f>IFERROR(__xludf.DUMMYFUNCTION("""COMPUTED_VALUE"""),"City of Alaminos")</f>
        <v>City of Alaminos</v>
      </c>
      <c r="E131" s="142" t="str">
        <f>IFERROR(__xludf.DUMMYFUNCTION("""COMPUTED_VALUE"""),"Alcala")</f>
        <v>Alcala</v>
      </c>
      <c r="F131" s="142" t="str">
        <f>IFERROR(__xludf.DUMMYFUNCTION("""COMPUTED_VALUE"""),"Anda")</f>
        <v>Anda</v>
      </c>
      <c r="G131" s="142" t="str">
        <f>IFERROR(__xludf.DUMMYFUNCTION("""COMPUTED_VALUE"""),"Asingan")</f>
        <v>Asingan</v>
      </c>
      <c r="H131" s="142" t="str">
        <f>IFERROR(__xludf.DUMMYFUNCTION("""COMPUTED_VALUE"""),"Balungao")</f>
        <v>Balungao</v>
      </c>
      <c r="I131" s="142" t="str">
        <f>IFERROR(__xludf.DUMMYFUNCTION("""COMPUTED_VALUE"""),"Bani")</f>
        <v>Bani</v>
      </c>
      <c r="J131" s="142" t="str">
        <f>IFERROR(__xludf.DUMMYFUNCTION("""COMPUTED_VALUE"""),"Basista")</f>
        <v>Basista</v>
      </c>
      <c r="K131" s="142" t="str">
        <f>IFERROR(__xludf.DUMMYFUNCTION("""COMPUTED_VALUE"""),"Bautista")</f>
        <v>Bautista</v>
      </c>
      <c r="L131" s="142" t="str">
        <f>IFERROR(__xludf.DUMMYFUNCTION("""COMPUTED_VALUE"""),"Bayambang")</f>
        <v>Bayambang</v>
      </c>
      <c r="M131" s="142" t="str">
        <f>IFERROR(__xludf.DUMMYFUNCTION("""COMPUTED_VALUE"""),"Binalonan")</f>
        <v>Binalonan</v>
      </c>
      <c r="N131" s="142" t="str">
        <f>IFERROR(__xludf.DUMMYFUNCTION("""COMPUTED_VALUE"""),"Binmaley")</f>
        <v>Binmaley</v>
      </c>
      <c r="O131" s="142" t="str">
        <f>IFERROR(__xludf.DUMMYFUNCTION("""COMPUTED_VALUE"""),"Bolinao")</f>
        <v>Bolinao</v>
      </c>
      <c r="P131" s="142" t="str">
        <f>IFERROR(__xludf.DUMMYFUNCTION("""COMPUTED_VALUE"""),"Bugallon")</f>
        <v>Bugallon</v>
      </c>
      <c r="Q131" s="142" t="str">
        <f>IFERROR(__xludf.DUMMYFUNCTION("""COMPUTED_VALUE"""),"Burgos")</f>
        <v>Burgos</v>
      </c>
      <c r="R131" s="142" t="str">
        <f>IFERROR(__xludf.DUMMYFUNCTION("""COMPUTED_VALUE"""),"Calasiao")</f>
        <v>Calasiao</v>
      </c>
      <c r="S131" s="142" t="str">
        <f>IFERROR(__xludf.DUMMYFUNCTION("""COMPUTED_VALUE"""),"City of Dagupan")</f>
        <v>City of Dagupan</v>
      </c>
      <c r="T131" s="142" t="str">
        <f>IFERROR(__xludf.DUMMYFUNCTION("""COMPUTED_VALUE"""),"Dasol")</f>
        <v>Dasol</v>
      </c>
      <c r="U131" s="142" t="str">
        <f>IFERROR(__xludf.DUMMYFUNCTION("""COMPUTED_VALUE"""),"Infanta")</f>
        <v>Infanta</v>
      </c>
      <c r="V131" s="142" t="str">
        <f>IFERROR(__xludf.DUMMYFUNCTION("""COMPUTED_VALUE"""),"Labrador")</f>
        <v>Labrador</v>
      </c>
      <c r="W131" s="142" t="str">
        <f>IFERROR(__xludf.DUMMYFUNCTION("""COMPUTED_VALUE"""),"Lingayen")</f>
        <v>Lingayen</v>
      </c>
      <c r="X131" s="142" t="str">
        <f>IFERROR(__xludf.DUMMYFUNCTION("""COMPUTED_VALUE"""),"Mabini")</f>
        <v>Mabini</v>
      </c>
      <c r="Y131" s="142" t="str">
        <f>IFERROR(__xludf.DUMMYFUNCTION("""COMPUTED_VALUE"""),"Malasiqui")</f>
        <v>Malasiqui</v>
      </c>
      <c r="Z131" s="142" t="str">
        <f>IFERROR(__xludf.DUMMYFUNCTION("""COMPUTED_VALUE"""),"Manaoag")</f>
        <v>Manaoag</v>
      </c>
      <c r="AA131" s="142" t="str">
        <f>IFERROR(__xludf.DUMMYFUNCTION("""COMPUTED_VALUE"""),"Mangaldan")</f>
        <v>Mangaldan</v>
      </c>
      <c r="AB131" s="142" t="str">
        <f>IFERROR(__xludf.DUMMYFUNCTION("""COMPUTED_VALUE"""),"Mangatarem")</f>
        <v>Mangatarem</v>
      </c>
      <c r="AC131" s="142" t="str">
        <f>IFERROR(__xludf.DUMMYFUNCTION("""COMPUTED_VALUE"""),"Mapandan")</f>
        <v>Mapandan</v>
      </c>
      <c r="AD131" s="142" t="str">
        <f>IFERROR(__xludf.DUMMYFUNCTION("""COMPUTED_VALUE"""),"Natividad")</f>
        <v>Natividad</v>
      </c>
      <c r="AE131" s="142" t="str">
        <f>IFERROR(__xludf.DUMMYFUNCTION("""COMPUTED_VALUE"""),"Pozorrubio")</f>
        <v>Pozorrubio</v>
      </c>
      <c r="AF131" s="142" t="str">
        <f>IFERROR(__xludf.DUMMYFUNCTION("""COMPUTED_VALUE"""),"Rosales")</f>
        <v>Rosales</v>
      </c>
      <c r="AG131" s="142" t="str">
        <f>IFERROR(__xludf.DUMMYFUNCTION("""COMPUTED_VALUE"""),"City of San Carlos")</f>
        <v>City of San Carlos</v>
      </c>
      <c r="AH131" s="142" t="str">
        <f>IFERROR(__xludf.DUMMYFUNCTION("""COMPUTED_VALUE"""),"San Fabian")</f>
        <v>San Fabian</v>
      </c>
      <c r="AI131" s="142" t="str">
        <f>IFERROR(__xludf.DUMMYFUNCTION("""COMPUTED_VALUE"""),"San Jacinto")</f>
        <v>San Jacinto</v>
      </c>
      <c r="AJ131" s="142" t="str">
        <f>IFERROR(__xludf.DUMMYFUNCTION("""COMPUTED_VALUE"""),"San Manuel")</f>
        <v>San Manuel</v>
      </c>
      <c r="AK131" s="142" t="str">
        <f>IFERROR(__xludf.DUMMYFUNCTION("""COMPUTED_VALUE"""),"San Nicolas")</f>
        <v>San Nicolas</v>
      </c>
      <c r="AL131" s="142" t="str">
        <f>IFERROR(__xludf.DUMMYFUNCTION("""COMPUTED_VALUE"""),"San Quintin")</f>
        <v>San Quintin</v>
      </c>
      <c r="AM131" s="142" t="str">
        <f>IFERROR(__xludf.DUMMYFUNCTION("""COMPUTED_VALUE"""),"Santa Barbara")</f>
        <v>Santa Barbara</v>
      </c>
      <c r="AN131" s="142" t="str">
        <f>IFERROR(__xludf.DUMMYFUNCTION("""COMPUTED_VALUE"""),"Santa Maria")</f>
        <v>Santa Maria</v>
      </c>
      <c r="AO131" s="142" t="str">
        <f>IFERROR(__xludf.DUMMYFUNCTION("""COMPUTED_VALUE"""),"Santo Tomas")</f>
        <v>Santo Tomas</v>
      </c>
      <c r="AP131" s="142" t="str">
        <f>IFERROR(__xludf.DUMMYFUNCTION("""COMPUTED_VALUE"""),"Sison")</f>
        <v>Sison</v>
      </c>
      <c r="AQ131" s="142" t="str">
        <f>IFERROR(__xludf.DUMMYFUNCTION("""COMPUTED_VALUE"""),"Sual")</f>
        <v>Sual</v>
      </c>
      <c r="AR131" s="142" t="str">
        <f>IFERROR(__xludf.DUMMYFUNCTION("""COMPUTED_VALUE"""),"Tayug")</f>
        <v>Tayug</v>
      </c>
      <c r="AS131" s="142" t="str">
        <f>IFERROR(__xludf.DUMMYFUNCTION("""COMPUTED_VALUE"""),"Umingan")</f>
        <v>Umingan</v>
      </c>
      <c r="AT131" s="142" t="str">
        <f>IFERROR(__xludf.DUMMYFUNCTION("""COMPUTED_VALUE"""),"Urbiztondo")</f>
        <v>Urbiztondo</v>
      </c>
      <c r="AU131" s="142" t="str">
        <f>IFERROR(__xludf.DUMMYFUNCTION("""COMPUTED_VALUE"""),"City of Urdaneta")</f>
        <v>City of Urdaneta</v>
      </c>
      <c r="AV131" s="142" t="str">
        <f>IFERROR(__xludf.DUMMYFUNCTION("""COMPUTED_VALUE"""),"Villasis")</f>
        <v>Villasis</v>
      </c>
      <c r="AW131" s="142" t="str">
        <f>IFERROR(__xludf.DUMMYFUNCTION("""COMPUTED_VALUE"""),"Laoac")</f>
        <v>Laoac</v>
      </c>
      <c r="AX131" s="8"/>
      <c r="AY131" s="8"/>
      <c r="AZ131" s="8"/>
      <c r="BA131" s="8"/>
      <c r="BB131" s="8"/>
      <c r="BC131" s="8"/>
      <c r="BD131" s="8"/>
      <c r="BE131" s="8"/>
    </row>
    <row r="132">
      <c r="A132" s="142" t="s">
        <v>144</v>
      </c>
      <c r="B132" s="142" t="str">
        <f>IFERROR(__xludf.DUMMYFUNCTION("""COMPUTED_VALUE"""),"Agno")</f>
        <v>Agno</v>
      </c>
      <c r="C132" s="142" t="str">
        <f>IFERROR(__xludf.DUMMYFUNCTION("""COMPUTED_VALUE"""),"Aguilar")</f>
        <v>Aguilar</v>
      </c>
      <c r="D132" s="142" t="str">
        <f>IFERROR(__xludf.DUMMYFUNCTION("""COMPUTED_VALUE"""),"City of Alaminos")</f>
        <v>City of Alaminos</v>
      </c>
      <c r="E132" s="142" t="str">
        <f>IFERROR(__xludf.DUMMYFUNCTION("""COMPUTED_VALUE"""),"Alcala")</f>
        <v>Alcala</v>
      </c>
      <c r="F132" s="142" t="str">
        <f>IFERROR(__xludf.DUMMYFUNCTION("""COMPUTED_VALUE"""),"Anda")</f>
        <v>Anda</v>
      </c>
      <c r="G132" s="142" t="str">
        <f>IFERROR(__xludf.DUMMYFUNCTION("""COMPUTED_VALUE"""),"Asingan")</f>
        <v>Asingan</v>
      </c>
      <c r="H132" s="142" t="str">
        <f>IFERROR(__xludf.DUMMYFUNCTION("""COMPUTED_VALUE"""),"Balungao")</f>
        <v>Balungao</v>
      </c>
      <c r="I132" s="142" t="str">
        <f>IFERROR(__xludf.DUMMYFUNCTION("""COMPUTED_VALUE"""),"Bani")</f>
        <v>Bani</v>
      </c>
      <c r="J132" s="142" t="str">
        <f>IFERROR(__xludf.DUMMYFUNCTION("""COMPUTED_VALUE"""),"Basista")</f>
        <v>Basista</v>
      </c>
      <c r="K132" s="142" t="str">
        <f>IFERROR(__xludf.DUMMYFUNCTION("""COMPUTED_VALUE"""),"Bautista")</f>
        <v>Bautista</v>
      </c>
      <c r="L132" s="142" t="str">
        <f>IFERROR(__xludf.DUMMYFUNCTION("""COMPUTED_VALUE"""),"Bayambang")</f>
        <v>Bayambang</v>
      </c>
      <c r="M132" s="142" t="str">
        <f>IFERROR(__xludf.DUMMYFUNCTION("""COMPUTED_VALUE"""),"Binalonan")</f>
        <v>Binalonan</v>
      </c>
      <c r="N132" s="142" t="str">
        <f>IFERROR(__xludf.DUMMYFUNCTION("""COMPUTED_VALUE"""),"Binmaley")</f>
        <v>Binmaley</v>
      </c>
      <c r="O132" s="142" t="str">
        <f>IFERROR(__xludf.DUMMYFUNCTION("""COMPUTED_VALUE"""),"Bolinao")</f>
        <v>Bolinao</v>
      </c>
      <c r="P132" s="142" t="str">
        <f>IFERROR(__xludf.DUMMYFUNCTION("""COMPUTED_VALUE"""),"Bugallon")</f>
        <v>Bugallon</v>
      </c>
      <c r="Q132" s="142" t="str">
        <f>IFERROR(__xludf.DUMMYFUNCTION("""COMPUTED_VALUE"""),"Burgos")</f>
        <v>Burgos</v>
      </c>
      <c r="R132" s="142" t="str">
        <f>IFERROR(__xludf.DUMMYFUNCTION("""COMPUTED_VALUE"""),"Calasiao")</f>
        <v>Calasiao</v>
      </c>
      <c r="S132" s="142" t="str">
        <f>IFERROR(__xludf.DUMMYFUNCTION("""COMPUTED_VALUE"""),"City of Dagupan")</f>
        <v>City of Dagupan</v>
      </c>
      <c r="T132" s="142" t="str">
        <f>IFERROR(__xludf.DUMMYFUNCTION("""COMPUTED_VALUE"""),"Dasol")</f>
        <v>Dasol</v>
      </c>
      <c r="U132" s="142" t="str">
        <f>IFERROR(__xludf.DUMMYFUNCTION("""COMPUTED_VALUE"""),"Infanta")</f>
        <v>Infanta</v>
      </c>
      <c r="V132" s="142" t="str">
        <f>IFERROR(__xludf.DUMMYFUNCTION("""COMPUTED_VALUE"""),"Labrador")</f>
        <v>Labrador</v>
      </c>
      <c r="W132" s="142" t="str">
        <f>IFERROR(__xludf.DUMMYFUNCTION("""COMPUTED_VALUE"""),"Lingayen")</f>
        <v>Lingayen</v>
      </c>
      <c r="X132" s="142" t="str">
        <f>IFERROR(__xludf.DUMMYFUNCTION("""COMPUTED_VALUE"""),"Mabini")</f>
        <v>Mabini</v>
      </c>
      <c r="Y132" s="142" t="str">
        <f>IFERROR(__xludf.DUMMYFUNCTION("""COMPUTED_VALUE"""),"Malasiqui")</f>
        <v>Malasiqui</v>
      </c>
      <c r="Z132" s="142" t="str">
        <f>IFERROR(__xludf.DUMMYFUNCTION("""COMPUTED_VALUE"""),"Manaoag")</f>
        <v>Manaoag</v>
      </c>
      <c r="AA132" s="142" t="str">
        <f>IFERROR(__xludf.DUMMYFUNCTION("""COMPUTED_VALUE"""),"Mangaldan")</f>
        <v>Mangaldan</v>
      </c>
      <c r="AB132" s="142" t="str">
        <f>IFERROR(__xludf.DUMMYFUNCTION("""COMPUTED_VALUE"""),"Mangatarem")</f>
        <v>Mangatarem</v>
      </c>
      <c r="AC132" s="142" t="str">
        <f>IFERROR(__xludf.DUMMYFUNCTION("""COMPUTED_VALUE"""),"Mapandan")</f>
        <v>Mapandan</v>
      </c>
      <c r="AD132" s="142" t="str">
        <f>IFERROR(__xludf.DUMMYFUNCTION("""COMPUTED_VALUE"""),"Natividad")</f>
        <v>Natividad</v>
      </c>
      <c r="AE132" s="142" t="str">
        <f>IFERROR(__xludf.DUMMYFUNCTION("""COMPUTED_VALUE"""),"Pozorrubio")</f>
        <v>Pozorrubio</v>
      </c>
      <c r="AF132" s="142" t="str">
        <f>IFERROR(__xludf.DUMMYFUNCTION("""COMPUTED_VALUE"""),"Rosales")</f>
        <v>Rosales</v>
      </c>
      <c r="AG132" s="142" t="str">
        <f>IFERROR(__xludf.DUMMYFUNCTION("""COMPUTED_VALUE"""),"City of San Carlos")</f>
        <v>City of San Carlos</v>
      </c>
      <c r="AH132" s="142" t="str">
        <f>IFERROR(__xludf.DUMMYFUNCTION("""COMPUTED_VALUE"""),"San Fabian")</f>
        <v>San Fabian</v>
      </c>
      <c r="AI132" s="142" t="str">
        <f>IFERROR(__xludf.DUMMYFUNCTION("""COMPUTED_VALUE"""),"San Jacinto")</f>
        <v>San Jacinto</v>
      </c>
      <c r="AJ132" s="142" t="str">
        <f>IFERROR(__xludf.DUMMYFUNCTION("""COMPUTED_VALUE"""),"San Manuel")</f>
        <v>San Manuel</v>
      </c>
      <c r="AK132" s="142" t="str">
        <f>IFERROR(__xludf.DUMMYFUNCTION("""COMPUTED_VALUE"""),"San Nicolas")</f>
        <v>San Nicolas</v>
      </c>
      <c r="AL132" s="142" t="str">
        <f>IFERROR(__xludf.DUMMYFUNCTION("""COMPUTED_VALUE"""),"San Quintin")</f>
        <v>San Quintin</v>
      </c>
      <c r="AM132" s="142" t="str">
        <f>IFERROR(__xludf.DUMMYFUNCTION("""COMPUTED_VALUE"""),"Santa Barbara")</f>
        <v>Santa Barbara</v>
      </c>
      <c r="AN132" s="142" t="str">
        <f>IFERROR(__xludf.DUMMYFUNCTION("""COMPUTED_VALUE"""),"Santa Maria")</f>
        <v>Santa Maria</v>
      </c>
      <c r="AO132" s="142" t="str">
        <f>IFERROR(__xludf.DUMMYFUNCTION("""COMPUTED_VALUE"""),"Santo Tomas")</f>
        <v>Santo Tomas</v>
      </c>
      <c r="AP132" s="142" t="str">
        <f>IFERROR(__xludf.DUMMYFUNCTION("""COMPUTED_VALUE"""),"Sison")</f>
        <v>Sison</v>
      </c>
      <c r="AQ132" s="142" t="str">
        <f>IFERROR(__xludf.DUMMYFUNCTION("""COMPUTED_VALUE"""),"Sual")</f>
        <v>Sual</v>
      </c>
      <c r="AR132" s="142" t="str">
        <f>IFERROR(__xludf.DUMMYFUNCTION("""COMPUTED_VALUE"""),"Tayug")</f>
        <v>Tayug</v>
      </c>
      <c r="AS132" s="142" t="str">
        <f>IFERROR(__xludf.DUMMYFUNCTION("""COMPUTED_VALUE"""),"Umingan")</f>
        <v>Umingan</v>
      </c>
      <c r="AT132" s="142" t="str">
        <f>IFERROR(__xludf.DUMMYFUNCTION("""COMPUTED_VALUE"""),"Urbiztondo")</f>
        <v>Urbiztondo</v>
      </c>
      <c r="AU132" s="142" t="str">
        <f>IFERROR(__xludf.DUMMYFUNCTION("""COMPUTED_VALUE"""),"City of Urdaneta")</f>
        <v>City of Urdaneta</v>
      </c>
      <c r="AV132" s="142" t="str">
        <f>IFERROR(__xludf.DUMMYFUNCTION("""COMPUTED_VALUE"""),"Villasis")</f>
        <v>Villasis</v>
      </c>
      <c r="AW132" s="142" t="str">
        <f>IFERROR(__xludf.DUMMYFUNCTION("""COMPUTED_VALUE"""),"Laoac")</f>
        <v>Laoac</v>
      </c>
      <c r="AX132" s="8"/>
      <c r="AY132" s="8"/>
      <c r="AZ132" s="8"/>
      <c r="BA132" s="8"/>
      <c r="BB132" s="8"/>
      <c r="BC132" s="8"/>
      <c r="BD132" s="8"/>
      <c r="BE132" s="8"/>
    </row>
    <row r="133">
      <c r="A133" s="142" t="s">
        <v>144</v>
      </c>
      <c r="B133" s="142" t="str">
        <f>IFERROR(__xludf.DUMMYFUNCTION("""COMPUTED_VALUE"""),"Agno")</f>
        <v>Agno</v>
      </c>
      <c r="C133" s="142" t="str">
        <f>IFERROR(__xludf.DUMMYFUNCTION("""COMPUTED_VALUE"""),"Aguilar")</f>
        <v>Aguilar</v>
      </c>
      <c r="D133" s="142" t="str">
        <f>IFERROR(__xludf.DUMMYFUNCTION("""COMPUTED_VALUE"""),"City of Alaminos")</f>
        <v>City of Alaminos</v>
      </c>
      <c r="E133" s="142" t="str">
        <f>IFERROR(__xludf.DUMMYFUNCTION("""COMPUTED_VALUE"""),"Alcala")</f>
        <v>Alcala</v>
      </c>
      <c r="F133" s="142" t="str">
        <f>IFERROR(__xludf.DUMMYFUNCTION("""COMPUTED_VALUE"""),"Anda")</f>
        <v>Anda</v>
      </c>
      <c r="G133" s="142" t="str">
        <f>IFERROR(__xludf.DUMMYFUNCTION("""COMPUTED_VALUE"""),"Asingan")</f>
        <v>Asingan</v>
      </c>
      <c r="H133" s="142" t="str">
        <f>IFERROR(__xludf.DUMMYFUNCTION("""COMPUTED_VALUE"""),"Balungao")</f>
        <v>Balungao</v>
      </c>
      <c r="I133" s="142" t="str">
        <f>IFERROR(__xludf.DUMMYFUNCTION("""COMPUTED_VALUE"""),"Bani")</f>
        <v>Bani</v>
      </c>
      <c r="J133" s="142" t="str">
        <f>IFERROR(__xludf.DUMMYFUNCTION("""COMPUTED_VALUE"""),"Basista")</f>
        <v>Basista</v>
      </c>
      <c r="K133" s="142" t="str">
        <f>IFERROR(__xludf.DUMMYFUNCTION("""COMPUTED_VALUE"""),"Bautista")</f>
        <v>Bautista</v>
      </c>
      <c r="L133" s="142" t="str">
        <f>IFERROR(__xludf.DUMMYFUNCTION("""COMPUTED_VALUE"""),"Bayambang")</f>
        <v>Bayambang</v>
      </c>
      <c r="M133" s="142" t="str">
        <f>IFERROR(__xludf.DUMMYFUNCTION("""COMPUTED_VALUE"""),"Binalonan")</f>
        <v>Binalonan</v>
      </c>
      <c r="N133" s="142" t="str">
        <f>IFERROR(__xludf.DUMMYFUNCTION("""COMPUTED_VALUE"""),"Binmaley")</f>
        <v>Binmaley</v>
      </c>
      <c r="O133" s="142" t="str">
        <f>IFERROR(__xludf.DUMMYFUNCTION("""COMPUTED_VALUE"""),"Bolinao")</f>
        <v>Bolinao</v>
      </c>
      <c r="P133" s="142" t="str">
        <f>IFERROR(__xludf.DUMMYFUNCTION("""COMPUTED_VALUE"""),"Bugallon")</f>
        <v>Bugallon</v>
      </c>
      <c r="Q133" s="142" t="str">
        <f>IFERROR(__xludf.DUMMYFUNCTION("""COMPUTED_VALUE"""),"Burgos")</f>
        <v>Burgos</v>
      </c>
      <c r="R133" s="142" t="str">
        <f>IFERROR(__xludf.DUMMYFUNCTION("""COMPUTED_VALUE"""),"Calasiao")</f>
        <v>Calasiao</v>
      </c>
      <c r="S133" s="142" t="str">
        <f>IFERROR(__xludf.DUMMYFUNCTION("""COMPUTED_VALUE"""),"City of Dagupan")</f>
        <v>City of Dagupan</v>
      </c>
      <c r="T133" s="142" t="str">
        <f>IFERROR(__xludf.DUMMYFUNCTION("""COMPUTED_VALUE"""),"Dasol")</f>
        <v>Dasol</v>
      </c>
      <c r="U133" s="142" t="str">
        <f>IFERROR(__xludf.DUMMYFUNCTION("""COMPUTED_VALUE"""),"Infanta")</f>
        <v>Infanta</v>
      </c>
      <c r="V133" s="142" t="str">
        <f>IFERROR(__xludf.DUMMYFUNCTION("""COMPUTED_VALUE"""),"Labrador")</f>
        <v>Labrador</v>
      </c>
      <c r="W133" s="142" t="str">
        <f>IFERROR(__xludf.DUMMYFUNCTION("""COMPUTED_VALUE"""),"Lingayen")</f>
        <v>Lingayen</v>
      </c>
      <c r="X133" s="142" t="str">
        <f>IFERROR(__xludf.DUMMYFUNCTION("""COMPUTED_VALUE"""),"Mabini")</f>
        <v>Mabini</v>
      </c>
      <c r="Y133" s="142" t="str">
        <f>IFERROR(__xludf.DUMMYFUNCTION("""COMPUTED_VALUE"""),"Malasiqui")</f>
        <v>Malasiqui</v>
      </c>
      <c r="Z133" s="142" t="str">
        <f>IFERROR(__xludf.DUMMYFUNCTION("""COMPUTED_VALUE"""),"Manaoag")</f>
        <v>Manaoag</v>
      </c>
      <c r="AA133" s="142" t="str">
        <f>IFERROR(__xludf.DUMMYFUNCTION("""COMPUTED_VALUE"""),"Mangaldan")</f>
        <v>Mangaldan</v>
      </c>
      <c r="AB133" s="142" t="str">
        <f>IFERROR(__xludf.DUMMYFUNCTION("""COMPUTED_VALUE"""),"Mangatarem")</f>
        <v>Mangatarem</v>
      </c>
      <c r="AC133" s="142" t="str">
        <f>IFERROR(__xludf.DUMMYFUNCTION("""COMPUTED_VALUE"""),"Mapandan")</f>
        <v>Mapandan</v>
      </c>
      <c r="AD133" s="142" t="str">
        <f>IFERROR(__xludf.DUMMYFUNCTION("""COMPUTED_VALUE"""),"Natividad")</f>
        <v>Natividad</v>
      </c>
      <c r="AE133" s="142" t="str">
        <f>IFERROR(__xludf.DUMMYFUNCTION("""COMPUTED_VALUE"""),"Pozorrubio")</f>
        <v>Pozorrubio</v>
      </c>
      <c r="AF133" s="142" t="str">
        <f>IFERROR(__xludf.DUMMYFUNCTION("""COMPUTED_VALUE"""),"Rosales")</f>
        <v>Rosales</v>
      </c>
      <c r="AG133" s="142" t="str">
        <f>IFERROR(__xludf.DUMMYFUNCTION("""COMPUTED_VALUE"""),"City of San Carlos")</f>
        <v>City of San Carlos</v>
      </c>
      <c r="AH133" s="142" t="str">
        <f>IFERROR(__xludf.DUMMYFUNCTION("""COMPUTED_VALUE"""),"San Fabian")</f>
        <v>San Fabian</v>
      </c>
      <c r="AI133" s="142" t="str">
        <f>IFERROR(__xludf.DUMMYFUNCTION("""COMPUTED_VALUE"""),"San Jacinto")</f>
        <v>San Jacinto</v>
      </c>
      <c r="AJ133" s="142" t="str">
        <f>IFERROR(__xludf.DUMMYFUNCTION("""COMPUTED_VALUE"""),"San Manuel")</f>
        <v>San Manuel</v>
      </c>
      <c r="AK133" s="142" t="str">
        <f>IFERROR(__xludf.DUMMYFUNCTION("""COMPUTED_VALUE"""),"San Nicolas")</f>
        <v>San Nicolas</v>
      </c>
      <c r="AL133" s="142" t="str">
        <f>IFERROR(__xludf.DUMMYFUNCTION("""COMPUTED_VALUE"""),"San Quintin")</f>
        <v>San Quintin</v>
      </c>
      <c r="AM133" s="142" t="str">
        <f>IFERROR(__xludf.DUMMYFUNCTION("""COMPUTED_VALUE"""),"Santa Barbara")</f>
        <v>Santa Barbara</v>
      </c>
      <c r="AN133" s="142" t="str">
        <f>IFERROR(__xludf.DUMMYFUNCTION("""COMPUTED_VALUE"""),"Santa Maria")</f>
        <v>Santa Maria</v>
      </c>
      <c r="AO133" s="142" t="str">
        <f>IFERROR(__xludf.DUMMYFUNCTION("""COMPUTED_VALUE"""),"Santo Tomas")</f>
        <v>Santo Tomas</v>
      </c>
      <c r="AP133" s="142" t="str">
        <f>IFERROR(__xludf.DUMMYFUNCTION("""COMPUTED_VALUE"""),"Sison")</f>
        <v>Sison</v>
      </c>
      <c r="AQ133" s="142" t="str">
        <f>IFERROR(__xludf.DUMMYFUNCTION("""COMPUTED_VALUE"""),"Sual")</f>
        <v>Sual</v>
      </c>
      <c r="AR133" s="142" t="str">
        <f>IFERROR(__xludf.DUMMYFUNCTION("""COMPUTED_VALUE"""),"Tayug")</f>
        <v>Tayug</v>
      </c>
      <c r="AS133" s="142" t="str">
        <f>IFERROR(__xludf.DUMMYFUNCTION("""COMPUTED_VALUE"""),"Umingan")</f>
        <v>Umingan</v>
      </c>
      <c r="AT133" s="142" t="str">
        <f>IFERROR(__xludf.DUMMYFUNCTION("""COMPUTED_VALUE"""),"Urbiztondo")</f>
        <v>Urbiztondo</v>
      </c>
      <c r="AU133" s="142" t="str">
        <f>IFERROR(__xludf.DUMMYFUNCTION("""COMPUTED_VALUE"""),"City of Urdaneta")</f>
        <v>City of Urdaneta</v>
      </c>
      <c r="AV133" s="142" t="str">
        <f>IFERROR(__xludf.DUMMYFUNCTION("""COMPUTED_VALUE"""),"Villasis")</f>
        <v>Villasis</v>
      </c>
      <c r="AW133" s="142" t="str">
        <f>IFERROR(__xludf.DUMMYFUNCTION("""COMPUTED_VALUE"""),"Laoac")</f>
        <v>Laoac</v>
      </c>
      <c r="AX133" s="8"/>
      <c r="AY133" s="8"/>
      <c r="AZ133" s="8"/>
      <c r="BA133" s="8"/>
      <c r="BB133" s="8"/>
      <c r="BC133" s="8"/>
      <c r="BD133" s="8"/>
      <c r="BE133" s="8"/>
    </row>
    <row r="134">
      <c r="A134" s="142" t="s">
        <v>315</v>
      </c>
      <c r="B134" s="142" t="str">
        <f>IFERROR(__xludf.DUMMYFUNCTION("""COMPUTED_VALUE"""),"Altavas")</f>
        <v>Altavas</v>
      </c>
      <c r="C134" s="142" t="str">
        <f>IFERROR(__xludf.DUMMYFUNCTION("""COMPUTED_VALUE"""),"Balete")</f>
        <v>Balete</v>
      </c>
      <c r="D134" s="142" t="str">
        <f>IFERROR(__xludf.DUMMYFUNCTION("""COMPUTED_VALUE"""),"Banga")</f>
        <v>Banga</v>
      </c>
      <c r="E134" s="142" t="str">
        <f>IFERROR(__xludf.DUMMYFUNCTION("""COMPUTED_VALUE"""),"Batan")</f>
        <v>Batan</v>
      </c>
      <c r="F134" s="142" t="str">
        <f>IFERROR(__xludf.DUMMYFUNCTION("""COMPUTED_VALUE"""),"Buruanga")</f>
        <v>Buruanga</v>
      </c>
      <c r="G134" s="142" t="str">
        <f>IFERROR(__xludf.DUMMYFUNCTION("""COMPUTED_VALUE"""),"Ibajay")</f>
        <v>Ibajay</v>
      </c>
      <c r="H134" s="142" t="str">
        <f>IFERROR(__xludf.DUMMYFUNCTION("""COMPUTED_VALUE"""),"Kalibo")</f>
        <v>Kalibo</v>
      </c>
      <c r="I134" s="142" t="str">
        <f>IFERROR(__xludf.DUMMYFUNCTION("""COMPUTED_VALUE"""),"Lezo")</f>
        <v>Lezo</v>
      </c>
      <c r="J134" s="142" t="str">
        <f>IFERROR(__xludf.DUMMYFUNCTION("""COMPUTED_VALUE"""),"Libacao")</f>
        <v>Libacao</v>
      </c>
      <c r="K134" s="142" t="str">
        <f>IFERROR(__xludf.DUMMYFUNCTION("""COMPUTED_VALUE"""),"Madalag")</f>
        <v>Madalag</v>
      </c>
      <c r="L134" s="142" t="str">
        <f>IFERROR(__xludf.DUMMYFUNCTION("""COMPUTED_VALUE"""),"Makato")</f>
        <v>Makato</v>
      </c>
      <c r="M134" s="142" t="str">
        <f>IFERROR(__xludf.DUMMYFUNCTION("""COMPUTED_VALUE"""),"Malay")</f>
        <v>Malay</v>
      </c>
      <c r="N134" s="142" t="str">
        <f>IFERROR(__xludf.DUMMYFUNCTION("""COMPUTED_VALUE"""),"Malinao")</f>
        <v>Malinao</v>
      </c>
      <c r="O134" s="142" t="str">
        <f>IFERROR(__xludf.DUMMYFUNCTION("""COMPUTED_VALUE"""),"Nabas")</f>
        <v>Nabas</v>
      </c>
      <c r="P134" s="142" t="str">
        <f>IFERROR(__xludf.DUMMYFUNCTION("""COMPUTED_VALUE"""),"New Washington")</f>
        <v>New Washington</v>
      </c>
      <c r="Q134" s="142" t="str">
        <f>IFERROR(__xludf.DUMMYFUNCTION("""COMPUTED_VALUE"""),"Numancia")</f>
        <v>Numancia</v>
      </c>
      <c r="R134" s="142" t="str">
        <f>IFERROR(__xludf.DUMMYFUNCTION("""COMPUTED_VALUE"""),"Tangalan")</f>
        <v>Tangalan</v>
      </c>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row>
    <row r="135">
      <c r="A135" s="142" t="s">
        <v>1089</v>
      </c>
      <c r="B135" s="142" t="str">
        <f>IFERROR(__xludf.DUMMYFUNCTION("""COMPUTED_VALUE"""),"Baao")</f>
        <v>Baao</v>
      </c>
      <c r="C135" s="142" t="str">
        <f>IFERROR(__xludf.DUMMYFUNCTION("""COMPUTED_VALUE"""),"Balatan")</f>
        <v>Balatan</v>
      </c>
      <c r="D135" s="142" t="str">
        <f>IFERROR(__xludf.DUMMYFUNCTION("""COMPUTED_VALUE"""),"Bato")</f>
        <v>Bato</v>
      </c>
      <c r="E135" s="142" t="str">
        <f>IFERROR(__xludf.DUMMYFUNCTION("""COMPUTED_VALUE"""),"Bombon")</f>
        <v>Bombon</v>
      </c>
      <c r="F135" s="142" t="str">
        <f>IFERROR(__xludf.DUMMYFUNCTION("""COMPUTED_VALUE"""),"Buhi")</f>
        <v>Buhi</v>
      </c>
      <c r="G135" s="142" t="str">
        <f>IFERROR(__xludf.DUMMYFUNCTION("""COMPUTED_VALUE"""),"Bula")</f>
        <v>Bula</v>
      </c>
      <c r="H135" s="142" t="str">
        <f>IFERROR(__xludf.DUMMYFUNCTION("""COMPUTED_VALUE"""),"Cabusao")</f>
        <v>Cabusao</v>
      </c>
      <c r="I135" s="142" t="str">
        <f>IFERROR(__xludf.DUMMYFUNCTION("""COMPUTED_VALUE"""),"Calabanga")</f>
        <v>Calabanga</v>
      </c>
      <c r="J135" s="142" t="str">
        <f>IFERROR(__xludf.DUMMYFUNCTION("""COMPUTED_VALUE"""),"Camaligan")</f>
        <v>Camaligan</v>
      </c>
      <c r="K135" s="142" t="str">
        <f>IFERROR(__xludf.DUMMYFUNCTION("""COMPUTED_VALUE"""),"Canaman")</f>
        <v>Canaman</v>
      </c>
      <c r="L135" s="142" t="str">
        <f>IFERROR(__xludf.DUMMYFUNCTION("""COMPUTED_VALUE"""),"Caramoan")</f>
        <v>Caramoan</v>
      </c>
      <c r="M135" s="142" t="str">
        <f>IFERROR(__xludf.DUMMYFUNCTION("""COMPUTED_VALUE"""),"Del Gallego")</f>
        <v>Del Gallego</v>
      </c>
      <c r="N135" s="142" t="str">
        <f>IFERROR(__xludf.DUMMYFUNCTION("""COMPUTED_VALUE"""),"Gainza")</f>
        <v>Gainza</v>
      </c>
      <c r="O135" s="142" t="str">
        <f>IFERROR(__xludf.DUMMYFUNCTION("""COMPUTED_VALUE"""),"Garchitorena")</f>
        <v>Garchitorena</v>
      </c>
      <c r="P135" s="142" t="str">
        <f>IFERROR(__xludf.DUMMYFUNCTION("""COMPUTED_VALUE"""),"Goa")</f>
        <v>Goa</v>
      </c>
      <c r="Q135" s="142" t="str">
        <f>IFERROR(__xludf.DUMMYFUNCTION("""COMPUTED_VALUE"""),"City of Iriga")</f>
        <v>City of Iriga</v>
      </c>
      <c r="R135" s="142" t="str">
        <f>IFERROR(__xludf.DUMMYFUNCTION("""COMPUTED_VALUE"""),"Lagonoy")</f>
        <v>Lagonoy</v>
      </c>
      <c r="S135" s="142" t="str">
        <f>IFERROR(__xludf.DUMMYFUNCTION("""COMPUTED_VALUE"""),"Libmanan")</f>
        <v>Libmanan</v>
      </c>
      <c r="T135" s="142" t="str">
        <f>IFERROR(__xludf.DUMMYFUNCTION("""COMPUTED_VALUE"""),"Lupi")</f>
        <v>Lupi</v>
      </c>
      <c r="U135" s="142" t="str">
        <f>IFERROR(__xludf.DUMMYFUNCTION("""COMPUTED_VALUE"""),"Magarao")</f>
        <v>Magarao</v>
      </c>
      <c r="V135" s="142" t="str">
        <f>IFERROR(__xludf.DUMMYFUNCTION("""COMPUTED_VALUE"""),"Milaor")</f>
        <v>Milaor</v>
      </c>
      <c r="W135" s="142" t="str">
        <f>IFERROR(__xludf.DUMMYFUNCTION("""COMPUTED_VALUE"""),"Minalabac")</f>
        <v>Minalabac</v>
      </c>
      <c r="X135" s="142" t="str">
        <f>IFERROR(__xludf.DUMMYFUNCTION("""COMPUTED_VALUE"""),"Nabua")</f>
        <v>Nabua</v>
      </c>
      <c r="Y135" s="142" t="str">
        <f>IFERROR(__xludf.DUMMYFUNCTION("""COMPUTED_VALUE"""),"City of Naga")</f>
        <v>City of Naga</v>
      </c>
      <c r="Z135" s="142" t="str">
        <f>IFERROR(__xludf.DUMMYFUNCTION("""COMPUTED_VALUE"""),"Ocampo")</f>
        <v>Ocampo</v>
      </c>
      <c r="AA135" s="142" t="str">
        <f>IFERROR(__xludf.DUMMYFUNCTION("""COMPUTED_VALUE"""),"Pamplona")</f>
        <v>Pamplona</v>
      </c>
      <c r="AB135" s="142" t="str">
        <f>IFERROR(__xludf.DUMMYFUNCTION("""COMPUTED_VALUE"""),"Pasacao")</f>
        <v>Pasacao</v>
      </c>
      <c r="AC135" s="142" t="str">
        <f>IFERROR(__xludf.DUMMYFUNCTION("""COMPUTED_VALUE"""),"Pili")</f>
        <v>Pili</v>
      </c>
      <c r="AD135" s="142" t="str">
        <f>IFERROR(__xludf.DUMMYFUNCTION("""COMPUTED_VALUE"""),"Presentacion")</f>
        <v>Presentacion</v>
      </c>
      <c r="AE135" s="142" t="str">
        <f>IFERROR(__xludf.DUMMYFUNCTION("""COMPUTED_VALUE"""),"Ragay")</f>
        <v>Ragay</v>
      </c>
      <c r="AF135" s="142" t="str">
        <f>IFERROR(__xludf.DUMMYFUNCTION("""COMPUTED_VALUE"""),"Sagñay")</f>
        <v>Sagñay</v>
      </c>
      <c r="AG135" s="142" t="str">
        <f>IFERROR(__xludf.DUMMYFUNCTION("""COMPUTED_VALUE"""),"San Fernando")</f>
        <v>San Fernando</v>
      </c>
      <c r="AH135" s="142" t="str">
        <f>IFERROR(__xludf.DUMMYFUNCTION("""COMPUTED_VALUE"""),"San Jose")</f>
        <v>San Jose</v>
      </c>
      <c r="AI135" s="142" t="str">
        <f>IFERROR(__xludf.DUMMYFUNCTION("""COMPUTED_VALUE"""),"Sipocot")</f>
        <v>Sipocot</v>
      </c>
      <c r="AJ135" s="142" t="str">
        <f>IFERROR(__xludf.DUMMYFUNCTION("""COMPUTED_VALUE"""),"Siruma")</f>
        <v>Siruma</v>
      </c>
      <c r="AK135" s="142" t="str">
        <f>IFERROR(__xludf.DUMMYFUNCTION("""COMPUTED_VALUE"""),"Tigaon")</f>
        <v>Tigaon</v>
      </c>
      <c r="AL135" s="142" t="str">
        <f>IFERROR(__xludf.DUMMYFUNCTION("""COMPUTED_VALUE"""),"Tinambac")</f>
        <v>Tinambac</v>
      </c>
      <c r="AM135" s="8"/>
      <c r="AN135" s="8"/>
      <c r="AO135" s="8"/>
      <c r="AP135" s="8"/>
      <c r="AQ135" s="8"/>
      <c r="AR135" s="8"/>
      <c r="AS135" s="8"/>
      <c r="AT135" s="8"/>
      <c r="AU135" s="8"/>
      <c r="AV135" s="8"/>
      <c r="AW135" s="8"/>
      <c r="AX135" s="8"/>
      <c r="AY135" s="8"/>
      <c r="AZ135" s="8"/>
      <c r="BA135" s="8"/>
      <c r="BB135" s="8"/>
      <c r="BC135" s="8"/>
      <c r="BD135" s="8"/>
      <c r="BE135" s="8"/>
    </row>
    <row r="136">
      <c r="A136" s="142" t="s">
        <v>632</v>
      </c>
      <c r="B136" s="142" t="str">
        <f>IFERROR(__xludf.DUMMYFUNCTION("""COMPUTED_VALUE"""),"Amlan")</f>
        <v>Amlan</v>
      </c>
      <c r="C136" s="142" t="str">
        <f>IFERROR(__xludf.DUMMYFUNCTION("""COMPUTED_VALUE"""),"Ayungon")</f>
        <v>Ayungon</v>
      </c>
      <c r="D136" s="142" t="str">
        <f>IFERROR(__xludf.DUMMYFUNCTION("""COMPUTED_VALUE"""),"Bacong")</f>
        <v>Bacong</v>
      </c>
      <c r="E136" s="142" t="str">
        <f>IFERROR(__xludf.DUMMYFUNCTION("""COMPUTED_VALUE"""),"City of Bais")</f>
        <v>City of Bais</v>
      </c>
      <c r="F136" s="142" t="str">
        <f>IFERROR(__xludf.DUMMYFUNCTION("""COMPUTED_VALUE"""),"Basay")</f>
        <v>Basay</v>
      </c>
      <c r="G136" s="142" t="str">
        <f>IFERROR(__xludf.DUMMYFUNCTION("""COMPUTED_VALUE"""),"City of Bayawan")</f>
        <v>City of Bayawan</v>
      </c>
      <c r="H136" s="142" t="str">
        <f>IFERROR(__xludf.DUMMYFUNCTION("""COMPUTED_VALUE"""),"Bindoy")</f>
        <v>Bindoy</v>
      </c>
      <c r="I136" s="142" t="str">
        <f>IFERROR(__xludf.DUMMYFUNCTION("""COMPUTED_VALUE"""),"City of Canlaon")</f>
        <v>City of Canlaon</v>
      </c>
      <c r="J136" s="142" t="str">
        <f>IFERROR(__xludf.DUMMYFUNCTION("""COMPUTED_VALUE"""),"Dauin")</f>
        <v>Dauin</v>
      </c>
      <c r="K136" s="142" t="str">
        <f>IFERROR(__xludf.DUMMYFUNCTION("""COMPUTED_VALUE"""),"City of Dumaguete")</f>
        <v>City of Dumaguete</v>
      </c>
      <c r="L136" s="142" t="str">
        <f>IFERROR(__xludf.DUMMYFUNCTION("""COMPUTED_VALUE"""),"City of Guihulngan")</f>
        <v>City of Guihulngan</v>
      </c>
      <c r="M136" s="142" t="str">
        <f>IFERROR(__xludf.DUMMYFUNCTION("""COMPUTED_VALUE"""),"Jimalalud")</f>
        <v>Jimalalud</v>
      </c>
      <c r="N136" s="142" t="str">
        <f>IFERROR(__xludf.DUMMYFUNCTION("""COMPUTED_VALUE"""),"La Libertad")</f>
        <v>La Libertad</v>
      </c>
      <c r="O136" s="142" t="str">
        <f>IFERROR(__xludf.DUMMYFUNCTION("""COMPUTED_VALUE"""),"Mabinay")</f>
        <v>Mabinay</v>
      </c>
      <c r="P136" s="142" t="str">
        <f>IFERROR(__xludf.DUMMYFUNCTION("""COMPUTED_VALUE"""),"Manjuyod")</f>
        <v>Manjuyod</v>
      </c>
      <c r="Q136" s="142" t="str">
        <f>IFERROR(__xludf.DUMMYFUNCTION("""COMPUTED_VALUE"""),"Pamplona")</f>
        <v>Pamplona</v>
      </c>
      <c r="R136" s="142" t="str">
        <f>IFERROR(__xludf.DUMMYFUNCTION("""COMPUTED_VALUE"""),"San Jose")</f>
        <v>San Jose</v>
      </c>
      <c r="S136" s="142" t="str">
        <f>IFERROR(__xludf.DUMMYFUNCTION("""COMPUTED_VALUE"""),"Santa Catalina")</f>
        <v>Santa Catalina</v>
      </c>
      <c r="T136" s="142" t="str">
        <f>IFERROR(__xludf.DUMMYFUNCTION("""COMPUTED_VALUE"""),"Siaton")</f>
        <v>Siaton</v>
      </c>
      <c r="U136" s="142" t="str">
        <f>IFERROR(__xludf.DUMMYFUNCTION("""COMPUTED_VALUE"""),"Sibulan")</f>
        <v>Sibulan</v>
      </c>
      <c r="V136" s="142" t="str">
        <f>IFERROR(__xludf.DUMMYFUNCTION("""COMPUTED_VALUE"""),"City of Tanjay")</f>
        <v>City of Tanjay</v>
      </c>
      <c r="W136" s="142" t="str">
        <f>IFERROR(__xludf.DUMMYFUNCTION("""COMPUTED_VALUE"""),"Tayasan")</f>
        <v>Tayasan</v>
      </c>
      <c r="X136" s="142" t="str">
        <f>IFERROR(__xludf.DUMMYFUNCTION("""COMPUTED_VALUE"""),"Valencia")</f>
        <v>Valencia</v>
      </c>
      <c r="Y136" s="142" t="str">
        <f>IFERROR(__xludf.DUMMYFUNCTION("""COMPUTED_VALUE"""),"Vallehermoso")</f>
        <v>Vallehermoso</v>
      </c>
      <c r="Z136" s="142" t="str">
        <f>IFERROR(__xludf.DUMMYFUNCTION("""COMPUTED_VALUE"""),"Zamboanguita")</f>
        <v>Zamboanguita</v>
      </c>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row>
    <row r="137">
      <c r="A137" s="142" t="s">
        <v>563</v>
      </c>
      <c r="B137" s="142" t="str">
        <f>IFERROR(__xludf.DUMMYFUNCTION("""COMPUTED_VALUE"""),"Alburquerque")</f>
        <v>Alburquerque</v>
      </c>
      <c r="C137" s="142" t="str">
        <f>IFERROR(__xludf.DUMMYFUNCTION("""COMPUTED_VALUE"""),"Alicia")</f>
        <v>Alicia</v>
      </c>
      <c r="D137" s="142" t="str">
        <f>IFERROR(__xludf.DUMMYFUNCTION("""COMPUTED_VALUE"""),"Anda")</f>
        <v>Anda</v>
      </c>
      <c r="E137" s="142" t="str">
        <f>IFERROR(__xludf.DUMMYFUNCTION("""COMPUTED_VALUE"""),"Antequera")</f>
        <v>Antequera</v>
      </c>
      <c r="F137" s="142" t="str">
        <f>IFERROR(__xludf.DUMMYFUNCTION("""COMPUTED_VALUE"""),"Baclayon")</f>
        <v>Baclayon</v>
      </c>
      <c r="G137" s="142" t="str">
        <f>IFERROR(__xludf.DUMMYFUNCTION("""COMPUTED_VALUE"""),"Balilihan")</f>
        <v>Balilihan</v>
      </c>
      <c r="H137" s="142" t="str">
        <f>IFERROR(__xludf.DUMMYFUNCTION("""COMPUTED_VALUE"""),"Batuan")</f>
        <v>Batuan</v>
      </c>
      <c r="I137" s="142" t="str">
        <f>IFERROR(__xludf.DUMMYFUNCTION("""COMPUTED_VALUE"""),"Bilar")</f>
        <v>Bilar</v>
      </c>
      <c r="J137" s="142" t="str">
        <f>IFERROR(__xludf.DUMMYFUNCTION("""COMPUTED_VALUE"""),"Buenavista")</f>
        <v>Buenavista</v>
      </c>
      <c r="K137" s="142" t="str">
        <f>IFERROR(__xludf.DUMMYFUNCTION("""COMPUTED_VALUE"""),"Calape")</f>
        <v>Calape</v>
      </c>
      <c r="L137" s="142" t="str">
        <f>IFERROR(__xludf.DUMMYFUNCTION("""COMPUTED_VALUE"""),"Candijay")</f>
        <v>Candijay</v>
      </c>
      <c r="M137" s="142" t="str">
        <f>IFERROR(__xludf.DUMMYFUNCTION("""COMPUTED_VALUE"""),"Carmen")</f>
        <v>Carmen</v>
      </c>
      <c r="N137" s="142" t="str">
        <f>IFERROR(__xludf.DUMMYFUNCTION("""COMPUTED_VALUE"""),"Catigbian")</f>
        <v>Catigbian</v>
      </c>
      <c r="O137" s="142" t="str">
        <f>IFERROR(__xludf.DUMMYFUNCTION("""COMPUTED_VALUE"""),"Clarin")</f>
        <v>Clarin</v>
      </c>
      <c r="P137" s="142" t="str">
        <f>IFERROR(__xludf.DUMMYFUNCTION("""COMPUTED_VALUE"""),"Corella")</f>
        <v>Corella</v>
      </c>
      <c r="Q137" s="142" t="str">
        <f>IFERROR(__xludf.DUMMYFUNCTION("""COMPUTED_VALUE"""),"Cortes")</f>
        <v>Cortes</v>
      </c>
      <c r="R137" s="142" t="str">
        <f>IFERROR(__xludf.DUMMYFUNCTION("""COMPUTED_VALUE"""),"Dagohoy")</f>
        <v>Dagohoy</v>
      </c>
      <c r="S137" s="142" t="str">
        <f>IFERROR(__xludf.DUMMYFUNCTION("""COMPUTED_VALUE"""),"Danao")</f>
        <v>Danao</v>
      </c>
      <c r="T137" s="142" t="str">
        <f>IFERROR(__xludf.DUMMYFUNCTION("""COMPUTED_VALUE"""),"Dauis")</f>
        <v>Dauis</v>
      </c>
      <c r="U137" s="142" t="str">
        <f>IFERROR(__xludf.DUMMYFUNCTION("""COMPUTED_VALUE"""),"Dimiao")</f>
        <v>Dimiao</v>
      </c>
      <c r="V137" s="142" t="str">
        <f>IFERROR(__xludf.DUMMYFUNCTION("""COMPUTED_VALUE"""),"Duero")</f>
        <v>Duero</v>
      </c>
      <c r="W137" s="142" t="str">
        <f>IFERROR(__xludf.DUMMYFUNCTION("""COMPUTED_VALUE"""),"Garcia Hernandez")</f>
        <v>Garcia Hernandez</v>
      </c>
      <c r="X137" s="142" t="str">
        <f>IFERROR(__xludf.DUMMYFUNCTION("""COMPUTED_VALUE"""),"Guindulman")</f>
        <v>Guindulman</v>
      </c>
      <c r="Y137" s="142" t="str">
        <f>IFERROR(__xludf.DUMMYFUNCTION("""COMPUTED_VALUE"""),"Inabanga")</f>
        <v>Inabanga</v>
      </c>
      <c r="Z137" s="142" t="str">
        <f>IFERROR(__xludf.DUMMYFUNCTION("""COMPUTED_VALUE"""),"Jagna")</f>
        <v>Jagna</v>
      </c>
      <c r="AA137" s="142" t="str">
        <f>IFERROR(__xludf.DUMMYFUNCTION("""COMPUTED_VALUE"""),"Getafe")</f>
        <v>Getafe</v>
      </c>
      <c r="AB137" s="142" t="str">
        <f>IFERROR(__xludf.DUMMYFUNCTION("""COMPUTED_VALUE"""),"Lila")</f>
        <v>Lila</v>
      </c>
      <c r="AC137" s="142" t="str">
        <f>IFERROR(__xludf.DUMMYFUNCTION("""COMPUTED_VALUE"""),"Loay")</f>
        <v>Loay</v>
      </c>
      <c r="AD137" s="142" t="str">
        <f>IFERROR(__xludf.DUMMYFUNCTION("""COMPUTED_VALUE"""),"Loboc")</f>
        <v>Loboc</v>
      </c>
      <c r="AE137" s="142" t="str">
        <f>IFERROR(__xludf.DUMMYFUNCTION("""COMPUTED_VALUE"""),"Loon")</f>
        <v>Loon</v>
      </c>
      <c r="AF137" s="142" t="str">
        <f>IFERROR(__xludf.DUMMYFUNCTION("""COMPUTED_VALUE"""),"Mabini")</f>
        <v>Mabini</v>
      </c>
      <c r="AG137" s="142" t="str">
        <f>IFERROR(__xludf.DUMMYFUNCTION("""COMPUTED_VALUE"""),"Maribojoc")</f>
        <v>Maribojoc</v>
      </c>
      <c r="AH137" s="142" t="str">
        <f>IFERROR(__xludf.DUMMYFUNCTION("""COMPUTED_VALUE"""),"Panglao")</f>
        <v>Panglao</v>
      </c>
      <c r="AI137" s="142" t="str">
        <f>IFERROR(__xludf.DUMMYFUNCTION("""COMPUTED_VALUE"""),"Pilar")</f>
        <v>Pilar</v>
      </c>
      <c r="AJ137" s="142" t="str">
        <f>IFERROR(__xludf.DUMMYFUNCTION("""COMPUTED_VALUE"""),"President Carlos P. Garcia")</f>
        <v>President Carlos P. Garcia</v>
      </c>
      <c r="AK137" s="142" t="str">
        <f>IFERROR(__xludf.DUMMYFUNCTION("""COMPUTED_VALUE"""),"Sagbayan")</f>
        <v>Sagbayan</v>
      </c>
      <c r="AL137" s="142" t="str">
        <f>IFERROR(__xludf.DUMMYFUNCTION("""COMPUTED_VALUE"""),"San Isidro")</f>
        <v>San Isidro</v>
      </c>
      <c r="AM137" s="142" t="str">
        <f>IFERROR(__xludf.DUMMYFUNCTION("""COMPUTED_VALUE"""),"San Miguel")</f>
        <v>San Miguel</v>
      </c>
      <c r="AN137" s="142" t="str">
        <f>IFERROR(__xludf.DUMMYFUNCTION("""COMPUTED_VALUE"""),"Sevilla")</f>
        <v>Sevilla</v>
      </c>
      <c r="AO137" s="142" t="str">
        <f>IFERROR(__xludf.DUMMYFUNCTION("""COMPUTED_VALUE"""),"Sierra Bullones")</f>
        <v>Sierra Bullones</v>
      </c>
      <c r="AP137" s="142" t="str">
        <f>IFERROR(__xludf.DUMMYFUNCTION("""COMPUTED_VALUE"""),"Sikatuna")</f>
        <v>Sikatuna</v>
      </c>
      <c r="AQ137" s="142" t="str">
        <f>IFERROR(__xludf.DUMMYFUNCTION("""COMPUTED_VALUE"""),"City of Tagbilaran")</f>
        <v>City of Tagbilaran</v>
      </c>
      <c r="AR137" s="142" t="str">
        <f>IFERROR(__xludf.DUMMYFUNCTION("""COMPUTED_VALUE"""),"Talibon")</f>
        <v>Talibon</v>
      </c>
      <c r="AS137" s="142" t="str">
        <f>IFERROR(__xludf.DUMMYFUNCTION("""COMPUTED_VALUE"""),"Trinidad")</f>
        <v>Trinidad</v>
      </c>
      <c r="AT137" s="142" t="str">
        <f>IFERROR(__xludf.DUMMYFUNCTION("""COMPUTED_VALUE"""),"Tubigon")</f>
        <v>Tubigon</v>
      </c>
      <c r="AU137" s="142" t="str">
        <f>IFERROR(__xludf.DUMMYFUNCTION("""COMPUTED_VALUE"""),"Ubay")</f>
        <v>Ubay</v>
      </c>
      <c r="AV137" s="142" t="str">
        <f>IFERROR(__xludf.DUMMYFUNCTION("""COMPUTED_VALUE"""),"Valencia")</f>
        <v>Valencia</v>
      </c>
      <c r="AW137" s="142" t="str">
        <f>IFERROR(__xludf.DUMMYFUNCTION("""COMPUTED_VALUE"""),"Bien Unido")</f>
        <v>Bien Unido</v>
      </c>
      <c r="AX137" s="8"/>
      <c r="AY137" s="8"/>
      <c r="AZ137" s="8"/>
      <c r="BA137" s="8"/>
      <c r="BB137" s="8"/>
      <c r="BC137" s="8"/>
      <c r="BD137" s="8"/>
      <c r="BE137" s="8"/>
    </row>
    <row r="138">
      <c r="A138" s="142" t="s">
        <v>529</v>
      </c>
      <c r="B138" s="142" t="str">
        <f>IFERROR(__xludf.DUMMYFUNCTION("""COMPUTED_VALUE"""),"Alcantara")</f>
        <v>Alcantara</v>
      </c>
      <c r="C138" s="142" t="str">
        <f>IFERROR(__xludf.DUMMYFUNCTION("""COMPUTED_VALUE"""),"Banton")</f>
        <v>Banton</v>
      </c>
      <c r="D138" s="142" t="str">
        <f>IFERROR(__xludf.DUMMYFUNCTION("""COMPUTED_VALUE"""),"Cajidiocan")</f>
        <v>Cajidiocan</v>
      </c>
      <c r="E138" s="142" t="str">
        <f>IFERROR(__xludf.DUMMYFUNCTION("""COMPUTED_VALUE"""),"Calatrava")</f>
        <v>Calatrava</v>
      </c>
      <c r="F138" s="142" t="str">
        <f>IFERROR(__xludf.DUMMYFUNCTION("""COMPUTED_VALUE"""),"Concepcion")</f>
        <v>Concepcion</v>
      </c>
      <c r="G138" s="142" t="str">
        <f>IFERROR(__xludf.DUMMYFUNCTION("""COMPUTED_VALUE"""),"Corcuera")</f>
        <v>Corcuera</v>
      </c>
      <c r="H138" s="142" t="str">
        <f>IFERROR(__xludf.DUMMYFUNCTION("""COMPUTED_VALUE"""),"Looc")</f>
        <v>Looc</v>
      </c>
      <c r="I138" s="142" t="str">
        <f>IFERROR(__xludf.DUMMYFUNCTION("""COMPUTED_VALUE"""),"Magdiwang")</f>
        <v>Magdiwang</v>
      </c>
      <c r="J138" s="142" t="str">
        <f>IFERROR(__xludf.DUMMYFUNCTION("""COMPUTED_VALUE"""),"Odiongan")</f>
        <v>Odiongan</v>
      </c>
      <c r="K138" s="142" t="str">
        <f>IFERROR(__xludf.DUMMYFUNCTION("""COMPUTED_VALUE"""),"Romblon")</f>
        <v>Romblon</v>
      </c>
      <c r="L138" s="142" t="str">
        <f>IFERROR(__xludf.DUMMYFUNCTION("""COMPUTED_VALUE"""),"San Agustin")</f>
        <v>San Agustin</v>
      </c>
      <c r="M138" s="142" t="str">
        <f>IFERROR(__xludf.DUMMYFUNCTION("""COMPUTED_VALUE"""),"San Andres")</f>
        <v>San Andres</v>
      </c>
      <c r="N138" s="142" t="str">
        <f>IFERROR(__xludf.DUMMYFUNCTION("""COMPUTED_VALUE"""),"San Fernando")</f>
        <v>San Fernando</v>
      </c>
      <c r="O138" s="142" t="str">
        <f>IFERROR(__xludf.DUMMYFUNCTION("""COMPUTED_VALUE"""),"San Jose")</f>
        <v>San Jose</v>
      </c>
      <c r="P138" s="142" t="str">
        <f>IFERROR(__xludf.DUMMYFUNCTION("""COMPUTED_VALUE"""),"Santa Fe")</f>
        <v>Santa Fe</v>
      </c>
      <c r="Q138" s="142" t="str">
        <f>IFERROR(__xludf.DUMMYFUNCTION("""COMPUTED_VALUE"""),"Ferrol")</f>
        <v>Ferrol</v>
      </c>
      <c r="R138" s="142" t="str">
        <f>IFERROR(__xludf.DUMMYFUNCTION("""COMPUTED_VALUE"""),"Santa Maria")</f>
        <v>Santa Maria</v>
      </c>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row>
    <row r="139">
      <c r="A139" s="142" t="s">
        <v>172</v>
      </c>
      <c r="B139" s="142" t="str">
        <f>IFERROR(__xludf.DUMMYFUNCTION("""COMPUTED_VALUE"""),"Alubijid")</f>
        <v>Alubijid</v>
      </c>
      <c r="C139" s="142" t="str">
        <f>IFERROR(__xludf.DUMMYFUNCTION("""COMPUTED_VALUE"""),"Balingasag")</f>
        <v>Balingasag</v>
      </c>
      <c r="D139" s="142" t="str">
        <f>IFERROR(__xludf.DUMMYFUNCTION("""COMPUTED_VALUE"""),"Balingoan")</f>
        <v>Balingoan</v>
      </c>
      <c r="E139" s="142" t="str">
        <f>IFERROR(__xludf.DUMMYFUNCTION("""COMPUTED_VALUE"""),"Binuangan")</f>
        <v>Binuangan</v>
      </c>
      <c r="F139" s="142" t="str">
        <f>IFERROR(__xludf.DUMMYFUNCTION("""COMPUTED_VALUE"""),"City of Cagayan De Oro")</f>
        <v>City of Cagayan De Oro</v>
      </c>
      <c r="G139" s="142" t="str">
        <f>IFERROR(__xludf.DUMMYFUNCTION("""COMPUTED_VALUE"""),"Claveria")</f>
        <v>Claveria</v>
      </c>
      <c r="H139" s="142" t="str">
        <f>IFERROR(__xludf.DUMMYFUNCTION("""COMPUTED_VALUE"""),"City of El Salvador")</f>
        <v>City of El Salvador</v>
      </c>
      <c r="I139" s="142" t="str">
        <f>IFERROR(__xludf.DUMMYFUNCTION("""COMPUTED_VALUE"""),"City of Gingoog")</f>
        <v>City of Gingoog</v>
      </c>
      <c r="J139" s="142" t="str">
        <f>IFERROR(__xludf.DUMMYFUNCTION("""COMPUTED_VALUE"""),"Gitagum")</f>
        <v>Gitagum</v>
      </c>
      <c r="K139" s="142" t="str">
        <f>IFERROR(__xludf.DUMMYFUNCTION("""COMPUTED_VALUE"""),"Initao")</f>
        <v>Initao</v>
      </c>
      <c r="L139" s="142" t="str">
        <f>IFERROR(__xludf.DUMMYFUNCTION("""COMPUTED_VALUE"""),"Jasaan")</f>
        <v>Jasaan</v>
      </c>
      <c r="M139" s="142" t="str">
        <f>IFERROR(__xludf.DUMMYFUNCTION("""COMPUTED_VALUE"""),"Kinoguitan")</f>
        <v>Kinoguitan</v>
      </c>
      <c r="N139" s="142" t="str">
        <f>IFERROR(__xludf.DUMMYFUNCTION("""COMPUTED_VALUE"""),"Lagonglong")</f>
        <v>Lagonglong</v>
      </c>
      <c r="O139" s="142" t="str">
        <f>IFERROR(__xludf.DUMMYFUNCTION("""COMPUTED_VALUE"""),"Laguindingan")</f>
        <v>Laguindingan</v>
      </c>
      <c r="P139" s="142" t="str">
        <f>IFERROR(__xludf.DUMMYFUNCTION("""COMPUTED_VALUE"""),"Libertad")</f>
        <v>Libertad</v>
      </c>
      <c r="Q139" s="142" t="str">
        <f>IFERROR(__xludf.DUMMYFUNCTION("""COMPUTED_VALUE"""),"Lugait")</f>
        <v>Lugait</v>
      </c>
      <c r="R139" s="142" t="str">
        <f>IFERROR(__xludf.DUMMYFUNCTION("""COMPUTED_VALUE"""),"Magsaysay")</f>
        <v>Magsaysay</v>
      </c>
      <c r="S139" s="142" t="str">
        <f>IFERROR(__xludf.DUMMYFUNCTION("""COMPUTED_VALUE"""),"Manticao")</f>
        <v>Manticao</v>
      </c>
      <c r="T139" s="142" t="str">
        <f>IFERROR(__xludf.DUMMYFUNCTION("""COMPUTED_VALUE"""),"Medina")</f>
        <v>Medina</v>
      </c>
      <c r="U139" s="142" t="str">
        <f>IFERROR(__xludf.DUMMYFUNCTION("""COMPUTED_VALUE"""),"Naawan")</f>
        <v>Naawan</v>
      </c>
      <c r="V139" s="142" t="str">
        <f>IFERROR(__xludf.DUMMYFUNCTION("""COMPUTED_VALUE"""),"Opol")</f>
        <v>Opol</v>
      </c>
      <c r="W139" s="142" t="str">
        <f>IFERROR(__xludf.DUMMYFUNCTION("""COMPUTED_VALUE"""),"Salay")</f>
        <v>Salay</v>
      </c>
      <c r="X139" s="142" t="str">
        <f>IFERROR(__xludf.DUMMYFUNCTION("""COMPUTED_VALUE"""),"Sugbongcogon")</f>
        <v>Sugbongcogon</v>
      </c>
      <c r="Y139" s="142" t="str">
        <f>IFERROR(__xludf.DUMMYFUNCTION("""COMPUTED_VALUE"""),"Tagoloan")</f>
        <v>Tagoloan</v>
      </c>
      <c r="Z139" s="142" t="str">
        <f>IFERROR(__xludf.DUMMYFUNCTION("""COMPUTED_VALUE"""),"Talisayan")</f>
        <v>Talisayan</v>
      </c>
      <c r="AA139" s="142" t="str">
        <f>IFERROR(__xludf.DUMMYFUNCTION("""COMPUTED_VALUE"""),"Villanueva")</f>
        <v>Villanueva</v>
      </c>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row>
    <row r="140">
      <c r="A140" s="142" t="s">
        <v>438</v>
      </c>
      <c r="B140" s="142" t="str">
        <f>IFERROR(__xludf.DUMMYFUNCTION("""COMPUTED_VALUE"""),"Agoo")</f>
        <v>Agoo</v>
      </c>
      <c r="C140" s="142" t="str">
        <f>IFERROR(__xludf.DUMMYFUNCTION("""COMPUTED_VALUE"""),"Aringay")</f>
        <v>Aringay</v>
      </c>
      <c r="D140" s="142" t="str">
        <f>IFERROR(__xludf.DUMMYFUNCTION("""COMPUTED_VALUE"""),"Bacnotan")</f>
        <v>Bacnotan</v>
      </c>
      <c r="E140" s="142" t="str">
        <f>IFERROR(__xludf.DUMMYFUNCTION("""COMPUTED_VALUE"""),"Bagulin")</f>
        <v>Bagulin</v>
      </c>
      <c r="F140" s="142" t="str">
        <f>IFERROR(__xludf.DUMMYFUNCTION("""COMPUTED_VALUE"""),"Balaoan")</f>
        <v>Balaoan</v>
      </c>
      <c r="G140" s="142" t="str">
        <f>IFERROR(__xludf.DUMMYFUNCTION("""COMPUTED_VALUE"""),"Bangar")</f>
        <v>Bangar</v>
      </c>
      <c r="H140" s="142" t="str">
        <f>IFERROR(__xludf.DUMMYFUNCTION("""COMPUTED_VALUE"""),"Bauang")</f>
        <v>Bauang</v>
      </c>
      <c r="I140" s="142" t="str">
        <f>IFERROR(__xludf.DUMMYFUNCTION("""COMPUTED_VALUE"""),"Burgos")</f>
        <v>Burgos</v>
      </c>
      <c r="J140" s="142" t="str">
        <f>IFERROR(__xludf.DUMMYFUNCTION("""COMPUTED_VALUE"""),"Caba")</f>
        <v>Caba</v>
      </c>
      <c r="K140" s="142" t="str">
        <f>IFERROR(__xludf.DUMMYFUNCTION("""COMPUTED_VALUE"""),"Luna")</f>
        <v>Luna</v>
      </c>
      <c r="L140" s="142" t="str">
        <f>IFERROR(__xludf.DUMMYFUNCTION("""COMPUTED_VALUE"""),"Naguilian")</f>
        <v>Naguilian</v>
      </c>
      <c r="M140" s="142" t="str">
        <f>IFERROR(__xludf.DUMMYFUNCTION("""COMPUTED_VALUE"""),"Pugo")</f>
        <v>Pugo</v>
      </c>
      <c r="N140" s="142" t="str">
        <f>IFERROR(__xludf.DUMMYFUNCTION("""COMPUTED_VALUE"""),"Rosario")</f>
        <v>Rosario</v>
      </c>
      <c r="O140" s="142" t="str">
        <f>IFERROR(__xludf.DUMMYFUNCTION("""COMPUTED_VALUE"""),"City of San Fernando")</f>
        <v>City of San Fernando</v>
      </c>
      <c r="P140" s="142" t="str">
        <f>IFERROR(__xludf.DUMMYFUNCTION("""COMPUTED_VALUE"""),"San Gabriel")</f>
        <v>San Gabriel</v>
      </c>
      <c r="Q140" s="142" t="str">
        <f>IFERROR(__xludf.DUMMYFUNCTION("""COMPUTED_VALUE"""),"San Juan")</f>
        <v>San Juan</v>
      </c>
      <c r="R140" s="142" t="str">
        <f>IFERROR(__xludf.DUMMYFUNCTION("""COMPUTED_VALUE"""),"Santo Tomas")</f>
        <v>Santo Tomas</v>
      </c>
      <c r="S140" s="142" t="str">
        <f>IFERROR(__xludf.DUMMYFUNCTION("""COMPUTED_VALUE"""),"Santol")</f>
        <v>Santol</v>
      </c>
      <c r="T140" s="142" t="str">
        <f>IFERROR(__xludf.DUMMYFUNCTION("""COMPUTED_VALUE"""),"Sudipen")</f>
        <v>Sudipen</v>
      </c>
      <c r="U140" s="142" t="str">
        <f>IFERROR(__xludf.DUMMYFUNCTION("""COMPUTED_VALUE"""),"Tubao")</f>
        <v>Tubao</v>
      </c>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row>
    <row r="141">
      <c r="A141" s="142" t="s">
        <v>893</v>
      </c>
      <c r="B141" s="142" t="str">
        <f>IFERROR(__xludf.DUMMYFUNCTION("""COMPUTED_VALUE"""),"Bacacay")</f>
        <v>Bacacay</v>
      </c>
      <c r="C141" s="142" t="str">
        <f>IFERROR(__xludf.DUMMYFUNCTION("""COMPUTED_VALUE"""),"Camalig")</f>
        <v>Camalig</v>
      </c>
      <c r="D141" s="142" t="str">
        <f>IFERROR(__xludf.DUMMYFUNCTION("""COMPUTED_VALUE"""),"Daraga")</f>
        <v>Daraga</v>
      </c>
      <c r="E141" s="142" t="str">
        <f>IFERROR(__xludf.DUMMYFUNCTION("""COMPUTED_VALUE"""),"Guinobatan")</f>
        <v>Guinobatan</v>
      </c>
      <c r="F141" s="142" t="str">
        <f>IFERROR(__xludf.DUMMYFUNCTION("""COMPUTED_VALUE"""),"Jovellar")</f>
        <v>Jovellar</v>
      </c>
      <c r="G141" s="142" t="str">
        <f>IFERROR(__xludf.DUMMYFUNCTION("""COMPUTED_VALUE"""),"City of Legazpi")</f>
        <v>City of Legazpi</v>
      </c>
      <c r="H141" s="142" t="str">
        <f>IFERROR(__xludf.DUMMYFUNCTION("""COMPUTED_VALUE"""),"Libon")</f>
        <v>Libon</v>
      </c>
      <c r="I141" s="142" t="str">
        <f>IFERROR(__xludf.DUMMYFUNCTION("""COMPUTED_VALUE"""),"City of Ligao")</f>
        <v>City of Ligao</v>
      </c>
      <c r="J141" s="142" t="str">
        <f>IFERROR(__xludf.DUMMYFUNCTION("""COMPUTED_VALUE"""),"Malilipot")</f>
        <v>Malilipot</v>
      </c>
      <c r="K141" s="142" t="str">
        <f>IFERROR(__xludf.DUMMYFUNCTION("""COMPUTED_VALUE"""),"Malinao")</f>
        <v>Malinao</v>
      </c>
      <c r="L141" s="142" t="str">
        <f>IFERROR(__xludf.DUMMYFUNCTION("""COMPUTED_VALUE"""),"Manito")</f>
        <v>Manito</v>
      </c>
      <c r="M141" s="142" t="str">
        <f>IFERROR(__xludf.DUMMYFUNCTION("""COMPUTED_VALUE"""),"Oas")</f>
        <v>Oas</v>
      </c>
      <c r="N141" s="142" t="str">
        <f>IFERROR(__xludf.DUMMYFUNCTION("""COMPUTED_VALUE"""),"Pio Duran")</f>
        <v>Pio Duran</v>
      </c>
      <c r="O141" s="142" t="str">
        <f>IFERROR(__xludf.DUMMYFUNCTION("""COMPUTED_VALUE"""),"Polangui")</f>
        <v>Polangui</v>
      </c>
      <c r="P141" s="142" t="str">
        <f>IFERROR(__xludf.DUMMYFUNCTION("""COMPUTED_VALUE"""),"Rapu-Rapu")</f>
        <v>Rapu-Rapu</v>
      </c>
      <c r="Q141" s="142" t="str">
        <f>IFERROR(__xludf.DUMMYFUNCTION("""COMPUTED_VALUE"""),"Santo Domingo")</f>
        <v>Santo Domingo</v>
      </c>
      <c r="R141" s="142" t="str">
        <f>IFERROR(__xludf.DUMMYFUNCTION("""COMPUTED_VALUE"""),"City of Tabaco")</f>
        <v>City of Tabaco</v>
      </c>
      <c r="S141" s="142" t="str">
        <f>IFERROR(__xludf.DUMMYFUNCTION("""COMPUTED_VALUE"""),"Tiwi")</f>
        <v>Tiwi</v>
      </c>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row>
    <row r="142">
      <c r="A142" s="142" t="s">
        <v>144</v>
      </c>
      <c r="B142" s="142" t="str">
        <f>IFERROR(__xludf.DUMMYFUNCTION("""COMPUTED_VALUE"""),"Agno")</f>
        <v>Agno</v>
      </c>
      <c r="C142" s="142" t="str">
        <f>IFERROR(__xludf.DUMMYFUNCTION("""COMPUTED_VALUE"""),"Aguilar")</f>
        <v>Aguilar</v>
      </c>
      <c r="D142" s="142" t="str">
        <f>IFERROR(__xludf.DUMMYFUNCTION("""COMPUTED_VALUE"""),"City of Alaminos")</f>
        <v>City of Alaminos</v>
      </c>
      <c r="E142" s="142" t="str">
        <f>IFERROR(__xludf.DUMMYFUNCTION("""COMPUTED_VALUE"""),"Alcala")</f>
        <v>Alcala</v>
      </c>
      <c r="F142" s="142" t="str">
        <f>IFERROR(__xludf.DUMMYFUNCTION("""COMPUTED_VALUE"""),"Anda")</f>
        <v>Anda</v>
      </c>
      <c r="G142" s="142" t="str">
        <f>IFERROR(__xludf.DUMMYFUNCTION("""COMPUTED_VALUE"""),"Asingan")</f>
        <v>Asingan</v>
      </c>
      <c r="H142" s="142" t="str">
        <f>IFERROR(__xludf.DUMMYFUNCTION("""COMPUTED_VALUE"""),"Balungao")</f>
        <v>Balungao</v>
      </c>
      <c r="I142" s="142" t="str">
        <f>IFERROR(__xludf.DUMMYFUNCTION("""COMPUTED_VALUE"""),"Bani")</f>
        <v>Bani</v>
      </c>
      <c r="J142" s="142" t="str">
        <f>IFERROR(__xludf.DUMMYFUNCTION("""COMPUTED_VALUE"""),"Basista")</f>
        <v>Basista</v>
      </c>
      <c r="K142" s="142" t="str">
        <f>IFERROR(__xludf.DUMMYFUNCTION("""COMPUTED_VALUE"""),"Bautista")</f>
        <v>Bautista</v>
      </c>
      <c r="L142" s="142" t="str">
        <f>IFERROR(__xludf.DUMMYFUNCTION("""COMPUTED_VALUE"""),"Bayambang")</f>
        <v>Bayambang</v>
      </c>
      <c r="M142" s="142" t="str">
        <f>IFERROR(__xludf.DUMMYFUNCTION("""COMPUTED_VALUE"""),"Binalonan")</f>
        <v>Binalonan</v>
      </c>
      <c r="N142" s="142" t="str">
        <f>IFERROR(__xludf.DUMMYFUNCTION("""COMPUTED_VALUE"""),"Binmaley")</f>
        <v>Binmaley</v>
      </c>
      <c r="O142" s="142" t="str">
        <f>IFERROR(__xludf.DUMMYFUNCTION("""COMPUTED_VALUE"""),"Bolinao")</f>
        <v>Bolinao</v>
      </c>
      <c r="P142" s="142" t="str">
        <f>IFERROR(__xludf.DUMMYFUNCTION("""COMPUTED_VALUE"""),"Bugallon")</f>
        <v>Bugallon</v>
      </c>
      <c r="Q142" s="142" t="str">
        <f>IFERROR(__xludf.DUMMYFUNCTION("""COMPUTED_VALUE"""),"Burgos")</f>
        <v>Burgos</v>
      </c>
      <c r="R142" s="142" t="str">
        <f>IFERROR(__xludf.DUMMYFUNCTION("""COMPUTED_VALUE"""),"Calasiao")</f>
        <v>Calasiao</v>
      </c>
      <c r="S142" s="142" t="str">
        <f>IFERROR(__xludf.DUMMYFUNCTION("""COMPUTED_VALUE"""),"City of Dagupan")</f>
        <v>City of Dagupan</v>
      </c>
      <c r="T142" s="142" t="str">
        <f>IFERROR(__xludf.DUMMYFUNCTION("""COMPUTED_VALUE"""),"Dasol")</f>
        <v>Dasol</v>
      </c>
      <c r="U142" s="142" t="str">
        <f>IFERROR(__xludf.DUMMYFUNCTION("""COMPUTED_VALUE"""),"Infanta")</f>
        <v>Infanta</v>
      </c>
      <c r="V142" s="142" t="str">
        <f>IFERROR(__xludf.DUMMYFUNCTION("""COMPUTED_VALUE"""),"Labrador")</f>
        <v>Labrador</v>
      </c>
      <c r="W142" s="142" t="str">
        <f>IFERROR(__xludf.DUMMYFUNCTION("""COMPUTED_VALUE"""),"Lingayen")</f>
        <v>Lingayen</v>
      </c>
      <c r="X142" s="142" t="str">
        <f>IFERROR(__xludf.DUMMYFUNCTION("""COMPUTED_VALUE"""),"Mabini")</f>
        <v>Mabini</v>
      </c>
      <c r="Y142" s="142" t="str">
        <f>IFERROR(__xludf.DUMMYFUNCTION("""COMPUTED_VALUE"""),"Malasiqui")</f>
        <v>Malasiqui</v>
      </c>
      <c r="Z142" s="142" t="str">
        <f>IFERROR(__xludf.DUMMYFUNCTION("""COMPUTED_VALUE"""),"Manaoag")</f>
        <v>Manaoag</v>
      </c>
      <c r="AA142" s="142" t="str">
        <f>IFERROR(__xludf.DUMMYFUNCTION("""COMPUTED_VALUE"""),"Mangaldan")</f>
        <v>Mangaldan</v>
      </c>
      <c r="AB142" s="142" t="str">
        <f>IFERROR(__xludf.DUMMYFUNCTION("""COMPUTED_VALUE"""),"Mangatarem")</f>
        <v>Mangatarem</v>
      </c>
      <c r="AC142" s="142" t="str">
        <f>IFERROR(__xludf.DUMMYFUNCTION("""COMPUTED_VALUE"""),"Mapandan")</f>
        <v>Mapandan</v>
      </c>
      <c r="AD142" s="142" t="str">
        <f>IFERROR(__xludf.DUMMYFUNCTION("""COMPUTED_VALUE"""),"Natividad")</f>
        <v>Natividad</v>
      </c>
      <c r="AE142" s="142" t="str">
        <f>IFERROR(__xludf.DUMMYFUNCTION("""COMPUTED_VALUE"""),"Pozorrubio")</f>
        <v>Pozorrubio</v>
      </c>
      <c r="AF142" s="142" t="str">
        <f>IFERROR(__xludf.DUMMYFUNCTION("""COMPUTED_VALUE"""),"Rosales")</f>
        <v>Rosales</v>
      </c>
      <c r="AG142" s="142" t="str">
        <f>IFERROR(__xludf.DUMMYFUNCTION("""COMPUTED_VALUE"""),"City of San Carlos")</f>
        <v>City of San Carlos</v>
      </c>
      <c r="AH142" s="142" t="str">
        <f>IFERROR(__xludf.DUMMYFUNCTION("""COMPUTED_VALUE"""),"San Fabian")</f>
        <v>San Fabian</v>
      </c>
      <c r="AI142" s="142" t="str">
        <f>IFERROR(__xludf.DUMMYFUNCTION("""COMPUTED_VALUE"""),"San Jacinto")</f>
        <v>San Jacinto</v>
      </c>
      <c r="AJ142" s="142" t="str">
        <f>IFERROR(__xludf.DUMMYFUNCTION("""COMPUTED_VALUE"""),"San Manuel")</f>
        <v>San Manuel</v>
      </c>
      <c r="AK142" s="142" t="str">
        <f>IFERROR(__xludf.DUMMYFUNCTION("""COMPUTED_VALUE"""),"San Nicolas")</f>
        <v>San Nicolas</v>
      </c>
      <c r="AL142" s="142" t="str">
        <f>IFERROR(__xludf.DUMMYFUNCTION("""COMPUTED_VALUE"""),"San Quintin")</f>
        <v>San Quintin</v>
      </c>
      <c r="AM142" s="142" t="str">
        <f>IFERROR(__xludf.DUMMYFUNCTION("""COMPUTED_VALUE"""),"Santa Barbara")</f>
        <v>Santa Barbara</v>
      </c>
      <c r="AN142" s="142" t="str">
        <f>IFERROR(__xludf.DUMMYFUNCTION("""COMPUTED_VALUE"""),"Santa Maria")</f>
        <v>Santa Maria</v>
      </c>
      <c r="AO142" s="142" t="str">
        <f>IFERROR(__xludf.DUMMYFUNCTION("""COMPUTED_VALUE"""),"Santo Tomas")</f>
        <v>Santo Tomas</v>
      </c>
      <c r="AP142" s="142" t="str">
        <f>IFERROR(__xludf.DUMMYFUNCTION("""COMPUTED_VALUE"""),"Sison")</f>
        <v>Sison</v>
      </c>
      <c r="AQ142" s="142" t="str">
        <f>IFERROR(__xludf.DUMMYFUNCTION("""COMPUTED_VALUE"""),"Sual")</f>
        <v>Sual</v>
      </c>
      <c r="AR142" s="142" t="str">
        <f>IFERROR(__xludf.DUMMYFUNCTION("""COMPUTED_VALUE"""),"Tayug")</f>
        <v>Tayug</v>
      </c>
      <c r="AS142" s="142" t="str">
        <f>IFERROR(__xludf.DUMMYFUNCTION("""COMPUTED_VALUE"""),"Umingan")</f>
        <v>Umingan</v>
      </c>
      <c r="AT142" s="142" t="str">
        <f>IFERROR(__xludf.DUMMYFUNCTION("""COMPUTED_VALUE"""),"Urbiztondo")</f>
        <v>Urbiztondo</v>
      </c>
      <c r="AU142" s="142" t="str">
        <f>IFERROR(__xludf.DUMMYFUNCTION("""COMPUTED_VALUE"""),"City of Urdaneta")</f>
        <v>City of Urdaneta</v>
      </c>
      <c r="AV142" s="142" t="str">
        <f>IFERROR(__xludf.DUMMYFUNCTION("""COMPUTED_VALUE"""),"Villasis")</f>
        <v>Villasis</v>
      </c>
      <c r="AW142" s="142" t="str">
        <f>IFERROR(__xludf.DUMMYFUNCTION("""COMPUTED_VALUE"""),"Laoac")</f>
        <v>Laoac</v>
      </c>
      <c r="AX142" s="8"/>
      <c r="AY142" s="8"/>
      <c r="AZ142" s="8"/>
      <c r="BA142" s="8"/>
      <c r="BB142" s="8"/>
      <c r="BC142" s="8"/>
      <c r="BD142" s="8"/>
      <c r="BE142" s="8"/>
    </row>
    <row r="143">
      <c r="A143" s="142" t="s">
        <v>802</v>
      </c>
      <c r="B143" s="142" t="str">
        <f>IFERROR(__xludf.DUMMYFUNCTION("""COMPUTED_VALUE"""),"Boac")</f>
        <v>Boac</v>
      </c>
      <c r="C143" s="142" t="str">
        <f>IFERROR(__xludf.DUMMYFUNCTION("""COMPUTED_VALUE"""),"Buenavista")</f>
        <v>Buenavista</v>
      </c>
      <c r="D143" s="142" t="str">
        <f>IFERROR(__xludf.DUMMYFUNCTION("""COMPUTED_VALUE"""),"Gasan")</f>
        <v>Gasan</v>
      </c>
      <c r="E143" s="142" t="str">
        <f>IFERROR(__xludf.DUMMYFUNCTION("""COMPUTED_VALUE"""),"Mogpog")</f>
        <v>Mogpog</v>
      </c>
      <c r="F143" s="142" t="str">
        <f>IFERROR(__xludf.DUMMYFUNCTION("""COMPUTED_VALUE"""),"Santa Cruz")</f>
        <v>Santa Cruz</v>
      </c>
      <c r="G143" s="142" t="str">
        <f>IFERROR(__xludf.DUMMYFUNCTION("""COMPUTED_VALUE"""),"Torrijos")</f>
        <v>Torrijos</v>
      </c>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row>
    <row r="144">
      <c r="A144" s="142" t="s">
        <v>802</v>
      </c>
      <c r="B144" s="142" t="str">
        <f>IFERROR(__xludf.DUMMYFUNCTION("""COMPUTED_VALUE"""),"Boac")</f>
        <v>Boac</v>
      </c>
      <c r="C144" s="142" t="str">
        <f>IFERROR(__xludf.DUMMYFUNCTION("""COMPUTED_VALUE"""),"Buenavista")</f>
        <v>Buenavista</v>
      </c>
      <c r="D144" s="142" t="str">
        <f>IFERROR(__xludf.DUMMYFUNCTION("""COMPUTED_VALUE"""),"Gasan")</f>
        <v>Gasan</v>
      </c>
      <c r="E144" s="142" t="str">
        <f>IFERROR(__xludf.DUMMYFUNCTION("""COMPUTED_VALUE"""),"Mogpog")</f>
        <v>Mogpog</v>
      </c>
      <c r="F144" s="142" t="str">
        <f>IFERROR(__xludf.DUMMYFUNCTION("""COMPUTED_VALUE"""),"Santa Cruz")</f>
        <v>Santa Cruz</v>
      </c>
      <c r="G144" s="142" t="str">
        <f>IFERROR(__xludf.DUMMYFUNCTION("""COMPUTED_VALUE"""),"Torrijos")</f>
        <v>Torrijos</v>
      </c>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row>
    <row r="145">
      <c r="A145" s="142" t="s">
        <v>1191</v>
      </c>
      <c r="B145" s="142" t="str">
        <f>IFERROR(__xludf.DUMMYFUNCTION("""COMPUTED_VALUE"""),"Aroroy")</f>
        <v>Aroroy</v>
      </c>
      <c r="C145" s="142" t="str">
        <f>IFERROR(__xludf.DUMMYFUNCTION("""COMPUTED_VALUE"""),"Baleno")</f>
        <v>Baleno</v>
      </c>
      <c r="D145" s="142" t="str">
        <f>IFERROR(__xludf.DUMMYFUNCTION("""COMPUTED_VALUE"""),"Balud")</f>
        <v>Balud</v>
      </c>
      <c r="E145" s="142" t="str">
        <f>IFERROR(__xludf.DUMMYFUNCTION("""COMPUTED_VALUE"""),"Batuan")</f>
        <v>Batuan</v>
      </c>
      <c r="F145" s="142" t="str">
        <f>IFERROR(__xludf.DUMMYFUNCTION("""COMPUTED_VALUE"""),"Cataingan")</f>
        <v>Cataingan</v>
      </c>
      <c r="G145" s="142" t="str">
        <f>IFERROR(__xludf.DUMMYFUNCTION("""COMPUTED_VALUE"""),"Cawayan")</f>
        <v>Cawayan</v>
      </c>
      <c r="H145" s="142" t="str">
        <f>IFERROR(__xludf.DUMMYFUNCTION("""COMPUTED_VALUE"""),"Claveria")</f>
        <v>Claveria</v>
      </c>
      <c r="I145" s="142" t="str">
        <f>IFERROR(__xludf.DUMMYFUNCTION("""COMPUTED_VALUE"""),"Dimasalang")</f>
        <v>Dimasalang</v>
      </c>
      <c r="J145" s="142" t="str">
        <f>IFERROR(__xludf.DUMMYFUNCTION("""COMPUTED_VALUE"""),"Esperanza")</f>
        <v>Esperanza</v>
      </c>
      <c r="K145" s="142" t="str">
        <f>IFERROR(__xludf.DUMMYFUNCTION("""COMPUTED_VALUE"""),"Mandaon")</f>
        <v>Mandaon</v>
      </c>
      <c r="L145" s="142" t="str">
        <f>IFERROR(__xludf.DUMMYFUNCTION("""COMPUTED_VALUE"""),"City of Masbate")</f>
        <v>City of Masbate</v>
      </c>
      <c r="M145" s="142" t="str">
        <f>IFERROR(__xludf.DUMMYFUNCTION("""COMPUTED_VALUE"""),"Milagros")</f>
        <v>Milagros</v>
      </c>
      <c r="N145" s="142" t="str">
        <f>IFERROR(__xludf.DUMMYFUNCTION("""COMPUTED_VALUE"""),"Mobo")</f>
        <v>Mobo</v>
      </c>
      <c r="O145" s="142" t="str">
        <f>IFERROR(__xludf.DUMMYFUNCTION("""COMPUTED_VALUE"""),"Monreal")</f>
        <v>Monreal</v>
      </c>
      <c r="P145" s="142" t="str">
        <f>IFERROR(__xludf.DUMMYFUNCTION("""COMPUTED_VALUE"""),"Palanas")</f>
        <v>Palanas</v>
      </c>
      <c r="Q145" s="142" t="str">
        <f>IFERROR(__xludf.DUMMYFUNCTION("""COMPUTED_VALUE"""),"Pio V. Corpus")</f>
        <v>Pio V. Corpus</v>
      </c>
      <c r="R145" s="142" t="str">
        <f>IFERROR(__xludf.DUMMYFUNCTION("""COMPUTED_VALUE"""),"Placer")</f>
        <v>Placer</v>
      </c>
      <c r="S145" s="142" t="str">
        <f>IFERROR(__xludf.DUMMYFUNCTION("""COMPUTED_VALUE"""),"San Fernando")</f>
        <v>San Fernando</v>
      </c>
      <c r="T145" s="142" t="str">
        <f>IFERROR(__xludf.DUMMYFUNCTION("""COMPUTED_VALUE"""),"San Jacinto")</f>
        <v>San Jacinto</v>
      </c>
      <c r="U145" s="142" t="str">
        <f>IFERROR(__xludf.DUMMYFUNCTION("""COMPUTED_VALUE"""),"San Pascual")</f>
        <v>San Pascual</v>
      </c>
      <c r="V145" s="142" t="str">
        <f>IFERROR(__xludf.DUMMYFUNCTION("""COMPUTED_VALUE"""),"Uson")</f>
        <v>Uson</v>
      </c>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row>
    <row r="146">
      <c r="A146" s="142" t="s">
        <v>315</v>
      </c>
      <c r="B146" s="142" t="str">
        <f>IFERROR(__xludf.DUMMYFUNCTION("""COMPUTED_VALUE"""),"Altavas")</f>
        <v>Altavas</v>
      </c>
      <c r="C146" s="142" t="str">
        <f>IFERROR(__xludf.DUMMYFUNCTION("""COMPUTED_VALUE"""),"Balete")</f>
        <v>Balete</v>
      </c>
      <c r="D146" s="142" t="str">
        <f>IFERROR(__xludf.DUMMYFUNCTION("""COMPUTED_VALUE"""),"Banga")</f>
        <v>Banga</v>
      </c>
      <c r="E146" s="142" t="str">
        <f>IFERROR(__xludf.DUMMYFUNCTION("""COMPUTED_VALUE"""),"Batan")</f>
        <v>Batan</v>
      </c>
      <c r="F146" s="142" t="str">
        <f>IFERROR(__xludf.DUMMYFUNCTION("""COMPUTED_VALUE"""),"Buruanga")</f>
        <v>Buruanga</v>
      </c>
      <c r="G146" s="142" t="str">
        <f>IFERROR(__xludf.DUMMYFUNCTION("""COMPUTED_VALUE"""),"Ibajay")</f>
        <v>Ibajay</v>
      </c>
      <c r="H146" s="142" t="str">
        <f>IFERROR(__xludf.DUMMYFUNCTION("""COMPUTED_VALUE"""),"Kalibo")</f>
        <v>Kalibo</v>
      </c>
      <c r="I146" s="142" t="str">
        <f>IFERROR(__xludf.DUMMYFUNCTION("""COMPUTED_VALUE"""),"Lezo")</f>
        <v>Lezo</v>
      </c>
      <c r="J146" s="142" t="str">
        <f>IFERROR(__xludf.DUMMYFUNCTION("""COMPUTED_VALUE"""),"Libacao")</f>
        <v>Libacao</v>
      </c>
      <c r="K146" s="142" t="str">
        <f>IFERROR(__xludf.DUMMYFUNCTION("""COMPUTED_VALUE"""),"Madalag")</f>
        <v>Madalag</v>
      </c>
      <c r="L146" s="142" t="str">
        <f>IFERROR(__xludf.DUMMYFUNCTION("""COMPUTED_VALUE"""),"Makato")</f>
        <v>Makato</v>
      </c>
      <c r="M146" s="142" t="str">
        <f>IFERROR(__xludf.DUMMYFUNCTION("""COMPUTED_VALUE"""),"Malay")</f>
        <v>Malay</v>
      </c>
      <c r="N146" s="142" t="str">
        <f>IFERROR(__xludf.DUMMYFUNCTION("""COMPUTED_VALUE"""),"Malinao")</f>
        <v>Malinao</v>
      </c>
      <c r="O146" s="142" t="str">
        <f>IFERROR(__xludf.DUMMYFUNCTION("""COMPUTED_VALUE"""),"Nabas")</f>
        <v>Nabas</v>
      </c>
      <c r="P146" s="142" t="str">
        <f>IFERROR(__xludf.DUMMYFUNCTION("""COMPUTED_VALUE"""),"New Washington")</f>
        <v>New Washington</v>
      </c>
      <c r="Q146" s="142" t="str">
        <f>IFERROR(__xludf.DUMMYFUNCTION("""COMPUTED_VALUE"""),"Numancia")</f>
        <v>Numancia</v>
      </c>
      <c r="R146" s="142" t="str">
        <f>IFERROR(__xludf.DUMMYFUNCTION("""COMPUTED_VALUE"""),"Tangalan")</f>
        <v>Tangalan</v>
      </c>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row>
    <row r="147">
      <c r="A147" s="142" t="s">
        <v>1208</v>
      </c>
      <c r="B147" s="142" t="str">
        <f>IFERROR(__xludf.DUMMYFUNCTION("""COMPUTED_VALUE"""),"Baler")</f>
        <v>Baler</v>
      </c>
      <c r="C147" s="142" t="str">
        <f>IFERROR(__xludf.DUMMYFUNCTION("""COMPUTED_VALUE"""),"Casiguran")</f>
        <v>Casiguran</v>
      </c>
      <c r="D147" s="142" t="str">
        <f>IFERROR(__xludf.DUMMYFUNCTION("""COMPUTED_VALUE"""),"Dilasag")</f>
        <v>Dilasag</v>
      </c>
      <c r="E147" s="142" t="str">
        <f>IFERROR(__xludf.DUMMYFUNCTION("""COMPUTED_VALUE"""),"Dinalungan")</f>
        <v>Dinalungan</v>
      </c>
      <c r="F147" s="142" t="str">
        <f>IFERROR(__xludf.DUMMYFUNCTION("""COMPUTED_VALUE"""),"Dingalan")</f>
        <v>Dingalan</v>
      </c>
      <c r="G147" s="142" t="str">
        <f>IFERROR(__xludf.DUMMYFUNCTION("""COMPUTED_VALUE"""),"Dipaculao")</f>
        <v>Dipaculao</v>
      </c>
      <c r="H147" s="142" t="str">
        <f>IFERROR(__xludf.DUMMYFUNCTION("""COMPUTED_VALUE"""),"Maria Aurora")</f>
        <v>Maria Aurora</v>
      </c>
      <c r="I147" s="142" t="str">
        <f>IFERROR(__xludf.DUMMYFUNCTION("""COMPUTED_VALUE"""),"San Luis")</f>
        <v>San Luis</v>
      </c>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row>
    <row r="148">
      <c r="A148" s="142" t="s">
        <v>1217</v>
      </c>
      <c r="B148" s="142" t="str">
        <f>IFERROR(__xludf.DUMMYFUNCTION("""COMPUTED_VALUE"""),"Panglima Sugala")</f>
        <v>Panglima Sugala</v>
      </c>
      <c r="C148" s="142" t="str">
        <f>IFERROR(__xludf.DUMMYFUNCTION("""COMPUTED_VALUE"""),"Bongao")</f>
        <v>Bongao</v>
      </c>
      <c r="D148" s="142" t="str">
        <f>IFERROR(__xludf.DUMMYFUNCTION("""COMPUTED_VALUE"""),"Mapun")</f>
        <v>Mapun</v>
      </c>
      <c r="E148" s="142" t="str">
        <f>IFERROR(__xludf.DUMMYFUNCTION("""COMPUTED_VALUE"""),"Simunul")</f>
        <v>Simunul</v>
      </c>
      <c r="F148" s="142" t="str">
        <f>IFERROR(__xludf.DUMMYFUNCTION("""COMPUTED_VALUE"""),"Sitangkai")</f>
        <v>Sitangkai</v>
      </c>
      <c r="G148" s="142" t="str">
        <f>IFERROR(__xludf.DUMMYFUNCTION("""COMPUTED_VALUE"""),"South Ubian")</f>
        <v>South Ubian</v>
      </c>
      <c r="H148" s="142" t="str">
        <f>IFERROR(__xludf.DUMMYFUNCTION("""COMPUTED_VALUE"""),"Tandubas")</f>
        <v>Tandubas</v>
      </c>
      <c r="I148" s="142" t="str">
        <f>IFERROR(__xludf.DUMMYFUNCTION("""COMPUTED_VALUE"""),"Turtle Islands")</f>
        <v>Turtle Islands</v>
      </c>
      <c r="J148" s="142" t="str">
        <f>IFERROR(__xludf.DUMMYFUNCTION("""COMPUTED_VALUE"""),"Languyan")</f>
        <v>Languyan</v>
      </c>
      <c r="K148" s="142" t="str">
        <f>IFERROR(__xludf.DUMMYFUNCTION("""COMPUTED_VALUE"""),"Sapa-Sapa")</f>
        <v>Sapa-Sapa</v>
      </c>
      <c r="L148" s="142" t="str">
        <f>IFERROR(__xludf.DUMMYFUNCTION("""COMPUTED_VALUE"""),"Sibutu")</f>
        <v>Sibutu</v>
      </c>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row>
    <row r="149">
      <c r="A149" s="142" t="s">
        <v>1217</v>
      </c>
      <c r="B149" s="142" t="str">
        <f>IFERROR(__xludf.DUMMYFUNCTION("""COMPUTED_VALUE"""),"Panglima Sugala")</f>
        <v>Panglima Sugala</v>
      </c>
      <c r="C149" s="142" t="str">
        <f>IFERROR(__xludf.DUMMYFUNCTION("""COMPUTED_VALUE"""),"Bongao")</f>
        <v>Bongao</v>
      </c>
      <c r="D149" s="142" t="str">
        <f>IFERROR(__xludf.DUMMYFUNCTION("""COMPUTED_VALUE"""),"Mapun")</f>
        <v>Mapun</v>
      </c>
      <c r="E149" s="142" t="str">
        <f>IFERROR(__xludf.DUMMYFUNCTION("""COMPUTED_VALUE"""),"Simunul")</f>
        <v>Simunul</v>
      </c>
      <c r="F149" s="142" t="str">
        <f>IFERROR(__xludf.DUMMYFUNCTION("""COMPUTED_VALUE"""),"Sitangkai")</f>
        <v>Sitangkai</v>
      </c>
      <c r="G149" s="142" t="str">
        <f>IFERROR(__xludf.DUMMYFUNCTION("""COMPUTED_VALUE"""),"South Ubian")</f>
        <v>South Ubian</v>
      </c>
      <c r="H149" s="142" t="str">
        <f>IFERROR(__xludf.DUMMYFUNCTION("""COMPUTED_VALUE"""),"Tandubas")</f>
        <v>Tandubas</v>
      </c>
      <c r="I149" s="142" t="str">
        <f>IFERROR(__xludf.DUMMYFUNCTION("""COMPUTED_VALUE"""),"Turtle Islands")</f>
        <v>Turtle Islands</v>
      </c>
      <c r="J149" s="142" t="str">
        <f>IFERROR(__xludf.DUMMYFUNCTION("""COMPUTED_VALUE"""),"Languyan")</f>
        <v>Languyan</v>
      </c>
      <c r="K149" s="142" t="str">
        <f>IFERROR(__xludf.DUMMYFUNCTION("""COMPUTED_VALUE"""),"Sapa-Sapa")</f>
        <v>Sapa-Sapa</v>
      </c>
      <c r="L149" s="142" t="str">
        <f>IFERROR(__xludf.DUMMYFUNCTION("""COMPUTED_VALUE"""),"Sibutu")</f>
        <v>Sibutu</v>
      </c>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row>
    <row r="150">
      <c r="A150" s="142" t="s">
        <v>1217</v>
      </c>
      <c r="B150" s="142" t="str">
        <f>IFERROR(__xludf.DUMMYFUNCTION("""COMPUTED_VALUE"""),"Panglima Sugala")</f>
        <v>Panglima Sugala</v>
      </c>
      <c r="C150" s="142" t="str">
        <f>IFERROR(__xludf.DUMMYFUNCTION("""COMPUTED_VALUE"""),"Bongao")</f>
        <v>Bongao</v>
      </c>
      <c r="D150" s="142" t="str">
        <f>IFERROR(__xludf.DUMMYFUNCTION("""COMPUTED_VALUE"""),"Mapun")</f>
        <v>Mapun</v>
      </c>
      <c r="E150" s="142" t="str">
        <f>IFERROR(__xludf.DUMMYFUNCTION("""COMPUTED_VALUE"""),"Simunul")</f>
        <v>Simunul</v>
      </c>
      <c r="F150" s="142" t="str">
        <f>IFERROR(__xludf.DUMMYFUNCTION("""COMPUTED_VALUE"""),"Sitangkai")</f>
        <v>Sitangkai</v>
      </c>
      <c r="G150" s="142" t="str">
        <f>IFERROR(__xludf.DUMMYFUNCTION("""COMPUTED_VALUE"""),"South Ubian")</f>
        <v>South Ubian</v>
      </c>
      <c r="H150" s="142" t="str">
        <f>IFERROR(__xludf.DUMMYFUNCTION("""COMPUTED_VALUE"""),"Tandubas")</f>
        <v>Tandubas</v>
      </c>
      <c r="I150" s="142" t="str">
        <f>IFERROR(__xludf.DUMMYFUNCTION("""COMPUTED_VALUE"""),"Turtle Islands")</f>
        <v>Turtle Islands</v>
      </c>
      <c r="J150" s="142" t="str">
        <f>IFERROR(__xludf.DUMMYFUNCTION("""COMPUTED_VALUE"""),"Languyan")</f>
        <v>Languyan</v>
      </c>
      <c r="K150" s="142" t="str">
        <f>IFERROR(__xludf.DUMMYFUNCTION("""COMPUTED_VALUE"""),"Sapa-Sapa")</f>
        <v>Sapa-Sapa</v>
      </c>
      <c r="L150" s="142" t="str">
        <f>IFERROR(__xludf.DUMMYFUNCTION("""COMPUTED_VALUE"""),"Sibutu")</f>
        <v>Sibutu</v>
      </c>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row>
    <row r="151">
      <c r="A151" s="142" t="s">
        <v>1217</v>
      </c>
      <c r="B151" s="142" t="str">
        <f>IFERROR(__xludf.DUMMYFUNCTION("""COMPUTED_VALUE"""),"Panglima Sugala")</f>
        <v>Panglima Sugala</v>
      </c>
      <c r="C151" s="142" t="str">
        <f>IFERROR(__xludf.DUMMYFUNCTION("""COMPUTED_VALUE"""),"Bongao")</f>
        <v>Bongao</v>
      </c>
      <c r="D151" s="142" t="str">
        <f>IFERROR(__xludf.DUMMYFUNCTION("""COMPUTED_VALUE"""),"Mapun")</f>
        <v>Mapun</v>
      </c>
      <c r="E151" s="142" t="str">
        <f>IFERROR(__xludf.DUMMYFUNCTION("""COMPUTED_VALUE"""),"Simunul")</f>
        <v>Simunul</v>
      </c>
      <c r="F151" s="142" t="str">
        <f>IFERROR(__xludf.DUMMYFUNCTION("""COMPUTED_VALUE"""),"Sitangkai")</f>
        <v>Sitangkai</v>
      </c>
      <c r="G151" s="142" t="str">
        <f>IFERROR(__xludf.DUMMYFUNCTION("""COMPUTED_VALUE"""),"South Ubian")</f>
        <v>South Ubian</v>
      </c>
      <c r="H151" s="142" t="str">
        <f>IFERROR(__xludf.DUMMYFUNCTION("""COMPUTED_VALUE"""),"Tandubas")</f>
        <v>Tandubas</v>
      </c>
      <c r="I151" s="142" t="str">
        <f>IFERROR(__xludf.DUMMYFUNCTION("""COMPUTED_VALUE"""),"Turtle Islands")</f>
        <v>Turtle Islands</v>
      </c>
      <c r="J151" s="142" t="str">
        <f>IFERROR(__xludf.DUMMYFUNCTION("""COMPUTED_VALUE"""),"Languyan")</f>
        <v>Languyan</v>
      </c>
      <c r="K151" s="142" t="str">
        <f>IFERROR(__xludf.DUMMYFUNCTION("""COMPUTED_VALUE"""),"Sapa-Sapa")</f>
        <v>Sapa-Sapa</v>
      </c>
      <c r="L151" s="142" t="str">
        <f>IFERROR(__xludf.DUMMYFUNCTION("""COMPUTED_VALUE"""),"Sibutu")</f>
        <v>Sibutu</v>
      </c>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row>
    <row r="152">
      <c r="A152" s="142" t="s">
        <v>1217</v>
      </c>
      <c r="B152" s="142" t="str">
        <f>IFERROR(__xludf.DUMMYFUNCTION("""COMPUTED_VALUE"""),"Panglima Sugala")</f>
        <v>Panglima Sugala</v>
      </c>
      <c r="C152" s="142" t="str">
        <f>IFERROR(__xludf.DUMMYFUNCTION("""COMPUTED_VALUE"""),"Bongao")</f>
        <v>Bongao</v>
      </c>
      <c r="D152" s="142" t="str">
        <f>IFERROR(__xludf.DUMMYFUNCTION("""COMPUTED_VALUE"""),"Mapun")</f>
        <v>Mapun</v>
      </c>
      <c r="E152" s="142" t="str">
        <f>IFERROR(__xludf.DUMMYFUNCTION("""COMPUTED_VALUE"""),"Simunul")</f>
        <v>Simunul</v>
      </c>
      <c r="F152" s="142" t="str">
        <f>IFERROR(__xludf.DUMMYFUNCTION("""COMPUTED_VALUE"""),"Sitangkai")</f>
        <v>Sitangkai</v>
      </c>
      <c r="G152" s="142" t="str">
        <f>IFERROR(__xludf.DUMMYFUNCTION("""COMPUTED_VALUE"""),"South Ubian")</f>
        <v>South Ubian</v>
      </c>
      <c r="H152" s="142" t="str">
        <f>IFERROR(__xludf.DUMMYFUNCTION("""COMPUTED_VALUE"""),"Tandubas")</f>
        <v>Tandubas</v>
      </c>
      <c r="I152" s="142" t="str">
        <f>IFERROR(__xludf.DUMMYFUNCTION("""COMPUTED_VALUE"""),"Turtle Islands")</f>
        <v>Turtle Islands</v>
      </c>
      <c r="J152" s="142" t="str">
        <f>IFERROR(__xludf.DUMMYFUNCTION("""COMPUTED_VALUE"""),"Languyan")</f>
        <v>Languyan</v>
      </c>
      <c r="K152" s="142" t="str">
        <f>IFERROR(__xludf.DUMMYFUNCTION("""COMPUTED_VALUE"""),"Sapa-Sapa")</f>
        <v>Sapa-Sapa</v>
      </c>
      <c r="L152" s="142" t="str">
        <f>IFERROR(__xludf.DUMMYFUNCTION("""COMPUTED_VALUE"""),"Sibutu")</f>
        <v>Sibutu</v>
      </c>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row>
    <row r="153">
      <c r="A153" s="142" t="s">
        <v>258</v>
      </c>
      <c r="B153" s="142" t="str">
        <f>IFERROR(__xludf.DUMMYFUNCTION("""COMPUTED_VALUE"""),"Agoncillo")</f>
        <v>Agoncillo</v>
      </c>
      <c r="C153" s="142" t="str">
        <f>IFERROR(__xludf.DUMMYFUNCTION("""COMPUTED_VALUE"""),"Alitagtag")</f>
        <v>Alitagtag</v>
      </c>
      <c r="D153" s="142" t="str">
        <f>IFERROR(__xludf.DUMMYFUNCTION("""COMPUTED_VALUE"""),"Balayan")</f>
        <v>Balayan</v>
      </c>
      <c r="E153" s="142" t="str">
        <f>IFERROR(__xludf.DUMMYFUNCTION("""COMPUTED_VALUE"""),"Balete")</f>
        <v>Balete</v>
      </c>
      <c r="F153" s="142" t="str">
        <f>IFERROR(__xludf.DUMMYFUNCTION("""COMPUTED_VALUE"""),"Batangas City")</f>
        <v>Batangas City</v>
      </c>
      <c r="G153" s="142" t="str">
        <f>IFERROR(__xludf.DUMMYFUNCTION("""COMPUTED_VALUE"""),"Bauan")</f>
        <v>Bauan</v>
      </c>
      <c r="H153" s="142" t="str">
        <f>IFERROR(__xludf.DUMMYFUNCTION("""COMPUTED_VALUE"""),"City of Calaca")</f>
        <v>City of Calaca</v>
      </c>
      <c r="I153" s="142" t="str">
        <f>IFERROR(__xludf.DUMMYFUNCTION("""COMPUTED_VALUE"""),"Calatagan")</f>
        <v>Calatagan</v>
      </c>
      <c r="J153" s="142" t="str">
        <f>IFERROR(__xludf.DUMMYFUNCTION("""COMPUTED_VALUE"""),"Cuenca")</f>
        <v>Cuenca</v>
      </c>
      <c r="K153" s="142" t="str">
        <f>IFERROR(__xludf.DUMMYFUNCTION("""COMPUTED_VALUE"""),"Ibaan")</f>
        <v>Ibaan</v>
      </c>
      <c r="L153" s="142" t="str">
        <f>IFERROR(__xludf.DUMMYFUNCTION("""COMPUTED_VALUE"""),"Laurel")</f>
        <v>Laurel</v>
      </c>
      <c r="M153" s="142" t="str">
        <f>IFERROR(__xludf.DUMMYFUNCTION("""COMPUTED_VALUE"""),"Lemery")</f>
        <v>Lemery</v>
      </c>
      <c r="N153" s="142" t="str">
        <f>IFERROR(__xludf.DUMMYFUNCTION("""COMPUTED_VALUE"""),"Lian")</f>
        <v>Lian</v>
      </c>
      <c r="O153" s="142" t="str">
        <f>IFERROR(__xludf.DUMMYFUNCTION("""COMPUTED_VALUE"""),"City of Lipa")</f>
        <v>City of Lipa</v>
      </c>
      <c r="P153" s="142" t="str">
        <f>IFERROR(__xludf.DUMMYFUNCTION("""COMPUTED_VALUE"""),"Lobo")</f>
        <v>Lobo</v>
      </c>
      <c r="Q153" s="142" t="str">
        <f>IFERROR(__xludf.DUMMYFUNCTION("""COMPUTED_VALUE"""),"Mabini")</f>
        <v>Mabini</v>
      </c>
      <c r="R153" s="142" t="str">
        <f>IFERROR(__xludf.DUMMYFUNCTION("""COMPUTED_VALUE"""),"Malvar")</f>
        <v>Malvar</v>
      </c>
      <c r="S153" s="142" t="str">
        <f>IFERROR(__xludf.DUMMYFUNCTION("""COMPUTED_VALUE"""),"Mataasnakahoy")</f>
        <v>Mataasnakahoy</v>
      </c>
      <c r="T153" s="142" t="str">
        <f>IFERROR(__xludf.DUMMYFUNCTION("""COMPUTED_VALUE"""),"Nasugbu")</f>
        <v>Nasugbu</v>
      </c>
      <c r="U153" s="142" t="str">
        <f>IFERROR(__xludf.DUMMYFUNCTION("""COMPUTED_VALUE"""),"Padre Garcia")</f>
        <v>Padre Garcia</v>
      </c>
      <c r="V153" s="142" t="str">
        <f>IFERROR(__xludf.DUMMYFUNCTION("""COMPUTED_VALUE"""),"Rosario")</f>
        <v>Rosario</v>
      </c>
      <c r="W153" s="142" t="str">
        <f>IFERROR(__xludf.DUMMYFUNCTION("""COMPUTED_VALUE"""),"San Jose")</f>
        <v>San Jose</v>
      </c>
      <c r="X153" s="142" t="str">
        <f>IFERROR(__xludf.DUMMYFUNCTION("""COMPUTED_VALUE"""),"San Juan")</f>
        <v>San Juan</v>
      </c>
      <c r="Y153" s="142" t="str">
        <f>IFERROR(__xludf.DUMMYFUNCTION("""COMPUTED_VALUE"""),"San Luis")</f>
        <v>San Luis</v>
      </c>
      <c r="Z153" s="142" t="str">
        <f>IFERROR(__xludf.DUMMYFUNCTION("""COMPUTED_VALUE"""),"San Nicolas")</f>
        <v>San Nicolas</v>
      </c>
      <c r="AA153" s="142" t="str">
        <f>IFERROR(__xludf.DUMMYFUNCTION("""COMPUTED_VALUE"""),"San Pascual")</f>
        <v>San Pascual</v>
      </c>
      <c r="AB153" s="142" t="str">
        <f>IFERROR(__xludf.DUMMYFUNCTION("""COMPUTED_VALUE"""),"Santa Teresita")</f>
        <v>Santa Teresita</v>
      </c>
      <c r="AC153" s="142" t="str">
        <f>IFERROR(__xludf.DUMMYFUNCTION("""COMPUTED_VALUE"""),"City of Sto. Tomas")</f>
        <v>City of Sto. Tomas</v>
      </c>
      <c r="AD153" s="142" t="str">
        <f>IFERROR(__xludf.DUMMYFUNCTION("""COMPUTED_VALUE"""),"Taal")</f>
        <v>Taal</v>
      </c>
      <c r="AE153" s="142" t="str">
        <f>IFERROR(__xludf.DUMMYFUNCTION("""COMPUTED_VALUE"""),"Talisay")</f>
        <v>Talisay</v>
      </c>
      <c r="AF153" s="142" t="str">
        <f>IFERROR(__xludf.DUMMYFUNCTION("""COMPUTED_VALUE"""),"City of Tanauan")</f>
        <v>City of Tanauan</v>
      </c>
      <c r="AG153" s="142" t="str">
        <f>IFERROR(__xludf.DUMMYFUNCTION("""COMPUTED_VALUE"""),"Taysan")</f>
        <v>Taysan</v>
      </c>
      <c r="AH153" s="142" t="str">
        <f>IFERROR(__xludf.DUMMYFUNCTION("""COMPUTED_VALUE"""),"Tingloy")</f>
        <v>Tingloy</v>
      </c>
      <c r="AI153" s="142" t="str">
        <f>IFERROR(__xludf.DUMMYFUNCTION("""COMPUTED_VALUE"""),"Tuy")</f>
        <v>Tuy</v>
      </c>
      <c r="AJ153" s="8"/>
      <c r="AK153" s="8"/>
      <c r="AL153" s="8"/>
      <c r="AM153" s="8"/>
      <c r="AN153" s="8"/>
      <c r="AO153" s="8"/>
      <c r="AP153" s="8"/>
      <c r="AQ153" s="8"/>
      <c r="AR153" s="8"/>
      <c r="AS153" s="8"/>
      <c r="AT153" s="8"/>
      <c r="AU153" s="8"/>
      <c r="AV153" s="8"/>
      <c r="AW153" s="8"/>
      <c r="AX153" s="8"/>
      <c r="AY153" s="8"/>
      <c r="AZ153" s="8"/>
      <c r="BA153" s="8"/>
      <c r="BB153" s="8"/>
      <c r="BC153" s="8"/>
      <c r="BD153" s="8"/>
      <c r="BE153" s="8"/>
    </row>
    <row r="154">
      <c r="A154" s="142" t="s">
        <v>258</v>
      </c>
      <c r="B154" s="142" t="str">
        <f>IFERROR(__xludf.DUMMYFUNCTION("""COMPUTED_VALUE"""),"Agoncillo")</f>
        <v>Agoncillo</v>
      </c>
      <c r="C154" s="142" t="str">
        <f>IFERROR(__xludf.DUMMYFUNCTION("""COMPUTED_VALUE"""),"Alitagtag")</f>
        <v>Alitagtag</v>
      </c>
      <c r="D154" s="142" t="str">
        <f>IFERROR(__xludf.DUMMYFUNCTION("""COMPUTED_VALUE"""),"Balayan")</f>
        <v>Balayan</v>
      </c>
      <c r="E154" s="142" t="str">
        <f>IFERROR(__xludf.DUMMYFUNCTION("""COMPUTED_VALUE"""),"Balete")</f>
        <v>Balete</v>
      </c>
      <c r="F154" s="142" t="str">
        <f>IFERROR(__xludf.DUMMYFUNCTION("""COMPUTED_VALUE"""),"Batangas City")</f>
        <v>Batangas City</v>
      </c>
      <c r="G154" s="142" t="str">
        <f>IFERROR(__xludf.DUMMYFUNCTION("""COMPUTED_VALUE"""),"Bauan")</f>
        <v>Bauan</v>
      </c>
      <c r="H154" s="142" t="str">
        <f>IFERROR(__xludf.DUMMYFUNCTION("""COMPUTED_VALUE"""),"City of Calaca")</f>
        <v>City of Calaca</v>
      </c>
      <c r="I154" s="142" t="str">
        <f>IFERROR(__xludf.DUMMYFUNCTION("""COMPUTED_VALUE"""),"Calatagan")</f>
        <v>Calatagan</v>
      </c>
      <c r="J154" s="142" t="str">
        <f>IFERROR(__xludf.DUMMYFUNCTION("""COMPUTED_VALUE"""),"Cuenca")</f>
        <v>Cuenca</v>
      </c>
      <c r="K154" s="142" t="str">
        <f>IFERROR(__xludf.DUMMYFUNCTION("""COMPUTED_VALUE"""),"Ibaan")</f>
        <v>Ibaan</v>
      </c>
      <c r="L154" s="142" t="str">
        <f>IFERROR(__xludf.DUMMYFUNCTION("""COMPUTED_VALUE"""),"Laurel")</f>
        <v>Laurel</v>
      </c>
      <c r="M154" s="142" t="str">
        <f>IFERROR(__xludf.DUMMYFUNCTION("""COMPUTED_VALUE"""),"Lemery")</f>
        <v>Lemery</v>
      </c>
      <c r="N154" s="142" t="str">
        <f>IFERROR(__xludf.DUMMYFUNCTION("""COMPUTED_VALUE"""),"Lian")</f>
        <v>Lian</v>
      </c>
      <c r="O154" s="142" t="str">
        <f>IFERROR(__xludf.DUMMYFUNCTION("""COMPUTED_VALUE"""),"City of Lipa")</f>
        <v>City of Lipa</v>
      </c>
      <c r="P154" s="142" t="str">
        <f>IFERROR(__xludf.DUMMYFUNCTION("""COMPUTED_VALUE"""),"Lobo")</f>
        <v>Lobo</v>
      </c>
      <c r="Q154" s="142" t="str">
        <f>IFERROR(__xludf.DUMMYFUNCTION("""COMPUTED_VALUE"""),"Mabini")</f>
        <v>Mabini</v>
      </c>
      <c r="R154" s="142" t="str">
        <f>IFERROR(__xludf.DUMMYFUNCTION("""COMPUTED_VALUE"""),"Malvar")</f>
        <v>Malvar</v>
      </c>
      <c r="S154" s="142" t="str">
        <f>IFERROR(__xludf.DUMMYFUNCTION("""COMPUTED_VALUE"""),"Mataasnakahoy")</f>
        <v>Mataasnakahoy</v>
      </c>
      <c r="T154" s="142" t="str">
        <f>IFERROR(__xludf.DUMMYFUNCTION("""COMPUTED_VALUE"""),"Nasugbu")</f>
        <v>Nasugbu</v>
      </c>
      <c r="U154" s="142" t="str">
        <f>IFERROR(__xludf.DUMMYFUNCTION("""COMPUTED_VALUE"""),"Padre Garcia")</f>
        <v>Padre Garcia</v>
      </c>
      <c r="V154" s="142" t="str">
        <f>IFERROR(__xludf.DUMMYFUNCTION("""COMPUTED_VALUE"""),"Rosario")</f>
        <v>Rosario</v>
      </c>
      <c r="W154" s="142" t="str">
        <f>IFERROR(__xludf.DUMMYFUNCTION("""COMPUTED_VALUE"""),"San Jose")</f>
        <v>San Jose</v>
      </c>
      <c r="X154" s="142" t="str">
        <f>IFERROR(__xludf.DUMMYFUNCTION("""COMPUTED_VALUE"""),"San Juan")</f>
        <v>San Juan</v>
      </c>
      <c r="Y154" s="142" t="str">
        <f>IFERROR(__xludf.DUMMYFUNCTION("""COMPUTED_VALUE"""),"San Luis")</f>
        <v>San Luis</v>
      </c>
      <c r="Z154" s="142" t="str">
        <f>IFERROR(__xludf.DUMMYFUNCTION("""COMPUTED_VALUE"""),"San Nicolas")</f>
        <v>San Nicolas</v>
      </c>
      <c r="AA154" s="142" t="str">
        <f>IFERROR(__xludf.DUMMYFUNCTION("""COMPUTED_VALUE"""),"San Pascual")</f>
        <v>San Pascual</v>
      </c>
      <c r="AB154" s="142" t="str">
        <f>IFERROR(__xludf.DUMMYFUNCTION("""COMPUTED_VALUE"""),"Santa Teresita")</f>
        <v>Santa Teresita</v>
      </c>
      <c r="AC154" s="142" t="str">
        <f>IFERROR(__xludf.DUMMYFUNCTION("""COMPUTED_VALUE"""),"City of Sto. Tomas")</f>
        <v>City of Sto. Tomas</v>
      </c>
      <c r="AD154" s="142" t="str">
        <f>IFERROR(__xludf.DUMMYFUNCTION("""COMPUTED_VALUE"""),"Taal")</f>
        <v>Taal</v>
      </c>
      <c r="AE154" s="142" t="str">
        <f>IFERROR(__xludf.DUMMYFUNCTION("""COMPUTED_VALUE"""),"Talisay")</f>
        <v>Talisay</v>
      </c>
      <c r="AF154" s="142" t="str">
        <f>IFERROR(__xludf.DUMMYFUNCTION("""COMPUTED_VALUE"""),"City of Tanauan")</f>
        <v>City of Tanauan</v>
      </c>
      <c r="AG154" s="142" t="str">
        <f>IFERROR(__xludf.DUMMYFUNCTION("""COMPUTED_VALUE"""),"Taysan")</f>
        <v>Taysan</v>
      </c>
      <c r="AH154" s="142" t="str">
        <f>IFERROR(__xludf.DUMMYFUNCTION("""COMPUTED_VALUE"""),"Tingloy")</f>
        <v>Tingloy</v>
      </c>
      <c r="AI154" s="142" t="str">
        <f>IFERROR(__xludf.DUMMYFUNCTION("""COMPUTED_VALUE"""),"Tuy")</f>
        <v>Tuy</v>
      </c>
      <c r="AJ154" s="8"/>
      <c r="AK154" s="8"/>
      <c r="AL154" s="8"/>
      <c r="AM154" s="8"/>
      <c r="AN154" s="8"/>
      <c r="AO154" s="8"/>
      <c r="AP154" s="8"/>
      <c r="AQ154" s="8"/>
      <c r="AR154" s="8"/>
      <c r="AS154" s="8"/>
      <c r="AT154" s="8"/>
      <c r="AU154" s="8"/>
      <c r="AV154" s="8"/>
      <c r="AW154" s="8"/>
      <c r="AX154" s="8"/>
      <c r="AY154" s="8"/>
      <c r="AZ154" s="8"/>
      <c r="BA154" s="8"/>
      <c r="BB154" s="8"/>
      <c r="BC154" s="8"/>
      <c r="BD154" s="8"/>
      <c r="BE154" s="8"/>
    </row>
    <row r="155">
      <c r="A155" s="142" t="s">
        <v>315</v>
      </c>
      <c r="B155" s="142" t="str">
        <f>IFERROR(__xludf.DUMMYFUNCTION("""COMPUTED_VALUE"""),"Altavas")</f>
        <v>Altavas</v>
      </c>
      <c r="C155" s="142" t="str">
        <f>IFERROR(__xludf.DUMMYFUNCTION("""COMPUTED_VALUE"""),"Balete")</f>
        <v>Balete</v>
      </c>
      <c r="D155" s="142" t="str">
        <f>IFERROR(__xludf.DUMMYFUNCTION("""COMPUTED_VALUE"""),"Banga")</f>
        <v>Banga</v>
      </c>
      <c r="E155" s="142" t="str">
        <f>IFERROR(__xludf.DUMMYFUNCTION("""COMPUTED_VALUE"""),"Batan")</f>
        <v>Batan</v>
      </c>
      <c r="F155" s="142" t="str">
        <f>IFERROR(__xludf.DUMMYFUNCTION("""COMPUTED_VALUE"""),"Buruanga")</f>
        <v>Buruanga</v>
      </c>
      <c r="G155" s="142" t="str">
        <f>IFERROR(__xludf.DUMMYFUNCTION("""COMPUTED_VALUE"""),"Ibajay")</f>
        <v>Ibajay</v>
      </c>
      <c r="H155" s="142" t="str">
        <f>IFERROR(__xludf.DUMMYFUNCTION("""COMPUTED_VALUE"""),"Kalibo")</f>
        <v>Kalibo</v>
      </c>
      <c r="I155" s="142" t="str">
        <f>IFERROR(__xludf.DUMMYFUNCTION("""COMPUTED_VALUE"""),"Lezo")</f>
        <v>Lezo</v>
      </c>
      <c r="J155" s="142" t="str">
        <f>IFERROR(__xludf.DUMMYFUNCTION("""COMPUTED_VALUE"""),"Libacao")</f>
        <v>Libacao</v>
      </c>
      <c r="K155" s="142" t="str">
        <f>IFERROR(__xludf.DUMMYFUNCTION("""COMPUTED_VALUE"""),"Madalag")</f>
        <v>Madalag</v>
      </c>
      <c r="L155" s="142" t="str">
        <f>IFERROR(__xludf.DUMMYFUNCTION("""COMPUTED_VALUE"""),"Makato")</f>
        <v>Makato</v>
      </c>
      <c r="M155" s="142" t="str">
        <f>IFERROR(__xludf.DUMMYFUNCTION("""COMPUTED_VALUE"""),"Malay")</f>
        <v>Malay</v>
      </c>
      <c r="N155" s="142" t="str">
        <f>IFERROR(__xludf.DUMMYFUNCTION("""COMPUTED_VALUE"""),"Malinao")</f>
        <v>Malinao</v>
      </c>
      <c r="O155" s="142" t="str">
        <f>IFERROR(__xludf.DUMMYFUNCTION("""COMPUTED_VALUE"""),"Nabas")</f>
        <v>Nabas</v>
      </c>
      <c r="P155" s="142" t="str">
        <f>IFERROR(__xludf.DUMMYFUNCTION("""COMPUTED_VALUE"""),"New Washington")</f>
        <v>New Washington</v>
      </c>
      <c r="Q155" s="142" t="str">
        <f>IFERROR(__xludf.DUMMYFUNCTION("""COMPUTED_VALUE"""),"Numancia")</f>
        <v>Numancia</v>
      </c>
      <c r="R155" s="142" t="str">
        <f>IFERROR(__xludf.DUMMYFUNCTION("""COMPUTED_VALUE"""),"Tangalan")</f>
        <v>Tangalan</v>
      </c>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row>
    <row r="156">
      <c r="A156" s="142" t="s">
        <v>1271</v>
      </c>
      <c r="B156" s="142" t="str">
        <f>IFERROR(__xludf.DUMMYFUNCTION("""COMPUTED_VALUE"""),"Anahawan")</f>
        <v>Anahawan</v>
      </c>
      <c r="C156" s="142" t="str">
        <f>IFERROR(__xludf.DUMMYFUNCTION("""COMPUTED_VALUE"""),"Bontoc")</f>
        <v>Bontoc</v>
      </c>
      <c r="D156" s="142" t="str">
        <f>IFERROR(__xludf.DUMMYFUNCTION("""COMPUTED_VALUE"""),"Hinunangan")</f>
        <v>Hinunangan</v>
      </c>
      <c r="E156" s="142" t="str">
        <f>IFERROR(__xludf.DUMMYFUNCTION("""COMPUTED_VALUE"""),"Hinundayan")</f>
        <v>Hinundayan</v>
      </c>
      <c r="F156" s="142" t="str">
        <f>IFERROR(__xludf.DUMMYFUNCTION("""COMPUTED_VALUE"""),"Libagon")</f>
        <v>Libagon</v>
      </c>
      <c r="G156" s="142" t="str">
        <f>IFERROR(__xludf.DUMMYFUNCTION("""COMPUTED_VALUE"""),"Liloan")</f>
        <v>Liloan</v>
      </c>
      <c r="H156" s="142" t="str">
        <f>IFERROR(__xludf.DUMMYFUNCTION("""COMPUTED_VALUE"""),"City of Maasin")</f>
        <v>City of Maasin</v>
      </c>
      <c r="I156" s="142" t="str">
        <f>IFERROR(__xludf.DUMMYFUNCTION("""COMPUTED_VALUE"""),"Macrohon")</f>
        <v>Macrohon</v>
      </c>
      <c r="J156" s="142" t="str">
        <f>IFERROR(__xludf.DUMMYFUNCTION("""COMPUTED_VALUE"""),"Malitbog")</f>
        <v>Malitbog</v>
      </c>
      <c r="K156" s="142" t="str">
        <f>IFERROR(__xludf.DUMMYFUNCTION("""COMPUTED_VALUE"""),"Padre Burgos")</f>
        <v>Padre Burgos</v>
      </c>
      <c r="L156" s="142" t="str">
        <f>IFERROR(__xludf.DUMMYFUNCTION("""COMPUTED_VALUE"""),"Pintuyan")</f>
        <v>Pintuyan</v>
      </c>
      <c r="M156" s="142" t="str">
        <f>IFERROR(__xludf.DUMMYFUNCTION("""COMPUTED_VALUE"""),"Saint Bernard")</f>
        <v>Saint Bernard</v>
      </c>
      <c r="N156" s="142" t="str">
        <f>IFERROR(__xludf.DUMMYFUNCTION("""COMPUTED_VALUE"""),"San Francisco")</f>
        <v>San Francisco</v>
      </c>
      <c r="O156" s="142" t="str">
        <f>IFERROR(__xludf.DUMMYFUNCTION("""COMPUTED_VALUE"""),"San Juan")</f>
        <v>San Juan</v>
      </c>
      <c r="P156" s="142" t="str">
        <f>IFERROR(__xludf.DUMMYFUNCTION("""COMPUTED_VALUE"""),"San Ricardo")</f>
        <v>San Ricardo</v>
      </c>
      <c r="Q156" s="142" t="str">
        <f>IFERROR(__xludf.DUMMYFUNCTION("""COMPUTED_VALUE"""),"Silago")</f>
        <v>Silago</v>
      </c>
      <c r="R156" s="142" t="str">
        <f>IFERROR(__xludf.DUMMYFUNCTION("""COMPUTED_VALUE"""),"Sogod")</f>
        <v>Sogod</v>
      </c>
      <c r="S156" s="142" t="str">
        <f>IFERROR(__xludf.DUMMYFUNCTION("""COMPUTED_VALUE"""),"Tomas Oppus")</f>
        <v>Tomas Oppus</v>
      </c>
      <c r="T156" s="142" t="str">
        <f>IFERROR(__xludf.DUMMYFUNCTION("""COMPUTED_VALUE"""),"Limasawa")</f>
        <v>Limasawa</v>
      </c>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row>
    <row r="157">
      <c r="A157" s="142" t="s">
        <v>1283</v>
      </c>
      <c r="B157" s="142" t="str">
        <f>IFERROR(__xludf.DUMMYFUNCTION("""COMPUTED_VALUE"""),"Abucay")</f>
        <v>Abucay</v>
      </c>
      <c r="C157" s="142" t="str">
        <f>IFERROR(__xludf.DUMMYFUNCTION("""COMPUTED_VALUE"""),"Bagac")</f>
        <v>Bagac</v>
      </c>
      <c r="D157" s="142" t="str">
        <f>IFERROR(__xludf.DUMMYFUNCTION("""COMPUTED_VALUE"""),"City of Balanga")</f>
        <v>City of Balanga</v>
      </c>
      <c r="E157" s="142" t="str">
        <f>IFERROR(__xludf.DUMMYFUNCTION("""COMPUTED_VALUE"""),"Dinalupihan")</f>
        <v>Dinalupihan</v>
      </c>
      <c r="F157" s="142" t="str">
        <f>IFERROR(__xludf.DUMMYFUNCTION("""COMPUTED_VALUE"""),"Hermosa")</f>
        <v>Hermosa</v>
      </c>
      <c r="G157" s="142" t="str">
        <f>IFERROR(__xludf.DUMMYFUNCTION("""COMPUTED_VALUE"""),"Limay")</f>
        <v>Limay</v>
      </c>
      <c r="H157" s="142" t="str">
        <f>IFERROR(__xludf.DUMMYFUNCTION("""COMPUTED_VALUE"""),"Mariveles")</f>
        <v>Mariveles</v>
      </c>
      <c r="I157" s="142" t="str">
        <f>IFERROR(__xludf.DUMMYFUNCTION("""COMPUTED_VALUE"""),"Morong")</f>
        <v>Morong</v>
      </c>
      <c r="J157" s="142" t="str">
        <f>IFERROR(__xludf.DUMMYFUNCTION("""COMPUTED_VALUE"""),"Orani")</f>
        <v>Orani</v>
      </c>
      <c r="K157" s="142" t="str">
        <f>IFERROR(__xludf.DUMMYFUNCTION("""COMPUTED_VALUE"""),"Orion")</f>
        <v>Orion</v>
      </c>
      <c r="L157" s="142" t="str">
        <f>IFERROR(__xludf.DUMMYFUNCTION("""COMPUTED_VALUE"""),"Pilar")</f>
        <v>Pilar</v>
      </c>
      <c r="M157" s="142" t="str">
        <f>IFERROR(__xludf.DUMMYFUNCTION("""COMPUTED_VALUE"""),"Samal")</f>
        <v>Samal</v>
      </c>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row>
    <row r="158">
      <c r="A158" s="142" t="s">
        <v>294</v>
      </c>
      <c r="B158" s="142" t="str">
        <f>IFERROR(__xludf.DUMMYFUNCTION("""COMPUTED_VALUE"""),"Botolan")</f>
        <v>Botolan</v>
      </c>
      <c r="C158" s="142" t="str">
        <f>IFERROR(__xludf.DUMMYFUNCTION("""COMPUTED_VALUE"""),"Cabangan")</f>
        <v>Cabangan</v>
      </c>
      <c r="D158" s="142" t="str">
        <f>IFERROR(__xludf.DUMMYFUNCTION("""COMPUTED_VALUE"""),"Candelaria")</f>
        <v>Candelaria</v>
      </c>
      <c r="E158" s="142" t="str">
        <f>IFERROR(__xludf.DUMMYFUNCTION("""COMPUTED_VALUE"""),"Castillejos")</f>
        <v>Castillejos</v>
      </c>
      <c r="F158" s="142" t="str">
        <f>IFERROR(__xludf.DUMMYFUNCTION("""COMPUTED_VALUE"""),"Iba")</f>
        <v>Iba</v>
      </c>
      <c r="G158" s="142" t="str">
        <f>IFERROR(__xludf.DUMMYFUNCTION("""COMPUTED_VALUE"""),"Masinloc")</f>
        <v>Masinloc</v>
      </c>
      <c r="H158" s="142" t="str">
        <f>IFERROR(__xludf.DUMMYFUNCTION("""COMPUTED_VALUE"""),"City of Olongapo")</f>
        <v>City of Olongapo</v>
      </c>
      <c r="I158" s="142" t="str">
        <f>IFERROR(__xludf.DUMMYFUNCTION("""COMPUTED_VALUE"""),"Palauig")</f>
        <v>Palauig</v>
      </c>
      <c r="J158" s="142" t="str">
        <f>IFERROR(__xludf.DUMMYFUNCTION("""COMPUTED_VALUE"""),"San Antonio")</f>
        <v>San Antonio</v>
      </c>
      <c r="K158" s="142" t="str">
        <f>IFERROR(__xludf.DUMMYFUNCTION("""COMPUTED_VALUE"""),"San Felipe")</f>
        <v>San Felipe</v>
      </c>
      <c r="L158" s="142" t="str">
        <f>IFERROR(__xludf.DUMMYFUNCTION("""COMPUTED_VALUE"""),"San Marcelino")</f>
        <v>San Marcelino</v>
      </c>
      <c r="M158" s="142" t="str">
        <f>IFERROR(__xludf.DUMMYFUNCTION("""COMPUTED_VALUE"""),"San Narciso")</f>
        <v>San Narciso</v>
      </c>
      <c r="N158" s="142" t="str">
        <f>IFERROR(__xludf.DUMMYFUNCTION("""COMPUTED_VALUE"""),"Santa Cruz")</f>
        <v>Santa Cruz</v>
      </c>
      <c r="O158" s="142" t="str">
        <f>IFERROR(__xludf.DUMMYFUNCTION("""COMPUTED_VALUE"""),"Subic")</f>
        <v>Subic</v>
      </c>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row>
    <row r="159">
      <c r="A159" s="142" t="s">
        <v>858</v>
      </c>
      <c r="B159" s="142" t="str">
        <f>IFERROR(__xludf.DUMMYFUNCTION("""COMPUTED_VALUE"""),"Anini-Y")</f>
        <v>Anini-Y</v>
      </c>
      <c r="C159" s="142" t="str">
        <f>IFERROR(__xludf.DUMMYFUNCTION("""COMPUTED_VALUE"""),"Barbaza")</f>
        <v>Barbaza</v>
      </c>
      <c r="D159" s="142" t="str">
        <f>IFERROR(__xludf.DUMMYFUNCTION("""COMPUTED_VALUE"""),"Belison")</f>
        <v>Belison</v>
      </c>
      <c r="E159" s="142" t="str">
        <f>IFERROR(__xludf.DUMMYFUNCTION("""COMPUTED_VALUE"""),"Bugasong")</f>
        <v>Bugasong</v>
      </c>
      <c r="F159" s="142" t="str">
        <f>IFERROR(__xludf.DUMMYFUNCTION("""COMPUTED_VALUE"""),"Caluya")</f>
        <v>Caluya</v>
      </c>
      <c r="G159" s="142" t="str">
        <f>IFERROR(__xludf.DUMMYFUNCTION("""COMPUTED_VALUE"""),"Culasi")</f>
        <v>Culasi</v>
      </c>
      <c r="H159" s="142" t="str">
        <f>IFERROR(__xludf.DUMMYFUNCTION("""COMPUTED_VALUE"""),"Tobias Fornier")</f>
        <v>Tobias Fornier</v>
      </c>
      <c r="I159" s="142" t="str">
        <f>IFERROR(__xludf.DUMMYFUNCTION("""COMPUTED_VALUE"""),"Hamtic")</f>
        <v>Hamtic</v>
      </c>
      <c r="J159" s="142" t="str">
        <f>IFERROR(__xludf.DUMMYFUNCTION("""COMPUTED_VALUE"""),"Laua-An")</f>
        <v>Laua-An</v>
      </c>
      <c r="K159" s="142" t="str">
        <f>IFERROR(__xludf.DUMMYFUNCTION("""COMPUTED_VALUE"""),"Libertad")</f>
        <v>Libertad</v>
      </c>
      <c r="L159" s="142" t="str">
        <f>IFERROR(__xludf.DUMMYFUNCTION("""COMPUTED_VALUE"""),"Pandan")</f>
        <v>Pandan</v>
      </c>
      <c r="M159" s="142" t="str">
        <f>IFERROR(__xludf.DUMMYFUNCTION("""COMPUTED_VALUE"""),"Patnongon")</f>
        <v>Patnongon</v>
      </c>
      <c r="N159" s="142" t="str">
        <f>IFERROR(__xludf.DUMMYFUNCTION("""COMPUTED_VALUE"""),"San Jose")</f>
        <v>San Jose</v>
      </c>
      <c r="O159" s="142" t="str">
        <f>IFERROR(__xludf.DUMMYFUNCTION("""COMPUTED_VALUE"""),"San Remigio")</f>
        <v>San Remigio</v>
      </c>
      <c r="P159" s="142" t="str">
        <f>IFERROR(__xludf.DUMMYFUNCTION("""COMPUTED_VALUE"""),"Sebaste")</f>
        <v>Sebaste</v>
      </c>
      <c r="Q159" s="142" t="str">
        <f>IFERROR(__xludf.DUMMYFUNCTION("""COMPUTED_VALUE"""),"Sibalom")</f>
        <v>Sibalom</v>
      </c>
      <c r="R159" s="142" t="str">
        <f>IFERROR(__xludf.DUMMYFUNCTION("""COMPUTED_VALUE"""),"Tibiao")</f>
        <v>Tibiao</v>
      </c>
      <c r="S159" s="142" t="str">
        <f>IFERROR(__xludf.DUMMYFUNCTION("""COMPUTED_VALUE"""),"Valderrama")</f>
        <v>Valderrama</v>
      </c>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row>
    <row r="160">
      <c r="A160" s="142" t="s">
        <v>563</v>
      </c>
      <c r="B160" s="142" t="str">
        <f>IFERROR(__xludf.DUMMYFUNCTION("""COMPUTED_VALUE"""),"Alburquerque")</f>
        <v>Alburquerque</v>
      </c>
      <c r="C160" s="142" t="str">
        <f>IFERROR(__xludf.DUMMYFUNCTION("""COMPUTED_VALUE"""),"Alicia")</f>
        <v>Alicia</v>
      </c>
      <c r="D160" s="142" t="str">
        <f>IFERROR(__xludf.DUMMYFUNCTION("""COMPUTED_VALUE"""),"Anda")</f>
        <v>Anda</v>
      </c>
      <c r="E160" s="142" t="str">
        <f>IFERROR(__xludf.DUMMYFUNCTION("""COMPUTED_VALUE"""),"Antequera")</f>
        <v>Antequera</v>
      </c>
      <c r="F160" s="142" t="str">
        <f>IFERROR(__xludf.DUMMYFUNCTION("""COMPUTED_VALUE"""),"Baclayon")</f>
        <v>Baclayon</v>
      </c>
      <c r="G160" s="142" t="str">
        <f>IFERROR(__xludf.DUMMYFUNCTION("""COMPUTED_VALUE"""),"Balilihan")</f>
        <v>Balilihan</v>
      </c>
      <c r="H160" s="142" t="str">
        <f>IFERROR(__xludf.DUMMYFUNCTION("""COMPUTED_VALUE"""),"Batuan")</f>
        <v>Batuan</v>
      </c>
      <c r="I160" s="142" t="str">
        <f>IFERROR(__xludf.DUMMYFUNCTION("""COMPUTED_VALUE"""),"Bilar")</f>
        <v>Bilar</v>
      </c>
      <c r="J160" s="142" t="str">
        <f>IFERROR(__xludf.DUMMYFUNCTION("""COMPUTED_VALUE"""),"Buenavista")</f>
        <v>Buenavista</v>
      </c>
      <c r="K160" s="142" t="str">
        <f>IFERROR(__xludf.DUMMYFUNCTION("""COMPUTED_VALUE"""),"Calape")</f>
        <v>Calape</v>
      </c>
      <c r="L160" s="142" t="str">
        <f>IFERROR(__xludf.DUMMYFUNCTION("""COMPUTED_VALUE"""),"Candijay")</f>
        <v>Candijay</v>
      </c>
      <c r="M160" s="142" t="str">
        <f>IFERROR(__xludf.DUMMYFUNCTION("""COMPUTED_VALUE"""),"Carmen")</f>
        <v>Carmen</v>
      </c>
      <c r="N160" s="142" t="str">
        <f>IFERROR(__xludf.DUMMYFUNCTION("""COMPUTED_VALUE"""),"Catigbian")</f>
        <v>Catigbian</v>
      </c>
      <c r="O160" s="142" t="str">
        <f>IFERROR(__xludf.DUMMYFUNCTION("""COMPUTED_VALUE"""),"Clarin")</f>
        <v>Clarin</v>
      </c>
      <c r="P160" s="142" t="str">
        <f>IFERROR(__xludf.DUMMYFUNCTION("""COMPUTED_VALUE"""),"Corella")</f>
        <v>Corella</v>
      </c>
      <c r="Q160" s="142" t="str">
        <f>IFERROR(__xludf.DUMMYFUNCTION("""COMPUTED_VALUE"""),"Cortes")</f>
        <v>Cortes</v>
      </c>
      <c r="R160" s="142" t="str">
        <f>IFERROR(__xludf.DUMMYFUNCTION("""COMPUTED_VALUE"""),"Dagohoy")</f>
        <v>Dagohoy</v>
      </c>
      <c r="S160" s="142" t="str">
        <f>IFERROR(__xludf.DUMMYFUNCTION("""COMPUTED_VALUE"""),"Danao")</f>
        <v>Danao</v>
      </c>
      <c r="T160" s="142" t="str">
        <f>IFERROR(__xludf.DUMMYFUNCTION("""COMPUTED_VALUE"""),"Dauis")</f>
        <v>Dauis</v>
      </c>
      <c r="U160" s="142" t="str">
        <f>IFERROR(__xludf.DUMMYFUNCTION("""COMPUTED_VALUE"""),"Dimiao")</f>
        <v>Dimiao</v>
      </c>
      <c r="V160" s="142" t="str">
        <f>IFERROR(__xludf.DUMMYFUNCTION("""COMPUTED_VALUE"""),"Duero")</f>
        <v>Duero</v>
      </c>
      <c r="W160" s="142" t="str">
        <f>IFERROR(__xludf.DUMMYFUNCTION("""COMPUTED_VALUE"""),"Garcia Hernandez")</f>
        <v>Garcia Hernandez</v>
      </c>
      <c r="X160" s="142" t="str">
        <f>IFERROR(__xludf.DUMMYFUNCTION("""COMPUTED_VALUE"""),"Guindulman")</f>
        <v>Guindulman</v>
      </c>
      <c r="Y160" s="142" t="str">
        <f>IFERROR(__xludf.DUMMYFUNCTION("""COMPUTED_VALUE"""),"Inabanga")</f>
        <v>Inabanga</v>
      </c>
      <c r="Z160" s="142" t="str">
        <f>IFERROR(__xludf.DUMMYFUNCTION("""COMPUTED_VALUE"""),"Jagna")</f>
        <v>Jagna</v>
      </c>
      <c r="AA160" s="142" t="str">
        <f>IFERROR(__xludf.DUMMYFUNCTION("""COMPUTED_VALUE"""),"Getafe")</f>
        <v>Getafe</v>
      </c>
      <c r="AB160" s="142" t="str">
        <f>IFERROR(__xludf.DUMMYFUNCTION("""COMPUTED_VALUE"""),"Lila")</f>
        <v>Lila</v>
      </c>
      <c r="AC160" s="142" t="str">
        <f>IFERROR(__xludf.DUMMYFUNCTION("""COMPUTED_VALUE"""),"Loay")</f>
        <v>Loay</v>
      </c>
      <c r="AD160" s="142" t="str">
        <f>IFERROR(__xludf.DUMMYFUNCTION("""COMPUTED_VALUE"""),"Loboc")</f>
        <v>Loboc</v>
      </c>
      <c r="AE160" s="142" t="str">
        <f>IFERROR(__xludf.DUMMYFUNCTION("""COMPUTED_VALUE"""),"Loon")</f>
        <v>Loon</v>
      </c>
      <c r="AF160" s="142" t="str">
        <f>IFERROR(__xludf.DUMMYFUNCTION("""COMPUTED_VALUE"""),"Mabini")</f>
        <v>Mabini</v>
      </c>
      <c r="AG160" s="142" t="str">
        <f>IFERROR(__xludf.DUMMYFUNCTION("""COMPUTED_VALUE"""),"Maribojoc")</f>
        <v>Maribojoc</v>
      </c>
      <c r="AH160" s="142" t="str">
        <f>IFERROR(__xludf.DUMMYFUNCTION("""COMPUTED_VALUE"""),"Panglao")</f>
        <v>Panglao</v>
      </c>
      <c r="AI160" s="142" t="str">
        <f>IFERROR(__xludf.DUMMYFUNCTION("""COMPUTED_VALUE"""),"Pilar")</f>
        <v>Pilar</v>
      </c>
      <c r="AJ160" s="142" t="str">
        <f>IFERROR(__xludf.DUMMYFUNCTION("""COMPUTED_VALUE"""),"President Carlos P. Garcia")</f>
        <v>President Carlos P. Garcia</v>
      </c>
      <c r="AK160" s="142" t="str">
        <f>IFERROR(__xludf.DUMMYFUNCTION("""COMPUTED_VALUE"""),"Sagbayan")</f>
        <v>Sagbayan</v>
      </c>
      <c r="AL160" s="142" t="str">
        <f>IFERROR(__xludf.DUMMYFUNCTION("""COMPUTED_VALUE"""),"San Isidro")</f>
        <v>San Isidro</v>
      </c>
      <c r="AM160" s="142" t="str">
        <f>IFERROR(__xludf.DUMMYFUNCTION("""COMPUTED_VALUE"""),"San Miguel")</f>
        <v>San Miguel</v>
      </c>
      <c r="AN160" s="142" t="str">
        <f>IFERROR(__xludf.DUMMYFUNCTION("""COMPUTED_VALUE"""),"Sevilla")</f>
        <v>Sevilla</v>
      </c>
      <c r="AO160" s="142" t="str">
        <f>IFERROR(__xludf.DUMMYFUNCTION("""COMPUTED_VALUE"""),"Sierra Bullones")</f>
        <v>Sierra Bullones</v>
      </c>
      <c r="AP160" s="142" t="str">
        <f>IFERROR(__xludf.DUMMYFUNCTION("""COMPUTED_VALUE"""),"Sikatuna")</f>
        <v>Sikatuna</v>
      </c>
      <c r="AQ160" s="142" t="str">
        <f>IFERROR(__xludf.DUMMYFUNCTION("""COMPUTED_VALUE"""),"City of Tagbilaran")</f>
        <v>City of Tagbilaran</v>
      </c>
      <c r="AR160" s="142" t="str">
        <f>IFERROR(__xludf.DUMMYFUNCTION("""COMPUTED_VALUE"""),"Talibon")</f>
        <v>Talibon</v>
      </c>
      <c r="AS160" s="142" t="str">
        <f>IFERROR(__xludf.DUMMYFUNCTION("""COMPUTED_VALUE"""),"Trinidad")</f>
        <v>Trinidad</v>
      </c>
      <c r="AT160" s="142" t="str">
        <f>IFERROR(__xludf.DUMMYFUNCTION("""COMPUTED_VALUE"""),"Tubigon")</f>
        <v>Tubigon</v>
      </c>
      <c r="AU160" s="142" t="str">
        <f>IFERROR(__xludf.DUMMYFUNCTION("""COMPUTED_VALUE"""),"Ubay")</f>
        <v>Ubay</v>
      </c>
      <c r="AV160" s="142" t="str">
        <f>IFERROR(__xludf.DUMMYFUNCTION("""COMPUTED_VALUE"""),"Valencia")</f>
        <v>Valencia</v>
      </c>
      <c r="AW160" s="142" t="str">
        <f>IFERROR(__xludf.DUMMYFUNCTION("""COMPUTED_VALUE"""),"Bien Unido")</f>
        <v>Bien Unido</v>
      </c>
      <c r="AX160" s="8"/>
      <c r="AY160" s="8"/>
      <c r="AZ160" s="8"/>
      <c r="BA160" s="8"/>
      <c r="BB160" s="8"/>
      <c r="BC160" s="8"/>
      <c r="BD160" s="8"/>
      <c r="BE160" s="8"/>
    </row>
    <row r="161">
      <c r="A161" s="142" t="s">
        <v>643</v>
      </c>
      <c r="B161" s="142" t="str">
        <f>IFERROR(__xludf.DUMMYFUNCTION("""COMPUTED_VALUE"""),"Barira")</f>
        <v>Barira</v>
      </c>
      <c r="C161" s="142" t="str">
        <f>IFERROR(__xludf.DUMMYFUNCTION("""COMPUTED_VALUE"""),"Buldon")</f>
        <v>Buldon</v>
      </c>
      <c r="D161" s="142" t="str">
        <f>IFERROR(__xludf.DUMMYFUNCTION("""COMPUTED_VALUE"""),"City of Cotabato")</f>
        <v>City of Cotabato</v>
      </c>
      <c r="E161" s="142" t="str">
        <f>IFERROR(__xludf.DUMMYFUNCTION("""COMPUTED_VALUE"""),"Datu Blah T. Sinsuat")</f>
        <v>Datu Blah T. Sinsuat</v>
      </c>
      <c r="F161" s="142" t="str">
        <f>IFERROR(__xludf.DUMMYFUNCTION("""COMPUTED_VALUE"""),"Datu Odin Sinsuat")</f>
        <v>Datu Odin Sinsuat</v>
      </c>
      <c r="G161" s="142" t="str">
        <f>IFERROR(__xludf.DUMMYFUNCTION("""COMPUTED_VALUE"""),"Kabuntalan")</f>
        <v>Kabuntalan</v>
      </c>
      <c r="H161" s="142" t="str">
        <f>IFERROR(__xludf.DUMMYFUNCTION("""COMPUTED_VALUE"""),"Matanog")</f>
        <v>Matanog</v>
      </c>
      <c r="I161" s="142" t="str">
        <f>IFERROR(__xludf.DUMMYFUNCTION("""COMPUTED_VALUE"""),"Northern Kabuntalan")</f>
        <v>Northern Kabuntalan</v>
      </c>
      <c r="J161" s="142" t="str">
        <f>IFERROR(__xludf.DUMMYFUNCTION("""COMPUTED_VALUE"""),"Parang")</f>
        <v>Parang</v>
      </c>
      <c r="K161" s="142" t="str">
        <f>IFERROR(__xludf.DUMMYFUNCTION("""COMPUTED_VALUE"""),"Sultan Kudarat")</f>
        <v>Sultan Kudarat</v>
      </c>
      <c r="L161" s="142" t="str">
        <f>IFERROR(__xludf.DUMMYFUNCTION("""COMPUTED_VALUE"""),"Sultan Mastura")</f>
        <v>Sultan Mastura</v>
      </c>
      <c r="M161" s="142" t="str">
        <f>IFERROR(__xludf.DUMMYFUNCTION("""COMPUTED_VALUE"""),"Talitay")</f>
        <v>Talitay</v>
      </c>
      <c r="N161" s="142" t="str">
        <f>IFERROR(__xludf.DUMMYFUNCTION("""COMPUTED_VALUE"""),"Upi")</f>
        <v>Upi</v>
      </c>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row>
    <row r="162">
      <c r="A162" s="142" t="s">
        <v>643</v>
      </c>
      <c r="B162" s="142" t="str">
        <f>IFERROR(__xludf.DUMMYFUNCTION("""COMPUTED_VALUE"""),"Barira")</f>
        <v>Barira</v>
      </c>
      <c r="C162" s="142" t="str">
        <f>IFERROR(__xludf.DUMMYFUNCTION("""COMPUTED_VALUE"""),"Buldon")</f>
        <v>Buldon</v>
      </c>
      <c r="D162" s="142" t="str">
        <f>IFERROR(__xludf.DUMMYFUNCTION("""COMPUTED_VALUE"""),"City of Cotabato")</f>
        <v>City of Cotabato</v>
      </c>
      <c r="E162" s="142" t="str">
        <f>IFERROR(__xludf.DUMMYFUNCTION("""COMPUTED_VALUE"""),"Datu Blah T. Sinsuat")</f>
        <v>Datu Blah T. Sinsuat</v>
      </c>
      <c r="F162" s="142" t="str">
        <f>IFERROR(__xludf.DUMMYFUNCTION("""COMPUTED_VALUE"""),"Datu Odin Sinsuat")</f>
        <v>Datu Odin Sinsuat</v>
      </c>
      <c r="G162" s="142" t="str">
        <f>IFERROR(__xludf.DUMMYFUNCTION("""COMPUTED_VALUE"""),"Kabuntalan")</f>
        <v>Kabuntalan</v>
      </c>
      <c r="H162" s="142" t="str">
        <f>IFERROR(__xludf.DUMMYFUNCTION("""COMPUTED_VALUE"""),"Matanog")</f>
        <v>Matanog</v>
      </c>
      <c r="I162" s="142" t="str">
        <f>IFERROR(__xludf.DUMMYFUNCTION("""COMPUTED_VALUE"""),"Northern Kabuntalan")</f>
        <v>Northern Kabuntalan</v>
      </c>
      <c r="J162" s="142" t="str">
        <f>IFERROR(__xludf.DUMMYFUNCTION("""COMPUTED_VALUE"""),"Parang")</f>
        <v>Parang</v>
      </c>
      <c r="K162" s="142" t="str">
        <f>IFERROR(__xludf.DUMMYFUNCTION("""COMPUTED_VALUE"""),"Sultan Kudarat")</f>
        <v>Sultan Kudarat</v>
      </c>
      <c r="L162" s="142" t="str">
        <f>IFERROR(__xludf.DUMMYFUNCTION("""COMPUTED_VALUE"""),"Sultan Mastura")</f>
        <v>Sultan Mastura</v>
      </c>
      <c r="M162" s="142" t="str">
        <f>IFERROR(__xludf.DUMMYFUNCTION("""COMPUTED_VALUE"""),"Talitay")</f>
        <v>Talitay</v>
      </c>
      <c r="N162" s="142" t="str">
        <f>IFERROR(__xludf.DUMMYFUNCTION("""COMPUTED_VALUE"""),"Upi")</f>
        <v>Upi</v>
      </c>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row>
    <row r="163">
      <c r="A163" s="142" t="s">
        <v>643</v>
      </c>
      <c r="B163" s="142" t="str">
        <f>IFERROR(__xludf.DUMMYFUNCTION("""COMPUTED_VALUE"""),"Barira")</f>
        <v>Barira</v>
      </c>
      <c r="C163" s="142" t="str">
        <f>IFERROR(__xludf.DUMMYFUNCTION("""COMPUTED_VALUE"""),"Buldon")</f>
        <v>Buldon</v>
      </c>
      <c r="D163" s="142" t="str">
        <f>IFERROR(__xludf.DUMMYFUNCTION("""COMPUTED_VALUE"""),"City of Cotabato")</f>
        <v>City of Cotabato</v>
      </c>
      <c r="E163" s="142" t="str">
        <f>IFERROR(__xludf.DUMMYFUNCTION("""COMPUTED_VALUE"""),"Datu Blah T. Sinsuat")</f>
        <v>Datu Blah T. Sinsuat</v>
      </c>
      <c r="F163" s="142" t="str">
        <f>IFERROR(__xludf.DUMMYFUNCTION("""COMPUTED_VALUE"""),"Datu Odin Sinsuat")</f>
        <v>Datu Odin Sinsuat</v>
      </c>
      <c r="G163" s="142" t="str">
        <f>IFERROR(__xludf.DUMMYFUNCTION("""COMPUTED_VALUE"""),"Kabuntalan")</f>
        <v>Kabuntalan</v>
      </c>
      <c r="H163" s="142" t="str">
        <f>IFERROR(__xludf.DUMMYFUNCTION("""COMPUTED_VALUE"""),"Matanog")</f>
        <v>Matanog</v>
      </c>
      <c r="I163" s="142" t="str">
        <f>IFERROR(__xludf.DUMMYFUNCTION("""COMPUTED_VALUE"""),"Northern Kabuntalan")</f>
        <v>Northern Kabuntalan</v>
      </c>
      <c r="J163" s="142" t="str">
        <f>IFERROR(__xludf.DUMMYFUNCTION("""COMPUTED_VALUE"""),"Parang")</f>
        <v>Parang</v>
      </c>
      <c r="K163" s="142" t="str">
        <f>IFERROR(__xludf.DUMMYFUNCTION("""COMPUTED_VALUE"""),"Sultan Kudarat")</f>
        <v>Sultan Kudarat</v>
      </c>
      <c r="L163" s="142" t="str">
        <f>IFERROR(__xludf.DUMMYFUNCTION("""COMPUTED_VALUE"""),"Sultan Mastura")</f>
        <v>Sultan Mastura</v>
      </c>
      <c r="M163" s="142" t="str">
        <f>IFERROR(__xludf.DUMMYFUNCTION("""COMPUTED_VALUE"""),"Talitay")</f>
        <v>Talitay</v>
      </c>
      <c r="N163" s="142" t="str">
        <f>IFERROR(__xludf.DUMMYFUNCTION("""COMPUTED_VALUE"""),"Upi")</f>
        <v>Upi</v>
      </c>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row>
    <row r="164">
      <c r="A164" s="142" t="s">
        <v>1089</v>
      </c>
      <c r="B164" s="142" t="str">
        <f>IFERROR(__xludf.DUMMYFUNCTION("""COMPUTED_VALUE"""),"Baao")</f>
        <v>Baao</v>
      </c>
      <c r="C164" s="142" t="str">
        <f>IFERROR(__xludf.DUMMYFUNCTION("""COMPUTED_VALUE"""),"Balatan")</f>
        <v>Balatan</v>
      </c>
      <c r="D164" s="142" t="str">
        <f>IFERROR(__xludf.DUMMYFUNCTION("""COMPUTED_VALUE"""),"Bato")</f>
        <v>Bato</v>
      </c>
      <c r="E164" s="142" t="str">
        <f>IFERROR(__xludf.DUMMYFUNCTION("""COMPUTED_VALUE"""),"Bombon")</f>
        <v>Bombon</v>
      </c>
      <c r="F164" s="142" t="str">
        <f>IFERROR(__xludf.DUMMYFUNCTION("""COMPUTED_VALUE"""),"Buhi")</f>
        <v>Buhi</v>
      </c>
      <c r="G164" s="142" t="str">
        <f>IFERROR(__xludf.DUMMYFUNCTION("""COMPUTED_VALUE"""),"Bula")</f>
        <v>Bula</v>
      </c>
      <c r="H164" s="142" t="str">
        <f>IFERROR(__xludf.DUMMYFUNCTION("""COMPUTED_VALUE"""),"Cabusao")</f>
        <v>Cabusao</v>
      </c>
      <c r="I164" s="142" t="str">
        <f>IFERROR(__xludf.DUMMYFUNCTION("""COMPUTED_VALUE"""),"Calabanga")</f>
        <v>Calabanga</v>
      </c>
      <c r="J164" s="142" t="str">
        <f>IFERROR(__xludf.DUMMYFUNCTION("""COMPUTED_VALUE"""),"Camaligan")</f>
        <v>Camaligan</v>
      </c>
      <c r="K164" s="142" t="str">
        <f>IFERROR(__xludf.DUMMYFUNCTION("""COMPUTED_VALUE"""),"Canaman")</f>
        <v>Canaman</v>
      </c>
      <c r="L164" s="142" t="str">
        <f>IFERROR(__xludf.DUMMYFUNCTION("""COMPUTED_VALUE"""),"Caramoan")</f>
        <v>Caramoan</v>
      </c>
      <c r="M164" s="142" t="str">
        <f>IFERROR(__xludf.DUMMYFUNCTION("""COMPUTED_VALUE"""),"Del Gallego")</f>
        <v>Del Gallego</v>
      </c>
      <c r="N164" s="142" t="str">
        <f>IFERROR(__xludf.DUMMYFUNCTION("""COMPUTED_VALUE"""),"Gainza")</f>
        <v>Gainza</v>
      </c>
      <c r="O164" s="142" t="str">
        <f>IFERROR(__xludf.DUMMYFUNCTION("""COMPUTED_VALUE"""),"Garchitorena")</f>
        <v>Garchitorena</v>
      </c>
      <c r="P164" s="142" t="str">
        <f>IFERROR(__xludf.DUMMYFUNCTION("""COMPUTED_VALUE"""),"Goa")</f>
        <v>Goa</v>
      </c>
      <c r="Q164" s="142" t="str">
        <f>IFERROR(__xludf.DUMMYFUNCTION("""COMPUTED_VALUE"""),"City of Iriga")</f>
        <v>City of Iriga</v>
      </c>
      <c r="R164" s="142" t="str">
        <f>IFERROR(__xludf.DUMMYFUNCTION("""COMPUTED_VALUE"""),"Lagonoy")</f>
        <v>Lagonoy</v>
      </c>
      <c r="S164" s="142" t="str">
        <f>IFERROR(__xludf.DUMMYFUNCTION("""COMPUTED_VALUE"""),"Libmanan")</f>
        <v>Libmanan</v>
      </c>
      <c r="T164" s="142" t="str">
        <f>IFERROR(__xludf.DUMMYFUNCTION("""COMPUTED_VALUE"""),"Lupi")</f>
        <v>Lupi</v>
      </c>
      <c r="U164" s="142" t="str">
        <f>IFERROR(__xludf.DUMMYFUNCTION("""COMPUTED_VALUE"""),"Magarao")</f>
        <v>Magarao</v>
      </c>
      <c r="V164" s="142" t="str">
        <f>IFERROR(__xludf.DUMMYFUNCTION("""COMPUTED_VALUE"""),"Milaor")</f>
        <v>Milaor</v>
      </c>
      <c r="W164" s="142" t="str">
        <f>IFERROR(__xludf.DUMMYFUNCTION("""COMPUTED_VALUE"""),"Minalabac")</f>
        <v>Minalabac</v>
      </c>
      <c r="X164" s="142" t="str">
        <f>IFERROR(__xludf.DUMMYFUNCTION("""COMPUTED_VALUE"""),"Nabua")</f>
        <v>Nabua</v>
      </c>
      <c r="Y164" s="142" t="str">
        <f>IFERROR(__xludf.DUMMYFUNCTION("""COMPUTED_VALUE"""),"City of Naga")</f>
        <v>City of Naga</v>
      </c>
      <c r="Z164" s="142" t="str">
        <f>IFERROR(__xludf.DUMMYFUNCTION("""COMPUTED_VALUE"""),"Ocampo")</f>
        <v>Ocampo</v>
      </c>
      <c r="AA164" s="142" t="str">
        <f>IFERROR(__xludf.DUMMYFUNCTION("""COMPUTED_VALUE"""),"Pamplona")</f>
        <v>Pamplona</v>
      </c>
      <c r="AB164" s="142" t="str">
        <f>IFERROR(__xludf.DUMMYFUNCTION("""COMPUTED_VALUE"""),"Pasacao")</f>
        <v>Pasacao</v>
      </c>
      <c r="AC164" s="142" t="str">
        <f>IFERROR(__xludf.DUMMYFUNCTION("""COMPUTED_VALUE"""),"Pili")</f>
        <v>Pili</v>
      </c>
      <c r="AD164" s="142" t="str">
        <f>IFERROR(__xludf.DUMMYFUNCTION("""COMPUTED_VALUE"""),"Presentacion")</f>
        <v>Presentacion</v>
      </c>
      <c r="AE164" s="142" t="str">
        <f>IFERROR(__xludf.DUMMYFUNCTION("""COMPUTED_VALUE"""),"Ragay")</f>
        <v>Ragay</v>
      </c>
      <c r="AF164" s="142" t="str">
        <f>IFERROR(__xludf.DUMMYFUNCTION("""COMPUTED_VALUE"""),"Sagñay")</f>
        <v>Sagñay</v>
      </c>
      <c r="AG164" s="142" t="str">
        <f>IFERROR(__xludf.DUMMYFUNCTION("""COMPUTED_VALUE"""),"San Fernando")</f>
        <v>San Fernando</v>
      </c>
      <c r="AH164" s="142" t="str">
        <f>IFERROR(__xludf.DUMMYFUNCTION("""COMPUTED_VALUE"""),"San Jose")</f>
        <v>San Jose</v>
      </c>
      <c r="AI164" s="142" t="str">
        <f>IFERROR(__xludf.DUMMYFUNCTION("""COMPUTED_VALUE"""),"Sipocot")</f>
        <v>Sipocot</v>
      </c>
      <c r="AJ164" s="142" t="str">
        <f>IFERROR(__xludf.DUMMYFUNCTION("""COMPUTED_VALUE"""),"Siruma")</f>
        <v>Siruma</v>
      </c>
      <c r="AK164" s="142" t="str">
        <f>IFERROR(__xludf.DUMMYFUNCTION("""COMPUTED_VALUE"""),"Tigaon")</f>
        <v>Tigaon</v>
      </c>
      <c r="AL164" s="142" t="str">
        <f>IFERROR(__xludf.DUMMYFUNCTION("""COMPUTED_VALUE"""),"Tinambac")</f>
        <v>Tinambac</v>
      </c>
      <c r="AM164" s="8"/>
      <c r="AN164" s="8"/>
      <c r="AO164" s="8"/>
      <c r="AP164" s="8"/>
      <c r="AQ164" s="8"/>
      <c r="AR164" s="8"/>
      <c r="AS164" s="8"/>
      <c r="AT164" s="8"/>
      <c r="AU164" s="8"/>
      <c r="AV164" s="8"/>
      <c r="AW164" s="8"/>
      <c r="AX164" s="8"/>
      <c r="AY164" s="8"/>
      <c r="AZ164" s="8"/>
      <c r="BA164" s="8"/>
      <c r="BB164" s="8"/>
      <c r="BC164" s="8"/>
      <c r="BD164" s="8"/>
      <c r="BE164" s="8"/>
    </row>
    <row r="165">
      <c r="A165" s="142" t="s">
        <v>1333</v>
      </c>
      <c r="B165" s="142" t="str">
        <f>IFERROR(__xludf.DUMMYFUNCTION("""COMPUTED_VALUE"""),"City of Lamitan")</f>
        <v>City of Lamitan</v>
      </c>
      <c r="C165" s="142" t="str">
        <f>IFERROR(__xludf.DUMMYFUNCTION("""COMPUTED_VALUE"""),"Lantawan")</f>
        <v>Lantawan</v>
      </c>
      <c r="D165" s="142" t="str">
        <f>IFERROR(__xludf.DUMMYFUNCTION("""COMPUTED_VALUE"""),"Maluso")</f>
        <v>Maluso</v>
      </c>
      <c r="E165" s="142" t="str">
        <f>IFERROR(__xludf.DUMMYFUNCTION("""COMPUTED_VALUE"""),"Sumisip")</f>
        <v>Sumisip</v>
      </c>
      <c r="F165" s="142" t="str">
        <f>IFERROR(__xludf.DUMMYFUNCTION("""COMPUTED_VALUE"""),"Tipo-Tipo")</f>
        <v>Tipo-Tipo</v>
      </c>
      <c r="G165" s="142" t="str">
        <f>IFERROR(__xludf.DUMMYFUNCTION("""COMPUTED_VALUE"""),"Tuburan")</f>
        <v>Tuburan</v>
      </c>
      <c r="H165" s="142" t="str">
        <f>IFERROR(__xludf.DUMMYFUNCTION("""COMPUTED_VALUE"""),"Akbar")</f>
        <v>Akbar</v>
      </c>
      <c r="I165" s="142" t="str">
        <f>IFERROR(__xludf.DUMMYFUNCTION("""COMPUTED_VALUE"""),"Al-Barka")</f>
        <v>Al-Barka</v>
      </c>
      <c r="J165" s="142" t="str">
        <f>IFERROR(__xludf.DUMMYFUNCTION("""COMPUTED_VALUE"""),"Hadji Mohammad Ajul")</f>
        <v>Hadji Mohammad Ajul</v>
      </c>
      <c r="K165" s="142" t="str">
        <f>IFERROR(__xludf.DUMMYFUNCTION("""COMPUTED_VALUE"""),"Ungkaya Pukan")</f>
        <v>Ungkaya Pukan</v>
      </c>
      <c r="L165" s="142" t="str">
        <f>IFERROR(__xludf.DUMMYFUNCTION("""COMPUTED_VALUE"""),"Hadji Muhtamad")</f>
        <v>Hadji Muhtamad</v>
      </c>
      <c r="M165" s="142" t="str">
        <f>IFERROR(__xludf.DUMMYFUNCTION("""COMPUTED_VALUE"""),"Tabuan-Lasa")</f>
        <v>Tabuan-Lasa</v>
      </c>
      <c r="N165" s="142" t="str">
        <f>IFERROR(__xludf.DUMMYFUNCTION("""COMPUTED_VALUE"""),"City of Isabela")</f>
        <v>City of Isabela</v>
      </c>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row>
    <row r="166">
      <c r="A166" s="142" t="s">
        <v>1333</v>
      </c>
      <c r="B166" s="142" t="str">
        <f>IFERROR(__xludf.DUMMYFUNCTION("""COMPUTED_VALUE"""),"City of Lamitan")</f>
        <v>City of Lamitan</v>
      </c>
      <c r="C166" s="142" t="str">
        <f>IFERROR(__xludf.DUMMYFUNCTION("""COMPUTED_VALUE"""),"Lantawan")</f>
        <v>Lantawan</v>
      </c>
      <c r="D166" s="142" t="str">
        <f>IFERROR(__xludf.DUMMYFUNCTION("""COMPUTED_VALUE"""),"Maluso")</f>
        <v>Maluso</v>
      </c>
      <c r="E166" s="142" t="str">
        <f>IFERROR(__xludf.DUMMYFUNCTION("""COMPUTED_VALUE"""),"Sumisip")</f>
        <v>Sumisip</v>
      </c>
      <c r="F166" s="142" t="str">
        <f>IFERROR(__xludf.DUMMYFUNCTION("""COMPUTED_VALUE"""),"Tipo-Tipo")</f>
        <v>Tipo-Tipo</v>
      </c>
      <c r="G166" s="142" t="str">
        <f>IFERROR(__xludf.DUMMYFUNCTION("""COMPUTED_VALUE"""),"Tuburan")</f>
        <v>Tuburan</v>
      </c>
      <c r="H166" s="142" t="str">
        <f>IFERROR(__xludf.DUMMYFUNCTION("""COMPUTED_VALUE"""),"Akbar")</f>
        <v>Akbar</v>
      </c>
      <c r="I166" s="142" t="str">
        <f>IFERROR(__xludf.DUMMYFUNCTION("""COMPUTED_VALUE"""),"Al-Barka")</f>
        <v>Al-Barka</v>
      </c>
      <c r="J166" s="142" t="str">
        <f>IFERROR(__xludf.DUMMYFUNCTION("""COMPUTED_VALUE"""),"Hadji Mohammad Ajul")</f>
        <v>Hadji Mohammad Ajul</v>
      </c>
      <c r="K166" s="142" t="str">
        <f>IFERROR(__xludf.DUMMYFUNCTION("""COMPUTED_VALUE"""),"Ungkaya Pukan")</f>
        <v>Ungkaya Pukan</v>
      </c>
      <c r="L166" s="142" t="str">
        <f>IFERROR(__xludf.DUMMYFUNCTION("""COMPUTED_VALUE"""),"Hadji Muhtamad")</f>
        <v>Hadji Muhtamad</v>
      </c>
      <c r="M166" s="142" t="str">
        <f>IFERROR(__xludf.DUMMYFUNCTION("""COMPUTED_VALUE"""),"Tabuan-Lasa")</f>
        <v>Tabuan-Lasa</v>
      </c>
      <c r="N166" s="142" t="str">
        <f>IFERROR(__xludf.DUMMYFUNCTION("""COMPUTED_VALUE"""),"City of Isabela")</f>
        <v>City of Isabela</v>
      </c>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row>
    <row r="167">
      <c r="A167" s="142" t="s">
        <v>1333</v>
      </c>
      <c r="B167" s="142" t="str">
        <f>IFERROR(__xludf.DUMMYFUNCTION("""COMPUTED_VALUE"""),"City of Lamitan")</f>
        <v>City of Lamitan</v>
      </c>
      <c r="C167" s="142" t="str">
        <f>IFERROR(__xludf.DUMMYFUNCTION("""COMPUTED_VALUE"""),"Lantawan")</f>
        <v>Lantawan</v>
      </c>
      <c r="D167" s="142" t="str">
        <f>IFERROR(__xludf.DUMMYFUNCTION("""COMPUTED_VALUE"""),"Maluso")</f>
        <v>Maluso</v>
      </c>
      <c r="E167" s="142" t="str">
        <f>IFERROR(__xludf.DUMMYFUNCTION("""COMPUTED_VALUE"""),"Sumisip")</f>
        <v>Sumisip</v>
      </c>
      <c r="F167" s="142" t="str">
        <f>IFERROR(__xludf.DUMMYFUNCTION("""COMPUTED_VALUE"""),"Tipo-Tipo")</f>
        <v>Tipo-Tipo</v>
      </c>
      <c r="G167" s="142" t="str">
        <f>IFERROR(__xludf.DUMMYFUNCTION("""COMPUTED_VALUE"""),"Tuburan")</f>
        <v>Tuburan</v>
      </c>
      <c r="H167" s="142" t="str">
        <f>IFERROR(__xludf.DUMMYFUNCTION("""COMPUTED_VALUE"""),"Akbar")</f>
        <v>Akbar</v>
      </c>
      <c r="I167" s="142" t="str">
        <f>IFERROR(__xludf.DUMMYFUNCTION("""COMPUTED_VALUE"""),"Al-Barka")</f>
        <v>Al-Barka</v>
      </c>
      <c r="J167" s="142" t="str">
        <f>IFERROR(__xludf.DUMMYFUNCTION("""COMPUTED_VALUE"""),"Hadji Mohammad Ajul")</f>
        <v>Hadji Mohammad Ajul</v>
      </c>
      <c r="K167" s="142" t="str">
        <f>IFERROR(__xludf.DUMMYFUNCTION("""COMPUTED_VALUE"""),"Ungkaya Pukan")</f>
        <v>Ungkaya Pukan</v>
      </c>
      <c r="L167" s="142" t="str">
        <f>IFERROR(__xludf.DUMMYFUNCTION("""COMPUTED_VALUE"""),"Hadji Muhtamad")</f>
        <v>Hadji Muhtamad</v>
      </c>
      <c r="M167" s="142" t="str">
        <f>IFERROR(__xludf.DUMMYFUNCTION("""COMPUTED_VALUE"""),"Tabuan-Lasa")</f>
        <v>Tabuan-Lasa</v>
      </c>
      <c r="N167" s="142" t="str">
        <f>IFERROR(__xludf.DUMMYFUNCTION("""COMPUTED_VALUE"""),"City of Isabela")</f>
        <v>City of Isabela</v>
      </c>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row>
    <row r="168">
      <c r="A168" s="142" t="s">
        <v>1333</v>
      </c>
      <c r="B168" s="142" t="str">
        <f>IFERROR(__xludf.DUMMYFUNCTION("""COMPUTED_VALUE"""),"City of Lamitan")</f>
        <v>City of Lamitan</v>
      </c>
      <c r="C168" s="142" t="str">
        <f>IFERROR(__xludf.DUMMYFUNCTION("""COMPUTED_VALUE"""),"Lantawan")</f>
        <v>Lantawan</v>
      </c>
      <c r="D168" s="142" t="str">
        <f>IFERROR(__xludf.DUMMYFUNCTION("""COMPUTED_VALUE"""),"Maluso")</f>
        <v>Maluso</v>
      </c>
      <c r="E168" s="142" t="str">
        <f>IFERROR(__xludf.DUMMYFUNCTION("""COMPUTED_VALUE"""),"Sumisip")</f>
        <v>Sumisip</v>
      </c>
      <c r="F168" s="142" t="str">
        <f>IFERROR(__xludf.DUMMYFUNCTION("""COMPUTED_VALUE"""),"Tipo-Tipo")</f>
        <v>Tipo-Tipo</v>
      </c>
      <c r="G168" s="142" t="str">
        <f>IFERROR(__xludf.DUMMYFUNCTION("""COMPUTED_VALUE"""),"Tuburan")</f>
        <v>Tuburan</v>
      </c>
      <c r="H168" s="142" t="str">
        <f>IFERROR(__xludf.DUMMYFUNCTION("""COMPUTED_VALUE"""),"Akbar")</f>
        <v>Akbar</v>
      </c>
      <c r="I168" s="142" t="str">
        <f>IFERROR(__xludf.DUMMYFUNCTION("""COMPUTED_VALUE"""),"Al-Barka")</f>
        <v>Al-Barka</v>
      </c>
      <c r="J168" s="142" t="str">
        <f>IFERROR(__xludf.DUMMYFUNCTION("""COMPUTED_VALUE"""),"Hadji Mohammad Ajul")</f>
        <v>Hadji Mohammad Ajul</v>
      </c>
      <c r="K168" s="142" t="str">
        <f>IFERROR(__xludf.DUMMYFUNCTION("""COMPUTED_VALUE"""),"Ungkaya Pukan")</f>
        <v>Ungkaya Pukan</v>
      </c>
      <c r="L168" s="142" t="str">
        <f>IFERROR(__xludf.DUMMYFUNCTION("""COMPUTED_VALUE"""),"Hadji Muhtamad")</f>
        <v>Hadji Muhtamad</v>
      </c>
      <c r="M168" s="142" t="str">
        <f>IFERROR(__xludf.DUMMYFUNCTION("""COMPUTED_VALUE"""),"Tabuan-Lasa")</f>
        <v>Tabuan-Lasa</v>
      </c>
      <c r="N168" s="142" t="str">
        <f>IFERROR(__xludf.DUMMYFUNCTION("""COMPUTED_VALUE"""),"City of Isabela")</f>
        <v>City of Isabela</v>
      </c>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row>
    <row r="169">
      <c r="A169" s="142" t="s">
        <v>643</v>
      </c>
      <c r="B169" s="142" t="str">
        <f>IFERROR(__xludf.DUMMYFUNCTION("""COMPUTED_VALUE"""),"Barira")</f>
        <v>Barira</v>
      </c>
      <c r="C169" s="142" t="str">
        <f>IFERROR(__xludf.DUMMYFUNCTION("""COMPUTED_VALUE"""),"Buldon")</f>
        <v>Buldon</v>
      </c>
      <c r="D169" s="142" t="str">
        <f>IFERROR(__xludf.DUMMYFUNCTION("""COMPUTED_VALUE"""),"City of Cotabato")</f>
        <v>City of Cotabato</v>
      </c>
      <c r="E169" s="142" t="str">
        <f>IFERROR(__xludf.DUMMYFUNCTION("""COMPUTED_VALUE"""),"Datu Blah T. Sinsuat")</f>
        <v>Datu Blah T. Sinsuat</v>
      </c>
      <c r="F169" s="142" t="str">
        <f>IFERROR(__xludf.DUMMYFUNCTION("""COMPUTED_VALUE"""),"Datu Odin Sinsuat")</f>
        <v>Datu Odin Sinsuat</v>
      </c>
      <c r="G169" s="142" t="str">
        <f>IFERROR(__xludf.DUMMYFUNCTION("""COMPUTED_VALUE"""),"Kabuntalan")</f>
        <v>Kabuntalan</v>
      </c>
      <c r="H169" s="142" t="str">
        <f>IFERROR(__xludf.DUMMYFUNCTION("""COMPUTED_VALUE"""),"Matanog")</f>
        <v>Matanog</v>
      </c>
      <c r="I169" s="142" t="str">
        <f>IFERROR(__xludf.DUMMYFUNCTION("""COMPUTED_VALUE"""),"Northern Kabuntalan")</f>
        <v>Northern Kabuntalan</v>
      </c>
      <c r="J169" s="142" t="str">
        <f>IFERROR(__xludf.DUMMYFUNCTION("""COMPUTED_VALUE"""),"Parang")</f>
        <v>Parang</v>
      </c>
      <c r="K169" s="142" t="str">
        <f>IFERROR(__xludf.DUMMYFUNCTION("""COMPUTED_VALUE"""),"Sultan Kudarat")</f>
        <v>Sultan Kudarat</v>
      </c>
      <c r="L169" s="142" t="str">
        <f>IFERROR(__xludf.DUMMYFUNCTION("""COMPUTED_VALUE"""),"Sultan Mastura")</f>
        <v>Sultan Mastura</v>
      </c>
      <c r="M169" s="142" t="str">
        <f>IFERROR(__xludf.DUMMYFUNCTION("""COMPUTED_VALUE"""),"Talitay")</f>
        <v>Talitay</v>
      </c>
      <c r="N169" s="142" t="str">
        <f>IFERROR(__xludf.DUMMYFUNCTION("""COMPUTED_VALUE"""),"Upi")</f>
        <v>Upi</v>
      </c>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row>
    <row r="170">
      <c r="A170" s="142" t="s">
        <v>643</v>
      </c>
      <c r="B170" s="142" t="str">
        <f>IFERROR(__xludf.DUMMYFUNCTION("""COMPUTED_VALUE"""),"Barira")</f>
        <v>Barira</v>
      </c>
      <c r="C170" s="142" t="str">
        <f>IFERROR(__xludf.DUMMYFUNCTION("""COMPUTED_VALUE"""),"Buldon")</f>
        <v>Buldon</v>
      </c>
      <c r="D170" s="142" t="str">
        <f>IFERROR(__xludf.DUMMYFUNCTION("""COMPUTED_VALUE"""),"City of Cotabato")</f>
        <v>City of Cotabato</v>
      </c>
      <c r="E170" s="142" t="str">
        <f>IFERROR(__xludf.DUMMYFUNCTION("""COMPUTED_VALUE"""),"Datu Blah T. Sinsuat")</f>
        <v>Datu Blah T. Sinsuat</v>
      </c>
      <c r="F170" s="142" t="str">
        <f>IFERROR(__xludf.DUMMYFUNCTION("""COMPUTED_VALUE"""),"Datu Odin Sinsuat")</f>
        <v>Datu Odin Sinsuat</v>
      </c>
      <c r="G170" s="142" t="str">
        <f>IFERROR(__xludf.DUMMYFUNCTION("""COMPUTED_VALUE"""),"Kabuntalan")</f>
        <v>Kabuntalan</v>
      </c>
      <c r="H170" s="142" t="str">
        <f>IFERROR(__xludf.DUMMYFUNCTION("""COMPUTED_VALUE"""),"Matanog")</f>
        <v>Matanog</v>
      </c>
      <c r="I170" s="142" t="str">
        <f>IFERROR(__xludf.DUMMYFUNCTION("""COMPUTED_VALUE"""),"Northern Kabuntalan")</f>
        <v>Northern Kabuntalan</v>
      </c>
      <c r="J170" s="142" t="str">
        <f>IFERROR(__xludf.DUMMYFUNCTION("""COMPUTED_VALUE"""),"Parang")</f>
        <v>Parang</v>
      </c>
      <c r="K170" s="142" t="str">
        <f>IFERROR(__xludf.DUMMYFUNCTION("""COMPUTED_VALUE"""),"Sultan Kudarat")</f>
        <v>Sultan Kudarat</v>
      </c>
      <c r="L170" s="142" t="str">
        <f>IFERROR(__xludf.DUMMYFUNCTION("""COMPUTED_VALUE"""),"Sultan Mastura")</f>
        <v>Sultan Mastura</v>
      </c>
      <c r="M170" s="142" t="str">
        <f>IFERROR(__xludf.DUMMYFUNCTION("""COMPUTED_VALUE"""),"Talitay")</f>
        <v>Talitay</v>
      </c>
      <c r="N170" s="142" t="str">
        <f>IFERROR(__xludf.DUMMYFUNCTION("""COMPUTED_VALUE"""),"Upi")</f>
        <v>Upi</v>
      </c>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row>
    <row r="171">
      <c r="A171" s="142" t="s">
        <v>1333</v>
      </c>
      <c r="B171" s="142" t="str">
        <f>IFERROR(__xludf.DUMMYFUNCTION("""COMPUTED_VALUE"""),"City of Lamitan")</f>
        <v>City of Lamitan</v>
      </c>
      <c r="C171" s="142" t="str">
        <f>IFERROR(__xludf.DUMMYFUNCTION("""COMPUTED_VALUE"""),"Lantawan")</f>
        <v>Lantawan</v>
      </c>
      <c r="D171" s="142" t="str">
        <f>IFERROR(__xludf.DUMMYFUNCTION("""COMPUTED_VALUE"""),"Maluso")</f>
        <v>Maluso</v>
      </c>
      <c r="E171" s="142" t="str">
        <f>IFERROR(__xludf.DUMMYFUNCTION("""COMPUTED_VALUE"""),"Sumisip")</f>
        <v>Sumisip</v>
      </c>
      <c r="F171" s="142" t="str">
        <f>IFERROR(__xludf.DUMMYFUNCTION("""COMPUTED_VALUE"""),"Tipo-Tipo")</f>
        <v>Tipo-Tipo</v>
      </c>
      <c r="G171" s="142" t="str">
        <f>IFERROR(__xludf.DUMMYFUNCTION("""COMPUTED_VALUE"""),"Tuburan")</f>
        <v>Tuburan</v>
      </c>
      <c r="H171" s="142" t="str">
        <f>IFERROR(__xludf.DUMMYFUNCTION("""COMPUTED_VALUE"""),"Akbar")</f>
        <v>Akbar</v>
      </c>
      <c r="I171" s="142" t="str">
        <f>IFERROR(__xludf.DUMMYFUNCTION("""COMPUTED_VALUE"""),"Al-Barka")</f>
        <v>Al-Barka</v>
      </c>
      <c r="J171" s="142" t="str">
        <f>IFERROR(__xludf.DUMMYFUNCTION("""COMPUTED_VALUE"""),"Hadji Mohammad Ajul")</f>
        <v>Hadji Mohammad Ajul</v>
      </c>
      <c r="K171" s="142" t="str">
        <f>IFERROR(__xludf.DUMMYFUNCTION("""COMPUTED_VALUE"""),"Ungkaya Pukan")</f>
        <v>Ungkaya Pukan</v>
      </c>
      <c r="L171" s="142" t="str">
        <f>IFERROR(__xludf.DUMMYFUNCTION("""COMPUTED_VALUE"""),"Hadji Muhtamad")</f>
        <v>Hadji Muhtamad</v>
      </c>
      <c r="M171" s="142" t="str">
        <f>IFERROR(__xludf.DUMMYFUNCTION("""COMPUTED_VALUE"""),"Tabuan-Lasa")</f>
        <v>Tabuan-Lasa</v>
      </c>
      <c r="N171" s="142" t="str">
        <f>IFERROR(__xludf.DUMMYFUNCTION("""COMPUTED_VALUE"""),"City of Isabela")</f>
        <v>City of Isabela</v>
      </c>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row>
    <row r="172">
      <c r="A172" s="142" t="s">
        <v>1364</v>
      </c>
      <c r="B172" s="142" t="str">
        <f>IFERROR(__xludf.DUMMYFUNCTION("""COMPUTED_VALUE"""),"Cuartero")</f>
        <v>Cuartero</v>
      </c>
      <c r="C172" s="142" t="str">
        <f>IFERROR(__xludf.DUMMYFUNCTION("""COMPUTED_VALUE"""),"Dao")</f>
        <v>Dao</v>
      </c>
      <c r="D172" s="142" t="str">
        <f>IFERROR(__xludf.DUMMYFUNCTION("""COMPUTED_VALUE"""),"Dumalag")</f>
        <v>Dumalag</v>
      </c>
      <c r="E172" s="142" t="str">
        <f>IFERROR(__xludf.DUMMYFUNCTION("""COMPUTED_VALUE"""),"Dumarao")</f>
        <v>Dumarao</v>
      </c>
      <c r="F172" s="142" t="str">
        <f>IFERROR(__xludf.DUMMYFUNCTION("""COMPUTED_VALUE"""),"Ivisan")</f>
        <v>Ivisan</v>
      </c>
      <c r="G172" s="142" t="str">
        <f>IFERROR(__xludf.DUMMYFUNCTION("""COMPUTED_VALUE"""),"Jamindan")</f>
        <v>Jamindan</v>
      </c>
      <c r="H172" s="142" t="str">
        <f>IFERROR(__xludf.DUMMYFUNCTION("""COMPUTED_VALUE"""),"Ma-Ayon")</f>
        <v>Ma-Ayon</v>
      </c>
      <c r="I172" s="142" t="str">
        <f>IFERROR(__xludf.DUMMYFUNCTION("""COMPUTED_VALUE"""),"Mambusao")</f>
        <v>Mambusao</v>
      </c>
      <c r="J172" s="142" t="str">
        <f>IFERROR(__xludf.DUMMYFUNCTION("""COMPUTED_VALUE"""),"Panay")</f>
        <v>Panay</v>
      </c>
      <c r="K172" s="142" t="str">
        <f>IFERROR(__xludf.DUMMYFUNCTION("""COMPUTED_VALUE"""),"Panitan")</f>
        <v>Panitan</v>
      </c>
      <c r="L172" s="142" t="str">
        <f>IFERROR(__xludf.DUMMYFUNCTION("""COMPUTED_VALUE"""),"Pilar")</f>
        <v>Pilar</v>
      </c>
      <c r="M172" s="142" t="str">
        <f>IFERROR(__xludf.DUMMYFUNCTION("""COMPUTED_VALUE"""),"Pontevedra")</f>
        <v>Pontevedra</v>
      </c>
      <c r="N172" s="142" t="str">
        <f>IFERROR(__xludf.DUMMYFUNCTION("""COMPUTED_VALUE"""),"President Roxas")</f>
        <v>President Roxas</v>
      </c>
      <c r="O172" s="142" t="str">
        <f>IFERROR(__xludf.DUMMYFUNCTION("""COMPUTED_VALUE"""),"City of Roxas")</f>
        <v>City of Roxas</v>
      </c>
      <c r="P172" s="142" t="str">
        <f>IFERROR(__xludf.DUMMYFUNCTION("""COMPUTED_VALUE"""),"Sapi-An")</f>
        <v>Sapi-An</v>
      </c>
      <c r="Q172" s="142" t="str">
        <f>IFERROR(__xludf.DUMMYFUNCTION("""COMPUTED_VALUE"""),"Sigma")</f>
        <v>Sigma</v>
      </c>
      <c r="R172" s="142" t="str">
        <f>IFERROR(__xludf.DUMMYFUNCTION("""COMPUTED_VALUE"""),"Tapaz")</f>
        <v>Tapaz</v>
      </c>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row>
    <row r="173">
      <c r="A173" s="142" t="s">
        <v>1283</v>
      </c>
      <c r="B173" s="142" t="str">
        <f>IFERROR(__xludf.DUMMYFUNCTION("""COMPUTED_VALUE"""),"Abucay")</f>
        <v>Abucay</v>
      </c>
      <c r="C173" s="142" t="str">
        <f>IFERROR(__xludf.DUMMYFUNCTION("""COMPUTED_VALUE"""),"Bagac")</f>
        <v>Bagac</v>
      </c>
      <c r="D173" s="142" t="str">
        <f>IFERROR(__xludf.DUMMYFUNCTION("""COMPUTED_VALUE"""),"City of Balanga")</f>
        <v>City of Balanga</v>
      </c>
      <c r="E173" s="142" t="str">
        <f>IFERROR(__xludf.DUMMYFUNCTION("""COMPUTED_VALUE"""),"Dinalupihan")</f>
        <v>Dinalupihan</v>
      </c>
      <c r="F173" s="142" t="str">
        <f>IFERROR(__xludf.DUMMYFUNCTION("""COMPUTED_VALUE"""),"Hermosa")</f>
        <v>Hermosa</v>
      </c>
      <c r="G173" s="142" t="str">
        <f>IFERROR(__xludf.DUMMYFUNCTION("""COMPUTED_VALUE"""),"Limay")</f>
        <v>Limay</v>
      </c>
      <c r="H173" s="142" t="str">
        <f>IFERROR(__xludf.DUMMYFUNCTION("""COMPUTED_VALUE"""),"Mariveles")</f>
        <v>Mariveles</v>
      </c>
      <c r="I173" s="142" t="str">
        <f>IFERROR(__xludf.DUMMYFUNCTION("""COMPUTED_VALUE"""),"Morong")</f>
        <v>Morong</v>
      </c>
      <c r="J173" s="142" t="str">
        <f>IFERROR(__xludf.DUMMYFUNCTION("""COMPUTED_VALUE"""),"Orani")</f>
        <v>Orani</v>
      </c>
      <c r="K173" s="142" t="str">
        <f>IFERROR(__xludf.DUMMYFUNCTION("""COMPUTED_VALUE"""),"Orion")</f>
        <v>Orion</v>
      </c>
      <c r="L173" s="142" t="str">
        <f>IFERROR(__xludf.DUMMYFUNCTION("""COMPUTED_VALUE"""),"Pilar")</f>
        <v>Pilar</v>
      </c>
      <c r="M173" s="142" t="str">
        <f>IFERROR(__xludf.DUMMYFUNCTION("""COMPUTED_VALUE"""),"Samal")</f>
        <v>Samal</v>
      </c>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row>
    <row r="174">
      <c r="A174" s="142" t="s">
        <v>258</v>
      </c>
      <c r="B174" s="142" t="str">
        <f>IFERROR(__xludf.DUMMYFUNCTION("""COMPUTED_VALUE"""),"Agoncillo")</f>
        <v>Agoncillo</v>
      </c>
      <c r="C174" s="142" t="str">
        <f>IFERROR(__xludf.DUMMYFUNCTION("""COMPUTED_VALUE"""),"Alitagtag")</f>
        <v>Alitagtag</v>
      </c>
      <c r="D174" s="142" t="str">
        <f>IFERROR(__xludf.DUMMYFUNCTION("""COMPUTED_VALUE"""),"Balayan")</f>
        <v>Balayan</v>
      </c>
      <c r="E174" s="142" t="str">
        <f>IFERROR(__xludf.DUMMYFUNCTION("""COMPUTED_VALUE"""),"Balete")</f>
        <v>Balete</v>
      </c>
      <c r="F174" s="142" t="str">
        <f>IFERROR(__xludf.DUMMYFUNCTION("""COMPUTED_VALUE"""),"Batangas City")</f>
        <v>Batangas City</v>
      </c>
      <c r="G174" s="142" t="str">
        <f>IFERROR(__xludf.DUMMYFUNCTION("""COMPUTED_VALUE"""),"Bauan")</f>
        <v>Bauan</v>
      </c>
      <c r="H174" s="142" t="str">
        <f>IFERROR(__xludf.DUMMYFUNCTION("""COMPUTED_VALUE"""),"City of Calaca")</f>
        <v>City of Calaca</v>
      </c>
      <c r="I174" s="142" t="str">
        <f>IFERROR(__xludf.DUMMYFUNCTION("""COMPUTED_VALUE"""),"Calatagan")</f>
        <v>Calatagan</v>
      </c>
      <c r="J174" s="142" t="str">
        <f>IFERROR(__xludf.DUMMYFUNCTION("""COMPUTED_VALUE"""),"Cuenca")</f>
        <v>Cuenca</v>
      </c>
      <c r="K174" s="142" t="str">
        <f>IFERROR(__xludf.DUMMYFUNCTION("""COMPUTED_VALUE"""),"Ibaan")</f>
        <v>Ibaan</v>
      </c>
      <c r="L174" s="142" t="str">
        <f>IFERROR(__xludf.DUMMYFUNCTION("""COMPUTED_VALUE"""),"Laurel")</f>
        <v>Laurel</v>
      </c>
      <c r="M174" s="142" t="str">
        <f>IFERROR(__xludf.DUMMYFUNCTION("""COMPUTED_VALUE"""),"Lemery")</f>
        <v>Lemery</v>
      </c>
      <c r="N174" s="142" t="str">
        <f>IFERROR(__xludf.DUMMYFUNCTION("""COMPUTED_VALUE"""),"Lian")</f>
        <v>Lian</v>
      </c>
      <c r="O174" s="142" t="str">
        <f>IFERROR(__xludf.DUMMYFUNCTION("""COMPUTED_VALUE"""),"City of Lipa")</f>
        <v>City of Lipa</v>
      </c>
      <c r="P174" s="142" t="str">
        <f>IFERROR(__xludf.DUMMYFUNCTION("""COMPUTED_VALUE"""),"Lobo")</f>
        <v>Lobo</v>
      </c>
      <c r="Q174" s="142" t="str">
        <f>IFERROR(__xludf.DUMMYFUNCTION("""COMPUTED_VALUE"""),"Mabini")</f>
        <v>Mabini</v>
      </c>
      <c r="R174" s="142" t="str">
        <f>IFERROR(__xludf.DUMMYFUNCTION("""COMPUTED_VALUE"""),"Malvar")</f>
        <v>Malvar</v>
      </c>
      <c r="S174" s="142" t="str">
        <f>IFERROR(__xludf.DUMMYFUNCTION("""COMPUTED_VALUE"""),"Mataasnakahoy")</f>
        <v>Mataasnakahoy</v>
      </c>
      <c r="T174" s="142" t="str">
        <f>IFERROR(__xludf.DUMMYFUNCTION("""COMPUTED_VALUE"""),"Nasugbu")</f>
        <v>Nasugbu</v>
      </c>
      <c r="U174" s="142" t="str">
        <f>IFERROR(__xludf.DUMMYFUNCTION("""COMPUTED_VALUE"""),"Padre Garcia")</f>
        <v>Padre Garcia</v>
      </c>
      <c r="V174" s="142" t="str">
        <f>IFERROR(__xludf.DUMMYFUNCTION("""COMPUTED_VALUE"""),"Rosario")</f>
        <v>Rosario</v>
      </c>
      <c r="W174" s="142" t="str">
        <f>IFERROR(__xludf.DUMMYFUNCTION("""COMPUTED_VALUE"""),"San Jose")</f>
        <v>San Jose</v>
      </c>
      <c r="X174" s="142" t="str">
        <f>IFERROR(__xludf.DUMMYFUNCTION("""COMPUTED_VALUE"""),"San Juan")</f>
        <v>San Juan</v>
      </c>
      <c r="Y174" s="142" t="str">
        <f>IFERROR(__xludf.DUMMYFUNCTION("""COMPUTED_VALUE"""),"San Luis")</f>
        <v>San Luis</v>
      </c>
      <c r="Z174" s="142" t="str">
        <f>IFERROR(__xludf.DUMMYFUNCTION("""COMPUTED_VALUE"""),"San Nicolas")</f>
        <v>San Nicolas</v>
      </c>
      <c r="AA174" s="142" t="str">
        <f>IFERROR(__xludf.DUMMYFUNCTION("""COMPUTED_VALUE"""),"San Pascual")</f>
        <v>San Pascual</v>
      </c>
      <c r="AB174" s="142" t="str">
        <f>IFERROR(__xludf.DUMMYFUNCTION("""COMPUTED_VALUE"""),"Santa Teresita")</f>
        <v>Santa Teresita</v>
      </c>
      <c r="AC174" s="142" t="str">
        <f>IFERROR(__xludf.DUMMYFUNCTION("""COMPUTED_VALUE"""),"City of Sto. Tomas")</f>
        <v>City of Sto. Tomas</v>
      </c>
      <c r="AD174" s="142" t="str">
        <f>IFERROR(__xludf.DUMMYFUNCTION("""COMPUTED_VALUE"""),"Taal")</f>
        <v>Taal</v>
      </c>
      <c r="AE174" s="142" t="str">
        <f>IFERROR(__xludf.DUMMYFUNCTION("""COMPUTED_VALUE"""),"Talisay")</f>
        <v>Talisay</v>
      </c>
      <c r="AF174" s="142" t="str">
        <f>IFERROR(__xludf.DUMMYFUNCTION("""COMPUTED_VALUE"""),"City of Tanauan")</f>
        <v>City of Tanauan</v>
      </c>
      <c r="AG174" s="142" t="str">
        <f>IFERROR(__xludf.DUMMYFUNCTION("""COMPUTED_VALUE"""),"Taysan")</f>
        <v>Taysan</v>
      </c>
      <c r="AH174" s="142" t="str">
        <f>IFERROR(__xludf.DUMMYFUNCTION("""COMPUTED_VALUE"""),"Tingloy")</f>
        <v>Tingloy</v>
      </c>
      <c r="AI174" s="142" t="str">
        <f>IFERROR(__xludf.DUMMYFUNCTION("""COMPUTED_VALUE"""),"Tuy")</f>
        <v>Tuy</v>
      </c>
      <c r="AJ174" s="8"/>
      <c r="AK174" s="8"/>
      <c r="AL174" s="8"/>
      <c r="AM174" s="8"/>
      <c r="AN174" s="8"/>
      <c r="AO174" s="8"/>
      <c r="AP174" s="8"/>
      <c r="AQ174" s="8"/>
      <c r="AR174" s="8"/>
      <c r="AS174" s="8"/>
      <c r="AT174" s="8"/>
      <c r="AU174" s="8"/>
      <c r="AV174" s="8"/>
      <c r="AW174" s="8"/>
      <c r="AX174" s="8"/>
      <c r="AY174" s="8"/>
      <c r="AZ174" s="8"/>
      <c r="BA174" s="8"/>
      <c r="BB174" s="8"/>
      <c r="BC174" s="8"/>
      <c r="BD174" s="8"/>
      <c r="BE174" s="8"/>
    </row>
    <row r="175">
      <c r="A175" s="142" t="s">
        <v>1387</v>
      </c>
      <c r="B175" s="142" t="str">
        <f>IFERROR(__xludf.DUMMYFUNCTION("""COMPUTED_VALUE"""),"Alfonso")</f>
        <v>Alfonso</v>
      </c>
      <c r="C175" s="142" t="str">
        <f>IFERROR(__xludf.DUMMYFUNCTION("""COMPUTED_VALUE"""),"Amadeo")</f>
        <v>Amadeo</v>
      </c>
      <c r="D175" s="142" t="str">
        <f>IFERROR(__xludf.DUMMYFUNCTION("""COMPUTED_VALUE"""),"City of Bacoor")</f>
        <v>City of Bacoor</v>
      </c>
      <c r="E175" s="142" t="str">
        <f>IFERROR(__xludf.DUMMYFUNCTION("""COMPUTED_VALUE"""),"City of Carmona")</f>
        <v>City of Carmona</v>
      </c>
      <c r="F175" s="142" t="str">
        <f>IFERROR(__xludf.DUMMYFUNCTION("""COMPUTED_VALUE"""),"City of Cavite")</f>
        <v>City of Cavite</v>
      </c>
      <c r="G175" s="142" t="str">
        <f>IFERROR(__xludf.DUMMYFUNCTION("""COMPUTED_VALUE"""),"City of Dasmariñas")</f>
        <v>City of Dasmariñas</v>
      </c>
      <c r="H175" s="142" t="str">
        <f>IFERROR(__xludf.DUMMYFUNCTION("""COMPUTED_VALUE"""),"General Emilio Aguinaldo")</f>
        <v>General Emilio Aguinaldo</v>
      </c>
      <c r="I175" s="142" t="str">
        <f>IFERROR(__xludf.DUMMYFUNCTION("""COMPUTED_VALUE"""),"City of General Trias")</f>
        <v>City of General Trias</v>
      </c>
      <c r="J175" s="142" t="str">
        <f>IFERROR(__xludf.DUMMYFUNCTION("""COMPUTED_VALUE"""),"City of Imus")</f>
        <v>City of Imus</v>
      </c>
      <c r="K175" s="142" t="str">
        <f>IFERROR(__xludf.DUMMYFUNCTION("""COMPUTED_VALUE"""),"Indang")</f>
        <v>Indang</v>
      </c>
      <c r="L175" s="142" t="str">
        <f>IFERROR(__xludf.DUMMYFUNCTION("""COMPUTED_VALUE"""),"Kawit")</f>
        <v>Kawit</v>
      </c>
      <c r="M175" s="142" t="str">
        <f>IFERROR(__xludf.DUMMYFUNCTION("""COMPUTED_VALUE"""),"Magallanes")</f>
        <v>Magallanes</v>
      </c>
      <c r="N175" s="142" t="str">
        <f>IFERROR(__xludf.DUMMYFUNCTION("""COMPUTED_VALUE"""),"Maragondon")</f>
        <v>Maragondon</v>
      </c>
      <c r="O175" s="142" t="str">
        <f>IFERROR(__xludf.DUMMYFUNCTION("""COMPUTED_VALUE"""),"Mendez")</f>
        <v>Mendez</v>
      </c>
      <c r="P175" s="142" t="str">
        <f>IFERROR(__xludf.DUMMYFUNCTION("""COMPUTED_VALUE"""),"Naic")</f>
        <v>Naic</v>
      </c>
      <c r="Q175" s="142" t="str">
        <f>IFERROR(__xludf.DUMMYFUNCTION("""COMPUTED_VALUE"""),"Noveleta")</f>
        <v>Noveleta</v>
      </c>
      <c r="R175" s="142" t="str">
        <f>IFERROR(__xludf.DUMMYFUNCTION("""COMPUTED_VALUE"""),"Rosario")</f>
        <v>Rosario</v>
      </c>
      <c r="S175" s="142" t="str">
        <f>IFERROR(__xludf.DUMMYFUNCTION("""COMPUTED_VALUE"""),"Silang")</f>
        <v>Silang</v>
      </c>
      <c r="T175" s="142" t="str">
        <f>IFERROR(__xludf.DUMMYFUNCTION("""COMPUTED_VALUE"""),"City of Tagaytay")</f>
        <v>City of Tagaytay</v>
      </c>
      <c r="U175" s="142" t="str">
        <f>IFERROR(__xludf.DUMMYFUNCTION("""COMPUTED_VALUE"""),"Tanza")</f>
        <v>Tanza</v>
      </c>
      <c r="V175" s="142" t="str">
        <f>IFERROR(__xludf.DUMMYFUNCTION("""COMPUTED_VALUE"""),"Ternate")</f>
        <v>Ternate</v>
      </c>
      <c r="W175" s="142" t="str">
        <f>IFERROR(__xludf.DUMMYFUNCTION("""COMPUTED_VALUE"""),"City of Trece Martires")</f>
        <v>City of Trece Martires</v>
      </c>
      <c r="X175" s="142" t="str">
        <f>IFERROR(__xludf.DUMMYFUNCTION("""COMPUTED_VALUE"""),"Gen. Mariano Alvarez")</f>
        <v>Gen. Mariano Alvarez</v>
      </c>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row>
    <row r="176">
      <c r="A176" s="142" t="s">
        <v>497</v>
      </c>
      <c r="B176" s="142" t="str">
        <f>IFERROR(__xludf.DUMMYFUNCTION("""COMPUTED_VALUE"""),"Agdangan")</f>
        <v>Agdangan</v>
      </c>
      <c r="C176" s="142" t="str">
        <f>IFERROR(__xludf.DUMMYFUNCTION("""COMPUTED_VALUE"""),"Alabat")</f>
        <v>Alabat</v>
      </c>
      <c r="D176" s="142" t="str">
        <f>IFERROR(__xludf.DUMMYFUNCTION("""COMPUTED_VALUE"""),"Atimonan")</f>
        <v>Atimonan</v>
      </c>
      <c r="E176" s="142" t="str">
        <f>IFERROR(__xludf.DUMMYFUNCTION("""COMPUTED_VALUE"""),"Buenavista")</f>
        <v>Buenavista</v>
      </c>
      <c r="F176" s="142" t="str">
        <f>IFERROR(__xludf.DUMMYFUNCTION("""COMPUTED_VALUE"""),"Burdeos")</f>
        <v>Burdeos</v>
      </c>
      <c r="G176" s="142" t="str">
        <f>IFERROR(__xludf.DUMMYFUNCTION("""COMPUTED_VALUE"""),"Calauag")</f>
        <v>Calauag</v>
      </c>
      <c r="H176" s="142" t="str">
        <f>IFERROR(__xludf.DUMMYFUNCTION("""COMPUTED_VALUE"""),"Candelaria")</f>
        <v>Candelaria</v>
      </c>
      <c r="I176" s="142" t="str">
        <f>IFERROR(__xludf.DUMMYFUNCTION("""COMPUTED_VALUE"""),"Catanauan")</f>
        <v>Catanauan</v>
      </c>
      <c r="J176" s="142" t="str">
        <f>IFERROR(__xludf.DUMMYFUNCTION("""COMPUTED_VALUE"""),"Dolores")</f>
        <v>Dolores</v>
      </c>
      <c r="K176" s="142" t="str">
        <f>IFERROR(__xludf.DUMMYFUNCTION("""COMPUTED_VALUE"""),"General Luna")</f>
        <v>General Luna</v>
      </c>
      <c r="L176" s="142" t="str">
        <f>IFERROR(__xludf.DUMMYFUNCTION("""COMPUTED_VALUE"""),"General Nakar")</f>
        <v>General Nakar</v>
      </c>
      <c r="M176" s="142" t="str">
        <f>IFERROR(__xludf.DUMMYFUNCTION("""COMPUTED_VALUE"""),"Guinayangan")</f>
        <v>Guinayangan</v>
      </c>
      <c r="N176" s="142" t="str">
        <f>IFERROR(__xludf.DUMMYFUNCTION("""COMPUTED_VALUE"""),"Gumaca")</f>
        <v>Gumaca</v>
      </c>
      <c r="O176" s="142" t="str">
        <f>IFERROR(__xludf.DUMMYFUNCTION("""COMPUTED_VALUE"""),"Infanta")</f>
        <v>Infanta</v>
      </c>
      <c r="P176" s="142" t="str">
        <f>IFERROR(__xludf.DUMMYFUNCTION("""COMPUTED_VALUE"""),"Jomalig")</f>
        <v>Jomalig</v>
      </c>
      <c r="Q176" s="142" t="str">
        <f>IFERROR(__xludf.DUMMYFUNCTION("""COMPUTED_VALUE"""),"Lopez")</f>
        <v>Lopez</v>
      </c>
      <c r="R176" s="142" t="str">
        <f>IFERROR(__xludf.DUMMYFUNCTION("""COMPUTED_VALUE"""),"Lucban")</f>
        <v>Lucban</v>
      </c>
      <c r="S176" s="142" t="str">
        <f>IFERROR(__xludf.DUMMYFUNCTION("""COMPUTED_VALUE"""),"Macalelon")</f>
        <v>Macalelon</v>
      </c>
      <c r="T176" s="142" t="str">
        <f>IFERROR(__xludf.DUMMYFUNCTION("""COMPUTED_VALUE"""),"Mauban")</f>
        <v>Mauban</v>
      </c>
      <c r="U176" s="142" t="str">
        <f>IFERROR(__xludf.DUMMYFUNCTION("""COMPUTED_VALUE"""),"Mulanay")</f>
        <v>Mulanay</v>
      </c>
      <c r="V176" s="142" t="str">
        <f>IFERROR(__xludf.DUMMYFUNCTION("""COMPUTED_VALUE"""),"Padre Burgos")</f>
        <v>Padre Burgos</v>
      </c>
      <c r="W176" s="142" t="str">
        <f>IFERROR(__xludf.DUMMYFUNCTION("""COMPUTED_VALUE"""),"Pagbilao")</f>
        <v>Pagbilao</v>
      </c>
      <c r="X176" s="142" t="str">
        <f>IFERROR(__xludf.DUMMYFUNCTION("""COMPUTED_VALUE"""),"Panukulan")</f>
        <v>Panukulan</v>
      </c>
      <c r="Y176" s="142" t="str">
        <f>IFERROR(__xludf.DUMMYFUNCTION("""COMPUTED_VALUE"""),"Patnanungan")</f>
        <v>Patnanungan</v>
      </c>
      <c r="Z176" s="142" t="str">
        <f>IFERROR(__xludf.DUMMYFUNCTION("""COMPUTED_VALUE"""),"Perez")</f>
        <v>Perez</v>
      </c>
      <c r="AA176" s="142" t="str">
        <f>IFERROR(__xludf.DUMMYFUNCTION("""COMPUTED_VALUE"""),"Pitogo")</f>
        <v>Pitogo</v>
      </c>
      <c r="AB176" s="142" t="str">
        <f>IFERROR(__xludf.DUMMYFUNCTION("""COMPUTED_VALUE"""),"Plaridel")</f>
        <v>Plaridel</v>
      </c>
      <c r="AC176" s="142" t="str">
        <f>IFERROR(__xludf.DUMMYFUNCTION("""COMPUTED_VALUE"""),"Polillo")</f>
        <v>Polillo</v>
      </c>
      <c r="AD176" s="142" t="str">
        <f>IFERROR(__xludf.DUMMYFUNCTION("""COMPUTED_VALUE"""),"Quezon")</f>
        <v>Quezon</v>
      </c>
      <c r="AE176" s="142" t="str">
        <f>IFERROR(__xludf.DUMMYFUNCTION("""COMPUTED_VALUE"""),"Real")</f>
        <v>Real</v>
      </c>
      <c r="AF176" s="142" t="str">
        <f>IFERROR(__xludf.DUMMYFUNCTION("""COMPUTED_VALUE"""),"Sampaloc")</f>
        <v>Sampaloc</v>
      </c>
      <c r="AG176" s="142" t="str">
        <f>IFERROR(__xludf.DUMMYFUNCTION("""COMPUTED_VALUE"""),"San Andres")</f>
        <v>San Andres</v>
      </c>
      <c r="AH176" s="142" t="str">
        <f>IFERROR(__xludf.DUMMYFUNCTION("""COMPUTED_VALUE"""),"San Antonio")</f>
        <v>San Antonio</v>
      </c>
      <c r="AI176" s="142" t="str">
        <f>IFERROR(__xludf.DUMMYFUNCTION("""COMPUTED_VALUE"""),"San Francisco")</f>
        <v>San Francisco</v>
      </c>
      <c r="AJ176" s="142" t="str">
        <f>IFERROR(__xludf.DUMMYFUNCTION("""COMPUTED_VALUE"""),"San Narciso")</f>
        <v>San Narciso</v>
      </c>
      <c r="AK176" s="142" t="str">
        <f>IFERROR(__xludf.DUMMYFUNCTION("""COMPUTED_VALUE"""),"Sariaya")</f>
        <v>Sariaya</v>
      </c>
      <c r="AL176" s="142" t="str">
        <f>IFERROR(__xludf.DUMMYFUNCTION("""COMPUTED_VALUE"""),"Tagkawayan")</f>
        <v>Tagkawayan</v>
      </c>
      <c r="AM176" s="142" t="str">
        <f>IFERROR(__xludf.DUMMYFUNCTION("""COMPUTED_VALUE"""),"City of Tayabas")</f>
        <v>City of Tayabas</v>
      </c>
      <c r="AN176" s="142" t="str">
        <f>IFERROR(__xludf.DUMMYFUNCTION("""COMPUTED_VALUE"""),"Tiaong")</f>
        <v>Tiaong</v>
      </c>
      <c r="AO176" s="142" t="str">
        <f>IFERROR(__xludf.DUMMYFUNCTION("""COMPUTED_VALUE"""),"Unisan")</f>
        <v>Unisan</v>
      </c>
      <c r="AP176" s="142" t="str">
        <f>IFERROR(__xludf.DUMMYFUNCTION("""COMPUTED_VALUE"""),"Rizal")</f>
        <v>Rizal</v>
      </c>
      <c r="AQ176" s="142" t="str">
        <f>IFERROR(__xludf.DUMMYFUNCTION("""COMPUTED_VALUE"""),"Angono")</f>
        <v>Angono</v>
      </c>
      <c r="AR176" s="142" t="str">
        <f>IFERROR(__xludf.DUMMYFUNCTION("""COMPUTED_VALUE"""),"City of Antipolo")</f>
        <v>City of Antipolo</v>
      </c>
      <c r="AS176" s="142" t="str">
        <f>IFERROR(__xludf.DUMMYFUNCTION("""COMPUTED_VALUE"""),"Baras")</f>
        <v>Baras</v>
      </c>
      <c r="AT176" s="142" t="str">
        <f>IFERROR(__xludf.DUMMYFUNCTION("""COMPUTED_VALUE"""),"Binangonan")</f>
        <v>Binangonan</v>
      </c>
      <c r="AU176" s="142" t="str">
        <f>IFERROR(__xludf.DUMMYFUNCTION("""COMPUTED_VALUE"""),"Cainta")</f>
        <v>Cainta</v>
      </c>
      <c r="AV176" s="142" t="str">
        <f>IFERROR(__xludf.DUMMYFUNCTION("""COMPUTED_VALUE"""),"Cardona")</f>
        <v>Cardona</v>
      </c>
      <c r="AW176" s="142" t="str">
        <f>IFERROR(__xludf.DUMMYFUNCTION("""COMPUTED_VALUE"""),"Jala-Jala")</f>
        <v>Jala-Jala</v>
      </c>
      <c r="AX176" s="142" t="str">
        <f>IFERROR(__xludf.DUMMYFUNCTION("""COMPUTED_VALUE"""),"Rodriguez")</f>
        <v>Rodriguez</v>
      </c>
      <c r="AY176" s="142" t="str">
        <f>IFERROR(__xludf.DUMMYFUNCTION("""COMPUTED_VALUE"""),"Morong")</f>
        <v>Morong</v>
      </c>
      <c r="AZ176" s="142" t="str">
        <f>IFERROR(__xludf.DUMMYFUNCTION("""COMPUTED_VALUE"""),"Pililla")</f>
        <v>Pililla</v>
      </c>
      <c r="BA176" s="142" t="str">
        <f>IFERROR(__xludf.DUMMYFUNCTION("""COMPUTED_VALUE"""),"San Mateo")</f>
        <v>San Mateo</v>
      </c>
      <c r="BB176" s="142" t="str">
        <f>IFERROR(__xludf.DUMMYFUNCTION("""COMPUTED_VALUE"""),"Tanay")</f>
        <v>Tanay</v>
      </c>
      <c r="BC176" s="142" t="str">
        <f>IFERROR(__xludf.DUMMYFUNCTION("""COMPUTED_VALUE"""),"Taytay")</f>
        <v>Taytay</v>
      </c>
      <c r="BD176" s="142" t="str">
        <f>IFERROR(__xludf.DUMMYFUNCTION("""COMPUTED_VALUE"""),"Teresa")</f>
        <v>Teresa</v>
      </c>
      <c r="BE176" s="142" t="str">
        <f>IFERROR(__xludf.DUMMYFUNCTION("""COMPUTED_VALUE"""),"City of Lucena")</f>
        <v>City of Lucena</v>
      </c>
    </row>
    <row r="177">
      <c r="A177" s="142" t="s">
        <v>497</v>
      </c>
      <c r="B177" s="142" t="str">
        <f>IFERROR(__xludf.DUMMYFUNCTION("""COMPUTED_VALUE"""),"Agdangan")</f>
        <v>Agdangan</v>
      </c>
      <c r="C177" s="142" t="str">
        <f>IFERROR(__xludf.DUMMYFUNCTION("""COMPUTED_VALUE"""),"Alabat")</f>
        <v>Alabat</v>
      </c>
      <c r="D177" s="142" t="str">
        <f>IFERROR(__xludf.DUMMYFUNCTION("""COMPUTED_VALUE"""),"Atimonan")</f>
        <v>Atimonan</v>
      </c>
      <c r="E177" s="142" t="str">
        <f>IFERROR(__xludf.DUMMYFUNCTION("""COMPUTED_VALUE"""),"Buenavista")</f>
        <v>Buenavista</v>
      </c>
      <c r="F177" s="142" t="str">
        <f>IFERROR(__xludf.DUMMYFUNCTION("""COMPUTED_VALUE"""),"Burdeos")</f>
        <v>Burdeos</v>
      </c>
      <c r="G177" s="142" t="str">
        <f>IFERROR(__xludf.DUMMYFUNCTION("""COMPUTED_VALUE"""),"Calauag")</f>
        <v>Calauag</v>
      </c>
      <c r="H177" s="142" t="str">
        <f>IFERROR(__xludf.DUMMYFUNCTION("""COMPUTED_VALUE"""),"Candelaria")</f>
        <v>Candelaria</v>
      </c>
      <c r="I177" s="142" t="str">
        <f>IFERROR(__xludf.DUMMYFUNCTION("""COMPUTED_VALUE"""),"Catanauan")</f>
        <v>Catanauan</v>
      </c>
      <c r="J177" s="142" t="str">
        <f>IFERROR(__xludf.DUMMYFUNCTION("""COMPUTED_VALUE"""),"Dolores")</f>
        <v>Dolores</v>
      </c>
      <c r="K177" s="142" t="str">
        <f>IFERROR(__xludf.DUMMYFUNCTION("""COMPUTED_VALUE"""),"General Luna")</f>
        <v>General Luna</v>
      </c>
      <c r="L177" s="142" t="str">
        <f>IFERROR(__xludf.DUMMYFUNCTION("""COMPUTED_VALUE"""),"General Nakar")</f>
        <v>General Nakar</v>
      </c>
      <c r="M177" s="142" t="str">
        <f>IFERROR(__xludf.DUMMYFUNCTION("""COMPUTED_VALUE"""),"Guinayangan")</f>
        <v>Guinayangan</v>
      </c>
      <c r="N177" s="142" t="str">
        <f>IFERROR(__xludf.DUMMYFUNCTION("""COMPUTED_VALUE"""),"Gumaca")</f>
        <v>Gumaca</v>
      </c>
      <c r="O177" s="142" t="str">
        <f>IFERROR(__xludf.DUMMYFUNCTION("""COMPUTED_VALUE"""),"Infanta")</f>
        <v>Infanta</v>
      </c>
      <c r="P177" s="142" t="str">
        <f>IFERROR(__xludf.DUMMYFUNCTION("""COMPUTED_VALUE"""),"Jomalig")</f>
        <v>Jomalig</v>
      </c>
      <c r="Q177" s="142" t="str">
        <f>IFERROR(__xludf.DUMMYFUNCTION("""COMPUTED_VALUE"""),"Lopez")</f>
        <v>Lopez</v>
      </c>
      <c r="R177" s="142" t="str">
        <f>IFERROR(__xludf.DUMMYFUNCTION("""COMPUTED_VALUE"""),"Lucban")</f>
        <v>Lucban</v>
      </c>
      <c r="S177" s="142" t="str">
        <f>IFERROR(__xludf.DUMMYFUNCTION("""COMPUTED_VALUE"""),"Macalelon")</f>
        <v>Macalelon</v>
      </c>
      <c r="T177" s="142" t="str">
        <f>IFERROR(__xludf.DUMMYFUNCTION("""COMPUTED_VALUE"""),"Mauban")</f>
        <v>Mauban</v>
      </c>
      <c r="U177" s="142" t="str">
        <f>IFERROR(__xludf.DUMMYFUNCTION("""COMPUTED_VALUE"""),"Mulanay")</f>
        <v>Mulanay</v>
      </c>
      <c r="V177" s="142" t="str">
        <f>IFERROR(__xludf.DUMMYFUNCTION("""COMPUTED_VALUE"""),"Padre Burgos")</f>
        <v>Padre Burgos</v>
      </c>
      <c r="W177" s="142" t="str">
        <f>IFERROR(__xludf.DUMMYFUNCTION("""COMPUTED_VALUE"""),"Pagbilao")</f>
        <v>Pagbilao</v>
      </c>
      <c r="X177" s="142" t="str">
        <f>IFERROR(__xludf.DUMMYFUNCTION("""COMPUTED_VALUE"""),"Panukulan")</f>
        <v>Panukulan</v>
      </c>
      <c r="Y177" s="142" t="str">
        <f>IFERROR(__xludf.DUMMYFUNCTION("""COMPUTED_VALUE"""),"Patnanungan")</f>
        <v>Patnanungan</v>
      </c>
      <c r="Z177" s="142" t="str">
        <f>IFERROR(__xludf.DUMMYFUNCTION("""COMPUTED_VALUE"""),"Perez")</f>
        <v>Perez</v>
      </c>
      <c r="AA177" s="142" t="str">
        <f>IFERROR(__xludf.DUMMYFUNCTION("""COMPUTED_VALUE"""),"Pitogo")</f>
        <v>Pitogo</v>
      </c>
      <c r="AB177" s="142" t="str">
        <f>IFERROR(__xludf.DUMMYFUNCTION("""COMPUTED_VALUE"""),"Plaridel")</f>
        <v>Plaridel</v>
      </c>
      <c r="AC177" s="142" t="str">
        <f>IFERROR(__xludf.DUMMYFUNCTION("""COMPUTED_VALUE"""),"Polillo")</f>
        <v>Polillo</v>
      </c>
      <c r="AD177" s="142" t="str">
        <f>IFERROR(__xludf.DUMMYFUNCTION("""COMPUTED_VALUE"""),"Quezon")</f>
        <v>Quezon</v>
      </c>
      <c r="AE177" s="142" t="str">
        <f>IFERROR(__xludf.DUMMYFUNCTION("""COMPUTED_VALUE"""),"Real")</f>
        <v>Real</v>
      </c>
      <c r="AF177" s="142" t="str">
        <f>IFERROR(__xludf.DUMMYFUNCTION("""COMPUTED_VALUE"""),"Sampaloc")</f>
        <v>Sampaloc</v>
      </c>
      <c r="AG177" s="142" t="str">
        <f>IFERROR(__xludf.DUMMYFUNCTION("""COMPUTED_VALUE"""),"San Andres")</f>
        <v>San Andres</v>
      </c>
      <c r="AH177" s="142" t="str">
        <f>IFERROR(__xludf.DUMMYFUNCTION("""COMPUTED_VALUE"""),"San Antonio")</f>
        <v>San Antonio</v>
      </c>
      <c r="AI177" s="142" t="str">
        <f>IFERROR(__xludf.DUMMYFUNCTION("""COMPUTED_VALUE"""),"San Francisco")</f>
        <v>San Francisco</v>
      </c>
      <c r="AJ177" s="142" t="str">
        <f>IFERROR(__xludf.DUMMYFUNCTION("""COMPUTED_VALUE"""),"San Narciso")</f>
        <v>San Narciso</v>
      </c>
      <c r="AK177" s="142" t="str">
        <f>IFERROR(__xludf.DUMMYFUNCTION("""COMPUTED_VALUE"""),"Sariaya")</f>
        <v>Sariaya</v>
      </c>
      <c r="AL177" s="142" t="str">
        <f>IFERROR(__xludf.DUMMYFUNCTION("""COMPUTED_VALUE"""),"Tagkawayan")</f>
        <v>Tagkawayan</v>
      </c>
      <c r="AM177" s="142" t="str">
        <f>IFERROR(__xludf.DUMMYFUNCTION("""COMPUTED_VALUE"""),"City of Tayabas")</f>
        <v>City of Tayabas</v>
      </c>
      <c r="AN177" s="142" t="str">
        <f>IFERROR(__xludf.DUMMYFUNCTION("""COMPUTED_VALUE"""),"Tiaong")</f>
        <v>Tiaong</v>
      </c>
      <c r="AO177" s="142" t="str">
        <f>IFERROR(__xludf.DUMMYFUNCTION("""COMPUTED_VALUE"""),"Unisan")</f>
        <v>Unisan</v>
      </c>
      <c r="AP177" s="142" t="str">
        <f>IFERROR(__xludf.DUMMYFUNCTION("""COMPUTED_VALUE"""),"Rizal")</f>
        <v>Rizal</v>
      </c>
      <c r="AQ177" s="142" t="str">
        <f>IFERROR(__xludf.DUMMYFUNCTION("""COMPUTED_VALUE"""),"Angono")</f>
        <v>Angono</v>
      </c>
      <c r="AR177" s="142" t="str">
        <f>IFERROR(__xludf.DUMMYFUNCTION("""COMPUTED_VALUE"""),"City of Antipolo")</f>
        <v>City of Antipolo</v>
      </c>
      <c r="AS177" s="142" t="str">
        <f>IFERROR(__xludf.DUMMYFUNCTION("""COMPUTED_VALUE"""),"Baras")</f>
        <v>Baras</v>
      </c>
      <c r="AT177" s="142" t="str">
        <f>IFERROR(__xludf.DUMMYFUNCTION("""COMPUTED_VALUE"""),"Binangonan")</f>
        <v>Binangonan</v>
      </c>
      <c r="AU177" s="142" t="str">
        <f>IFERROR(__xludf.DUMMYFUNCTION("""COMPUTED_VALUE"""),"Cainta")</f>
        <v>Cainta</v>
      </c>
      <c r="AV177" s="142" t="str">
        <f>IFERROR(__xludf.DUMMYFUNCTION("""COMPUTED_VALUE"""),"Cardona")</f>
        <v>Cardona</v>
      </c>
      <c r="AW177" s="142" t="str">
        <f>IFERROR(__xludf.DUMMYFUNCTION("""COMPUTED_VALUE"""),"Jala-Jala")</f>
        <v>Jala-Jala</v>
      </c>
      <c r="AX177" s="142" t="str">
        <f>IFERROR(__xludf.DUMMYFUNCTION("""COMPUTED_VALUE"""),"Rodriguez")</f>
        <v>Rodriguez</v>
      </c>
      <c r="AY177" s="142" t="str">
        <f>IFERROR(__xludf.DUMMYFUNCTION("""COMPUTED_VALUE"""),"Morong")</f>
        <v>Morong</v>
      </c>
      <c r="AZ177" s="142" t="str">
        <f>IFERROR(__xludf.DUMMYFUNCTION("""COMPUTED_VALUE"""),"Pililla")</f>
        <v>Pililla</v>
      </c>
      <c r="BA177" s="142" t="str">
        <f>IFERROR(__xludf.DUMMYFUNCTION("""COMPUTED_VALUE"""),"San Mateo")</f>
        <v>San Mateo</v>
      </c>
      <c r="BB177" s="142" t="str">
        <f>IFERROR(__xludf.DUMMYFUNCTION("""COMPUTED_VALUE"""),"Tanay")</f>
        <v>Tanay</v>
      </c>
      <c r="BC177" s="142" t="str">
        <f>IFERROR(__xludf.DUMMYFUNCTION("""COMPUTED_VALUE"""),"Taytay")</f>
        <v>Taytay</v>
      </c>
      <c r="BD177" s="142" t="str">
        <f>IFERROR(__xludf.DUMMYFUNCTION("""COMPUTED_VALUE"""),"Teresa")</f>
        <v>Teresa</v>
      </c>
      <c r="BE177" s="142" t="str">
        <f>IFERROR(__xludf.DUMMYFUNCTION("""COMPUTED_VALUE"""),"City of Lucena")</f>
        <v>City of Lucena</v>
      </c>
    </row>
    <row r="178">
      <c r="A178" s="142" t="s">
        <v>497</v>
      </c>
      <c r="B178" s="142" t="str">
        <f>IFERROR(__xludf.DUMMYFUNCTION("""COMPUTED_VALUE"""),"Agdangan")</f>
        <v>Agdangan</v>
      </c>
      <c r="C178" s="142" t="str">
        <f>IFERROR(__xludf.DUMMYFUNCTION("""COMPUTED_VALUE"""),"Alabat")</f>
        <v>Alabat</v>
      </c>
      <c r="D178" s="142" t="str">
        <f>IFERROR(__xludf.DUMMYFUNCTION("""COMPUTED_VALUE"""),"Atimonan")</f>
        <v>Atimonan</v>
      </c>
      <c r="E178" s="142" t="str">
        <f>IFERROR(__xludf.DUMMYFUNCTION("""COMPUTED_VALUE"""),"Buenavista")</f>
        <v>Buenavista</v>
      </c>
      <c r="F178" s="142" t="str">
        <f>IFERROR(__xludf.DUMMYFUNCTION("""COMPUTED_VALUE"""),"Burdeos")</f>
        <v>Burdeos</v>
      </c>
      <c r="G178" s="142" t="str">
        <f>IFERROR(__xludf.DUMMYFUNCTION("""COMPUTED_VALUE"""),"Calauag")</f>
        <v>Calauag</v>
      </c>
      <c r="H178" s="142" t="str">
        <f>IFERROR(__xludf.DUMMYFUNCTION("""COMPUTED_VALUE"""),"Candelaria")</f>
        <v>Candelaria</v>
      </c>
      <c r="I178" s="142" t="str">
        <f>IFERROR(__xludf.DUMMYFUNCTION("""COMPUTED_VALUE"""),"Catanauan")</f>
        <v>Catanauan</v>
      </c>
      <c r="J178" s="142" t="str">
        <f>IFERROR(__xludf.DUMMYFUNCTION("""COMPUTED_VALUE"""),"Dolores")</f>
        <v>Dolores</v>
      </c>
      <c r="K178" s="142" t="str">
        <f>IFERROR(__xludf.DUMMYFUNCTION("""COMPUTED_VALUE"""),"General Luna")</f>
        <v>General Luna</v>
      </c>
      <c r="L178" s="142" t="str">
        <f>IFERROR(__xludf.DUMMYFUNCTION("""COMPUTED_VALUE"""),"General Nakar")</f>
        <v>General Nakar</v>
      </c>
      <c r="M178" s="142" t="str">
        <f>IFERROR(__xludf.DUMMYFUNCTION("""COMPUTED_VALUE"""),"Guinayangan")</f>
        <v>Guinayangan</v>
      </c>
      <c r="N178" s="142" t="str">
        <f>IFERROR(__xludf.DUMMYFUNCTION("""COMPUTED_VALUE"""),"Gumaca")</f>
        <v>Gumaca</v>
      </c>
      <c r="O178" s="142" t="str">
        <f>IFERROR(__xludf.DUMMYFUNCTION("""COMPUTED_VALUE"""),"Infanta")</f>
        <v>Infanta</v>
      </c>
      <c r="P178" s="142" t="str">
        <f>IFERROR(__xludf.DUMMYFUNCTION("""COMPUTED_VALUE"""),"Jomalig")</f>
        <v>Jomalig</v>
      </c>
      <c r="Q178" s="142" t="str">
        <f>IFERROR(__xludf.DUMMYFUNCTION("""COMPUTED_VALUE"""),"Lopez")</f>
        <v>Lopez</v>
      </c>
      <c r="R178" s="142" t="str">
        <f>IFERROR(__xludf.DUMMYFUNCTION("""COMPUTED_VALUE"""),"Lucban")</f>
        <v>Lucban</v>
      </c>
      <c r="S178" s="142" t="str">
        <f>IFERROR(__xludf.DUMMYFUNCTION("""COMPUTED_VALUE"""),"Macalelon")</f>
        <v>Macalelon</v>
      </c>
      <c r="T178" s="142" t="str">
        <f>IFERROR(__xludf.DUMMYFUNCTION("""COMPUTED_VALUE"""),"Mauban")</f>
        <v>Mauban</v>
      </c>
      <c r="U178" s="142" t="str">
        <f>IFERROR(__xludf.DUMMYFUNCTION("""COMPUTED_VALUE"""),"Mulanay")</f>
        <v>Mulanay</v>
      </c>
      <c r="V178" s="142" t="str">
        <f>IFERROR(__xludf.DUMMYFUNCTION("""COMPUTED_VALUE"""),"Padre Burgos")</f>
        <v>Padre Burgos</v>
      </c>
      <c r="W178" s="142" t="str">
        <f>IFERROR(__xludf.DUMMYFUNCTION("""COMPUTED_VALUE"""),"Pagbilao")</f>
        <v>Pagbilao</v>
      </c>
      <c r="X178" s="142" t="str">
        <f>IFERROR(__xludf.DUMMYFUNCTION("""COMPUTED_VALUE"""),"Panukulan")</f>
        <v>Panukulan</v>
      </c>
      <c r="Y178" s="142" t="str">
        <f>IFERROR(__xludf.DUMMYFUNCTION("""COMPUTED_VALUE"""),"Patnanungan")</f>
        <v>Patnanungan</v>
      </c>
      <c r="Z178" s="142" t="str">
        <f>IFERROR(__xludf.DUMMYFUNCTION("""COMPUTED_VALUE"""),"Perez")</f>
        <v>Perez</v>
      </c>
      <c r="AA178" s="142" t="str">
        <f>IFERROR(__xludf.DUMMYFUNCTION("""COMPUTED_VALUE"""),"Pitogo")</f>
        <v>Pitogo</v>
      </c>
      <c r="AB178" s="142" t="str">
        <f>IFERROR(__xludf.DUMMYFUNCTION("""COMPUTED_VALUE"""),"Plaridel")</f>
        <v>Plaridel</v>
      </c>
      <c r="AC178" s="142" t="str">
        <f>IFERROR(__xludf.DUMMYFUNCTION("""COMPUTED_VALUE"""),"Polillo")</f>
        <v>Polillo</v>
      </c>
      <c r="AD178" s="142" t="str">
        <f>IFERROR(__xludf.DUMMYFUNCTION("""COMPUTED_VALUE"""),"Quezon")</f>
        <v>Quezon</v>
      </c>
      <c r="AE178" s="142" t="str">
        <f>IFERROR(__xludf.DUMMYFUNCTION("""COMPUTED_VALUE"""),"Real")</f>
        <v>Real</v>
      </c>
      <c r="AF178" s="142" t="str">
        <f>IFERROR(__xludf.DUMMYFUNCTION("""COMPUTED_VALUE"""),"Sampaloc")</f>
        <v>Sampaloc</v>
      </c>
      <c r="AG178" s="142" t="str">
        <f>IFERROR(__xludf.DUMMYFUNCTION("""COMPUTED_VALUE"""),"San Andres")</f>
        <v>San Andres</v>
      </c>
      <c r="AH178" s="142" t="str">
        <f>IFERROR(__xludf.DUMMYFUNCTION("""COMPUTED_VALUE"""),"San Antonio")</f>
        <v>San Antonio</v>
      </c>
      <c r="AI178" s="142" t="str">
        <f>IFERROR(__xludf.DUMMYFUNCTION("""COMPUTED_VALUE"""),"San Francisco")</f>
        <v>San Francisco</v>
      </c>
      <c r="AJ178" s="142" t="str">
        <f>IFERROR(__xludf.DUMMYFUNCTION("""COMPUTED_VALUE"""),"San Narciso")</f>
        <v>San Narciso</v>
      </c>
      <c r="AK178" s="142" t="str">
        <f>IFERROR(__xludf.DUMMYFUNCTION("""COMPUTED_VALUE"""),"Sariaya")</f>
        <v>Sariaya</v>
      </c>
      <c r="AL178" s="142" t="str">
        <f>IFERROR(__xludf.DUMMYFUNCTION("""COMPUTED_VALUE"""),"Tagkawayan")</f>
        <v>Tagkawayan</v>
      </c>
      <c r="AM178" s="142" t="str">
        <f>IFERROR(__xludf.DUMMYFUNCTION("""COMPUTED_VALUE"""),"City of Tayabas")</f>
        <v>City of Tayabas</v>
      </c>
      <c r="AN178" s="142" t="str">
        <f>IFERROR(__xludf.DUMMYFUNCTION("""COMPUTED_VALUE"""),"Tiaong")</f>
        <v>Tiaong</v>
      </c>
      <c r="AO178" s="142" t="str">
        <f>IFERROR(__xludf.DUMMYFUNCTION("""COMPUTED_VALUE"""),"Unisan")</f>
        <v>Unisan</v>
      </c>
      <c r="AP178" s="142" t="str">
        <f>IFERROR(__xludf.DUMMYFUNCTION("""COMPUTED_VALUE"""),"Rizal")</f>
        <v>Rizal</v>
      </c>
      <c r="AQ178" s="142" t="str">
        <f>IFERROR(__xludf.DUMMYFUNCTION("""COMPUTED_VALUE"""),"Angono")</f>
        <v>Angono</v>
      </c>
      <c r="AR178" s="142" t="str">
        <f>IFERROR(__xludf.DUMMYFUNCTION("""COMPUTED_VALUE"""),"City of Antipolo")</f>
        <v>City of Antipolo</v>
      </c>
      <c r="AS178" s="142" t="str">
        <f>IFERROR(__xludf.DUMMYFUNCTION("""COMPUTED_VALUE"""),"Baras")</f>
        <v>Baras</v>
      </c>
      <c r="AT178" s="142" t="str">
        <f>IFERROR(__xludf.DUMMYFUNCTION("""COMPUTED_VALUE"""),"Binangonan")</f>
        <v>Binangonan</v>
      </c>
      <c r="AU178" s="142" t="str">
        <f>IFERROR(__xludf.DUMMYFUNCTION("""COMPUTED_VALUE"""),"Cainta")</f>
        <v>Cainta</v>
      </c>
      <c r="AV178" s="142" t="str">
        <f>IFERROR(__xludf.DUMMYFUNCTION("""COMPUTED_VALUE"""),"Cardona")</f>
        <v>Cardona</v>
      </c>
      <c r="AW178" s="142" t="str">
        <f>IFERROR(__xludf.DUMMYFUNCTION("""COMPUTED_VALUE"""),"Jala-Jala")</f>
        <v>Jala-Jala</v>
      </c>
      <c r="AX178" s="142" t="str">
        <f>IFERROR(__xludf.DUMMYFUNCTION("""COMPUTED_VALUE"""),"Rodriguez")</f>
        <v>Rodriguez</v>
      </c>
      <c r="AY178" s="142" t="str">
        <f>IFERROR(__xludf.DUMMYFUNCTION("""COMPUTED_VALUE"""),"Morong")</f>
        <v>Morong</v>
      </c>
      <c r="AZ178" s="142" t="str">
        <f>IFERROR(__xludf.DUMMYFUNCTION("""COMPUTED_VALUE"""),"Pililla")</f>
        <v>Pililla</v>
      </c>
      <c r="BA178" s="142" t="str">
        <f>IFERROR(__xludf.DUMMYFUNCTION("""COMPUTED_VALUE"""),"San Mateo")</f>
        <v>San Mateo</v>
      </c>
      <c r="BB178" s="142" t="str">
        <f>IFERROR(__xludf.DUMMYFUNCTION("""COMPUTED_VALUE"""),"Tanay")</f>
        <v>Tanay</v>
      </c>
      <c r="BC178" s="142" t="str">
        <f>IFERROR(__xludf.DUMMYFUNCTION("""COMPUTED_VALUE"""),"Taytay")</f>
        <v>Taytay</v>
      </c>
      <c r="BD178" s="142" t="str">
        <f>IFERROR(__xludf.DUMMYFUNCTION("""COMPUTED_VALUE"""),"Teresa")</f>
        <v>Teresa</v>
      </c>
      <c r="BE178" s="142" t="str">
        <f>IFERROR(__xludf.DUMMYFUNCTION("""COMPUTED_VALUE"""),"City of Lucena")</f>
        <v>City of Lucena</v>
      </c>
    </row>
    <row r="179">
      <c r="A179" s="142" t="s">
        <v>497</v>
      </c>
      <c r="B179" s="142" t="str">
        <f>IFERROR(__xludf.DUMMYFUNCTION("""COMPUTED_VALUE"""),"Agdangan")</f>
        <v>Agdangan</v>
      </c>
      <c r="C179" s="142" t="str">
        <f>IFERROR(__xludf.DUMMYFUNCTION("""COMPUTED_VALUE"""),"Alabat")</f>
        <v>Alabat</v>
      </c>
      <c r="D179" s="142" t="str">
        <f>IFERROR(__xludf.DUMMYFUNCTION("""COMPUTED_VALUE"""),"Atimonan")</f>
        <v>Atimonan</v>
      </c>
      <c r="E179" s="142" t="str">
        <f>IFERROR(__xludf.DUMMYFUNCTION("""COMPUTED_VALUE"""),"Buenavista")</f>
        <v>Buenavista</v>
      </c>
      <c r="F179" s="142" t="str">
        <f>IFERROR(__xludf.DUMMYFUNCTION("""COMPUTED_VALUE"""),"Burdeos")</f>
        <v>Burdeos</v>
      </c>
      <c r="G179" s="142" t="str">
        <f>IFERROR(__xludf.DUMMYFUNCTION("""COMPUTED_VALUE"""),"Calauag")</f>
        <v>Calauag</v>
      </c>
      <c r="H179" s="142" t="str">
        <f>IFERROR(__xludf.DUMMYFUNCTION("""COMPUTED_VALUE"""),"Candelaria")</f>
        <v>Candelaria</v>
      </c>
      <c r="I179" s="142" t="str">
        <f>IFERROR(__xludf.DUMMYFUNCTION("""COMPUTED_VALUE"""),"Catanauan")</f>
        <v>Catanauan</v>
      </c>
      <c r="J179" s="142" t="str">
        <f>IFERROR(__xludf.DUMMYFUNCTION("""COMPUTED_VALUE"""),"Dolores")</f>
        <v>Dolores</v>
      </c>
      <c r="K179" s="142" t="str">
        <f>IFERROR(__xludf.DUMMYFUNCTION("""COMPUTED_VALUE"""),"General Luna")</f>
        <v>General Luna</v>
      </c>
      <c r="L179" s="142" t="str">
        <f>IFERROR(__xludf.DUMMYFUNCTION("""COMPUTED_VALUE"""),"General Nakar")</f>
        <v>General Nakar</v>
      </c>
      <c r="M179" s="142" t="str">
        <f>IFERROR(__xludf.DUMMYFUNCTION("""COMPUTED_VALUE"""),"Guinayangan")</f>
        <v>Guinayangan</v>
      </c>
      <c r="N179" s="142" t="str">
        <f>IFERROR(__xludf.DUMMYFUNCTION("""COMPUTED_VALUE"""),"Gumaca")</f>
        <v>Gumaca</v>
      </c>
      <c r="O179" s="142" t="str">
        <f>IFERROR(__xludf.DUMMYFUNCTION("""COMPUTED_VALUE"""),"Infanta")</f>
        <v>Infanta</v>
      </c>
      <c r="P179" s="142" t="str">
        <f>IFERROR(__xludf.DUMMYFUNCTION("""COMPUTED_VALUE"""),"Jomalig")</f>
        <v>Jomalig</v>
      </c>
      <c r="Q179" s="142" t="str">
        <f>IFERROR(__xludf.DUMMYFUNCTION("""COMPUTED_VALUE"""),"Lopez")</f>
        <v>Lopez</v>
      </c>
      <c r="R179" s="142" t="str">
        <f>IFERROR(__xludf.DUMMYFUNCTION("""COMPUTED_VALUE"""),"Lucban")</f>
        <v>Lucban</v>
      </c>
      <c r="S179" s="142" t="str">
        <f>IFERROR(__xludf.DUMMYFUNCTION("""COMPUTED_VALUE"""),"Macalelon")</f>
        <v>Macalelon</v>
      </c>
      <c r="T179" s="142" t="str">
        <f>IFERROR(__xludf.DUMMYFUNCTION("""COMPUTED_VALUE"""),"Mauban")</f>
        <v>Mauban</v>
      </c>
      <c r="U179" s="142" t="str">
        <f>IFERROR(__xludf.DUMMYFUNCTION("""COMPUTED_VALUE"""),"Mulanay")</f>
        <v>Mulanay</v>
      </c>
      <c r="V179" s="142" t="str">
        <f>IFERROR(__xludf.DUMMYFUNCTION("""COMPUTED_VALUE"""),"Padre Burgos")</f>
        <v>Padre Burgos</v>
      </c>
      <c r="W179" s="142" t="str">
        <f>IFERROR(__xludf.DUMMYFUNCTION("""COMPUTED_VALUE"""),"Pagbilao")</f>
        <v>Pagbilao</v>
      </c>
      <c r="X179" s="142" t="str">
        <f>IFERROR(__xludf.DUMMYFUNCTION("""COMPUTED_VALUE"""),"Panukulan")</f>
        <v>Panukulan</v>
      </c>
      <c r="Y179" s="142" t="str">
        <f>IFERROR(__xludf.DUMMYFUNCTION("""COMPUTED_VALUE"""),"Patnanungan")</f>
        <v>Patnanungan</v>
      </c>
      <c r="Z179" s="142" t="str">
        <f>IFERROR(__xludf.DUMMYFUNCTION("""COMPUTED_VALUE"""),"Perez")</f>
        <v>Perez</v>
      </c>
      <c r="AA179" s="142" t="str">
        <f>IFERROR(__xludf.DUMMYFUNCTION("""COMPUTED_VALUE"""),"Pitogo")</f>
        <v>Pitogo</v>
      </c>
      <c r="AB179" s="142" t="str">
        <f>IFERROR(__xludf.DUMMYFUNCTION("""COMPUTED_VALUE"""),"Plaridel")</f>
        <v>Plaridel</v>
      </c>
      <c r="AC179" s="142" t="str">
        <f>IFERROR(__xludf.DUMMYFUNCTION("""COMPUTED_VALUE"""),"Polillo")</f>
        <v>Polillo</v>
      </c>
      <c r="AD179" s="142" t="str">
        <f>IFERROR(__xludf.DUMMYFUNCTION("""COMPUTED_VALUE"""),"Quezon")</f>
        <v>Quezon</v>
      </c>
      <c r="AE179" s="142" t="str">
        <f>IFERROR(__xludf.DUMMYFUNCTION("""COMPUTED_VALUE"""),"Real")</f>
        <v>Real</v>
      </c>
      <c r="AF179" s="142" t="str">
        <f>IFERROR(__xludf.DUMMYFUNCTION("""COMPUTED_VALUE"""),"Sampaloc")</f>
        <v>Sampaloc</v>
      </c>
      <c r="AG179" s="142" t="str">
        <f>IFERROR(__xludf.DUMMYFUNCTION("""COMPUTED_VALUE"""),"San Andres")</f>
        <v>San Andres</v>
      </c>
      <c r="AH179" s="142" t="str">
        <f>IFERROR(__xludf.DUMMYFUNCTION("""COMPUTED_VALUE"""),"San Antonio")</f>
        <v>San Antonio</v>
      </c>
      <c r="AI179" s="142" t="str">
        <f>IFERROR(__xludf.DUMMYFUNCTION("""COMPUTED_VALUE"""),"San Francisco")</f>
        <v>San Francisco</v>
      </c>
      <c r="AJ179" s="142" t="str">
        <f>IFERROR(__xludf.DUMMYFUNCTION("""COMPUTED_VALUE"""),"San Narciso")</f>
        <v>San Narciso</v>
      </c>
      <c r="AK179" s="142" t="str">
        <f>IFERROR(__xludf.DUMMYFUNCTION("""COMPUTED_VALUE"""),"Sariaya")</f>
        <v>Sariaya</v>
      </c>
      <c r="AL179" s="142" t="str">
        <f>IFERROR(__xludf.DUMMYFUNCTION("""COMPUTED_VALUE"""),"Tagkawayan")</f>
        <v>Tagkawayan</v>
      </c>
      <c r="AM179" s="142" t="str">
        <f>IFERROR(__xludf.DUMMYFUNCTION("""COMPUTED_VALUE"""),"City of Tayabas")</f>
        <v>City of Tayabas</v>
      </c>
      <c r="AN179" s="142" t="str">
        <f>IFERROR(__xludf.DUMMYFUNCTION("""COMPUTED_VALUE"""),"Tiaong")</f>
        <v>Tiaong</v>
      </c>
      <c r="AO179" s="142" t="str">
        <f>IFERROR(__xludf.DUMMYFUNCTION("""COMPUTED_VALUE"""),"Unisan")</f>
        <v>Unisan</v>
      </c>
      <c r="AP179" s="142" t="str">
        <f>IFERROR(__xludf.DUMMYFUNCTION("""COMPUTED_VALUE"""),"Rizal")</f>
        <v>Rizal</v>
      </c>
      <c r="AQ179" s="142" t="str">
        <f>IFERROR(__xludf.DUMMYFUNCTION("""COMPUTED_VALUE"""),"Angono")</f>
        <v>Angono</v>
      </c>
      <c r="AR179" s="142" t="str">
        <f>IFERROR(__xludf.DUMMYFUNCTION("""COMPUTED_VALUE"""),"City of Antipolo")</f>
        <v>City of Antipolo</v>
      </c>
      <c r="AS179" s="142" t="str">
        <f>IFERROR(__xludf.DUMMYFUNCTION("""COMPUTED_VALUE"""),"Baras")</f>
        <v>Baras</v>
      </c>
      <c r="AT179" s="142" t="str">
        <f>IFERROR(__xludf.DUMMYFUNCTION("""COMPUTED_VALUE"""),"Binangonan")</f>
        <v>Binangonan</v>
      </c>
      <c r="AU179" s="142" t="str">
        <f>IFERROR(__xludf.DUMMYFUNCTION("""COMPUTED_VALUE"""),"Cainta")</f>
        <v>Cainta</v>
      </c>
      <c r="AV179" s="142" t="str">
        <f>IFERROR(__xludf.DUMMYFUNCTION("""COMPUTED_VALUE"""),"Cardona")</f>
        <v>Cardona</v>
      </c>
      <c r="AW179" s="142" t="str">
        <f>IFERROR(__xludf.DUMMYFUNCTION("""COMPUTED_VALUE"""),"Jala-Jala")</f>
        <v>Jala-Jala</v>
      </c>
      <c r="AX179" s="142" t="str">
        <f>IFERROR(__xludf.DUMMYFUNCTION("""COMPUTED_VALUE"""),"Rodriguez")</f>
        <v>Rodriguez</v>
      </c>
      <c r="AY179" s="142" t="str">
        <f>IFERROR(__xludf.DUMMYFUNCTION("""COMPUTED_VALUE"""),"Morong")</f>
        <v>Morong</v>
      </c>
      <c r="AZ179" s="142" t="str">
        <f>IFERROR(__xludf.DUMMYFUNCTION("""COMPUTED_VALUE"""),"Pililla")</f>
        <v>Pililla</v>
      </c>
      <c r="BA179" s="142" t="str">
        <f>IFERROR(__xludf.DUMMYFUNCTION("""COMPUTED_VALUE"""),"San Mateo")</f>
        <v>San Mateo</v>
      </c>
      <c r="BB179" s="142" t="str">
        <f>IFERROR(__xludf.DUMMYFUNCTION("""COMPUTED_VALUE"""),"Tanay")</f>
        <v>Tanay</v>
      </c>
      <c r="BC179" s="142" t="str">
        <f>IFERROR(__xludf.DUMMYFUNCTION("""COMPUTED_VALUE"""),"Taytay")</f>
        <v>Taytay</v>
      </c>
      <c r="BD179" s="142" t="str">
        <f>IFERROR(__xludf.DUMMYFUNCTION("""COMPUTED_VALUE"""),"Teresa")</f>
        <v>Teresa</v>
      </c>
      <c r="BE179" s="142" t="str">
        <f>IFERROR(__xludf.DUMMYFUNCTION("""COMPUTED_VALUE"""),"City of Lucena")</f>
        <v>City of Lucena</v>
      </c>
    </row>
    <row r="180">
      <c r="A180" s="142" t="s">
        <v>497</v>
      </c>
      <c r="B180" s="142" t="str">
        <f>IFERROR(__xludf.DUMMYFUNCTION("""COMPUTED_VALUE"""),"Agdangan")</f>
        <v>Agdangan</v>
      </c>
      <c r="C180" s="142" t="str">
        <f>IFERROR(__xludf.DUMMYFUNCTION("""COMPUTED_VALUE"""),"Alabat")</f>
        <v>Alabat</v>
      </c>
      <c r="D180" s="142" t="str">
        <f>IFERROR(__xludf.DUMMYFUNCTION("""COMPUTED_VALUE"""),"Atimonan")</f>
        <v>Atimonan</v>
      </c>
      <c r="E180" s="142" t="str">
        <f>IFERROR(__xludf.DUMMYFUNCTION("""COMPUTED_VALUE"""),"Buenavista")</f>
        <v>Buenavista</v>
      </c>
      <c r="F180" s="142" t="str">
        <f>IFERROR(__xludf.DUMMYFUNCTION("""COMPUTED_VALUE"""),"Burdeos")</f>
        <v>Burdeos</v>
      </c>
      <c r="G180" s="142" t="str">
        <f>IFERROR(__xludf.DUMMYFUNCTION("""COMPUTED_VALUE"""),"Calauag")</f>
        <v>Calauag</v>
      </c>
      <c r="H180" s="142" t="str">
        <f>IFERROR(__xludf.DUMMYFUNCTION("""COMPUTED_VALUE"""),"Candelaria")</f>
        <v>Candelaria</v>
      </c>
      <c r="I180" s="142" t="str">
        <f>IFERROR(__xludf.DUMMYFUNCTION("""COMPUTED_VALUE"""),"Catanauan")</f>
        <v>Catanauan</v>
      </c>
      <c r="J180" s="142" t="str">
        <f>IFERROR(__xludf.DUMMYFUNCTION("""COMPUTED_VALUE"""),"Dolores")</f>
        <v>Dolores</v>
      </c>
      <c r="K180" s="142" t="str">
        <f>IFERROR(__xludf.DUMMYFUNCTION("""COMPUTED_VALUE"""),"General Luna")</f>
        <v>General Luna</v>
      </c>
      <c r="L180" s="142" t="str">
        <f>IFERROR(__xludf.DUMMYFUNCTION("""COMPUTED_VALUE"""),"General Nakar")</f>
        <v>General Nakar</v>
      </c>
      <c r="M180" s="142" t="str">
        <f>IFERROR(__xludf.DUMMYFUNCTION("""COMPUTED_VALUE"""),"Guinayangan")</f>
        <v>Guinayangan</v>
      </c>
      <c r="N180" s="142" t="str">
        <f>IFERROR(__xludf.DUMMYFUNCTION("""COMPUTED_VALUE"""),"Gumaca")</f>
        <v>Gumaca</v>
      </c>
      <c r="O180" s="142" t="str">
        <f>IFERROR(__xludf.DUMMYFUNCTION("""COMPUTED_VALUE"""),"Infanta")</f>
        <v>Infanta</v>
      </c>
      <c r="P180" s="142" t="str">
        <f>IFERROR(__xludf.DUMMYFUNCTION("""COMPUTED_VALUE"""),"Jomalig")</f>
        <v>Jomalig</v>
      </c>
      <c r="Q180" s="142" t="str">
        <f>IFERROR(__xludf.DUMMYFUNCTION("""COMPUTED_VALUE"""),"Lopez")</f>
        <v>Lopez</v>
      </c>
      <c r="R180" s="142" t="str">
        <f>IFERROR(__xludf.DUMMYFUNCTION("""COMPUTED_VALUE"""),"Lucban")</f>
        <v>Lucban</v>
      </c>
      <c r="S180" s="142" t="str">
        <f>IFERROR(__xludf.DUMMYFUNCTION("""COMPUTED_VALUE"""),"Macalelon")</f>
        <v>Macalelon</v>
      </c>
      <c r="T180" s="142" t="str">
        <f>IFERROR(__xludf.DUMMYFUNCTION("""COMPUTED_VALUE"""),"Mauban")</f>
        <v>Mauban</v>
      </c>
      <c r="U180" s="142" t="str">
        <f>IFERROR(__xludf.DUMMYFUNCTION("""COMPUTED_VALUE"""),"Mulanay")</f>
        <v>Mulanay</v>
      </c>
      <c r="V180" s="142" t="str">
        <f>IFERROR(__xludf.DUMMYFUNCTION("""COMPUTED_VALUE"""),"Padre Burgos")</f>
        <v>Padre Burgos</v>
      </c>
      <c r="W180" s="142" t="str">
        <f>IFERROR(__xludf.DUMMYFUNCTION("""COMPUTED_VALUE"""),"Pagbilao")</f>
        <v>Pagbilao</v>
      </c>
      <c r="X180" s="142" t="str">
        <f>IFERROR(__xludf.DUMMYFUNCTION("""COMPUTED_VALUE"""),"Panukulan")</f>
        <v>Panukulan</v>
      </c>
      <c r="Y180" s="142" t="str">
        <f>IFERROR(__xludf.DUMMYFUNCTION("""COMPUTED_VALUE"""),"Patnanungan")</f>
        <v>Patnanungan</v>
      </c>
      <c r="Z180" s="142" t="str">
        <f>IFERROR(__xludf.DUMMYFUNCTION("""COMPUTED_VALUE"""),"Perez")</f>
        <v>Perez</v>
      </c>
      <c r="AA180" s="142" t="str">
        <f>IFERROR(__xludf.DUMMYFUNCTION("""COMPUTED_VALUE"""),"Pitogo")</f>
        <v>Pitogo</v>
      </c>
      <c r="AB180" s="142" t="str">
        <f>IFERROR(__xludf.DUMMYFUNCTION("""COMPUTED_VALUE"""),"Plaridel")</f>
        <v>Plaridel</v>
      </c>
      <c r="AC180" s="142" t="str">
        <f>IFERROR(__xludf.DUMMYFUNCTION("""COMPUTED_VALUE"""),"Polillo")</f>
        <v>Polillo</v>
      </c>
      <c r="AD180" s="142" t="str">
        <f>IFERROR(__xludf.DUMMYFUNCTION("""COMPUTED_VALUE"""),"Quezon")</f>
        <v>Quezon</v>
      </c>
      <c r="AE180" s="142" t="str">
        <f>IFERROR(__xludf.DUMMYFUNCTION("""COMPUTED_VALUE"""),"Real")</f>
        <v>Real</v>
      </c>
      <c r="AF180" s="142" t="str">
        <f>IFERROR(__xludf.DUMMYFUNCTION("""COMPUTED_VALUE"""),"Sampaloc")</f>
        <v>Sampaloc</v>
      </c>
      <c r="AG180" s="142" t="str">
        <f>IFERROR(__xludf.DUMMYFUNCTION("""COMPUTED_VALUE"""),"San Andres")</f>
        <v>San Andres</v>
      </c>
      <c r="AH180" s="142" t="str">
        <f>IFERROR(__xludf.DUMMYFUNCTION("""COMPUTED_VALUE"""),"San Antonio")</f>
        <v>San Antonio</v>
      </c>
      <c r="AI180" s="142" t="str">
        <f>IFERROR(__xludf.DUMMYFUNCTION("""COMPUTED_VALUE"""),"San Francisco")</f>
        <v>San Francisco</v>
      </c>
      <c r="AJ180" s="142" t="str">
        <f>IFERROR(__xludf.DUMMYFUNCTION("""COMPUTED_VALUE"""),"San Narciso")</f>
        <v>San Narciso</v>
      </c>
      <c r="AK180" s="142" t="str">
        <f>IFERROR(__xludf.DUMMYFUNCTION("""COMPUTED_VALUE"""),"Sariaya")</f>
        <v>Sariaya</v>
      </c>
      <c r="AL180" s="142" t="str">
        <f>IFERROR(__xludf.DUMMYFUNCTION("""COMPUTED_VALUE"""),"Tagkawayan")</f>
        <v>Tagkawayan</v>
      </c>
      <c r="AM180" s="142" t="str">
        <f>IFERROR(__xludf.DUMMYFUNCTION("""COMPUTED_VALUE"""),"City of Tayabas")</f>
        <v>City of Tayabas</v>
      </c>
      <c r="AN180" s="142" t="str">
        <f>IFERROR(__xludf.DUMMYFUNCTION("""COMPUTED_VALUE"""),"Tiaong")</f>
        <v>Tiaong</v>
      </c>
      <c r="AO180" s="142" t="str">
        <f>IFERROR(__xludf.DUMMYFUNCTION("""COMPUTED_VALUE"""),"Unisan")</f>
        <v>Unisan</v>
      </c>
      <c r="AP180" s="142" t="str">
        <f>IFERROR(__xludf.DUMMYFUNCTION("""COMPUTED_VALUE"""),"Rizal")</f>
        <v>Rizal</v>
      </c>
      <c r="AQ180" s="142" t="str">
        <f>IFERROR(__xludf.DUMMYFUNCTION("""COMPUTED_VALUE"""),"Angono")</f>
        <v>Angono</v>
      </c>
      <c r="AR180" s="142" t="str">
        <f>IFERROR(__xludf.DUMMYFUNCTION("""COMPUTED_VALUE"""),"City of Antipolo")</f>
        <v>City of Antipolo</v>
      </c>
      <c r="AS180" s="142" t="str">
        <f>IFERROR(__xludf.DUMMYFUNCTION("""COMPUTED_VALUE"""),"Baras")</f>
        <v>Baras</v>
      </c>
      <c r="AT180" s="142" t="str">
        <f>IFERROR(__xludf.DUMMYFUNCTION("""COMPUTED_VALUE"""),"Binangonan")</f>
        <v>Binangonan</v>
      </c>
      <c r="AU180" s="142" t="str">
        <f>IFERROR(__xludf.DUMMYFUNCTION("""COMPUTED_VALUE"""),"Cainta")</f>
        <v>Cainta</v>
      </c>
      <c r="AV180" s="142" t="str">
        <f>IFERROR(__xludf.DUMMYFUNCTION("""COMPUTED_VALUE"""),"Cardona")</f>
        <v>Cardona</v>
      </c>
      <c r="AW180" s="142" t="str">
        <f>IFERROR(__xludf.DUMMYFUNCTION("""COMPUTED_VALUE"""),"Jala-Jala")</f>
        <v>Jala-Jala</v>
      </c>
      <c r="AX180" s="142" t="str">
        <f>IFERROR(__xludf.DUMMYFUNCTION("""COMPUTED_VALUE"""),"Rodriguez")</f>
        <v>Rodriguez</v>
      </c>
      <c r="AY180" s="142" t="str">
        <f>IFERROR(__xludf.DUMMYFUNCTION("""COMPUTED_VALUE"""),"Morong")</f>
        <v>Morong</v>
      </c>
      <c r="AZ180" s="142" t="str">
        <f>IFERROR(__xludf.DUMMYFUNCTION("""COMPUTED_VALUE"""),"Pililla")</f>
        <v>Pililla</v>
      </c>
      <c r="BA180" s="142" t="str">
        <f>IFERROR(__xludf.DUMMYFUNCTION("""COMPUTED_VALUE"""),"San Mateo")</f>
        <v>San Mateo</v>
      </c>
      <c r="BB180" s="142" t="str">
        <f>IFERROR(__xludf.DUMMYFUNCTION("""COMPUTED_VALUE"""),"Tanay")</f>
        <v>Tanay</v>
      </c>
      <c r="BC180" s="142" t="str">
        <f>IFERROR(__xludf.DUMMYFUNCTION("""COMPUTED_VALUE"""),"Taytay")</f>
        <v>Taytay</v>
      </c>
      <c r="BD180" s="142" t="str">
        <f>IFERROR(__xludf.DUMMYFUNCTION("""COMPUTED_VALUE"""),"Teresa")</f>
        <v>Teresa</v>
      </c>
      <c r="BE180" s="142" t="str">
        <f>IFERROR(__xludf.DUMMYFUNCTION("""COMPUTED_VALUE"""),"City of Lucena")</f>
        <v>City of Lucena</v>
      </c>
    </row>
    <row r="181">
      <c r="A181" s="142" t="s">
        <v>497</v>
      </c>
      <c r="B181" s="142" t="str">
        <f>IFERROR(__xludf.DUMMYFUNCTION("""COMPUTED_VALUE"""),"Agdangan")</f>
        <v>Agdangan</v>
      </c>
      <c r="C181" s="142" t="str">
        <f>IFERROR(__xludf.DUMMYFUNCTION("""COMPUTED_VALUE"""),"Alabat")</f>
        <v>Alabat</v>
      </c>
      <c r="D181" s="142" t="str">
        <f>IFERROR(__xludf.DUMMYFUNCTION("""COMPUTED_VALUE"""),"Atimonan")</f>
        <v>Atimonan</v>
      </c>
      <c r="E181" s="142" t="str">
        <f>IFERROR(__xludf.DUMMYFUNCTION("""COMPUTED_VALUE"""),"Buenavista")</f>
        <v>Buenavista</v>
      </c>
      <c r="F181" s="142" t="str">
        <f>IFERROR(__xludf.DUMMYFUNCTION("""COMPUTED_VALUE"""),"Burdeos")</f>
        <v>Burdeos</v>
      </c>
      <c r="G181" s="142" t="str">
        <f>IFERROR(__xludf.DUMMYFUNCTION("""COMPUTED_VALUE"""),"Calauag")</f>
        <v>Calauag</v>
      </c>
      <c r="H181" s="142" t="str">
        <f>IFERROR(__xludf.DUMMYFUNCTION("""COMPUTED_VALUE"""),"Candelaria")</f>
        <v>Candelaria</v>
      </c>
      <c r="I181" s="142" t="str">
        <f>IFERROR(__xludf.DUMMYFUNCTION("""COMPUTED_VALUE"""),"Catanauan")</f>
        <v>Catanauan</v>
      </c>
      <c r="J181" s="142" t="str">
        <f>IFERROR(__xludf.DUMMYFUNCTION("""COMPUTED_VALUE"""),"Dolores")</f>
        <v>Dolores</v>
      </c>
      <c r="K181" s="142" t="str">
        <f>IFERROR(__xludf.DUMMYFUNCTION("""COMPUTED_VALUE"""),"General Luna")</f>
        <v>General Luna</v>
      </c>
      <c r="L181" s="142" t="str">
        <f>IFERROR(__xludf.DUMMYFUNCTION("""COMPUTED_VALUE"""),"General Nakar")</f>
        <v>General Nakar</v>
      </c>
      <c r="M181" s="142" t="str">
        <f>IFERROR(__xludf.DUMMYFUNCTION("""COMPUTED_VALUE"""),"Guinayangan")</f>
        <v>Guinayangan</v>
      </c>
      <c r="N181" s="142" t="str">
        <f>IFERROR(__xludf.DUMMYFUNCTION("""COMPUTED_VALUE"""),"Gumaca")</f>
        <v>Gumaca</v>
      </c>
      <c r="O181" s="142" t="str">
        <f>IFERROR(__xludf.DUMMYFUNCTION("""COMPUTED_VALUE"""),"Infanta")</f>
        <v>Infanta</v>
      </c>
      <c r="P181" s="142" t="str">
        <f>IFERROR(__xludf.DUMMYFUNCTION("""COMPUTED_VALUE"""),"Jomalig")</f>
        <v>Jomalig</v>
      </c>
      <c r="Q181" s="142" t="str">
        <f>IFERROR(__xludf.DUMMYFUNCTION("""COMPUTED_VALUE"""),"Lopez")</f>
        <v>Lopez</v>
      </c>
      <c r="R181" s="142" t="str">
        <f>IFERROR(__xludf.DUMMYFUNCTION("""COMPUTED_VALUE"""),"Lucban")</f>
        <v>Lucban</v>
      </c>
      <c r="S181" s="142" t="str">
        <f>IFERROR(__xludf.DUMMYFUNCTION("""COMPUTED_VALUE"""),"Macalelon")</f>
        <v>Macalelon</v>
      </c>
      <c r="T181" s="142" t="str">
        <f>IFERROR(__xludf.DUMMYFUNCTION("""COMPUTED_VALUE"""),"Mauban")</f>
        <v>Mauban</v>
      </c>
      <c r="U181" s="142" t="str">
        <f>IFERROR(__xludf.DUMMYFUNCTION("""COMPUTED_VALUE"""),"Mulanay")</f>
        <v>Mulanay</v>
      </c>
      <c r="V181" s="142" t="str">
        <f>IFERROR(__xludf.DUMMYFUNCTION("""COMPUTED_VALUE"""),"Padre Burgos")</f>
        <v>Padre Burgos</v>
      </c>
      <c r="W181" s="142" t="str">
        <f>IFERROR(__xludf.DUMMYFUNCTION("""COMPUTED_VALUE"""),"Pagbilao")</f>
        <v>Pagbilao</v>
      </c>
      <c r="X181" s="142" t="str">
        <f>IFERROR(__xludf.DUMMYFUNCTION("""COMPUTED_VALUE"""),"Panukulan")</f>
        <v>Panukulan</v>
      </c>
      <c r="Y181" s="142" t="str">
        <f>IFERROR(__xludf.DUMMYFUNCTION("""COMPUTED_VALUE"""),"Patnanungan")</f>
        <v>Patnanungan</v>
      </c>
      <c r="Z181" s="142" t="str">
        <f>IFERROR(__xludf.DUMMYFUNCTION("""COMPUTED_VALUE"""),"Perez")</f>
        <v>Perez</v>
      </c>
      <c r="AA181" s="142" t="str">
        <f>IFERROR(__xludf.DUMMYFUNCTION("""COMPUTED_VALUE"""),"Pitogo")</f>
        <v>Pitogo</v>
      </c>
      <c r="AB181" s="142" t="str">
        <f>IFERROR(__xludf.DUMMYFUNCTION("""COMPUTED_VALUE"""),"Plaridel")</f>
        <v>Plaridel</v>
      </c>
      <c r="AC181" s="142" t="str">
        <f>IFERROR(__xludf.DUMMYFUNCTION("""COMPUTED_VALUE"""),"Polillo")</f>
        <v>Polillo</v>
      </c>
      <c r="AD181" s="142" t="str">
        <f>IFERROR(__xludf.DUMMYFUNCTION("""COMPUTED_VALUE"""),"Quezon")</f>
        <v>Quezon</v>
      </c>
      <c r="AE181" s="142" t="str">
        <f>IFERROR(__xludf.DUMMYFUNCTION("""COMPUTED_VALUE"""),"Real")</f>
        <v>Real</v>
      </c>
      <c r="AF181" s="142" t="str">
        <f>IFERROR(__xludf.DUMMYFUNCTION("""COMPUTED_VALUE"""),"Sampaloc")</f>
        <v>Sampaloc</v>
      </c>
      <c r="AG181" s="142" t="str">
        <f>IFERROR(__xludf.DUMMYFUNCTION("""COMPUTED_VALUE"""),"San Andres")</f>
        <v>San Andres</v>
      </c>
      <c r="AH181" s="142" t="str">
        <f>IFERROR(__xludf.DUMMYFUNCTION("""COMPUTED_VALUE"""),"San Antonio")</f>
        <v>San Antonio</v>
      </c>
      <c r="AI181" s="142" t="str">
        <f>IFERROR(__xludf.DUMMYFUNCTION("""COMPUTED_VALUE"""),"San Francisco")</f>
        <v>San Francisco</v>
      </c>
      <c r="AJ181" s="142" t="str">
        <f>IFERROR(__xludf.DUMMYFUNCTION("""COMPUTED_VALUE"""),"San Narciso")</f>
        <v>San Narciso</v>
      </c>
      <c r="AK181" s="142" t="str">
        <f>IFERROR(__xludf.DUMMYFUNCTION("""COMPUTED_VALUE"""),"Sariaya")</f>
        <v>Sariaya</v>
      </c>
      <c r="AL181" s="142" t="str">
        <f>IFERROR(__xludf.DUMMYFUNCTION("""COMPUTED_VALUE"""),"Tagkawayan")</f>
        <v>Tagkawayan</v>
      </c>
      <c r="AM181" s="142" t="str">
        <f>IFERROR(__xludf.DUMMYFUNCTION("""COMPUTED_VALUE"""),"City of Tayabas")</f>
        <v>City of Tayabas</v>
      </c>
      <c r="AN181" s="142" t="str">
        <f>IFERROR(__xludf.DUMMYFUNCTION("""COMPUTED_VALUE"""),"Tiaong")</f>
        <v>Tiaong</v>
      </c>
      <c r="AO181" s="142" t="str">
        <f>IFERROR(__xludf.DUMMYFUNCTION("""COMPUTED_VALUE"""),"Unisan")</f>
        <v>Unisan</v>
      </c>
      <c r="AP181" s="142" t="str">
        <f>IFERROR(__xludf.DUMMYFUNCTION("""COMPUTED_VALUE"""),"Rizal")</f>
        <v>Rizal</v>
      </c>
      <c r="AQ181" s="142" t="str">
        <f>IFERROR(__xludf.DUMMYFUNCTION("""COMPUTED_VALUE"""),"Angono")</f>
        <v>Angono</v>
      </c>
      <c r="AR181" s="142" t="str">
        <f>IFERROR(__xludf.DUMMYFUNCTION("""COMPUTED_VALUE"""),"City of Antipolo")</f>
        <v>City of Antipolo</v>
      </c>
      <c r="AS181" s="142" t="str">
        <f>IFERROR(__xludf.DUMMYFUNCTION("""COMPUTED_VALUE"""),"Baras")</f>
        <v>Baras</v>
      </c>
      <c r="AT181" s="142" t="str">
        <f>IFERROR(__xludf.DUMMYFUNCTION("""COMPUTED_VALUE"""),"Binangonan")</f>
        <v>Binangonan</v>
      </c>
      <c r="AU181" s="142" t="str">
        <f>IFERROR(__xludf.DUMMYFUNCTION("""COMPUTED_VALUE"""),"Cainta")</f>
        <v>Cainta</v>
      </c>
      <c r="AV181" s="142" t="str">
        <f>IFERROR(__xludf.DUMMYFUNCTION("""COMPUTED_VALUE"""),"Cardona")</f>
        <v>Cardona</v>
      </c>
      <c r="AW181" s="142" t="str">
        <f>IFERROR(__xludf.DUMMYFUNCTION("""COMPUTED_VALUE"""),"Jala-Jala")</f>
        <v>Jala-Jala</v>
      </c>
      <c r="AX181" s="142" t="str">
        <f>IFERROR(__xludf.DUMMYFUNCTION("""COMPUTED_VALUE"""),"Rodriguez")</f>
        <v>Rodriguez</v>
      </c>
      <c r="AY181" s="142" t="str">
        <f>IFERROR(__xludf.DUMMYFUNCTION("""COMPUTED_VALUE"""),"Morong")</f>
        <v>Morong</v>
      </c>
      <c r="AZ181" s="142" t="str">
        <f>IFERROR(__xludf.DUMMYFUNCTION("""COMPUTED_VALUE"""),"Pililla")</f>
        <v>Pililla</v>
      </c>
      <c r="BA181" s="142" t="str">
        <f>IFERROR(__xludf.DUMMYFUNCTION("""COMPUTED_VALUE"""),"San Mateo")</f>
        <v>San Mateo</v>
      </c>
      <c r="BB181" s="142" t="str">
        <f>IFERROR(__xludf.DUMMYFUNCTION("""COMPUTED_VALUE"""),"Tanay")</f>
        <v>Tanay</v>
      </c>
      <c r="BC181" s="142" t="str">
        <f>IFERROR(__xludf.DUMMYFUNCTION("""COMPUTED_VALUE"""),"Taytay")</f>
        <v>Taytay</v>
      </c>
      <c r="BD181" s="142" t="str">
        <f>IFERROR(__xludf.DUMMYFUNCTION("""COMPUTED_VALUE"""),"Teresa")</f>
        <v>Teresa</v>
      </c>
      <c r="BE181" s="142" t="str">
        <f>IFERROR(__xludf.DUMMYFUNCTION("""COMPUTED_VALUE"""),"City of Lucena")</f>
        <v>City of Lucena</v>
      </c>
    </row>
    <row r="182">
      <c r="A182" s="142" t="s">
        <v>497</v>
      </c>
      <c r="B182" s="142" t="str">
        <f>IFERROR(__xludf.DUMMYFUNCTION("""COMPUTED_VALUE"""),"Agdangan")</f>
        <v>Agdangan</v>
      </c>
      <c r="C182" s="142" t="str">
        <f>IFERROR(__xludf.DUMMYFUNCTION("""COMPUTED_VALUE"""),"Alabat")</f>
        <v>Alabat</v>
      </c>
      <c r="D182" s="142" t="str">
        <f>IFERROR(__xludf.DUMMYFUNCTION("""COMPUTED_VALUE"""),"Atimonan")</f>
        <v>Atimonan</v>
      </c>
      <c r="E182" s="142" t="str">
        <f>IFERROR(__xludf.DUMMYFUNCTION("""COMPUTED_VALUE"""),"Buenavista")</f>
        <v>Buenavista</v>
      </c>
      <c r="F182" s="142" t="str">
        <f>IFERROR(__xludf.DUMMYFUNCTION("""COMPUTED_VALUE"""),"Burdeos")</f>
        <v>Burdeos</v>
      </c>
      <c r="G182" s="142" t="str">
        <f>IFERROR(__xludf.DUMMYFUNCTION("""COMPUTED_VALUE"""),"Calauag")</f>
        <v>Calauag</v>
      </c>
      <c r="H182" s="142" t="str">
        <f>IFERROR(__xludf.DUMMYFUNCTION("""COMPUTED_VALUE"""),"Candelaria")</f>
        <v>Candelaria</v>
      </c>
      <c r="I182" s="142" t="str">
        <f>IFERROR(__xludf.DUMMYFUNCTION("""COMPUTED_VALUE"""),"Catanauan")</f>
        <v>Catanauan</v>
      </c>
      <c r="J182" s="142" t="str">
        <f>IFERROR(__xludf.DUMMYFUNCTION("""COMPUTED_VALUE"""),"Dolores")</f>
        <v>Dolores</v>
      </c>
      <c r="K182" s="142" t="str">
        <f>IFERROR(__xludf.DUMMYFUNCTION("""COMPUTED_VALUE"""),"General Luna")</f>
        <v>General Luna</v>
      </c>
      <c r="L182" s="142" t="str">
        <f>IFERROR(__xludf.DUMMYFUNCTION("""COMPUTED_VALUE"""),"General Nakar")</f>
        <v>General Nakar</v>
      </c>
      <c r="M182" s="142" t="str">
        <f>IFERROR(__xludf.DUMMYFUNCTION("""COMPUTED_VALUE"""),"Guinayangan")</f>
        <v>Guinayangan</v>
      </c>
      <c r="N182" s="142" t="str">
        <f>IFERROR(__xludf.DUMMYFUNCTION("""COMPUTED_VALUE"""),"Gumaca")</f>
        <v>Gumaca</v>
      </c>
      <c r="O182" s="142" t="str">
        <f>IFERROR(__xludf.DUMMYFUNCTION("""COMPUTED_VALUE"""),"Infanta")</f>
        <v>Infanta</v>
      </c>
      <c r="P182" s="142" t="str">
        <f>IFERROR(__xludf.DUMMYFUNCTION("""COMPUTED_VALUE"""),"Jomalig")</f>
        <v>Jomalig</v>
      </c>
      <c r="Q182" s="142" t="str">
        <f>IFERROR(__xludf.DUMMYFUNCTION("""COMPUTED_VALUE"""),"Lopez")</f>
        <v>Lopez</v>
      </c>
      <c r="R182" s="142" t="str">
        <f>IFERROR(__xludf.DUMMYFUNCTION("""COMPUTED_VALUE"""),"Lucban")</f>
        <v>Lucban</v>
      </c>
      <c r="S182" s="142" t="str">
        <f>IFERROR(__xludf.DUMMYFUNCTION("""COMPUTED_VALUE"""),"Macalelon")</f>
        <v>Macalelon</v>
      </c>
      <c r="T182" s="142" t="str">
        <f>IFERROR(__xludf.DUMMYFUNCTION("""COMPUTED_VALUE"""),"Mauban")</f>
        <v>Mauban</v>
      </c>
      <c r="U182" s="142" t="str">
        <f>IFERROR(__xludf.DUMMYFUNCTION("""COMPUTED_VALUE"""),"Mulanay")</f>
        <v>Mulanay</v>
      </c>
      <c r="V182" s="142" t="str">
        <f>IFERROR(__xludf.DUMMYFUNCTION("""COMPUTED_VALUE"""),"Padre Burgos")</f>
        <v>Padre Burgos</v>
      </c>
      <c r="W182" s="142" t="str">
        <f>IFERROR(__xludf.DUMMYFUNCTION("""COMPUTED_VALUE"""),"Pagbilao")</f>
        <v>Pagbilao</v>
      </c>
      <c r="X182" s="142" t="str">
        <f>IFERROR(__xludf.DUMMYFUNCTION("""COMPUTED_VALUE"""),"Panukulan")</f>
        <v>Panukulan</v>
      </c>
      <c r="Y182" s="142" t="str">
        <f>IFERROR(__xludf.DUMMYFUNCTION("""COMPUTED_VALUE"""),"Patnanungan")</f>
        <v>Patnanungan</v>
      </c>
      <c r="Z182" s="142" t="str">
        <f>IFERROR(__xludf.DUMMYFUNCTION("""COMPUTED_VALUE"""),"Perez")</f>
        <v>Perez</v>
      </c>
      <c r="AA182" s="142" t="str">
        <f>IFERROR(__xludf.DUMMYFUNCTION("""COMPUTED_VALUE"""),"Pitogo")</f>
        <v>Pitogo</v>
      </c>
      <c r="AB182" s="142" t="str">
        <f>IFERROR(__xludf.DUMMYFUNCTION("""COMPUTED_VALUE"""),"Plaridel")</f>
        <v>Plaridel</v>
      </c>
      <c r="AC182" s="142" t="str">
        <f>IFERROR(__xludf.DUMMYFUNCTION("""COMPUTED_VALUE"""),"Polillo")</f>
        <v>Polillo</v>
      </c>
      <c r="AD182" s="142" t="str">
        <f>IFERROR(__xludf.DUMMYFUNCTION("""COMPUTED_VALUE"""),"Quezon")</f>
        <v>Quezon</v>
      </c>
      <c r="AE182" s="142" t="str">
        <f>IFERROR(__xludf.DUMMYFUNCTION("""COMPUTED_VALUE"""),"Real")</f>
        <v>Real</v>
      </c>
      <c r="AF182" s="142" t="str">
        <f>IFERROR(__xludf.DUMMYFUNCTION("""COMPUTED_VALUE"""),"Sampaloc")</f>
        <v>Sampaloc</v>
      </c>
      <c r="AG182" s="142" t="str">
        <f>IFERROR(__xludf.DUMMYFUNCTION("""COMPUTED_VALUE"""),"San Andres")</f>
        <v>San Andres</v>
      </c>
      <c r="AH182" s="142" t="str">
        <f>IFERROR(__xludf.DUMMYFUNCTION("""COMPUTED_VALUE"""),"San Antonio")</f>
        <v>San Antonio</v>
      </c>
      <c r="AI182" s="142" t="str">
        <f>IFERROR(__xludf.DUMMYFUNCTION("""COMPUTED_VALUE"""),"San Francisco")</f>
        <v>San Francisco</v>
      </c>
      <c r="AJ182" s="142" t="str">
        <f>IFERROR(__xludf.DUMMYFUNCTION("""COMPUTED_VALUE"""),"San Narciso")</f>
        <v>San Narciso</v>
      </c>
      <c r="AK182" s="142" t="str">
        <f>IFERROR(__xludf.DUMMYFUNCTION("""COMPUTED_VALUE"""),"Sariaya")</f>
        <v>Sariaya</v>
      </c>
      <c r="AL182" s="142" t="str">
        <f>IFERROR(__xludf.DUMMYFUNCTION("""COMPUTED_VALUE"""),"Tagkawayan")</f>
        <v>Tagkawayan</v>
      </c>
      <c r="AM182" s="142" t="str">
        <f>IFERROR(__xludf.DUMMYFUNCTION("""COMPUTED_VALUE"""),"City of Tayabas")</f>
        <v>City of Tayabas</v>
      </c>
      <c r="AN182" s="142" t="str">
        <f>IFERROR(__xludf.DUMMYFUNCTION("""COMPUTED_VALUE"""),"Tiaong")</f>
        <v>Tiaong</v>
      </c>
      <c r="AO182" s="142" t="str">
        <f>IFERROR(__xludf.DUMMYFUNCTION("""COMPUTED_VALUE"""),"Unisan")</f>
        <v>Unisan</v>
      </c>
      <c r="AP182" s="142" t="str">
        <f>IFERROR(__xludf.DUMMYFUNCTION("""COMPUTED_VALUE"""),"Rizal")</f>
        <v>Rizal</v>
      </c>
      <c r="AQ182" s="142" t="str">
        <f>IFERROR(__xludf.DUMMYFUNCTION("""COMPUTED_VALUE"""),"Angono")</f>
        <v>Angono</v>
      </c>
      <c r="AR182" s="142" t="str">
        <f>IFERROR(__xludf.DUMMYFUNCTION("""COMPUTED_VALUE"""),"City of Antipolo")</f>
        <v>City of Antipolo</v>
      </c>
      <c r="AS182" s="142" t="str">
        <f>IFERROR(__xludf.DUMMYFUNCTION("""COMPUTED_VALUE"""),"Baras")</f>
        <v>Baras</v>
      </c>
      <c r="AT182" s="142" t="str">
        <f>IFERROR(__xludf.DUMMYFUNCTION("""COMPUTED_VALUE"""),"Binangonan")</f>
        <v>Binangonan</v>
      </c>
      <c r="AU182" s="142" t="str">
        <f>IFERROR(__xludf.DUMMYFUNCTION("""COMPUTED_VALUE"""),"Cainta")</f>
        <v>Cainta</v>
      </c>
      <c r="AV182" s="142" t="str">
        <f>IFERROR(__xludf.DUMMYFUNCTION("""COMPUTED_VALUE"""),"Cardona")</f>
        <v>Cardona</v>
      </c>
      <c r="AW182" s="142" t="str">
        <f>IFERROR(__xludf.DUMMYFUNCTION("""COMPUTED_VALUE"""),"Jala-Jala")</f>
        <v>Jala-Jala</v>
      </c>
      <c r="AX182" s="142" t="str">
        <f>IFERROR(__xludf.DUMMYFUNCTION("""COMPUTED_VALUE"""),"Rodriguez")</f>
        <v>Rodriguez</v>
      </c>
      <c r="AY182" s="142" t="str">
        <f>IFERROR(__xludf.DUMMYFUNCTION("""COMPUTED_VALUE"""),"Morong")</f>
        <v>Morong</v>
      </c>
      <c r="AZ182" s="142" t="str">
        <f>IFERROR(__xludf.DUMMYFUNCTION("""COMPUTED_VALUE"""),"Pililla")</f>
        <v>Pililla</v>
      </c>
      <c r="BA182" s="142" t="str">
        <f>IFERROR(__xludf.DUMMYFUNCTION("""COMPUTED_VALUE"""),"San Mateo")</f>
        <v>San Mateo</v>
      </c>
      <c r="BB182" s="142" t="str">
        <f>IFERROR(__xludf.DUMMYFUNCTION("""COMPUTED_VALUE"""),"Tanay")</f>
        <v>Tanay</v>
      </c>
      <c r="BC182" s="142" t="str">
        <f>IFERROR(__xludf.DUMMYFUNCTION("""COMPUTED_VALUE"""),"Taytay")</f>
        <v>Taytay</v>
      </c>
      <c r="BD182" s="142" t="str">
        <f>IFERROR(__xludf.DUMMYFUNCTION("""COMPUTED_VALUE"""),"Teresa")</f>
        <v>Teresa</v>
      </c>
      <c r="BE182" s="142" t="str">
        <f>IFERROR(__xludf.DUMMYFUNCTION("""COMPUTED_VALUE"""),"City of Lucena")</f>
        <v>City of Lucena</v>
      </c>
    </row>
    <row r="183">
      <c r="A183" s="142" t="s">
        <v>497</v>
      </c>
      <c r="B183" s="142" t="str">
        <f>IFERROR(__xludf.DUMMYFUNCTION("""COMPUTED_VALUE"""),"Agdangan")</f>
        <v>Agdangan</v>
      </c>
      <c r="C183" s="142" t="str">
        <f>IFERROR(__xludf.DUMMYFUNCTION("""COMPUTED_VALUE"""),"Alabat")</f>
        <v>Alabat</v>
      </c>
      <c r="D183" s="142" t="str">
        <f>IFERROR(__xludf.DUMMYFUNCTION("""COMPUTED_VALUE"""),"Atimonan")</f>
        <v>Atimonan</v>
      </c>
      <c r="E183" s="142" t="str">
        <f>IFERROR(__xludf.DUMMYFUNCTION("""COMPUTED_VALUE"""),"Buenavista")</f>
        <v>Buenavista</v>
      </c>
      <c r="F183" s="142" t="str">
        <f>IFERROR(__xludf.DUMMYFUNCTION("""COMPUTED_VALUE"""),"Burdeos")</f>
        <v>Burdeos</v>
      </c>
      <c r="G183" s="142" t="str">
        <f>IFERROR(__xludf.DUMMYFUNCTION("""COMPUTED_VALUE"""),"Calauag")</f>
        <v>Calauag</v>
      </c>
      <c r="H183" s="142" t="str">
        <f>IFERROR(__xludf.DUMMYFUNCTION("""COMPUTED_VALUE"""),"Candelaria")</f>
        <v>Candelaria</v>
      </c>
      <c r="I183" s="142" t="str">
        <f>IFERROR(__xludf.DUMMYFUNCTION("""COMPUTED_VALUE"""),"Catanauan")</f>
        <v>Catanauan</v>
      </c>
      <c r="J183" s="142" t="str">
        <f>IFERROR(__xludf.DUMMYFUNCTION("""COMPUTED_VALUE"""),"Dolores")</f>
        <v>Dolores</v>
      </c>
      <c r="K183" s="142" t="str">
        <f>IFERROR(__xludf.DUMMYFUNCTION("""COMPUTED_VALUE"""),"General Luna")</f>
        <v>General Luna</v>
      </c>
      <c r="L183" s="142" t="str">
        <f>IFERROR(__xludf.DUMMYFUNCTION("""COMPUTED_VALUE"""),"General Nakar")</f>
        <v>General Nakar</v>
      </c>
      <c r="M183" s="142" t="str">
        <f>IFERROR(__xludf.DUMMYFUNCTION("""COMPUTED_VALUE"""),"Guinayangan")</f>
        <v>Guinayangan</v>
      </c>
      <c r="N183" s="142" t="str">
        <f>IFERROR(__xludf.DUMMYFUNCTION("""COMPUTED_VALUE"""),"Gumaca")</f>
        <v>Gumaca</v>
      </c>
      <c r="O183" s="142" t="str">
        <f>IFERROR(__xludf.DUMMYFUNCTION("""COMPUTED_VALUE"""),"Infanta")</f>
        <v>Infanta</v>
      </c>
      <c r="P183" s="142" t="str">
        <f>IFERROR(__xludf.DUMMYFUNCTION("""COMPUTED_VALUE"""),"Jomalig")</f>
        <v>Jomalig</v>
      </c>
      <c r="Q183" s="142" t="str">
        <f>IFERROR(__xludf.DUMMYFUNCTION("""COMPUTED_VALUE"""),"Lopez")</f>
        <v>Lopez</v>
      </c>
      <c r="R183" s="142" t="str">
        <f>IFERROR(__xludf.DUMMYFUNCTION("""COMPUTED_VALUE"""),"Lucban")</f>
        <v>Lucban</v>
      </c>
      <c r="S183" s="142" t="str">
        <f>IFERROR(__xludf.DUMMYFUNCTION("""COMPUTED_VALUE"""),"Macalelon")</f>
        <v>Macalelon</v>
      </c>
      <c r="T183" s="142" t="str">
        <f>IFERROR(__xludf.DUMMYFUNCTION("""COMPUTED_VALUE"""),"Mauban")</f>
        <v>Mauban</v>
      </c>
      <c r="U183" s="142" t="str">
        <f>IFERROR(__xludf.DUMMYFUNCTION("""COMPUTED_VALUE"""),"Mulanay")</f>
        <v>Mulanay</v>
      </c>
      <c r="V183" s="142" t="str">
        <f>IFERROR(__xludf.DUMMYFUNCTION("""COMPUTED_VALUE"""),"Padre Burgos")</f>
        <v>Padre Burgos</v>
      </c>
      <c r="W183" s="142" t="str">
        <f>IFERROR(__xludf.DUMMYFUNCTION("""COMPUTED_VALUE"""),"Pagbilao")</f>
        <v>Pagbilao</v>
      </c>
      <c r="X183" s="142" t="str">
        <f>IFERROR(__xludf.DUMMYFUNCTION("""COMPUTED_VALUE"""),"Panukulan")</f>
        <v>Panukulan</v>
      </c>
      <c r="Y183" s="142" t="str">
        <f>IFERROR(__xludf.DUMMYFUNCTION("""COMPUTED_VALUE"""),"Patnanungan")</f>
        <v>Patnanungan</v>
      </c>
      <c r="Z183" s="142" t="str">
        <f>IFERROR(__xludf.DUMMYFUNCTION("""COMPUTED_VALUE"""),"Perez")</f>
        <v>Perez</v>
      </c>
      <c r="AA183" s="142" t="str">
        <f>IFERROR(__xludf.DUMMYFUNCTION("""COMPUTED_VALUE"""),"Pitogo")</f>
        <v>Pitogo</v>
      </c>
      <c r="AB183" s="142" t="str">
        <f>IFERROR(__xludf.DUMMYFUNCTION("""COMPUTED_VALUE"""),"Plaridel")</f>
        <v>Plaridel</v>
      </c>
      <c r="AC183" s="142" t="str">
        <f>IFERROR(__xludf.DUMMYFUNCTION("""COMPUTED_VALUE"""),"Polillo")</f>
        <v>Polillo</v>
      </c>
      <c r="AD183" s="142" t="str">
        <f>IFERROR(__xludf.DUMMYFUNCTION("""COMPUTED_VALUE"""),"Quezon")</f>
        <v>Quezon</v>
      </c>
      <c r="AE183" s="142" t="str">
        <f>IFERROR(__xludf.DUMMYFUNCTION("""COMPUTED_VALUE"""),"Real")</f>
        <v>Real</v>
      </c>
      <c r="AF183" s="142" t="str">
        <f>IFERROR(__xludf.DUMMYFUNCTION("""COMPUTED_VALUE"""),"Sampaloc")</f>
        <v>Sampaloc</v>
      </c>
      <c r="AG183" s="142" t="str">
        <f>IFERROR(__xludf.DUMMYFUNCTION("""COMPUTED_VALUE"""),"San Andres")</f>
        <v>San Andres</v>
      </c>
      <c r="AH183" s="142" t="str">
        <f>IFERROR(__xludf.DUMMYFUNCTION("""COMPUTED_VALUE"""),"San Antonio")</f>
        <v>San Antonio</v>
      </c>
      <c r="AI183" s="142" t="str">
        <f>IFERROR(__xludf.DUMMYFUNCTION("""COMPUTED_VALUE"""),"San Francisco")</f>
        <v>San Francisco</v>
      </c>
      <c r="AJ183" s="142" t="str">
        <f>IFERROR(__xludf.DUMMYFUNCTION("""COMPUTED_VALUE"""),"San Narciso")</f>
        <v>San Narciso</v>
      </c>
      <c r="AK183" s="142" t="str">
        <f>IFERROR(__xludf.DUMMYFUNCTION("""COMPUTED_VALUE"""),"Sariaya")</f>
        <v>Sariaya</v>
      </c>
      <c r="AL183" s="142" t="str">
        <f>IFERROR(__xludf.DUMMYFUNCTION("""COMPUTED_VALUE"""),"Tagkawayan")</f>
        <v>Tagkawayan</v>
      </c>
      <c r="AM183" s="142" t="str">
        <f>IFERROR(__xludf.DUMMYFUNCTION("""COMPUTED_VALUE"""),"City of Tayabas")</f>
        <v>City of Tayabas</v>
      </c>
      <c r="AN183" s="142" t="str">
        <f>IFERROR(__xludf.DUMMYFUNCTION("""COMPUTED_VALUE"""),"Tiaong")</f>
        <v>Tiaong</v>
      </c>
      <c r="AO183" s="142" t="str">
        <f>IFERROR(__xludf.DUMMYFUNCTION("""COMPUTED_VALUE"""),"Unisan")</f>
        <v>Unisan</v>
      </c>
      <c r="AP183" s="142" t="str">
        <f>IFERROR(__xludf.DUMMYFUNCTION("""COMPUTED_VALUE"""),"Rizal")</f>
        <v>Rizal</v>
      </c>
      <c r="AQ183" s="142" t="str">
        <f>IFERROR(__xludf.DUMMYFUNCTION("""COMPUTED_VALUE"""),"Angono")</f>
        <v>Angono</v>
      </c>
      <c r="AR183" s="142" t="str">
        <f>IFERROR(__xludf.DUMMYFUNCTION("""COMPUTED_VALUE"""),"City of Antipolo")</f>
        <v>City of Antipolo</v>
      </c>
      <c r="AS183" s="142" t="str">
        <f>IFERROR(__xludf.DUMMYFUNCTION("""COMPUTED_VALUE"""),"Baras")</f>
        <v>Baras</v>
      </c>
      <c r="AT183" s="142" t="str">
        <f>IFERROR(__xludf.DUMMYFUNCTION("""COMPUTED_VALUE"""),"Binangonan")</f>
        <v>Binangonan</v>
      </c>
      <c r="AU183" s="142" t="str">
        <f>IFERROR(__xludf.DUMMYFUNCTION("""COMPUTED_VALUE"""),"Cainta")</f>
        <v>Cainta</v>
      </c>
      <c r="AV183" s="142" t="str">
        <f>IFERROR(__xludf.DUMMYFUNCTION("""COMPUTED_VALUE"""),"Cardona")</f>
        <v>Cardona</v>
      </c>
      <c r="AW183" s="142" t="str">
        <f>IFERROR(__xludf.DUMMYFUNCTION("""COMPUTED_VALUE"""),"Jala-Jala")</f>
        <v>Jala-Jala</v>
      </c>
      <c r="AX183" s="142" t="str">
        <f>IFERROR(__xludf.DUMMYFUNCTION("""COMPUTED_VALUE"""),"Rodriguez")</f>
        <v>Rodriguez</v>
      </c>
      <c r="AY183" s="142" t="str">
        <f>IFERROR(__xludf.DUMMYFUNCTION("""COMPUTED_VALUE"""),"Morong")</f>
        <v>Morong</v>
      </c>
      <c r="AZ183" s="142" t="str">
        <f>IFERROR(__xludf.DUMMYFUNCTION("""COMPUTED_VALUE"""),"Pililla")</f>
        <v>Pililla</v>
      </c>
      <c r="BA183" s="142" t="str">
        <f>IFERROR(__xludf.DUMMYFUNCTION("""COMPUTED_VALUE"""),"San Mateo")</f>
        <v>San Mateo</v>
      </c>
      <c r="BB183" s="142" t="str">
        <f>IFERROR(__xludf.DUMMYFUNCTION("""COMPUTED_VALUE"""),"Tanay")</f>
        <v>Tanay</v>
      </c>
      <c r="BC183" s="142" t="str">
        <f>IFERROR(__xludf.DUMMYFUNCTION("""COMPUTED_VALUE"""),"Taytay")</f>
        <v>Taytay</v>
      </c>
      <c r="BD183" s="142" t="str">
        <f>IFERROR(__xludf.DUMMYFUNCTION("""COMPUTED_VALUE"""),"Teresa")</f>
        <v>Teresa</v>
      </c>
      <c r="BE183" s="142" t="str">
        <f>IFERROR(__xludf.DUMMYFUNCTION("""COMPUTED_VALUE"""),"City of Lucena")</f>
        <v>City of Lucena</v>
      </c>
    </row>
    <row r="184">
      <c r="A184" s="142" t="s">
        <v>497</v>
      </c>
      <c r="B184" s="142" t="str">
        <f>IFERROR(__xludf.DUMMYFUNCTION("""COMPUTED_VALUE"""),"Agdangan")</f>
        <v>Agdangan</v>
      </c>
      <c r="C184" s="142" t="str">
        <f>IFERROR(__xludf.DUMMYFUNCTION("""COMPUTED_VALUE"""),"Alabat")</f>
        <v>Alabat</v>
      </c>
      <c r="D184" s="142" t="str">
        <f>IFERROR(__xludf.DUMMYFUNCTION("""COMPUTED_VALUE"""),"Atimonan")</f>
        <v>Atimonan</v>
      </c>
      <c r="E184" s="142" t="str">
        <f>IFERROR(__xludf.DUMMYFUNCTION("""COMPUTED_VALUE"""),"Buenavista")</f>
        <v>Buenavista</v>
      </c>
      <c r="F184" s="142" t="str">
        <f>IFERROR(__xludf.DUMMYFUNCTION("""COMPUTED_VALUE"""),"Burdeos")</f>
        <v>Burdeos</v>
      </c>
      <c r="G184" s="142" t="str">
        <f>IFERROR(__xludf.DUMMYFUNCTION("""COMPUTED_VALUE"""),"Calauag")</f>
        <v>Calauag</v>
      </c>
      <c r="H184" s="142" t="str">
        <f>IFERROR(__xludf.DUMMYFUNCTION("""COMPUTED_VALUE"""),"Candelaria")</f>
        <v>Candelaria</v>
      </c>
      <c r="I184" s="142" t="str">
        <f>IFERROR(__xludf.DUMMYFUNCTION("""COMPUTED_VALUE"""),"Catanauan")</f>
        <v>Catanauan</v>
      </c>
      <c r="J184" s="142" t="str">
        <f>IFERROR(__xludf.DUMMYFUNCTION("""COMPUTED_VALUE"""),"Dolores")</f>
        <v>Dolores</v>
      </c>
      <c r="K184" s="142" t="str">
        <f>IFERROR(__xludf.DUMMYFUNCTION("""COMPUTED_VALUE"""),"General Luna")</f>
        <v>General Luna</v>
      </c>
      <c r="L184" s="142" t="str">
        <f>IFERROR(__xludf.DUMMYFUNCTION("""COMPUTED_VALUE"""),"General Nakar")</f>
        <v>General Nakar</v>
      </c>
      <c r="M184" s="142" t="str">
        <f>IFERROR(__xludf.DUMMYFUNCTION("""COMPUTED_VALUE"""),"Guinayangan")</f>
        <v>Guinayangan</v>
      </c>
      <c r="N184" s="142" t="str">
        <f>IFERROR(__xludf.DUMMYFUNCTION("""COMPUTED_VALUE"""),"Gumaca")</f>
        <v>Gumaca</v>
      </c>
      <c r="O184" s="142" t="str">
        <f>IFERROR(__xludf.DUMMYFUNCTION("""COMPUTED_VALUE"""),"Infanta")</f>
        <v>Infanta</v>
      </c>
      <c r="P184" s="142" t="str">
        <f>IFERROR(__xludf.DUMMYFUNCTION("""COMPUTED_VALUE"""),"Jomalig")</f>
        <v>Jomalig</v>
      </c>
      <c r="Q184" s="142" t="str">
        <f>IFERROR(__xludf.DUMMYFUNCTION("""COMPUTED_VALUE"""),"Lopez")</f>
        <v>Lopez</v>
      </c>
      <c r="R184" s="142" t="str">
        <f>IFERROR(__xludf.DUMMYFUNCTION("""COMPUTED_VALUE"""),"Lucban")</f>
        <v>Lucban</v>
      </c>
      <c r="S184" s="142" t="str">
        <f>IFERROR(__xludf.DUMMYFUNCTION("""COMPUTED_VALUE"""),"Macalelon")</f>
        <v>Macalelon</v>
      </c>
      <c r="T184" s="142" t="str">
        <f>IFERROR(__xludf.DUMMYFUNCTION("""COMPUTED_VALUE"""),"Mauban")</f>
        <v>Mauban</v>
      </c>
      <c r="U184" s="142" t="str">
        <f>IFERROR(__xludf.DUMMYFUNCTION("""COMPUTED_VALUE"""),"Mulanay")</f>
        <v>Mulanay</v>
      </c>
      <c r="V184" s="142" t="str">
        <f>IFERROR(__xludf.DUMMYFUNCTION("""COMPUTED_VALUE"""),"Padre Burgos")</f>
        <v>Padre Burgos</v>
      </c>
      <c r="W184" s="142" t="str">
        <f>IFERROR(__xludf.DUMMYFUNCTION("""COMPUTED_VALUE"""),"Pagbilao")</f>
        <v>Pagbilao</v>
      </c>
      <c r="X184" s="142" t="str">
        <f>IFERROR(__xludf.DUMMYFUNCTION("""COMPUTED_VALUE"""),"Panukulan")</f>
        <v>Panukulan</v>
      </c>
      <c r="Y184" s="142" t="str">
        <f>IFERROR(__xludf.DUMMYFUNCTION("""COMPUTED_VALUE"""),"Patnanungan")</f>
        <v>Patnanungan</v>
      </c>
      <c r="Z184" s="142" t="str">
        <f>IFERROR(__xludf.DUMMYFUNCTION("""COMPUTED_VALUE"""),"Perez")</f>
        <v>Perez</v>
      </c>
      <c r="AA184" s="142" t="str">
        <f>IFERROR(__xludf.DUMMYFUNCTION("""COMPUTED_VALUE"""),"Pitogo")</f>
        <v>Pitogo</v>
      </c>
      <c r="AB184" s="142" t="str">
        <f>IFERROR(__xludf.DUMMYFUNCTION("""COMPUTED_VALUE"""),"Plaridel")</f>
        <v>Plaridel</v>
      </c>
      <c r="AC184" s="142" t="str">
        <f>IFERROR(__xludf.DUMMYFUNCTION("""COMPUTED_VALUE"""),"Polillo")</f>
        <v>Polillo</v>
      </c>
      <c r="AD184" s="142" t="str">
        <f>IFERROR(__xludf.DUMMYFUNCTION("""COMPUTED_VALUE"""),"Quezon")</f>
        <v>Quezon</v>
      </c>
      <c r="AE184" s="142" t="str">
        <f>IFERROR(__xludf.DUMMYFUNCTION("""COMPUTED_VALUE"""),"Real")</f>
        <v>Real</v>
      </c>
      <c r="AF184" s="142" t="str">
        <f>IFERROR(__xludf.DUMMYFUNCTION("""COMPUTED_VALUE"""),"Sampaloc")</f>
        <v>Sampaloc</v>
      </c>
      <c r="AG184" s="142" t="str">
        <f>IFERROR(__xludf.DUMMYFUNCTION("""COMPUTED_VALUE"""),"San Andres")</f>
        <v>San Andres</v>
      </c>
      <c r="AH184" s="142" t="str">
        <f>IFERROR(__xludf.DUMMYFUNCTION("""COMPUTED_VALUE"""),"San Antonio")</f>
        <v>San Antonio</v>
      </c>
      <c r="AI184" s="142" t="str">
        <f>IFERROR(__xludf.DUMMYFUNCTION("""COMPUTED_VALUE"""),"San Francisco")</f>
        <v>San Francisco</v>
      </c>
      <c r="AJ184" s="142" t="str">
        <f>IFERROR(__xludf.DUMMYFUNCTION("""COMPUTED_VALUE"""),"San Narciso")</f>
        <v>San Narciso</v>
      </c>
      <c r="AK184" s="142" t="str">
        <f>IFERROR(__xludf.DUMMYFUNCTION("""COMPUTED_VALUE"""),"Sariaya")</f>
        <v>Sariaya</v>
      </c>
      <c r="AL184" s="142" t="str">
        <f>IFERROR(__xludf.DUMMYFUNCTION("""COMPUTED_VALUE"""),"Tagkawayan")</f>
        <v>Tagkawayan</v>
      </c>
      <c r="AM184" s="142" t="str">
        <f>IFERROR(__xludf.DUMMYFUNCTION("""COMPUTED_VALUE"""),"City of Tayabas")</f>
        <v>City of Tayabas</v>
      </c>
      <c r="AN184" s="142" t="str">
        <f>IFERROR(__xludf.DUMMYFUNCTION("""COMPUTED_VALUE"""),"Tiaong")</f>
        <v>Tiaong</v>
      </c>
      <c r="AO184" s="142" t="str">
        <f>IFERROR(__xludf.DUMMYFUNCTION("""COMPUTED_VALUE"""),"Unisan")</f>
        <v>Unisan</v>
      </c>
      <c r="AP184" s="142" t="str">
        <f>IFERROR(__xludf.DUMMYFUNCTION("""COMPUTED_VALUE"""),"Rizal")</f>
        <v>Rizal</v>
      </c>
      <c r="AQ184" s="142" t="str">
        <f>IFERROR(__xludf.DUMMYFUNCTION("""COMPUTED_VALUE"""),"Angono")</f>
        <v>Angono</v>
      </c>
      <c r="AR184" s="142" t="str">
        <f>IFERROR(__xludf.DUMMYFUNCTION("""COMPUTED_VALUE"""),"City of Antipolo")</f>
        <v>City of Antipolo</v>
      </c>
      <c r="AS184" s="142" t="str">
        <f>IFERROR(__xludf.DUMMYFUNCTION("""COMPUTED_VALUE"""),"Baras")</f>
        <v>Baras</v>
      </c>
      <c r="AT184" s="142" t="str">
        <f>IFERROR(__xludf.DUMMYFUNCTION("""COMPUTED_VALUE"""),"Binangonan")</f>
        <v>Binangonan</v>
      </c>
      <c r="AU184" s="142" t="str">
        <f>IFERROR(__xludf.DUMMYFUNCTION("""COMPUTED_VALUE"""),"Cainta")</f>
        <v>Cainta</v>
      </c>
      <c r="AV184" s="142" t="str">
        <f>IFERROR(__xludf.DUMMYFUNCTION("""COMPUTED_VALUE"""),"Cardona")</f>
        <v>Cardona</v>
      </c>
      <c r="AW184" s="142" t="str">
        <f>IFERROR(__xludf.DUMMYFUNCTION("""COMPUTED_VALUE"""),"Jala-Jala")</f>
        <v>Jala-Jala</v>
      </c>
      <c r="AX184" s="142" t="str">
        <f>IFERROR(__xludf.DUMMYFUNCTION("""COMPUTED_VALUE"""),"Rodriguez")</f>
        <v>Rodriguez</v>
      </c>
      <c r="AY184" s="142" t="str">
        <f>IFERROR(__xludf.DUMMYFUNCTION("""COMPUTED_VALUE"""),"Morong")</f>
        <v>Morong</v>
      </c>
      <c r="AZ184" s="142" t="str">
        <f>IFERROR(__xludf.DUMMYFUNCTION("""COMPUTED_VALUE"""),"Pililla")</f>
        <v>Pililla</v>
      </c>
      <c r="BA184" s="142" t="str">
        <f>IFERROR(__xludf.DUMMYFUNCTION("""COMPUTED_VALUE"""),"San Mateo")</f>
        <v>San Mateo</v>
      </c>
      <c r="BB184" s="142" t="str">
        <f>IFERROR(__xludf.DUMMYFUNCTION("""COMPUTED_VALUE"""),"Tanay")</f>
        <v>Tanay</v>
      </c>
      <c r="BC184" s="142" t="str">
        <f>IFERROR(__xludf.DUMMYFUNCTION("""COMPUTED_VALUE"""),"Taytay")</f>
        <v>Taytay</v>
      </c>
      <c r="BD184" s="142" t="str">
        <f>IFERROR(__xludf.DUMMYFUNCTION("""COMPUTED_VALUE"""),"Teresa")</f>
        <v>Teresa</v>
      </c>
      <c r="BE184" s="142" t="str">
        <f>IFERROR(__xludf.DUMMYFUNCTION("""COMPUTED_VALUE"""),"City of Lucena")</f>
        <v>City of Lucena</v>
      </c>
    </row>
    <row r="185">
      <c r="A185" s="142" t="s">
        <v>497</v>
      </c>
      <c r="B185" s="142" t="str">
        <f>IFERROR(__xludf.DUMMYFUNCTION("""COMPUTED_VALUE"""),"Agdangan")</f>
        <v>Agdangan</v>
      </c>
      <c r="C185" s="142" t="str">
        <f>IFERROR(__xludf.DUMMYFUNCTION("""COMPUTED_VALUE"""),"Alabat")</f>
        <v>Alabat</v>
      </c>
      <c r="D185" s="142" t="str">
        <f>IFERROR(__xludf.DUMMYFUNCTION("""COMPUTED_VALUE"""),"Atimonan")</f>
        <v>Atimonan</v>
      </c>
      <c r="E185" s="142" t="str">
        <f>IFERROR(__xludf.DUMMYFUNCTION("""COMPUTED_VALUE"""),"Buenavista")</f>
        <v>Buenavista</v>
      </c>
      <c r="F185" s="142" t="str">
        <f>IFERROR(__xludf.DUMMYFUNCTION("""COMPUTED_VALUE"""),"Burdeos")</f>
        <v>Burdeos</v>
      </c>
      <c r="G185" s="142" t="str">
        <f>IFERROR(__xludf.DUMMYFUNCTION("""COMPUTED_VALUE"""),"Calauag")</f>
        <v>Calauag</v>
      </c>
      <c r="H185" s="142" t="str">
        <f>IFERROR(__xludf.DUMMYFUNCTION("""COMPUTED_VALUE"""),"Candelaria")</f>
        <v>Candelaria</v>
      </c>
      <c r="I185" s="142" t="str">
        <f>IFERROR(__xludf.DUMMYFUNCTION("""COMPUTED_VALUE"""),"Catanauan")</f>
        <v>Catanauan</v>
      </c>
      <c r="J185" s="142" t="str">
        <f>IFERROR(__xludf.DUMMYFUNCTION("""COMPUTED_VALUE"""),"Dolores")</f>
        <v>Dolores</v>
      </c>
      <c r="K185" s="142" t="str">
        <f>IFERROR(__xludf.DUMMYFUNCTION("""COMPUTED_VALUE"""),"General Luna")</f>
        <v>General Luna</v>
      </c>
      <c r="L185" s="142" t="str">
        <f>IFERROR(__xludf.DUMMYFUNCTION("""COMPUTED_VALUE"""),"General Nakar")</f>
        <v>General Nakar</v>
      </c>
      <c r="M185" s="142" t="str">
        <f>IFERROR(__xludf.DUMMYFUNCTION("""COMPUTED_VALUE"""),"Guinayangan")</f>
        <v>Guinayangan</v>
      </c>
      <c r="N185" s="142" t="str">
        <f>IFERROR(__xludf.DUMMYFUNCTION("""COMPUTED_VALUE"""),"Gumaca")</f>
        <v>Gumaca</v>
      </c>
      <c r="O185" s="142" t="str">
        <f>IFERROR(__xludf.DUMMYFUNCTION("""COMPUTED_VALUE"""),"Infanta")</f>
        <v>Infanta</v>
      </c>
      <c r="P185" s="142" t="str">
        <f>IFERROR(__xludf.DUMMYFUNCTION("""COMPUTED_VALUE"""),"Jomalig")</f>
        <v>Jomalig</v>
      </c>
      <c r="Q185" s="142" t="str">
        <f>IFERROR(__xludf.DUMMYFUNCTION("""COMPUTED_VALUE"""),"Lopez")</f>
        <v>Lopez</v>
      </c>
      <c r="R185" s="142" t="str">
        <f>IFERROR(__xludf.DUMMYFUNCTION("""COMPUTED_VALUE"""),"Lucban")</f>
        <v>Lucban</v>
      </c>
      <c r="S185" s="142" t="str">
        <f>IFERROR(__xludf.DUMMYFUNCTION("""COMPUTED_VALUE"""),"Macalelon")</f>
        <v>Macalelon</v>
      </c>
      <c r="T185" s="142" t="str">
        <f>IFERROR(__xludf.DUMMYFUNCTION("""COMPUTED_VALUE"""),"Mauban")</f>
        <v>Mauban</v>
      </c>
      <c r="U185" s="142" t="str">
        <f>IFERROR(__xludf.DUMMYFUNCTION("""COMPUTED_VALUE"""),"Mulanay")</f>
        <v>Mulanay</v>
      </c>
      <c r="V185" s="142" t="str">
        <f>IFERROR(__xludf.DUMMYFUNCTION("""COMPUTED_VALUE"""),"Padre Burgos")</f>
        <v>Padre Burgos</v>
      </c>
      <c r="W185" s="142" t="str">
        <f>IFERROR(__xludf.DUMMYFUNCTION("""COMPUTED_VALUE"""),"Pagbilao")</f>
        <v>Pagbilao</v>
      </c>
      <c r="X185" s="142" t="str">
        <f>IFERROR(__xludf.DUMMYFUNCTION("""COMPUTED_VALUE"""),"Panukulan")</f>
        <v>Panukulan</v>
      </c>
      <c r="Y185" s="142" t="str">
        <f>IFERROR(__xludf.DUMMYFUNCTION("""COMPUTED_VALUE"""),"Patnanungan")</f>
        <v>Patnanungan</v>
      </c>
      <c r="Z185" s="142" t="str">
        <f>IFERROR(__xludf.DUMMYFUNCTION("""COMPUTED_VALUE"""),"Perez")</f>
        <v>Perez</v>
      </c>
      <c r="AA185" s="142" t="str">
        <f>IFERROR(__xludf.DUMMYFUNCTION("""COMPUTED_VALUE"""),"Pitogo")</f>
        <v>Pitogo</v>
      </c>
      <c r="AB185" s="142" t="str">
        <f>IFERROR(__xludf.DUMMYFUNCTION("""COMPUTED_VALUE"""),"Plaridel")</f>
        <v>Plaridel</v>
      </c>
      <c r="AC185" s="142" t="str">
        <f>IFERROR(__xludf.DUMMYFUNCTION("""COMPUTED_VALUE"""),"Polillo")</f>
        <v>Polillo</v>
      </c>
      <c r="AD185" s="142" t="str">
        <f>IFERROR(__xludf.DUMMYFUNCTION("""COMPUTED_VALUE"""),"Quezon")</f>
        <v>Quezon</v>
      </c>
      <c r="AE185" s="142" t="str">
        <f>IFERROR(__xludf.DUMMYFUNCTION("""COMPUTED_VALUE"""),"Real")</f>
        <v>Real</v>
      </c>
      <c r="AF185" s="142" t="str">
        <f>IFERROR(__xludf.DUMMYFUNCTION("""COMPUTED_VALUE"""),"Sampaloc")</f>
        <v>Sampaloc</v>
      </c>
      <c r="AG185" s="142" t="str">
        <f>IFERROR(__xludf.DUMMYFUNCTION("""COMPUTED_VALUE"""),"San Andres")</f>
        <v>San Andres</v>
      </c>
      <c r="AH185" s="142" t="str">
        <f>IFERROR(__xludf.DUMMYFUNCTION("""COMPUTED_VALUE"""),"San Antonio")</f>
        <v>San Antonio</v>
      </c>
      <c r="AI185" s="142" t="str">
        <f>IFERROR(__xludf.DUMMYFUNCTION("""COMPUTED_VALUE"""),"San Francisco")</f>
        <v>San Francisco</v>
      </c>
      <c r="AJ185" s="142" t="str">
        <f>IFERROR(__xludf.DUMMYFUNCTION("""COMPUTED_VALUE"""),"San Narciso")</f>
        <v>San Narciso</v>
      </c>
      <c r="AK185" s="142" t="str">
        <f>IFERROR(__xludf.DUMMYFUNCTION("""COMPUTED_VALUE"""),"Sariaya")</f>
        <v>Sariaya</v>
      </c>
      <c r="AL185" s="142" t="str">
        <f>IFERROR(__xludf.DUMMYFUNCTION("""COMPUTED_VALUE"""),"Tagkawayan")</f>
        <v>Tagkawayan</v>
      </c>
      <c r="AM185" s="142" t="str">
        <f>IFERROR(__xludf.DUMMYFUNCTION("""COMPUTED_VALUE"""),"City of Tayabas")</f>
        <v>City of Tayabas</v>
      </c>
      <c r="AN185" s="142" t="str">
        <f>IFERROR(__xludf.DUMMYFUNCTION("""COMPUTED_VALUE"""),"Tiaong")</f>
        <v>Tiaong</v>
      </c>
      <c r="AO185" s="142" t="str">
        <f>IFERROR(__xludf.DUMMYFUNCTION("""COMPUTED_VALUE"""),"Unisan")</f>
        <v>Unisan</v>
      </c>
      <c r="AP185" s="142" t="str">
        <f>IFERROR(__xludf.DUMMYFUNCTION("""COMPUTED_VALUE"""),"Rizal")</f>
        <v>Rizal</v>
      </c>
      <c r="AQ185" s="142" t="str">
        <f>IFERROR(__xludf.DUMMYFUNCTION("""COMPUTED_VALUE"""),"Angono")</f>
        <v>Angono</v>
      </c>
      <c r="AR185" s="142" t="str">
        <f>IFERROR(__xludf.DUMMYFUNCTION("""COMPUTED_VALUE"""),"City of Antipolo")</f>
        <v>City of Antipolo</v>
      </c>
      <c r="AS185" s="142" t="str">
        <f>IFERROR(__xludf.DUMMYFUNCTION("""COMPUTED_VALUE"""),"Baras")</f>
        <v>Baras</v>
      </c>
      <c r="AT185" s="142" t="str">
        <f>IFERROR(__xludf.DUMMYFUNCTION("""COMPUTED_VALUE"""),"Binangonan")</f>
        <v>Binangonan</v>
      </c>
      <c r="AU185" s="142" t="str">
        <f>IFERROR(__xludf.DUMMYFUNCTION("""COMPUTED_VALUE"""),"Cainta")</f>
        <v>Cainta</v>
      </c>
      <c r="AV185" s="142" t="str">
        <f>IFERROR(__xludf.DUMMYFUNCTION("""COMPUTED_VALUE"""),"Cardona")</f>
        <v>Cardona</v>
      </c>
      <c r="AW185" s="142" t="str">
        <f>IFERROR(__xludf.DUMMYFUNCTION("""COMPUTED_VALUE"""),"Jala-Jala")</f>
        <v>Jala-Jala</v>
      </c>
      <c r="AX185" s="142" t="str">
        <f>IFERROR(__xludf.DUMMYFUNCTION("""COMPUTED_VALUE"""),"Rodriguez")</f>
        <v>Rodriguez</v>
      </c>
      <c r="AY185" s="142" t="str">
        <f>IFERROR(__xludf.DUMMYFUNCTION("""COMPUTED_VALUE"""),"Morong")</f>
        <v>Morong</v>
      </c>
      <c r="AZ185" s="142" t="str">
        <f>IFERROR(__xludf.DUMMYFUNCTION("""COMPUTED_VALUE"""),"Pililla")</f>
        <v>Pililla</v>
      </c>
      <c r="BA185" s="142" t="str">
        <f>IFERROR(__xludf.DUMMYFUNCTION("""COMPUTED_VALUE"""),"San Mateo")</f>
        <v>San Mateo</v>
      </c>
      <c r="BB185" s="142" t="str">
        <f>IFERROR(__xludf.DUMMYFUNCTION("""COMPUTED_VALUE"""),"Tanay")</f>
        <v>Tanay</v>
      </c>
      <c r="BC185" s="142" t="str">
        <f>IFERROR(__xludf.DUMMYFUNCTION("""COMPUTED_VALUE"""),"Taytay")</f>
        <v>Taytay</v>
      </c>
      <c r="BD185" s="142" t="str">
        <f>IFERROR(__xludf.DUMMYFUNCTION("""COMPUTED_VALUE"""),"Teresa")</f>
        <v>Teresa</v>
      </c>
      <c r="BE185" s="142" t="str">
        <f>IFERROR(__xludf.DUMMYFUNCTION("""COMPUTED_VALUE"""),"City of Lucena")</f>
        <v>City of Lucena</v>
      </c>
    </row>
    <row r="186">
      <c r="A186" s="142" t="s">
        <v>497</v>
      </c>
      <c r="B186" s="142" t="str">
        <f>IFERROR(__xludf.DUMMYFUNCTION("""COMPUTED_VALUE"""),"Agdangan")</f>
        <v>Agdangan</v>
      </c>
      <c r="C186" s="142" t="str">
        <f>IFERROR(__xludf.DUMMYFUNCTION("""COMPUTED_VALUE"""),"Alabat")</f>
        <v>Alabat</v>
      </c>
      <c r="D186" s="142" t="str">
        <f>IFERROR(__xludf.DUMMYFUNCTION("""COMPUTED_VALUE"""),"Atimonan")</f>
        <v>Atimonan</v>
      </c>
      <c r="E186" s="142" t="str">
        <f>IFERROR(__xludf.DUMMYFUNCTION("""COMPUTED_VALUE"""),"Buenavista")</f>
        <v>Buenavista</v>
      </c>
      <c r="F186" s="142" t="str">
        <f>IFERROR(__xludf.DUMMYFUNCTION("""COMPUTED_VALUE"""),"Burdeos")</f>
        <v>Burdeos</v>
      </c>
      <c r="G186" s="142" t="str">
        <f>IFERROR(__xludf.DUMMYFUNCTION("""COMPUTED_VALUE"""),"Calauag")</f>
        <v>Calauag</v>
      </c>
      <c r="H186" s="142" t="str">
        <f>IFERROR(__xludf.DUMMYFUNCTION("""COMPUTED_VALUE"""),"Candelaria")</f>
        <v>Candelaria</v>
      </c>
      <c r="I186" s="142" t="str">
        <f>IFERROR(__xludf.DUMMYFUNCTION("""COMPUTED_VALUE"""),"Catanauan")</f>
        <v>Catanauan</v>
      </c>
      <c r="J186" s="142" t="str">
        <f>IFERROR(__xludf.DUMMYFUNCTION("""COMPUTED_VALUE"""),"Dolores")</f>
        <v>Dolores</v>
      </c>
      <c r="K186" s="142" t="str">
        <f>IFERROR(__xludf.DUMMYFUNCTION("""COMPUTED_VALUE"""),"General Luna")</f>
        <v>General Luna</v>
      </c>
      <c r="L186" s="142" t="str">
        <f>IFERROR(__xludf.DUMMYFUNCTION("""COMPUTED_VALUE"""),"General Nakar")</f>
        <v>General Nakar</v>
      </c>
      <c r="M186" s="142" t="str">
        <f>IFERROR(__xludf.DUMMYFUNCTION("""COMPUTED_VALUE"""),"Guinayangan")</f>
        <v>Guinayangan</v>
      </c>
      <c r="N186" s="142" t="str">
        <f>IFERROR(__xludf.DUMMYFUNCTION("""COMPUTED_VALUE"""),"Gumaca")</f>
        <v>Gumaca</v>
      </c>
      <c r="O186" s="142" t="str">
        <f>IFERROR(__xludf.DUMMYFUNCTION("""COMPUTED_VALUE"""),"Infanta")</f>
        <v>Infanta</v>
      </c>
      <c r="P186" s="142" t="str">
        <f>IFERROR(__xludf.DUMMYFUNCTION("""COMPUTED_VALUE"""),"Jomalig")</f>
        <v>Jomalig</v>
      </c>
      <c r="Q186" s="142" t="str">
        <f>IFERROR(__xludf.DUMMYFUNCTION("""COMPUTED_VALUE"""),"Lopez")</f>
        <v>Lopez</v>
      </c>
      <c r="R186" s="142" t="str">
        <f>IFERROR(__xludf.DUMMYFUNCTION("""COMPUTED_VALUE"""),"Lucban")</f>
        <v>Lucban</v>
      </c>
      <c r="S186" s="142" t="str">
        <f>IFERROR(__xludf.DUMMYFUNCTION("""COMPUTED_VALUE"""),"Macalelon")</f>
        <v>Macalelon</v>
      </c>
      <c r="T186" s="142" t="str">
        <f>IFERROR(__xludf.DUMMYFUNCTION("""COMPUTED_VALUE"""),"Mauban")</f>
        <v>Mauban</v>
      </c>
      <c r="U186" s="142" t="str">
        <f>IFERROR(__xludf.DUMMYFUNCTION("""COMPUTED_VALUE"""),"Mulanay")</f>
        <v>Mulanay</v>
      </c>
      <c r="V186" s="142" t="str">
        <f>IFERROR(__xludf.DUMMYFUNCTION("""COMPUTED_VALUE"""),"Padre Burgos")</f>
        <v>Padre Burgos</v>
      </c>
      <c r="W186" s="142" t="str">
        <f>IFERROR(__xludf.DUMMYFUNCTION("""COMPUTED_VALUE"""),"Pagbilao")</f>
        <v>Pagbilao</v>
      </c>
      <c r="X186" s="142" t="str">
        <f>IFERROR(__xludf.DUMMYFUNCTION("""COMPUTED_VALUE"""),"Panukulan")</f>
        <v>Panukulan</v>
      </c>
      <c r="Y186" s="142" t="str">
        <f>IFERROR(__xludf.DUMMYFUNCTION("""COMPUTED_VALUE"""),"Patnanungan")</f>
        <v>Patnanungan</v>
      </c>
      <c r="Z186" s="142" t="str">
        <f>IFERROR(__xludf.DUMMYFUNCTION("""COMPUTED_VALUE"""),"Perez")</f>
        <v>Perez</v>
      </c>
      <c r="AA186" s="142" t="str">
        <f>IFERROR(__xludf.DUMMYFUNCTION("""COMPUTED_VALUE"""),"Pitogo")</f>
        <v>Pitogo</v>
      </c>
      <c r="AB186" s="142" t="str">
        <f>IFERROR(__xludf.DUMMYFUNCTION("""COMPUTED_VALUE"""),"Plaridel")</f>
        <v>Plaridel</v>
      </c>
      <c r="AC186" s="142" t="str">
        <f>IFERROR(__xludf.DUMMYFUNCTION("""COMPUTED_VALUE"""),"Polillo")</f>
        <v>Polillo</v>
      </c>
      <c r="AD186" s="142" t="str">
        <f>IFERROR(__xludf.DUMMYFUNCTION("""COMPUTED_VALUE"""),"Quezon")</f>
        <v>Quezon</v>
      </c>
      <c r="AE186" s="142" t="str">
        <f>IFERROR(__xludf.DUMMYFUNCTION("""COMPUTED_VALUE"""),"Real")</f>
        <v>Real</v>
      </c>
      <c r="AF186" s="142" t="str">
        <f>IFERROR(__xludf.DUMMYFUNCTION("""COMPUTED_VALUE"""),"Sampaloc")</f>
        <v>Sampaloc</v>
      </c>
      <c r="AG186" s="142" t="str">
        <f>IFERROR(__xludf.DUMMYFUNCTION("""COMPUTED_VALUE"""),"San Andres")</f>
        <v>San Andres</v>
      </c>
      <c r="AH186" s="142" t="str">
        <f>IFERROR(__xludf.DUMMYFUNCTION("""COMPUTED_VALUE"""),"San Antonio")</f>
        <v>San Antonio</v>
      </c>
      <c r="AI186" s="142" t="str">
        <f>IFERROR(__xludf.DUMMYFUNCTION("""COMPUTED_VALUE"""),"San Francisco")</f>
        <v>San Francisco</v>
      </c>
      <c r="AJ186" s="142" t="str">
        <f>IFERROR(__xludf.DUMMYFUNCTION("""COMPUTED_VALUE"""),"San Narciso")</f>
        <v>San Narciso</v>
      </c>
      <c r="AK186" s="142" t="str">
        <f>IFERROR(__xludf.DUMMYFUNCTION("""COMPUTED_VALUE"""),"Sariaya")</f>
        <v>Sariaya</v>
      </c>
      <c r="AL186" s="142" t="str">
        <f>IFERROR(__xludf.DUMMYFUNCTION("""COMPUTED_VALUE"""),"Tagkawayan")</f>
        <v>Tagkawayan</v>
      </c>
      <c r="AM186" s="142" t="str">
        <f>IFERROR(__xludf.DUMMYFUNCTION("""COMPUTED_VALUE"""),"City of Tayabas")</f>
        <v>City of Tayabas</v>
      </c>
      <c r="AN186" s="142" t="str">
        <f>IFERROR(__xludf.DUMMYFUNCTION("""COMPUTED_VALUE"""),"Tiaong")</f>
        <v>Tiaong</v>
      </c>
      <c r="AO186" s="142" t="str">
        <f>IFERROR(__xludf.DUMMYFUNCTION("""COMPUTED_VALUE"""),"Unisan")</f>
        <v>Unisan</v>
      </c>
      <c r="AP186" s="142" t="str">
        <f>IFERROR(__xludf.DUMMYFUNCTION("""COMPUTED_VALUE"""),"Rizal")</f>
        <v>Rizal</v>
      </c>
      <c r="AQ186" s="142" t="str">
        <f>IFERROR(__xludf.DUMMYFUNCTION("""COMPUTED_VALUE"""),"Angono")</f>
        <v>Angono</v>
      </c>
      <c r="AR186" s="142" t="str">
        <f>IFERROR(__xludf.DUMMYFUNCTION("""COMPUTED_VALUE"""),"City of Antipolo")</f>
        <v>City of Antipolo</v>
      </c>
      <c r="AS186" s="142" t="str">
        <f>IFERROR(__xludf.DUMMYFUNCTION("""COMPUTED_VALUE"""),"Baras")</f>
        <v>Baras</v>
      </c>
      <c r="AT186" s="142" t="str">
        <f>IFERROR(__xludf.DUMMYFUNCTION("""COMPUTED_VALUE"""),"Binangonan")</f>
        <v>Binangonan</v>
      </c>
      <c r="AU186" s="142" t="str">
        <f>IFERROR(__xludf.DUMMYFUNCTION("""COMPUTED_VALUE"""),"Cainta")</f>
        <v>Cainta</v>
      </c>
      <c r="AV186" s="142" t="str">
        <f>IFERROR(__xludf.DUMMYFUNCTION("""COMPUTED_VALUE"""),"Cardona")</f>
        <v>Cardona</v>
      </c>
      <c r="AW186" s="142" t="str">
        <f>IFERROR(__xludf.DUMMYFUNCTION("""COMPUTED_VALUE"""),"Jala-Jala")</f>
        <v>Jala-Jala</v>
      </c>
      <c r="AX186" s="142" t="str">
        <f>IFERROR(__xludf.DUMMYFUNCTION("""COMPUTED_VALUE"""),"Rodriguez")</f>
        <v>Rodriguez</v>
      </c>
      <c r="AY186" s="142" t="str">
        <f>IFERROR(__xludf.DUMMYFUNCTION("""COMPUTED_VALUE"""),"Morong")</f>
        <v>Morong</v>
      </c>
      <c r="AZ186" s="142" t="str">
        <f>IFERROR(__xludf.DUMMYFUNCTION("""COMPUTED_VALUE"""),"Pililla")</f>
        <v>Pililla</v>
      </c>
      <c r="BA186" s="142" t="str">
        <f>IFERROR(__xludf.DUMMYFUNCTION("""COMPUTED_VALUE"""),"San Mateo")</f>
        <v>San Mateo</v>
      </c>
      <c r="BB186" s="142" t="str">
        <f>IFERROR(__xludf.DUMMYFUNCTION("""COMPUTED_VALUE"""),"Tanay")</f>
        <v>Tanay</v>
      </c>
      <c r="BC186" s="142" t="str">
        <f>IFERROR(__xludf.DUMMYFUNCTION("""COMPUTED_VALUE"""),"Taytay")</f>
        <v>Taytay</v>
      </c>
      <c r="BD186" s="142" t="str">
        <f>IFERROR(__xludf.DUMMYFUNCTION("""COMPUTED_VALUE"""),"Teresa")</f>
        <v>Teresa</v>
      </c>
      <c r="BE186" s="142" t="str">
        <f>IFERROR(__xludf.DUMMYFUNCTION("""COMPUTED_VALUE"""),"City of Lucena")</f>
        <v>City of Lucena</v>
      </c>
    </row>
    <row r="187">
      <c r="A187" s="142" t="s">
        <v>497</v>
      </c>
      <c r="B187" s="142" t="str">
        <f>IFERROR(__xludf.DUMMYFUNCTION("""COMPUTED_VALUE"""),"Agdangan")</f>
        <v>Agdangan</v>
      </c>
      <c r="C187" s="142" t="str">
        <f>IFERROR(__xludf.DUMMYFUNCTION("""COMPUTED_VALUE"""),"Alabat")</f>
        <v>Alabat</v>
      </c>
      <c r="D187" s="142" t="str">
        <f>IFERROR(__xludf.DUMMYFUNCTION("""COMPUTED_VALUE"""),"Atimonan")</f>
        <v>Atimonan</v>
      </c>
      <c r="E187" s="142" t="str">
        <f>IFERROR(__xludf.DUMMYFUNCTION("""COMPUTED_VALUE"""),"Buenavista")</f>
        <v>Buenavista</v>
      </c>
      <c r="F187" s="142" t="str">
        <f>IFERROR(__xludf.DUMMYFUNCTION("""COMPUTED_VALUE"""),"Burdeos")</f>
        <v>Burdeos</v>
      </c>
      <c r="G187" s="142" t="str">
        <f>IFERROR(__xludf.DUMMYFUNCTION("""COMPUTED_VALUE"""),"Calauag")</f>
        <v>Calauag</v>
      </c>
      <c r="H187" s="142" t="str">
        <f>IFERROR(__xludf.DUMMYFUNCTION("""COMPUTED_VALUE"""),"Candelaria")</f>
        <v>Candelaria</v>
      </c>
      <c r="I187" s="142" t="str">
        <f>IFERROR(__xludf.DUMMYFUNCTION("""COMPUTED_VALUE"""),"Catanauan")</f>
        <v>Catanauan</v>
      </c>
      <c r="J187" s="142" t="str">
        <f>IFERROR(__xludf.DUMMYFUNCTION("""COMPUTED_VALUE"""),"Dolores")</f>
        <v>Dolores</v>
      </c>
      <c r="K187" s="142" t="str">
        <f>IFERROR(__xludf.DUMMYFUNCTION("""COMPUTED_VALUE"""),"General Luna")</f>
        <v>General Luna</v>
      </c>
      <c r="L187" s="142" t="str">
        <f>IFERROR(__xludf.DUMMYFUNCTION("""COMPUTED_VALUE"""),"General Nakar")</f>
        <v>General Nakar</v>
      </c>
      <c r="M187" s="142" t="str">
        <f>IFERROR(__xludf.DUMMYFUNCTION("""COMPUTED_VALUE"""),"Guinayangan")</f>
        <v>Guinayangan</v>
      </c>
      <c r="N187" s="142" t="str">
        <f>IFERROR(__xludf.DUMMYFUNCTION("""COMPUTED_VALUE"""),"Gumaca")</f>
        <v>Gumaca</v>
      </c>
      <c r="O187" s="142" t="str">
        <f>IFERROR(__xludf.DUMMYFUNCTION("""COMPUTED_VALUE"""),"Infanta")</f>
        <v>Infanta</v>
      </c>
      <c r="P187" s="142" t="str">
        <f>IFERROR(__xludf.DUMMYFUNCTION("""COMPUTED_VALUE"""),"Jomalig")</f>
        <v>Jomalig</v>
      </c>
      <c r="Q187" s="142" t="str">
        <f>IFERROR(__xludf.DUMMYFUNCTION("""COMPUTED_VALUE"""),"Lopez")</f>
        <v>Lopez</v>
      </c>
      <c r="R187" s="142" t="str">
        <f>IFERROR(__xludf.DUMMYFUNCTION("""COMPUTED_VALUE"""),"Lucban")</f>
        <v>Lucban</v>
      </c>
      <c r="S187" s="142" t="str">
        <f>IFERROR(__xludf.DUMMYFUNCTION("""COMPUTED_VALUE"""),"Macalelon")</f>
        <v>Macalelon</v>
      </c>
      <c r="T187" s="142" t="str">
        <f>IFERROR(__xludf.DUMMYFUNCTION("""COMPUTED_VALUE"""),"Mauban")</f>
        <v>Mauban</v>
      </c>
      <c r="U187" s="142" t="str">
        <f>IFERROR(__xludf.DUMMYFUNCTION("""COMPUTED_VALUE"""),"Mulanay")</f>
        <v>Mulanay</v>
      </c>
      <c r="V187" s="142" t="str">
        <f>IFERROR(__xludf.DUMMYFUNCTION("""COMPUTED_VALUE"""),"Padre Burgos")</f>
        <v>Padre Burgos</v>
      </c>
      <c r="W187" s="142" t="str">
        <f>IFERROR(__xludf.DUMMYFUNCTION("""COMPUTED_VALUE"""),"Pagbilao")</f>
        <v>Pagbilao</v>
      </c>
      <c r="X187" s="142" t="str">
        <f>IFERROR(__xludf.DUMMYFUNCTION("""COMPUTED_VALUE"""),"Panukulan")</f>
        <v>Panukulan</v>
      </c>
      <c r="Y187" s="142" t="str">
        <f>IFERROR(__xludf.DUMMYFUNCTION("""COMPUTED_VALUE"""),"Patnanungan")</f>
        <v>Patnanungan</v>
      </c>
      <c r="Z187" s="142" t="str">
        <f>IFERROR(__xludf.DUMMYFUNCTION("""COMPUTED_VALUE"""),"Perez")</f>
        <v>Perez</v>
      </c>
      <c r="AA187" s="142" t="str">
        <f>IFERROR(__xludf.DUMMYFUNCTION("""COMPUTED_VALUE"""),"Pitogo")</f>
        <v>Pitogo</v>
      </c>
      <c r="AB187" s="142" t="str">
        <f>IFERROR(__xludf.DUMMYFUNCTION("""COMPUTED_VALUE"""),"Plaridel")</f>
        <v>Plaridel</v>
      </c>
      <c r="AC187" s="142" t="str">
        <f>IFERROR(__xludf.DUMMYFUNCTION("""COMPUTED_VALUE"""),"Polillo")</f>
        <v>Polillo</v>
      </c>
      <c r="AD187" s="142" t="str">
        <f>IFERROR(__xludf.DUMMYFUNCTION("""COMPUTED_VALUE"""),"Quezon")</f>
        <v>Quezon</v>
      </c>
      <c r="AE187" s="142" t="str">
        <f>IFERROR(__xludf.DUMMYFUNCTION("""COMPUTED_VALUE"""),"Real")</f>
        <v>Real</v>
      </c>
      <c r="AF187" s="142" t="str">
        <f>IFERROR(__xludf.DUMMYFUNCTION("""COMPUTED_VALUE"""),"Sampaloc")</f>
        <v>Sampaloc</v>
      </c>
      <c r="AG187" s="142" t="str">
        <f>IFERROR(__xludf.DUMMYFUNCTION("""COMPUTED_VALUE"""),"San Andres")</f>
        <v>San Andres</v>
      </c>
      <c r="AH187" s="142" t="str">
        <f>IFERROR(__xludf.DUMMYFUNCTION("""COMPUTED_VALUE"""),"San Antonio")</f>
        <v>San Antonio</v>
      </c>
      <c r="AI187" s="142" t="str">
        <f>IFERROR(__xludf.DUMMYFUNCTION("""COMPUTED_VALUE"""),"San Francisco")</f>
        <v>San Francisco</v>
      </c>
      <c r="AJ187" s="142" t="str">
        <f>IFERROR(__xludf.DUMMYFUNCTION("""COMPUTED_VALUE"""),"San Narciso")</f>
        <v>San Narciso</v>
      </c>
      <c r="AK187" s="142" t="str">
        <f>IFERROR(__xludf.DUMMYFUNCTION("""COMPUTED_VALUE"""),"Sariaya")</f>
        <v>Sariaya</v>
      </c>
      <c r="AL187" s="142" t="str">
        <f>IFERROR(__xludf.DUMMYFUNCTION("""COMPUTED_VALUE"""),"Tagkawayan")</f>
        <v>Tagkawayan</v>
      </c>
      <c r="AM187" s="142" t="str">
        <f>IFERROR(__xludf.DUMMYFUNCTION("""COMPUTED_VALUE"""),"City of Tayabas")</f>
        <v>City of Tayabas</v>
      </c>
      <c r="AN187" s="142" t="str">
        <f>IFERROR(__xludf.DUMMYFUNCTION("""COMPUTED_VALUE"""),"Tiaong")</f>
        <v>Tiaong</v>
      </c>
      <c r="AO187" s="142" t="str">
        <f>IFERROR(__xludf.DUMMYFUNCTION("""COMPUTED_VALUE"""),"Unisan")</f>
        <v>Unisan</v>
      </c>
      <c r="AP187" s="142" t="str">
        <f>IFERROR(__xludf.DUMMYFUNCTION("""COMPUTED_VALUE"""),"Rizal")</f>
        <v>Rizal</v>
      </c>
      <c r="AQ187" s="142" t="str">
        <f>IFERROR(__xludf.DUMMYFUNCTION("""COMPUTED_VALUE"""),"Angono")</f>
        <v>Angono</v>
      </c>
      <c r="AR187" s="142" t="str">
        <f>IFERROR(__xludf.DUMMYFUNCTION("""COMPUTED_VALUE"""),"City of Antipolo")</f>
        <v>City of Antipolo</v>
      </c>
      <c r="AS187" s="142" t="str">
        <f>IFERROR(__xludf.DUMMYFUNCTION("""COMPUTED_VALUE"""),"Baras")</f>
        <v>Baras</v>
      </c>
      <c r="AT187" s="142" t="str">
        <f>IFERROR(__xludf.DUMMYFUNCTION("""COMPUTED_VALUE"""),"Binangonan")</f>
        <v>Binangonan</v>
      </c>
      <c r="AU187" s="142" t="str">
        <f>IFERROR(__xludf.DUMMYFUNCTION("""COMPUTED_VALUE"""),"Cainta")</f>
        <v>Cainta</v>
      </c>
      <c r="AV187" s="142" t="str">
        <f>IFERROR(__xludf.DUMMYFUNCTION("""COMPUTED_VALUE"""),"Cardona")</f>
        <v>Cardona</v>
      </c>
      <c r="AW187" s="142" t="str">
        <f>IFERROR(__xludf.DUMMYFUNCTION("""COMPUTED_VALUE"""),"Jala-Jala")</f>
        <v>Jala-Jala</v>
      </c>
      <c r="AX187" s="142" t="str">
        <f>IFERROR(__xludf.DUMMYFUNCTION("""COMPUTED_VALUE"""),"Rodriguez")</f>
        <v>Rodriguez</v>
      </c>
      <c r="AY187" s="142" t="str">
        <f>IFERROR(__xludf.DUMMYFUNCTION("""COMPUTED_VALUE"""),"Morong")</f>
        <v>Morong</v>
      </c>
      <c r="AZ187" s="142" t="str">
        <f>IFERROR(__xludf.DUMMYFUNCTION("""COMPUTED_VALUE"""),"Pililla")</f>
        <v>Pililla</v>
      </c>
      <c r="BA187" s="142" t="str">
        <f>IFERROR(__xludf.DUMMYFUNCTION("""COMPUTED_VALUE"""),"San Mateo")</f>
        <v>San Mateo</v>
      </c>
      <c r="BB187" s="142" t="str">
        <f>IFERROR(__xludf.DUMMYFUNCTION("""COMPUTED_VALUE"""),"Tanay")</f>
        <v>Tanay</v>
      </c>
      <c r="BC187" s="142" t="str">
        <f>IFERROR(__xludf.DUMMYFUNCTION("""COMPUTED_VALUE"""),"Taytay")</f>
        <v>Taytay</v>
      </c>
      <c r="BD187" s="142" t="str">
        <f>IFERROR(__xludf.DUMMYFUNCTION("""COMPUTED_VALUE"""),"Teresa")</f>
        <v>Teresa</v>
      </c>
      <c r="BE187" s="142" t="str">
        <f>IFERROR(__xludf.DUMMYFUNCTION("""COMPUTED_VALUE"""),"City of Lucena")</f>
        <v>City of Lucena</v>
      </c>
    </row>
    <row r="188">
      <c r="A188" s="142" t="s">
        <v>497</v>
      </c>
      <c r="B188" s="142" t="str">
        <f>IFERROR(__xludf.DUMMYFUNCTION("""COMPUTED_VALUE"""),"Agdangan")</f>
        <v>Agdangan</v>
      </c>
      <c r="C188" s="142" t="str">
        <f>IFERROR(__xludf.DUMMYFUNCTION("""COMPUTED_VALUE"""),"Alabat")</f>
        <v>Alabat</v>
      </c>
      <c r="D188" s="142" t="str">
        <f>IFERROR(__xludf.DUMMYFUNCTION("""COMPUTED_VALUE"""),"Atimonan")</f>
        <v>Atimonan</v>
      </c>
      <c r="E188" s="142" t="str">
        <f>IFERROR(__xludf.DUMMYFUNCTION("""COMPUTED_VALUE"""),"Buenavista")</f>
        <v>Buenavista</v>
      </c>
      <c r="F188" s="142" t="str">
        <f>IFERROR(__xludf.DUMMYFUNCTION("""COMPUTED_VALUE"""),"Burdeos")</f>
        <v>Burdeos</v>
      </c>
      <c r="G188" s="142" t="str">
        <f>IFERROR(__xludf.DUMMYFUNCTION("""COMPUTED_VALUE"""),"Calauag")</f>
        <v>Calauag</v>
      </c>
      <c r="H188" s="142" t="str">
        <f>IFERROR(__xludf.DUMMYFUNCTION("""COMPUTED_VALUE"""),"Candelaria")</f>
        <v>Candelaria</v>
      </c>
      <c r="I188" s="142" t="str">
        <f>IFERROR(__xludf.DUMMYFUNCTION("""COMPUTED_VALUE"""),"Catanauan")</f>
        <v>Catanauan</v>
      </c>
      <c r="J188" s="142" t="str">
        <f>IFERROR(__xludf.DUMMYFUNCTION("""COMPUTED_VALUE"""),"Dolores")</f>
        <v>Dolores</v>
      </c>
      <c r="K188" s="142" t="str">
        <f>IFERROR(__xludf.DUMMYFUNCTION("""COMPUTED_VALUE"""),"General Luna")</f>
        <v>General Luna</v>
      </c>
      <c r="L188" s="142" t="str">
        <f>IFERROR(__xludf.DUMMYFUNCTION("""COMPUTED_VALUE"""),"General Nakar")</f>
        <v>General Nakar</v>
      </c>
      <c r="M188" s="142" t="str">
        <f>IFERROR(__xludf.DUMMYFUNCTION("""COMPUTED_VALUE"""),"Guinayangan")</f>
        <v>Guinayangan</v>
      </c>
      <c r="N188" s="142" t="str">
        <f>IFERROR(__xludf.DUMMYFUNCTION("""COMPUTED_VALUE"""),"Gumaca")</f>
        <v>Gumaca</v>
      </c>
      <c r="O188" s="142" t="str">
        <f>IFERROR(__xludf.DUMMYFUNCTION("""COMPUTED_VALUE"""),"Infanta")</f>
        <v>Infanta</v>
      </c>
      <c r="P188" s="142" t="str">
        <f>IFERROR(__xludf.DUMMYFUNCTION("""COMPUTED_VALUE"""),"Jomalig")</f>
        <v>Jomalig</v>
      </c>
      <c r="Q188" s="142" t="str">
        <f>IFERROR(__xludf.DUMMYFUNCTION("""COMPUTED_VALUE"""),"Lopez")</f>
        <v>Lopez</v>
      </c>
      <c r="R188" s="142" t="str">
        <f>IFERROR(__xludf.DUMMYFUNCTION("""COMPUTED_VALUE"""),"Lucban")</f>
        <v>Lucban</v>
      </c>
      <c r="S188" s="142" t="str">
        <f>IFERROR(__xludf.DUMMYFUNCTION("""COMPUTED_VALUE"""),"Macalelon")</f>
        <v>Macalelon</v>
      </c>
      <c r="T188" s="142" t="str">
        <f>IFERROR(__xludf.DUMMYFUNCTION("""COMPUTED_VALUE"""),"Mauban")</f>
        <v>Mauban</v>
      </c>
      <c r="U188" s="142" t="str">
        <f>IFERROR(__xludf.DUMMYFUNCTION("""COMPUTED_VALUE"""),"Mulanay")</f>
        <v>Mulanay</v>
      </c>
      <c r="V188" s="142" t="str">
        <f>IFERROR(__xludf.DUMMYFUNCTION("""COMPUTED_VALUE"""),"Padre Burgos")</f>
        <v>Padre Burgos</v>
      </c>
      <c r="W188" s="142" t="str">
        <f>IFERROR(__xludf.DUMMYFUNCTION("""COMPUTED_VALUE"""),"Pagbilao")</f>
        <v>Pagbilao</v>
      </c>
      <c r="X188" s="142" t="str">
        <f>IFERROR(__xludf.DUMMYFUNCTION("""COMPUTED_VALUE"""),"Panukulan")</f>
        <v>Panukulan</v>
      </c>
      <c r="Y188" s="142" t="str">
        <f>IFERROR(__xludf.DUMMYFUNCTION("""COMPUTED_VALUE"""),"Patnanungan")</f>
        <v>Patnanungan</v>
      </c>
      <c r="Z188" s="142" t="str">
        <f>IFERROR(__xludf.DUMMYFUNCTION("""COMPUTED_VALUE"""),"Perez")</f>
        <v>Perez</v>
      </c>
      <c r="AA188" s="142" t="str">
        <f>IFERROR(__xludf.DUMMYFUNCTION("""COMPUTED_VALUE"""),"Pitogo")</f>
        <v>Pitogo</v>
      </c>
      <c r="AB188" s="142" t="str">
        <f>IFERROR(__xludf.DUMMYFUNCTION("""COMPUTED_VALUE"""),"Plaridel")</f>
        <v>Plaridel</v>
      </c>
      <c r="AC188" s="142" t="str">
        <f>IFERROR(__xludf.DUMMYFUNCTION("""COMPUTED_VALUE"""),"Polillo")</f>
        <v>Polillo</v>
      </c>
      <c r="AD188" s="142" t="str">
        <f>IFERROR(__xludf.DUMMYFUNCTION("""COMPUTED_VALUE"""),"Quezon")</f>
        <v>Quezon</v>
      </c>
      <c r="AE188" s="142" t="str">
        <f>IFERROR(__xludf.DUMMYFUNCTION("""COMPUTED_VALUE"""),"Real")</f>
        <v>Real</v>
      </c>
      <c r="AF188" s="142" t="str">
        <f>IFERROR(__xludf.DUMMYFUNCTION("""COMPUTED_VALUE"""),"Sampaloc")</f>
        <v>Sampaloc</v>
      </c>
      <c r="AG188" s="142" t="str">
        <f>IFERROR(__xludf.DUMMYFUNCTION("""COMPUTED_VALUE"""),"San Andres")</f>
        <v>San Andres</v>
      </c>
      <c r="AH188" s="142" t="str">
        <f>IFERROR(__xludf.DUMMYFUNCTION("""COMPUTED_VALUE"""),"San Antonio")</f>
        <v>San Antonio</v>
      </c>
      <c r="AI188" s="142" t="str">
        <f>IFERROR(__xludf.DUMMYFUNCTION("""COMPUTED_VALUE"""),"San Francisco")</f>
        <v>San Francisco</v>
      </c>
      <c r="AJ188" s="142" t="str">
        <f>IFERROR(__xludf.DUMMYFUNCTION("""COMPUTED_VALUE"""),"San Narciso")</f>
        <v>San Narciso</v>
      </c>
      <c r="AK188" s="142" t="str">
        <f>IFERROR(__xludf.DUMMYFUNCTION("""COMPUTED_VALUE"""),"Sariaya")</f>
        <v>Sariaya</v>
      </c>
      <c r="AL188" s="142" t="str">
        <f>IFERROR(__xludf.DUMMYFUNCTION("""COMPUTED_VALUE"""),"Tagkawayan")</f>
        <v>Tagkawayan</v>
      </c>
      <c r="AM188" s="142" t="str">
        <f>IFERROR(__xludf.DUMMYFUNCTION("""COMPUTED_VALUE"""),"City of Tayabas")</f>
        <v>City of Tayabas</v>
      </c>
      <c r="AN188" s="142" t="str">
        <f>IFERROR(__xludf.DUMMYFUNCTION("""COMPUTED_VALUE"""),"Tiaong")</f>
        <v>Tiaong</v>
      </c>
      <c r="AO188" s="142" t="str">
        <f>IFERROR(__xludf.DUMMYFUNCTION("""COMPUTED_VALUE"""),"Unisan")</f>
        <v>Unisan</v>
      </c>
      <c r="AP188" s="142" t="str">
        <f>IFERROR(__xludf.DUMMYFUNCTION("""COMPUTED_VALUE"""),"Rizal")</f>
        <v>Rizal</v>
      </c>
      <c r="AQ188" s="142" t="str">
        <f>IFERROR(__xludf.DUMMYFUNCTION("""COMPUTED_VALUE"""),"Angono")</f>
        <v>Angono</v>
      </c>
      <c r="AR188" s="142" t="str">
        <f>IFERROR(__xludf.DUMMYFUNCTION("""COMPUTED_VALUE"""),"City of Antipolo")</f>
        <v>City of Antipolo</v>
      </c>
      <c r="AS188" s="142" t="str">
        <f>IFERROR(__xludf.DUMMYFUNCTION("""COMPUTED_VALUE"""),"Baras")</f>
        <v>Baras</v>
      </c>
      <c r="AT188" s="142" t="str">
        <f>IFERROR(__xludf.DUMMYFUNCTION("""COMPUTED_VALUE"""),"Binangonan")</f>
        <v>Binangonan</v>
      </c>
      <c r="AU188" s="142" t="str">
        <f>IFERROR(__xludf.DUMMYFUNCTION("""COMPUTED_VALUE"""),"Cainta")</f>
        <v>Cainta</v>
      </c>
      <c r="AV188" s="142" t="str">
        <f>IFERROR(__xludf.DUMMYFUNCTION("""COMPUTED_VALUE"""),"Cardona")</f>
        <v>Cardona</v>
      </c>
      <c r="AW188" s="142" t="str">
        <f>IFERROR(__xludf.DUMMYFUNCTION("""COMPUTED_VALUE"""),"Jala-Jala")</f>
        <v>Jala-Jala</v>
      </c>
      <c r="AX188" s="142" t="str">
        <f>IFERROR(__xludf.DUMMYFUNCTION("""COMPUTED_VALUE"""),"Rodriguez")</f>
        <v>Rodriguez</v>
      </c>
      <c r="AY188" s="142" t="str">
        <f>IFERROR(__xludf.DUMMYFUNCTION("""COMPUTED_VALUE"""),"Morong")</f>
        <v>Morong</v>
      </c>
      <c r="AZ188" s="142" t="str">
        <f>IFERROR(__xludf.DUMMYFUNCTION("""COMPUTED_VALUE"""),"Pililla")</f>
        <v>Pililla</v>
      </c>
      <c r="BA188" s="142" t="str">
        <f>IFERROR(__xludf.DUMMYFUNCTION("""COMPUTED_VALUE"""),"San Mateo")</f>
        <v>San Mateo</v>
      </c>
      <c r="BB188" s="142" t="str">
        <f>IFERROR(__xludf.DUMMYFUNCTION("""COMPUTED_VALUE"""),"Tanay")</f>
        <v>Tanay</v>
      </c>
      <c r="BC188" s="142" t="str">
        <f>IFERROR(__xludf.DUMMYFUNCTION("""COMPUTED_VALUE"""),"Taytay")</f>
        <v>Taytay</v>
      </c>
      <c r="BD188" s="142" t="str">
        <f>IFERROR(__xludf.DUMMYFUNCTION("""COMPUTED_VALUE"""),"Teresa")</f>
        <v>Teresa</v>
      </c>
      <c r="BE188" s="142" t="str">
        <f>IFERROR(__xludf.DUMMYFUNCTION("""COMPUTED_VALUE"""),"City of Lucena")</f>
        <v>City of Lucena</v>
      </c>
    </row>
    <row r="189">
      <c r="A189" s="142" t="s">
        <v>497</v>
      </c>
      <c r="B189" s="142" t="str">
        <f>IFERROR(__xludf.DUMMYFUNCTION("""COMPUTED_VALUE"""),"Agdangan")</f>
        <v>Agdangan</v>
      </c>
      <c r="C189" s="142" t="str">
        <f>IFERROR(__xludf.DUMMYFUNCTION("""COMPUTED_VALUE"""),"Alabat")</f>
        <v>Alabat</v>
      </c>
      <c r="D189" s="142" t="str">
        <f>IFERROR(__xludf.DUMMYFUNCTION("""COMPUTED_VALUE"""),"Atimonan")</f>
        <v>Atimonan</v>
      </c>
      <c r="E189" s="142" t="str">
        <f>IFERROR(__xludf.DUMMYFUNCTION("""COMPUTED_VALUE"""),"Buenavista")</f>
        <v>Buenavista</v>
      </c>
      <c r="F189" s="142" t="str">
        <f>IFERROR(__xludf.DUMMYFUNCTION("""COMPUTED_VALUE"""),"Burdeos")</f>
        <v>Burdeos</v>
      </c>
      <c r="G189" s="142" t="str">
        <f>IFERROR(__xludf.DUMMYFUNCTION("""COMPUTED_VALUE"""),"Calauag")</f>
        <v>Calauag</v>
      </c>
      <c r="H189" s="142" t="str">
        <f>IFERROR(__xludf.DUMMYFUNCTION("""COMPUTED_VALUE"""),"Candelaria")</f>
        <v>Candelaria</v>
      </c>
      <c r="I189" s="142" t="str">
        <f>IFERROR(__xludf.DUMMYFUNCTION("""COMPUTED_VALUE"""),"Catanauan")</f>
        <v>Catanauan</v>
      </c>
      <c r="J189" s="142" t="str">
        <f>IFERROR(__xludf.DUMMYFUNCTION("""COMPUTED_VALUE"""),"Dolores")</f>
        <v>Dolores</v>
      </c>
      <c r="K189" s="142" t="str">
        <f>IFERROR(__xludf.DUMMYFUNCTION("""COMPUTED_VALUE"""),"General Luna")</f>
        <v>General Luna</v>
      </c>
      <c r="L189" s="142" t="str">
        <f>IFERROR(__xludf.DUMMYFUNCTION("""COMPUTED_VALUE"""),"General Nakar")</f>
        <v>General Nakar</v>
      </c>
      <c r="M189" s="142" t="str">
        <f>IFERROR(__xludf.DUMMYFUNCTION("""COMPUTED_VALUE"""),"Guinayangan")</f>
        <v>Guinayangan</v>
      </c>
      <c r="N189" s="142" t="str">
        <f>IFERROR(__xludf.DUMMYFUNCTION("""COMPUTED_VALUE"""),"Gumaca")</f>
        <v>Gumaca</v>
      </c>
      <c r="O189" s="142" t="str">
        <f>IFERROR(__xludf.DUMMYFUNCTION("""COMPUTED_VALUE"""),"Infanta")</f>
        <v>Infanta</v>
      </c>
      <c r="P189" s="142" t="str">
        <f>IFERROR(__xludf.DUMMYFUNCTION("""COMPUTED_VALUE"""),"Jomalig")</f>
        <v>Jomalig</v>
      </c>
      <c r="Q189" s="142" t="str">
        <f>IFERROR(__xludf.DUMMYFUNCTION("""COMPUTED_VALUE"""),"Lopez")</f>
        <v>Lopez</v>
      </c>
      <c r="R189" s="142" t="str">
        <f>IFERROR(__xludf.DUMMYFUNCTION("""COMPUTED_VALUE"""),"Lucban")</f>
        <v>Lucban</v>
      </c>
      <c r="S189" s="142" t="str">
        <f>IFERROR(__xludf.DUMMYFUNCTION("""COMPUTED_VALUE"""),"Macalelon")</f>
        <v>Macalelon</v>
      </c>
      <c r="T189" s="142" t="str">
        <f>IFERROR(__xludf.DUMMYFUNCTION("""COMPUTED_VALUE"""),"Mauban")</f>
        <v>Mauban</v>
      </c>
      <c r="U189" s="142" t="str">
        <f>IFERROR(__xludf.DUMMYFUNCTION("""COMPUTED_VALUE"""),"Mulanay")</f>
        <v>Mulanay</v>
      </c>
      <c r="V189" s="142" t="str">
        <f>IFERROR(__xludf.DUMMYFUNCTION("""COMPUTED_VALUE"""),"Padre Burgos")</f>
        <v>Padre Burgos</v>
      </c>
      <c r="W189" s="142" t="str">
        <f>IFERROR(__xludf.DUMMYFUNCTION("""COMPUTED_VALUE"""),"Pagbilao")</f>
        <v>Pagbilao</v>
      </c>
      <c r="X189" s="142" t="str">
        <f>IFERROR(__xludf.DUMMYFUNCTION("""COMPUTED_VALUE"""),"Panukulan")</f>
        <v>Panukulan</v>
      </c>
      <c r="Y189" s="142" t="str">
        <f>IFERROR(__xludf.DUMMYFUNCTION("""COMPUTED_VALUE"""),"Patnanungan")</f>
        <v>Patnanungan</v>
      </c>
      <c r="Z189" s="142" t="str">
        <f>IFERROR(__xludf.DUMMYFUNCTION("""COMPUTED_VALUE"""),"Perez")</f>
        <v>Perez</v>
      </c>
      <c r="AA189" s="142" t="str">
        <f>IFERROR(__xludf.DUMMYFUNCTION("""COMPUTED_VALUE"""),"Pitogo")</f>
        <v>Pitogo</v>
      </c>
      <c r="AB189" s="142" t="str">
        <f>IFERROR(__xludf.DUMMYFUNCTION("""COMPUTED_VALUE"""),"Plaridel")</f>
        <v>Plaridel</v>
      </c>
      <c r="AC189" s="142" t="str">
        <f>IFERROR(__xludf.DUMMYFUNCTION("""COMPUTED_VALUE"""),"Polillo")</f>
        <v>Polillo</v>
      </c>
      <c r="AD189" s="142" t="str">
        <f>IFERROR(__xludf.DUMMYFUNCTION("""COMPUTED_VALUE"""),"Quezon")</f>
        <v>Quezon</v>
      </c>
      <c r="AE189" s="142" t="str">
        <f>IFERROR(__xludf.DUMMYFUNCTION("""COMPUTED_VALUE"""),"Real")</f>
        <v>Real</v>
      </c>
      <c r="AF189" s="142" t="str">
        <f>IFERROR(__xludf.DUMMYFUNCTION("""COMPUTED_VALUE"""),"Sampaloc")</f>
        <v>Sampaloc</v>
      </c>
      <c r="AG189" s="142" t="str">
        <f>IFERROR(__xludf.DUMMYFUNCTION("""COMPUTED_VALUE"""),"San Andres")</f>
        <v>San Andres</v>
      </c>
      <c r="AH189" s="142" t="str">
        <f>IFERROR(__xludf.DUMMYFUNCTION("""COMPUTED_VALUE"""),"San Antonio")</f>
        <v>San Antonio</v>
      </c>
      <c r="AI189" s="142" t="str">
        <f>IFERROR(__xludf.DUMMYFUNCTION("""COMPUTED_VALUE"""),"San Francisco")</f>
        <v>San Francisco</v>
      </c>
      <c r="AJ189" s="142" t="str">
        <f>IFERROR(__xludf.DUMMYFUNCTION("""COMPUTED_VALUE"""),"San Narciso")</f>
        <v>San Narciso</v>
      </c>
      <c r="AK189" s="142" t="str">
        <f>IFERROR(__xludf.DUMMYFUNCTION("""COMPUTED_VALUE"""),"Sariaya")</f>
        <v>Sariaya</v>
      </c>
      <c r="AL189" s="142" t="str">
        <f>IFERROR(__xludf.DUMMYFUNCTION("""COMPUTED_VALUE"""),"Tagkawayan")</f>
        <v>Tagkawayan</v>
      </c>
      <c r="AM189" s="142" t="str">
        <f>IFERROR(__xludf.DUMMYFUNCTION("""COMPUTED_VALUE"""),"City of Tayabas")</f>
        <v>City of Tayabas</v>
      </c>
      <c r="AN189" s="142" t="str">
        <f>IFERROR(__xludf.DUMMYFUNCTION("""COMPUTED_VALUE"""),"Tiaong")</f>
        <v>Tiaong</v>
      </c>
      <c r="AO189" s="142" t="str">
        <f>IFERROR(__xludf.DUMMYFUNCTION("""COMPUTED_VALUE"""),"Unisan")</f>
        <v>Unisan</v>
      </c>
      <c r="AP189" s="142" t="str">
        <f>IFERROR(__xludf.DUMMYFUNCTION("""COMPUTED_VALUE"""),"Rizal")</f>
        <v>Rizal</v>
      </c>
      <c r="AQ189" s="142" t="str">
        <f>IFERROR(__xludf.DUMMYFUNCTION("""COMPUTED_VALUE"""),"Angono")</f>
        <v>Angono</v>
      </c>
      <c r="AR189" s="142" t="str">
        <f>IFERROR(__xludf.DUMMYFUNCTION("""COMPUTED_VALUE"""),"City of Antipolo")</f>
        <v>City of Antipolo</v>
      </c>
      <c r="AS189" s="142" t="str">
        <f>IFERROR(__xludf.DUMMYFUNCTION("""COMPUTED_VALUE"""),"Baras")</f>
        <v>Baras</v>
      </c>
      <c r="AT189" s="142" t="str">
        <f>IFERROR(__xludf.DUMMYFUNCTION("""COMPUTED_VALUE"""),"Binangonan")</f>
        <v>Binangonan</v>
      </c>
      <c r="AU189" s="142" t="str">
        <f>IFERROR(__xludf.DUMMYFUNCTION("""COMPUTED_VALUE"""),"Cainta")</f>
        <v>Cainta</v>
      </c>
      <c r="AV189" s="142" t="str">
        <f>IFERROR(__xludf.DUMMYFUNCTION("""COMPUTED_VALUE"""),"Cardona")</f>
        <v>Cardona</v>
      </c>
      <c r="AW189" s="142" t="str">
        <f>IFERROR(__xludf.DUMMYFUNCTION("""COMPUTED_VALUE"""),"Jala-Jala")</f>
        <v>Jala-Jala</v>
      </c>
      <c r="AX189" s="142" t="str">
        <f>IFERROR(__xludf.DUMMYFUNCTION("""COMPUTED_VALUE"""),"Rodriguez")</f>
        <v>Rodriguez</v>
      </c>
      <c r="AY189" s="142" t="str">
        <f>IFERROR(__xludf.DUMMYFUNCTION("""COMPUTED_VALUE"""),"Morong")</f>
        <v>Morong</v>
      </c>
      <c r="AZ189" s="142" t="str">
        <f>IFERROR(__xludf.DUMMYFUNCTION("""COMPUTED_VALUE"""),"Pililla")</f>
        <v>Pililla</v>
      </c>
      <c r="BA189" s="142" t="str">
        <f>IFERROR(__xludf.DUMMYFUNCTION("""COMPUTED_VALUE"""),"San Mateo")</f>
        <v>San Mateo</v>
      </c>
      <c r="BB189" s="142" t="str">
        <f>IFERROR(__xludf.DUMMYFUNCTION("""COMPUTED_VALUE"""),"Tanay")</f>
        <v>Tanay</v>
      </c>
      <c r="BC189" s="142" t="str">
        <f>IFERROR(__xludf.DUMMYFUNCTION("""COMPUTED_VALUE"""),"Taytay")</f>
        <v>Taytay</v>
      </c>
      <c r="BD189" s="142" t="str">
        <f>IFERROR(__xludf.DUMMYFUNCTION("""COMPUTED_VALUE"""),"Teresa")</f>
        <v>Teresa</v>
      </c>
      <c r="BE189" s="142" t="str">
        <f>IFERROR(__xludf.DUMMYFUNCTION("""COMPUTED_VALUE"""),"City of Lucena")</f>
        <v>City of Lucena</v>
      </c>
    </row>
    <row r="190">
      <c r="A190" s="142" t="s">
        <v>497</v>
      </c>
      <c r="B190" s="142" t="str">
        <f>IFERROR(__xludf.DUMMYFUNCTION("""COMPUTED_VALUE"""),"Agdangan")</f>
        <v>Agdangan</v>
      </c>
      <c r="C190" s="142" t="str">
        <f>IFERROR(__xludf.DUMMYFUNCTION("""COMPUTED_VALUE"""),"Alabat")</f>
        <v>Alabat</v>
      </c>
      <c r="D190" s="142" t="str">
        <f>IFERROR(__xludf.DUMMYFUNCTION("""COMPUTED_VALUE"""),"Atimonan")</f>
        <v>Atimonan</v>
      </c>
      <c r="E190" s="142" t="str">
        <f>IFERROR(__xludf.DUMMYFUNCTION("""COMPUTED_VALUE"""),"Buenavista")</f>
        <v>Buenavista</v>
      </c>
      <c r="F190" s="142" t="str">
        <f>IFERROR(__xludf.DUMMYFUNCTION("""COMPUTED_VALUE"""),"Burdeos")</f>
        <v>Burdeos</v>
      </c>
      <c r="G190" s="142" t="str">
        <f>IFERROR(__xludf.DUMMYFUNCTION("""COMPUTED_VALUE"""),"Calauag")</f>
        <v>Calauag</v>
      </c>
      <c r="H190" s="142" t="str">
        <f>IFERROR(__xludf.DUMMYFUNCTION("""COMPUTED_VALUE"""),"Candelaria")</f>
        <v>Candelaria</v>
      </c>
      <c r="I190" s="142" t="str">
        <f>IFERROR(__xludf.DUMMYFUNCTION("""COMPUTED_VALUE"""),"Catanauan")</f>
        <v>Catanauan</v>
      </c>
      <c r="J190" s="142" t="str">
        <f>IFERROR(__xludf.DUMMYFUNCTION("""COMPUTED_VALUE"""),"Dolores")</f>
        <v>Dolores</v>
      </c>
      <c r="K190" s="142" t="str">
        <f>IFERROR(__xludf.DUMMYFUNCTION("""COMPUTED_VALUE"""),"General Luna")</f>
        <v>General Luna</v>
      </c>
      <c r="L190" s="142" t="str">
        <f>IFERROR(__xludf.DUMMYFUNCTION("""COMPUTED_VALUE"""),"General Nakar")</f>
        <v>General Nakar</v>
      </c>
      <c r="M190" s="142" t="str">
        <f>IFERROR(__xludf.DUMMYFUNCTION("""COMPUTED_VALUE"""),"Guinayangan")</f>
        <v>Guinayangan</v>
      </c>
      <c r="N190" s="142" t="str">
        <f>IFERROR(__xludf.DUMMYFUNCTION("""COMPUTED_VALUE"""),"Gumaca")</f>
        <v>Gumaca</v>
      </c>
      <c r="O190" s="142" t="str">
        <f>IFERROR(__xludf.DUMMYFUNCTION("""COMPUTED_VALUE"""),"Infanta")</f>
        <v>Infanta</v>
      </c>
      <c r="P190" s="142" t="str">
        <f>IFERROR(__xludf.DUMMYFUNCTION("""COMPUTED_VALUE"""),"Jomalig")</f>
        <v>Jomalig</v>
      </c>
      <c r="Q190" s="142" t="str">
        <f>IFERROR(__xludf.DUMMYFUNCTION("""COMPUTED_VALUE"""),"Lopez")</f>
        <v>Lopez</v>
      </c>
      <c r="R190" s="142" t="str">
        <f>IFERROR(__xludf.DUMMYFUNCTION("""COMPUTED_VALUE"""),"Lucban")</f>
        <v>Lucban</v>
      </c>
      <c r="S190" s="142" t="str">
        <f>IFERROR(__xludf.DUMMYFUNCTION("""COMPUTED_VALUE"""),"Macalelon")</f>
        <v>Macalelon</v>
      </c>
      <c r="T190" s="142" t="str">
        <f>IFERROR(__xludf.DUMMYFUNCTION("""COMPUTED_VALUE"""),"Mauban")</f>
        <v>Mauban</v>
      </c>
      <c r="U190" s="142" t="str">
        <f>IFERROR(__xludf.DUMMYFUNCTION("""COMPUTED_VALUE"""),"Mulanay")</f>
        <v>Mulanay</v>
      </c>
      <c r="V190" s="142" t="str">
        <f>IFERROR(__xludf.DUMMYFUNCTION("""COMPUTED_VALUE"""),"Padre Burgos")</f>
        <v>Padre Burgos</v>
      </c>
      <c r="W190" s="142" t="str">
        <f>IFERROR(__xludf.DUMMYFUNCTION("""COMPUTED_VALUE"""),"Pagbilao")</f>
        <v>Pagbilao</v>
      </c>
      <c r="X190" s="142" t="str">
        <f>IFERROR(__xludf.DUMMYFUNCTION("""COMPUTED_VALUE"""),"Panukulan")</f>
        <v>Panukulan</v>
      </c>
      <c r="Y190" s="142" t="str">
        <f>IFERROR(__xludf.DUMMYFUNCTION("""COMPUTED_VALUE"""),"Patnanungan")</f>
        <v>Patnanungan</v>
      </c>
      <c r="Z190" s="142" t="str">
        <f>IFERROR(__xludf.DUMMYFUNCTION("""COMPUTED_VALUE"""),"Perez")</f>
        <v>Perez</v>
      </c>
      <c r="AA190" s="142" t="str">
        <f>IFERROR(__xludf.DUMMYFUNCTION("""COMPUTED_VALUE"""),"Pitogo")</f>
        <v>Pitogo</v>
      </c>
      <c r="AB190" s="142" t="str">
        <f>IFERROR(__xludf.DUMMYFUNCTION("""COMPUTED_VALUE"""),"Plaridel")</f>
        <v>Plaridel</v>
      </c>
      <c r="AC190" s="142" t="str">
        <f>IFERROR(__xludf.DUMMYFUNCTION("""COMPUTED_VALUE"""),"Polillo")</f>
        <v>Polillo</v>
      </c>
      <c r="AD190" s="142" t="str">
        <f>IFERROR(__xludf.DUMMYFUNCTION("""COMPUTED_VALUE"""),"Quezon")</f>
        <v>Quezon</v>
      </c>
      <c r="AE190" s="142" t="str">
        <f>IFERROR(__xludf.DUMMYFUNCTION("""COMPUTED_VALUE"""),"Real")</f>
        <v>Real</v>
      </c>
      <c r="AF190" s="142" t="str">
        <f>IFERROR(__xludf.DUMMYFUNCTION("""COMPUTED_VALUE"""),"Sampaloc")</f>
        <v>Sampaloc</v>
      </c>
      <c r="AG190" s="142" t="str">
        <f>IFERROR(__xludf.DUMMYFUNCTION("""COMPUTED_VALUE"""),"San Andres")</f>
        <v>San Andres</v>
      </c>
      <c r="AH190" s="142" t="str">
        <f>IFERROR(__xludf.DUMMYFUNCTION("""COMPUTED_VALUE"""),"San Antonio")</f>
        <v>San Antonio</v>
      </c>
      <c r="AI190" s="142" t="str">
        <f>IFERROR(__xludf.DUMMYFUNCTION("""COMPUTED_VALUE"""),"San Francisco")</f>
        <v>San Francisco</v>
      </c>
      <c r="AJ190" s="142" t="str">
        <f>IFERROR(__xludf.DUMMYFUNCTION("""COMPUTED_VALUE"""),"San Narciso")</f>
        <v>San Narciso</v>
      </c>
      <c r="AK190" s="142" t="str">
        <f>IFERROR(__xludf.DUMMYFUNCTION("""COMPUTED_VALUE"""),"Sariaya")</f>
        <v>Sariaya</v>
      </c>
      <c r="AL190" s="142" t="str">
        <f>IFERROR(__xludf.DUMMYFUNCTION("""COMPUTED_VALUE"""),"Tagkawayan")</f>
        <v>Tagkawayan</v>
      </c>
      <c r="AM190" s="142" t="str">
        <f>IFERROR(__xludf.DUMMYFUNCTION("""COMPUTED_VALUE"""),"City of Tayabas")</f>
        <v>City of Tayabas</v>
      </c>
      <c r="AN190" s="142" t="str">
        <f>IFERROR(__xludf.DUMMYFUNCTION("""COMPUTED_VALUE"""),"Tiaong")</f>
        <v>Tiaong</v>
      </c>
      <c r="AO190" s="142" t="str">
        <f>IFERROR(__xludf.DUMMYFUNCTION("""COMPUTED_VALUE"""),"Unisan")</f>
        <v>Unisan</v>
      </c>
      <c r="AP190" s="142" t="str">
        <f>IFERROR(__xludf.DUMMYFUNCTION("""COMPUTED_VALUE"""),"Rizal")</f>
        <v>Rizal</v>
      </c>
      <c r="AQ190" s="142" t="str">
        <f>IFERROR(__xludf.DUMMYFUNCTION("""COMPUTED_VALUE"""),"Angono")</f>
        <v>Angono</v>
      </c>
      <c r="AR190" s="142" t="str">
        <f>IFERROR(__xludf.DUMMYFUNCTION("""COMPUTED_VALUE"""),"City of Antipolo")</f>
        <v>City of Antipolo</v>
      </c>
      <c r="AS190" s="142" t="str">
        <f>IFERROR(__xludf.DUMMYFUNCTION("""COMPUTED_VALUE"""),"Baras")</f>
        <v>Baras</v>
      </c>
      <c r="AT190" s="142" t="str">
        <f>IFERROR(__xludf.DUMMYFUNCTION("""COMPUTED_VALUE"""),"Binangonan")</f>
        <v>Binangonan</v>
      </c>
      <c r="AU190" s="142" t="str">
        <f>IFERROR(__xludf.DUMMYFUNCTION("""COMPUTED_VALUE"""),"Cainta")</f>
        <v>Cainta</v>
      </c>
      <c r="AV190" s="142" t="str">
        <f>IFERROR(__xludf.DUMMYFUNCTION("""COMPUTED_VALUE"""),"Cardona")</f>
        <v>Cardona</v>
      </c>
      <c r="AW190" s="142" t="str">
        <f>IFERROR(__xludf.DUMMYFUNCTION("""COMPUTED_VALUE"""),"Jala-Jala")</f>
        <v>Jala-Jala</v>
      </c>
      <c r="AX190" s="142" t="str">
        <f>IFERROR(__xludf.DUMMYFUNCTION("""COMPUTED_VALUE"""),"Rodriguez")</f>
        <v>Rodriguez</v>
      </c>
      <c r="AY190" s="142" t="str">
        <f>IFERROR(__xludf.DUMMYFUNCTION("""COMPUTED_VALUE"""),"Morong")</f>
        <v>Morong</v>
      </c>
      <c r="AZ190" s="142" t="str">
        <f>IFERROR(__xludf.DUMMYFUNCTION("""COMPUTED_VALUE"""),"Pililla")</f>
        <v>Pililla</v>
      </c>
      <c r="BA190" s="142" t="str">
        <f>IFERROR(__xludf.DUMMYFUNCTION("""COMPUTED_VALUE"""),"San Mateo")</f>
        <v>San Mateo</v>
      </c>
      <c r="BB190" s="142" t="str">
        <f>IFERROR(__xludf.DUMMYFUNCTION("""COMPUTED_VALUE"""),"Tanay")</f>
        <v>Tanay</v>
      </c>
      <c r="BC190" s="142" t="str">
        <f>IFERROR(__xludf.DUMMYFUNCTION("""COMPUTED_VALUE"""),"Taytay")</f>
        <v>Taytay</v>
      </c>
      <c r="BD190" s="142" t="str">
        <f>IFERROR(__xludf.DUMMYFUNCTION("""COMPUTED_VALUE"""),"Teresa")</f>
        <v>Teresa</v>
      </c>
      <c r="BE190" s="142" t="str">
        <f>IFERROR(__xludf.DUMMYFUNCTION("""COMPUTED_VALUE"""),"City of Lucena")</f>
        <v>City of Lucena</v>
      </c>
    </row>
    <row r="191">
      <c r="A191" s="142" t="s">
        <v>497</v>
      </c>
      <c r="B191" s="142" t="str">
        <f>IFERROR(__xludf.DUMMYFUNCTION("""COMPUTED_VALUE"""),"Agdangan")</f>
        <v>Agdangan</v>
      </c>
      <c r="C191" s="142" t="str">
        <f>IFERROR(__xludf.DUMMYFUNCTION("""COMPUTED_VALUE"""),"Alabat")</f>
        <v>Alabat</v>
      </c>
      <c r="D191" s="142" t="str">
        <f>IFERROR(__xludf.DUMMYFUNCTION("""COMPUTED_VALUE"""),"Atimonan")</f>
        <v>Atimonan</v>
      </c>
      <c r="E191" s="142" t="str">
        <f>IFERROR(__xludf.DUMMYFUNCTION("""COMPUTED_VALUE"""),"Buenavista")</f>
        <v>Buenavista</v>
      </c>
      <c r="F191" s="142" t="str">
        <f>IFERROR(__xludf.DUMMYFUNCTION("""COMPUTED_VALUE"""),"Burdeos")</f>
        <v>Burdeos</v>
      </c>
      <c r="G191" s="142" t="str">
        <f>IFERROR(__xludf.DUMMYFUNCTION("""COMPUTED_VALUE"""),"Calauag")</f>
        <v>Calauag</v>
      </c>
      <c r="H191" s="142" t="str">
        <f>IFERROR(__xludf.DUMMYFUNCTION("""COMPUTED_VALUE"""),"Candelaria")</f>
        <v>Candelaria</v>
      </c>
      <c r="I191" s="142" t="str">
        <f>IFERROR(__xludf.DUMMYFUNCTION("""COMPUTED_VALUE"""),"Catanauan")</f>
        <v>Catanauan</v>
      </c>
      <c r="J191" s="142" t="str">
        <f>IFERROR(__xludf.DUMMYFUNCTION("""COMPUTED_VALUE"""),"Dolores")</f>
        <v>Dolores</v>
      </c>
      <c r="K191" s="142" t="str">
        <f>IFERROR(__xludf.DUMMYFUNCTION("""COMPUTED_VALUE"""),"General Luna")</f>
        <v>General Luna</v>
      </c>
      <c r="L191" s="142" t="str">
        <f>IFERROR(__xludf.DUMMYFUNCTION("""COMPUTED_VALUE"""),"General Nakar")</f>
        <v>General Nakar</v>
      </c>
      <c r="M191" s="142" t="str">
        <f>IFERROR(__xludf.DUMMYFUNCTION("""COMPUTED_VALUE"""),"Guinayangan")</f>
        <v>Guinayangan</v>
      </c>
      <c r="N191" s="142" t="str">
        <f>IFERROR(__xludf.DUMMYFUNCTION("""COMPUTED_VALUE"""),"Gumaca")</f>
        <v>Gumaca</v>
      </c>
      <c r="O191" s="142" t="str">
        <f>IFERROR(__xludf.DUMMYFUNCTION("""COMPUTED_VALUE"""),"Infanta")</f>
        <v>Infanta</v>
      </c>
      <c r="P191" s="142" t="str">
        <f>IFERROR(__xludf.DUMMYFUNCTION("""COMPUTED_VALUE"""),"Jomalig")</f>
        <v>Jomalig</v>
      </c>
      <c r="Q191" s="142" t="str">
        <f>IFERROR(__xludf.DUMMYFUNCTION("""COMPUTED_VALUE"""),"Lopez")</f>
        <v>Lopez</v>
      </c>
      <c r="R191" s="142" t="str">
        <f>IFERROR(__xludf.DUMMYFUNCTION("""COMPUTED_VALUE"""),"Lucban")</f>
        <v>Lucban</v>
      </c>
      <c r="S191" s="142" t="str">
        <f>IFERROR(__xludf.DUMMYFUNCTION("""COMPUTED_VALUE"""),"Macalelon")</f>
        <v>Macalelon</v>
      </c>
      <c r="T191" s="142" t="str">
        <f>IFERROR(__xludf.DUMMYFUNCTION("""COMPUTED_VALUE"""),"Mauban")</f>
        <v>Mauban</v>
      </c>
      <c r="U191" s="142" t="str">
        <f>IFERROR(__xludf.DUMMYFUNCTION("""COMPUTED_VALUE"""),"Mulanay")</f>
        <v>Mulanay</v>
      </c>
      <c r="V191" s="142" t="str">
        <f>IFERROR(__xludf.DUMMYFUNCTION("""COMPUTED_VALUE"""),"Padre Burgos")</f>
        <v>Padre Burgos</v>
      </c>
      <c r="W191" s="142" t="str">
        <f>IFERROR(__xludf.DUMMYFUNCTION("""COMPUTED_VALUE"""),"Pagbilao")</f>
        <v>Pagbilao</v>
      </c>
      <c r="X191" s="142" t="str">
        <f>IFERROR(__xludf.DUMMYFUNCTION("""COMPUTED_VALUE"""),"Panukulan")</f>
        <v>Panukulan</v>
      </c>
      <c r="Y191" s="142" t="str">
        <f>IFERROR(__xludf.DUMMYFUNCTION("""COMPUTED_VALUE"""),"Patnanungan")</f>
        <v>Patnanungan</v>
      </c>
      <c r="Z191" s="142" t="str">
        <f>IFERROR(__xludf.DUMMYFUNCTION("""COMPUTED_VALUE"""),"Perez")</f>
        <v>Perez</v>
      </c>
      <c r="AA191" s="142" t="str">
        <f>IFERROR(__xludf.DUMMYFUNCTION("""COMPUTED_VALUE"""),"Pitogo")</f>
        <v>Pitogo</v>
      </c>
      <c r="AB191" s="142" t="str">
        <f>IFERROR(__xludf.DUMMYFUNCTION("""COMPUTED_VALUE"""),"Plaridel")</f>
        <v>Plaridel</v>
      </c>
      <c r="AC191" s="142" t="str">
        <f>IFERROR(__xludf.DUMMYFUNCTION("""COMPUTED_VALUE"""),"Polillo")</f>
        <v>Polillo</v>
      </c>
      <c r="AD191" s="142" t="str">
        <f>IFERROR(__xludf.DUMMYFUNCTION("""COMPUTED_VALUE"""),"Quezon")</f>
        <v>Quezon</v>
      </c>
      <c r="AE191" s="142" t="str">
        <f>IFERROR(__xludf.DUMMYFUNCTION("""COMPUTED_VALUE"""),"Real")</f>
        <v>Real</v>
      </c>
      <c r="AF191" s="142" t="str">
        <f>IFERROR(__xludf.DUMMYFUNCTION("""COMPUTED_VALUE"""),"Sampaloc")</f>
        <v>Sampaloc</v>
      </c>
      <c r="AG191" s="142" t="str">
        <f>IFERROR(__xludf.DUMMYFUNCTION("""COMPUTED_VALUE"""),"San Andres")</f>
        <v>San Andres</v>
      </c>
      <c r="AH191" s="142" t="str">
        <f>IFERROR(__xludf.DUMMYFUNCTION("""COMPUTED_VALUE"""),"San Antonio")</f>
        <v>San Antonio</v>
      </c>
      <c r="AI191" s="142" t="str">
        <f>IFERROR(__xludf.DUMMYFUNCTION("""COMPUTED_VALUE"""),"San Francisco")</f>
        <v>San Francisco</v>
      </c>
      <c r="AJ191" s="142" t="str">
        <f>IFERROR(__xludf.DUMMYFUNCTION("""COMPUTED_VALUE"""),"San Narciso")</f>
        <v>San Narciso</v>
      </c>
      <c r="AK191" s="142" t="str">
        <f>IFERROR(__xludf.DUMMYFUNCTION("""COMPUTED_VALUE"""),"Sariaya")</f>
        <v>Sariaya</v>
      </c>
      <c r="AL191" s="142" t="str">
        <f>IFERROR(__xludf.DUMMYFUNCTION("""COMPUTED_VALUE"""),"Tagkawayan")</f>
        <v>Tagkawayan</v>
      </c>
      <c r="AM191" s="142" t="str">
        <f>IFERROR(__xludf.DUMMYFUNCTION("""COMPUTED_VALUE"""),"City of Tayabas")</f>
        <v>City of Tayabas</v>
      </c>
      <c r="AN191" s="142" t="str">
        <f>IFERROR(__xludf.DUMMYFUNCTION("""COMPUTED_VALUE"""),"Tiaong")</f>
        <v>Tiaong</v>
      </c>
      <c r="AO191" s="142" t="str">
        <f>IFERROR(__xludf.DUMMYFUNCTION("""COMPUTED_VALUE"""),"Unisan")</f>
        <v>Unisan</v>
      </c>
      <c r="AP191" s="142" t="str">
        <f>IFERROR(__xludf.DUMMYFUNCTION("""COMPUTED_VALUE"""),"Rizal")</f>
        <v>Rizal</v>
      </c>
      <c r="AQ191" s="142" t="str">
        <f>IFERROR(__xludf.DUMMYFUNCTION("""COMPUTED_VALUE"""),"Angono")</f>
        <v>Angono</v>
      </c>
      <c r="AR191" s="142" t="str">
        <f>IFERROR(__xludf.DUMMYFUNCTION("""COMPUTED_VALUE"""),"City of Antipolo")</f>
        <v>City of Antipolo</v>
      </c>
      <c r="AS191" s="142" t="str">
        <f>IFERROR(__xludf.DUMMYFUNCTION("""COMPUTED_VALUE"""),"Baras")</f>
        <v>Baras</v>
      </c>
      <c r="AT191" s="142" t="str">
        <f>IFERROR(__xludf.DUMMYFUNCTION("""COMPUTED_VALUE"""),"Binangonan")</f>
        <v>Binangonan</v>
      </c>
      <c r="AU191" s="142" t="str">
        <f>IFERROR(__xludf.DUMMYFUNCTION("""COMPUTED_VALUE"""),"Cainta")</f>
        <v>Cainta</v>
      </c>
      <c r="AV191" s="142" t="str">
        <f>IFERROR(__xludf.DUMMYFUNCTION("""COMPUTED_VALUE"""),"Cardona")</f>
        <v>Cardona</v>
      </c>
      <c r="AW191" s="142" t="str">
        <f>IFERROR(__xludf.DUMMYFUNCTION("""COMPUTED_VALUE"""),"Jala-Jala")</f>
        <v>Jala-Jala</v>
      </c>
      <c r="AX191" s="142" t="str">
        <f>IFERROR(__xludf.DUMMYFUNCTION("""COMPUTED_VALUE"""),"Rodriguez")</f>
        <v>Rodriguez</v>
      </c>
      <c r="AY191" s="142" t="str">
        <f>IFERROR(__xludf.DUMMYFUNCTION("""COMPUTED_VALUE"""),"Morong")</f>
        <v>Morong</v>
      </c>
      <c r="AZ191" s="142" t="str">
        <f>IFERROR(__xludf.DUMMYFUNCTION("""COMPUTED_VALUE"""),"Pililla")</f>
        <v>Pililla</v>
      </c>
      <c r="BA191" s="142" t="str">
        <f>IFERROR(__xludf.DUMMYFUNCTION("""COMPUTED_VALUE"""),"San Mateo")</f>
        <v>San Mateo</v>
      </c>
      <c r="BB191" s="142" t="str">
        <f>IFERROR(__xludf.DUMMYFUNCTION("""COMPUTED_VALUE"""),"Tanay")</f>
        <v>Tanay</v>
      </c>
      <c r="BC191" s="142" t="str">
        <f>IFERROR(__xludf.DUMMYFUNCTION("""COMPUTED_VALUE"""),"Taytay")</f>
        <v>Taytay</v>
      </c>
      <c r="BD191" s="142" t="str">
        <f>IFERROR(__xludf.DUMMYFUNCTION("""COMPUTED_VALUE"""),"Teresa")</f>
        <v>Teresa</v>
      </c>
      <c r="BE191" s="142" t="str">
        <f>IFERROR(__xludf.DUMMYFUNCTION("""COMPUTED_VALUE"""),"City of Lucena")</f>
        <v>City of Lucena</v>
      </c>
    </row>
    <row r="192">
      <c r="A192" s="142" t="s">
        <v>497</v>
      </c>
      <c r="B192" s="142" t="str">
        <f>IFERROR(__xludf.DUMMYFUNCTION("""COMPUTED_VALUE"""),"Agdangan")</f>
        <v>Agdangan</v>
      </c>
      <c r="C192" s="142" t="str">
        <f>IFERROR(__xludf.DUMMYFUNCTION("""COMPUTED_VALUE"""),"Alabat")</f>
        <v>Alabat</v>
      </c>
      <c r="D192" s="142" t="str">
        <f>IFERROR(__xludf.DUMMYFUNCTION("""COMPUTED_VALUE"""),"Atimonan")</f>
        <v>Atimonan</v>
      </c>
      <c r="E192" s="142" t="str">
        <f>IFERROR(__xludf.DUMMYFUNCTION("""COMPUTED_VALUE"""),"Buenavista")</f>
        <v>Buenavista</v>
      </c>
      <c r="F192" s="142" t="str">
        <f>IFERROR(__xludf.DUMMYFUNCTION("""COMPUTED_VALUE"""),"Burdeos")</f>
        <v>Burdeos</v>
      </c>
      <c r="G192" s="142" t="str">
        <f>IFERROR(__xludf.DUMMYFUNCTION("""COMPUTED_VALUE"""),"Calauag")</f>
        <v>Calauag</v>
      </c>
      <c r="H192" s="142" t="str">
        <f>IFERROR(__xludf.DUMMYFUNCTION("""COMPUTED_VALUE"""),"Candelaria")</f>
        <v>Candelaria</v>
      </c>
      <c r="I192" s="142" t="str">
        <f>IFERROR(__xludf.DUMMYFUNCTION("""COMPUTED_VALUE"""),"Catanauan")</f>
        <v>Catanauan</v>
      </c>
      <c r="J192" s="142" t="str">
        <f>IFERROR(__xludf.DUMMYFUNCTION("""COMPUTED_VALUE"""),"Dolores")</f>
        <v>Dolores</v>
      </c>
      <c r="K192" s="142" t="str">
        <f>IFERROR(__xludf.DUMMYFUNCTION("""COMPUTED_VALUE"""),"General Luna")</f>
        <v>General Luna</v>
      </c>
      <c r="L192" s="142" t="str">
        <f>IFERROR(__xludf.DUMMYFUNCTION("""COMPUTED_VALUE"""),"General Nakar")</f>
        <v>General Nakar</v>
      </c>
      <c r="M192" s="142" t="str">
        <f>IFERROR(__xludf.DUMMYFUNCTION("""COMPUTED_VALUE"""),"Guinayangan")</f>
        <v>Guinayangan</v>
      </c>
      <c r="N192" s="142" t="str">
        <f>IFERROR(__xludf.DUMMYFUNCTION("""COMPUTED_VALUE"""),"Gumaca")</f>
        <v>Gumaca</v>
      </c>
      <c r="O192" s="142" t="str">
        <f>IFERROR(__xludf.DUMMYFUNCTION("""COMPUTED_VALUE"""),"Infanta")</f>
        <v>Infanta</v>
      </c>
      <c r="P192" s="142" t="str">
        <f>IFERROR(__xludf.DUMMYFUNCTION("""COMPUTED_VALUE"""),"Jomalig")</f>
        <v>Jomalig</v>
      </c>
      <c r="Q192" s="142" t="str">
        <f>IFERROR(__xludf.DUMMYFUNCTION("""COMPUTED_VALUE"""),"Lopez")</f>
        <v>Lopez</v>
      </c>
      <c r="R192" s="142" t="str">
        <f>IFERROR(__xludf.DUMMYFUNCTION("""COMPUTED_VALUE"""),"Lucban")</f>
        <v>Lucban</v>
      </c>
      <c r="S192" s="142" t="str">
        <f>IFERROR(__xludf.DUMMYFUNCTION("""COMPUTED_VALUE"""),"Macalelon")</f>
        <v>Macalelon</v>
      </c>
      <c r="T192" s="142" t="str">
        <f>IFERROR(__xludf.DUMMYFUNCTION("""COMPUTED_VALUE"""),"Mauban")</f>
        <v>Mauban</v>
      </c>
      <c r="U192" s="142" t="str">
        <f>IFERROR(__xludf.DUMMYFUNCTION("""COMPUTED_VALUE"""),"Mulanay")</f>
        <v>Mulanay</v>
      </c>
      <c r="V192" s="142" t="str">
        <f>IFERROR(__xludf.DUMMYFUNCTION("""COMPUTED_VALUE"""),"Padre Burgos")</f>
        <v>Padre Burgos</v>
      </c>
      <c r="W192" s="142" t="str">
        <f>IFERROR(__xludf.DUMMYFUNCTION("""COMPUTED_VALUE"""),"Pagbilao")</f>
        <v>Pagbilao</v>
      </c>
      <c r="X192" s="142" t="str">
        <f>IFERROR(__xludf.DUMMYFUNCTION("""COMPUTED_VALUE"""),"Panukulan")</f>
        <v>Panukulan</v>
      </c>
      <c r="Y192" s="142" t="str">
        <f>IFERROR(__xludf.DUMMYFUNCTION("""COMPUTED_VALUE"""),"Patnanungan")</f>
        <v>Patnanungan</v>
      </c>
      <c r="Z192" s="142" t="str">
        <f>IFERROR(__xludf.DUMMYFUNCTION("""COMPUTED_VALUE"""),"Perez")</f>
        <v>Perez</v>
      </c>
      <c r="AA192" s="142" t="str">
        <f>IFERROR(__xludf.DUMMYFUNCTION("""COMPUTED_VALUE"""),"Pitogo")</f>
        <v>Pitogo</v>
      </c>
      <c r="AB192" s="142" t="str">
        <f>IFERROR(__xludf.DUMMYFUNCTION("""COMPUTED_VALUE"""),"Plaridel")</f>
        <v>Plaridel</v>
      </c>
      <c r="AC192" s="142" t="str">
        <f>IFERROR(__xludf.DUMMYFUNCTION("""COMPUTED_VALUE"""),"Polillo")</f>
        <v>Polillo</v>
      </c>
      <c r="AD192" s="142" t="str">
        <f>IFERROR(__xludf.DUMMYFUNCTION("""COMPUTED_VALUE"""),"Quezon")</f>
        <v>Quezon</v>
      </c>
      <c r="AE192" s="142" t="str">
        <f>IFERROR(__xludf.DUMMYFUNCTION("""COMPUTED_VALUE"""),"Real")</f>
        <v>Real</v>
      </c>
      <c r="AF192" s="142" t="str">
        <f>IFERROR(__xludf.DUMMYFUNCTION("""COMPUTED_VALUE"""),"Sampaloc")</f>
        <v>Sampaloc</v>
      </c>
      <c r="AG192" s="142" t="str">
        <f>IFERROR(__xludf.DUMMYFUNCTION("""COMPUTED_VALUE"""),"San Andres")</f>
        <v>San Andres</v>
      </c>
      <c r="AH192" s="142" t="str">
        <f>IFERROR(__xludf.DUMMYFUNCTION("""COMPUTED_VALUE"""),"San Antonio")</f>
        <v>San Antonio</v>
      </c>
      <c r="AI192" s="142" t="str">
        <f>IFERROR(__xludf.DUMMYFUNCTION("""COMPUTED_VALUE"""),"San Francisco")</f>
        <v>San Francisco</v>
      </c>
      <c r="AJ192" s="142" t="str">
        <f>IFERROR(__xludf.DUMMYFUNCTION("""COMPUTED_VALUE"""),"San Narciso")</f>
        <v>San Narciso</v>
      </c>
      <c r="AK192" s="142" t="str">
        <f>IFERROR(__xludf.DUMMYFUNCTION("""COMPUTED_VALUE"""),"Sariaya")</f>
        <v>Sariaya</v>
      </c>
      <c r="AL192" s="142" t="str">
        <f>IFERROR(__xludf.DUMMYFUNCTION("""COMPUTED_VALUE"""),"Tagkawayan")</f>
        <v>Tagkawayan</v>
      </c>
      <c r="AM192" s="142" t="str">
        <f>IFERROR(__xludf.DUMMYFUNCTION("""COMPUTED_VALUE"""),"City of Tayabas")</f>
        <v>City of Tayabas</v>
      </c>
      <c r="AN192" s="142" t="str">
        <f>IFERROR(__xludf.DUMMYFUNCTION("""COMPUTED_VALUE"""),"Tiaong")</f>
        <v>Tiaong</v>
      </c>
      <c r="AO192" s="142" t="str">
        <f>IFERROR(__xludf.DUMMYFUNCTION("""COMPUTED_VALUE"""),"Unisan")</f>
        <v>Unisan</v>
      </c>
      <c r="AP192" s="142" t="str">
        <f>IFERROR(__xludf.DUMMYFUNCTION("""COMPUTED_VALUE"""),"Rizal")</f>
        <v>Rizal</v>
      </c>
      <c r="AQ192" s="142" t="str">
        <f>IFERROR(__xludf.DUMMYFUNCTION("""COMPUTED_VALUE"""),"Angono")</f>
        <v>Angono</v>
      </c>
      <c r="AR192" s="142" t="str">
        <f>IFERROR(__xludf.DUMMYFUNCTION("""COMPUTED_VALUE"""),"City of Antipolo")</f>
        <v>City of Antipolo</v>
      </c>
      <c r="AS192" s="142" t="str">
        <f>IFERROR(__xludf.DUMMYFUNCTION("""COMPUTED_VALUE"""),"Baras")</f>
        <v>Baras</v>
      </c>
      <c r="AT192" s="142" t="str">
        <f>IFERROR(__xludf.DUMMYFUNCTION("""COMPUTED_VALUE"""),"Binangonan")</f>
        <v>Binangonan</v>
      </c>
      <c r="AU192" s="142" t="str">
        <f>IFERROR(__xludf.DUMMYFUNCTION("""COMPUTED_VALUE"""),"Cainta")</f>
        <v>Cainta</v>
      </c>
      <c r="AV192" s="142" t="str">
        <f>IFERROR(__xludf.DUMMYFUNCTION("""COMPUTED_VALUE"""),"Cardona")</f>
        <v>Cardona</v>
      </c>
      <c r="AW192" s="142" t="str">
        <f>IFERROR(__xludf.DUMMYFUNCTION("""COMPUTED_VALUE"""),"Jala-Jala")</f>
        <v>Jala-Jala</v>
      </c>
      <c r="AX192" s="142" t="str">
        <f>IFERROR(__xludf.DUMMYFUNCTION("""COMPUTED_VALUE"""),"Rodriguez")</f>
        <v>Rodriguez</v>
      </c>
      <c r="AY192" s="142" t="str">
        <f>IFERROR(__xludf.DUMMYFUNCTION("""COMPUTED_VALUE"""),"Morong")</f>
        <v>Morong</v>
      </c>
      <c r="AZ192" s="142" t="str">
        <f>IFERROR(__xludf.DUMMYFUNCTION("""COMPUTED_VALUE"""),"Pililla")</f>
        <v>Pililla</v>
      </c>
      <c r="BA192" s="142" t="str">
        <f>IFERROR(__xludf.DUMMYFUNCTION("""COMPUTED_VALUE"""),"San Mateo")</f>
        <v>San Mateo</v>
      </c>
      <c r="BB192" s="142" t="str">
        <f>IFERROR(__xludf.DUMMYFUNCTION("""COMPUTED_VALUE"""),"Tanay")</f>
        <v>Tanay</v>
      </c>
      <c r="BC192" s="142" t="str">
        <f>IFERROR(__xludf.DUMMYFUNCTION("""COMPUTED_VALUE"""),"Taytay")</f>
        <v>Taytay</v>
      </c>
      <c r="BD192" s="142" t="str">
        <f>IFERROR(__xludf.DUMMYFUNCTION("""COMPUTED_VALUE"""),"Teresa")</f>
        <v>Teresa</v>
      </c>
      <c r="BE192" s="142" t="str">
        <f>IFERROR(__xludf.DUMMYFUNCTION("""COMPUTED_VALUE"""),"City of Lucena")</f>
        <v>City of Lucena</v>
      </c>
    </row>
    <row r="193">
      <c r="A193" s="142" t="s">
        <v>497</v>
      </c>
      <c r="B193" s="142" t="str">
        <f>IFERROR(__xludf.DUMMYFUNCTION("""COMPUTED_VALUE"""),"Agdangan")</f>
        <v>Agdangan</v>
      </c>
      <c r="C193" s="142" t="str">
        <f>IFERROR(__xludf.DUMMYFUNCTION("""COMPUTED_VALUE"""),"Alabat")</f>
        <v>Alabat</v>
      </c>
      <c r="D193" s="142" t="str">
        <f>IFERROR(__xludf.DUMMYFUNCTION("""COMPUTED_VALUE"""),"Atimonan")</f>
        <v>Atimonan</v>
      </c>
      <c r="E193" s="142" t="str">
        <f>IFERROR(__xludf.DUMMYFUNCTION("""COMPUTED_VALUE"""),"Buenavista")</f>
        <v>Buenavista</v>
      </c>
      <c r="F193" s="142" t="str">
        <f>IFERROR(__xludf.DUMMYFUNCTION("""COMPUTED_VALUE"""),"Burdeos")</f>
        <v>Burdeos</v>
      </c>
      <c r="G193" s="142" t="str">
        <f>IFERROR(__xludf.DUMMYFUNCTION("""COMPUTED_VALUE"""),"Calauag")</f>
        <v>Calauag</v>
      </c>
      <c r="H193" s="142" t="str">
        <f>IFERROR(__xludf.DUMMYFUNCTION("""COMPUTED_VALUE"""),"Candelaria")</f>
        <v>Candelaria</v>
      </c>
      <c r="I193" s="142" t="str">
        <f>IFERROR(__xludf.DUMMYFUNCTION("""COMPUTED_VALUE"""),"Catanauan")</f>
        <v>Catanauan</v>
      </c>
      <c r="J193" s="142" t="str">
        <f>IFERROR(__xludf.DUMMYFUNCTION("""COMPUTED_VALUE"""),"Dolores")</f>
        <v>Dolores</v>
      </c>
      <c r="K193" s="142" t="str">
        <f>IFERROR(__xludf.DUMMYFUNCTION("""COMPUTED_VALUE"""),"General Luna")</f>
        <v>General Luna</v>
      </c>
      <c r="L193" s="142" t="str">
        <f>IFERROR(__xludf.DUMMYFUNCTION("""COMPUTED_VALUE"""),"General Nakar")</f>
        <v>General Nakar</v>
      </c>
      <c r="M193" s="142" t="str">
        <f>IFERROR(__xludf.DUMMYFUNCTION("""COMPUTED_VALUE"""),"Guinayangan")</f>
        <v>Guinayangan</v>
      </c>
      <c r="N193" s="142" t="str">
        <f>IFERROR(__xludf.DUMMYFUNCTION("""COMPUTED_VALUE"""),"Gumaca")</f>
        <v>Gumaca</v>
      </c>
      <c r="O193" s="142" t="str">
        <f>IFERROR(__xludf.DUMMYFUNCTION("""COMPUTED_VALUE"""),"Infanta")</f>
        <v>Infanta</v>
      </c>
      <c r="P193" s="142" t="str">
        <f>IFERROR(__xludf.DUMMYFUNCTION("""COMPUTED_VALUE"""),"Jomalig")</f>
        <v>Jomalig</v>
      </c>
      <c r="Q193" s="142" t="str">
        <f>IFERROR(__xludf.DUMMYFUNCTION("""COMPUTED_VALUE"""),"Lopez")</f>
        <v>Lopez</v>
      </c>
      <c r="R193" s="142" t="str">
        <f>IFERROR(__xludf.DUMMYFUNCTION("""COMPUTED_VALUE"""),"Lucban")</f>
        <v>Lucban</v>
      </c>
      <c r="S193" s="142" t="str">
        <f>IFERROR(__xludf.DUMMYFUNCTION("""COMPUTED_VALUE"""),"Macalelon")</f>
        <v>Macalelon</v>
      </c>
      <c r="T193" s="142" t="str">
        <f>IFERROR(__xludf.DUMMYFUNCTION("""COMPUTED_VALUE"""),"Mauban")</f>
        <v>Mauban</v>
      </c>
      <c r="U193" s="142" t="str">
        <f>IFERROR(__xludf.DUMMYFUNCTION("""COMPUTED_VALUE"""),"Mulanay")</f>
        <v>Mulanay</v>
      </c>
      <c r="V193" s="142" t="str">
        <f>IFERROR(__xludf.DUMMYFUNCTION("""COMPUTED_VALUE"""),"Padre Burgos")</f>
        <v>Padre Burgos</v>
      </c>
      <c r="W193" s="142" t="str">
        <f>IFERROR(__xludf.DUMMYFUNCTION("""COMPUTED_VALUE"""),"Pagbilao")</f>
        <v>Pagbilao</v>
      </c>
      <c r="X193" s="142" t="str">
        <f>IFERROR(__xludf.DUMMYFUNCTION("""COMPUTED_VALUE"""),"Panukulan")</f>
        <v>Panukulan</v>
      </c>
      <c r="Y193" s="142" t="str">
        <f>IFERROR(__xludf.DUMMYFUNCTION("""COMPUTED_VALUE"""),"Patnanungan")</f>
        <v>Patnanungan</v>
      </c>
      <c r="Z193" s="142" t="str">
        <f>IFERROR(__xludf.DUMMYFUNCTION("""COMPUTED_VALUE"""),"Perez")</f>
        <v>Perez</v>
      </c>
      <c r="AA193" s="142" t="str">
        <f>IFERROR(__xludf.DUMMYFUNCTION("""COMPUTED_VALUE"""),"Pitogo")</f>
        <v>Pitogo</v>
      </c>
      <c r="AB193" s="142" t="str">
        <f>IFERROR(__xludf.DUMMYFUNCTION("""COMPUTED_VALUE"""),"Plaridel")</f>
        <v>Plaridel</v>
      </c>
      <c r="AC193" s="142" t="str">
        <f>IFERROR(__xludf.DUMMYFUNCTION("""COMPUTED_VALUE"""),"Polillo")</f>
        <v>Polillo</v>
      </c>
      <c r="AD193" s="142" t="str">
        <f>IFERROR(__xludf.DUMMYFUNCTION("""COMPUTED_VALUE"""),"Quezon")</f>
        <v>Quezon</v>
      </c>
      <c r="AE193" s="142" t="str">
        <f>IFERROR(__xludf.DUMMYFUNCTION("""COMPUTED_VALUE"""),"Real")</f>
        <v>Real</v>
      </c>
      <c r="AF193" s="142" t="str">
        <f>IFERROR(__xludf.DUMMYFUNCTION("""COMPUTED_VALUE"""),"Sampaloc")</f>
        <v>Sampaloc</v>
      </c>
      <c r="AG193" s="142" t="str">
        <f>IFERROR(__xludf.DUMMYFUNCTION("""COMPUTED_VALUE"""),"San Andres")</f>
        <v>San Andres</v>
      </c>
      <c r="AH193" s="142" t="str">
        <f>IFERROR(__xludf.DUMMYFUNCTION("""COMPUTED_VALUE"""),"San Antonio")</f>
        <v>San Antonio</v>
      </c>
      <c r="AI193" s="142" t="str">
        <f>IFERROR(__xludf.DUMMYFUNCTION("""COMPUTED_VALUE"""),"San Francisco")</f>
        <v>San Francisco</v>
      </c>
      <c r="AJ193" s="142" t="str">
        <f>IFERROR(__xludf.DUMMYFUNCTION("""COMPUTED_VALUE"""),"San Narciso")</f>
        <v>San Narciso</v>
      </c>
      <c r="AK193" s="142" t="str">
        <f>IFERROR(__xludf.DUMMYFUNCTION("""COMPUTED_VALUE"""),"Sariaya")</f>
        <v>Sariaya</v>
      </c>
      <c r="AL193" s="142" t="str">
        <f>IFERROR(__xludf.DUMMYFUNCTION("""COMPUTED_VALUE"""),"Tagkawayan")</f>
        <v>Tagkawayan</v>
      </c>
      <c r="AM193" s="142" t="str">
        <f>IFERROR(__xludf.DUMMYFUNCTION("""COMPUTED_VALUE"""),"City of Tayabas")</f>
        <v>City of Tayabas</v>
      </c>
      <c r="AN193" s="142" t="str">
        <f>IFERROR(__xludf.DUMMYFUNCTION("""COMPUTED_VALUE"""),"Tiaong")</f>
        <v>Tiaong</v>
      </c>
      <c r="AO193" s="142" t="str">
        <f>IFERROR(__xludf.DUMMYFUNCTION("""COMPUTED_VALUE"""),"Unisan")</f>
        <v>Unisan</v>
      </c>
      <c r="AP193" s="142" t="str">
        <f>IFERROR(__xludf.DUMMYFUNCTION("""COMPUTED_VALUE"""),"Rizal")</f>
        <v>Rizal</v>
      </c>
      <c r="AQ193" s="142" t="str">
        <f>IFERROR(__xludf.DUMMYFUNCTION("""COMPUTED_VALUE"""),"Angono")</f>
        <v>Angono</v>
      </c>
      <c r="AR193" s="142" t="str">
        <f>IFERROR(__xludf.DUMMYFUNCTION("""COMPUTED_VALUE"""),"City of Antipolo")</f>
        <v>City of Antipolo</v>
      </c>
      <c r="AS193" s="142" t="str">
        <f>IFERROR(__xludf.DUMMYFUNCTION("""COMPUTED_VALUE"""),"Baras")</f>
        <v>Baras</v>
      </c>
      <c r="AT193" s="142" t="str">
        <f>IFERROR(__xludf.DUMMYFUNCTION("""COMPUTED_VALUE"""),"Binangonan")</f>
        <v>Binangonan</v>
      </c>
      <c r="AU193" s="142" t="str">
        <f>IFERROR(__xludf.DUMMYFUNCTION("""COMPUTED_VALUE"""),"Cainta")</f>
        <v>Cainta</v>
      </c>
      <c r="AV193" s="142" t="str">
        <f>IFERROR(__xludf.DUMMYFUNCTION("""COMPUTED_VALUE"""),"Cardona")</f>
        <v>Cardona</v>
      </c>
      <c r="AW193" s="142" t="str">
        <f>IFERROR(__xludf.DUMMYFUNCTION("""COMPUTED_VALUE"""),"Jala-Jala")</f>
        <v>Jala-Jala</v>
      </c>
      <c r="AX193" s="142" t="str">
        <f>IFERROR(__xludf.DUMMYFUNCTION("""COMPUTED_VALUE"""),"Rodriguez")</f>
        <v>Rodriguez</v>
      </c>
      <c r="AY193" s="142" t="str">
        <f>IFERROR(__xludf.DUMMYFUNCTION("""COMPUTED_VALUE"""),"Morong")</f>
        <v>Morong</v>
      </c>
      <c r="AZ193" s="142" t="str">
        <f>IFERROR(__xludf.DUMMYFUNCTION("""COMPUTED_VALUE"""),"Pililla")</f>
        <v>Pililla</v>
      </c>
      <c r="BA193" s="142" t="str">
        <f>IFERROR(__xludf.DUMMYFUNCTION("""COMPUTED_VALUE"""),"San Mateo")</f>
        <v>San Mateo</v>
      </c>
      <c r="BB193" s="142" t="str">
        <f>IFERROR(__xludf.DUMMYFUNCTION("""COMPUTED_VALUE"""),"Tanay")</f>
        <v>Tanay</v>
      </c>
      <c r="BC193" s="142" t="str">
        <f>IFERROR(__xludf.DUMMYFUNCTION("""COMPUTED_VALUE"""),"Taytay")</f>
        <v>Taytay</v>
      </c>
      <c r="BD193" s="142" t="str">
        <f>IFERROR(__xludf.DUMMYFUNCTION("""COMPUTED_VALUE"""),"Teresa")</f>
        <v>Teresa</v>
      </c>
      <c r="BE193" s="142" t="str">
        <f>IFERROR(__xludf.DUMMYFUNCTION("""COMPUTED_VALUE"""),"City of Lucena")</f>
        <v>City of Lucena</v>
      </c>
    </row>
    <row r="194">
      <c r="A194" s="142" t="s">
        <v>497</v>
      </c>
      <c r="B194" s="142" t="str">
        <f>IFERROR(__xludf.DUMMYFUNCTION("""COMPUTED_VALUE"""),"Agdangan")</f>
        <v>Agdangan</v>
      </c>
      <c r="C194" s="142" t="str">
        <f>IFERROR(__xludf.DUMMYFUNCTION("""COMPUTED_VALUE"""),"Alabat")</f>
        <v>Alabat</v>
      </c>
      <c r="D194" s="142" t="str">
        <f>IFERROR(__xludf.DUMMYFUNCTION("""COMPUTED_VALUE"""),"Atimonan")</f>
        <v>Atimonan</v>
      </c>
      <c r="E194" s="142" t="str">
        <f>IFERROR(__xludf.DUMMYFUNCTION("""COMPUTED_VALUE"""),"Buenavista")</f>
        <v>Buenavista</v>
      </c>
      <c r="F194" s="142" t="str">
        <f>IFERROR(__xludf.DUMMYFUNCTION("""COMPUTED_VALUE"""),"Burdeos")</f>
        <v>Burdeos</v>
      </c>
      <c r="G194" s="142" t="str">
        <f>IFERROR(__xludf.DUMMYFUNCTION("""COMPUTED_VALUE"""),"Calauag")</f>
        <v>Calauag</v>
      </c>
      <c r="H194" s="142" t="str">
        <f>IFERROR(__xludf.DUMMYFUNCTION("""COMPUTED_VALUE"""),"Candelaria")</f>
        <v>Candelaria</v>
      </c>
      <c r="I194" s="142" t="str">
        <f>IFERROR(__xludf.DUMMYFUNCTION("""COMPUTED_VALUE"""),"Catanauan")</f>
        <v>Catanauan</v>
      </c>
      <c r="J194" s="142" t="str">
        <f>IFERROR(__xludf.DUMMYFUNCTION("""COMPUTED_VALUE"""),"Dolores")</f>
        <v>Dolores</v>
      </c>
      <c r="K194" s="142" t="str">
        <f>IFERROR(__xludf.DUMMYFUNCTION("""COMPUTED_VALUE"""),"General Luna")</f>
        <v>General Luna</v>
      </c>
      <c r="L194" s="142" t="str">
        <f>IFERROR(__xludf.DUMMYFUNCTION("""COMPUTED_VALUE"""),"General Nakar")</f>
        <v>General Nakar</v>
      </c>
      <c r="M194" s="142" t="str">
        <f>IFERROR(__xludf.DUMMYFUNCTION("""COMPUTED_VALUE"""),"Guinayangan")</f>
        <v>Guinayangan</v>
      </c>
      <c r="N194" s="142" t="str">
        <f>IFERROR(__xludf.DUMMYFUNCTION("""COMPUTED_VALUE"""),"Gumaca")</f>
        <v>Gumaca</v>
      </c>
      <c r="O194" s="142" t="str">
        <f>IFERROR(__xludf.DUMMYFUNCTION("""COMPUTED_VALUE"""),"Infanta")</f>
        <v>Infanta</v>
      </c>
      <c r="P194" s="142" t="str">
        <f>IFERROR(__xludf.DUMMYFUNCTION("""COMPUTED_VALUE"""),"Jomalig")</f>
        <v>Jomalig</v>
      </c>
      <c r="Q194" s="142" t="str">
        <f>IFERROR(__xludf.DUMMYFUNCTION("""COMPUTED_VALUE"""),"Lopez")</f>
        <v>Lopez</v>
      </c>
      <c r="R194" s="142" t="str">
        <f>IFERROR(__xludf.DUMMYFUNCTION("""COMPUTED_VALUE"""),"Lucban")</f>
        <v>Lucban</v>
      </c>
      <c r="S194" s="142" t="str">
        <f>IFERROR(__xludf.DUMMYFUNCTION("""COMPUTED_VALUE"""),"Macalelon")</f>
        <v>Macalelon</v>
      </c>
      <c r="T194" s="142" t="str">
        <f>IFERROR(__xludf.DUMMYFUNCTION("""COMPUTED_VALUE"""),"Mauban")</f>
        <v>Mauban</v>
      </c>
      <c r="U194" s="142" t="str">
        <f>IFERROR(__xludf.DUMMYFUNCTION("""COMPUTED_VALUE"""),"Mulanay")</f>
        <v>Mulanay</v>
      </c>
      <c r="V194" s="142" t="str">
        <f>IFERROR(__xludf.DUMMYFUNCTION("""COMPUTED_VALUE"""),"Padre Burgos")</f>
        <v>Padre Burgos</v>
      </c>
      <c r="W194" s="142" t="str">
        <f>IFERROR(__xludf.DUMMYFUNCTION("""COMPUTED_VALUE"""),"Pagbilao")</f>
        <v>Pagbilao</v>
      </c>
      <c r="X194" s="142" t="str">
        <f>IFERROR(__xludf.DUMMYFUNCTION("""COMPUTED_VALUE"""),"Panukulan")</f>
        <v>Panukulan</v>
      </c>
      <c r="Y194" s="142" t="str">
        <f>IFERROR(__xludf.DUMMYFUNCTION("""COMPUTED_VALUE"""),"Patnanungan")</f>
        <v>Patnanungan</v>
      </c>
      <c r="Z194" s="142" t="str">
        <f>IFERROR(__xludf.DUMMYFUNCTION("""COMPUTED_VALUE"""),"Perez")</f>
        <v>Perez</v>
      </c>
      <c r="AA194" s="142" t="str">
        <f>IFERROR(__xludf.DUMMYFUNCTION("""COMPUTED_VALUE"""),"Pitogo")</f>
        <v>Pitogo</v>
      </c>
      <c r="AB194" s="142" t="str">
        <f>IFERROR(__xludf.DUMMYFUNCTION("""COMPUTED_VALUE"""),"Plaridel")</f>
        <v>Plaridel</v>
      </c>
      <c r="AC194" s="142" t="str">
        <f>IFERROR(__xludf.DUMMYFUNCTION("""COMPUTED_VALUE"""),"Polillo")</f>
        <v>Polillo</v>
      </c>
      <c r="AD194" s="142" t="str">
        <f>IFERROR(__xludf.DUMMYFUNCTION("""COMPUTED_VALUE"""),"Quezon")</f>
        <v>Quezon</v>
      </c>
      <c r="AE194" s="142" t="str">
        <f>IFERROR(__xludf.DUMMYFUNCTION("""COMPUTED_VALUE"""),"Real")</f>
        <v>Real</v>
      </c>
      <c r="AF194" s="142" t="str">
        <f>IFERROR(__xludf.DUMMYFUNCTION("""COMPUTED_VALUE"""),"Sampaloc")</f>
        <v>Sampaloc</v>
      </c>
      <c r="AG194" s="142" t="str">
        <f>IFERROR(__xludf.DUMMYFUNCTION("""COMPUTED_VALUE"""),"San Andres")</f>
        <v>San Andres</v>
      </c>
      <c r="AH194" s="142" t="str">
        <f>IFERROR(__xludf.DUMMYFUNCTION("""COMPUTED_VALUE"""),"San Antonio")</f>
        <v>San Antonio</v>
      </c>
      <c r="AI194" s="142" t="str">
        <f>IFERROR(__xludf.DUMMYFUNCTION("""COMPUTED_VALUE"""),"San Francisco")</f>
        <v>San Francisco</v>
      </c>
      <c r="AJ194" s="142" t="str">
        <f>IFERROR(__xludf.DUMMYFUNCTION("""COMPUTED_VALUE"""),"San Narciso")</f>
        <v>San Narciso</v>
      </c>
      <c r="AK194" s="142" t="str">
        <f>IFERROR(__xludf.DUMMYFUNCTION("""COMPUTED_VALUE"""),"Sariaya")</f>
        <v>Sariaya</v>
      </c>
      <c r="AL194" s="142" t="str">
        <f>IFERROR(__xludf.DUMMYFUNCTION("""COMPUTED_VALUE"""),"Tagkawayan")</f>
        <v>Tagkawayan</v>
      </c>
      <c r="AM194" s="142" t="str">
        <f>IFERROR(__xludf.DUMMYFUNCTION("""COMPUTED_VALUE"""),"City of Tayabas")</f>
        <v>City of Tayabas</v>
      </c>
      <c r="AN194" s="142" t="str">
        <f>IFERROR(__xludf.DUMMYFUNCTION("""COMPUTED_VALUE"""),"Tiaong")</f>
        <v>Tiaong</v>
      </c>
      <c r="AO194" s="142" t="str">
        <f>IFERROR(__xludf.DUMMYFUNCTION("""COMPUTED_VALUE"""),"Unisan")</f>
        <v>Unisan</v>
      </c>
      <c r="AP194" s="142" t="str">
        <f>IFERROR(__xludf.DUMMYFUNCTION("""COMPUTED_VALUE"""),"Rizal")</f>
        <v>Rizal</v>
      </c>
      <c r="AQ194" s="142" t="str">
        <f>IFERROR(__xludf.DUMMYFUNCTION("""COMPUTED_VALUE"""),"Angono")</f>
        <v>Angono</v>
      </c>
      <c r="AR194" s="142" t="str">
        <f>IFERROR(__xludf.DUMMYFUNCTION("""COMPUTED_VALUE"""),"City of Antipolo")</f>
        <v>City of Antipolo</v>
      </c>
      <c r="AS194" s="142" t="str">
        <f>IFERROR(__xludf.DUMMYFUNCTION("""COMPUTED_VALUE"""),"Baras")</f>
        <v>Baras</v>
      </c>
      <c r="AT194" s="142" t="str">
        <f>IFERROR(__xludf.DUMMYFUNCTION("""COMPUTED_VALUE"""),"Binangonan")</f>
        <v>Binangonan</v>
      </c>
      <c r="AU194" s="142" t="str">
        <f>IFERROR(__xludf.DUMMYFUNCTION("""COMPUTED_VALUE"""),"Cainta")</f>
        <v>Cainta</v>
      </c>
      <c r="AV194" s="142" t="str">
        <f>IFERROR(__xludf.DUMMYFUNCTION("""COMPUTED_VALUE"""),"Cardona")</f>
        <v>Cardona</v>
      </c>
      <c r="AW194" s="142" t="str">
        <f>IFERROR(__xludf.DUMMYFUNCTION("""COMPUTED_VALUE"""),"Jala-Jala")</f>
        <v>Jala-Jala</v>
      </c>
      <c r="AX194" s="142" t="str">
        <f>IFERROR(__xludf.DUMMYFUNCTION("""COMPUTED_VALUE"""),"Rodriguez")</f>
        <v>Rodriguez</v>
      </c>
      <c r="AY194" s="142" t="str">
        <f>IFERROR(__xludf.DUMMYFUNCTION("""COMPUTED_VALUE"""),"Morong")</f>
        <v>Morong</v>
      </c>
      <c r="AZ194" s="142" t="str">
        <f>IFERROR(__xludf.DUMMYFUNCTION("""COMPUTED_VALUE"""),"Pililla")</f>
        <v>Pililla</v>
      </c>
      <c r="BA194" s="142" t="str">
        <f>IFERROR(__xludf.DUMMYFUNCTION("""COMPUTED_VALUE"""),"San Mateo")</f>
        <v>San Mateo</v>
      </c>
      <c r="BB194" s="142" t="str">
        <f>IFERROR(__xludf.DUMMYFUNCTION("""COMPUTED_VALUE"""),"Tanay")</f>
        <v>Tanay</v>
      </c>
      <c r="BC194" s="142" t="str">
        <f>IFERROR(__xludf.DUMMYFUNCTION("""COMPUTED_VALUE"""),"Taytay")</f>
        <v>Taytay</v>
      </c>
      <c r="BD194" s="142" t="str">
        <f>IFERROR(__xludf.DUMMYFUNCTION("""COMPUTED_VALUE"""),"Teresa")</f>
        <v>Teresa</v>
      </c>
      <c r="BE194" s="142" t="str">
        <f>IFERROR(__xludf.DUMMYFUNCTION("""COMPUTED_VALUE"""),"City of Lucena")</f>
        <v>City of Lucena</v>
      </c>
    </row>
    <row r="195">
      <c r="A195" s="142" t="s">
        <v>497</v>
      </c>
      <c r="B195" s="142" t="str">
        <f>IFERROR(__xludf.DUMMYFUNCTION("""COMPUTED_VALUE"""),"Agdangan")</f>
        <v>Agdangan</v>
      </c>
      <c r="C195" s="142" t="str">
        <f>IFERROR(__xludf.DUMMYFUNCTION("""COMPUTED_VALUE"""),"Alabat")</f>
        <v>Alabat</v>
      </c>
      <c r="D195" s="142" t="str">
        <f>IFERROR(__xludf.DUMMYFUNCTION("""COMPUTED_VALUE"""),"Atimonan")</f>
        <v>Atimonan</v>
      </c>
      <c r="E195" s="142" t="str">
        <f>IFERROR(__xludf.DUMMYFUNCTION("""COMPUTED_VALUE"""),"Buenavista")</f>
        <v>Buenavista</v>
      </c>
      <c r="F195" s="142" t="str">
        <f>IFERROR(__xludf.DUMMYFUNCTION("""COMPUTED_VALUE"""),"Burdeos")</f>
        <v>Burdeos</v>
      </c>
      <c r="G195" s="142" t="str">
        <f>IFERROR(__xludf.DUMMYFUNCTION("""COMPUTED_VALUE"""),"Calauag")</f>
        <v>Calauag</v>
      </c>
      <c r="H195" s="142" t="str">
        <f>IFERROR(__xludf.DUMMYFUNCTION("""COMPUTED_VALUE"""),"Candelaria")</f>
        <v>Candelaria</v>
      </c>
      <c r="I195" s="142" t="str">
        <f>IFERROR(__xludf.DUMMYFUNCTION("""COMPUTED_VALUE"""),"Catanauan")</f>
        <v>Catanauan</v>
      </c>
      <c r="J195" s="142" t="str">
        <f>IFERROR(__xludf.DUMMYFUNCTION("""COMPUTED_VALUE"""),"Dolores")</f>
        <v>Dolores</v>
      </c>
      <c r="K195" s="142" t="str">
        <f>IFERROR(__xludf.DUMMYFUNCTION("""COMPUTED_VALUE"""),"General Luna")</f>
        <v>General Luna</v>
      </c>
      <c r="L195" s="142" t="str">
        <f>IFERROR(__xludf.DUMMYFUNCTION("""COMPUTED_VALUE"""),"General Nakar")</f>
        <v>General Nakar</v>
      </c>
      <c r="M195" s="142" t="str">
        <f>IFERROR(__xludf.DUMMYFUNCTION("""COMPUTED_VALUE"""),"Guinayangan")</f>
        <v>Guinayangan</v>
      </c>
      <c r="N195" s="142" t="str">
        <f>IFERROR(__xludf.DUMMYFUNCTION("""COMPUTED_VALUE"""),"Gumaca")</f>
        <v>Gumaca</v>
      </c>
      <c r="O195" s="142" t="str">
        <f>IFERROR(__xludf.DUMMYFUNCTION("""COMPUTED_VALUE"""),"Infanta")</f>
        <v>Infanta</v>
      </c>
      <c r="P195" s="142" t="str">
        <f>IFERROR(__xludf.DUMMYFUNCTION("""COMPUTED_VALUE"""),"Jomalig")</f>
        <v>Jomalig</v>
      </c>
      <c r="Q195" s="142" t="str">
        <f>IFERROR(__xludf.DUMMYFUNCTION("""COMPUTED_VALUE"""),"Lopez")</f>
        <v>Lopez</v>
      </c>
      <c r="R195" s="142" t="str">
        <f>IFERROR(__xludf.DUMMYFUNCTION("""COMPUTED_VALUE"""),"Lucban")</f>
        <v>Lucban</v>
      </c>
      <c r="S195" s="142" t="str">
        <f>IFERROR(__xludf.DUMMYFUNCTION("""COMPUTED_VALUE"""),"Macalelon")</f>
        <v>Macalelon</v>
      </c>
      <c r="T195" s="142" t="str">
        <f>IFERROR(__xludf.DUMMYFUNCTION("""COMPUTED_VALUE"""),"Mauban")</f>
        <v>Mauban</v>
      </c>
      <c r="U195" s="142" t="str">
        <f>IFERROR(__xludf.DUMMYFUNCTION("""COMPUTED_VALUE"""),"Mulanay")</f>
        <v>Mulanay</v>
      </c>
      <c r="V195" s="142" t="str">
        <f>IFERROR(__xludf.DUMMYFUNCTION("""COMPUTED_VALUE"""),"Padre Burgos")</f>
        <v>Padre Burgos</v>
      </c>
      <c r="W195" s="142" t="str">
        <f>IFERROR(__xludf.DUMMYFUNCTION("""COMPUTED_VALUE"""),"Pagbilao")</f>
        <v>Pagbilao</v>
      </c>
      <c r="X195" s="142" t="str">
        <f>IFERROR(__xludf.DUMMYFUNCTION("""COMPUTED_VALUE"""),"Panukulan")</f>
        <v>Panukulan</v>
      </c>
      <c r="Y195" s="142" t="str">
        <f>IFERROR(__xludf.DUMMYFUNCTION("""COMPUTED_VALUE"""),"Patnanungan")</f>
        <v>Patnanungan</v>
      </c>
      <c r="Z195" s="142" t="str">
        <f>IFERROR(__xludf.DUMMYFUNCTION("""COMPUTED_VALUE"""),"Perez")</f>
        <v>Perez</v>
      </c>
      <c r="AA195" s="142" t="str">
        <f>IFERROR(__xludf.DUMMYFUNCTION("""COMPUTED_VALUE"""),"Pitogo")</f>
        <v>Pitogo</v>
      </c>
      <c r="AB195" s="142" t="str">
        <f>IFERROR(__xludf.DUMMYFUNCTION("""COMPUTED_VALUE"""),"Plaridel")</f>
        <v>Plaridel</v>
      </c>
      <c r="AC195" s="142" t="str">
        <f>IFERROR(__xludf.DUMMYFUNCTION("""COMPUTED_VALUE"""),"Polillo")</f>
        <v>Polillo</v>
      </c>
      <c r="AD195" s="142" t="str">
        <f>IFERROR(__xludf.DUMMYFUNCTION("""COMPUTED_VALUE"""),"Quezon")</f>
        <v>Quezon</v>
      </c>
      <c r="AE195" s="142" t="str">
        <f>IFERROR(__xludf.DUMMYFUNCTION("""COMPUTED_VALUE"""),"Real")</f>
        <v>Real</v>
      </c>
      <c r="AF195" s="142" t="str">
        <f>IFERROR(__xludf.DUMMYFUNCTION("""COMPUTED_VALUE"""),"Sampaloc")</f>
        <v>Sampaloc</v>
      </c>
      <c r="AG195" s="142" t="str">
        <f>IFERROR(__xludf.DUMMYFUNCTION("""COMPUTED_VALUE"""),"San Andres")</f>
        <v>San Andres</v>
      </c>
      <c r="AH195" s="142" t="str">
        <f>IFERROR(__xludf.DUMMYFUNCTION("""COMPUTED_VALUE"""),"San Antonio")</f>
        <v>San Antonio</v>
      </c>
      <c r="AI195" s="142" t="str">
        <f>IFERROR(__xludf.DUMMYFUNCTION("""COMPUTED_VALUE"""),"San Francisco")</f>
        <v>San Francisco</v>
      </c>
      <c r="AJ195" s="142" t="str">
        <f>IFERROR(__xludf.DUMMYFUNCTION("""COMPUTED_VALUE"""),"San Narciso")</f>
        <v>San Narciso</v>
      </c>
      <c r="AK195" s="142" t="str">
        <f>IFERROR(__xludf.DUMMYFUNCTION("""COMPUTED_VALUE"""),"Sariaya")</f>
        <v>Sariaya</v>
      </c>
      <c r="AL195" s="142" t="str">
        <f>IFERROR(__xludf.DUMMYFUNCTION("""COMPUTED_VALUE"""),"Tagkawayan")</f>
        <v>Tagkawayan</v>
      </c>
      <c r="AM195" s="142" t="str">
        <f>IFERROR(__xludf.DUMMYFUNCTION("""COMPUTED_VALUE"""),"City of Tayabas")</f>
        <v>City of Tayabas</v>
      </c>
      <c r="AN195" s="142" t="str">
        <f>IFERROR(__xludf.DUMMYFUNCTION("""COMPUTED_VALUE"""),"Tiaong")</f>
        <v>Tiaong</v>
      </c>
      <c r="AO195" s="142" t="str">
        <f>IFERROR(__xludf.DUMMYFUNCTION("""COMPUTED_VALUE"""),"Unisan")</f>
        <v>Unisan</v>
      </c>
      <c r="AP195" s="142" t="str">
        <f>IFERROR(__xludf.DUMMYFUNCTION("""COMPUTED_VALUE"""),"Rizal")</f>
        <v>Rizal</v>
      </c>
      <c r="AQ195" s="142" t="str">
        <f>IFERROR(__xludf.DUMMYFUNCTION("""COMPUTED_VALUE"""),"Angono")</f>
        <v>Angono</v>
      </c>
      <c r="AR195" s="142" t="str">
        <f>IFERROR(__xludf.DUMMYFUNCTION("""COMPUTED_VALUE"""),"City of Antipolo")</f>
        <v>City of Antipolo</v>
      </c>
      <c r="AS195" s="142" t="str">
        <f>IFERROR(__xludf.DUMMYFUNCTION("""COMPUTED_VALUE"""),"Baras")</f>
        <v>Baras</v>
      </c>
      <c r="AT195" s="142" t="str">
        <f>IFERROR(__xludf.DUMMYFUNCTION("""COMPUTED_VALUE"""),"Binangonan")</f>
        <v>Binangonan</v>
      </c>
      <c r="AU195" s="142" t="str">
        <f>IFERROR(__xludf.DUMMYFUNCTION("""COMPUTED_VALUE"""),"Cainta")</f>
        <v>Cainta</v>
      </c>
      <c r="AV195" s="142" t="str">
        <f>IFERROR(__xludf.DUMMYFUNCTION("""COMPUTED_VALUE"""),"Cardona")</f>
        <v>Cardona</v>
      </c>
      <c r="AW195" s="142" t="str">
        <f>IFERROR(__xludf.DUMMYFUNCTION("""COMPUTED_VALUE"""),"Jala-Jala")</f>
        <v>Jala-Jala</v>
      </c>
      <c r="AX195" s="142" t="str">
        <f>IFERROR(__xludf.DUMMYFUNCTION("""COMPUTED_VALUE"""),"Rodriguez")</f>
        <v>Rodriguez</v>
      </c>
      <c r="AY195" s="142" t="str">
        <f>IFERROR(__xludf.DUMMYFUNCTION("""COMPUTED_VALUE"""),"Morong")</f>
        <v>Morong</v>
      </c>
      <c r="AZ195" s="142" t="str">
        <f>IFERROR(__xludf.DUMMYFUNCTION("""COMPUTED_VALUE"""),"Pililla")</f>
        <v>Pililla</v>
      </c>
      <c r="BA195" s="142" t="str">
        <f>IFERROR(__xludf.DUMMYFUNCTION("""COMPUTED_VALUE"""),"San Mateo")</f>
        <v>San Mateo</v>
      </c>
      <c r="BB195" s="142" t="str">
        <f>IFERROR(__xludf.DUMMYFUNCTION("""COMPUTED_VALUE"""),"Tanay")</f>
        <v>Tanay</v>
      </c>
      <c r="BC195" s="142" t="str">
        <f>IFERROR(__xludf.DUMMYFUNCTION("""COMPUTED_VALUE"""),"Taytay")</f>
        <v>Taytay</v>
      </c>
      <c r="BD195" s="142" t="str">
        <f>IFERROR(__xludf.DUMMYFUNCTION("""COMPUTED_VALUE"""),"Teresa")</f>
        <v>Teresa</v>
      </c>
      <c r="BE195" s="142" t="str">
        <f>IFERROR(__xludf.DUMMYFUNCTION("""COMPUTED_VALUE"""),"City of Lucena")</f>
        <v>City of Lucena</v>
      </c>
    </row>
    <row r="196">
      <c r="A196" s="142" t="s">
        <v>893</v>
      </c>
      <c r="B196" s="142" t="str">
        <f>IFERROR(__xludf.DUMMYFUNCTION("""COMPUTED_VALUE"""),"Bacacay")</f>
        <v>Bacacay</v>
      </c>
      <c r="C196" s="142" t="str">
        <f>IFERROR(__xludf.DUMMYFUNCTION("""COMPUTED_VALUE"""),"Camalig")</f>
        <v>Camalig</v>
      </c>
      <c r="D196" s="142" t="str">
        <f>IFERROR(__xludf.DUMMYFUNCTION("""COMPUTED_VALUE"""),"Daraga")</f>
        <v>Daraga</v>
      </c>
      <c r="E196" s="142" t="str">
        <f>IFERROR(__xludf.DUMMYFUNCTION("""COMPUTED_VALUE"""),"Guinobatan")</f>
        <v>Guinobatan</v>
      </c>
      <c r="F196" s="142" t="str">
        <f>IFERROR(__xludf.DUMMYFUNCTION("""COMPUTED_VALUE"""),"Jovellar")</f>
        <v>Jovellar</v>
      </c>
      <c r="G196" s="142" t="str">
        <f>IFERROR(__xludf.DUMMYFUNCTION("""COMPUTED_VALUE"""),"City of Legazpi")</f>
        <v>City of Legazpi</v>
      </c>
      <c r="H196" s="142" t="str">
        <f>IFERROR(__xludf.DUMMYFUNCTION("""COMPUTED_VALUE"""),"Libon")</f>
        <v>Libon</v>
      </c>
      <c r="I196" s="142" t="str">
        <f>IFERROR(__xludf.DUMMYFUNCTION("""COMPUTED_VALUE"""),"City of Ligao")</f>
        <v>City of Ligao</v>
      </c>
      <c r="J196" s="142" t="str">
        <f>IFERROR(__xludf.DUMMYFUNCTION("""COMPUTED_VALUE"""),"Malilipot")</f>
        <v>Malilipot</v>
      </c>
      <c r="K196" s="142" t="str">
        <f>IFERROR(__xludf.DUMMYFUNCTION("""COMPUTED_VALUE"""),"Malinao")</f>
        <v>Malinao</v>
      </c>
      <c r="L196" s="142" t="str">
        <f>IFERROR(__xludf.DUMMYFUNCTION("""COMPUTED_VALUE"""),"Manito")</f>
        <v>Manito</v>
      </c>
      <c r="M196" s="142" t="str">
        <f>IFERROR(__xludf.DUMMYFUNCTION("""COMPUTED_VALUE"""),"Oas")</f>
        <v>Oas</v>
      </c>
      <c r="N196" s="142" t="str">
        <f>IFERROR(__xludf.DUMMYFUNCTION("""COMPUTED_VALUE"""),"Pio Duran")</f>
        <v>Pio Duran</v>
      </c>
      <c r="O196" s="142" t="str">
        <f>IFERROR(__xludf.DUMMYFUNCTION("""COMPUTED_VALUE"""),"Polangui")</f>
        <v>Polangui</v>
      </c>
      <c r="P196" s="142" t="str">
        <f>IFERROR(__xludf.DUMMYFUNCTION("""COMPUTED_VALUE"""),"Rapu-Rapu")</f>
        <v>Rapu-Rapu</v>
      </c>
      <c r="Q196" s="142" t="str">
        <f>IFERROR(__xludf.DUMMYFUNCTION("""COMPUTED_VALUE"""),"Santo Domingo")</f>
        <v>Santo Domingo</v>
      </c>
      <c r="R196" s="142" t="str">
        <f>IFERROR(__xludf.DUMMYFUNCTION("""COMPUTED_VALUE"""),"City of Tabaco")</f>
        <v>City of Tabaco</v>
      </c>
      <c r="S196" s="142" t="str">
        <f>IFERROR(__xludf.DUMMYFUNCTION("""COMPUTED_VALUE"""),"Tiwi")</f>
        <v>Tiwi</v>
      </c>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row>
    <row r="197">
      <c r="A197" s="142" t="s">
        <v>1445</v>
      </c>
      <c r="B197" s="142" t="str">
        <f>IFERROR(__xludf.DUMMYFUNCTION("""COMPUTED_VALUE"""),"Basud")</f>
        <v>Basud</v>
      </c>
      <c r="C197" s="142" t="str">
        <f>IFERROR(__xludf.DUMMYFUNCTION("""COMPUTED_VALUE"""),"Capalonga")</f>
        <v>Capalonga</v>
      </c>
      <c r="D197" s="142" t="str">
        <f>IFERROR(__xludf.DUMMYFUNCTION("""COMPUTED_VALUE"""),"Daet")</f>
        <v>Daet</v>
      </c>
      <c r="E197" s="142" t="str">
        <f>IFERROR(__xludf.DUMMYFUNCTION("""COMPUTED_VALUE"""),"San Lorenzo Ruiz")</f>
        <v>San Lorenzo Ruiz</v>
      </c>
      <c r="F197" s="142" t="str">
        <f>IFERROR(__xludf.DUMMYFUNCTION("""COMPUTED_VALUE"""),"Jose Panganiban")</f>
        <v>Jose Panganiban</v>
      </c>
      <c r="G197" s="142" t="str">
        <f>IFERROR(__xludf.DUMMYFUNCTION("""COMPUTED_VALUE"""),"Labo")</f>
        <v>Labo</v>
      </c>
      <c r="H197" s="142" t="str">
        <f>IFERROR(__xludf.DUMMYFUNCTION("""COMPUTED_VALUE"""),"Mercedes")</f>
        <v>Mercedes</v>
      </c>
      <c r="I197" s="142" t="str">
        <f>IFERROR(__xludf.DUMMYFUNCTION("""COMPUTED_VALUE"""),"Paracale")</f>
        <v>Paracale</v>
      </c>
      <c r="J197" s="142" t="str">
        <f>IFERROR(__xludf.DUMMYFUNCTION("""COMPUTED_VALUE"""),"San Vicente")</f>
        <v>San Vicente</v>
      </c>
      <c r="K197" s="142" t="str">
        <f>IFERROR(__xludf.DUMMYFUNCTION("""COMPUTED_VALUE"""),"Santa Elena")</f>
        <v>Santa Elena</v>
      </c>
      <c r="L197" s="142" t="str">
        <f>IFERROR(__xludf.DUMMYFUNCTION("""COMPUTED_VALUE"""),"Talisay")</f>
        <v>Talisay</v>
      </c>
      <c r="M197" s="142" t="str">
        <f>IFERROR(__xludf.DUMMYFUNCTION("""COMPUTED_VALUE"""),"Vinzons")</f>
        <v>Vinzons</v>
      </c>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row>
    <row r="198">
      <c r="A198" s="142" t="s">
        <v>1089</v>
      </c>
      <c r="B198" s="142" t="str">
        <f>IFERROR(__xludf.DUMMYFUNCTION("""COMPUTED_VALUE"""),"Baao")</f>
        <v>Baao</v>
      </c>
      <c r="C198" s="142" t="str">
        <f>IFERROR(__xludf.DUMMYFUNCTION("""COMPUTED_VALUE"""),"Balatan")</f>
        <v>Balatan</v>
      </c>
      <c r="D198" s="142" t="str">
        <f>IFERROR(__xludf.DUMMYFUNCTION("""COMPUTED_VALUE"""),"Bato")</f>
        <v>Bato</v>
      </c>
      <c r="E198" s="142" t="str">
        <f>IFERROR(__xludf.DUMMYFUNCTION("""COMPUTED_VALUE"""),"Bombon")</f>
        <v>Bombon</v>
      </c>
      <c r="F198" s="142" t="str">
        <f>IFERROR(__xludf.DUMMYFUNCTION("""COMPUTED_VALUE"""),"Buhi")</f>
        <v>Buhi</v>
      </c>
      <c r="G198" s="142" t="str">
        <f>IFERROR(__xludf.DUMMYFUNCTION("""COMPUTED_VALUE"""),"Bula")</f>
        <v>Bula</v>
      </c>
      <c r="H198" s="142" t="str">
        <f>IFERROR(__xludf.DUMMYFUNCTION("""COMPUTED_VALUE"""),"Cabusao")</f>
        <v>Cabusao</v>
      </c>
      <c r="I198" s="142" t="str">
        <f>IFERROR(__xludf.DUMMYFUNCTION("""COMPUTED_VALUE"""),"Calabanga")</f>
        <v>Calabanga</v>
      </c>
      <c r="J198" s="142" t="str">
        <f>IFERROR(__xludf.DUMMYFUNCTION("""COMPUTED_VALUE"""),"Camaligan")</f>
        <v>Camaligan</v>
      </c>
      <c r="K198" s="142" t="str">
        <f>IFERROR(__xludf.DUMMYFUNCTION("""COMPUTED_VALUE"""),"Canaman")</f>
        <v>Canaman</v>
      </c>
      <c r="L198" s="142" t="str">
        <f>IFERROR(__xludf.DUMMYFUNCTION("""COMPUTED_VALUE"""),"Caramoan")</f>
        <v>Caramoan</v>
      </c>
      <c r="M198" s="142" t="str">
        <f>IFERROR(__xludf.DUMMYFUNCTION("""COMPUTED_VALUE"""),"Del Gallego")</f>
        <v>Del Gallego</v>
      </c>
      <c r="N198" s="142" t="str">
        <f>IFERROR(__xludf.DUMMYFUNCTION("""COMPUTED_VALUE"""),"Gainza")</f>
        <v>Gainza</v>
      </c>
      <c r="O198" s="142" t="str">
        <f>IFERROR(__xludf.DUMMYFUNCTION("""COMPUTED_VALUE"""),"Garchitorena")</f>
        <v>Garchitorena</v>
      </c>
      <c r="P198" s="142" t="str">
        <f>IFERROR(__xludf.DUMMYFUNCTION("""COMPUTED_VALUE"""),"Goa")</f>
        <v>Goa</v>
      </c>
      <c r="Q198" s="142" t="str">
        <f>IFERROR(__xludf.DUMMYFUNCTION("""COMPUTED_VALUE"""),"City of Iriga")</f>
        <v>City of Iriga</v>
      </c>
      <c r="R198" s="142" t="str">
        <f>IFERROR(__xludf.DUMMYFUNCTION("""COMPUTED_VALUE"""),"Lagonoy")</f>
        <v>Lagonoy</v>
      </c>
      <c r="S198" s="142" t="str">
        <f>IFERROR(__xludf.DUMMYFUNCTION("""COMPUTED_VALUE"""),"Libmanan")</f>
        <v>Libmanan</v>
      </c>
      <c r="T198" s="142" t="str">
        <f>IFERROR(__xludf.DUMMYFUNCTION("""COMPUTED_VALUE"""),"Lupi")</f>
        <v>Lupi</v>
      </c>
      <c r="U198" s="142" t="str">
        <f>IFERROR(__xludf.DUMMYFUNCTION("""COMPUTED_VALUE"""),"Magarao")</f>
        <v>Magarao</v>
      </c>
      <c r="V198" s="142" t="str">
        <f>IFERROR(__xludf.DUMMYFUNCTION("""COMPUTED_VALUE"""),"Milaor")</f>
        <v>Milaor</v>
      </c>
      <c r="W198" s="142" t="str">
        <f>IFERROR(__xludf.DUMMYFUNCTION("""COMPUTED_VALUE"""),"Minalabac")</f>
        <v>Minalabac</v>
      </c>
      <c r="X198" s="142" t="str">
        <f>IFERROR(__xludf.DUMMYFUNCTION("""COMPUTED_VALUE"""),"Nabua")</f>
        <v>Nabua</v>
      </c>
      <c r="Y198" s="142" t="str">
        <f>IFERROR(__xludf.DUMMYFUNCTION("""COMPUTED_VALUE"""),"City of Naga")</f>
        <v>City of Naga</v>
      </c>
      <c r="Z198" s="142" t="str">
        <f>IFERROR(__xludf.DUMMYFUNCTION("""COMPUTED_VALUE"""),"Ocampo")</f>
        <v>Ocampo</v>
      </c>
      <c r="AA198" s="142" t="str">
        <f>IFERROR(__xludf.DUMMYFUNCTION("""COMPUTED_VALUE"""),"Pamplona")</f>
        <v>Pamplona</v>
      </c>
      <c r="AB198" s="142" t="str">
        <f>IFERROR(__xludf.DUMMYFUNCTION("""COMPUTED_VALUE"""),"Pasacao")</f>
        <v>Pasacao</v>
      </c>
      <c r="AC198" s="142" t="str">
        <f>IFERROR(__xludf.DUMMYFUNCTION("""COMPUTED_VALUE"""),"Pili")</f>
        <v>Pili</v>
      </c>
      <c r="AD198" s="142" t="str">
        <f>IFERROR(__xludf.DUMMYFUNCTION("""COMPUTED_VALUE"""),"Presentacion")</f>
        <v>Presentacion</v>
      </c>
      <c r="AE198" s="142" t="str">
        <f>IFERROR(__xludf.DUMMYFUNCTION("""COMPUTED_VALUE"""),"Ragay")</f>
        <v>Ragay</v>
      </c>
      <c r="AF198" s="142" t="str">
        <f>IFERROR(__xludf.DUMMYFUNCTION("""COMPUTED_VALUE"""),"Sagñay")</f>
        <v>Sagñay</v>
      </c>
      <c r="AG198" s="142" t="str">
        <f>IFERROR(__xludf.DUMMYFUNCTION("""COMPUTED_VALUE"""),"San Fernando")</f>
        <v>San Fernando</v>
      </c>
      <c r="AH198" s="142" t="str">
        <f>IFERROR(__xludf.DUMMYFUNCTION("""COMPUTED_VALUE"""),"San Jose")</f>
        <v>San Jose</v>
      </c>
      <c r="AI198" s="142" t="str">
        <f>IFERROR(__xludf.DUMMYFUNCTION("""COMPUTED_VALUE"""),"Sipocot")</f>
        <v>Sipocot</v>
      </c>
      <c r="AJ198" s="142" t="str">
        <f>IFERROR(__xludf.DUMMYFUNCTION("""COMPUTED_VALUE"""),"Siruma")</f>
        <v>Siruma</v>
      </c>
      <c r="AK198" s="142" t="str">
        <f>IFERROR(__xludf.DUMMYFUNCTION("""COMPUTED_VALUE"""),"Tigaon")</f>
        <v>Tigaon</v>
      </c>
      <c r="AL198" s="142" t="str">
        <f>IFERROR(__xludf.DUMMYFUNCTION("""COMPUTED_VALUE"""),"Tinambac")</f>
        <v>Tinambac</v>
      </c>
      <c r="AM198" s="8"/>
      <c r="AN198" s="8"/>
      <c r="AO198" s="8"/>
      <c r="AP198" s="8"/>
      <c r="AQ198" s="8"/>
      <c r="AR198" s="8"/>
      <c r="AS198" s="8"/>
      <c r="AT198" s="8"/>
      <c r="AU198" s="8"/>
      <c r="AV198" s="8"/>
      <c r="AW198" s="8"/>
      <c r="AX198" s="8"/>
      <c r="AY198" s="8"/>
      <c r="AZ198" s="8"/>
      <c r="BA198" s="8"/>
      <c r="BB198" s="8"/>
      <c r="BC198" s="8"/>
      <c r="BD198" s="8"/>
      <c r="BE198" s="8"/>
    </row>
    <row r="199">
      <c r="A199" s="142" t="s">
        <v>1089</v>
      </c>
      <c r="B199" s="142" t="str">
        <f>IFERROR(__xludf.DUMMYFUNCTION("""COMPUTED_VALUE"""),"Baao")</f>
        <v>Baao</v>
      </c>
      <c r="C199" s="142" t="str">
        <f>IFERROR(__xludf.DUMMYFUNCTION("""COMPUTED_VALUE"""),"Balatan")</f>
        <v>Balatan</v>
      </c>
      <c r="D199" s="142" t="str">
        <f>IFERROR(__xludf.DUMMYFUNCTION("""COMPUTED_VALUE"""),"Bato")</f>
        <v>Bato</v>
      </c>
      <c r="E199" s="142" t="str">
        <f>IFERROR(__xludf.DUMMYFUNCTION("""COMPUTED_VALUE"""),"Bombon")</f>
        <v>Bombon</v>
      </c>
      <c r="F199" s="142" t="str">
        <f>IFERROR(__xludf.DUMMYFUNCTION("""COMPUTED_VALUE"""),"Buhi")</f>
        <v>Buhi</v>
      </c>
      <c r="G199" s="142" t="str">
        <f>IFERROR(__xludf.DUMMYFUNCTION("""COMPUTED_VALUE"""),"Bula")</f>
        <v>Bula</v>
      </c>
      <c r="H199" s="142" t="str">
        <f>IFERROR(__xludf.DUMMYFUNCTION("""COMPUTED_VALUE"""),"Cabusao")</f>
        <v>Cabusao</v>
      </c>
      <c r="I199" s="142" t="str">
        <f>IFERROR(__xludf.DUMMYFUNCTION("""COMPUTED_VALUE"""),"Calabanga")</f>
        <v>Calabanga</v>
      </c>
      <c r="J199" s="142" t="str">
        <f>IFERROR(__xludf.DUMMYFUNCTION("""COMPUTED_VALUE"""),"Camaligan")</f>
        <v>Camaligan</v>
      </c>
      <c r="K199" s="142" t="str">
        <f>IFERROR(__xludf.DUMMYFUNCTION("""COMPUTED_VALUE"""),"Canaman")</f>
        <v>Canaman</v>
      </c>
      <c r="L199" s="142" t="str">
        <f>IFERROR(__xludf.DUMMYFUNCTION("""COMPUTED_VALUE"""),"Caramoan")</f>
        <v>Caramoan</v>
      </c>
      <c r="M199" s="142" t="str">
        <f>IFERROR(__xludf.DUMMYFUNCTION("""COMPUTED_VALUE"""),"Del Gallego")</f>
        <v>Del Gallego</v>
      </c>
      <c r="N199" s="142" t="str">
        <f>IFERROR(__xludf.DUMMYFUNCTION("""COMPUTED_VALUE"""),"Gainza")</f>
        <v>Gainza</v>
      </c>
      <c r="O199" s="142" t="str">
        <f>IFERROR(__xludf.DUMMYFUNCTION("""COMPUTED_VALUE"""),"Garchitorena")</f>
        <v>Garchitorena</v>
      </c>
      <c r="P199" s="142" t="str">
        <f>IFERROR(__xludf.DUMMYFUNCTION("""COMPUTED_VALUE"""),"Goa")</f>
        <v>Goa</v>
      </c>
      <c r="Q199" s="142" t="str">
        <f>IFERROR(__xludf.DUMMYFUNCTION("""COMPUTED_VALUE"""),"City of Iriga")</f>
        <v>City of Iriga</v>
      </c>
      <c r="R199" s="142" t="str">
        <f>IFERROR(__xludf.DUMMYFUNCTION("""COMPUTED_VALUE"""),"Lagonoy")</f>
        <v>Lagonoy</v>
      </c>
      <c r="S199" s="142" t="str">
        <f>IFERROR(__xludf.DUMMYFUNCTION("""COMPUTED_VALUE"""),"Libmanan")</f>
        <v>Libmanan</v>
      </c>
      <c r="T199" s="142" t="str">
        <f>IFERROR(__xludf.DUMMYFUNCTION("""COMPUTED_VALUE"""),"Lupi")</f>
        <v>Lupi</v>
      </c>
      <c r="U199" s="142" t="str">
        <f>IFERROR(__xludf.DUMMYFUNCTION("""COMPUTED_VALUE"""),"Magarao")</f>
        <v>Magarao</v>
      </c>
      <c r="V199" s="142" t="str">
        <f>IFERROR(__xludf.DUMMYFUNCTION("""COMPUTED_VALUE"""),"Milaor")</f>
        <v>Milaor</v>
      </c>
      <c r="W199" s="142" t="str">
        <f>IFERROR(__xludf.DUMMYFUNCTION("""COMPUTED_VALUE"""),"Minalabac")</f>
        <v>Minalabac</v>
      </c>
      <c r="X199" s="142" t="str">
        <f>IFERROR(__xludf.DUMMYFUNCTION("""COMPUTED_VALUE"""),"Nabua")</f>
        <v>Nabua</v>
      </c>
      <c r="Y199" s="142" t="str">
        <f>IFERROR(__xludf.DUMMYFUNCTION("""COMPUTED_VALUE"""),"City of Naga")</f>
        <v>City of Naga</v>
      </c>
      <c r="Z199" s="142" t="str">
        <f>IFERROR(__xludf.DUMMYFUNCTION("""COMPUTED_VALUE"""),"Ocampo")</f>
        <v>Ocampo</v>
      </c>
      <c r="AA199" s="142" t="str">
        <f>IFERROR(__xludf.DUMMYFUNCTION("""COMPUTED_VALUE"""),"Pamplona")</f>
        <v>Pamplona</v>
      </c>
      <c r="AB199" s="142" t="str">
        <f>IFERROR(__xludf.DUMMYFUNCTION("""COMPUTED_VALUE"""),"Pasacao")</f>
        <v>Pasacao</v>
      </c>
      <c r="AC199" s="142" t="str">
        <f>IFERROR(__xludf.DUMMYFUNCTION("""COMPUTED_VALUE"""),"Pili")</f>
        <v>Pili</v>
      </c>
      <c r="AD199" s="142" t="str">
        <f>IFERROR(__xludf.DUMMYFUNCTION("""COMPUTED_VALUE"""),"Presentacion")</f>
        <v>Presentacion</v>
      </c>
      <c r="AE199" s="142" t="str">
        <f>IFERROR(__xludf.DUMMYFUNCTION("""COMPUTED_VALUE"""),"Ragay")</f>
        <v>Ragay</v>
      </c>
      <c r="AF199" s="142" t="str">
        <f>IFERROR(__xludf.DUMMYFUNCTION("""COMPUTED_VALUE"""),"Sagñay")</f>
        <v>Sagñay</v>
      </c>
      <c r="AG199" s="142" t="str">
        <f>IFERROR(__xludf.DUMMYFUNCTION("""COMPUTED_VALUE"""),"San Fernando")</f>
        <v>San Fernando</v>
      </c>
      <c r="AH199" s="142" t="str">
        <f>IFERROR(__xludf.DUMMYFUNCTION("""COMPUTED_VALUE"""),"San Jose")</f>
        <v>San Jose</v>
      </c>
      <c r="AI199" s="142" t="str">
        <f>IFERROR(__xludf.DUMMYFUNCTION("""COMPUTED_VALUE"""),"Sipocot")</f>
        <v>Sipocot</v>
      </c>
      <c r="AJ199" s="142" t="str">
        <f>IFERROR(__xludf.DUMMYFUNCTION("""COMPUTED_VALUE"""),"Siruma")</f>
        <v>Siruma</v>
      </c>
      <c r="AK199" s="142" t="str">
        <f>IFERROR(__xludf.DUMMYFUNCTION("""COMPUTED_VALUE"""),"Tigaon")</f>
        <v>Tigaon</v>
      </c>
      <c r="AL199" s="142" t="str">
        <f>IFERROR(__xludf.DUMMYFUNCTION("""COMPUTED_VALUE"""),"Tinambac")</f>
        <v>Tinambac</v>
      </c>
      <c r="AM199" s="8"/>
      <c r="AN199" s="8"/>
      <c r="AO199" s="8"/>
      <c r="AP199" s="8"/>
      <c r="AQ199" s="8"/>
      <c r="AR199" s="8"/>
      <c r="AS199" s="8"/>
      <c r="AT199" s="8"/>
      <c r="AU199" s="8"/>
      <c r="AV199" s="8"/>
      <c r="AW199" s="8"/>
      <c r="AX199" s="8"/>
      <c r="AY199" s="8"/>
      <c r="AZ199" s="8"/>
      <c r="BA199" s="8"/>
      <c r="BB199" s="8"/>
      <c r="BC199" s="8"/>
      <c r="BD199" s="8"/>
      <c r="BE199" s="8"/>
    </row>
    <row r="200">
      <c r="A200" s="142" t="s">
        <v>1089</v>
      </c>
      <c r="B200" s="142" t="str">
        <f>IFERROR(__xludf.DUMMYFUNCTION("""COMPUTED_VALUE"""),"Baao")</f>
        <v>Baao</v>
      </c>
      <c r="C200" s="142" t="str">
        <f>IFERROR(__xludf.DUMMYFUNCTION("""COMPUTED_VALUE"""),"Balatan")</f>
        <v>Balatan</v>
      </c>
      <c r="D200" s="142" t="str">
        <f>IFERROR(__xludf.DUMMYFUNCTION("""COMPUTED_VALUE"""),"Bato")</f>
        <v>Bato</v>
      </c>
      <c r="E200" s="142" t="str">
        <f>IFERROR(__xludf.DUMMYFUNCTION("""COMPUTED_VALUE"""),"Bombon")</f>
        <v>Bombon</v>
      </c>
      <c r="F200" s="142" t="str">
        <f>IFERROR(__xludf.DUMMYFUNCTION("""COMPUTED_VALUE"""),"Buhi")</f>
        <v>Buhi</v>
      </c>
      <c r="G200" s="142" t="str">
        <f>IFERROR(__xludf.DUMMYFUNCTION("""COMPUTED_VALUE"""),"Bula")</f>
        <v>Bula</v>
      </c>
      <c r="H200" s="142" t="str">
        <f>IFERROR(__xludf.DUMMYFUNCTION("""COMPUTED_VALUE"""),"Cabusao")</f>
        <v>Cabusao</v>
      </c>
      <c r="I200" s="142" t="str">
        <f>IFERROR(__xludf.DUMMYFUNCTION("""COMPUTED_VALUE"""),"Calabanga")</f>
        <v>Calabanga</v>
      </c>
      <c r="J200" s="142" t="str">
        <f>IFERROR(__xludf.DUMMYFUNCTION("""COMPUTED_VALUE"""),"Camaligan")</f>
        <v>Camaligan</v>
      </c>
      <c r="K200" s="142" t="str">
        <f>IFERROR(__xludf.DUMMYFUNCTION("""COMPUTED_VALUE"""),"Canaman")</f>
        <v>Canaman</v>
      </c>
      <c r="L200" s="142" t="str">
        <f>IFERROR(__xludf.DUMMYFUNCTION("""COMPUTED_VALUE"""),"Caramoan")</f>
        <v>Caramoan</v>
      </c>
      <c r="M200" s="142" t="str">
        <f>IFERROR(__xludf.DUMMYFUNCTION("""COMPUTED_VALUE"""),"Del Gallego")</f>
        <v>Del Gallego</v>
      </c>
      <c r="N200" s="142" t="str">
        <f>IFERROR(__xludf.DUMMYFUNCTION("""COMPUTED_VALUE"""),"Gainza")</f>
        <v>Gainza</v>
      </c>
      <c r="O200" s="142" t="str">
        <f>IFERROR(__xludf.DUMMYFUNCTION("""COMPUTED_VALUE"""),"Garchitorena")</f>
        <v>Garchitorena</v>
      </c>
      <c r="P200" s="142" t="str">
        <f>IFERROR(__xludf.DUMMYFUNCTION("""COMPUTED_VALUE"""),"Goa")</f>
        <v>Goa</v>
      </c>
      <c r="Q200" s="142" t="str">
        <f>IFERROR(__xludf.DUMMYFUNCTION("""COMPUTED_VALUE"""),"City of Iriga")</f>
        <v>City of Iriga</v>
      </c>
      <c r="R200" s="142" t="str">
        <f>IFERROR(__xludf.DUMMYFUNCTION("""COMPUTED_VALUE"""),"Lagonoy")</f>
        <v>Lagonoy</v>
      </c>
      <c r="S200" s="142" t="str">
        <f>IFERROR(__xludf.DUMMYFUNCTION("""COMPUTED_VALUE"""),"Libmanan")</f>
        <v>Libmanan</v>
      </c>
      <c r="T200" s="142" t="str">
        <f>IFERROR(__xludf.DUMMYFUNCTION("""COMPUTED_VALUE"""),"Lupi")</f>
        <v>Lupi</v>
      </c>
      <c r="U200" s="142" t="str">
        <f>IFERROR(__xludf.DUMMYFUNCTION("""COMPUTED_VALUE"""),"Magarao")</f>
        <v>Magarao</v>
      </c>
      <c r="V200" s="142" t="str">
        <f>IFERROR(__xludf.DUMMYFUNCTION("""COMPUTED_VALUE"""),"Milaor")</f>
        <v>Milaor</v>
      </c>
      <c r="W200" s="142" t="str">
        <f>IFERROR(__xludf.DUMMYFUNCTION("""COMPUTED_VALUE"""),"Minalabac")</f>
        <v>Minalabac</v>
      </c>
      <c r="X200" s="142" t="str">
        <f>IFERROR(__xludf.DUMMYFUNCTION("""COMPUTED_VALUE"""),"Nabua")</f>
        <v>Nabua</v>
      </c>
      <c r="Y200" s="142" t="str">
        <f>IFERROR(__xludf.DUMMYFUNCTION("""COMPUTED_VALUE"""),"City of Naga")</f>
        <v>City of Naga</v>
      </c>
      <c r="Z200" s="142" t="str">
        <f>IFERROR(__xludf.DUMMYFUNCTION("""COMPUTED_VALUE"""),"Ocampo")</f>
        <v>Ocampo</v>
      </c>
      <c r="AA200" s="142" t="str">
        <f>IFERROR(__xludf.DUMMYFUNCTION("""COMPUTED_VALUE"""),"Pamplona")</f>
        <v>Pamplona</v>
      </c>
      <c r="AB200" s="142" t="str">
        <f>IFERROR(__xludf.DUMMYFUNCTION("""COMPUTED_VALUE"""),"Pasacao")</f>
        <v>Pasacao</v>
      </c>
      <c r="AC200" s="142" t="str">
        <f>IFERROR(__xludf.DUMMYFUNCTION("""COMPUTED_VALUE"""),"Pili")</f>
        <v>Pili</v>
      </c>
      <c r="AD200" s="142" t="str">
        <f>IFERROR(__xludf.DUMMYFUNCTION("""COMPUTED_VALUE"""),"Presentacion")</f>
        <v>Presentacion</v>
      </c>
      <c r="AE200" s="142" t="str">
        <f>IFERROR(__xludf.DUMMYFUNCTION("""COMPUTED_VALUE"""),"Ragay")</f>
        <v>Ragay</v>
      </c>
      <c r="AF200" s="142" t="str">
        <f>IFERROR(__xludf.DUMMYFUNCTION("""COMPUTED_VALUE"""),"Sagñay")</f>
        <v>Sagñay</v>
      </c>
      <c r="AG200" s="142" t="str">
        <f>IFERROR(__xludf.DUMMYFUNCTION("""COMPUTED_VALUE"""),"San Fernando")</f>
        <v>San Fernando</v>
      </c>
      <c r="AH200" s="142" t="str">
        <f>IFERROR(__xludf.DUMMYFUNCTION("""COMPUTED_VALUE"""),"San Jose")</f>
        <v>San Jose</v>
      </c>
      <c r="AI200" s="142" t="str">
        <f>IFERROR(__xludf.DUMMYFUNCTION("""COMPUTED_VALUE"""),"Sipocot")</f>
        <v>Sipocot</v>
      </c>
      <c r="AJ200" s="142" t="str">
        <f>IFERROR(__xludf.DUMMYFUNCTION("""COMPUTED_VALUE"""),"Siruma")</f>
        <v>Siruma</v>
      </c>
      <c r="AK200" s="142" t="str">
        <f>IFERROR(__xludf.DUMMYFUNCTION("""COMPUTED_VALUE"""),"Tigaon")</f>
        <v>Tigaon</v>
      </c>
      <c r="AL200" s="142" t="str">
        <f>IFERROR(__xludf.DUMMYFUNCTION("""COMPUTED_VALUE"""),"Tinambac")</f>
        <v>Tinambac</v>
      </c>
      <c r="AM200" s="8"/>
      <c r="AN200" s="8"/>
      <c r="AO200" s="8"/>
      <c r="AP200" s="8"/>
      <c r="AQ200" s="8"/>
      <c r="AR200" s="8"/>
      <c r="AS200" s="8"/>
      <c r="AT200" s="8"/>
      <c r="AU200" s="8"/>
      <c r="AV200" s="8"/>
      <c r="AW200" s="8"/>
      <c r="AX200" s="8"/>
      <c r="AY200" s="8"/>
      <c r="AZ200" s="8"/>
      <c r="BA200" s="8"/>
      <c r="BB200" s="8"/>
      <c r="BC200" s="8"/>
      <c r="BD200" s="8"/>
      <c r="BE200" s="8"/>
    </row>
    <row r="201">
      <c r="A201" s="142" t="s">
        <v>1459</v>
      </c>
      <c r="B201" s="142" t="str">
        <f>IFERROR(__xludf.DUMMYFUNCTION("""COMPUTED_VALUE"""),"Bagamanoc")</f>
        <v>Bagamanoc</v>
      </c>
      <c r="C201" s="142" t="str">
        <f>IFERROR(__xludf.DUMMYFUNCTION("""COMPUTED_VALUE"""),"Baras")</f>
        <v>Baras</v>
      </c>
      <c r="D201" s="142" t="str">
        <f>IFERROR(__xludf.DUMMYFUNCTION("""COMPUTED_VALUE"""),"Bato")</f>
        <v>Bato</v>
      </c>
      <c r="E201" s="142" t="str">
        <f>IFERROR(__xludf.DUMMYFUNCTION("""COMPUTED_VALUE"""),"Caramoran")</f>
        <v>Caramoran</v>
      </c>
      <c r="F201" s="142" t="str">
        <f>IFERROR(__xludf.DUMMYFUNCTION("""COMPUTED_VALUE"""),"Gigmoto")</f>
        <v>Gigmoto</v>
      </c>
      <c r="G201" s="142" t="str">
        <f>IFERROR(__xludf.DUMMYFUNCTION("""COMPUTED_VALUE"""),"Pandan")</f>
        <v>Pandan</v>
      </c>
      <c r="H201" s="142" t="str">
        <f>IFERROR(__xludf.DUMMYFUNCTION("""COMPUTED_VALUE"""),"Panganiban")</f>
        <v>Panganiban</v>
      </c>
      <c r="I201" s="142" t="str">
        <f>IFERROR(__xludf.DUMMYFUNCTION("""COMPUTED_VALUE"""),"San Andres")</f>
        <v>San Andres</v>
      </c>
      <c r="J201" s="142" t="str">
        <f>IFERROR(__xludf.DUMMYFUNCTION("""COMPUTED_VALUE"""),"San Miguel")</f>
        <v>San Miguel</v>
      </c>
      <c r="K201" s="142" t="str">
        <f>IFERROR(__xludf.DUMMYFUNCTION("""COMPUTED_VALUE"""),"Viga")</f>
        <v>Viga</v>
      </c>
      <c r="L201" s="142" t="str">
        <f>IFERROR(__xludf.DUMMYFUNCTION("""COMPUTED_VALUE"""),"Virac")</f>
        <v>Virac</v>
      </c>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row>
    <row r="202">
      <c r="A202" s="142" t="s">
        <v>585</v>
      </c>
      <c r="B202" s="142" t="str">
        <f>IFERROR(__xludf.DUMMYFUNCTION("""COMPUTED_VALUE"""),"Abuyog")</f>
        <v>Abuyog</v>
      </c>
      <c r="C202" s="142" t="str">
        <f>IFERROR(__xludf.DUMMYFUNCTION("""COMPUTED_VALUE"""),"Alangalang")</f>
        <v>Alangalang</v>
      </c>
      <c r="D202" s="142" t="str">
        <f>IFERROR(__xludf.DUMMYFUNCTION("""COMPUTED_VALUE"""),"Albuera")</f>
        <v>Albuera</v>
      </c>
      <c r="E202" s="142" t="str">
        <f>IFERROR(__xludf.DUMMYFUNCTION("""COMPUTED_VALUE"""),"Babatngon")</f>
        <v>Babatngon</v>
      </c>
      <c r="F202" s="142" t="str">
        <f>IFERROR(__xludf.DUMMYFUNCTION("""COMPUTED_VALUE"""),"Barugo")</f>
        <v>Barugo</v>
      </c>
      <c r="G202" s="142" t="str">
        <f>IFERROR(__xludf.DUMMYFUNCTION("""COMPUTED_VALUE"""),"Bato")</f>
        <v>Bato</v>
      </c>
      <c r="H202" s="142" t="str">
        <f>IFERROR(__xludf.DUMMYFUNCTION("""COMPUTED_VALUE"""),"City of Baybay")</f>
        <v>City of Baybay</v>
      </c>
      <c r="I202" s="142" t="str">
        <f>IFERROR(__xludf.DUMMYFUNCTION("""COMPUTED_VALUE"""),"Burauen")</f>
        <v>Burauen</v>
      </c>
      <c r="J202" s="142" t="str">
        <f>IFERROR(__xludf.DUMMYFUNCTION("""COMPUTED_VALUE"""),"Calubian")</f>
        <v>Calubian</v>
      </c>
      <c r="K202" s="142" t="str">
        <f>IFERROR(__xludf.DUMMYFUNCTION("""COMPUTED_VALUE"""),"Capoocan")</f>
        <v>Capoocan</v>
      </c>
      <c r="L202" s="142" t="str">
        <f>IFERROR(__xludf.DUMMYFUNCTION("""COMPUTED_VALUE"""),"Carigara")</f>
        <v>Carigara</v>
      </c>
      <c r="M202" s="142" t="str">
        <f>IFERROR(__xludf.DUMMYFUNCTION("""COMPUTED_VALUE"""),"Dagami")</f>
        <v>Dagami</v>
      </c>
      <c r="N202" s="142" t="str">
        <f>IFERROR(__xludf.DUMMYFUNCTION("""COMPUTED_VALUE"""),"Dulag")</f>
        <v>Dulag</v>
      </c>
      <c r="O202" s="142" t="str">
        <f>IFERROR(__xludf.DUMMYFUNCTION("""COMPUTED_VALUE"""),"Hilongos")</f>
        <v>Hilongos</v>
      </c>
      <c r="P202" s="142" t="str">
        <f>IFERROR(__xludf.DUMMYFUNCTION("""COMPUTED_VALUE"""),"Hindang")</f>
        <v>Hindang</v>
      </c>
      <c r="Q202" s="142" t="str">
        <f>IFERROR(__xludf.DUMMYFUNCTION("""COMPUTED_VALUE"""),"Inopacan")</f>
        <v>Inopacan</v>
      </c>
      <c r="R202" s="142" t="str">
        <f>IFERROR(__xludf.DUMMYFUNCTION("""COMPUTED_VALUE"""),"Isabel")</f>
        <v>Isabel</v>
      </c>
      <c r="S202" s="142" t="str">
        <f>IFERROR(__xludf.DUMMYFUNCTION("""COMPUTED_VALUE"""),"Jaro")</f>
        <v>Jaro</v>
      </c>
      <c r="T202" s="142" t="str">
        <f>IFERROR(__xludf.DUMMYFUNCTION("""COMPUTED_VALUE"""),"Javier")</f>
        <v>Javier</v>
      </c>
      <c r="U202" s="142" t="str">
        <f>IFERROR(__xludf.DUMMYFUNCTION("""COMPUTED_VALUE"""),"Julita")</f>
        <v>Julita</v>
      </c>
      <c r="V202" s="142" t="str">
        <f>IFERROR(__xludf.DUMMYFUNCTION("""COMPUTED_VALUE"""),"Kananga")</f>
        <v>Kananga</v>
      </c>
      <c r="W202" s="142" t="str">
        <f>IFERROR(__xludf.DUMMYFUNCTION("""COMPUTED_VALUE"""),"La Paz")</f>
        <v>La Paz</v>
      </c>
      <c r="X202" s="142" t="str">
        <f>IFERROR(__xludf.DUMMYFUNCTION("""COMPUTED_VALUE"""),"Leyte")</f>
        <v>Leyte</v>
      </c>
      <c r="Y202" s="142" t="str">
        <f>IFERROR(__xludf.DUMMYFUNCTION("""COMPUTED_VALUE"""),"Macarthur")</f>
        <v>Macarthur</v>
      </c>
      <c r="Z202" s="142" t="str">
        <f>IFERROR(__xludf.DUMMYFUNCTION("""COMPUTED_VALUE"""),"Mahaplag")</f>
        <v>Mahaplag</v>
      </c>
      <c r="AA202" s="142" t="str">
        <f>IFERROR(__xludf.DUMMYFUNCTION("""COMPUTED_VALUE"""),"Matag-Ob")</f>
        <v>Matag-Ob</v>
      </c>
      <c r="AB202" s="142" t="str">
        <f>IFERROR(__xludf.DUMMYFUNCTION("""COMPUTED_VALUE"""),"Matalom")</f>
        <v>Matalom</v>
      </c>
      <c r="AC202" s="142" t="str">
        <f>IFERROR(__xludf.DUMMYFUNCTION("""COMPUTED_VALUE"""),"Mayorga")</f>
        <v>Mayorga</v>
      </c>
      <c r="AD202" s="142" t="str">
        <f>IFERROR(__xludf.DUMMYFUNCTION("""COMPUTED_VALUE"""),"Merida")</f>
        <v>Merida</v>
      </c>
      <c r="AE202" s="142" t="str">
        <f>IFERROR(__xludf.DUMMYFUNCTION("""COMPUTED_VALUE"""),"Ormoc City")</f>
        <v>Ormoc City</v>
      </c>
      <c r="AF202" s="142" t="str">
        <f>IFERROR(__xludf.DUMMYFUNCTION("""COMPUTED_VALUE"""),"Palo")</f>
        <v>Palo</v>
      </c>
      <c r="AG202" s="142" t="str">
        <f>IFERROR(__xludf.DUMMYFUNCTION("""COMPUTED_VALUE"""),"Palompon")</f>
        <v>Palompon</v>
      </c>
      <c r="AH202" s="142" t="str">
        <f>IFERROR(__xludf.DUMMYFUNCTION("""COMPUTED_VALUE"""),"Pastrana")</f>
        <v>Pastrana</v>
      </c>
      <c r="AI202" s="142" t="str">
        <f>IFERROR(__xludf.DUMMYFUNCTION("""COMPUTED_VALUE"""),"San Isidro")</f>
        <v>San Isidro</v>
      </c>
      <c r="AJ202" s="142" t="str">
        <f>IFERROR(__xludf.DUMMYFUNCTION("""COMPUTED_VALUE"""),"San Miguel")</f>
        <v>San Miguel</v>
      </c>
      <c r="AK202" s="142" t="str">
        <f>IFERROR(__xludf.DUMMYFUNCTION("""COMPUTED_VALUE"""),"Santa Fe")</f>
        <v>Santa Fe</v>
      </c>
      <c r="AL202" s="142" t="str">
        <f>IFERROR(__xludf.DUMMYFUNCTION("""COMPUTED_VALUE"""),"Tabango")</f>
        <v>Tabango</v>
      </c>
      <c r="AM202" s="142" t="str">
        <f>IFERROR(__xludf.DUMMYFUNCTION("""COMPUTED_VALUE"""),"Tabontabon")</f>
        <v>Tabontabon</v>
      </c>
      <c r="AN202" s="142" t="str">
        <f>IFERROR(__xludf.DUMMYFUNCTION("""COMPUTED_VALUE"""),"City of Tacloban")</f>
        <v>City of Tacloban</v>
      </c>
      <c r="AO202" s="142" t="str">
        <f>IFERROR(__xludf.DUMMYFUNCTION("""COMPUTED_VALUE"""),"Tanauan")</f>
        <v>Tanauan</v>
      </c>
      <c r="AP202" s="142" t="str">
        <f>IFERROR(__xludf.DUMMYFUNCTION("""COMPUTED_VALUE"""),"Tolosa")</f>
        <v>Tolosa</v>
      </c>
      <c r="AQ202" s="142" t="str">
        <f>IFERROR(__xludf.DUMMYFUNCTION("""COMPUTED_VALUE"""),"Tunga")</f>
        <v>Tunga</v>
      </c>
      <c r="AR202" s="142" t="str">
        <f>IFERROR(__xludf.DUMMYFUNCTION("""COMPUTED_VALUE"""),"Villaba")</f>
        <v>Villaba</v>
      </c>
      <c r="AS202" s="8"/>
      <c r="AT202" s="8"/>
      <c r="AU202" s="8"/>
      <c r="AV202" s="8"/>
      <c r="AW202" s="8"/>
      <c r="AX202" s="8"/>
      <c r="AY202" s="8"/>
      <c r="AZ202" s="8"/>
      <c r="BA202" s="8"/>
      <c r="BB202" s="8"/>
      <c r="BC202" s="8"/>
      <c r="BD202" s="8"/>
      <c r="BE202" s="8"/>
    </row>
    <row r="203">
      <c r="A203" s="142" t="s">
        <v>585</v>
      </c>
      <c r="B203" s="142" t="str">
        <f>IFERROR(__xludf.DUMMYFUNCTION("""COMPUTED_VALUE"""),"Abuyog")</f>
        <v>Abuyog</v>
      </c>
      <c r="C203" s="142" t="str">
        <f>IFERROR(__xludf.DUMMYFUNCTION("""COMPUTED_VALUE"""),"Alangalang")</f>
        <v>Alangalang</v>
      </c>
      <c r="D203" s="142" t="str">
        <f>IFERROR(__xludf.DUMMYFUNCTION("""COMPUTED_VALUE"""),"Albuera")</f>
        <v>Albuera</v>
      </c>
      <c r="E203" s="142" t="str">
        <f>IFERROR(__xludf.DUMMYFUNCTION("""COMPUTED_VALUE"""),"Babatngon")</f>
        <v>Babatngon</v>
      </c>
      <c r="F203" s="142" t="str">
        <f>IFERROR(__xludf.DUMMYFUNCTION("""COMPUTED_VALUE"""),"Barugo")</f>
        <v>Barugo</v>
      </c>
      <c r="G203" s="142" t="str">
        <f>IFERROR(__xludf.DUMMYFUNCTION("""COMPUTED_VALUE"""),"Bato")</f>
        <v>Bato</v>
      </c>
      <c r="H203" s="142" t="str">
        <f>IFERROR(__xludf.DUMMYFUNCTION("""COMPUTED_VALUE"""),"City of Baybay")</f>
        <v>City of Baybay</v>
      </c>
      <c r="I203" s="142" t="str">
        <f>IFERROR(__xludf.DUMMYFUNCTION("""COMPUTED_VALUE"""),"Burauen")</f>
        <v>Burauen</v>
      </c>
      <c r="J203" s="142" t="str">
        <f>IFERROR(__xludf.DUMMYFUNCTION("""COMPUTED_VALUE"""),"Calubian")</f>
        <v>Calubian</v>
      </c>
      <c r="K203" s="142" t="str">
        <f>IFERROR(__xludf.DUMMYFUNCTION("""COMPUTED_VALUE"""),"Capoocan")</f>
        <v>Capoocan</v>
      </c>
      <c r="L203" s="142" t="str">
        <f>IFERROR(__xludf.DUMMYFUNCTION("""COMPUTED_VALUE"""),"Carigara")</f>
        <v>Carigara</v>
      </c>
      <c r="M203" s="142" t="str">
        <f>IFERROR(__xludf.DUMMYFUNCTION("""COMPUTED_VALUE"""),"Dagami")</f>
        <v>Dagami</v>
      </c>
      <c r="N203" s="142" t="str">
        <f>IFERROR(__xludf.DUMMYFUNCTION("""COMPUTED_VALUE"""),"Dulag")</f>
        <v>Dulag</v>
      </c>
      <c r="O203" s="142" t="str">
        <f>IFERROR(__xludf.DUMMYFUNCTION("""COMPUTED_VALUE"""),"Hilongos")</f>
        <v>Hilongos</v>
      </c>
      <c r="P203" s="142" t="str">
        <f>IFERROR(__xludf.DUMMYFUNCTION("""COMPUTED_VALUE"""),"Hindang")</f>
        <v>Hindang</v>
      </c>
      <c r="Q203" s="142" t="str">
        <f>IFERROR(__xludf.DUMMYFUNCTION("""COMPUTED_VALUE"""),"Inopacan")</f>
        <v>Inopacan</v>
      </c>
      <c r="R203" s="142" t="str">
        <f>IFERROR(__xludf.DUMMYFUNCTION("""COMPUTED_VALUE"""),"Isabel")</f>
        <v>Isabel</v>
      </c>
      <c r="S203" s="142" t="str">
        <f>IFERROR(__xludf.DUMMYFUNCTION("""COMPUTED_VALUE"""),"Jaro")</f>
        <v>Jaro</v>
      </c>
      <c r="T203" s="142" t="str">
        <f>IFERROR(__xludf.DUMMYFUNCTION("""COMPUTED_VALUE"""),"Javier")</f>
        <v>Javier</v>
      </c>
      <c r="U203" s="142" t="str">
        <f>IFERROR(__xludf.DUMMYFUNCTION("""COMPUTED_VALUE"""),"Julita")</f>
        <v>Julita</v>
      </c>
      <c r="V203" s="142" t="str">
        <f>IFERROR(__xludf.DUMMYFUNCTION("""COMPUTED_VALUE"""),"Kananga")</f>
        <v>Kananga</v>
      </c>
      <c r="W203" s="142" t="str">
        <f>IFERROR(__xludf.DUMMYFUNCTION("""COMPUTED_VALUE"""),"La Paz")</f>
        <v>La Paz</v>
      </c>
      <c r="X203" s="142" t="str">
        <f>IFERROR(__xludf.DUMMYFUNCTION("""COMPUTED_VALUE"""),"Leyte")</f>
        <v>Leyte</v>
      </c>
      <c r="Y203" s="142" t="str">
        <f>IFERROR(__xludf.DUMMYFUNCTION("""COMPUTED_VALUE"""),"Macarthur")</f>
        <v>Macarthur</v>
      </c>
      <c r="Z203" s="142" t="str">
        <f>IFERROR(__xludf.DUMMYFUNCTION("""COMPUTED_VALUE"""),"Mahaplag")</f>
        <v>Mahaplag</v>
      </c>
      <c r="AA203" s="142" t="str">
        <f>IFERROR(__xludf.DUMMYFUNCTION("""COMPUTED_VALUE"""),"Matag-Ob")</f>
        <v>Matag-Ob</v>
      </c>
      <c r="AB203" s="142" t="str">
        <f>IFERROR(__xludf.DUMMYFUNCTION("""COMPUTED_VALUE"""),"Matalom")</f>
        <v>Matalom</v>
      </c>
      <c r="AC203" s="142" t="str">
        <f>IFERROR(__xludf.DUMMYFUNCTION("""COMPUTED_VALUE"""),"Mayorga")</f>
        <v>Mayorga</v>
      </c>
      <c r="AD203" s="142" t="str">
        <f>IFERROR(__xludf.DUMMYFUNCTION("""COMPUTED_VALUE"""),"Merida")</f>
        <v>Merida</v>
      </c>
      <c r="AE203" s="142" t="str">
        <f>IFERROR(__xludf.DUMMYFUNCTION("""COMPUTED_VALUE"""),"Ormoc City")</f>
        <v>Ormoc City</v>
      </c>
      <c r="AF203" s="142" t="str">
        <f>IFERROR(__xludf.DUMMYFUNCTION("""COMPUTED_VALUE"""),"Palo")</f>
        <v>Palo</v>
      </c>
      <c r="AG203" s="142" t="str">
        <f>IFERROR(__xludf.DUMMYFUNCTION("""COMPUTED_VALUE"""),"Palompon")</f>
        <v>Palompon</v>
      </c>
      <c r="AH203" s="142" t="str">
        <f>IFERROR(__xludf.DUMMYFUNCTION("""COMPUTED_VALUE"""),"Pastrana")</f>
        <v>Pastrana</v>
      </c>
      <c r="AI203" s="142" t="str">
        <f>IFERROR(__xludf.DUMMYFUNCTION("""COMPUTED_VALUE"""),"San Isidro")</f>
        <v>San Isidro</v>
      </c>
      <c r="AJ203" s="142" t="str">
        <f>IFERROR(__xludf.DUMMYFUNCTION("""COMPUTED_VALUE"""),"San Miguel")</f>
        <v>San Miguel</v>
      </c>
      <c r="AK203" s="142" t="str">
        <f>IFERROR(__xludf.DUMMYFUNCTION("""COMPUTED_VALUE"""),"Santa Fe")</f>
        <v>Santa Fe</v>
      </c>
      <c r="AL203" s="142" t="str">
        <f>IFERROR(__xludf.DUMMYFUNCTION("""COMPUTED_VALUE"""),"Tabango")</f>
        <v>Tabango</v>
      </c>
      <c r="AM203" s="142" t="str">
        <f>IFERROR(__xludf.DUMMYFUNCTION("""COMPUTED_VALUE"""),"Tabontabon")</f>
        <v>Tabontabon</v>
      </c>
      <c r="AN203" s="142" t="str">
        <f>IFERROR(__xludf.DUMMYFUNCTION("""COMPUTED_VALUE"""),"City of Tacloban")</f>
        <v>City of Tacloban</v>
      </c>
      <c r="AO203" s="142" t="str">
        <f>IFERROR(__xludf.DUMMYFUNCTION("""COMPUTED_VALUE"""),"Tanauan")</f>
        <v>Tanauan</v>
      </c>
      <c r="AP203" s="142" t="str">
        <f>IFERROR(__xludf.DUMMYFUNCTION("""COMPUTED_VALUE"""),"Tolosa")</f>
        <v>Tolosa</v>
      </c>
      <c r="AQ203" s="142" t="str">
        <f>IFERROR(__xludf.DUMMYFUNCTION("""COMPUTED_VALUE"""),"Tunga")</f>
        <v>Tunga</v>
      </c>
      <c r="AR203" s="142" t="str">
        <f>IFERROR(__xludf.DUMMYFUNCTION("""COMPUTED_VALUE"""),"Villaba")</f>
        <v>Villaba</v>
      </c>
      <c r="AS203" s="8"/>
      <c r="AT203" s="8"/>
      <c r="AU203" s="8"/>
      <c r="AV203" s="8"/>
      <c r="AW203" s="8"/>
      <c r="AX203" s="8"/>
      <c r="AY203" s="8"/>
      <c r="AZ203" s="8"/>
      <c r="BA203" s="8"/>
      <c r="BB203" s="8"/>
      <c r="BC203" s="8"/>
      <c r="BD203" s="8"/>
      <c r="BE203" s="8"/>
    </row>
    <row r="204">
      <c r="A204" s="142" t="s">
        <v>585</v>
      </c>
      <c r="B204" s="142" t="str">
        <f>IFERROR(__xludf.DUMMYFUNCTION("""COMPUTED_VALUE"""),"Abuyog")</f>
        <v>Abuyog</v>
      </c>
      <c r="C204" s="142" t="str">
        <f>IFERROR(__xludf.DUMMYFUNCTION("""COMPUTED_VALUE"""),"Alangalang")</f>
        <v>Alangalang</v>
      </c>
      <c r="D204" s="142" t="str">
        <f>IFERROR(__xludf.DUMMYFUNCTION("""COMPUTED_VALUE"""),"Albuera")</f>
        <v>Albuera</v>
      </c>
      <c r="E204" s="142" t="str">
        <f>IFERROR(__xludf.DUMMYFUNCTION("""COMPUTED_VALUE"""),"Babatngon")</f>
        <v>Babatngon</v>
      </c>
      <c r="F204" s="142" t="str">
        <f>IFERROR(__xludf.DUMMYFUNCTION("""COMPUTED_VALUE"""),"Barugo")</f>
        <v>Barugo</v>
      </c>
      <c r="G204" s="142" t="str">
        <f>IFERROR(__xludf.DUMMYFUNCTION("""COMPUTED_VALUE"""),"Bato")</f>
        <v>Bato</v>
      </c>
      <c r="H204" s="142" t="str">
        <f>IFERROR(__xludf.DUMMYFUNCTION("""COMPUTED_VALUE"""),"City of Baybay")</f>
        <v>City of Baybay</v>
      </c>
      <c r="I204" s="142" t="str">
        <f>IFERROR(__xludf.DUMMYFUNCTION("""COMPUTED_VALUE"""),"Burauen")</f>
        <v>Burauen</v>
      </c>
      <c r="J204" s="142" t="str">
        <f>IFERROR(__xludf.DUMMYFUNCTION("""COMPUTED_VALUE"""),"Calubian")</f>
        <v>Calubian</v>
      </c>
      <c r="K204" s="142" t="str">
        <f>IFERROR(__xludf.DUMMYFUNCTION("""COMPUTED_VALUE"""),"Capoocan")</f>
        <v>Capoocan</v>
      </c>
      <c r="L204" s="142" t="str">
        <f>IFERROR(__xludf.DUMMYFUNCTION("""COMPUTED_VALUE"""),"Carigara")</f>
        <v>Carigara</v>
      </c>
      <c r="M204" s="142" t="str">
        <f>IFERROR(__xludf.DUMMYFUNCTION("""COMPUTED_VALUE"""),"Dagami")</f>
        <v>Dagami</v>
      </c>
      <c r="N204" s="142" t="str">
        <f>IFERROR(__xludf.DUMMYFUNCTION("""COMPUTED_VALUE"""),"Dulag")</f>
        <v>Dulag</v>
      </c>
      <c r="O204" s="142" t="str">
        <f>IFERROR(__xludf.DUMMYFUNCTION("""COMPUTED_VALUE"""),"Hilongos")</f>
        <v>Hilongos</v>
      </c>
      <c r="P204" s="142" t="str">
        <f>IFERROR(__xludf.DUMMYFUNCTION("""COMPUTED_VALUE"""),"Hindang")</f>
        <v>Hindang</v>
      </c>
      <c r="Q204" s="142" t="str">
        <f>IFERROR(__xludf.DUMMYFUNCTION("""COMPUTED_VALUE"""),"Inopacan")</f>
        <v>Inopacan</v>
      </c>
      <c r="R204" s="142" t="str">
        <f>IFERROR(__xludf.DUMMYFUNCTION("""COMPUTED_VALUE"""),"Isabel")</f>
        <v>Isabel</v>
      </c>
      <c r="S204" s="142" t="str">
        <f>IFERROR(__xludf.DUMMYFUNCTION("""COMPUTED_VALUE"""),"Jaro")</f>
        <v>Jaro</v>
      </c>
      <c r="T204" s="142" t="str">
        <f>IFERROR(__xludf.DUMMYFUNCTION("""COMPUTED_VALUE"""),"Javier")</f>
        <v>Javier</v>
      </c>
      <c r="U204" s="142" t="str">
        <f>IFERROR(__xludf.DUMMYFUNCTION("""COMPUTED_VALUE"""),"Julita")</f>
        <v>Julita</v>
      </c>
      <c r="V204" s="142" t="str">
        <f>IFERROR(__xludf.DUMMYFUNCTION("""COMPUTED_VALUE"""),"Kananga")</f>
        <v>Kananga</v>
      </c>
      <c r="W204" s="142" t="str">
        <f>IFERROR(__xludf.DUMMYFUNCTION("""COMPUTED_VALUE"""),"La Paz")</f>
        <v>La Paz</v>
      </c>
      <c r="X204" s="142" t="str">
        <f>IFERROR(__xludf.DUMMYFUNCTION("""COMPUTED_VALUE"""),"Leyte")</f>
        <v>Leyte</v>
      </c>
      <c r="Y204" s="142" t="str">
        <f>IFERROR(__xludf.DUMMYFUNCTION("""COMPUTED_VALUE"""),"Macarthur")</f>
        <v>Macarthur</v>
      </c>
      <c r="Z204" s="142" t="str">
        <f>IFERROR(__xludf.DUMMYFUNCTION("""COMPUTED_VALUE"""),"Mahaplag")</f>
        <v>Mahaplag</v>
      </c>
      <c r="AA204" s="142" t="str">
        <f>IFERROR(__xludf.DUMMYFUNCTION("""COMPUTED_VALUE"""),"Matag-Ob")</f>
        <v>Matag-Ob</v>
      </c>
      <c r="AB204" s="142" t="str">
        <f>IFERROR(__xludf.DUMMYFUNCTION("""COMPUTED_VALUE"""),"Matalom")</f>
        <v>Matalom</v>
      </c>
      <c r="AC204" s="142" t="str">
        <f>IFERROR(__xludf.DUMMYFUNCTION("""COMPUTED_VALUE"""),"Mayorga")</f>
        <v>Mayorga</v>
      </c>
      <c r="AD204" s="142" t="str">
        <f>IFERROR(__xludf.DUMMYFUNCTION("""COMPUTED_VALUE"""),"Merida")</f>
        <v>Merida</v>
      </c>
      <c r="AE204" s="142" t="str">
        <f>IFERROR(__xludf.DUMMYFUNCTION("""COMPUTED_VALUE"""),"Ormoc City")</f>
        <v>Ormoc City</v>
      </c>
      <c r="AF204" s="142" t="str">
        <f>IFERROR(__xludf.DUMMYFUNCTION("""COMPUTED_VALUE"""),"Palo")</f>
        <v>Palo</v>
      </c>
      <c r="AG204" s="142" t="str">
        <f>IFERROR(__xludf.DUMMYFUNCTION("""COMPUTED_VALUE"""),"Palompon")</f>
        <v>Palompon</v>
      </c>
      <c r="AH204" s="142" t="str">
        <f>IFERROR(__xludf.DUMMYFUNCTION("""COMPUTED_VALUE"""),"Pastrana")</f>
        <v>Pastrana</v>
      </c>
      <c r="AI204" s="142" t="str">
        <f>IFERROR(__xludf.DUMMYFUNCTION("""COMPUTED_VALUE"""),"San Isidro")</f>
        <v>San Isidro</v>
      </c>
      <c r="AJ204" s="142" t="str">
        <f>IFERROR(__xludf.DUMMYFUNCTION("""COMPUTED_VALUE"""),"San Miguel")</f>
        <v>San Miguel</v>
      </c>
      <c r="AK204" s="142" t="str">
        <f>IFERROR(__xludf.DUMMYFUNCTION("""COMPUTED_VALUE"""),"Santa Fe")</f>
        <v>Santa Fe</v>
      </c>
      <c r="AL204" s="142" t="str">
        <f>IFERROR(__xludf.DUMMYFUNCTION("""COMPUTED_VALUE"""),"Tabango")</f>
        <v>Tabango</v>
      </c>
      <c r="AM204" s="142" t="str">
        <f>IFERROR(__xludf.DUMMYFUNCTION("""COMPUTED_VALUE"""),"Tabontabon")</f>
        <v>Tabontabon</v>
      </c>
      <c r="AN204" s="142" t="str">
        <f>IFERROR(__xludf.DUMMYFUNCTION("""COMPUTED_VALUE"""),"City of Tacloban")</f>
        <v>City of Tacloban</v>
      </c>
      <c r="AO204" s="142" t="str">
        <f>IFERROR(__xludf.DUMMYFUNCTION("""COMPUTED_VALUE"""),"Tanauan")</f>
        <v>Tanauan</v>
      </c>
      <c r="AP204" s="142" t="str">
        <f>IFERROR(__xludf.DUMMYFUNCTION("""COMPUTED_VALUE"""),"Tolosa")</f>
        <v>Tolosa</v>
      </c>
      <c r="AQ204" s="142" t="str">
        <f>IFERROR(__xludf.DUMMYFUNCTION("""COMPUTED_VALUE"""),"Tunga")</f>
        <v>Tunga</v>
      </c>
      <c r="AR204" s="142" t="str">
        <f>IFERROR(__xludf.DUMMYFUNCTION("""COMPUTED_VALUE"""),"Villaba")</f>
        <v>Villaba</v>
      </c>
      <c r="AS204" s="8"/>
      <c r="AT204" s="8"/>
      <c r="AU204" s="8"/>
      <c r="AV204" s="8"/>
      <c r="AW204" s="8"/>
      <c r="AX204" s="8"/>
      <c r="AY204" s="8"/>
      <c r="AZ204" s="8"/>
      <c r="BA204" s="8"/>
      <c r="BB204" s="8"/>
      <c r="BC204" s="8"/>
      <c r="BD204" s="8"/>
      <c r="BE204" s="8"/>
    </row>
    <row r="205">
      <c r="A205" s="142" t="s">
        <v>585</v>
      </c>
      <c r="B205" s="142" t="str">
        <f>IFERROR(__xludf.DUMMYFUNCTION("""COMPUTED_VALUE"""),"Abuyog")</f>
        <v>Abuyog</v>
      </c>
      <c r="C205" s="142" t="str">
        <f>IFERROR(__xludf.DUMMYFUNCTION("""COMPUTED_VALUE"""),"Alangalang")</f>
        <v>Alangalang</v>
      </c>
      <c r="D205" s="142" t="str">
        <f>IFERROR(__xludf.DUMMYFUNCTION("""COMPUTED_VALUE"""),"Albuera")</f>
        <v>Albuera</v>
      </c>
      <c r="E205" s="142" t="str">
        <f>IFERROR(__xludf.DUMMYFUNCTION("""COMPUTED_VALUE"""),"Babatngon")</f>
        <v>Babatngon</v>
      </c>
      <c r="F205" s="142" t="str">
        <f>IFERROR(__xludf.DUMMYFUNCTION("""COMPUTED_VALUE"""),"Barugo")</f>
        <v>Barugo</v>
      </c>
      <c r="G205" s="142" t="str">
        <f>IFERROR(__xludf.DUMMYFUNCTION("""COMPUTED_VALUE"""),"Bato")</f>
        <v>Bato</v>
      </c>
      <c r="H205" s="142" t="str">
        <f>IFERROR(__xludf.DUMMYFUNCTION("""COMPUTED_VALUE"""),"City of Baybay")</f>
        <v>City of Baybay</v>
      </c>
      <c r="I205" s="142" t="str">
        <f>IFERROR(__xludf.DUMMYFUNCTION("""COMPUTED_VALUE"""),"Burauen")</f>
        <v>Burauen</v>
      </c>
      <c r="J205" s="142" t="str">
        <f>IFERROR(__xludf.DUMMYFUNCTION("""COMPUTED_VALUE"""),"Calubian")</f>
        <v>Calubian</v>
      </c>
      <c r="K205" s="142" t="str">
        <f>IFERROR(__xludf.DUMMYFUNCTION("""COMPUTED_VALUE"""),"Capoocan")</f>
        <v>Capoocan</v>
      </c>
      <c r="L205" s="142" t="str">
        <f>IFERROR(__xludf.DUMMYFUNCTION("""COMPUTED_VALUE"""),"Carigara")</f>
        <v>Carigara</v>
      </c>
      <c r="M205" s="142" t="str">
        <f>IFERROR(__xludf.DUMMYFUNCTION("""COMPUTED_VALUE"""),"Dagami")</f>
        <v>Dagami</v>
      </c>
      <c r="N205" s="142" t="str">
        <f>IFERROR(__xludf.DUMMYFUNCTION("""COMPUTED_VALUE"""),"Dulag")</f>
        <v>Dulag</v>
      </c>
      <c r="O205" s="142" t="str">
        <f>IFERROR(__xludf.DUMMYFUNCTION("""COMPUTED_VALUE"""),"Hilongos")</f>
        <v>Hilongos</v>
      </c>
      <c r="P205" s="142" t="str">
        <f>IFERROR(__xludf.DUMMYFUNCTION("""COMPUTED_VALUE"""),"Hindang")</f>
        <v>Hindang</v>
      </c>
      <c r="Q205" s="142" t="str">
        <f>IFERROR(__xludf.DUMMYFUNCTION("""COMPUTED_VALUE"""),"Inopacan")</f>
        <v>Inopacan</v>
      </c>
      <c r="R205" s="142" t="str">
        <f>IFERROR(__xludf.DUMMYFUNCTION("""COMPUTED_VALUE"""),"Isabel")</f>
        <v>Isabel</v>
      </c>
      <c r="S205" s="142" t="str">
        <f>IFERROR(__xludf.DUMMYFUNCTION("""COMPUTED_VALUE"""),"Jaro")</f>
        <v>Jaro</v>
      </c>
      <c r="T205" s="142" t="str">
        <f>IFERROR(__xludf.DUMMYFUNCTION("""COMPUTED_VALUE"""),"Javier")</f>
        <v>Javier</v>
      </c>
      <c r="U205" s="142" t="str">
        <f>IFERROR(__xludf.DUMMYFUNCTION("""COMPUTED_VALUE"""),"Julita")</f>
        <v>Julita</v>
      </c>
      <c r="V205" s="142" t="str">
        <f>IFERROR(__xludf.DUMMYFUNCTION("""COMPUTED_VALUE"""),"Kananga")</f>
        <v>Kananga</v>
      </c>
      <c r="W205" s="142" t="str">
        <f>IFERROR(__xludf.DUMMYFUNCTION("""COMPUTED_VALUE"""),"La Paz")</f>
        <v>La Paz</v>
      </c>
      <c r="X205" s="142" t="str">
        <f>IFERROR(__xludf.DUMMYFUNCTION("""COMPUTED_VALUE"""),"Leyte")</f>
        <v>Leyte</v>
      </c>
      <c r="Y205" s="142" t="str">
        <f>IFERROR(__xludf.DUMMYFUNCTION("""COMPUTED_VALUE"""),"Macarthur")</f>
        <v>Macarthur</v>
      </c>
      <c r="Z205" s="142" t="str">
        <f>IFERROR(__xludf.DUMMYFUNCTION("""COMPUTED_VALUE"""),"Mahaplag")</f>
        <v>Mahaplag</v>
      </c>
      <c r="AA205" s="142" t="str">
        <f>IFERROR(__xludf.DUMMYFUNCTION("""COMPUTED_VALUE"""),"Matag-Ob")</f>
        <v>Matag-Ob</v>
      </c>
      <c r="AB205" s="142" t="str">
        <f>IFERROR(__xludf.DUMMYFUNCTION("""COMPUTED_VALUE"""),"Matalom")</f>
        <v>Matalom</v>
      </c>
      <c r="AC205" s="142" t="str">
        <f>IFERROR(__xludf.DUMMYFUNCTION("""COMPUTED_VALUE"""),"Mayorga")</f>
        <v>Mayorga</v>
      </c>
      <c r="AD205" s="142" t="str">
        <f>IFERROR(__xludf.DUMMYFUNCTION("""COMPUTED_VALUE"""),"Merida")</f>
        <v>Merida</v>
      </c>
      <c r="AE205" s="142" t="str">
        <f>IFERROR(__xludf.DUMMYFUNCTION("""COMPUTED_VALUE"""),"Ormoc City")</f>
        <v>Ormoc City</v>
      </c>
      <c r="AF205" s="142" t="str">
        <f>IFERROR(__xludf.DUMMYFUNCTION("""COMPUTED_VALUE"""),"Palo")</f>
        <v>Palo</v>
      </c>
      <c r="AG205" s="142" t="str">
        <f>IFERROR(__xludf.DUMMYFUNCTION("""COMPUTED_VALUE"""),"Palompon")</f>
        <v>Palompon</v>
      </c>
      <c r="AH205" s="142" t="str">
        <f>IFERROR(__xludf.DUMMYFUNCTION("""COMPUTED_VALUE"""),"Pastrana")</f>
        <v>Pastrana</v>
      </c>
      <c r="AI205" s="142" t="str">
        <f>IFERROR(__xludf.DUMMYFUNCTION("""COMPUTED_VALUE"""),"San Isidro")</f>
        <v>San Isidro</v>
      </c>
      <c r="AJ205" s="142" t="str">
        <f>IFERROR(__xludf.DUMMYFUNCTION("""COMPUTED_VALUE"""),"San Miguel")</f>
        <v>San Miguel</v>
      </c>
      <c r="AK205" s="142" t="str">
        <f>IFERROR(__xludf.DUMMYFUNCTION("""COMPUTED_VALUE"""),"Santa Fe")</f>
        <v>Santa Fe</v>
      </c>
      <c r="AL205" s="142" t="str">
        <f>IFERROR(__xludf.DUMMYFUNCTION("""COMPUTED_VALUE"""),"Tabango")</f>
        <v>Tabango</v>
      </c>
      <c r="AM205" s="142" t="str">
        <f>IFERROR(__xludf.DUMMYFUNCTION("""COMPUTED_VALUE"""),"Tabontabon")</f>
        <v>Tabontabon</v>
      </c>
      <c r="AN205" s="142" t="str">
        <f>IFERROR(__xludf.DUMMYFUNCTION("""COMPUTED_VALUE"""),"City of Tacloban")</f>
        <v>City of Tacloban</v>
      </c>
      <c r="AO205" s="142" t="str">
        <f>IFERROR(__xludf.DUMMYFUNCTION("""COMPUTED_VALUE"""),"Tanauan")</f>
        <v>Tanauan</v>
      </c>
      <c r="AP205" s="142" t="str">
        <f>IFERROR(__xludf.DUMMYFUNCTION("""COMPUTED_VALUE"""),"Tolosa")</f>
        <v>Tolosa</v>
      </c>
      <c r="AQ205" s="142" t="str">
        <f>IFERROR(__xludf.DUMMYFUNCTION("""COMPUTED_VALUE"""),"Tunga")</f>
        <v>Tunga</v>
      </c>
      <c r="AR205" s="142" t="str">
        <f>IFERROR(__xludf.DUMMYFUNCTION("""COMPUTED_VALUE"""),"Villaba")</f>
        <v>Villaba</v>
      </c>
      <c r="AS205" s="8"/>
      <c r="AT205" s="8"/>
      <c r="AU205" s="8"/>
      <c r="AV205" s="8"/>
      <c r="AW205" s="8"/>
      <c r="AX205" s="8"/>
      <c r="AY205" s="8"/>
      <c r="AZ205" s="8"/>
      <c r="BA205" s="8"/>
      <c r="BB205" s="8"/>
      <c r="BC205" s="8"/>
      <c r="BD205" s="8"/>
      <c r="BE205" s="8"/>
    </row>
    <row r="206">
      <c r="A206" s="142" t="s">
        <v>585</v>
      </c>
      <c r="B206" s="142" t="str">
        <f>IFERROR(__xludf.DUMMYFUNCTION("""COMPUTED_VALUE"""),"Abuyog")</f>
        <v>Abuyog</v>
      </c>
      <c r="C206" s="142" t="str">
        <f>IFERROR(__xludf.DUMMYFUNCTION("""COMPUTED_VALUE"""),"Alangalang")</f>
        <v>Alangalang</v>
      </c>
      <c r="D206" s="142" t="str">
        <f>IFERROR(__xludf.DUMMYFUNCTION("""COMPUTED_VALUE"""),"Albuera")</f>
        <v>Albuera</v>
      </c>
      <c r="E206" s="142" t="str">
        <f>IFERROR(__xludf.DUMMYFUNCTION("""COMPUTED_VALUE"""),"Babatngon")</f>
        <v>Babatngon</v>
      </c>
      <c r="F206" s="142" t="str">
        <f>IFERROR(__xludf.DUMMYFUNCTION("""COMPUTED_VALUE"""),"Barugo")</f>
        <v>Barugo</v>
      </c>
      <c r="G206" s="142" t="str">
        <f>IFERROR(__xludf.DUMMYFUNCTION("""COMPUTED_VALUE"""),"Bato")</f>
        <v>Bato</v>
      </c>
      <c r="H206" s="142" t="str">
        <f>IFERROR(__xludf.DUMMYFUNCTION("""COMPUTED_VALUE"""),"City of Baybay")</f>
        <v>City of Baybay</v>
      </c>
      <c r="I206" s="142" t="str">
        <f>IFERROR(__xludf.DUMMYFUNCTION("""COMPUTED_VALUE"""),"Burauen")</f>
        <v>Burauen</v>
      </c>
      <c r="J206" s="142" t="str">
        <f>IFERROR(__xludf.DUMMYFUNCTION("""COMPUTED_VALUE"""),"Calubian")</f>
        <v>Calubian</v>
      </c>
      <c r="K206" s="142" t="str">
        <f>IFERROR(__xludf.DUMMYFUNCTION("""COMPUTED_VALUE"""),"Capoocan")</f>
        <v>Capoocan</v>
      </c>
      <c r="L206" s="142" t="str">
        <f>IFERROR(__xludf.DUMMYFUNCTION("""COMPUTED_VALUE"""),"Carigara")</f>
        <v>Carigara</v>
      </c>
      <c r="M206" s="142" t="str">
        <f>IFERROR(__xludf.DUMMYFUNCTION("""COMPUTED_VALUE"""),"Dagami")</f>
        <v>Dagami</v>
      </c>
      <c r="N206" s="142" t="str">
        <f>IFERROR(__xludf.DUMMYFUNCTION("""COMPUTED_VALUE"""),"Dulag")</f>
        <v>Dulag</v>
      </c>
      <c r="O206" s="142" t="str">
        <f>IFERROR(__xludf.DUMMYFUNCTION("""COMPUTED_VALUE"""),"Hilongos")</f>
        <v>Hilongos</v>
      </c>
      <c r="P206" s="142" t="str">
        <f>IFERROR(__xludf.DUMMYFUNCTION("""COMPUTED_VALUE"""),"Hindang")</f>
        <v>Hindang</v>
      </c>
      <c r="Q206" s="142" t="str">
        <f>IFERROR(__xludf.DUMMYFUNCTION("""COMPUTED_VALUE"""),"Inopacan")</f>
        <v>Inopacan</v>
      </c>
      <c r="R206" s="142" t="str">
        <f>IFERROR(__xludf.DUMMYFUNCTION("""COMPUTED_VALUE"""),"Isabel")</f>
        <v>Isabel</v>
      </c>
      <c r="S206" s="142" t="str">
        <f>IFERROR(__xludf.DUMMYFUNCTION("""COMPUTED_VALUE"""),"Jaro")</f>
        <v>Jaro</v>
      </c>
      <c r="T206" s="142" t="str">
        <f>IFERROR(__xludf.DUMMYFUNCTION("""COMPUTED_VALUE"""),"Javier")</f>
        <v>Javier</v>
      </c>
      <c r="U206" s="142" t="str">
        <f>IFERROR(__xludf.DUMMYFUNCTION("""COMPUTED_VALUE"""),"Julita")</f>
        <v>Julita</v>
      </c>
      <c r="V206" s="142" t="str">
        <f>IFERROR(__xludf.DUMMYFUNCTION("""COMPUTED_VALUE"""),"Kananga")</f>
        <v>Kananga</v>
      </c>
      <c r="W206" s="142" t="str">
        <f>IFERROR(__xludf.DUMMYFUNCTION("""COMPUTED_VALUE"""),"La Paz")</f>
        <v>La Paz</v>
      </c>
      <c r="X206" s="142" t="str">
        <f>IFERROR(__xludf.DUMMYFUNCTION("""COMPUTED_VALUE"""),"Leyte")</f>
        <v>Leyte</v>
      </c>
      <c r="Y206" s="142" t="str">
        <f>IFERROR(__xludf.DUMMYFUNCTION("""COMPUTED_VALUE"""),"Macarthur")</f>
        <v>Macarthur</v>
      </c>
      <c r="Z206" s="142" t="str">
        <f>IFERROR(__xludf.DUMMYFUNCTION("""COMPUTED_VALUE"""),"Mahaplag")</f>
        <v>Mahaplag</v>
      </c>
      <c r="AA206" s="142" t="str">
        <f>IFERROR(__xludf.DUMMYFUNCTION("""COMPUTED_VALUE"""),"Matag-Ob")</f>
        <v>Matag-Ob</v>
      </c>
      <c r="AB206" s="142" t="str">
        <f>IFERROR(__xludf.DUMMYFUNCTION("""COMPUTED_VALUE"""),"Matalom")</f>
        <v>Matalom</v>
      </c>
      <c r="AC206" s="142" t="str">
        <f>IFERROR(__xludf.DUMMYFUNCTION("""COMPUTED_VALUE"""),"Mayorga")</f>
        <v>Mayorga</v>
      </c>
      <c r="AD206" s="142" t="str">
        <f>IFERROR(__xludf.DUMMYFUNCTION("""COMPUTED_VALUE"""),"Merida")</f>
        <v>Merida</v>
      </c>
      <c r="AE206" s="142" t="str">
        <f>IFERROR(__xludf.DUMMYFUNCTION("""COMPUTED_VALUE"""),"Ormoc City")</f>
        <v>Ormoc City</v>
      </c>
      <c r="AF206" s="142" t="str">
        <f>IFERROR(__xludf.DUMMYFUNCTION("""COMPUTED_VALUE"""),"Palo")</f>
        <v>Palo</v>
      </c>
      <c r="AG206" s="142" t="str">
        <f>IFERROR(__xludf.DUMMYFUNCTION("""COMPUTED_VALUE"""),"Palompon")</f>
        <v>Palompon</v>
      </c>
      <c r="AH206" s="142" t="str">
        <f>IFERROR(__xludf.DUMMYFUNCTION("""COMPUTED_VALUE"""),"Pastrana")</f>
        <v>Pastrana</v>
      </c>
      <c r="AI206" s="142" t="str">
        <f>IFERROR(__xludf.DUMMYFUNCTION("""COMPUTED_VALUE"""),"San Isidro")</f>
        <v>San Isidro</v>
      </c>
      <c r="AJ206" s="142" t="str">
        <f>IFERROR(__xludf.DUMMYFUNCTION("""COMPUTED_VALUE"""),"San Miguel")</f>
        <v>San Miguel</v>
      </c>
      <c r="AK206" s="142" t="str">
        <f>IFERROR(__xludf.DUMMYFUNCTION("""COMPUTED_VALUE"""),"Santa Fe")</f>
        <v>Santa Fe</v>
      </c>
      <c r="AL206" s="142" t="str">
        <f>IFERROR(__xludf.DUMMYFUNCTION("""COMPUTED_VALUE"""),"Tabango")</f>
        <v>Tabango</v>
      </c>
      <c r="AM206" s="142" t="str">
        <f>IFERROR(__xludf.DUMMYFUNCTION("""COMPUTED_VALUE"""),"Tabontabon")</f>
        <v>Tabontabon</v>
      </c>
      <c r="AN206" s="142" t="str">
        <f>IFERROR(__xludf.DUMMYFUNCTION("""COMPUTED_VALUE"""),"City of Tacloban")</f>
        <v>City of Tacloban</v>
      </c>
      <c r="AO206" s="142" t="str">
        <f>IFERROR(__xludf.DUMMYFUNCTION("""COMPUTED_VALUE"""),"Tanauan")</f>
        <v>Tanauan</v>
      </c>
      <c r="AP206" s="142" t="str">
        <f>IFERROR(__xludf.DUMMYFUNCTION("""COMPUTED_VALUE"""),"Tolosa")</f>
        <v>Tolosa</v>
      </c>
      <c r="AQ206" s="142" t="str">
        <f>IFERROR(__xludf.DUMMYFUNCTION("""COMPUTED_VALUE"""),"Tunga")</f>
        <v>Tunga</v>
      </c>
      <c r="AR206" s="142" t="str">
        <f>IFERROR(__xludf.DUMMYFUNCTION("""COMPUTED_VALUE"""),"Villaba")</f>
        <v>Villaba</v>
      </c>
      <c r="AS206" s="8"/>
      <c r="AT206" s="8"/>
      <c r="AU206" s="8"/>
      <c r="AV206" s="8"/>
      <c r="AW206" s="8"/>
      <c r="AX206" s="8"/>
      <c r="AY206" s="8"/>
      <c r="AZ206" s="8"/>
      <c r="BA206" s="8"/>
      <c r="BB206" s="8"/>
      <c r="BC206" s="8"/>
      <c r="BD206" s="8"/>
      <c r="BE206" s="8"/>
    </row>
    <row r="207">
      <c r="A207" s="142" t="s">
        <v>585</v>
      </c>
      <c r="B207" s="142" t="str">
        <f>IFERROR(__xludf.DUMMYFUNCTION("""COMPUTED_VALUE"""),"Abuyog")</f>
        <v>Abuyog</v>
      </c>
      <c r="C207" s="142" t="str">
        <f>IFERROR(__xludf.DUMMYFUNCTION("""COMPUTED_VALUE"""),"Alangalang")</f>
        <v>Alangalang</v>
      </c>
      <c r="D207" s="142" t="str">
        <f>IFERROR(__xludf.DUMMYFUNCTION("""COMPUTED_VALUE"""),"Albuera")</f>
        <v>Albuera</v>
      </c>
      <c r="E207" s="142" t="str">
        <f>IFERROR(__xludf.DUMMYFUNCTION("""COMPUTED_VALUE"""),"Babatngon")</f>
        <v>Babatngon</v>
      </c>
      <c r="F207" s="142" t="str">
        <f>IFERROR(__xludf.DUMMYFUNCTION("""COMPUTED_VALUE"""),"Barugo")</f>
        <v>Barugo</v>
      </c>
      <c r="G207" s="142" t="str">
        <f>IFERROR(__xludf.DUMMYFUNCTION("""COMPUTED_VALUE"""),"Bato")</f>
        <v>Bato</v>
      </c>
      <c r="H207" s="142" t="str">
        <f>IFERROR(__xludf.DUMMYFUNCTION("""COMPUTED_VALUE"""),"City of Baybay")</f>
        <v>City of Baybay</v>
      </c>
      <c r="I207" s="142" t="str">
        <f>IFERROR(__xludf.DUMMYFUNCTION("""COMPUTED_VALUE"""),"Burauen")</f>
        <v>Burauen</v>
      </c>
      <c r="J207" s="142" t="str">
        <f>IFERROR(__xludf.DUMMYFUNCTION("""COMPUTED_VALUE"""),"Calubian")</f>
        <v>Calubian</v>
      </c>
      <c r="K207" s="142" t="str">
        <f>IFERROR(__xludf.DUMMYFUNCTION("""COMPUTED_VALUE"""),"Capoocan")</f>
        <v>Capoocan</v>
      </c>
      <c r="L207" s="142" t="str">
        <f>IFERROR(__xludf.DUMMYFUNCTION("""COMPUTED_VALUE"""),"Carigara")</f>
        <v>Carigara</v>
      </c>
      <c r="M207" s="142" t="str">
        <f>IFERROR(__xludf.DUMMYFUNCTION("""COMPUTED_VALUE"""),"Dagami")</f>
        <v>Dagami</v>
      </c>
      <c r="N207" s="142" t="str">
        <f>IFERROR(__xludf.DUMMYFUNCTION("""COMPUTED_VALUE"""),"Dulag")</f>
        <v>Dulag</v>
      </c>
      <c r="O207" s="142" t="str">
        <f>IFERROR(__xludf.DUMMYFUNCTION("""COMPUTED_VALUE"""),"Hilongos")</f>
        <v>Hilongos</v>
      </c>
      <c r="P207" s="142" t="str">
        <f>IFERROR(__xludf.DUMMYFUNCTION("""COMPUTED_VALUE"""),"Hindang")</f>
        <v>Hindang</v>
      </c>
      <c r="Q207" s="142" t="str">
        <f>IFERROR(__xludf.DUMMYFUNCTION("""COMPUTED_VALUE"""),"Inopacan")</f>
        <v>Inopacan</v>
      </c>
      <c r="R207" s="142" t="str">
        <f>IFERROR(__xludf.DUMMYFUNCTION("""COMPUTED_VALUE"""),"Isabel")</f>
        <v>Isabel</v>
      </c>
      <c r="S207" s="142" t="str">
        <f>IFERROR(__xludf.DUMMYFUNCTION("""COMPUTED_VALUE"""),"Jaro")</f>
        <v>Jaro</v>
      </c>
      <c r="T207" s="142" t="str">
        <f>IFERROR(__xludf.DUMMYFUNCTION("""COMPUTED_VALUE"""),"Javier")</f>
        <v>Javier</v>
      </c>
      <c r="U207" s="142" t="str">
        <f>IFERROR(__xludf.DUMMYFUNCTION("""COMPUTED_VALUE"""),"Julita")</f>
        <v>Julita</v>
      </c>
      <c r="V207" s="142" t="str">
        <f>IFERROR(__xludf.DUMMYFUNCTION("""COMPUTED_VALUE"""),"Kananga")</f>
        <v>Kananga</v>
      </c>
      <c r="W207" s="142" t="str">
        <f>IFERROR(__xludf.DUMMYFUNCTION("""COMPUTED_VALUE"""),"La Paz")</f>
        <v>La Paz</v>
      </c>
      <c r="X207" s="142" t="str">
        <f>IFERROR(__xludf.DUMMYFUNCTION("""COMPUTED_VALUE"""),"Leyte")</f>
        <v>Leyte</v>
      </c>
      <c r="Y207" s="142" t="str">
        <f>IFERROR(__xludf.DUMMYFUNCTION("""COMPUTED_VALUE"""),"Macarthur")</f>
        <v>Macarthur</v>
      </c>
      <c r="Z207" s="142" t="str">
        <f>IFERROR(__xludf.DUMMYFUNCTION("""COMPUTED_VALUE"""),"Mahaplag")</f>
        <v>Mahaplag</v>
      </c>
      <c r="AA207" s="142" t="str">
        <f>IFERROR(__xludf.DUMMYFUNCTION("""COMPUTED_VALUE"""),"Matag-Ob")</f>
        <v>Matag-Ob</v>
      </c>
      <c r="AB207" s="142" t="str">
        <f>IFERROR(__xludf.DUMMYFUNCTION("""COMPUTED_VALUE"""),"Matalom")</f>
        <v>Matalom</v>
      </c>
      <c r="AC207" s="142" t="str">
        <f>IFERROR(__xludf.DUMMYFUNCTION("""COMPUTED_VALUE"""),"Mayorga")</f>
        <v>Mayorga</v>
      </c>
      <c r="AD207" s="142" t="str">
        <f>IFERROR(__xludf.DUMMYFUNCTION("""COMPUTED_VALUE"""),"Merida")</f>
        <v>Merida</v>
      </c>
      <c r="AE207" s="142" t="str">
        <f>IFERROR(__xludf.DUMMYFUNCTION("""COMPUTED_VALUE"""),"Ormoc City")</f>
        <v>Ormoc City</v>
      </c>
      <c r="AF207" s="142" t="str">
        <f>IFERROR(__xludf.DUMMYFUNCTION("""COMPUTED_VALUE"""),"Palo")</f>
        <v>Palo</v>
      </c>
      <c r="AG207" s="142" t="str">
        <f>IFERROR(__xludf.DUMMYFUNCTION("""COMPUTED_VALUE"""),"Palompon")</f>
        <v>Palompon</v>
      </c>
      <c r="AH207" s="142" t="str">
        <f>IFERROR(__xludf.DUMMYFUNCTION("""COMPUTED_VALUE"""),"Pastrana")</f>
        <v>Pastrana</v>
      </c>
      <c r="AI207" s="142" t="str">
        <f>IFERROR(__xludf.DUMMYFUNCTION("""COMPUTED_VALUE"""),"San Isidro")</f>
        <v>San Isidro</v>
      </c>
      <c r="AJ207" s="142" t="str">
        <f>IFERROR(__xludf.DUMMYFUNCTION("""COMPUTED_VALUE"""),"San Miguel")</f>
        <v>San Miguel</v>
      </c>
      <c r="AK207" s="142" t="str">
        <f>IFERROR(__xludf.DUMMYFUNCTION("""COMPUTED_VALUE"""),"Santa Fe")</f>
        <v>Santa Fe</v>
      </c>
      <c r="AL207" s="142" t="str">
        <f>IFERROR(__xludf.DUMMYFUNCTION("""COMPUTED_VALUE"""),"Tabango")</f>
        <v>Tabango</v>
      </c>
      <c r="AM207" s="142" t="str">
        <f>IFERROR(__xludf.DUMMYFUNCTION("""COMPUTED_VALUE"""),"Tabontabon")</f>
        <v>Tabontabon</v>
      </c>
      <c r="AN207" s="142" t="str">
        <f>IFERROR(__xludf.DUMMYFUNCTION("""COMPUTED_VALUE"""),"City of Tacloban")</f>
        <v>City of Tacloban</v>
      </c>
      <c r="AO207" s="142" t="str">
        <f>IFERROR(__xludf.DUMMYFUNCTION("""COMPUTED_VALUE"""),"Tanauan")</f>
        <v>Tanauan</v>
      </c>
      <c r="AP207" s="142" t="str">
        <f>IFERROR(__xludf.DUMMYFUNCTION("""COMPUTED_VALUE"""),"Tolosa")</f>
        <v>Tolosa</v>
      </c>
      <c r="AQ207" s="142" t="str">
        <f>IFERROR(__xludf.DUMMYFUNCTION("""COMPUTED_VALUE"""),"Tunga")</f>
        <v>Tunga</v>
      </c>
      <c r="AR207" s="142" t="str">
        <f>IFERROR(__xludf.DUMMYFUNCTION("""COMPUTED_VALUE"""),"Villaba")</f>
        <v>Villaba</v>
      </c>
      <c r="AS207" s="8"/>
      <c r="AT207" s="8"/>
      <c r="AU207" s="8"/>
      <c r="AV207" s="8"/>
      <c r="AW207" s="8"/>
      <c r="AX207" s="8"/>
      <c r="AY207" s="8"/>
      <c r="AZ207" s="8"/>
      <c r="BA207" s="8"/>
      <c r="BB207" s="8"/>
      <c r="BC207" s="8"/>
      <c r="BD207" s="8"/>
      <c r="BE207" s="8"/>
    </row>
    <row r="208">
      <c r="A208" s="142" t="s">
        <v>585</v>
      </c>
      <c r="B208" s="142" t="str">
        <f>IFERROR(__xludf.DUMMYFUNCTION("""COMPUTED_VALUE"""),"Abuyog")</f>
        <v>Abuyog</v>
      </c>
      <c r="C208" s="142" t="str">
        <f>IFERROR(__xludf.DUMMYFUNCTION("""COMPUTED_VALUE"""),"Alangalang")</f>
        <v>Alangalang</v>
      </c>
      <c r="D208" s="142" t="str">
        <f>IFERROR(__xludf.DUMMYFUNCTION("""COMPUTED_VALUE"""),"Albuera")</f>
        <v>Albuera</v>
      </c>
      <c r="E208" s="142" t="str">
        <f>IFERROR(__xludf.DUMMYFUNCTION("""COMPUTED_VALUE"""),"Babatngon")</f>
        <v>Babatngon</v>
      </c>
      <c r="F208" s="142" t="str">
        <f>IFERROR(__xludf.DUMMYFUNCTION("""COMPUTED_VALUE"""),"Barugo")</f>
        <v>Barugo</v>
      </c>
      <c r="G208" s="142" t="str">
        <f>IFERROR(__xludf.DUMMYFUNCTION("""COMPUTED_VALUE"""),"Bato")</f>
        <v>Bato</v>
      </c>
      <c r="H208" s="142" t="str">
        <f>IFERROR(__xludf.DUMMYFUNCTION("""COMPUTED_VALUE"""),"City of Baybay")</f>
        <v>City of Baybay</v>
      </c>
      <c r="I208" s="142" t="str">
        <f>IFERROR(__xludf.DUMMYFUNCTION("""COMPUTED_VALUE"""),"Burauen")</f>
        <v>Burauen</v>
      </c>
      <c r="J208" s="142" t="str">
        <f>IFERROR(__xludf.DUMMYFUNCTION("""COMPUTED_VALUE"""),"Calubian")</f>
        <v>Calubian</v>
      </c>
      <c r="K208" s="142" t="str">
        <f>IFERROR(__xludf.DUMMYFUNCTION("""COMPUTED_VALUE"""),"Capoocan")</f>
        <v>Capoocan</v>
      </c>
      <c r="L208" s="142" t="str">
        <f>IFERROR(__xludf.DUMMYFUNCTION("""COMPUTED_VALUE"""),"Carigara")</f>
        <v>Carigara</v>
      </c>
      <c r="M208" s="142" t="str">
        <f>IFERROR(__xludf.DUMMYFUNCTION("""COMPUTED_VALUE"""),"Dagami")</f>
        <v>Dagami</v>
      </c>
      <c r="N208" s="142" t="str">
        <f>IFERROR(__xludf.DUMMYFUNCTION("""COMPUTED_VALUE"""),"Dulag")</f>
        <v>Dulag</v>
      </c>
      <c r="O208" s="142" t="str">
        <f>IFERROR(__xludf.DUMMYFUNCTION("""COMPUTED_VALUE"""),"Hilongos")</f>
        <v>Hilongos</v>
      </c>
      <c r="P208" s="142" t="str">
        <f>IFERROR(__xludf.DUMMYFUNCTION("""COMPUTED_VALUE"""),"Hindang")</f>
        <v>Hindang</v>
      </c>
      <c r="Q208" s="142" t="str">
        <f>IFERROR(__xludf.DUMMYFUNCTION("""COMPUTED_VALUE"""),"Inopacan")</f>
        <v>Inopacan</v>
      </c>
      <c r="R208" s="142" t="str">
        <f>IFERROR(__xludf.DUMMYFUNCTION("""COMPUTED_VALUE"""),"Isabel")</f>
        <v>Isabel</v>
      </c>
      <c r="S208" s="142" t="str">
        <f>IFERROR(__xludf.DUMMYFUNCTION("""COMPUTED_VALUE"""),"Jaro")</f>
        <v>Jaro</v>
      </c>
      <c r="T208" s="142" t="str">
        <f>IFERROR(__xludf.DUMMYFUNCTION("""COMPUTED_VALUE"""),"Javier")</f>
        <v>Javier</v>
      </c>
      <c r="U208" s="142" t="str">
        <f>IFERROR(__xludf.DUMMYFUNCTION("""COMPUTED_VALUE"""),"Julita")</f>
        <v>Julita</v>
      </c>
      <c r="V208" s="142" t="str">
        <f>IFERROR(__xludf.DUMMYFUNCTION("""COMPUTED_VALUE"""),"Kananga")</f>
        <v>Kananga</v>
      </c>
      <c r="W208" s="142" t="str">
        <f>IFERROR(__xludf.DUMMYFUNCTION("""COMPUTED_VALUE"""),"La Paz")</f>
        <v>La Paz</v>
      </c>
      <c r="X208" s="142" t="str">
        <f>IFERROR(__xludf.DUMMYFUNCTION("""COMPUTED_VALUE"""),"Leyte")</f>
        <v>Leyte</v>
      </c>
      <c r="Y208" s="142" t="str">
        <f>IFERROR(__xludf.DUMMYFUNCTION("""COMPUTED_VALUE"""),"Macarthur")</f>
        <v>Macarthur</v>
      </c>
      <c r="Z208" s="142" t="str">
        <f>IFERROR(__xludf.DUMMYFUNCTION("""COMPUTED_VALUE"""),"Mahaplag")</f>
        <v>Mahaplag</v>
      </c>
      <c r="AA208" s="142" t="str">
        <f>IFERROR(__xludf.DUMMYFUNCTION("""COMPUTED_VALUE"""),"Matag-Ob")</f>
        <v>Matag-Ob</v>
      </c>
      <c r="AB208" s="142" t="str">
        <f>IFERROR(__xludf.DUMMYFUNCTION("""COMPUTED_VALUE"""),"Matalom")</f>
        <v>Matalom</v>
      </c>
      <c r="AC208" s="142" t="str">
        <f>IFERROR(__xludf.DUMMYFUNCTION("""COMPUTED_VALUE"""),"Mayorga")</f>
        <v>Mayorga</v>
      </c>
      <c r="AD208" s="142" t="str">
        <f>IFERROR(__xludf.DUMMYFUNCTION("""COMPUTED_VALUE"""),"Merida")</f>
        <v>Merida</v>
      </c>
      <c r="AE208" s="142" t="str">
        <f>IFERROR(__xludf.DUMMYFUNCTION("""COMPUTED_VALUE"""),"Ormoc City")</f>
        <v>Ormoc City</v>
      </c>
      <c r="AF208" s="142" t="str">
        <f>IFERROR(__xludf.DUMMYFUNCTION("""COMPUTED_VALUE"""),"Palo")</f>
        <v>Palo</v>
      </c>
      <c r="AG208" s="142" t="str">
        <f>IFERROR(__xludf.DUMMYFUNCTION("""COMPUTED_VALUE"""),"Palompon")</f>
        <v>Palompon</v>
      </c>
      <c r="AH208" s="142" t="str">
        <f>IFERROR(__xludf.DUMMYFUNCTION("""COMPUTED_VALUE"""),"Pastrana")</f>
        <v>Pastrana</v>
      </c>
      <c r="AI208" s="142" t="str">
        <f>IFERROR(__xludf.DUMMYFUNCTION("""COMPUTED_VALUE"""),"San Isidro")</f>
        <v>San Isidro</v>
      </c>
      <c r="AJ208" s="142" t="str">
        <f>IFERROR(__xludf.DUMMYFUNCTION("""COMPUTED_VALUE"""),"San Miguel")</f>
        <v>San Miguel</v>
      </c>
      <c r="AK208" s="142" t="str">
        <f>IFERROR(__xludf.DUMMYFUNCTION("""COMPUTED_VALUE"""),"Santa Fe")</f>
        <v>Santa Fe</v>
      </c>
      <c r="AL208" s="142" t="str">
        <f>IFERROR(__xludf.DUMMYFUNCTION("""COMPUTED_VALUE"""),"Tabango")</f>
        <v>Tabango</v>
      </c>
      <c r="AM208" s="142" t="str">
        <f>IFERROR(__xludf.DUMMYFUNCTION("""COMPUTED_VALUE"""),"Tabontabon")</f>
        <v>Tabontabon</v>
      </c>
      <c r="AN208" s="142" t="str">
        <f>IFERROR(__xludf.DUMMYFUNCTION("""COMPUTED_VALUE"""),"City of Tacloban")</f>
        <v>City of Tacloban</v>
      </c>
      <c r="AO208" s="142" t="str">
        <f>IFERROR(__xludf.DUMMYFUNCTION("""COMPUTED_VALUE"""),"Tanauan")</f>
        <v>Tanauan</v>
      </c>
      <c r="AP208" s="142" t="str">
        <f>IFERROR(__xludf.DUMMYFUNCTION("""COMPUTED_VALUE"""),"Tolosa")</f>
        <v>Tolosa</v>
      </c>
      <c r="AQ208" s="142" t="str">
        <f>IFERROR(__xludf.DUMMYFUNCTION("""COMPUTED_VALUE"""),"Tunga")</f>
        <v>Tunga</v>
      </c>
      <c r="AR208" s="142" t="str">
        <f>IFERROR(__xludf.DUMMYFUNCTION("""COMPUTED_VALUE"""),"Villaba")</f>
        <v>Villaba</v>
      </c>
      <c r="AS208" s="8"/>
      <c r="AT208" s="8"/>
      <c r="AU208" s="8"/>
      <c r="AV208" s="8"/>
      <c r="AW208" s="8"/>
      <c r="AX208" s="8"/>
      <c r="AY208" s="8"/>
      <c r="AZ208" s="8"/>
      <c r="BA208" s="8"/>
      <c r="BB208" s="8"/>
      <c r="BC208" s="8"/>
      <c r="BD208" s="8"/>
      <c r="BE208" s="8"/>
    </row>
    <row r="209">
      <c r="A209" s="142" t="s">
        <v>585</v>
      </c>
      <c r="B209" s="142" t="str">
        <f>IFERROR(__xludf.DUMMYFUNCTION("""COMPUTED_VALUE"""),"Abuyog")</f>
        <v>Abuyog</v>
      </c>
      <c r="C209" s="142" t="str">
        <f>IFERROR(__xludf.DUMMYFUNCTION("""COMPUTED_VALUE"""),"Alangalang")</f>
        <v>Alangalang</v>
      </c>
      <c r="D209" s="142" t="str">
        <f>IFERROR(__xludf.DUMMYFUNCTION("""COMPUTED_VALUE"""),"Albuera")</f>
        <v>Albuera</v>
      </c>
      <c r="E209" s="142" t="str">
        <f>IFERROR(__xludf.DUMMYFUNCTION("""COMPUTED_VALUE"""),"Babatngon")</f>
        <v>Babatngon</v>
      </c>
      <c r="F209" s="142" t="str">
        <f>IFERROR(__xludf.DUMMYFUNCTION("""COMPUTED_VALUE"""),"Barugo")</f>
        <v>Barugo</v>
      </c>
      <c r="G209" s="142" t="str">
        <f>IFERROR(__xludf.DUMMYFUNCTION("""COMPUTED_VALUE"""),"Bato")</f>
        <v>Bato</v>
      </c>
      <c r="H209" s="142" t="str">
        <f>IFERROR(__xludf.DUMMYFUNCTION("""COMPUTED_VALUE"""),"City of Baybay")</f>
        <v>City of Baybay</v>
      </c>
      <c r="I209" s="142" t="str">
        <f>IFERROR(__xludf.DUMMYFUNCTION("""COMPUTED_VALUE"""),"Burauen")</f>
        <v>Burauen</v>
      </c>
      <c r="J209" s="142" t="str">
        <f>IFERROR(__xludf.DUMMYFUNCTION("""COMPUTED_VALUE"""),"Calubian")</f>
        <v>Calubian</v>
      </c>
      <c r="K209" s="142" t="str">
        <f>IFERROR(__xludf.DUMMYFUNCTION("""COMPUTED_VALUE"""),"Capoocan")</f>
        <v>Capoocan</v>
      </c>
      <c r="L209" s="142" t="str">
        <f>IFERROR(__xludf.DUMMYFUNCTION("""COMPUTED_VALUE"""),"Carigara")</f>
        <v>Carigara</v>
      </c>
      <c r="M209" s="142" t="str">
        <f>IFERROR(__xludf.DUMMYFUNCTION("""COMPUTED_VALUE"""),"Dagami")</f>
        <v>Dagami</v>
      </c>
      <c r="N209" s="142" t="str">
        <f>IFERROR(__xludf.DUMMYFUNCTION("""COMPUTED_VALUE"""),"Dulag")</f>
        <v>Dulag</v>
      </c>
      <c r="O209" s="142" t="str">
        <f>IFERROR(__xludf.DUMMYFUNCTION("""COMPUTED_VALUE"""),"Hilongos")</f>
        <v>Hilongos</v>
      </c>
      <c r="P209" s="142" t="str">
        <f>IFERROR(__xludf.DUMMYFUNCTION("""COMPUTED_VALUE"""),"Hindang")</f>
        <v>Hindang</v>
      </c>
      <c r="Q209" s="142" t="str">
        <f>IFERROR(__xludf.DUMMYFUNCTION("""COMPUTED_VALUE"""),"Inopacan")</f>
        <v>Inopacan</v>
      </c>
      <c r="R209" s="142" t="str">
        <f>IFERROR(__xludf.DUMMYFUNCTION("""COMPUTED_VALUE"""),"Isabel")</f>
        <v>Isabel</v>
      </c>
      <c r="S209" s="142" t="str">
        <f>IFERROR(__xludf.DUMMYFUNCTION("""COMPUTED_VALUE"""),"Jaro")</f>
        <v>Jaro</v>
      </c>
      <c r="T209" s="142" t="str">
        <f>IFERROR(__xludf.DUMMYFUNCTION("""COMPUTED_VALUE"""),"Javier")</f>
        <v>Javier</v>
      </c>
      <c r="U209" s="142" t="str">
        <f>IFERROR(__xludf.DUMMYFUNCTION("""COMPUTED_VALUE"""),"Julita")</f>
        <v>Julita</v>
      </c>
      <c r="V209" s="142" t="str">
        <f>IFERROR(__xludf.DUMMYFUNCTION("""COMPUTED_VALUE"""),"Kananga")</f>
        <v>Kananga</v>
      </c>
      <c r="W209" s="142" t="str">
        <f>IFERROR(__xludf.DUMMYFUNCTION("""COMPUTED_VALUE"""),"La Paz")</f>
        <v>La Paz</v>
      </c>
      <c r="X209" s="142" t="str">
        <f>IFERROR(__xludf.DUMMYFUNCTION("""COMPUTED_VALUE"""),"Leyte")</f>
        <v>Leyte</v>
      </c>
      <c r="Y209" s="142" t="str">
        <f>IFERROR(__xludf.DUMMYFUNCTION("""COMPUTED_VALUE"""),"Macarthur")</f>
        <v>Macarthur</v>
      </c>
      <c r="Z209" s="142" t="str">
        <f>IFERROR(__xludf.DUMMYFUNCTION("""COMPUTED_VALUE"""),"Mahaplag")</f>
        <v>Mahaplag</v>
      </c>
      <c r="AA209" s="142" t="str">
        <f>IFERROR(__xludf.DUMMYFUNCTION("""COMPUTED_VALUE"""),"Matag-Ob")</f>
        <v>Matag-Ob</v>
      </c>
      <c r="AB209" s="142" t="str">
        <f>IFERROR(__xludf.DUMMYFUNCTION("""COMPUTED_VALUE"""),"Matalom")</f>
        <v>Matalom</v>
      </c>
      <c r="AC209" s="142" t="str">
        <f>IFERROR(__xludf.DUMMYFUNCTION("""COMPUTED_VALUE"""),"Mayorga")</f>
        <v>Mayorga</v>
      </c>
      <c r="AD209" s="142" t="str">
        <f>IFERROR(__xludf.DUMMYFUNCTION("""COMPUTED_VALUE"""),"Merida")</f>
        <v>Merida</v>
      </c>
      <c r="AE209" s="142" t="str">
        <f>IFERROR(__xludf.DUMMYFUNCTION("""COMPUTED_VALUE"""),"Ormoc City")</f>
        <v>Ormoc City</v>
      </c>
      <c r="AF209" s="142" t="str">
        <f>IFERROR(__xludf.DUMMYFUNCTION("""COMPUTED_VALUE"""),"Palo")</f>
        <v>Palo</v>
      </c>
      <c r="AG209" s="142" t="str">
        <f>IFERROR(__xludf.DUMMYFUNCTION("""COMPUTED_VALUE"""),"Palompon")</f>
        <v>Palompon</v>
      </c>
      <c r="AH209" s="142" t="str">
        <f>IFERROR(__xludf.DUMMYFUNCTION("""COMPUTED_VALUE"""),"Pastrana")</f>
        <v>Pastrana</v>
      </c>
      <c r="AI209" s="142" t="str">
        <f>IFERROR(__xludf.DUMMYFUNCTION("""COMPUTED_VALUE"""),"San Isidro")</f>
        <v>San Isidro</v>
      </c>
      <c r="AJ209" s="142" t="str">
        <f>IFERROR(__xludf.DUMMYFUNCTION("""COMPUTED_VALUE"""),"San Miguel")</f>
        <v>San Miguel</v>
      </c>
      <c r="AK209" s="142" t="str">
        <f>IFERROR(__xludf.DUMMYFUNCTION("""COMPUTED_VALUE"""),"Santa Fe")</f>
        <v>Santa Fe</v>
      </c>
      <c r="AL209" s="142" t="str">
        <f>IFERROR(__xludf.DUMMYFUNCTION("""COMPUTED_VALUE"""),"Tabango")</f>
        <v>Tabango</v>
      </c>
      <c r="AM209" s="142" t="str">
        <f>IFERROR(__xludf.DUMMYFUNCTION("""COMPUTED_VALUE"""),"Tabontabon")</f>
        <v>Tabontabon</v>
      </c>
      <c r="AN209" s="142" t="str">
        <f>IFERROR(__xludf.DUMMYFUNCTION("""COMPUTED_VALUE"""),"City of Tacloban")</f>
        <v>City of Tacloban</v>
      </c>
      <c r="AO209" s="142" t="str">
        <f>IFERROR(__xludf.DUMMYFUNCTION("""COMPUTED_VALUE"""),"Tanauan")</f>
        <v>Tanauan</v>
      </c>
      <c r="AP209" s="142" t="str">
        <f>IFERROR(__xludf.DUMMYFUNCTION("""COMPUTED_VALUE"""),"Tolosa")</f>
        <v>Tolosa</v>
      </c>
      <c r="AQ209" s="142" t="str">
        <f>IFERROR(__xludf.DUMMYFUNCTION("""COMPUTED_VALUE"""),"Tunga")</f>
        <v>Tunga</v>
      </c>
      <c r="AR209" s="142" t="str">
        <f>IFERROR(__xludf.DUMMYFUNCTION("""COMPUTED_VALUE"""),"Villaba")</f>
        <v>Villaba</v>
      </c>
      <c r="AS209" s="8"/>
      <c r="AT209" s="8"/>
      <c r="AU209" s="8"/>
      <c r="AV209" s="8"/>
      <c r="AW209" s="8"/>
      <c r="AX209" s="8"/>
      <c r="AY209" s="8"/>
      <c r="AZ209" s="8"/>
      <c r="BA209" s="8"/>
      <c r="BB209" s="8"/>
      <c r="BC209" s="8"/>
      <c r="BD209" s="8"/>
      <c r="BE209" s="8"/>
    </row>
    <row r="210">
      <c r="A210" s="142" t="s">
        <v>585</v>
      </c>
      <c r="B210" s="142" t="str">
        <f>IFERROR(__xludf.DUMMYFUNCTION("""COMPUTED_VALUE"""),"Abuyog")</f>
        <v>Abuyog</v>
      </c>
      <c r="C210" s="142" t="str">
        <f>IFERROR(__xludf.DUMMYFUNCTION("""COMPUTED_VALUE"""),"Alangalang")</f>
        <v>Alangalang</v>
      </c>
      <c r="D210" s="142" t="str">
        <f>IFERROR(__xludf.DUMMYFUNCTION("""COMPUTED_VALUE"""),"Albuera")</f>
        <v>Albuera</v>
      </c>
      <c r="E210" s="142" t="str">
        <f>IFERROR(__xludf.DUMMYFUNCTION("""COMPUTED_VALUE"""),"Babatngon")</f>
        <v>Babatngon</v>
      </c>
      <c r="F210" s="142" t="str">
        <f>IFERROR(__xludf.DUMMYFUNCTION("""COMPUTED_VALUE"""),"Barugo")</f>
        <v>Barugo</v>
      </c>
      <c r="G210" s="142" t="str">
        <f>IFERROR(__xludf.DUMMYFUNCTION("""COMPUTED_VALUE"""),"Bato")</f>
        <v>Bato</v>
      </c>
      <c r="H210" s="142" t="str">
        <f>IFERROR(__xludf.DUMMYFUNCTION("""COMPUTED_VALUE"""),"City of Baybay")</f>
        <v>City of Baybay</v>
      </c>
      <c r="I210" s="142" t="str">
        <f>IFERROR(__xludf.DUMMYFUNCTION("""COMPUTED_VALUE"""),"Burauen")</f>
        <v>Burauen</v>
      </c>
      <c r="J210" s="142" t="str">
        <f>IFERROR(__xludf.DUMMYFUNCTION("""COMPUTED_VALUE"""),"Calubian")</f>
        <v>Calubian</v>
      </c>
      <c r="K210" s="142" t="str">
        <f>IFERROR(__xludf.DUMMYFUNCTION("""COMPUTED_VALUE"""),"Capoocan")</f>
        <v>Capoocan</v>
      </c>
      <c r="L210" s="142" t="str">
        <f>IFERROR(__xludf.DUMMYFUNCTION("""COMPUTED_VALUE"""),"Carigara")</f>
        <v>Carigara</v>
      </c>
      <c r="M210" s="142" t="str">
        <f>IFERROR(__xludf.DUMMYFUNCTION("""COMPUTED_VALUE"""),"Dagami")</f>
        <v>Dagami</v>
      </c>
      <c r="N210" s="142" t="str">
        <f>IFERROR(__xludf.DUMMYFUNCTION("""COMPUTED_VALUE"""),"Dulag")</f>
        <v>Dulag</v>
      </c>
      <c r="O210" s="142" t="str">
        <f>IFERROR(__xludf.DUMMYFUNCTION("""COMPUTED_VALUE"""),"Hilongos")</f>
        <v>Hilongos</v>
      </c>
      <c r="P210" s="142" t="str">
        <f>IFERROR(__xludf.DUMMYFUNCTION("""COMPUTED_VALUE"""),"Hindang")</f>
        <v>Hindang</v>
      </c>
      <c r="Q210" s="142" t="str">
        <f>IFERROR(__xludf.DUMMYFUNCTION("""COMPUTED_VALUE"""),"Inopacan")</f>
        <v>Inopacan</v>
      </c>
      <c r="R210" s="142" t="str">
        <f>IFERROR(__xludf.DUMMYFUNCTION("""COMPUTED_VALUE"""),"Isabel")</f>
        <v>Isabel</v>
      </c>
      <c r="S210" s="142" t="str">
        <f>IFERROR(__xludf.DUMMYFUNCTION("""COMPUTED_VALUE"""),"Jaro")</f>
        <v>Jaro</v>
      </c>
      <c r="T210" s="142" t="str">
        <f>IFERROR(__xludf.DUMMYFUNCTION("""COMPUTED_VALUE"""),"Javier")</f>
        <v>Javier</v>
      </c>
      <c r="U210" s="142" t="str">
        <f>IFERROR(__xludf.DUMMYFUNCTION("""COMPUTED_VALUE"""),"Julita")</f>
        <v>Julita</v>
      </c>
      <c r="V210" s="142" t="str">
        <f>IFERROR(__xludf.DUMMYFUNCTION("""COMPUTED_VALUE"""),"Kananga")</f>
        <v>Kananga</v>
      </c>
      <c r="W210" s="142" t="str">
        <f>IFERROR(__xludf.DUMMYFUNCTION("""COMPUTED_VALUE"""),"La Paz")</f>
        <v>La Paz</v>
      </c>
      <c r="X210" s="142" t="str">
        <f>IFERROR(__xludf.DUMMYFUNCTION("""COMPUTED_VALUE"""),"Leyte")</f>
        <v>Leyte</v>
      </c>
      <c r="Y210" s="142" t="str">
        <f>IFERROR(__xludf.DUMMYFUNCTION("""COMPUTED_VALUE"""),"Macarthur")</f>
        <v>Macarthur</v>
      </c>
      <c r="Z210" s="142" t="str">
        <f>IFERROR(__xludf.DUMMYFUNCTION("""COMPUTED_VALUE"""),"Mahaplag")</f>
        <v>Mahaplag</v>
      </c>
      <c r="AA210" s="142" t="str">
        <f>IFERROR(__xludf.DUMMYFUNCTION("""COMPUTED_VALUE"""),"Matag-Ob")</f>
        <v>Matag-Ob</v>
      </c>
      <c r="AB210" s="142" t="str">
        <f>IFERROR(__xludf.DUMMYFUNCTION("""COMPUTED_VALUE"""),"Matalom")</f>
        <v>Matalom</v>
      </c>
      <c r="AC210" s="142" t="str">
        <f>IFERROR(__xludf.DUMMYFUNCTION("""COMPUTED_VALUE"""),"Mayorga")</f>
        <v>Mayorga</v>
      </c>
      <c r="AD210" s="142" t="str">
        <f>IFERROR(__xludf.DUMMYFUNCTION("""COMPUTED_VALUE"""),"Merida")</f>
        <v>Merida</v>
      </c>
      <c r="AE210" s="142" t="str">
        <f>IFERROR(__xludf.DUMMYFUNCTION("""COMPUTED_VALUE"""),"Ormoc City")</f>
        <v>Ormoc City</v>
      </c>
      <c r="AF210" s="142" t="str">
        <f>IFERROR(__xludf.DUMMYFUNCTION("""COMPUTED_VALUE"""),"Palo")</f>
        <v>Palo</v>
      </c>
      <c r="AG210" s="142" t="str">
        <f>IFERROR(__xludf.DUMMYFUNCTION("""COMPUTED_VALUE"""),"Palompon")</f>
        <v>Palompon</v>
      </c>
      <c r="AH210" s="142" t="str">
        <f>IFERROR(__xludf.DUMMYFUNCTION("""COMPUTED_VALUE"""),"Pastrana")</f>
        <v>Pastrana</v>
      </c>
      <c r="AI210" s="142" t="str">
        <f>IFERROR(__xludf.DUMMYFUNCTION("""COMPUTED_VALUE"""),"San Isidro")</f>
        <v>San Isidro</v>
      </c>
      <c r="AJ210" s="142" t="str">
        <f>IFERROR(__xludf.DUMMYFUNCTION("""COMPUTED_VALUE"""),"San Miguel")</f>
        <v>San Miguel</v>
      </c>
      <c r="AK210" s="142" t="str">
        <f>IFERROR(__xludf.DUMMYFUNCTION("""COMPUTED_VALUE"""),"Santa Fe")</f>
        <v>Santa Fe</v>
      </c>
      <c r="AL210" s="142" t="str">
        <f>IFERROR(__xludf.DUMMYFUNCTION("""COMPUTED_VALUE"""),"Tabango")</f>
        <v>Tabango</v>
      </c>
      <c r="AM210" s="142" t="str">
        <f>IFERROR(__xludf.DUMMYFUNCTION("""COMPUTED_VALUE"""),"Tabontabon")</f>
        <v>Tabontabon</v>
      </c>
      <c r="AN210" s="142" t="str">
        <f>IFERROR(__xludf.DUMMYFUNCTION("""COMPUTED_VALUE"""),"City of Tacloban")</f>
        <v>City of Tacloban</v>
      </c>
      <c r="AO210" s="142" t="str">
        <f>IFERROR(__xludf.DUMMYFUNCTION("""COMPUTED_VALUE"""),"Tanauan")</f>
        <v>Tanauan</v>
      </c>
      <c r="AP210" s="142" t="str">
        <f>IFERROR(__xludf.DUMMYFUNCTION("""COMPUTED_VALUE"""),"Tolosa")</f>
        <v>Tolosa</v>
      </c>
      <c r="AQ210" s="142" t="str">
        <f>IFERROR(__xludf.DUMMYFUNCTION("""COMPUTED_VALUE"""),"Tunga")</f>
        <v>Tunga</v>
      </c>
      <c r="AR210" s="142" t="str">
        <f>IFERROR(__xludf.DUMMYFUNCTION("""COMPUTED_VALUE"""),"Villaba")</f>
        <v>Villaba</v>
      </c>
      <c r="AS210" s="8"/>
      <c r="AT210" s="8"/>
      <c r="AU210" s="8"/>
      <c r="AV210" s="8"/>
      <c r="AW210" s="8"/>
      <c r="AX210" s="8"/>
      <c r="AY210" s="8"/>
      <c r="AZ210" s="8"/>
      <c r="BA210" s="8"/>
      <c r="BB210" s="8"/>
      <c r="BC210" s="8"/>
      <c r="BD210" s="8"/>
      <c r="BE210" s="8"/>
    </row>
    <row r="211">
      <c r="A211" s="142" t="s">
        <v>585</v>
      </c>
      <c r="B211" s="142" t="str">
        <f>IFERROR(__xludf.DUMMYFUNCTION("""COMPUTED_VALUE"""),"Abuyog")</f>
        <v>Abuyog</v>
      </c>
      <c r="C211" s="142" t="str">
        <f>IFERROR(__xludf.DUMMYFUNCTION("""COMPUTED_VALUE"""),"Alangalang")</f>
        <v>Alangalang</v>
      </c>
      <c r="D211" s="142" t="str">
        <f>IFERROR(__xludf.DUMMYFUNCTION("""COMPUTED_VALUE"""),"Albuera")</f>
        <v>Albuera</v>
      </c>
      <c r="E211" s="142" t="str">
        <f>IFERROR(__xludf.DUMMYFUNCTION("""COMPUTED_VALUE"""),"Babatngon")</f>
        <v>Babatngon</v>
      </c>
      <c r="F211" s="142" t="str">
        <f>IFERROR(__xludf.DUMMYFUNCTION("""COMPUTED_VALUE"""),"Barugo")</f>
        <v>Barugo</v>
      </c>
      <c r="G211" s="142" t="str">
        <f>IFERROR(__xludf.DUMMYFUNCTION("""COMPUTED_VALUE"""),"Bato")</f>
        <v>Bato</v>
      </c>
      <c r="H211" s="142" t="str">
        <f>IFERROR(__xludf.DUMMYFUNCTION("""COMPUTED_VALUE"""),"City of Baybay")</f>
        <v>City of Baybay</v>
      </c>
      <c r="I211" s="142" t="str">
        <f>IFERROR(__xludf.DUMMYFUNCTION("""COMPUTED_VALUE"""),"Burauen")</f>
        <v>Burauen</v>
      </c>
      <c r="J211" s="142" t="str">
        <f>IFERROR(__xludf.DUMMYFUNCTION("""COMPUTED_VALUE"""),"Calubian")</f>
        <v>Calubian</v>
      </c>
      <c r="K211" s="142" t="str">
        <f>IFERROR(__xludf.DUMMYFUNCTION("""COMPUTED_VALUE"""),"Capoocan")</f>
        <v>Capoocan</v>
      </c>
      <c r="L211" s="142" t="str">
        <f>IFERROR(__xludf.DUMMYFUNCTION("""COMPUTED_VALUE"""),"Carigara")</f>
        <v>Carigara</v>
      </c>
      <c r="M211" s="142" t="str">
        <f>IFERROR(__xludf.DUMMYFUNCTION("""COMPUTED_VALUE"""),"Dagami")</f>
        <v>Dagami</v>
      </c>
      <c r="N211" s="142" t="str">
        <f>IFERROR(__xludf.DUMMYFUNCTION("""COMPUTED_VALUE"""),"Dulag")</f>
        <v>Dulag</v>
      </c>
      <c r="O211" s="142" t="str">
        <f>IFERROR(__xludf.DUMMYFUNCTION("""COMPUTED_VALUE"""),"Hilongos")</f>
        <v>Hilongos</v>
      </c>
      <c r="P211" s="142" t="str">
        <f>IFERROR(__xludf.DUMMYFUNCTION("""COMPUTED_VALUE"""),"Hindang")</f>
        <v>Hindang</v>
      </c>
      <c r="Q211" s="142" t="str">
        <f>IFERROR(__xludf.DUMMYFUNCTION("""COMPUTED_VALUE"""),"Inopacan")</f>
        <v>Inopacan</v>
      </c>
      <c r="R211" s="142" t="str">
        <f>IFERROR(__xludf.DUMMYFUNCTION("""COMPUTED_VALUE"""),"Isabel")</f>
        <v>Isabel</v>
      </c>
      <c r="S211" s="142" t="str">
        <f>IFERROR(__xludf.DUMMYFUNCTION("""COMPUTED_VALUE"""),"Jaro")</f>
        <v>Jaro</v>
      </c>
      <c r="T211" s="142" t="str">
        <f>IFERROR(__xludf.DUMMYFUNCTION("""COMPUTED_VALUE"""),"Javier")</f>
        <v>Javier</v>
      </c>
      <c r="U211" s="142" t="str">
        <f>IFERROR(__xludf.DUMMYFUNCTION("""COMPUTED_VALUE"""),"Julita")</f>
        <v>Julita</v>
      </c>
      <c r="V211" s="142" t="str">
        <f>IFERROR(__xludf.DUMMYFUNCTION("""COMPUTED_VALUE"""),"Kananga")</f>
        <v>Kananga</v>
      </c>
      <c r="W211" s="142" t="str">
        <f>IFERROR(__xludf.DUMMYFUNCTION("""COMPUTED_VALUE"""),"La Paz")</f>
        <v>La Paz</v>
      </c>
      <c r="X211" s="142" t="str">
        <f>IFERROR(__xludf.DUMMYFUNCTION("""COMPUTED_VALUE"""),"Leyte")</f>
        <v>Leyte</v>
      </c>
      <c r="Y211" s="142" t="str">
        <f>IFERROR(__xludf.DUMMYFUNCTION("""COMPUTED_VALUE"""),"Macarthur")</f>
        <v>Macarthur</v>
      </c>
      <c r="Z211" s="142" t="str">
        <f>IFERROR(__xludf.DUMMYFUNCTION("""COMPUTED_VALUE"""),"Mahaplag")</f>
        <v>Mahaplag</v>
      </c>
      <c r="AA211" s="142" t="str">
        <f>IFERROR(__xludf.DUMMYFUNCTION("""COMPUTED_VALUE"""),"Matag-Ob")</f>
        <v>Matag-Ob</v>
      </c>
      <c r="AB211" s="142" t="str">
        <f>IFERROR(__xludf.DUMMYFUNCTION("""COMPUTED_VALUE"""),"Matalom")</f>
        <v>Matalom</v>
      </c>
      <c r="AC211" s="142" t="str">
        <f>IFERROR(__xludf.DUMMYFUNCTION("""COMPUTED_VALUE"""),"Mayorga")</f>
        <v>Mayorga</v>
      </c>
      <c r="AD211" s="142" t="str">
        <f>IFERROR(__xludf.DUMMYFUNCTION("""COMPUTED_VALUE"""),"Merida")</f>
        <v>Merida</v>
      </c>
      <c r="AE211" s="142" t="str">
        <f>IFERROR(__xludf.DUMMYFUNCTION("""COMPUTED_VALUE"""),"Ormoc City")</f>
        <v>Ormoc City</v>
      </c>
      <c r="AF211" s="142" t="str">
        <f>IFERROR(__xludf.DUMMYFUNCTION("""COMPUTED_VALUE"""),"Palo")</f>
        <v>Palo</v>
      </c>
      <c r="AG211" s="142" t="str">
        <f>IFERROR(__xludf.DUMMYFUNCTION("""COMPUTED_VALUE"""),"Palompon")</f>
        <v>Palompon</v>
      </c>
      <c r="AH211" s="142" t="str">
        <f>IFERROR(__xludf.DUMMYFUNCTION("""COMPUTED_VALUE"""),"Pastrana")</f>
        <v>Pastrana</v>
      </c>
      <c r="AI211" s="142" t="str">
        <f>IFERROR(__xludf.DUMMYFUNCTION("""COMPUTED_VALUE"""),"San Isidro")</f>
        <v>San Isidro</v>
      </c>
      <c r="AJ211" s="142" t="str">
        <f>IFERROR(__xludf.DUMMYFUNCTION("""COMPUTED_VALUE"""),"San Miguel")</f>
        <v>San Miguel</v>
      </c>
      <c r="AK211" s="142" t="str">
        <f>IFERROR(__xludf.DUMMYFUNCTION("""COMPUTED_VALUE"""),"Santa Fe")</f>
        <v>Santa Fe</v>
      </c>
      <c r="AL211" s="142" t="str">
        <f>IFERROR(__xludf.DUMMYFUNCTION("""COMPUTED_VALUE"""),"Tabango")</f>
        <v>Tabango</v>
      </c>
      <c r="AM211" s="142" t="str">
        <f>IFERROR(__xludf.DUMMYFUNCTION("""COMPUTED_VALUE"""),"Tabontabon")</f>
        <v>Tabontabon</v>
      </c>
      <c r="AN211" s="142" t="str">
        <f>IFERROR(__xludf.DUMMYFUNCTION("""COMPUTED_VALUE"""),"City of Tacloban")</f>
        <v>City of Tacloban</v>
      </c>
      <c r="AO211" s="142" t="str">
        <f>IFERROR(__xludf.DUMMYFUNCTION("""COMPUTED_VALUE"""),"Tanauan")</f>
        <v>Tanauan</v>
      </c>
      <c r="AP211" s="142" t="str">
        <f>IFERROR(__xludf.DUMMYFUNCTION("""COMPUTED_VALUE"""),"Tolosa")</f>
        <v>Tolosa</v>
      </c>
      <c r="AQ211" s="142" t="str">
        <f>IFERROR(__xludf.DUMMYFUNCTION("""COMPUTED_VALUE"""),"Tunga")</f>
        <v>Tunga</v>
      </c>
      <c r="AR211" s="142" t="str">
        <f>IFERROR(__xludf.DUMMYFUNCTION("""COMPUTED_VALUE"""),"Villaba")</f>
        <v>Villaba</v>
      </c>
      <c r="AS211" s="8"/>
      <c r="AT211" s="8"/>
      <c r="AU211" s="8"/>
      <c r="AV211" s="8"/>
      <c r="AW211" s="8"/>
      <c r="AX211" s="8"/>
      <c r="AY211" s="8"/>
      <c r="AZ211" s="8"/>
      <c r="BA211" s="8"/>
      <c r="BB211" s="8"/>
      <c r="BC211" s="8"/>
      <c r="BD211" s="8"/>
      <c r="BE211" s="8"/>
    </row>
    <row r="212">
      <c r="A212" s="142" t="s">
        <v>1271</v>
      </c>
      <c r="B212" s="142" t="str">
        <f>IFERROR(__xludf.DUMMYFUNCTION("""COMPUTED_VALUE"""),"Anahawan")</f>
        <v>Anahawan</v>
      </c>
      <c r="C212" s="142" t="str">
        <f>IFERROR(__xludf.DUMMYFUNCTION("""COMPUTED_VALUE"""),"Bontoc")</f>
        <v>Bontoc</v>
      </c>
      <c r="D212" s="142" t="str">
        <f>IFERROR(__xludf.DUMMYFUNCTION("""COMPUTED_VALUE"""),"Hinunangan")</f>
        <v>Hinunangan</v>
      </c>
      <c r="E212" s="142" t="str">
        <f>IFERROR(__xludf.DUMMYFUNCTION("""COMPUTED_VALUE"""),"Hinundayan")</f>
        <v>Hinundayan</v>
      </c>
      <c r="F212" s="142" t="str">
        <f>IFERROR(__xludf.DUMMYFUNCTION("""COMPUTED_VALUE"""),"Libagon")</f>
        <v>Libagon</v>
      </c>
      <c r="G212" s="142" t="str">
        <f>IFERROR(__xludf.DUMMYFUNCTION("""COMPUTED_VALUE"""),"Liloan")</f>
        <v>Liloan</v>
      </c>
      <c r="H212" s="142" t="str">
        <f>IFERROR(__xludf.DUMMYFUNCTION("""COMPUTED_VALUE"""),"City of Maasin")</f>
        <v>City of Maasin</v>
      </c>
      <c r="I212" s="142" t="str">
        <f>IFERROR(__xludf.DUMMYFUNCTION("""COMPUTED_VALUE"""),"Macrohon")</f>
        <v>Macrohon</v>
      </c>
      <c r="J212" s="142" t="str">
        <f>IFERROR(__xludf.DUMMYFUNCTION("""COMPUTED_VALUE"""),"Malitbog")</f>
        <v>Malitbog</v>
      </c>
      <c r="K212" s="142" t="str">
        <f>IFERROR(__xludf.DUMMYFUNCTION("""COMPUTED_VALUE"""),"Padre Burgos")</f>
        <v>Padre Burgos</v>
      </c>
      <c r="L212" s="142" t="str">
        <f>IFERROR(__xludf.DUMMYFUNCTION("""COMPUTED_VALUE"""),"Pintuyan")</f>
        <v>Pintuyan</v>
      </c>
      <c r="M212" s="142" t="str">
        <f>IFERROR(__xludf.DUMMYFUNCTION("""COMPUTED_VALUE"""),"Saint Bernard")</f>
        <v>Saint Bernard</v>
      </c>
      <c r="N212" s="142" t="str">
        <f>IFERROR(__xludf.DUMMYFUNCTION("""COMPUTED_VALUE"""),"San Francisco")</f>
        <v>San Francisco</v>
      </c>
      <c r="O212" s="142" t="str">
        <f>IFERROR(__xludf.DUMMYFUNCTION("""COMPUTED_VALUE"""),"San Juan")</f>
        <v>San Juan</v>
      </c>
      <c r="P212" s="142" t="str">
        <f>IFERROR(__xludf.DUMMYFUNCTION("""COMPUTED_VALUE"""),"San Ricardo")</f>
        <v>San Ricardo</v>
      </c>
      <c r="Q212" s="142" t="str">
        <f>IFERROR(__xludf.DUMMYFUNCTION("""COMPUTED_VALUE"""),"Silago")</f>
        <v>Silago</v>
      </c>
      <c r="R212" s="142" t="str">
        <f>IFERROR(__xludf.DUMMYFUNCTION("""COMPUTED_VALUE"""),"Sogod")</f>
        <v>Sogod</v>
      </c>
      <c r="S212" s="142" t="str">
        <f>IFERROR(__xludf.DUMMYFUNCTION("""COMPUTED_VALUE"""),"Tomas Oppus")</f>
        <v>Tomas Oppus</v>
      </c>
      <c r="T212" s="142" t="str">
        <f>IFERROR(__xludf.DUMMYFUNCTION("""COMPUTED_VALUE"""),"Limasawa")</f>
        <v>Limasawa</v>
      </c>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row>
    <row r="213">
      <c r="A213" s="142" t="s">
        <v>600</v>
      </c>
      <c r="B213" s="142" t="str">
        <f>IFERROR(__xludf.DUMMYFUNCTION("""COMPUTED_VALUE"""),"Bacolod")</f>
        <v>Bacolod</v>
      </c>
      <c r="C213" s="142" t="str">
        <f>IFERROR(__xludf.DUMMYFUNCTION("""COMPUTED_VALUE"""),"Baloi")</f>
        <v>Baloi</v>
      </c>
      <c r="D213" s="142" t="str">
        <f>IFERROR(__xludf.DUMMYFUNCTION("""COMPUTED_VALUE"""),"Baroy")</f>
        <v>Baroy</v>
      </c>
      <c r="E213" s="142" t="str">
        <f>IFERROR(__xludf.DUMMYFUNCTION("""COMPUTED_VALUE"""),"City of Iligan")</f>
        <v>City of Iligan</v>
      </c>
      <c r="F213" s="142" t="str">
        <f>IFERROR(__xludf.DUMMYFUNCTION("""COMPUTED_VALUE"""),"Kapatagan")</f>
        <v>Kapatagan</v>
      </c>
      <c r="G213" s="142" t="str">
        <f>IFERROR(__xludf.DUMMYFUNCTION("""COMPUTED_VALUE"""),"Sultan Naga Dimaporo")</f>
        <v>Sultan Naga Dimaporo</v>
      </c>
      <c r="H213" s="142" t="str">
        <f>IFERROR(__xludf.DUMMYFUNCTION("""COMPUTED_VALUE"""),"Kauswagan")</f>
        <v>Kauswagan</v>
      </c>
      <c r="I213" s="142" t="str">
        <f>IFERROR(__xludf.DUMMYFUNCTION("""COMPUTED_VALUE"""),"Kolambugan")</f>
        <v>Kolambugan</v>
      </c>
      <c r="J213" s="142" t="str">
        <f>IFERROR(__xludf.DUMMYFUNCTION("""COMPUTED_VALUE"""),"Lala")</f>
        <v>Lala</v>
      </c>
      <c r="K213" s="142" t="str">
        <f>IFERROR(__xludf.DUMMYFUNCTION("""COMPUTED_VALUE"""),"Linamon")</f>
        <v>Linamon</v>
      </c>
      <c r="L213" s="142" t="str">
        <f>IFERROR(__xludf.DUMMYFUNCTION("""COMPUTED_VALUE"""),"Magsaysay")</f>
        <v>Magsaysay</v>
      </c>
      <c r="M213" s="142" t="str">
        <f>IFERROR(__xludf.DUMMYFUNCTION("""COMPUTED_VALUE"""),"Maigo")</f>
        <v>Maigo</v>
      </c>
      <c r="N213" s="142" t="str">
        <f>IFERROR(__xludf.DUMMYFUNCTION("""COMPUTED_VALUE"""),"Matungao")</f>
        <v>Matungao</v>
      </c>
      <c r="O213" s="142" t="str">
        <f>IFERROR(__xludf.DUMMYFUNCTION("""COMPUTED_VALUE"""),"Munai")</f>
        <v>Munai</v>
      </c>
      <c r="P213" s="142" t="str">
        <f>IFERROR(__xludf.DUMMYFUNCTION("""COMPUTED_VALUE"""),"Nunungan")</f>
        <v>Nunungan</v>
      </c>
      <c r="Q213" s="142" t="str">
        <f>IFERROR(__xludf.DUMMYFUNCTION("""COMPUTED_VALUE"""),"Pantao Ragat")</f>
        <v>Pantao Ragat</v>
      </c>
      <c r="R213" s="142" t="str">
        <f>IFERROR(__xludf.DUMMYFUNCTION("""COMPUTED_VALUE"""),"Poona Piagapo")</f>
        <v>Poona Piagapo</v>
      </c>
      <c r="S213" s="142" t="str">
        <f>IFERROR(__xludf.DUMMYFUNCTION("""COMPUTED_VALUE"""),"Salvador")</f>
        <v>Salvador</v>
      </c>
      <c r="T213" s="142" t="str">
        <f>IFERROR(__xludf.DUMMYFUNCTION("""COMPUTED_VALUE"""),"Sapad")</f>
        <v>Sapad</v>
      </c>
      <c r="U213" s="142" t="str">
        <f>IFERROR(__xludf.DUMMYFUNCTION("""COMPUTED_VALUE"""),"Tagoloan")</f>
        <v>Tagoloan</v>
      </c>
      <c r="V213" s="142" t="str">
        <f>IFERROR(__xludf.DUMMYFUNCTION("""COMPUTED_VALUE"""),"Tangcal")</f>
        <v>Tangcal</v>
      </c>
      <c r="W213" s="142" t="str">
        <f>IFERROR(__xludf.DUMMYFUNCTION("""COMPUTED_VALUE"""),"Tubod")</f>
        <v>Tubod</v>
      </c>
      <c r="X213" s="142" t="str">
        <f>IFERROR(__xludf.DUMMYFUNCTION("""COMPUTED_VALUE"""),"Pantar")</f>
        <v>Pantar</v>
      </c>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row>
    <row r="214">
      <c r="A214" s="142" t="s">
        <v>600</v>
      </c>
      <c r="B214" s="142" t="str">
        <f>IFERROR(__xludf.DUMMYFUNCTION("""COMPUTED_VALUE"""),"Bacolod")</f>
        <v>Bacolod</v>
      </c>
      <c r="C214" s="142" t="str">
        <f>IFERROR(__xludf.DUMMYFUNCTION("""COMPUTED_VALUE"""),"Baloi")</f>
        <v>Baloi</v>
      </c>
      <c r="D214" s="142" t="str">
        <f>IFERROR(__xludf.DUMMYFUNCTION("""COMPUTED_VALUE"""),"Baroy")</f>
        <v>Baroy</v>
      </c>
      <c r="E214" s="142" t="str">
        <f>IFERROR(__xludf.DUMMYFUNCTION("""COMPUTED_VALUE"""),"City of Iligan")</f>
        <v>City of Iligan</v>
      </c>
      <c r="F214" s="142" t="str">
        <f>IFERROR(__xludf.DUMMYFUNCTION("""COMPUTED_VALUE"""),"Kapatagan")</f>
        <v>Kapatagan</v>
      </c>
      <c r="G214" s="142" t="str">
        <f>IFERROR(__xludf.DUMMYFUNCTION("""COMPUTED_VALUE"""),"Sultan Naga Dimaporo")</f>
        <v>Sultan Naga Dimaporo</v>
      </c>
      <c r="H214" s="142" t="str">
        <f>IFERROR(__xludf.DUMMYFUNCTION("""COMPUTED_VALUE"""),"Kauswagan")</f>
        <v>Kauswagan</v>
      </c>
      <c r="I214" s="142" t="str">
        <f>IFERROR(__xludf.DUMMYFUNCTION("""COMPUTED_VALUE"""),"Kolambugan")</f>
        <v>Kolambugan</v>
      </c>
      <c r="J214" s="142" t="str">
        <f>IFERROR(__xludf.DUMMYFUNCTION("""COMPUTED_VALUE"""),"Lala")</f>
        <v>Lala</v>
      </c>
      <c r="K214" s="142" t="str">
        <f>IFERROR(__xludf.DUMMYFUNCTION("""COMPUTED_VALUE"""),"Linamon")</f>
        <v>Linamon</v>
      </c>
      <c r="L214" s="142" t="str">
        <f>IFERROR(__xludf.DUMMYFUNCTION("""COMPUTED_VALUE"""),"Magsaysay")</f>
        <v>Magsaysay</v>
      </c>
      <c r="M214" s="142" t="str">
        <f>IFERROR(__xludf.DUMMYFUNCTION("""COMPUTED_VALUE"""),"Maigo")</f>
        <v>Maigo</v>
      </c>
      <c r="N214" s="142" t="str">
        <f>IFERROR(__xludf.DUMMYFUNCTION("""COMPUTED_VALUE"""),"Matungao")</f>
        <v>Matungao</v>
      </c>
      <c r="O214" s="142" t="str">
        <f>IFERROR(__xludf.DUMMYFUNCTION("""COMPUTED_VALUE"""),"Munai")</f>
        <v>Munai</v>
      </c>
      <c r="P214" s="142" t="str">
        <f>IFERROR(__xludf.DUMMYFUNCTION("""COMPUTED_VALUE"""),"Nunungan")</f>
        <v>Nunungan</v>
      </c>
      <c r="Q214" s="142" t="str">
        <f>IFERROR(__xludf.DUMMYFUNCTION("""COMPUTED_VALUE"""),"Pantao Ragat")</f>
        <v>Pantao Ragat</v>
      </c>
      <c r="R214" s="142" t="str">
        <f>IFERROR(__xludf.DUMMYFUNCTION("""COMPUTED_VALUE"""),"Poona Piagapo")</f>
        <v>Poona Piagapo</v>
      </c>
      <c r="S214" s="142" t="str">
        <f>IFERROR(__xludf.DUMMYFUNCTION("""COMPUTED_VALUE"""),"Salvador")</f>
        <v>Salvador</v>
      </c>
      <c r="T214" s="142" t="str">
        <f>IFERROR(__xludf.DUMMYFUNCTION("""COMPUTED_VALUE"""),"Sapad")</f>
        <v>Sapad</v>
      </c>
      <c r="U214" s="142" t="str">
        <f>IFERROR(__xludf.DUMMYFUNCTION("""COMPUTED_VALUE"""),"Tagoloan")</f>
        <v>Tagoloan</v>
      </c>
      <c r="V214" s="142" t="str">
        <f>IFERROR(__xludf.DUMMYFUNCTION("""COMPUTED_VALUE"""),"Tangcal")</f>
        <v>Tangcal</v>
      </c>
      <c r="W214" s="142" t="str">
        <f>IFERROR(__xludf.DUMMYFUNCTION("""COMPUTED_VALUE"""),"Tubod")</f>
        <v>Tubod</v>
      </c>
      <c r="X214" s="142" t="str">
        <f>IFERROR(__xludf.DUMMYFUNCTION("""COMPUTED_VALUE"""),"Pantar")</f>
        <v>Pantar</v>
      </c>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row>
    <row r="215">
      <c r="A215" s="142" t="s">
        <v>976</v>
      </c>
      <c r="B215" s="142" t="str">
        <f>IFERROR(__xludf.DUMMYFUNCTION("""COMPUTED_VALUE"""),"Aloran")</f>
        <v>Aloran</v>
      </c>
      <c r="C215" s="142" t="str">
        <f>IFERROR(__xludf.DUMMYFUNCTION("""COMPUTED_VALUE"""),"Baliangao")</f>
        <v>Baliangao</v>
      </c>
      <c r="D215" s="142" t="str">
        <f>IFERROR(__xludf.DUMMYFUNCTION("""COMPUTED_VALUE"""),"Bonifacio")</f>
        <v>Bonifacio</v>
      </c>
      <c r="E215" s="142" t="str">
        <f>IFERROR(__xludf.DUMMYFUNCTION("""COMPUTED_VALUE"""),"Calamba")</f>
        <v>Calamba</v>
      </c>
      <c r="F215" s="142" t="str">
        <f>IFERROR(__xludf.DUMMYFUNCTION("""COMPUTED_VALUE"""),"Clarin")</f>
        <v>Clarin</v>
      </c>
      <c r="G215" s="142" t="str">
        <f>IFERROR(__xludf.DUMMYFUNCTION("""COMPUTED_VALUE"""),"Concepcion")</f>
        <v>Concepcion</v>
      </c>
      <c r="H215" s="142" t="str">
        <f>IFERROR(__xludf.DUMMYFUNCTION("""COMPUTED_VALUE"""),"Jimenez")</f>
        <v>Jimenez</v>
      </c>
      <c r="I215" s="142" t="str">
        <f>IFERROR(__xludf.DUMMYFUNCTION("""COMPUTED_VALUE"""),"Lopez Jaena")</f>
        <v>Lopez Jaena</v>
      </c>
      <c r="J215" s="142" t="str">
        <f>IFERROR(__xludf.DUMMYFUNCTION("""COMPUTED_VALUE"""),"City of Oroquieta")</f>
        <v>City of Oroquieta</v>
      </c>
      <c r="K215" s="142" t="str">
        <f>IFERROR(__xludf.DUMMYFUNCTION("""COMPUTED_VALUE"""),"City of Ozamiz")</f>
        <v>City of Ozamiz</v>
      </c>
      <c r="L215" s="142" t="str">
        <f>IFERROR(__xludf.DUMMYFUNCTION("""COMPUTED_VALUE"""),"Panaon")</f>
        <v>Panaon</v>
      </c>
      <c r="M215" s="142" t="str">
        <f>IFERROR(__xludf.DUMMYFUNCTION("""COMPUTED_VALUE"""),"Plaridel")</f>
        <v>Plaridel</v>
      </c>
      <c r="N215" s="142" t="str">
        <f>IFERROR(__xludf.DUMMYFUNCTION("""COMPUTED_VALUE"""),"Sapang Dalaga")</f>
        <v>Sapang Dalaga</v>
      </c>
      <c r="O215" s="142" t="str">
        <f>IFERROR(__xludf.DUMMYFUNCTION("""COMPUTED_VALUE"""),"Sinacaban")</f>
        <v>Sinacaban</v>
      </c>
      <c r="P215" s="142" t="str">
        <f>IFERROR(__xludf.DUMMYFUNCTION("""COMPUTED_VALUE"""),"City of Tangub")</f>
        <v>City of Tangub</v>
      </c>
      <c r="Q215" s="142" t="str">
        <f>IFERROR(__xludf.DUMMYFUNCTION("""COMPUTED_VALUE"""),"Tudela")</f>
        <v>Tudela</v>
      </c>
      <c r="R215" s="142" t="str">
        <f>IFERROR(__xludf.DUMMYFUNCTION("""COMPUTED_VALUE"""),"Don Victoriano Chiongbian")</f>
        <v>Don Victoriano Chiongbian</v>
      </c>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row>
    <row r="216">
      <c r="A216" s="142" t="s">
        <v>976</v>
      </c>
      <c r="B216" s="142" t="str">
        <f>IFERROR(__xludf.DUMMYFUNCTION("""COMPUTED_VALUE"""),"Aloran")</f>
        <v>Aloran</v>
      </c>
      <c r="C216" s="142" t="str">
        <f>IFERROR(__xludf.DUMMYFUNCTION("""COMPUTED_VALUE"""),"Baliangao")</f>
        <v>Baliangao</v>
      </c>
      <c r="D216" s="142" t="str">
        <f>IFERROR(__xludf.DUMMYFUNCTION("""COMPUTED_VALUE"""),"Bonifacio")</f>
        <v>Bonifacio</v>
      </c>
      <c r="E216" s="142" t="str">
        <f>IFERROR(__xludf.DUMMYFUNCTION("""COMPUTED_VALUE"""),"Calamba")</f>
        <v>Calamba</v>
      </c>
      <c r="F216" s="142" t="str">
        <f>IFERROR(__xludf.DUMMYFUNCTION("""COMPUTED_VALUE"""),"Clarin")</f>
        <v>Clarin</v>
      </c>
      <c r="G216" s="142" t="str">
        <f>IFERROR(__xludf.DUMMYFUNCTION("""COMPUTED_VALUE"""),"Concepcion")</f>
        <v>Concepcion</v>
      </c>
      <c r="H216" s="142" t="str">
        <f>IFERROR(__xludf.DUMMYFUNCTION("""COMPUTED_VALUE"""),"Jimenez")</f>
        <v>Jimenez</v>
      </c>
      <c r="I216" s="142" t="str">
        <f>IFERROR(__xludf.DUMMYFUNCTION("""COMPUTED_VALUE"""),"Lopez Jaena")</f>
        <v>Lopez Jaena</v>
      </c>
      <c r="J216" s="142" t="str">
        <f>IFERROR(__xludf.DUMMYFUNCTION("""COMPUTED_VALUE"""),"City of Oroquieta")</f>
        <v>City of Oroquieta</v>
      </c>
      <c r="K216" s="142" t="str">
        <f>IFERROR(__xludf.DUMMYFUNCTION("""COMPUTED_VALUE"""),"City of Ozamiz")</f>
        <v>City of Ozamiz</v>
      </c>
      <c r="L216" s="142" t="str">
        <f>IFERROR(__xludf.DUMMYFUNCTION("""COMPUTED_VALUE"""),"Panaon")</f>
        <v>Panaon</v>
      </c>
      <c r="M216" s="142" t="str">
        <f>IFERROR(__xludf.DUMMYFUNCTION("""COMPUTED_VALUE"""),"Plaridel")</f>
        <v>Plaridel</v>
      </c>
      <c r="N216" s="142" t="str">
        <f>IFERROR(__xludf.DUMMYFUNCTION("""COMPUTED_VALUE"""),"Sapang Dalaga")</f>
        <v>Sapang Dalaga</v>
      </c>
      <c r="O216" s="142" t="str">
        <f>IFERROR(__xludf.DUMMYFUNCTION("""COMPUTED_VALUE"""),"Sinacaban")</f>
        <v>Sinacaban</v>
      </c>
      <c r="P216" s="142" t="str">
        <f>IFERROR(__xludf.DUMMYFUNCTION("""COMPUTED_VALUE"""),"City of Tangub")</f>
        <v>City of Tangub</v>
      </c>
      <c r="Q216" s="142" t="str">
        <f>IFERROR(__xludf.DUMMYFUNCTION("""COMPUTED_VALUE"""),"Tudela")</f>
        <v>Tudela</v>
      </c>
      <c r="R216" s="142" t="str">
        <f>IFERROR(__xludf.DUMMYFUNCTION("""COMPUTED_VALUE"""),"Don Victoriano Chiongbian")</f>
        <v>Don Victoriano Chiongbian</v>
      </c>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row>
    <row r="217">
      <c r="A217" s="142" t="s">
        <v>144</v>
      </c>
      <c r="B217" s="142" t="str">
        <f>IFERROR(__xludf.DUMMYFUNCTION("""COMPUTED_VALUE"""),"Agno")</f>
        <v>Agno</v>
      </c>
      <c r="C217" s="142" t="str">
        <f>IFERROR(__xludf.DUMMYFUNCTION("""COMPUTED_VALUE"""),"Aguilar")</f>
        <v>Aguilar</v>
      </c>
      <c r="D217" s="142" t="str">
        <f>IFERROR(__xludf.DUMMYFUNCTION("""COMPUTED_VALUE"""),"City of Alaminos")</f>
        <v>City of Alaminos</v>
      </c>
      <c r="E217" s="142" t="str">
        <f>IFERROR(__xludf.DUMMYFUNCTION("""COMPUTED_VALUE"""),"Alcala")</f>
        <v>Alcala</v>
      </c>
      <c r="F217" s="142" t="str">
        <f>IFERROR(__xludf.DUMMYFUNCTION("""COMPUTED_VALUE"""),"Anda")</f>
        <v>Anda</v>
      </c>
      <c r="G217" s="142" t="str">
        <f>IFERROR(__xludf.DUMMYFUNCTION("""COMPUTED_VALUE"""),"Asingan")</f>
        <v>Asingan</v>
      </c>
      <c r="H217" s="142" t="str">
        <f>IFERROR(__xludf.DUMMYFUNCTION("""COMPUTED_VALUE"""),"Balungao")</f>
        <v>Balungao</v>
      </c>
      <c r="I217" s="142" t="str">
        <f>IFERROR(__xludf.DUMMYFUNCTION("""COMPUTED_VALUE"""),"Bani")</f>
        <v>Bani</v>
      </c>
      <c r="J217" s="142" t="str">
        <f>IFERROR(__xludf.DUMMYFUNCTION("""COMPUTED_VALUE"""),"Basista")</f>
        <v>Basista</v>
      </c>
      <c r="K217" s="142" t="str">
        <f>IFERROR(__xludf.DUMMYFUNCTION("""COMPUTED_VALUE"""),"Bautista")</f>
        <v>Bautista</v>
      </c>
      <c r="L217" s="142" t="str">
        <f>IFERROR(__xludf.DUMMYFUNCTION("""COMPUTED_VALUE"""),"Bayambang")</f>
        <v>Bayambang</v>
      </c>
      <c r="M217" s="142" t="str">
        <f>IFERROR(__xludf.DUMMYFUNCTION("""COMPUTED_VALUE"""),"Binalonan")</f>
        <v>Binalonan</v>
      </c>
      <c r="N217" s="142" t="str">
        <f>IFERROR(__xludf.DUMMYFUNCTION("""COMPUTED_VALUE"""),"Binmaley")</f>
        <v>Binmaley</v>
      </c>
      <c r="O217" s="142" t="str">
        <f>IFERROR(__xludf.DUMMYFUNCTION("""COMPUTED_VALUE"""),"Bolinao")</f>
        <v>Bolinao</v>
      </c>
      <c r="P217" s="142" t="str">
        <f>IFERROR(__xludf.DUMMYFUNCTION("""COMPUTED_VALUE"""),"Bugallon")</f>
        <v>Bugallon</v>
      </c>
      <c r="Q217" s="142" t="str">
        <f>IFERROR(__xludf.DUMMYFUNCTION("""COMPUTED_VALUE"""),"Burgos")</f>
        <v>Burgos</v>
      </c>
      <c r="R217" s="142" t="str">
        <f>IFERROR(__xludf.DUMMYFUNCTION("""COMPUTED_VALUE"""),"Calasiao")</f>
        <v>Calasiao</v>
      </c>
      <c r="S217" s="142" t="str">
        <f>IFERROR(__xludf.DUMMYFUNCTION("""COMPUTED_VALUE"""),"City of Dagupan")</f>
        <v>City of Dagupan</v>
      </c>
      <c r="T217" s="142" t="str">
        <f>IFERROR(__xludf.DUMMYFUNCTION("""COMPUTED_VALUE"""),"Dasol")</f>
        <v>Dasol</v>
      </c>
      <c r="U217" s="142" t="str">
        <f>IFERROR(__xludf.DUMMYFUNCTION("""COMPUTED_VALUE"""),"Infanta")</f>
        <v>Infanta</v>
      </c>
      <c r="V217" s="142" t="str">
        <f>IFERROR(__xludf.DUMMYFUNCTION("""COMPUTED_VALUE"""),"Labrador")</f>
        <v>Labrador</v>
      </c>
      <c r="W217" s="142" t="str">
        <f>IFERROR(__xludf.DUMMYFUNCTION("""COMPUTED_VALUE"""),"Lingayen")</f>
        <v>Lingayen</v>
      </c>
      <c r="X217" s="142" t="str">
        <f>IFERROR(__xludf.DUMMYFUNCTION("""COMPUTED_VALUE"""),"Mabini")</f>
        <v>Mabini</v>
      </c>
      <c r="Y217" s="142" t="str">
        <f>IFERROR(__xludf.DUMMYFUNCTION("""COMPUTED_VALUE"""),"Malasiqui")</f>
        <v>Malasiqui</v>
      </c>
      <c r="Z217" s="142" t="str">
        <f>IFERROR(__xludf.DUMMYFUNCTION("""COMPUTED_VALUE"""),"Manaoag")</f>
        <v>Manaoag</v>
      </c>
      <c r="AA217" s="142" t="str">
        <f>IFERROR(__xludf.DUMMYFUNCTION("""COMPUTED_VALUE"""),"Mangaldan")</f>
        <v>Mangaldan</v>
      </c>
      <c r="AB217" s="142" t="str">
        <f>IFERROR(__xludf.DUMMYFUNCTION("""COMPUTED_VALUE"""),"Mangatarem")</f>
        <v>Mangatarem</v>
      </c>
      <c r="AC217" s="142" t="str">
        <f>IFERROR(__xludf.DUMMYFUNCTION("""COMPUTED_VALUE"""),"Mapandan")</f>
        <v>Mapandan</v>
      </c>
      <c r="AD217" s="142" t="str">
        <f>IFERROR(__xludf.DUMMYFUNCTION("""COMPUTED_VALUE"""),"Natividad")</f>
        <v>Natividad</v>
      </c>
      <c r="AE217" s="142" t="str">
        <f>IFERROR(__xludf.DUMMYFUNCTION("""COMPUTED_VALUE"""),"Pozorrubio")</f>
        <v>Pozorrubio</v>
      </c>
      <c r="AF217" s="142" t="str">
        <f>IFERROR(__xludf.DUMMYFUNCTION("""COMPUTED_VALUE"""),"Rosales")</f>
        <v>Rosales</v>
      </c>
      <c r="AG217" s="142" t="str">
        <f>IFERROR(__xludf.DUMMYFUNCTION("""COMPUTED_VALUE"""),"City of San Carlos")</f>
        <v>City of San Carlos</v>
      </c>
      <c r="AH217" s="142" t="str">
        <f>IFERROR(__xludf.DUMMYFUNCTION("""COMPUTED_VALUE"""),"San Fabian")</f>
        <v>San Fabian</v>
      </c>
      <c r="AI217" s="142" t="str">
        <f>IFERROR(__xludf.DUMMYFUNCTION("""COMPUTED_VALUE"""),"San Jacinto")</f>
        <v>San Jacinto</v>
      </c>
      <c r="AJ217" s="142" t="str">
        <f>IFERROR(__xludf.DUMMYFUNCTION("""COMPUTED_VALUE"""),"San Manuel")</f>
        <v>San Manuel</v>
      </c>
      <c r="AK217" s="142" t="str">
        <f>IFERROR(__xludf.DUMMYFUNCTION("""COMPUTED_VALUE"""),"San Nicolas")</f>
        <v>San Nicolas</v>
      </c>
      <c r="AL217" s="142" t="str">
        <f>IFERROR(__xludf.DUMMYFUNCTION("""COMPUTED_VALUE"""),"San Quintin")</f>
        <v>San Quintin</v>
      </c>
      <c r="AM217" s="142" t="str">
        <f>IFERROR(__xludf.DUMMYFUNCTION("""COMPUTED_VALUE"""),"Santa Barbara")</f>
        <v>Santa Barbara</v>
      </c>
      <c r="AN217" s="142" t="str">
        <f>IFERROR(__xludf.DUMMYFUNCTION("""COMPUTED_VALUE"""),"Santa Maria")</f>
        <v>Santa Maria</v>
      </c>
      <c r="AO217" s="142" t="str">
        <f>IFERROR(__xludf.DUMMYFUNCTION("""COMPUTED_VALUE"""),"Santo Tomas")</f>
        <v>Santo Tomas</v>
      </c>
      <c r="AP217" s="142" t="str">
        <f>IFERROR(__xludf.DUMMYFUNCTION("""COMPUTED_VALUE"""),"Sison")</f>
        <v>Sison</v>
      </c>
      <c r="AQ217" s="142" t="str">
        <f>IFERROR(__xludf.DUMMYFUNCTION("""COMPUTED_VALUE"""),"Sual")</f>
        <v>Sual</v>
      </c>
      <c r="AR217" s="142" t="str">
        <f>IFERROR(__xludf.DUMMYFUNCTION("""COMPUTED_VALUE"""),"Tayug")</f>
        <v>Tayug</v>
      </c>
      <c r="AS217" s="142" t="str">
        <f>IFERROR(__xludf.DUMMYFUNCTION("""COMPUTED_VALUE"""),"Umingan")</f>
        <v>Umingan</v>
      </c>
      <c r="AT217" s="142" t="str">
        <f>IFERROR(__xludf.DUMMYFUNCTION("""COMPUTED_VALUE"""),"Urbiztondo")</f>
        <v>Urbiztondo</v>
      </c>
      <c r="AU217" s="142" t="str">
        <f>IFERROR(__xludf.DUMMYFUNCTION("""COMPUTED_VALUE"""),"City of Urdaneta")</f>
        <v>City of Urdaneta</v>
      </c>
      <c r="AV217" s="142" t="str">
        <f>IFERROR(__xludf.DUMMYFUNCTION("""COMPUTED_VALUE"""),"Villasis")</f>
        <v>Villasis</v>
      </c>
      <c r="AW217" s="142" t="str">
        <f>IFERROR(__xludf.DUMMYFUNCTION("""COMPUTED_VALUE"""),"Laoac")</f>
        <v>Laoac</v>
      </c>
      <c r="AX217" s="8"/>
      <c r="AY217" s="8"/>
      <c r="AZ217" s="8"/>
      <c r="BA217" s="8"/>
      <c r="BB217" s="8"/>
      <c r="BC217" s="8"/>
      <c r="BD217" s="8"/>
      <c r="BE217" s="8"/>
    </row>
    <row r="218">
      <c r="A218" s="142" t="s">
        <v>769</v>
      </c>
      <c r="B218" s="142" t="str">
        <f>IFERROR(__xludf.DUMMYFUNCTION("""COMPUTED_VALUE"""),"Aurora")</f>
        <v>Aurora</v>
      </c>
      <c r="C218" s="142" t="str">
        <f>IFERROR(__xludf.DUMMYFUNCTION("""COMPUTED_VALUE"""),"Bayog")</f>
        <v>Bayog</v>
      </c>
      <c r="D218" s="142" t="str">
        <f>IFERROR(__xludf.DUMMYFUNCTION("""COMPUTED_VALUE"""),"Dimataling")</f>
        <v>Dimataling</v>
      </c>
      <c r="E218" s="142" t="str">
        <f>IFERROR(__xludf.DUMMYFUNCTION("""COMPUTED_VALUE"""),"Dinas")</f>
        <v>Dinas</v>
      </c>
      <c r="F218" s="142" t="str">
        <f>IFERROR(__xludf.DUMMYFUNCTION("""COMPUTED_VALUE"""),"Dumalinao")</f>
        <v>Dumalinao</v>
      </c>
      <c r="G218" s="142" t="str">
        <f>IFERROR(__xludf.DUMMYFUNCTION("""COMPUTED_VALUE"""),"Dumingag")</f>
        <v>Dumingag</v>
      </c>
      <c r="H218" s="142" t="str">
        <f>IFERROR(__xludf.DUMMYFUNCTION("""COMPUTED_VALUE"""),"Kumalarang")</f>
        <v>Kumalarang</v>
      </c>
      <c r="I218" s="142" t="str">
        <f>IFERROR(__xludf.DUMMYFUNCTION("""COMPUTED_VALUE"""),"Labangan")</f>
        <v>Labangan</v>
      </c>
      <c r="J218" s="142" t="str">
        <f>IFERROR(__xludf.DUMMYFUNCTION("""COMPUTED_VALUE"""),"Lapuyan")</f>
        <v>Lapuyan</v>
      </c>
      <c r="K218" s="142" t="str">
        <f>IFERROR(__xludf.DUMMYFUNCTION("""COMPUTED_VALUE"""),"Mahayag")</f>
        <v>Mahayag</v>
      </c>
      <c r="L218" s="142" t="str">
        <f>IFERROR(__xludf.DUMMYFUNCTION("""COMPUTED_VALUE"""),"Margosatubig")</f>
        <v>Margosatubig</v>
      </c>
      <c r="M218" s="142" t="str">
        <f>IFERROR(__xludf.DUMMYFUNCTION("""COMPUTED_VALUE"""),"Midsalip")</f>
        <v>Midsalip</v>
      </c>
      <c r="N218" s="142" t="str">
        <f>IFERROR(__xludf.DUMMYFUNCTION("""COMPUTED_VALUE"""),"Molave")</f>
        <v>Molave</v>
      </c>
      <c r="O218" s="142" t="str">
        <f>IFERROR(__xludf.DUMMYFUNCTION("""COMPUTED_VALUE"""),"City of Pagadian")</f>
        <v>City of Pagadian</v>
      </c>
      <c r="P218" s="142" t="str">
        <f>IFERROR(__xludf.DUMMYFUNCTION("""COMPUTED_VALUE"""),"Ramon Magsaysay")</f>
        <v>Ramon Magsaysay</v>
      </c>
      <c r="Q218" s="142" t="str">
        <f>IFERROR(__xludf.DUMMYFUNCTION("""COMPUTED_VALUE"""),"San Miguel")</f>
        <v>San Miguel</v>
      </c>
      <c r="R218" s="142" t="str">
        <f>IFERROR(__xludf.DUMMYFUNCTION("""COMPUTED_VALUE"""),"San Pablo")</f>
        <v>San Pablo</v>
      </c>
      <c r="S218" s="142" t="str">
        <f>IFERROR(__xludf.DUMMYFUNCTION("""COMPUTED_VALUE"""),"Tabina")</f>
        <v>Tabina</v>
      </c>
      <c r="T218" s="142" t="str">
        <f>IFERROR(__xludf.DUMMYFUNCTION("""COMPUTED_VALUE"""),"Tambulig")</f>
        <v>Tambulig</v>
      </c>
      <c r="U218" s="142" t="str">
        <f>IFERROR(__xludf.DUMMYFUNCTION("""COMPUTED_VALUE"""),"Tukuran")</f>
        <v>Tukuran</v>
      </c>
      <c r="V218" s="142" t="str">
        <f>IFERROR(__xludf.DUMMYFUNCTION("""COMPUTED_VALUE"""),"City of Zamboanga")</f>
        <v>City of Zamboanga</v>
      </c>
      <c r="W218" s="142" t="str">
        <f>IFERROR(__xludf.DUMMYFUNCTION("""COMPUTED_VALUE"""),"Lakewood")</f>
        <v>Lakewood</v>
      </c>
      <c r="X218" s="142" t="str">
        <f>IFERROR(__xludf.DUMMYFUNCTION("""COMPUTED_VALUE"""),"Josefina")</f>
        <v>Josefina</v>
      </c>
      <c r="Y218" s="142" t="str">
        <f>IFERROR(__xludf.DUMMYFUNCTION("""COMPUTED_VALUE"""),"Pitogo")</f>
        <v>Pitogo</v>
      </c>
      <c r="Z218" s="142" t="str">
        <f>IFERROR(__xludf.DUMMYFUNCTION("""COMPUTED_VALUE"""),"Sominot")</f>
        <v>Sominot</v>
      </c>
      <c r="AA218" s="142" t="str">
        <f>IFERROR(__xludf.DUMMYFUNCTION("""COMPUTED_VALUE"""),"Vincenzo A. Sagun")</f>
        <v>Vincenzo A. Sagun</v>
      </c>
      <c r="AB218" s="142" t="str">
        <f>IFERROR(__xludf.DUMMYFUNCTION("""COMPUTED_VALUE"""),"Guipos")</f>
        <v>Guipos</v>
      </c>
      <c r="AC218" s="142" t="str">
        <f>IFERROR(__xludf.DUMMYFUNCTION("""COMPUTED_VALUE"""),"Tigbao")</f>
        <v>Tigbao</v>
      </c>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row>
    <row r="219">
      <c r="A219" s="142" t="s">
        <v>194</v>
      </c>
      <c r="B219" s="142" t="str">
        <f>IFERROR(__xludf.DUMMYFUNCTION("""COMPUTED_VALUE"""),"Alcantara")</f>
        <v>Alcantara</v>
      </c>
      <c r="C219" s="142" t="str">
        <f>IFERROR(__xludf.DUMMYFUNCTION("""COMPUTED_VALUE"""),"Alcoy")</f>
        <v>Alcoy</v>
      </c>
      <c r="D219" s="142" t="str">
        <f>IFERROR(__xludf.DUMMYFUNCTION("""COMPUTED_VALUE"""),"Alegria")</f>
        <v>Alegria</v>
      </c>
      <c r="E219" s="142" t="str">
        <f>IFERROR(__xludf.DUMMYFUNCTION("""COMPUTED_VALUE"""),"Aloguinsan")</f>
        <v>Aloguinsan</v>
      </c>
      <c r="F219" s="142" t="str">
        <f>IFERROR(__xludf.DUMMYFUNCTION("""COMPUTED_VALUE"""),"Argao")</f>
        <v>Argao</v>
      </c>
      <c r="G219" s="142" t="str">
        <f>IFERROR(__xludf.DUMMYFUNCTION("""COMPUTED_VALUE"""),"Asturias")</f>
        <v>Asturias</v>
      </c>
      <c r="H219" s="142" t="str">
        <f>IFERROR(__xludf.DUMMYFUNCTION("""COMPUTED_VALUE"""),"Badian")</f>
        <v>Badian</v>
      </c>
      <c r="I219" s="142" t="str">
        <f>IFERROR(__xludf.DUMMYFUNCTION("""COMPUTED_VALUE"""),"Balamban")</f>
        <v>Balamban</v>
      </c>
      <c r="J219" s="142" t="str">
        <f>IFERROR(__xludf.DUMMYFUNCTION("""COMPUTED_VALUE"""),"Bantayan")</f>
        <v>Bantayan</v>
      </c>
      <c r="K219" s="142" t="str">
        <f>IFERROR(__xludf.DUMMYFUNCTION("""COMPUTED_VALUE"""),"Barili")</f>
        <v>Barili</v>
      </c>
      <c r="L219" s="142" t="str">
        <f>IFERROR(__xludf.DUMMYFUNCTION("""COMPUTED_VALUE"""),"City of Bogo")</f>
        <v>City of Bogo</v>
      </c>
      <c r="M219" s="142" t="str">
        <f>IFERROR(__xludf.DUMMYFUNCTION("""COMPUTED_VALUE"""),"Boljoon")</f>
        <v>Boljoon</v>
      </c>
      <c r="N219" s="142" t="str">
        <f>IFERROR(__xludf.DUMMYFUNCTION("""COMPUTED_VALUE"""),"Borbon")</f>
        <v>Borbon</v>
      </c>
      <c r="O219" s="142" t="str">
        <f>IFERROR(__xludf.DUMMYFUNCTION("""COMPUTED_VALUE"""),"City of Carcar")</f>
        <v>City of Carcar</v>
      </c>
      <c r="P219" s="142" t="str">
        <f>IFERROR(__xludf.DUMMYFUNCTION("""COMPUTED_VALUE"""),"Carmen")</f>
        <v>Carmen</v>
      </c>
      <c r="Q219" s="142" t="str">
        <f>IFERROR(__xludf.DUMMYFUNCTION("""COMPUTED_VALUE"""),"Catmon")</f>
        <v>Catmon</v>
      </c>
      <c r="R219" s="142" t="str">
        <f>IFERROR(__xludf.DUMMYFUNCTION("""COMPUTED_VALUE"""),"Compostela")</f>
        <v>Compostela</v>
      </c>
      <c r="S219" s="142" t="str">
        <f>IFERROR(__xludf.DUMMYFUNCTION("""COMPUTED_VALUE"""),"Consolacion")</f>
        <v>Consolacion</v>
      </c>
      <c r="T219" s="142" t="str">
        <f>IFERROR(__xludf.DUMMYFUNCTION("""COMPUTED_VALUE"""),"Cordova")</f>
        <v>Cordova</v>
      </c>
      <c r="U219" s="142" t="str">
        <f>IFERROR(__xludf.DUMMYFUNCTION("""COMPUTED_VALUE"""),"Daanbantayan")</f>
        <v>Daanbantayan</v>
      </c>
      <c r="V219" s="142" t="str">
        <f>IFERROR(__xludf.DUMMYFUNCTION("""COMPUTED_VALUE"""),"Dalaguete")</f>
        <v>Dalaguete</v>
      </c>
      <c r="W219" s="142" t="str">
        <f>IFERROR(__xludf.DUMMYFUNCTION("""COMPUTED_VALUE"""),"Danao City")</f>
        <v>Danao City</v>
      </c>
      <c r="X219" s="142" t="str">
        <f>IFERROR(__xludf.DUMMYFUNCTION("""COMPUTED_VALUE"""),"Dumanjug")</f>
        <v>Dumanjug</v>
      </c>
      <c r="Y219" s="142" t="str">
        <f>IFERROR(__xludf.DUMMYFUNCTION("""COMPUTED_VALUE"""),"Ginatilan")</f>
        <v>Ginatilan</v>
      </c>
      <c r="Z219" s="142" t="str">
        <f>IFERROR(__xludf.DUMMYFUNCTION("""COMPUTED_VALUE"""),"Liloan")</f>
        <v>Liloan</v>
      </c>
      <c r="AA219" s="142" t="str">
        <f>IFERROR(__xludf.DUMMYFUNCTION("""COMPUTED_VALUE"""),"Madridejos")</f>
        <v>Madridejos</v>
      </c>
      <c r="AB219" s="142" t="str">
        <f>IFERROR(__xludf.DUMMYFUNCTION("""COMPUTED_VALUE"""),"Malabuyoc")</f>
        <v>Malabuyoc</v>
      </c>
      <c r="AC219" s="142" t="str">
        <f>IFERROR(__xludf.DUMMYFUNCTION("""COMPUTED_VALUE"""),"Medellin")</f>
        <v>Medellin</v>
      </c>
      <c r="AD219" s="142" t="str">
        <f>IFERROR(__xludf.DUMMYFUNCTION("""COMPUTED_VALUE"""),"Minglanilla")</f>
        <v>Minglanilla</v>
      </c>
      <c r="AE219" s="142" t="str">
        <f>IFERROR(__xludf.DUMMYFUNCTION("""COMPUTED_VALUE"""),"Moalboal")</f>
        <v>Moalboal</v>
      </c>
      <c r="AF219" s="142" t="str">
        <f>IFERROR(__xludf.DUMMYFUNCTION("""COMPUTED_VALUE"""),"City of Naga")</f>
        <v>City of Naga</v>
      </c>
      <c r="AG219" s="142" t="str">
        <f>IFERROR(__xludf.DUMMYFUNCTION("""COMPUTED_VALUE"""),"Oslob")</f>
        <v>Oslob</v>
      </c>
      <c r="AH219" s="142" t="str">
        <f>IFERROR(__xludf.DUMMYFUNCTION("""COMPUTED_VALUE"""),"Pilar")</f>
        <v>Pilar</v>
      </c>
      <c r="AI219" s="142" t="str">
        <f>IFERROR(__xludf.DUMMYFUNCTION("""COMPUTED_VALUE"""),"Pinamungajan")</f>
        <v>Pinamungajan</v>
      </c>
      <c r="AJ219" s="142" t="str">
        <f>IFERROR(__xludf.DUMMYFUNCTION("""COMPUTED_VALUE"""),"Poro")</f>
        <v>Poro</v>
      </c>
      <c r="AK219" s="142" t="str">
        <f>IFERROR(__xludf.DUMMYFUNCTION("""COMPUTED_VALUE"""),"Ronda")</f>
        <v>Ronda</v>
      </c>
      <c r="AL219" s="142" t="str">
        <f>IFERROR(__xludf.DUMMYFUNCTION("""COMPUTED_VALUE"""),"Samboan")</f>
        <v>Samboan</v>
      </c>
      <c r="AM219" s="142" t="str">
        <f>IFERROR(__xludf.DUMMYFUNCTION("""COMPUTED_VALUE"""),"San Fernando")</f>
        <v>San Fernando</v>
      </c>
      <c r="AN219" s="142" t="str">
        <f>IFERROR(__xludf.DUMMYFUNCTION("""COMPUTED_VALUE"""),"San Francisco")</f>
        <v>San Francisco</v>
      </c>
      <c r="AO219" s="142" t="str">
        <f>IFERROR(__xludf.DUMMYFUNCTION("""COMPUTED_VALUE"""),"San Remigio")</f>
        <v>San Remigio</v>
      </c>
      <c r="AP219" s="142" t="str">
        <f>IFERROR(__xludf.DUMMYFUNCTION("""COMPUTED_VALUE"""),"Santa Fe")</f>
        <v>Santa Fe</v>
      </c>
      <c r="AQ219" s="142" t="str">
        <f>IFERROR(__xludf.DUMMYFUNCTION("""COMPUTED_VALUE"""),"Santander")</f>
        <v>Santander</v>
      </c>
      <c r="AR219" s="142" t="str">
        <f>IFERROR(__xludf.DUMMYFUNCTION("""COMPUTED_VALUE"""),"Sibonga")</f>
        <v>Sibonga</v>
      </c>
      <c r="AS219" s="142" t="str">
        <f>IFERROR(__xludf.DUMMYFUNCTION("""COMPUTED_VALUE"""),"Sogod")</f>
        <v>Sogod</v>
      </c>
      <c r="AT219" s="142" t="str">
        <f>IFERROR(__xludf.DUMMYFUNCTION("""COMPUTED_VALUE"""),"Tabogon")</f>
        <v>Tabogon</v>
      </c>
      <c r="AU219" s="142" t="str">
        <f>IFERROR(__xludf.DUMMYFUNCTION("""COMPUTED_VALUE"""),"Tabuelan")</f>
        <v>Tabuelan</v>
      </c>
      <c r="AV219" s="142" t="str">
        <f>IFERROR(__xludf.DUMMYFUNCTION("""COMPUTED_VALUE"""),"City of Talisay")</f>
        <v>City of Talisay</v>
      </c>
      <c r="AW219" s="142" t="str">
        <f>IFERROR(__xludf.DUMMYFUNCTION("""COMPUTED_VALUE"""),"City of Toledo")</f>
        <v>City of Toledo</v>
      </c>
      <c r="AX219" s="142" t="str">
        <f>IFERROR(__xludf.DUMMYFUNCTION("""COMPUTED_VALUE"""),"Tuburan")</f>
        <v>Tuburan</v>
      </c>
      <c r="AY219" s="142" t="str">
        <f>IFERROR(__xludf.DUMMYFUNCTION("""COMPUTED_VALUE"""),"Tudela")</f>
        <v>Tudela</v>
      </c>
      <c r="AZ219" s="142" t="str">
        <f>IFERROR(__xludf.DUMMYFUNCTION("""COMPUTED_VALUE"""),"City of Cebu")</f>
        <v>City of Cebu</v>
      </c>
      <c r="BA219" s="142" t="str">
        <f>IFERROR(__xludf.DUMMYFUNCTION("""COMPUTED_VALUE"""),"City of Lapu-Lapu")</f>
        <v>City of Lapu-Lapu</v>
      </c>
      <c r="BB219" s="142" t="str">
        <f>IFERROR(__xludf.DUMMYFUNCTION("""COMPUTED_VALUE"""),"City of Mandaue")</f>
        <v>City of Mandaue</v>
      </c>
      <c r="BC219" s="8"/>
      <c r="BD219" s="8"/>
      <c r="BE219" s="8"/>
    </row>
    <row r="220">
      <c r="A220" s="142" t="s">
        <v>580</v>
      </c>
      <c r="B220" s="142" t="str">
        <f>IFERROR(__xludf.DUMMYFUNCTION("""COMPUTED_VALUE"""),"Arteche")</f>
        <v>Arteche</v>
      </c>
      <c r="C220" s="142" t="str">
        <f>IFERROR(__xludf.DUMMYFUNCTION("""COMPUTED_VALUE"""),"Balangiga")</f>
        <v>Balangiga</v>
      </c>
      <c r="D220" s="142" t="str">
        <f>IFERROR(__xludf.DUMMYFUNCTION("""COMPUTED_VALUE"""),"Balangkayan")</f>
        <v>Balangkayan</v>
      </c>
      <c r="E220" s="142" t="str">
        <f>IFERROR(__xludf.DUMMYFUNCTION("""COMPUTED_VALUE"""),"City of Borongan")</f>
        <v>City of Borongan</v>
      </c>
      <c r="F220" s="142" t="str">
        <f>IFERROR(__xludf.DUMMYFUNCTION("""COMPUTED_VALUE"""),"Can-Avid")</f>
        <v>Can-Avid</v>
      </c>
      <c r="G220" s="142" t="str">
        <f>IFERROR(__xludf.DUMMYFUNCTION("""COMPUTED_VALUE"""),"Dolores")</f>
        <v>Dolores</v>
      </c>
      <c r="H220" s="142" t="str">
        <f>IFERROR(__xludf.DUMMYFUNCTION("""COMPUTED_VALUE"""),"General Macarthur")</f>
        <v>General Macarthur</v>
      </c>
      <c r="I220" s="142" t="str">
        <f>IFERROR(__xludf.DUMMYFUNCTION("""COMPUTED_VALUE"""),"Giporlos")</f>
        <v>Giporlos</v>
      </c>
      <c r="J220" s="142" t="str">
        <f>IFERROR(__xludf.DUMMYFUNCTION("""COMPUTED_VALUE"""),"Guiuan")</f>
        <v>Guiuan</v>
      </c>
      <c r="K220" s="142" t="str">
        <f>IFERROR(__xludf.DUMMYFUNCTION("""COMPUTED_VALUE"""),"Hernani")</f>
        <v>Hernani</v>
      </c>
      <c r="L220" s="142" t="str">
        <f>IFERROR(__xludf.DUMMYFUNCTION("""COMPUTED_VALUE"""),"Jipapad")</f>
        <v>Jipapad</v>
      </c>
      <c r="M220" s="142" t="str">
        <f>IFERROR(__xludf.DUMMYFUNCTION("""COMPUTED_VALUE"""),"Lawaan")</f>
        <v>Lawaan</v>
      </c>
      <c r="N220" s="142" t="str">
        <f>IFERROR(__xludf.DUMMYFUNCTION("""COMPUTED_VALUE"""),"Llorente")</f>
        <v>Llorente</v>
      </c>
      <c r="O220" s="142" t="str">
        <f>IFERROR(__xludf.DUMMYFUNCTION("""COMPUTED_VALUE"""),"Maslog")</f>
        <v>Maslog</v>
      </c>
      <c r="P220" s="142" t="str">
        <f>IFERROR(__xludf.DUMMYFUNCTION("""COMPUTED_VALUE"""),"Maydolong")</f>
        <v>Maydolong</v>
      </c>
      <c r="Q220" s="142" t="str">
        <f>IFERROR(__xludf.DUMMYFUNCTION("""COMPUTED_VALUE"""),"Mercedes")</f>
        <v>Mercedes</v>
      </c>
      <c r="R220" s="142" t="str">
        <f>IFERROR(__xludf.DUMMYFUNCTION("""COMPUTED_VALUE"""),"Oras")</f>
        <v>Oras</v>
      </c>
      <c r="S220" s="142" t="str">
        <f>IFERROR(__xludf.DUMMYFUNCTION("""COMPUTED_VALUE"""),"Quinapondan")</f>
        <v>Quinapondan</v>
      </c>
      <c r="T220" s="142" t="str">
        <f>IFERROR(__xludf.DUMMYFUNCTION("""COMPUTED_VALUE"""),"Salcedo")</f>
        <v>Salcedo</v>
      </c>
      <c r="U220" s="142" t="str">
        <f>IFERROR(__xludf.DUMMYFUNCTION("""COMPUTED_VALUE"""),"San Julian")</f>
        <v>San Julian</v>
      </c>
      <c r="V220" s="142" t="str">
        <f>IFERROR(__xludf.DUMMYFUNCTION("""COMPUTED_VALUE"""),"San Policarpo")</f>
        <v>San Policarpo</v>
      </c>
      <c r="W220" s="142" t="str">
        <f>IFERROR(__xludf.DUMMYFUNCTION("""COMPUTED_VALUE"""),"Sulat")</f>
        <v>Sulat</v>
      </c>
      <c r="X220" s="142" t="str">
        <f>IFERROR(__xludf.DUMMYFUNCTION("""COMPUTED_VALUE"""),"Taft")</f>
        <v>Taft</v>
      </c>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row>
    <row r="221">
      <c r="A221" s="142" t="s">
        <v>172</v>
      </c>
      <c r="B221" s="142" t="str">
        <f>IFERROR(__xludf.DUMMYFUNCTION("""COMPUTED_VALUE"""),"Alubijid")</f>
        <v>Alubijid</v>
      </c>
      <c r="C221" s="142" t="str">
        <f>IFERROR(__xludf.DUMMYFUNCTION("""COMPUTED_VALUE"""),"Balingasag")</f>
        <v>Balingasag</v>
      </c>
      <c r="D221" s="142" t="str">
        <f>IFERROR(__xludf.DUMMYFUNCTION("""COMPUTED_VALUE"""),"Balingoan")</f>
        <v>Balingoan</v>
      </c>
      <c r="E221" s="142" t="str">
        <f>IFERROR(__xludf.DUMMYFUNCTION("""COMPUTED_VALUE"""),"Binuangan")</f>
        <v>Binuangan</v>
      </c>
      <c r="F221" s="142" t="str">
        <f>IFERROR(__xludf.DUMMYFUNCTION("""COMPUTED_VALUE"""),"City of Cagayan De Oro")</f>
        <v>City of Cagayan De Oro</v>
      </c>
      <c r="G221" s="142" t="str">
        <f>IFERROR(__xludf.DUMMYFUNCTION("""COMPUTED_VALUE"""),"Claveria")</f>
        <v>Claveria</v>
      </c>
      <c r="H221" s="142" t="str">
        <f>IFERROR(__xludf.DUMMYFUNCTION("""COMPUTED_VALUE"""),"City of El Salvador")</f>
        <v>City of El Salvador</v>
      </c>
      <c r="I221" s="142" t="str">
        <f>IFERROR(__xludf.DUMMYFUNCTION("""COMPUTED_VALUE"""),"City of Gingoog")</f>
        <v>City of Gingoog</v>
      </c>
      <c r="J221" s="142" t="str">
        <f>IFERROR(__xludf.DUMMYFUNCTION("""COMPUTED_VALUE"""),"Gitagum")</f>
        <v>Gitagum</v>
      </c>
      <c r="K221" s="142" t="str">
        <f>IFERROR(__xludf.DUMMYFUNCTION("""COMPUTED_VALUE"""),"Initao")</f>
        <v>Initao</v>
      </c>
      <c r="L221" s="142" t="str">
        <f>IFERROR(__xludf.DUMMYFUNCTION("""COMPUTED_VALUE"""),"Jasaan")</f>
        <v>Jasaan</v>
      </c>
      <c r="M221" s="142" t="str">
        <f>IFERROR(__xludf.DUMMYFUNCTION("""COMPUTED_VALUE"""),"Kinoguitan")</f>
        <v>Kinoguitan</v>
      </c>
      <c r="N221" s="142" t="str">
        <f>IFERROR(__xludf.DUMMYFUNCTION("""COMPUTED_VALUE"""),"Lagonglong")</f>
        <v>Lagonglong</v>
      </c>
      <c r="O221" s="142" t="str">
        <f>IFERROR(__xludf.DUMMYFUNCTION("""COMPUTED_VALUE"""),"Laguindingan")</f>
        <v>Laguindingan</v>
      </c>
      <c r="P221" s="142" t="str">
        <f>IFERROR(__xludf.DUMMYFUNCTION("""COMPUTED_VALUE"""),"Libertad")</f>
        <v>Libertad</v>
      </c>
      <c r="Q221" s="142" t="str">
        <f>IFERROR(__xludf.DUMMYFUNCTION("""COMPUTED_VALUE"""),"Lugait")</f>
        <v>Lugait</v>
      </c>
      <c r="R221" s="142" t="str">
        <f>IFERROR(__xludf.DUMMYFUNCTION("""COMPUTED_VALUE"""),"Magsaysay")</f>
        <v>Magsaysay</v>
      </c>
      <c r="S221" s="142" t="str">
        <f>IFERROR(__xludf.DUMMYFUNCTION("""COMPUTED_VALUE"""),"Manticao")</f>
        <v>Manticao</v>
      </c>
      <c r="T221" s="142" t="str">
        <f>IFERROR(__xludf.DUMMYFUNCTION("""COMPUTED_VALUE"""),"Medina")</f>
        <v>Medina</v>
      </c>
      <c r="U221" s="142" t="str">
        <f>IFERROR(__xludf.DUMMYFUNCTION("""COMPUTED_VALUE"""),"Naawan")</f>
        <v>Naawan</v>
      </c>
      <c r="V221" s="142" t="str">
        <f>IFERROR(__xludf.DUMMYFUNCTION("""COMPUTED_VALUE"""),"Opol")</f>
        <v>Opol</v>
      </c>
      <c r="W221" s="142" t="str">
        <f>IFERROR(__xludf.DUMMYFUNCTION("""COMPUTED_VALUE"""),"Salay")</f>
        <v>Salay</v>
      </c>
      <c r="X221" s="142" t="str">
        <f>IFERROR(__xludf.DUMMYFUNCTION("""COMPUTED_VALUE"""),"Sugbongcogon")</f>
        <v>Sugbongcogon</v>
      </c>
      <c r="Y221" s="142" t="str">
        <f>IFERROR(__xludf.DUMMYFUNCTION("""COMPUTED_VALUE"""),"Tagoloan")</f>
        <v>Tagoloan</v>
      </c>
      <c r="Z221" s="142" t="str">
        <f>IFERROR(__xludf.DUMMYFUNCTION("""COMPUTED_VALUE"""),"Talisayan")</f>
        <v>Talisayan</v>
      </c>
      <c r="AA221" s="142" t="str">
        <f>IFERROR(__xludf.DUMMYFUNCTION("""COMPUTED_VALUE"""),"Villanueva")</f>
        <v>Villanueva</v>
      </c>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row>
    <row r="222">
      <c r="A222" s="142" t="s">
        <v>438</v>
      </c>
      <c r="B222" s="142" t="str">
        <f>IFERROR(__xludf.DUMMYFUNCTION("""COMPUTED_VALUE"""),"Agoo")</f>
        <v>Agoo</v>
      </c>
      <c r="C222" s="142" t="str">
        <f>IFERROR(__xludf.DUMMYFUNCTION("""COMPUTED_VALUE"""),"Aringay")</f>
        <v>Aringay</v>
      </c>
      <c r="D222" s="142" t="str">
        <f>IFERROR(__xludf.DUMMYFUNCTION("""COMPUTED_VALUE"""),"Bacnotan")</f>
        <v>Bacnotan</v>
      </c>
      <c r="E222" s="142" t="str">
        <f>IFERROR(__xludf.DUMMYFUNCTION("""COMPUTED_VALUE"""),"Bagulin")</f>
        <v>Bagulin</v>
      </c>
      <c r="F222" s="142" t="str">
        <f>IFERROR(__xludf.DUMMYFUNCTION("""COMPUTED_VALUE"""),"Balaoan")</f>
        <v>Balaoan</v>
      </c>
      <c r="G222" s="142" t="str">
        <f>IFERROR(__xludf.DUMMYFUNCTION("""COMPUTED_VALUE"""),"Bangar")</f>
        <v>Bangar</v>
      </c>
      <c r="H222" s="142" t="str">
        <f>IFERROR(__xludf.DUMMYFUNCTION("""COMPUTED_VALUE"""),"Bauang")</f>
        <v>Bauang</v>
      </c>
      <c r="I222" s="142" t="str">
        <f>IFERROR(__xludf.DUMMYFUNCTION("""COMPUTED_VALUE"""),"Burgos")</f>
        <v>Burgos</v>
      </c>
      <c r="J222" s="142" t="str">
        <f>IFERROR(__xludf.DUMMYFUNCTION("""COMPUTED_VALUE"""),"Caba")</f>
        <v>Caba</v>
      </c>
      <c r="K222" s="142" t="str">
        <f>IFERROR(__xludf.DUMMYFUNCTION("""COMPUTED_VALUE"""),"Luna")</f>
        <v>Luna</v>
      </c>
      <c r="L222" s="142" t="str">
        <f>IFERROR(__xludf.DUMMYFUNCTION("""COMPUTED_VALUE"""),"Naguilian")</f>
        <v>Naguilian</v>
      </c>
      <c r="M222" s="142" t="str">
        <f>IFERROR(__xludf.DUMMYFUNCTION("""COMPUTED_VALUE"""),"Pugo")</f>
        <v>Pugo</v>
      </c>
      <c r="N222" s="142" t="str">
        <f>IFERROR(__xludf.DUMMYFUNCTION("""COMPUTED_VALUE"""),"Rosario")</f>
        <v>Rosario</v>
      </c>
      <c r="O222" s="142" t="str">
        <f>IFERROR(__xludf.DUMMYFUNCTION("""COMPUTED_VALUE"""),"City of San Fernando")</f>
        <v>City of San Fernando</v>
      </c>
      <c r="P222" s="142" t="str">
        <f>IFERROR(__xludf.DUMMYFUNCTION("""COMPUTED_VALUE"""),"San Gabriel")</f>
        <v>San Gabriel</v>
      </c>
      <c r="Q222" s="142" t="str">
        <f>IFERROR(__xludf.DUMMYFUNCTION("""COMPUTED_VALUE"""),"San Juan")</f>
        <v>San Juan</v>
      </c>
      <c r="R222" s="142" t="str">
        <f>IFERROR(__xludf.DUMMYFUNCTION("""COMPUTED_VALUE"""),"Santo Tomas")</f>
        <v>Santo Tomas</v>
      </c>
      <c r="S222" s="142" t="str">
        <f>IFERROR(__xludf.DUMMYFUNCTION("""COMPUTED_VALUE"""),"Santol")</f>
        <v>Santol</v>
      </c>
      <c r="T222" s="142" t="str">
        <f>IFERROR(__xludf.DUMMYFUNCTION("""COMPUTED_VALUE"""),"Sudipen")</f>
        <v>Sudipen</v>
      </c>
      <c r="U222" s="142" t="str">
        <f>IFERROR(__xludf.DUMMYFUNCTION("""COMPUTED_VALUE"""),"Tubao")</f>
        <v>Tubao</v>
      </c>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row>
    <row r="223">
      <c r="A223" s="142" t="s">
        <v>331</v>
      </c>
      <c r="B223" s="142" t="str">
        <f>IFERROR(__xludf.DUMMYFUNCTION("""COMPUTED_VALUE"""),"Asuncion")</f>
        <v>Asuncion</v>
      </c>
      <c r="C223" s="142" t="str">
        <f>IFERROR(__xludf.DUMMYFUNCTION("""COMPUTED_VALUE"""),"Carmen")</f>
        <v>Carmen</v>
      </c>
      <c r="D223" s="142" t="str">
        <f>IFERROR(__xludf.DUMMYFUNCTION("""COMPUTED_VALUE"""),"Kapalong")</f>
        <v>Kapalong</v>
      </c>
      <c r="E223" s="142" t="str">
        <f>IFERROR(__xludf.DUMMYFUNCTION("""COMPUTED_VALUE"""),"New Corella")</f>
        <v>New Corella</v>
      </c>
      <c r="F223" s="142" t="str">
        <f>IFERROR(__xludf.DUMMYFUNCTION("""COMPUTED_VALUE"""),"City of Panabo")</f>
        <v>City of Panabo</v>
      </c>
      <c r="G223" s="142" t="str">
        <f>IFERROR(__xludf.DUMMYFUNCTION("""COMPUTED_VALUE"""),"Island Garden City of Samal")</f>
        <v>Island Garden City of Samal</v>
      </c>
      <c r="H223" s="142" t="str">
        <f>IFERROR(__xludf.DUMMYFUNCTION("""COMPUTED_VALUE"""),"Santo Tomas")</f>
        <v>Santo Tomas</v>
      </c>
      <c r="I223" s="142" t="str">
        <f>IFERROR(__xludf.DUMMYFUNCTION("""COMPUTED_VALUE"""),"City of Tagum")</f>
        <v>City of Tagum</v>
      </c>
      <c r="J223" s="142" t="str">
        <f>IFERROR(__xludf.DUMMYFUNCTION("""COMPUTED_VALUE"""),"Talaingod")</f>
        <v>Talaingod</v>
      </c>
      <c r="K223" s="142" t="str">
        <f>IFERROR(__xludf.DUMMYFUNCTION("""COMPUTED_VALUE"""),"Braulio E. Dujali")</f>
        <v>Braulio E. Dujali</v>
      </c>
      <c r="L223" s="142" t="str">
        <f>IFERROR(__xludf.DUMMYFUNCTION("""COMPUTED_VALUE"""),"San Isidro")</f>
        <v>San Isidro</v>
      </c>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row>
    <row r="224">
      <c r="A224" s="142" t="s">
        <v>194</v>
      </c>
      <c r="B224" s="142" t="str">
        <f>IFERROR(__xludf.DUMMYFUNCTION("""COMPUTED_VALUE"""),"Alcantara")</f>
        <v>Alcantara</v>
      </c>
      <c r="C224" s="142" t="str">
        <f>IFERROR(__xludf.DUMMYFUNCTION("""COMPUTED_VALUE"""),"Alcoy")</f>
        <v>Alcoy</v>
      </c>
      <c r="D224" s="142" t="str">
        <f>IFERROR(__xludf.DUMMYFUNCTION("""COMPUTED_VALUE"""),"Alegria")</f>
        <v>Alegria</v>
      </c>
      <c r="E224" s="142" t="str">
        <f>IFERROR(__xludf.DUMMYFUNCTION("""COMPUTED_VALUE"""),"Aloguinsan")</f>
        <v>Aloguinsan</v>
      </c>
      <c r="F224" s="142" t="str">
        <f>IFERROR(__xludf.DUMMYFUNCTION("""COMPUTED_VALUE"""),"Argao")</f>
        <v>Argao</v>
      </c>
      <c r="G224" s="142" t="str">
        <f>IFERROR(__xludf.DUMMYFUNCTION("""COMPUTED_VALUE"""),"Asturias")</f>
        <v>Asturias</v>
      </c>
      <c r="H224" s="142" t="str">
        <f>IFERROR(__xludf.DUMMYFUNCTION("""COMPUTED_VALUE"""),"Badian")</f>
        <v>Badian</v>
      </c>
      <c r="I224" s="142" t="str">
        <f>IFERROR(__xludf.DUMMYFUNCTION("""COMPUTED_VALUE"""),"Balamban")</f>
        <v>Balamban</v>
      </c>
      <c r="J224" s="142" t="str">
        <f>IFERROR(__xludf.DUMMYFUNCTION("""COMPUTED_VALUE"""),"Bantayan")</f>
        <v>Bantayan</v>
      </c>
      <c r="K224" s="142" t="str">
        <f>IFERROR(__xludf.DUMMYFUNCTION("""COMPUTED_VALUE"""),"Barili")</f>
        <v>Barili</v>
      </c>
      <c r="L224" s="142" t="str">
        <f>IFERROR(__xludf.DUMMYFUNCTION("""COMPUTED_VALUE"""),"City of Bogo")</f>
        <v>City of Bogo</v>
      </c>
      <c r="M224" s="142" t="str">
        <f>IFERROR(__xludf.DUMMYFUNCTION("""COMPUTED_VALUE"""),"Boljoon")</f>
        <v>Boljoon</v>
      </c>
      <c r="N224" s="142" t="str">
        <f>IFERROR(__xludf.DUMMYFUNCTION("""COMPUTED_VALUE"""),"Borbon")</f>
        <v>Borbon</v>
      </c>
      <c r="O224" s="142" t="str">
        <f>IFERROR(__xludf.DUMMYFUNCTION("""COMPUTED_VALUE"""),"City of Carcar")</f>
        <v>City of Carcar</v>
      </c>
      <c r="P224" s="142" t="str">
        <f>IFERROR(__xludf.DUMMYFUNCTION("""COMPUTED_VALUE"""),"Carmen")</f>
        <v>Carmen</v>
      </c>
      <c r="Q224" s="142" t="str">
        <f>IFERROR(__xludf.DUMMYFUNCTION("""COMPUTED_VALUE"""),"Catmon")</f>
        <v>Catmon</v>
      </c>
      <c r="R224" s="142" t="str">
        <f>IFERROR(__xludf.DUMMYFUNCTION("""COMPUTED_VALUE"""),"Compostela")</f>
        <v>Compostela</v>
      </c>
      <c r="S224" s="142" t="str">
        <f>IFERROR(__xludf.DUMMYFUNCTION("""COMPUTED_VALUE"""),"Consolacion")</f>
        <v>Consolacion</v>
      </c>
      <c r="T224" s="142" t="str">
        <f>IFERROR(__xludf.DUMMYFUNCTION("""COMPUTED_VALUE"""),"Cordova")</f>
        <v>Cordova</v>
      </c>
      <c r="U224" s="142" t="str">
        <f>IFERROR(__xludf.DUMMYFUNCTION("""COMPUTED_VALUE"""),"Daanbantayan")</f>
        <v>Daanbantayan</v>
      </c>
      <c r="V224" s="142" t="str">
        <f>IFERROR(__xludf.DUMMYFUNCTION("""COMPUTED_VALUE"""),"Dalaguete")</f>
        <v>Dalaguete</v>
      </c>
      <c r="W224" s="142" t="str">
        <f>IFERROR(__xludf.DUMMYFUNCTION("""COMPUTED_VALUE"""),"Danao City")</f>
        <v>Danao City</v>
      </c>
      <c r="X224" s="142" t="str">
        <f>IFERROR(__xludf.DUMMYFUNCTION("""COMPUTED_VALUE"""),"Dumanjug")</f>
        <v>Dumanjug</v>
      </c>
      <c r="Y224" s="142" t="str">
        <f>IFERROR(__xludf.DUMMYFUNCTION("""COMPUTED_VALUE"""),"Ginatilan")</f>
        <v>Ginatilan</v>
      </c>
      <c r="Z224" s="142" t="str">
        <f>IFERROR(__xludf.DUMMYFUNCTION("""COMPUTED_VALUE"""),"Liloan")</f>
        <v>Liloan</v>
      </c>
      <c r="AA224" s="142" t="str">
        <f>IFERROR(__xludf.DUMMYFUNCTION("""COMPUTED_VALUE"""),"Madridejos")</f>
        <v>Madridejos</v>
      </c>
      <c r="AB224" s="142" t="str">
        <f>IFERROR(__xludf.DUMMYFUNCTION("""COMPUTED_VALUE"""),"Malabuyoc")</f>
        <v>Malabuyoc</v>
      </c>
      <c r="AC224" s="142" t="str">
        <f>IFERROR(__xludf.DUMMYFUNCTION("""COMPUTED_VALUE"""),"Medellin")</f>
        <v>Medellin</v>
      </c>
      <c r="AD224" s="142" t="str">
        <f>IFERROR(__xludf.DUMMYFUNCTION("""COMPUTED_VALUE"""),"Minglanilla")</f>
        <v>Minglanilla</v>
      </c>
      <c r="AE224" s="142" t="str">
        <f>IFERROR(__xludf.DUMMYFUNCTION("""COMPUTED_VALUE"""),"Moalboal")</f>
        <v>Moalboal</v>
      </c>
      <c r="AF224" s="142" t="str">
        <f>IFERROR(__xludf.DUMMYFUNCTION("""COMPUTED_VALUE"""),"City of Naga")</f>
        <v>City of Naga</v>
      </c>
      <c r="AG224" s="142" t="str">
        <f>IFERROR(__xludf.DUMMYFUNCTION("""COMPUTED_VALUE"""),"Oslob")</f>
        <v>Oslob</v>
      </c>
      <c r="AH224" s="142" t="str">
        <f>IFERROR(__xludf.DUMMYFUNCTION("""COMPUTED_VALUE"""),"Pilar")</f>
        <v>Pilar</v>
      </c>
      <c r="AI224" s="142" t="str">
        <f>IFERROR(__xludf.DUMMYFUNCTION("""COMPUTED_VALUE"""),"Pinamungajan")</f>
        <v>Pinamungajan</v>
      </c>
      <c r="AJ224" s="142" t="str">
        <f>IFERROR(__xludf.DUMMYFUNCTION("""COMPUTED_VALUE"""),"Poro")</f>
        <v>Poro</v>
      </c>
      <c r="AK224" s="142" t="str">
        <f>IFERROR(__xludf.DUMMYFUNCTION("""COMPUTED_VALUE"""),"Ronda")</f>
        <v>Ronda</v>
      </c>
      <c r="AL224" s="142" t="str">
        <f>IFERROR(__xludf.DUMMYFUNCTION("""COMPUTED_VALUE"""),"Samboan")</f>
        <v>Samboan</v>
      </c>
      <c r="AM224" s="142" t="str">
        <f>IFERROR(__xludf.DUMMYFUNCTION("""COMPUTED_VALUE"""),"San Fernando")</f>
        <v>San Fernando</v>
      </c>
      <c r="AN224" s="142" t="str">
        <f>IFERROR(__xludf.DUMMYFUNCTION("""COMPUTED_VALUE"""),"San Francisco")</f>
        <v>San Francisco</v>
      </c>
      <c r="AO224" s="142" t="str">
        <f>IFERROR(__xludf.DUMMYFUNCTION("""COMPUTED_VALUE"""),"San Remigio")</f>
        <v>San Remigio</v>
      </c>
      <c r="AP224" s="142" t="str">
        <f>IFERROR(__xludf.DUMMYFUNCTION("""COMPUTED_VALUE"""),"Santa Fe")</f>
        <v>Santa Fe</v>
      </c>
      <c r="AQ224" s="142" t="str">
        <f>IFERROR(__xludf.DUMMYFUNCTION("""COMPUTED_VALUE"""),"Santander")</f>
        <v>Santander</v>
      </c>
      <c r="AR224" s="142" t="str">
        <f>IFERROR(__xludf.DUMMYFUNCTION("""COMPUTED_VALUE"""),"Sibonga")</f>
        <v>Sibonga</v>
      </c>
      <c r="AS224" s="142" t="str">
        <f>IFERROR(__xludf.DUMMYFUNCTION("""COMPUTED_VALUE"""),"Sogod")</f>
        <v>Sogod</v>
      </c>
      <c r="AT224" s="142" t="str">
        <f>IFERROR(__xludf.DUMMYFUNCTION("""COMPUTED_VALUE"""),"Tabogon")</f>
        <v>Tabogon</v>
      </c>
      <c r="AU224" s="142" t="str">
        <f>IFERROR(__xludf.DUMMYFUNCTION("""COMPUTED_VALUE"""),"Tabuelan")</f>
        <v>Tabuelan</v>
      </c>
      <c r="AV224" s="142" t="str">
        <f>IFERROR(__xludf.DUMMYFUNCTION("""COMPUTED_VALUE"""),"City of Talisay")</f>
        <v>City of Talisay</v>
      </c>
      <c r="AW224" s="142" t="str">
        <f>IFERROR(__xludf.DUMMYFUNCTION("""COMPUTED_VALUE"""),"City of Toledo")</f>
        <v>City of Toledo</v>
      </c>
      <c r="AX224" s="142" t="str">
        <f>IFERROR(__xludf.DUMMYFUNCTION("""COMPUTED_VALUE"""),"Tuburan")</f>
        <v>Tuburan</v>
      </c>
      <c r="AY224" s="142" t="str">
        <f>IFERROR(__xludf.DUMMYFUNCTION("""COMPUTED_VALUE"""),"Tudela")</f>
        <v>Tudela</v>
      </c>
      <c r="AZ224" s="142" t="str">
        <f>IFERROR(__xludf.DUMMYFUNCTION("""COMPUTED_VALUE"""),"City of Cebu")</f>
        <v>City of Cebu</v>
      </c>
      <c r="BA224" s="142" t="str">
        <f>IFERROR(__xludf.DUMMYFUNCTION("""COMPUTED_VALUE"""),"City of Lapu-Lapu")</f>
        <v>City of Lapu-Lapu</v>
      </c>
      <c r="BB224" s="142" t="str">
        <f>IFERROR(__xludf.DUMMYFUNCTION("""COMPUTED_VALUE"""),"City of Mandaue")</f>
        <v>City of Mandaue</v>
      </c>
      <c r="BC224" s="8"/>
      <c r="BD224" s="8"/>
      <c r="BE224" s="8"/>
    </row>
    <row r="225">
      <c r="A225" s="142" t="s">
        <v>558</v>
      </c>
      <c r="B225" s="142" t="str">
        <f>IFERROR(__xludf.DUMMYFUNCTION("""COMPUTED_VALUE"""),"Ajuy")</f>
        <v>Ajuy</v>
      </c>
      <c r="C225" s="142" t="str">
        <f>IFERROR(__xludf.DUMMYFUNCTION("""COMPUTED_VALUE"""),"Alimodian")</f>
        <v>Alimodian</v>
      </c>
      <c r="D225" s="142" t="str">
        <f>IFERROR(__xludf.DUMMYFUNCTION("""COMPUTED_VALUE"""),"Anilao")</f>
        <v>Anilao</v>
      </c>
      <c r="E225" s="142" t="str">
        <f>IFERROR(__xludf.DUMMYFUNCTION("""COMPUTED_VALUE"""),"Badiangan")</f>
        <v>Badiangan</v>
      </c>
      <c r="F225" s="142" t="str">
        <f>IFERROR(__xludf.DUMMYFUNCTION("""COMPUTED_VALUE"""),"Balasan")</f>
        <v>Balasan</v>
      </c>
      <c r="G225" s="142" t="str">
        <f>IFERROR(__xludf.DUMMYFUNCTION("""COMPUTED_VALUE"""),"Banate")</f>
        <v>Banate</v>
      </c>
      <c r="H225" s="142" t="str">
        <f>IFERROR(__xludf.DUMMYFUNCTION("""COMPUTED_VALUE"""),"Barotac Nuevo")</f>
        <v>Barotac Nuevo</v>
      </c>
      <c r="I225" s="142" t="str">
        <f>IFERROR(__xludf.DUMMYFUNCTION("""COMPUTED_VALUE"""),"Barotac Viejo")</f>
        <v>Barotac Viejo</v>
      </c>
      <c r="J225" s="142" t="str">
        <f>IFERROR(__xludf.DUMMYFUNCTION("""COMPUTED_VALUE"""),"Batad")</f>
        <v>Batad</v>
      </c>
      <c r="K225" s="142" t="str">
        <f>IFERROR(__xludf.DUMMYFUNCTION("""COMPUTED_VALUE"""),"Bingawan")</f>
        <v>Bingawan</v>
      </c>
      <c r="L225" s="142" t="str">
        <f>IFERROR(__xludf.DUMMYFUNCTION("""COMPUTED_VALUE"""),"Cabatuan")</f>
        <v>Cabatuan</v>
      </c>
      <c r="M225" s="142" t="str">
        <f>IFERROR(__xludf.DUMMYFUNCTION("""COMPUTED_VALUE"""),"Calinog")</f>
        <v>Calinog</v>
      </c>
      <c r="N225" s="142" t="str">
        <f>IFERROR(__xludf.DUMMYFUNCTION("""COMPUTED_VALUE"""),"Carles")</f>
        <v>Carles</v>
      </c>
      <c r="O225" s="142" t="str">
        <f>IFERROR(__xludf.DUMMYFUNCTION("""COMPUTED_VALUE"""),"Concepcion")</f>
        <v>Concepcion</v>
      </c>
      <c r="P225" s="142" t="str">
        <f>IFERROR(__xludf.DUMMYFUNCTION("""COMPUTED_VALUE"""),"Dingle")</f>
        <v>Dingle</v>
      </c>
      <c r="Q225" s="142" t="str">
        <f>IFERROR(__xludf.DUMMYFUNCTION("""COMPUTED_VALUE"""),"Dueñas")</f>
        <v>Dueñas</v>
      </c>
      <c r="R225" s="142" t="str">
        <f>IFERROR(__xludf.DUMMYFUNCTION("""COMPUTED_VALUE"""),"Dumangas")</f>
        <v>Dumangas</v>
      </c>
      <c r="S225" s="142" t="str">
        <f>IFERROR(__xludf.DUMMYFUNCTION("""COMPUTED_VALUE"""),"Estancia")</f>
        <v>Estancia</v>
      </c>
      <c r="T225" s="142" t="str">
        <f>IFERROR(__xludf.DUMMYFUNCTION("""COMPUTED_VALUE"""),"Guimbal")</f>
        <v>Guimbal</v>
      </c>
      <c r="U225" s="142" t="str">
        <f>IFERROR(__xludf.DUMMYFUNCTION("""COMPUTED_VALUE"""),"Igbaras")</f>
        <v>Igbaras</v>
      </c>
      <c r="V225" s="142" t="str">
        <f>IFERROR(__xludf.DUMMYFUNCTION("""COMPUTED_VALUE"""),"City of Iloilo")</f>
        <v>City of Iloilo</v>
      </c>
      <c r="W225" s="142" t="str">
        <f>IFERROR(__xludf.DUMMYFUNCTION("""COMPUTED_VALUE"""),"Janiuay")</f>
        <v>Janiuay</v>
      </c>
      <c r="X225" s="142" t="str">
        <f>IFERROR(__xludf.DUMMYFUNCTION("""COMPUTED_VALUE"""),"Lambunao")</f>
        <v>Lambunao</v>
      </c>
      <c r="Y225" s="142" t="str">
        <f>IFERROR(__xludf.DUMMYFUNCTION("""COMPUTED_VALUE"""),"Leganes")</f>
        <v>Leganes</v>
      </c>
      <c r="Z225" s="142" t="str">
        <f>IFERROR(__xludf.DUMMYFUNCTION("""COMPUTED_VALUE"""),"Lemery")</f>
        <v>Lemery</v>
      </c>
      <c r="AA225" s="142" t="str">
        <f>IFERROR(__xludf.DUMMYFUNCTION("""COMPUTED_VALUE"""),"Leon")</f>
        <v>Leon</v>
      </c>
      <c r="AB225" s="142" t="str">
        <f>IFERROR(__xludf.DUMMYFUNCTION("""COMPUTED_VALUE"""),"Maasin")</f>
        <v>Maasin</v>
      </c>
      <c r="AC225" s="142" t="str">
        <f>IFERROR(__xludf.DUMMYFUNCTION("""COMPUTED_VALUE"""),"Miagao")</f>
        <v>Miagao</v>
      </c>
      <c r="AD225" s="142" t="str">
        <f>IFERROR(__xludf.DUMMYFUNCTION("""COMPUTED_VALUE"""),"Mina")</f>
        <v>Mina</v>
      </c>
      <c r="AE225" s="142" t="str">
        <f>IFERROR(__xludf.DUMMYFUNCTION("""COMPUTED_VALUE"""),"New Lucena")</f>
        <v>New Lucena</v>
      </c>
      <c r="AF225" s="142" t="str">
        <f>IFERROR(__xludf.DUMMYFUNCTION("""COMPUTED_VALUE"""),"Oton")</f>
        <v>Oton</v>
      </c>
      <c r="AG225" s="142" t="str">
        <f>IFERROR(__xludf.DUMMYFUNCTION("""COMPUTED_VALUE"""),"City of Passi")</f>
        <v>City of Passi</v>
      </c>
      <c r="AH225" s="142" t="str">
        <f>IFERROR(__xludf.DUMMYFUNCTION("""COMPUTED_VALUE"""),"Pavia")</f>
        <v>Pavia</v>
      </c>
      <c r="AI225" s="142" t="str">
        <f>IFERROR(__xludf.DUMMYFUNCTION("""COMPUTED_VALUE"""),"Pototan")</f>
        <v>Pototan</v>
      </c>
      <c r="AJ225" s="142" t="str">
        <f>IFERROR(__xludf.DUMMYFUNCTION("""COMPUTED_VALUE"""),"San Dionisio")</f>
        <v>San Dionisio</v>
      </c>
      <c r="AK225" s="142" t="str">
        <f>IFERROR(__xludf.DUMMYFUNCTION("""COMPUTED_VALUE"""),"San Enrique")</f>
        <v>San Enrique</v>
      </c>
      <c r="AL225" s="142" t="str">
        <f>IFERROR(__xludf.DUMMYFUNCTION("""COMPUTED_VALUE"""),"San Joaquin")</f>
        <v>San Joaquin</v>
      </c>
      <c r="AM225" s="142" t="str">
        <f>IFERROR(__xludf.DUMMYFUNCTION("""COMPUTED_VALUE"""),"San Miguel")</f>
        <v>San Miguel</v>
      </c>
      <c r="AN225" s="142" t="str">
        <f>IFERROR(__xludf.DUMMYFUNCTION("""COMPUTED_VALUE"""),"San Rafael")</f>
        <v>San Rafael</v>
      </c>
      <c r="AO225" s="142" t="str">
        <f>IFERROR(__xludf.DUMMYFUNCTION("""COMPUTED_VALUE"""),"Santa Barbara")</f>
        <v>Santa Barbara</v>
      </c>
      <c r="AP225" s="142" t="str">
        <f>IFERROR(__xludf.DUMMYFUNCTION("""COMPUTED_VALUE"""),"Sara")</f>
        <v>Sara</v>
      </c>
      <c r="AQ225" s="142" t="str">
        <f>IFERROR(__xludf.DUMMYFUNCTION("""COMPUTED_VALUE"""),"Tigbauan")</f>
        <v>Tigbauan</v>
      </c>
      <c r="AR225" s="142" t="str">
        <f>IFERROR(__xludf.DUMMYFUNCTION("""COMPUTED_VALUE"""),"Tubungan")</f>
        <v>Tubungan</v>
      </c>
      <c r="AS225" s="142" t="str">
        <f>IFERROR(__xludf.DUMMYFUNCTION("""COMPUTED_VALUE"""),"Zarraga")</f>
        <v>Zarraga</v>
      </c>
      <c r="AT225" s="8"/>
      <c r="AU225" s="8"/>
      <c r="AV225" s="8"/>
      <c r="AW225" s="8"/>
      <c r="AX225" s="8"/>
      <c r="AY225" s="8"/>
      <c r="AZ225" s="8"/>
      <c r="BA225" s="8"/>
      <c r="BB225" s="8"/>
      <c r="BC225" s="8"/>
      <c r="BD225" s="8"/>
      <c r="BE225" s="8"/>
    </row>
    <row r="226">
      <c r="A226" s="142" t="s">
        <v>315</v>
      </c>
      <c r="B226" s="142" t="str">
        <f>IFERROR(__xludf.DUMMYFUNCTION("""COMPUTED_VALUE"""),"Altavas")</f>
        <v>Altavas</v>
      </c>
      <c r="C226" s="142" t="str">
        <f>IFERROR(__xludf.DUMMYFUNCTION("""COMPUTED_VALUE"""),"Balete")</f>
        <v>Balete</v>
      </c>
      <c r="D226" s="142" t="str">
        <f>IFERROR(__xludf.DUMMYFUNCTION("""COMPUTED_VALUE"""),"Banga")</f>
        <v>Banga</v>
      </c>
      <c r="E226" s="142" t="str">
        <f>IFERROR(__xludf.DUMMYFUNCTION("""COMPUTED_VALUE"""),"Batan")</f>
        <v>Batan</v>
      </c>
      <c r="F226" s="142" t="str">
        <f>IFERROR(__xludf.DUMMYFUNCTION("""COMPUTED_VALUE"""),"Buruanga")</f>
        <v>Buruanga</v>
      </c>
      <c r="G226" s="142" t="str">
        <f>IFERROR(__xludf.DUMMYFUNCTION("""COMPUTED_VALUE"""),"Ibajay")</f>
        <v>Ibajay</v>
      </c>
      <c r="H226" s="142" t="str">
        <f>IFERROR(__xludf.DUMMYFUNCTION("""COMPUTED_VALUE"""),"Kalibo")</f>
        <v>Kalibo</v>
      </c>
      <c r="I226" s="142" t="str">
        <f>IFERROR(__xludf.DUMMYFUNCTION("""COMPUTED_VALUE"""),"Lezo")</f>
        <v>Lezo</v>
      </c>
      <c r="J226" s="142" t="str">
        <f>IFERROR(__xludf.DUMMYFUNCTION("""COMPUTED_VALUE"""),"Libacao")</f>
        <v>Libacao</v>
      </c>
      <c r="K226" s="142" t="str">
        <f>IFERROR(__xludf.DUMMYFUNCTION("""COMPUTED_VALUE"""),"Madalag")</f>
        <v>Madalag</v>
      </c>
      <c r="L226" s="142" t="str">
        <f>IFERROR(__xludf.DUMMYFUNCTION("""COMPUTED_VALUE"""),"Makato")</f>
        <v>Makato</v>
      </c>
      <c r="M226" s="142" t="str">
        <f>IFERROR(__xludf.DUMMYFUNCTION("""COMPUTED_VALUE"""),"Malay")</f>
        <v>Malay</v>
      </c>
      <c r="N226" s="142" t="str">
        <f>IFERROR(__xludf.DUMMYFUNCTION("""COMPUTED_VALUE"""),"Malinao")</f>
        <v>Malinao</v>
      </c>
      <c r="O226" s="142" t="str">
        <f>IFERROR(__xludf.DUMMYFUNCTION("""COMPUTED_VALUE"""),"Nabas")</f>
        <v>Nabas</v>
      </c>
      <c r="P226" s="142" t="str">
        <f>IFERROR(__xludf.DUMMYFUNCTION("""COMPUTED_VALUE"""),"New Washington")</f>
        <v>New Washington</v>
      </c>
      <c r="Q226" s="142" t="str">
        <f>IFERROR(__xludf.DUMMYFUNCTION("""COMPUTED_VALUE"""),"Numancia")</f>
        <v>Numancia</v>
      </c>
      <c r="R226" s="142" t="str">
        <f>IFERROR(__xludf.DUMMYFUNCTION("""COMPUTED_VALUE"""),"Tangalan")</f>
        <v>Tangalan</v>
      </c>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row>
    <row r="227">
      <c r="A227" s="142" t="s">
        <v>558</v>
      </c>
      <c r="B227" s="142" t="str">
        <f>IFERROR(__xludf.DUMMYFUNCTION("""COMPUTED_VALUE"""),"Ajuy")</f>
        <v>Ajuy</v>
      </c>
      <c r="C227" s="142" t="str">
        <f>IFERROR(__xludf.DUMMYFUNCTION("""COMPUTED_VALUE"""),"Alimodian")</f>
        <v>Alimodian</v>
      </c>
      <c r="D227" s="142" t="str">
        <f>IFERROR(__xludf.DUMMYFUNCTION("""COMPUTED_VALUE"""),"Anilao")</f>
        <v>Anilao</v>
      </c>
      <c r="E227" s="142" t="str">
        <f>IFERROR(__xludf.DUMMYFUNCTION("""COMPUTED_VALUE"""),"Badiangan")</f>
        <v>Badiangan</v>
      </c>
      <c r="F227" s="142" t="str">
        <f>IFERROR(__xludf.DUMMYFUNCTION("""COMPUTED_VALUE"""),"Balasan")</f>
        <v>Balasan</v>
      </c>
      <c r="G227" s="142" t="str">
        <f>IFERROR(__xludf.DUMMYFUNCTION("""COMPUTED_VALUE"""),"Banate")</f>
        <v>Banate</v>
      </c>
      <c r="H227" s="142" t="str">
        <f>IFERROR(__xludf.DUMMYFUNCTION("""COMPUTED_VALUE"""),"Barotac Nuevo")</f>
        <v>Barotac Nuevo</v>
      </c>
      <c r="I227" s="142" t="str">
        <f>IFERROR(__xludf.DUMMYFUNCTION("""COMPUTED_VALUE"""),"Barotac Viejo")</f>
        <v>Barotac Viejo</v>
      </c>
      <c r="J227" s="142" t="str">
        <f>IFERROR(__xludf.DUMMYFUNCTION("""COMPUTED_VALUE"""),"Batad")</f>
        <v>Batad</v>
      </c>
      <c r="K227" s="142" t="str">
        <f>IFERROR(__xludf.DUMMYFUNCTION("""COMPUTED_VALUE"""),"Bingawan")</f>
        <v>Bingawan</v>
      </c>
      <c r="L227" s="142" t="str">
        <f>IFERROR(__xludf.DUMMYFUNCTION("""COMPUTED_VALUE"""),"Cabatuan")</f>
        <v>Cabatuan</v>
      </c>
      <c r="M227" s="142" t="str">
        <f>IFERROR(__xludf.DUMMYFUNCTION("""COMPUTED_VALUE"""),"Calinog")</f>
        <v>Calinog</v>
      </c>
      <c r="N227" s="142" t="str">
        <f>IFERROR(__xludf.DUMMYFUNCTION("""COMPUTED_VALUE"""),"Carles")</f>
        <v>Carles</v>
      </c>
      <c r="O227" s="142" t="str">
        <f>IFERROR(__xludf.DUMMYFUNCTION("""COMPUTED_VALUE"""),"Concepcion")</f>
        <v>Concepcion</v>
      </c>
      <c r="P227" s="142" t="str">
        <f>IFERROR(__xludf.DUMMYFUNCTION("""COMPUTED_VALUE"""),"Dingle")</f>
        <v>Dingle</v>
      </c>
      <c r="Q227" s="142" t="str">
        <f>IFERROR(__xludf.DUMMYFUNCTION("""COMPUTED_VALUE"""),"Dueñas")</f>
        <v>Dueñas</v>
      </c>
      <c r="R227" s="142" t="str">
        <f>IFERROR(__xludf.DUMMYFUNCTION("""COMPUTED_VALUE"""),"Dumangas")</f>
        <v>Dumangas</v>
      </c>
      <c r="S227" s="142" t="str">
        <f>IFERROR(__xludf.DUMMYFUNCTION("""COMPUTED_VALUE"""),"Estancia")</f>
        <v>Estancia</v>
      </c>
      <c r="T227" s="142" t="str">
        <f>IFERROR(__xludf.DUMMYFUNCTION("""COMPUTED_VALUE"""),"Guimbal")</f>
        <v>Guimbal</v>
      </c>
      <c r="U227" s="142" t="str">
        <f>IFERROR(__xludf.DUMMYFUNCTION("""COMPUTED_VALUE"""),"Igbaras")</f>
        <v>Igbaras</v>
      </c>
      <c r="V227" s="142" t="str">
        <f>IFERROR(__xludf.DUMMYFUNCTION("""COMPUTED_VALUE"""),"City of Iloilo")</f>
        <v>City of Iloilo</v>
      </c>
      <c r="W227" s="142" t="str">
        <f>IFERROR(__xludf.DUMMYFUNCTION("""COMPUTED_VALUE"""),"Janiuay")</f>
        <v>Janiuay</v>
      </c>
      <c r="X227" s="142" t="str">
        <f>IFERROR(__xludf.DUMMYFUNCTION("""COMPUTED_VALUE"""),"Lambunao")</f>
        <v>Lambunao</v>
      </c>
      <c r="Y227" s="142" t="str">
        <f>IFERROR(__xludf.DUMMYFUNCTION("""COMPUTED_VALUE"""),"Leganes")</f>
        <v>Leganes</v>
      </c>
      <c r="Z227" s="142" t="str">
        <f>IFERROR(__xludf.DUMMYFUNCTION("""COMPUTED_VALUE"""),"Lemery")</f>
        <v>Lemery</v>
      </c>
      <c r="AA227" s="142" t="str">
        <f>IFERROR(__xludf.DUMMYFUNCTION("""COMPUTED_VALUE"""),"Leon")</f>
        <v>Leon</v>
      </c>
      <c r="AB227" s="142" t="str">
        <f>IFERROR(__xludf.DUMMYFUNCTION("""COMPUTED_VALUE"""),"Maasin")</f>
        <v>Maasin</v>
      </c>
      <c r="AC227" s="142" t="str">
        <f>IFERROR(__xludf.DUMMYFUNCTION("""COMPUTED_VALUE"""),"Miagao")</f>
        <v>Miagao</v>
      </c>
      <c r="AD227" s="142" t="str">
        <f>IFERROR(__xludf.DUMMYFUNCTION("""COMPUTED_VALUE"""),"Mina")</f>
        <v>Mina</v>
      </c>
      <c r="AE227" s="142" t="str">
        <f>IFERROR(__xludf.DUMMYFUNCTION("""COMPUTED_VALUE"""),"New Lucena")</f>
        <v>New Lucena</v>
      </c>
      <c r="AF227" s="142" t="str">
        <f>IFERROR(__xludf.DUMMYFUNCTION("""COMPUTED_VALUE"""),"Oton")</f>
        <v>Oton</v>
      </c>
      <c r="AG227" s="142" t="str">
        <f>IFERROR(__xludf.DUMMYFUNCTION("""COMPUTED_VALUE"""),"City of Passi")</f>
        <v>City of Passi</v>
      </c>
      <c r="AH227" s="142" t="str">
        <f>IFERROR(__xludf.DUMMYFUNCTION("""COMPUTED_VALUE"""),"Pavia")</f>
        <v>Pavia</v>
      </c>
      <c r="AI227" s="142" t="str">
        <f>IFERROR(__xludf.DUMMYFUNCTION("""COMPUTED_VALUE"""),"Pototan")</f>
        <v>Pototan</v>
      </c>
      <c r="AJ227" s="142" t="str">
        <f>IFERROR(__xludf.DUMMYFUNCTION("""COMPUTED_VALUE"""),"San Dionisio")</f>
        <v>San Dionisio</v>
      </c>
      <c r="AK227" s="142" t="str">
        <f>IFERROR(__xludf.DUMMYFUNCTION("""COMPUTED_VALUE"""),"San Enrique")</f>
        <v>San Enrique</v>
      </c>
      <c r="AL227" s="142" t="str">
        <f>IFERROR(__xludf.DUMMYFUNCTION("""COMPUTED_VALUE"""),"San Joaquin")</f>
        <v>San Joaquin</v>
      </c>
      <c r="AM227" s="142" t="str">
        <f>IFERROR(__xludf.DUMMYFUNCTION("""COMPUTED_VALUE"""),"San Miguel")</f>
        <v>San Miguel</v>
      </c>
      <c r="AN227" s="142" t="str">
        <f>IFERROR(__xludf.DUMMYFUNCTION("""COMPUTED_VALUE"""),"San Rafael")</f>
        <v>San Rafael</v>
      </c>
      <c r="AO227" s="142" t="str">
        <f>IFERROR(__xludf.DUMMYFUNCTION("""COMPUTED_VALUE"""),"Santa Barbara")</f>
        <v>Santa Barbara</v>
      </c>
      <c r="AP227" s="142" t="str">
        <f>IFERROR(__xludf.DUMMYFUNCTION("""COMPUTED_VALUE"""),"Sara")</f>
        <v>Sara</v>
      </c>
      <c r="AQ227" s="142" t="str">
        <f>IFERROR(__xludf.DUMMYFUNCTION("""COMPUTED_VALUE"""),"Tigbauan")</f>
        <v>Tigbauan</v>
      </c>
      <c r="AR227" s="142" t="str">
        <f>IFERROR(__xludf.DUMMYFUNCTION("""COMPUTED_VALUE"""),"Tubungan")</f>
        <v>Tubungan</v>
      </c>
      <c r="AS227" s="142" t="str">
        <f>IFERROR(__xludf.DUMMYFUNCTION("""COMPUTED_VALUE"""),"Zarraga")</f>
        <v>Zarraga</v>
      </c>
      <c r="AT227" s="8"/>
      <c r="AU227" s="8"/>
      <c r="AV227" s="8"/>
      <c r="AW227" s="8"/>
      <c r="AX227" s="8"/>
      <c r="AY227" s="8"/>
      <c r="AZ227" s="8"/>
      <c r="BA227" s="8"/>
      <c r="BB227" s="8"/>
      <c r="BC227" s="8"/>
      <c r="BD227" s="8"/>
      <c r="BE227" s="8"/>
    </row>
    <row r="228">
      <c r="A228" s="142" t="s">
        <v>893</v>
      </c>
      <c r="B228" s="142" t="str">
        <f>IFERROR(__xludf.DUMMYFUNCTION("""COMPUTED_VALUE"""),"Bacacay")</f>
        <v>Bacacay</v>
      </c>
      <c r="C228" s="142" t="str">
        <f>IFERROR(__xludf.DUMMYFUNCTION("""COMPUTED_VALUE"""),"Camalig")</f>
        <v>Camalig</v>
      </c>
      <c r="D228" s="142" t="str">
        <f>IFERROR(__xludf.DUMMYFUNCTION("""COMPUTED_VALUE"""),"Daraga")</f>
        <v>Daraga</v>
      </c>
      <c r="E228" s="142" t="str">
        <f>IFERROR(__xludf.DUMMYFUNCTION("""COMPUTED_VALUE"""),"Guinobatan")</f>
        <v>Guinobatan</v>
      </c>
      <c r="F228" s="142" t="str">
        <f>IFERROR(__xludf.DUMMYFUNCTION("""COMPUTED_VALUE"""),"Jovellar")</f>
        <v>Jovellar</v>
      </c>
      <c r="G228" s="142" t="str">
        <f>IFERROR(__xludf.DUMMYFUNCTION("""COMPUTED_VALUE"""),"City of Legazpi")</f>
        <v>City of Legazpi</v>
      </c>
      <c r="H228" s="142" t="str">
        <f>IFERROR(__xludf.DUMMYFUNCTION("""COMPUTED_VALUE"""),"Libon")</f>
        <v>Libon</v>
      </c>
      <c r="I228" s="142" t="str">
        <f>IFERROR(__xludf.DUMMYFUNCTION("""COMPUTED_VALUE"""),"City of Ligao")</f>
        <v>City of Ligao</v>
      </c>
      <c r="J228" s="142" t="str">
        <f>IFERROR(__xludf.DUMMYFUNCTION("""COMPUTED_VALUE"""),"Malilipot")</f>
        <v>Malilipot</v>
      </c>
      <c r="K228" s="142" t="str">
        <f>IFERROR(__xludf.DUMMYFUNCTION("""COMPUTED_VALUE"""),"Malinao")</f>
        <v>Malinao</v>
      </c>
      <c r="L228" s="142" t="str">
        <f>IFERROR(__xludf.DUMMYFUNCTION("""COMPUTED_VALUE"""),"Manito")</f>
        <v>Manito</v>
      </c>
      <c r="M228" s="142" t="str">
        <f>IFERROR(__xludf.DUMMYFUNCTION("""COMPUTED_VALUE"""),"Oas")</f>
        <v>Oas</v>
      </c>
      <c r="N228" s="142" t="str">
        <f>IFERROR(__xludf.DUMMYFUNCTION("""COMPUTED_VALUE"""),"Pio Duran")</f>
        <v>Pio Duran</v>
      </c>
      <c r="O228" s="142" t="str">
        <f>IFERROR(__xludf.DUMMYFUNCTION("""COMPUTED_VALUE"""),"Polangui")</f>
        <v>Polangui</v>
      </c>
      <c r="P228" s="142" t="str">
        <f>IFERROR(__xludf.DUMMYFUNCTION("""COMPUTED_VALUE"""),"Rapu-Rapu")</f>
        <v>Rapu-Rapu</v>
      </c>
      <c r="Q228" s="142" t="str">
        <f>IFERROR(__xludf.DUMMYFUNCTION("""COMPUTED_VALUE"""),"Santo Domingo")</f>
        <v>Santo Domingo</v>
      </c>
      <c r="R228" s="142" t="str">
        <f>IFERROR(__xludf.DUMMYFUNCTION("""COMPUTED_VALUE"""),"City of Tabaco")</f>
        <v>City of Tabaco</v>
      </c>
      <c r="S228" s="142" t="str">
        <f>IFERROR(__xludf.DUMMYFUNCTION("""COMPUTED_VALUE"""),"Tiwi")</f>
        <v>Tiwi</v>
      </c>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row>
    <row r="229">
      <c r="A229" s="142" t="s">
        <v>438</v>
      </c>
      <c r="B229" s="142" t="str">
        <f>IFERROR(__xludf.DUMMYFUNCTION("""COMPUTED_VALUE"""),"Agoo")</f>
        <v>Agoo</v>
      </c>
      <c r="C229" s="142" t="str">
        <f>IFERROR(__xludf.DUMMYFUNCTION("""COMPUTED_VALUE"""),"Aringay")</f>
        <v>Aringay</v>
      </c>
      <c r="D229" s="142" t="str">
        <f>IFERROR(__xludf.DUMMYFUNCTION("""COMPUTED_VALUE"""),"Bacnotan")</f>
        <v>Bacnotan</v>
      </c>
      <c r="E229" s="142" t="str">
        <f>IFERROR(__xludf.DUMMYFUNCTION("""COMPUTED_VALUE"""),"Bagulin")</f>
        <v>Bagulin</v>
      </c>
      <c r="F229" s="142" t="str">
        <f>IFERROR(__xludf.DUMMYFUNCTION("""COMPUTED_VALUE"""),"Balaoan")</f>
        <v>Balaoan</v>
      </c>
      <c r="G229" s="142" t="str">
        <f>IFERROR(__xludf.DUMMYFUNCTION("""COMPUTED_VALUE"""),"Bangar")</f>
        <v>Bangar</v>
      </c>
      <c r="H229" s="142" t="str">
        <f>IFERROR(__xludf.DUMMYFUNCTION("""COMPUTED_VALUE"""),"Bauang")</f>
        <v>Bauang</v>
      </c>
      <c r="I229" s="142" t="str">
        <f>IFERROR(__xludf.DUMMYFUNCTION("""COMPUTED_VALUE"""),"Burgos")</f>
        <v>Burgos</v>
      </c>
      <c r="J229" s="142" t="str">
        <f>IFERROR(__xludf.DUMMYFUNCTION("""COMPUTED_VALUE"""),"Caba")</f>
        <v>Caba</v>
      </c>
      <c r="K229" s="142" t="str">
        <f>IFERROR(__xludf.DUMMYFUNCTION("""COMPUTED_VALUE"""),"Luna")</f>
        <v>Luna</v>
      </c>
      <c r="L229" s="142" t="str">
        <f>IFERROR(__xludf.DUMMYFUNCTION("""COMPUTED_VALUE"""),"Naguilian")</f>
        <v>Naguilian</v>
      </c>
      <c r="M229" s="142" t="str">
        <f>IFERROR(__xludf.DUMMYFUNCTION("""COMPUTED_VALUE"""),"Pugo")</f>
        <v>Pugo</v>
      </c>
      <c r="N229" s="142" t="str">
        <f>IFERROR(__xludf.DUMMYFUNCTION("""COMPUTED_VALUE"""),"Rosario")</f>
        <v>Rosario</v>
      </c>
      <c r="O229" s="142" t="str">
        <f>IFERROR(__xludf.DUMMYFUNCTION("""COMPUTED_VALUE"""),"City of San Fernando")</f>
        <v>City of San Fernando</v>
      </c>
      <c r="P229" s="142" t="str">
        <f>IFERROR(__xludf.DUMMYFUNCTION("""COMPUTED_VALUE"""),"San Gabriel")</f>
        <v>San Gabriel</v>
      </c>
      <c r="Q229" s="142" t="str">
        <f>IFERROR(__xludf.DUMMYFUNCTION("""COMPUTED_VALUE"""),"San Juan")</f>
        <v>San Juan</v>
      </c>
      <c r="R229" s="142" t="str">
        <f>IFERROR(__xludf.DUMMYFUNCTION("""COMPUTED_VALUE"""),"Santo Tomas")</f>
        <v>Santo Tomas</v>
      </c>
      <c r="S229" s="142" t="str">
        <f>IFERROR(__xludf.DUMMYFUNCTION("""COMPUTED_VALUE"""),"Santol")</f>
        <v>Santol</v>
      </c>
      <c r="T229" s="142" t="str">
        <f>IFERROR(__xludf.DUMMYFUNCTION("""COMPUTED_VALUE"""),"Sudipen")</f>
        <v>Sudipen</v>
      </c>
      <c r="U229" s="142" t="str">
        <f>IFERROR(__xludf.DUMMYFUNCTION("""COMPUTED_VALUE"""),"Tubao")</f>
        <v>Tubao</v>
      </c>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row>
    <row r="230">
      <c r="A230" s="142" t="s">
        <v>438</v>
      </c>
      <c r="B230" s="142" t="str">
        <f>IFERROR(__xludf.DUMMYFUNCTION("""COMPUTED_VALUE"""),"Agoo")</f>
        <v>Agoo</v>
      </c>
      <c r="C230" s="142" t="str">
        <f>IFERROR(__xludf.DUMMYFUNCTION("""COMPUTED_VALUE"""),"Aringay")</f>
        <v>Aringay</v>
      </c>
      <c r="D230" s="142" t="str">
        <f>IFERROR(__xludf.DUMMYFUNCTION("""COMPUTED_VALUE"""),"Bacnotan")</f>
        <v>Bacnotan</v>
      </c>
      <c r="E230" s="142" t="str">
        <f>IFERROR(__xludf.DUMMYFUNCTION("""COMPUTED_VALUE"""),"Bagulin")</f>
        <v>Bagulin</v>
      </c>
      <c r="F230" s="142" t="str">
        <f>IFERROR(__xludf.DUMMYFUNCTION("""COMPUTED_VALUE"""),"Balaoan")</f>
        <v>Balaoan</v>
      </c>
      <c r="G230" s="142" t="str">
        <f>IFERROR(__xludf.DUMMYFUNCTION("""COMPUTED_VALUE"""),"Bangar")</f>
        <v>Bangar</v>
      </c>
      <c r="H230" s="142" t="str">
        <f>IFERROR(__xludf.DUMMYFUNCTION("""COMPUTED_VALUE"""),"Bauang")</f>
        <v>Bauang</v>
      </c>
      <c r="I230" s="142" t="str">
        <f>IFERROR(__xludf.DUMMYFUNCTION("""COMPUTED_VALUE"""),"Burgos")</f>
        <v>Burgos</v>
      </c>
      <c r="J230" s="142" t="str">
        <f>IFERROR(__xludf.DUMMYFUNCTION("""COMPUTED_VALUE"""),"Caba")</f>
        <v>Caba</v>
      </c>
      <c r="K230" s="142" t="str">
        <f>IFERROR(__xludf.DUMMYFUNCTION("""COMPUTED_VALUE"""),"Luna")</f>
        <v>Luna</v>
      </c>
      <c r="L230" s="142" t="str">
        <f>IFERROR(__xludf.DUMMYFUNCTION("""COMPUTED_VALUE"""),"Naguilian")</f>
        <v>Naguilian</v>
      </c>
      <c r="M230" s="142" t="str">
        <f>IFERROR(__xludf.DUMMYFUNCTION("""COMPUTED_VALUE"""),"Pugo")</f>
        <v>Pugo</v>
      </c>
      <c r="N230" s="142" t="str">
        <f>IFERROR(__xludf.DUMMYFUNCTION("""COMPUTED_VALUE"""),"Rosario")</f>
        <v>Rosario</v>
      </c>
      <c r="O230" s="142" t="str">
        <f>IFERROR(__xludf.DUMMYFUNCTION("""COMPUTED_VALUE"""),"City of San Fernando")</f>
        <v>City of San Fernando</v>
      </c>
      <c r="P230" s="142" t="str">
        <f>IFERROR(__xludf.DUMMYFUNCTION("""COMPUTED_VALUE"""),"San Gabriel")</f>
        <v>San Gabriel</v>
      </c>
      <c r="Q230" s="142" t="str">
        <f>IFERROR(__xludf.DUMMYFUNCTION("""COMPUTED_VALUE"""),"San Juan")</f>
        <v>San Juan</v>
      </c>
      <c r="R230" s="142" t="str">
        <f>IFERROR(__xludf.DUMMYFUNCTION("""COMPUTED_VALUE"""),"Santo Tomas")</f>
        <v>Santo Tomas</v>
      </c>
      <c r="S230" s="142" t="str">
        <f>IFERROR(__xludf.DUMMYFUNCTION("""COMPUTED_VALUE"""),"Santol")</f>
        <v>Santol</v>
      </c>
      <c r="T230" s="142" t="str">
        <f>IFERROR(__xludf.DUMMYFUNCTION("""COMPUTED_VALUE"""),"Sudipen")</f>
        <v>Sudipen</v>
      </c>
      <c r="U230" s="142" t="str">
        <f>IFERROR(__xludf.DUMMYFUNCTION("""COMPUTED_VALUE"""),"Tubao")</f>
        <v>Tubao</v>
      </c>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row>
    <row r="231">
      <c r="A231" s="142" t="s">
        <v>438</v>
      </c>
      <c r="B231" s="142" t="str">
        <f>IFERROR(__xludf.DUMMYFUNCTION("""COMPUTED_VALUE"""),"Agoo")</f>
        <v>Agoo</v>
      </c>
      <c r="C231" s="142" t="str">
        <f>IFERROR(__xludf.DUMMYFUNCTION("""COMPUTED_VALUE"""),"Aringay")</f>
        <v>Aringay</v>
      </c>
      <c r="D231" s="142" t="str">
        <f>IFERROR(__xludf.DUMMYFUNCTION("""COMPUTED_VALUE"""),"Bacnotan")</f>
        <v>Bacnotan</v>
      </c>
      <c r="E231" s="142" t="str">
        <f>IFERROR(__xludf.DUMMYFUNCTION("""COMPUTED_VALUE"""),"Bagulin")</f>
        <v>Bagulin</v>
      </c>
      <c r="F231" s="142" t="str">
        <f>IFERROR(__xludf.DUMMYFUNCTION("""COMPUTED_VALUE"""),"Balaoan")</f>
        <v>Balaoan</v>
      </c>
      <c r="G231" s="142" t="str">
        <f>IFERROR(__xludf.DUMMYFUNCTION("""COMPUTED_VALUE"""),"Bangar")</f>
        <v>Bangar</v>
      </c>
      <c r="H231" s="142" t="str">
        <f>IFERROR(__xludf.DUMMYFUNCTION("""COMPUTED_VALUE"""),"Bauang")</f>
        <v>Bauang</v>
      </c>
      <c r="I231" s="142" t="str">
        <f>IFERROR(__xludf.DUMMYFUNCTION("""COMPUTED_VALUE"""),"Burgos")</f>
        <v>Burgos</v>
      </c>
      <c r="J231" s="142" t="str">
        <f>IFERROR(__xludf.DUMMYFUNCTION("""COMPUTED_VALUE"""),"Caba")</f>
        <v>Caba</v>
      </c>
      <c r="K231" s="142" t="str">
        <f>IFERROR(__xludf.DUMMYFUNCTION("""COMPUTED_VALUE"""),"Luna")</f>
        <v>Luna</v>
      </c>
      <c r="L231" s="142" t="str">
        <f>IFERROR(__xludf.DUMMYFUNCTION("""COMPUTED_VALUE"""),"Naguilian")</f>
        <v>Naguilian</v>
      </c>
      <c r="M231" s="142" t="str">
        <f>IFERROR(__xludf.DUMMYFUNCTION("""COMPUTED_VALUE"""),"Pugo")</f>
        <v>Pugo</v>
      </c>
      <c r="N231" s="142" t="str">
        <f>IFERROR(__xludf.DUMMYFUNCTION("""COMPUTED_VALUE"""),"Rosario")</f>
        <v>Rosario</v>
      </c>
      <c r="O231" s="142" t="str">
        <f>IFERROR(__xludf.DUMMYFUNCTION("""COMPUTED_VALUE"""),"City of San Fernando")</f>
        <v>City of San Fernando</v>
      </c>
      <c r="P231" s="142" t="str">
        <f>IFERROR(__xludf.DUMMYFUNCTION("""COMPUTED_VALUE"""),"San Gabriel")</f>
        <v>San Gabriel</v>
      </c>
      <c r="Q231" s="142" t="str">
        <f>IFERROR(__xludf.DUMMYFUNCTION("""COMPUTED_VALUE"""),"San Juan")</f>
        <v>San Juan</v>
      </c>
      <c r="R231" s="142" t="str">
        <f>IFERROR(__xludf.DUMMYFUNCTION("""COMPUTED_VALUE"""),"Santo Tomas")</f>
        <v>Santo Tomas</v>
      </c>
      <c r="S231" s="142" t="str">
        <f>IFERROR(__xludf.DUMMYFUNCTION("""COMPUTED_VALUE"""),"Santol")</f>
        <v>Santol</v>
      </c>
      <c r="T231" s="142" t="str">
        <f>IFERROR(__xludf.DUMMYFUNCTION("""COMPUTED_VALUE"""),"Sudipen")</f>
        <v>Sudipen</v>
      </c>
      <c r="U231" s="142" t="str">
        <f>IFERROR(__xludf.DUMMYFUNCTION("""COMPUTED_VALUE"""),"Tubao")</f>
        <v>Tubao</v>
      </c>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row>
    <row r="232">
      <c r="A232" s="142" t="s">
        <v>144</v>
      </c>
      <c r="B232" s="142" t="str">
        <f>IFERROR(__xludf.DUMMYFUNCTION("""COMPUTED_VALUE"""),"Agno")</f>
        <v>Agno</v>
      </c>
      <c r="C232" s="142" t="str">
        <f>IFERROR(__xludf.DUMMYFUNCTION("""COMPUTED_VALUE"""),"Aguilar")</f>
        <v>Aguilar</v>
      </c>
      <c r="D232" s="142" t="str">
        <f>IFERROR(__xludf.DUMMYFUNCTION("""COMPUTED_VALUE"""),"City of Alaminos")</f>
        <v>City of Alaminos</v>
      </c>
      <c r="E232" s="142" t="str">
        <f>IFERROR(__xludf.DUMMYFUNCTION("""COMPUTED_VALUE"""),"Alcala")</f>
        <v>Alcala</v>
      </c>
      <c r="F232" s="142" t="str">
        <f>IFERROR(__xludf.DUMMYFUNCTION("""COMPUTED_VALUE"""),"Anda")</f>
        <v>Anda</v>
      </c>
      <c r="G232" s="142" t="str">
        <f>IFERROR(__xludf.DUMMYFUNCTION("""COMPUTED_VALUE"""),"Asingan")</f>
        <v>Asingan</v>
      </c>
      <c r="H232" s="142" t="str">
        <f>IFERROR(__xludf.DUMMYFUNCTION("""COMPUTED_VALUE"""),"Balungao")</f>
        <v>Balungao</v>
      </c>
      <c r="I232" s="142" t="str">
        <f>IFERROR(__xludf.DUMMYFUNCTION("""COMPUTED_VALUE"""),"Bani")</f>
        <v>Bani</v>
      </c>
      <c r="J232" s="142" t="str">
        <f>IFERROR(__xludf.DUMMYFUNCTION("""COMPUTED_VALUE"""),"Basista")</f>
        <v>Basista</v>
      </c>
      <c r="K232" s="142" t="str">
        <f>IFERROR(__xludf.DUMMYFUNCTION("""COMPUTED_VALUE"""),"Bautista")</f>
        <v>Bautista</v>
      </c>
      <c r="L232" s="142" t="str">
        <f>IFERROR(__xludf.DUMMYFUNCTION("""COMPUTED_VALUE"""),"Bayambang")</f>
        <v>Bayambang</v>
      </c>
      <c r="M232" s="142" t="str">
        <f>IFERROR(__xludf.DUMMYFUNCTION("""COMPUTED_VALUE"""),"Binalonan")</f>
        <v>Binalonan</v>
      </c>
      <c r="N232" s="142" t="str">
        <f>IFERROR(__xludf.DUMMYFUNCTION("""COMPUTED_VALUE"""),"Binmaley")</f>
        <v>Binmaley</v>
      </c>
      <c r="O232" s="142" t="str">
        <f>IFERROR(__xludf.DUMMYFUNCTION("""COMPUTED_VALUE"""),"Bolinao")</f>
        <v>Bolinao</v>
      </c>
      <c r="P232" s="142" t="str">
        <f>IFERROR(__xludf.DUMMYFUNCTION("""COMPUTED_VALUE"""),"Bugallon")</f>
        <v>Bugallon</v>
      </c>
      <c r="Q232" s="142" t="str">
        <f>IFERROR(__xludf.DUMMYFUNCTION("""COMPUTED_VALUE"""),"Burgos")</f>
        <v>Burgos</v>
      </c>
      <c r="R232" s="142" t="str">
        <f>IFERROR(__xludf.DUMMYFUNCTION("""COMPUTED_VALUE"""),"Calasiao")</f>
        <v>Calasiao</v>
      </c>
      <c r="S232" s="142" t="str">
        <f>IFERROR(__xludf.DUMMYFUNCTION("""COMPUTED_VALUE"""),"City of Dagupan")</f>
        <v>City of Dagupan</v>
      </c>
      <c r="T232" s="142" t="str">
        <f>IFERROR(__xludf.DUMMYFUNCTION("""COMPUTED_VALUE"""),"Dasol")</f>
        <v>Dasol</v>
      </c>
      <c r="U232" s="142" t="str">
        <f>IFERROR(__xludf.DUMMYFUNCTION("""COMPUTED_VALUE"""),"Infanta")</f>
        <v>Infanta</v>
      </c>
      <c r="V232" s="142" t="str">
        <f>IFERROR(__xludf.DUMMYFUNCTION("""COMPUTED_VALUE"""),"Labrador")</f>
        <v>Labrador</v>
      </c>
      <c r="W232" s="142" t="str">
        <f>IFERROR(__xludf.DUMMYFUNCTION("""COMPUTED_VALUE"""),"Lingayen")</f>
        <v>Lingayen</v>
      </c>
      <c r="X232" s="142" t="str">
        <f>IFERROR(__xludf.DUMMYFUNCTION("""COMPUTED_VALUE"""),"Mabini")</f>
        <v>Mabini</v>
      </c>
      <c r="Y232" s="142" t="str">
        <f>IFERROR(__xludf.DUMMYFUNCTION("""COMPUTED_VALUE"""),"Malasiqui")</f>
        <v>Malasiqui</v>
      </c>
      <c r="Z232" s="142" t="str">
        <f>IFERROR(__xludf.DUMMYFUNCTION("""COMPUTED_VALUE"""),"Manaoag")</f>
        <v>Manaoag</v>
      </c>
      <c r="AA232" s="142" t="str">
        <f>IFERROR(__xludf.DUMMYFUNCTION("""COMPUTED_VALUE"""),"Mangaldan")</f>
        <v>Mangaldan</v>
      </c>
      <c r="AB232" s="142" t="str">
        <f>IFERROR(__xludf.DUMMYFUNCTION("""COMPUTED_VALUE"""),"Mangatarem")</f>
        <v>Mangatarem</v>
      </c>
      <c r="AC232" s="142" t="str">
        <f>IFERROR(__xludf.DUMMYFUNCTION("""COMPUTED_VALUE"""),"Mapandan")</f>
        <v>Mapandan</v>
      </c>
      <c r="AD232" s="142" t="str">
        <f>IFERROR(__xludf.DUMMYFUNCTION("""COMPUTED_VALUE"""),"Natividad")</f>
        <v>Natividad</v>
      </c>
      <c r="AE232" s="142" t="str">
        <f>IFERROR(__xludf.DUMMYFUNCTION("""COMPUTED_VALUE"""),"Pozorrubio")</f>
        <v>Pozorrubio</v>
      </c>
      <c r="AF232" s="142" t="str">
        <f>IFERROR(__xludf.DUMMYFUNCTION("""COMPUTED_VALUE"""),"Rosales")</f>
        <v>Rosales</v>
      </c>
      <c r="AG232" s="142" t="str">
        <f>IFERROR(__xludf.DUMMYFUNCTION("""COMPUTED_VALUE"""),"City of San Carlos")</f>
        <v>City of San Carlos</v>
      </c>
      <c r="AH232" s="142" t="str">
        <f>IFERROR(__xludf.DUMMYFUNCTION("""COMPUTED_VALUE"""),"San Fabian")</f>
        <v>San Fabian</v>
      </c>
      <c r="AI232" s="142" t="str">
        <f>IFERROR(__xludf.DUMMYFUNCTION("""COMPUTED_VALUE"""),"San Jacinto")</f>
        <v>San Jacinto</v>
      </c>
      <c r="AJ232" s="142" t="str">
        <f>IFERROR(__xludf.DUMMYFUNCTION("""COMPUTED_VALUE"""),"San Manuel")</f>
        <v>San Manuel</v>
      </c>
      <c r="AK232" s="142" t="str">
        <f>IFERROR(__xludf.DUMMYFUNCTION("""COMPUTED_VALUE"""),"San Nicolas")</f>
        <v>San Nicolas</v>
      </c>
      <c r="AL232" s="142" t="str">
        <f>IFERROR(__xludf.DUMMYFUNCTION("""COMPUTED_VALUE"""),"San Quintin")</f>
        <v>San Quintin</v>
      </c>
      <c r="AM232" s="142" t="str">
        <f>IFERROR(__xludf.DUMMYFUNCTION("""COMPUTED_VALUE"""),"Santa Barbara")</f>
        <v>Santa Barbara</v>
      </c>
      <c r="AN232" s="142" t="str">
        <f>IFERROR(__xludf.DUMMYFUNCTION("""COMPUTED_VALUE"""),"Santa Maria")</f>
        <v>Santa Maria</v>
      </c>
      <c r="AO232" s="142" t="str">
        <f>IFERROR(__xludf.DUMMYFUNCTION("""COMPUTED_VALUE"""),"Santo Tomas")</f>
        <v>Santo Tomas</v>
      </c>
      <c r="AP232" s="142" t="str">
        <f>IFERROR(__xludf.DUMMYFUNCTION("""COMPUTED_VALUE"""),"Sison")</f>
        <v>Sison</v>
      </c>
      <c r="AQ232" s="142" t="str">
        <f>IFERROR(__xludf.DUMMYFUNCTION("""COMPUTED_VALUE"""),"Sual")</f>
        <v>Sual</v>
      </c>
      <c r="AR232" s="142" t="str">
        <f>IFERROR(__xludf.DUMMYFUNCTION("""COMPUTED_VALUE"""),"Tayug")</f>
        <v>Tayug</v>
      </c>
      <c r="AS232" s="142" t="str">
        <f>IFERROR(__xludf.DUMMYFUNCTION("""COMPUTED_VALUE"""),"Umingan")</f>
        <v>Umingan</v>
      </c>
      <c r="AT232" s="142" t="str">
        <f>IFERROR(__xludf.DUMMYFUNCTION("""COMPUTED_VALUE"""),"Urbiztondo")</f>
        <v>Urbiztondo</v>
      </c>
      <c r="AU232" s="142" t="str">
        <f>IFERROR(__xludf.DUMMYFUNCTION("""COMPUTED_VALUE"""),"City of Urdaneta")</f>
        <v>City of Urdaneta</v>
      </c>
      <c r="AV232" s="142" t="str">
        <f>IFERROR(__xludf.DUMMYFUNCTION("""COMPUTED_VALUE"""),"Villasis")</f>
        <v>Villasis</v>
      </c>
      <c r="AW232" s="142" t="str">
        <f>IFERROR(__xludf.DUMMYFUNCTION("""COMPUTED_VALUE"""),"Laoac")</f>
        <v>Laoac</v>
      </c>
      <c r="AX232" s="8"/>
      <c r="AY232" s="8"/>
      <c r="AZ232" s="8"/>
      <c r="BA232" s="8"/>
      <c r="BB232" s="8"/>
      <c r="BC232" s="8"/>
      <c r="BD232" s="8"/>
      <c r="BE232" s="8"/>
    </row>
    <row r="233">
      <c r="A233" s="142" t="s">
        <v>331</v>
      </c>
      <c r="B233" s="142" t="str">
        <f>IFERROR(__xludf.DUMMYFUNCTION("""COMPUTED_VALUE"""),"Asuncion")</f>
        <v>Asuncion</v>
      </c>
      <c r="C233" s="142" t="str">
        <f>IFERROR(__xludf.DUMMYFUNCTION("""COMPUTED_VALUE"""),"Carmen")</f>
        <v>Carmen</v>
      </c>
      <c r="D233" s="142" t="str">
        <f>IFERROR(__xludf.DUMMYFUNCTION("""COMPUTED_VALUE"""),"Kapalong")</f>
        <v>Kapalong</v>
      </c>
      <c r="E233" s="142" t="str">
        <f>IFERROR(__xludf.DUMMYFUNCTION("""COMPUTED_VALUE"""),"New Corella")</f>
        <v>New Corella</v>
      </c>
      <c r="F233" s="142" t="str">
        <f>IFERROR(__xludf.DUMMYFUNCTION("""COMPUTED_VALUE"""),"City of Panabo")</f>
        <v>City of Panabo</v>
      </c>
      <c r="G233" s="142" t="str">
        <f>IFERROR(__xludf.DUMMYFUNCTION("""COMPUTED_VALUE"""),"Island Garden City of Samal")</f>
        <v>Island Garden City of Samal</v>
      </c>
      <c r="H233" s="142" t="str">
        <f>IFERROR(__xludf.DUMMYFUNCTION("""COMPUTED_VALUE"""),"Santo Tomas")</f>
        <v>Santo Tomas</v>
      </c>
      <c r="I233" s="142" t="str">
        <f>IFERROR(__xludf.DUMMYFUNCTION("""COMPUTED_VALUE"""),"City of Tagum")</f>
        <v>City of Tagum</v>
      </c>
      <c r="J233" s="142" t="str">
        <f>IFERROR(__xludf.DUMMYFUNCTION("""COMPUTED_VALUE"""),"Talaingod")</f>
        <v>Talaingod</v>
      </c>
      <c r="K233" s="142" t="str">
        <f>IFERROR(__xludf.DUMMYFUNCTION("""COMPUTED_VALUE"""),"Braulio E. Dujali")</f>
        <v>Braulio E. Dujali</v>
      </c>
      <c r="L233" s="142" t="str">
        <f>IFERROR(__xludf.DUMMYFUNCTION("""COMPUTED_VALUE"""),"San Isidro")</f>
        <v>San Isidro</v>
      </c>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row>
    <row r="234">
      <c r="A234" s="142" t="s">
        <v>1089</v>
      </c>
      <c r="B234" s="142" t="str">
        <f>IFERROR(__xludf.DUMMYFUNCTION("""COMPUTED_VALUE"""),"Baao")</f>
        <v>Baao</v>
      </c>
      <c r="C234" s="142" t="str">
        <f>IFERROR(__xludf.DUMMYFUNCTION("""COMPUTED_VALUE"""),"Balatan")</f>
        <v>Balatan</v>
      </c>
      <c r="D234" s="142" t="str">
        <f>IFERROR(__xludf.DUMMYFUNCTION("""COMPUTED_VALUE"""),"Bato")</f>
        <v>Bato</v>
      </c>
      <c r="E234" s="142" t="str">
        <f>IFERROR(__xludf.DUMMYFUNCTION("""COMPUTED_VALUE"""),"Bombon")</f>
        <v>Bombon</v>
      </c>
      <c r="F234" s="142" t="str">
        <f>IFERROR(__xludf.DUMMYFUNCTION("""COMPUTED_VALUE"""),"Buhi")</f>
        <v>Buhi</v>
      </c>
      <c r="G234" s="142" t="str">
        <f>IFERROR(__xludf.DUMMYFUNCTION("""COMPUTED_VALUE"""),"Bula")</f>
        <v>Bula</v>
      </c>
      <c r="H234" s="142" t="str">
        <f>IFERROR(__xludf.DUMMYFUNCTION("""COMPUTED_VALUE"""),"Cabusao")</f>
        <v>Cabusao</v>
      </c>
      <c r="I234" s="142" t="str">
        <f>IFERROR(__xludf.DUMMYFUNCTION("""COMPUTED_VALUE"""),"Calabanga")</f>
        <v>Calabanga</v>
      </c>
      <c r="J234" s="142" t="str">
        <f>IFERROR(__xludf.DUMMYFUNCTION("""COMPUTED_VALUE"""),"Camaligan")</f>
        <v>Camaligan</v>
      </c>
      <c r="K234" s="142" t="str">
        <f>IFERROR(__xludf.DUMMYFUNCTION("""COMPUTED_VALUE"""),"Canaman")</f>
        <v>Canaman</v>
      </c>
      <c r="L234" s="142" t="str">
        <f>IFERROR(__xludf.DUMMYFUNCTION("""COMPUTED_VALUE"""),"Caramoan")</f>
        <v>Caramoan</v>
      </c>
      <c r="M234" s="142" t="str">
        <f>IFERROR(__xludf.DUMMYFUNCTION("""COMPUTED_VALUE"""),"Del Gallego")</f>
        <v>Del Gallego</v>
      </c>
      <c r="N234" s="142" t="str">
        <f>IFERROR(__xludf.DUMMYFUNCTION("""COMPUTED_VALUE"""),"Gainza")</f>
        <v>Gainza</v>
      </c>
      <c r="O234" s="142" t="str">
        <f>IFERROR(__xludf.DUMMYFUNCTION("""COMPUTED_VALUE"""),"Garchitorena")</f>
        <v>Garchitorena</v>
      </c>
      <c r="P234" s="142" t="str">
        <f>IFERROR(__xludf.DUMMYFUNCTION("""COMPUTED_VALUE"""),"Goa")</f>
        <v>Goa</v>
      </c>
      <c r="Q234" s="142" t="str">
        <f>IFERROR(__xludf.DUMMYFUNCTION("""COMPUTED_VALUE"""),"City of Iriga")</f>
        <v>City of Iriga</v>
      </c>
      <c r="R234" s="142" t="str">
        <f>IFERROR(__xludf.DUMMYFUNCTION("""COMPUTED_VALUE"""),"Lagonoy")</f>
        <v>Lagonoy</v>
      </c>
      <c r="S234" s="142" t="str">
        <f>IFERROR(__xludf.DUMMYFUNCTION("""COMPUTED_VALUE"""),"Libmanan")</f>
        <v>Libmanan</v>
      </c>
      <c r="T234" s="142" t="str">
        <f>IFERROR(__xludf.DUMMYFUNCTION("""COMPUTED_VALUE"""),"Lupi")</f>
        <v>Lupi</v>
      </c>
      <c r="U234" s="142" t="str">
        <f>IFERROR(__xludf.DUMMYFUNCTION("""COMPUTED_VALUE"""),"Magarao")</f>
        <v>Magarao</v>
      </c>
      <c r="V234" s="142" t="str">
        <f>IFERROR(__xludf.DUMMYFUNCTION("""COMPUTED_VALUE"""),"Milaor")</f>
        <v>Milaor</v>
      </c>
      <c r="W234" s="142" t="str">
        <f>IFERROR(__xludf.DUMMYFUNCTION("""COMPUTED_VALUE"""),"Minalabac")</f>
        <v>Minalabac</v>
      </c>
      <c r="X234" s="142" t="str">
        <f>IFERROR(__xludf.DUMMYFUNCTION("""COMPUTED_VALUE"""),"Nabua")</f>
        <v>Nabua</v>
      </c>
      <c r="Y234" s="142" t="str">
        <f>IFERROR(__xludf.DUMMYFUNCTION("""COMPUTED_VALUE"""),"City of Naga")</f>
        <v>City of Naga</v>
      </c>
      <c r="Z234" s="142" t="str">
        <f>IFERROR(__xludf.DUMMYFUNCTION("""COMPUTED_VALUE"""),"Ocampo")</f>
        <v>Ocampo</v>
      </c>
      <c r="AA234" s="142" t="str">
        <f>IFERROR(__xludf.DUMMYFUNCTION("""COMPUTED_VALUE"""),"Pamplona")</f>
        <v>Pamplona</v>
      </c>
      <c r="AB234" s="142" t="str">
        <f>IFERROR(__xludf.DUMMYFUNCTION("""COMPUTED_VALUE"""),"Pasacao")</f>
        <v>Pasacao</v>
      </c>
      <c r="AC234" s="142" t="str">
        <f>IFERROR(__xludf.DUMMYFUNCTION("""COMPUTED_VALUE"""),"Pili")</f>
        <v>Pili</v>
      </c>
      <c r="AD234" s="142" t="str">
        <f>IFERROR(__xludf.DUMMYFUNCTION("""COMPUTED_VALUE"""),"Presentacion")</f>
        <v>Presentacion</v>
      </c>
      <c r="AE234" s="142" t="str">
        <f>IFERROR(__xludf.DUMMYFUNCTION("""COMPUTED_VALUE"""),"Ragay")</f>
        <v>Ragay</v>
      </c>
      <c r="AF234" s="142" t="str">
        <f>IFERROR(__xludf.DUMMYFUNCTION("""COMPUTED_VALUE"""),"Sagñay")</f>
        <v>Sagñay</v>
      </c>
      <c r="AG234" s="142" t="str">
        <f>IFERROR(__xludf.DUMMYFUNCTION("""COMPUTED_VALUE"""),"San Fernando")</f>
        <v>San Fernando</v>
      </c>
      <c r="AH234" s="142" t="str">
        <f>IFERROR(__xludf.DUMMYFUNCTION("""COMPUTED_VALUE"""),"San Jose")</f>
        <v>San Jose</v>
      </c>
      <c r="AI234" s="142" t="str">
        <f>IFERROR(__xludf.DUMMYFUNCTION("""COMPUTED_VALUE"""),"Sipocot")</f>
        <v>Sipocot</v>
      </c>
      <c r="AJ234" s="142" t="str">
        <f>IFERROR(__xludf.DUMMYFUNCTION("""COMPUTED_VALUE"""),"Siruma")</f>
        <v>Siruma</v>
      </c>
      <c r="AK234" s="142" t="str">
        <f>IFERROR(__xludf.DUMMYFUNCTION("""COMPUTED_VALUE"""),"Tigaon")</f>
        <v>Tigaon</v>
      </c>
      <c r="AL234" s="142" t="str">
        <f>IFERROR(__xludf.DUMMYFUNCTION("""COMPUTED_VALUE"""),"Tinambac")</f>
        <v>Tinambac</v>
      </c>
      <c r="AM234" s="8"/>
      <c r="AN234" s="8"/>
      <c r="AO234" s="8"/>
      <c r="AP234" s="8"/>
      <c r="AQ234" s="8"/>
      <c r="AR234" s="8"/>
      <c r="AS234" s="8"/>
      <c r="AT234" s="8"/>
      <c r="AU234" s="8"/>
      <c r="AV234" s="8"/>
      <c r="AW234" s="8"/>
      <c r="AX234" s="8"/>
      <c r="AY234" s="8"/>
      <c r="AZ234" s="8"/>
      <c r="BA234" s="8"/>
      <c r="BB234" s="8"/>
      <c r="BC234" s="8"/>
      <c r="BD234" s="8"/>
      <c r="BE234" s="8"/>
    </row>
    <row r="235">
      <c r="A235" s="142" t="s">
        <v>626</v>
      </c>
      <c r="B235" s="142" t="str">
        <f>IFERROR(__xludf.DUMMYFUNCTION("""COMPUTED_VALUE"""),"City of Bacolod")</f>
        <v>City of Bacolod</v>
      </c>
      <c r="C235" s="142" t="str">
        <f>IFERROR(__xludf.DUMMYFUNCTION("""COMPUTED_VALUE"""),"City of Bago")</f>
        <v>City of Bago</v>
      </c>
      <c r="D235" s="142" t="str">
        <f>IFERROR(__xludf.DUMMYFUNCTION("""COMPUTED_VALUE"""),"Binalbagan")</f>
        <v>Binalbagan</v>
      </c>
      <c r="E235" s="142" t="str">
        <f>IFERROR(__xludf.DUMMYFUNCTION("""COMPUTED_VALUE"""),"City of Cadiz")</f>
        <v>City of Cadiz</v>
      </c>
      <c r="F235" s="142" t="str">
        <f>IFERROR(__xludf.DUMMYFUNCTION("""COMPUTED_VALUE"""),"Calatrava")</f>
        <v>Calatrava</v>
      </c>
      <c r="G235" s="142" t="str">
        <f>IFERROR(__xludf.DUMMYFUNCTION("""COMPUTED_VALUE"""),"Candoni")</f>
        <v>Candoni</v>
      </c>
      <c r="H235" s="142" t="str">
        <f>IFERROR(__xludf.DUMMYFUNCTION("""COMPUTED_VALUE"""),"Cauayan")</f>
        <v>Cauayan</v>
      </c>
      <c r="I235" s="142" t="str">
        <f>IFERROR(__xludf.DUMMYFUNCTION("""COMPUTED_VALUE"""),"Enrique B. Magalona")</f>
        <v>Enrique B. Magalona</v>
      </c>
      <c r="J235" s="142" t="str">
        <f>IFERROR(__xludf.DUMMYFUNCTION("""COMPUTED_VALUE"""),"City of Escalante")</f>
        <v>City of Escalante</v>
      </c>
      <c r="K235" s="142" t="str">
        <f>IFERROR(__xludf.DUMMYFUNCTION("""COMPUTED_VALUE"""),"City of Himamaylan")</f>
        <v>City of Himamaylan</v>
      </c>
      <c r="L235" s="142" t="str">
        <f>IFERROR(__xludf.DUMMYFUNCTION("""COMPUTED_VALUE"""),"Hinigaran")</f>
        <v>Hinigaran</v>
      </c>
      <c r="M235" s="142" t="str">
        <f>IFERROR(__xludf.DUMMYFUNCTION("""COMPUTED_VALUE"""),"Hinoba-an")</f>
        <v>Hinoba-an</v>
      </c>
      <c r="N235" s="142" t="str">
        <f>IFERROR(__xludf.DUMMYFUNCTION("""COMPUTED_VALUE"""),"Ilog")</f>
        <v>Ilog</v>
      </c>
      <c r="O235" s="142" t="str">
        <f>IFERROR(__xludf.DUMMYFUNCTION("""COMPUTED_VALUE"""),"Isabela")</f>
        <v>Isabela</v>
      </c>
      <c r="P235" s="142" t="str">
        <f>IFERROR(__xludf.DUMMYFUNCTION("""COMPUTED_VALUE"""),"City of Kabankalan")</f>
        <v>City of Kabankalan</v>
      </c>
      <c r="Q235" s="142" t="str">
        <f>IFERROR(__xludf.DUMMYFUNCTION("""COMPUTED_VALUE"""),"City of La Carlota")</f>
        <v>City of La Carlota</v>
      </c>
      <c r="R235" s="142" t="str">
        <f>IFERROR(__xludf.DUMMYFUNCTION("""COMPUTED_VALUE"""),"La Castellana")</f>
        <v>La Castellana</v>
      </c>
      <c r="S235" s="142" t="str">
        <f>IFERROR(__xludf.DUMMYFUNCTION("""COMPUTED_VALUE"""),"Manapla")</f>
        <v>Manapla</v>
      </c>
      <c r="T235" s="142" t="str">
        <f>IFERROR(__xludf.DUMMYFUNCTION("""COMPUTED_VALUE"""),"Moises Padilla")</f>
        <v>Moises Padilla</v>
      </c>
      <c r="U235" s="142" t="str">
        <f>IFERROR(__xludf.DUMMYFUNCTION("""COMPUTED_VALUE"""),"Murcia")</f>
        <v>Murcia</v>
      </c>
      <c r="V235" s="142" t="str">
        <f>IFERROR(__xludf.DUMMYFUNCTION("""COMPUTED_VALUE"""),"Pontevedra")</f>
        <v>Pontevedra</v>
      </c>
      <c r="W235" s="142" t="str">
        <f>IFERROR(__xludf.DUMMYFUNCTION("""COMPUTED_VALUE"""),"Pulupandan")</f>
        <v>Pulupandan</v>
      </c>
      <c r="X235" s="142" t="str">
        <f>IFERROR(__xludf.DUMMYFUNCTION("""COMPUTED_VALUE"""),"City of Sagay")</f>
        <v>City of Sagay</v>
      </c>
      <c r="Y235" s="142" t="str">
        <f>IFERROR(__xludf.DUMMYFUNCTION("""COMPUTED_VALUE"""),"City of San Carlos")</f>
        <v>City of San Carlos</v>
      </c>
      <c r="Z235" s="142" t="str">
        <f>IFERROR(__xludf.DUMMYFUNCTION("""COMPUTED_VALUE"""),"San Enrique")</f>
        <v>San Enrique</v>
      </c>
      <c r="AA235" s="142" t="str">
        <f>IFERROR(__xludf.DUMMYFUNCTION("""COMPUTED_VALUE"""),"City of Silay")</f>
        <v>City of Silay</v>
      </c>
      <c r="AB235" s="142" t="str">
        <f>IFERROR(__xludf.DUMMYFUNCTION("""COMPUTED_VALUE"""),"City of Sipalay")</f>
        <v>City of Sipalay</v>
      </c>
      <c r="AC235" s="142" t="str">
        <f>IFERROR(__xludf.DUMMYFUNCTION("""COMPUTED_VALUE"""),"City of Talisay")</f>
        <v>City of Talisay</v>
      </c>
      <c r="AD235" s="142" t="str">
        <f>IFERROR(__xludf.DUMMYFUNCTION("""COMPUTED_VALUE"""),"Toboso")</f>
        <v>Toboso</v>
      </c>
      <c r="AE235" s="142" t="str">
        <f>IFERROR(__xludf.DUMMYFUNCTION("""COMPUTED_VALUE"""),"Valladolid")</f>
        <v>Valladolid</v>
      </c>
      <c r="AF235" s="142" t="str">
        <f>IFERROR(__xludf.DUMMYFUNCTION("""COMPUTED_VALUE"""),"City of Victorias")</f>
        <v>City of Victorias</v>
      </c>
      <c r="AG235" s="142" t="str">
        <f>IFERROR(__xludf.DUMMYFUNCTION("""COMPUTED_VALUE"""),"Salvador Benedicto")</f>
        <v>Salvador Benedicto</v>
      </c>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row>
    <row r="236">
      <c r="A236" s="142" t="s">
        <v>523</v>
      </c>
      <c r="B236" s="142" t="str">
        <f>IFERROR(__xludf.DUMMYFUNCTION("""COMPUTED_VALUE"""),"Aborlan")</f>
        <v>Aborlan</v>
      </c>
      <c r="C236" s="142" t="str">
        <f>IFERROR(__xludf.DUMMYFUNCTION("""COMPUTED_VALUE"""),"Agutaya")</f>
        <v>Agutaya</v>
      </c>
      <c r="D236" s="142" t="str">
        <f>IFERROR(__xludf.DUMMYFUNCTION("""COMPUTED_VALUE"""),"Araceli")</f>
        <v>Araceli</v>
      </c>
      <c r="E236" s="142" t="str">
        <f>IFERROR(__xludf.DUMMYFUNCTION("""COMPUTED_VALUE"""),"Balabac")</f>
        <v>Balabac</v>
      </c>
      <c r="F236" s="142" t="str">
        <f>IFERROR(__xludf.DUMMYFUNCTION("""COMPUTED_VALUE"""),"Bataraza")</f>
        <v>Bataraza</v>
      </c>
      <c r="G236" s="142" t="str">
        <f>IFERROR(__xludf.DUMMYFUNCTION("""COMPUTED_VALUE"""),"Brooke's Point")</f>
        <v>Brooke's Point</v>
      </c>
      <c r="H236" s="142" t="str">
        <f>IFERROR(__xludf.DUMMYFUNCTION("""COMPUTED_VALUE"""),"Busuanga")</f>
        <v>Busuanga</v>
      </c>
      <c r="I236" s="142" t="str">
        <f>IFERROR(__xludf.DUMMYFUNCTION("""COMPUTED_VALUE"""),"Cagayancillo")</f>
        <v>Cagayancillo</v>
      </c>
      <c r="J236" s="142" t="str">
        <f>IFERROR(__xludf.DUMMYFUNCTION("""COMPUTED_VALUE"""),"Coron")</f>
        <v>Coron</v>
      </c>
      <c r="K236" s="142" t="str">
        <f>IFERROR(__xludf.DUMMYFUNCTION("""COMPUTED_VALUE"""),"Cuyo")</f>
        <v>Cuyo</v>
      </c>
      <c r="L236" s="142" t="str">
        <f>IFERROR(__xludf.DUMMYFUNCTION("""COMPUTED_VALUE"""),"Dumaran")</f>
        <v>Dumaran</v>
      </c>
      <c r="M236" s="142" t="str">
        <f>IFERROR(__xludf.DUMMYFUNCTION("""COMPUTED_VALUE"""),"El Nido")</f>
        <v>El Nido</v>
      </c>
      <c r="N236" s="142" t="str">
        <f>IFERROR(__xludf.DUMMYFUNCTION("""COMPUTED_VALUE"""),"Linapacan")</f>
        <v>Linapacan</v>
      </c>
      <c r="O236" s="142" t="str">
        <f>IFERROR(__xludf.DUMMYFUNCTION("""COMPUTED_VALUE"""),"Magsaysay")</f>
        <v>Magsaysay</v>
      </c>
      <c r="P236" s="142" t="str">
        <f>IFERROR(__xludf.DUMMYFUNCTION("""COMPUTED_VALUE"""),"Narra")</f>
        <v>Narra</v>
      </c>
      <c r="Q236" s="142" t="str">
        <f>IFERROR(__xludf.DUMMYFUNCTION("""COMPUTED_VALUE"""),"City of Puerto Princesa")</f>
        <v>City of Puerto Princesa</v>
      </c>
      <c r="R236" s="142" t="str">
        <f>IFERROR(__xludf.DUMMYFUNCTION("""COMPUTED_VALUE"""),"Quezon")</f>
        <v>Quezon</v>
      </c>
      <c r="S236" s="142" t="str">
        <f>IFERROR(__xludf.DUMMYFUNCTION("""COMPUTED_VALUE"""),"Roxas")</f>
        <v>Roxas</v>
      </c>
      <c r="T236" s="142" t="str">
        <f>IFERROR(__xludf.DUMMYFUNCTION("""COMPUTED_VALUE"""),"San Vicente")</f>
        <v>San Vicente</v>
      </c>
      <c r="U236" s="142" t="str">
        <f>IFERROR(__xludf.DUMMYFUNCTION("""COMPUTED_VALUE"""),"Taytay")</f>
        <v>Taytay</v>
      </c>
      <c r="V236" s="142" t="str">
        <f>IFERROR(__xludf.DUMMYFUNCTION("""COMPUTED_VALUE"""),"Kalayaan")</f>
        <v>Kalayaan</v>
      </c>
      <c r="W236" s="142" t="str">
        <f>IFERROR(__xludf.DUMMYFUNCTION("""COMPUTED_VALUE"""),"Culion")</f>
        <v>Culion</v>
      </c>
      <c r="X236" s="142" t="str">
        <f>IFERROR(__xludf.DUMMYFUNCTION("""COMPUTED_VALUE"""),"Dr. Jose P. Rizal")</f>
        <v>Dr. Jose P. Rizal</v>
      </c>
      <c r="Y236" s="142" t="str">
        <f>IFERROR(__xludf.DUMMYFUNCTION("""COMPUTED_VALUE"""),"Sofronio Española")</f>
        <v>Sofronio Española</v>
      </c>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row>
    <row r="237">
      <c r="A237" s="142" t="s">
        <v>381</v>
      </c>
      <c r="B237" s="142" t="str">
        <f>IFERROR(__xludf.DUMMYFUNCTION("""COMPUTED_VALUE"""),"Adams")</f>
        <v>Adams</v>
      </c>
      <c r="C237" s="142" t="str">
        <f>IFERROR(__xludf.DUMMYFUNCTION("""COMPUTED_VALUE"""),"Bacarra")</f>
        <v>Bacarra</v>
      </c>
      <c r="D237" s="142" t="str">
        <f>IFERROR(__xludf.DUMMYFUNCTION("""COMPUTED_VALUE"""),"Badoc")</f>
        <v>Badoc</v>
      </c>
      <c r="E237" s="142" t="str">
        <f>IFERROR(__xludf.DUMMYFUNCTION("""COMPUTED_VALUE"""),"Bangui")</f>
        <v>Bangui</v>
      </c>
      <c r="F237" s="142" t="str">
        <f>IFERROR(__xludf.DUMMYFUNCTION("""COMPUTED_VALUE"""),"City of Batac")</f>
        <v>City of Batac</v>
      </c>
      <c r="G237" s="142" t="str">
        <f>IFERROR(__xludf.DUMMYFUNCTION("""COMPUTED_VALUE"""),"Burgos")</f>
        <v>Burgos</v>
      </c>
      <c r="H237" s="142" t="str">
        <f>IFERROR(__xludf.DUMMYFUNCTION("""COMPUTED_VALUE"""),"Carasi")</f>
        <v>Carasi</v>
      </c>
      <c r="I237" s="142" t="str">
        <f>IFERROR(__xludf.DUMMYFUNCTION("""COMPUTED_VALUE"""),"Currimao")</f>
        <v>Currimao</v>
      </c>
      <c r="J237" s="142" t="str">
        <f>IFERROR(__xludf.DUMMYFUNCTION("""COMPUTED_VALUE"""),"Dingras")</f>
        <v>Dingras</v>
      </c>
      <c r="K237" s="142" t="str">
        <f>IFERROR(__xludf.DUMMYFUNCTION("""COMPUTED_VALUE"""),"Dumalneg")</f>
        <v>Dumalneg</v>
      </c>
      <c r="L237" s="142" t="str">
        <f>IFERROR(__xludf.DUMMYFUNCTION("""COMPUTED_VALUE"""),"Banna")</f>
        <v>Banna</v>
      </c>
      <c r="M237" s="142" t="str">
        <f>IFERROR(__xludf.DUMMYFUNCTION("""COMPUTED_VALUE"""),"City of Laoag")</f>
        <v>City of Laoag</v>
      </c>
      <c r="N237" s="142" t="str">
        <f>IFERROR(__xludf.DUMMYFUNCTION("""COMPUTED_VALUE"""),"Marcos")</f>
        <v>Marcos</v>
      </c>
      <c r="O237" s="142" t="str">
        <f>IFERROR(__xludf.DUMMYFUNCTION("""COMPUTED_VALUE"""),"Nueva Era")</f>
        <v>Nueva Era</v>
      </c>
      <c r="P237" s="142" t="str">
        <f>IFERROR(__xludf.DUMMYFUNCTION("""COMPUTED_VALUE"""),"Pagudpud")</f>
        <v>Pagudpud</v>
      </c>
      <c r="Q237" s="142" t="str">
        <f>IFERROR(__xludf.DUMMYFUNCTION("""COMPUTED_VALUE"""),"Paoay")</f>
        <v>Paoay</v>
      </c>
      <c r="R237" s="142" t="str">
        <f>IFERROR(__xludf.DUMMYFUNCTION("""COMPUTED_VALUE"""),"Pasuquin")</f>
        <v>Pasuquin</v>
      </c>
      <c r="S237" s="142" t="str">
        <f>IFERROR(__xludf.DUMMYFUNCTION("""COMPUTED_VALUE"""),"Piddig")</f>
        <v>Piddig</v>
      </c>
      <c r="T237" s="142" t="str">
        <f>IFERROR(__xludf.DUMMYFUNCTION("""COMPUTED_VALUE"""),"Pinili")</f>
        <v>Pinili</v>
      </c>
      <c r="U237" s="142" t="str">
        <f>IFERROR(__xludf.DUMMYFUNCTION("""COMPUTED_VALUE"""),"San Nicolas")</f>
        <v>San Nicolas</v>
      </c>
      <c r="V237" s="142" t="str">
        <f>IFERROR(__xludf.DUMMYFUNCTION("""COMPUTED_VALUE"""),"Sarrat")</f>
        <v>Sarrat</v>
      </c>
      <c r="W237" s="142" t="str">
        <f>IFERROR(__xludf.DUMMYFUNCTION("""COMPUTED_VALUE"""),"Solsona")</f>
        <v>Solsona</v>
      </c>
      <c r="X237" s="142" t="str">
        <f>IFERROR(__xludf.DUMMYFUNCTION("""COMPUTED_VALUE"""),"Vintar")</f>
        <v>Vintar</v>
      </c>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row>
    <row r="238">
      <c r="A238" s="142" t="s">
        <v>357</v>
      </c>
      <c r="B238" s="142" t="str">
        <f>IFERROR(__xludf.DUMMYFUNCTION("""COMPUTED_VALUE"""),"Alabel")</f>
        <v>Alabel</v>
      </c>
      <c r="C238" s="142" t="str">
        <f>IFERROR(__xludf.DUMMYFUNCTION("""COMPUTED_VALUE"""),"Glan")</f>
        <v>Glan</v>
      </c>
      <c r="D238" s="142" t="str">
        <f>IFERROR(__xludf.DUMMYFUNCTION("""COMPUTED_VALUE"""),"Kiamba")</f>
        <v>Kiamba</v>
      </c>
      <c r="E238" s="142" t="str">
        <f>IFERROR(__xludf.DUMMYFUNCTION("""COMPUTED_VALUE"""),"Maasim")</f>
        <v>Maasim</v>
      </c>
      <c r="F238" s="142" t="str">
        <f>IFERROR(__xludf.DUMMYFUNCTION("""COMPUTED_VALUE"""),"Maitum")</f>
        <v>Maitum</v>
      </c>
      <c r="G238" s="142" t="str">
        <f>IFERROR(__xludf.DUMMYFUNCTION("""COMPUTED_VALUE"""),"Malapatan")</f>
        <v>Malapatan</v>
      </c>
      <c r="H238" s="142" t="str">
        <f>IFERROR(__xludf.DUMMYFUNCTION("""COMPUTED_VALUE"""),"Malungon")</f>
        <v>Malungon</v>
      </c>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row>
    <row r="239">
      <c r="A239" s="142" t="s">
        <v>144</v>
      </c>
      <c r="B239" s="142" t="str">
        <f>IFERROR(__xludf.DUMMYFUNCTION("""COMPUTED_VALUE"""),"Agno")</f>
        <v>Agno</v>
      </c>
      <c r="C239" s="142" t="str">
        <f>IFERROR(__xludf.DUMMYFUNCTION("""COMPUTED_VALUE"""),"Aguilar")</f>
        <v>Aguilar</v>
      </c>
      <c r="D239" s="142" t="str">
        <f>IFERROR(__xludf.DUMMYFUNCTION("""COMPUTED_VALUE"""),"City of Alaminos")</f>
        <v>City of Alaminos</v>
      </c>
      <c r="E239" s="142" t="str">
        <f>IFERROR(__xludf.DUMMYFUNCTION("""COMPUTED_VALUE"""),"Alcala")</f>
        <v>Alcala</v>
      </c>
      <c r="F239" s="142" t="str">
        <f>IFERROR(__xludf.DUMMYFUNCTION("""COMPUTED_VALUE"""),"Anda")</f>
        <v>Anda</v>
      </c>
      <c r="G239" s="142" t="str">
        <f>IFERROR(__xludf.DUMMYFUNCTION("""COMPUTED_VALUE"""),"Asingan")</f>
        <v>Asingan</v>
      </c>
      <c r="H239" s="142" t="str">
        <f>IFERROR(__xludf.DUMMYFUNCTION("""COMPUTED_VALUE"""),"Balungao")</f>
        <v>Balungao</v>
      </c>
      <c r="I239" s="142" t="str">
        <f>IFERROR(__xludf.DUMMYFUNCTION("""COMPUTED_VALUE"""),"Bani")</f>
        <v>Bani</v>
      </c>
      <c r="J239" s="142" t="str">
        <f>IFERROR(__xludf.DUMMYFUNCTION("""COMPUTED_VALUE"""),"Basista")</f>
        <v>Basista</v>
      </c>
      <c r="K239" s="142" t="str">
        <f>IFERROR(__xludf.DUMMYFUNCTION("""COMPUTED_VALUE"""),"Bautista")</f>
        <v>Bautista</v>
      </c>
      <c r="L239" s="142" t="str">
        <f>IFERROR(__xludf.DUMMYFUNCTION("""COMPUTED_VALUE"""),"Bayambang")</f>
        <v>Bayambang</v>
      </c>
      <c r="M239" s="142" t="str">
        <f>IFERROR(__xludf.DUMMYFUNCTION("""COMPUTED_VALUE"""),"Binalonan")</f>
        <v>Binalonan</v>
      </c>
      <c r="N239" s="142" t="str">
        <f>IFERROR(__xludf.DUMMYFUNCTION("""COMPUTED_VALUE"""),"Binmaley")</f>
        <v>Binmaley</v>
      </c>
      <c r="O239" s="142" t="str">
        <f>IFERROR(__xludf.DUMMYFUNCTION("""COMPUTED_VALUE"""),"Bolinao")</f>
        <v>Bolinao</v>
      </c>
      <c r="P239" s="142" t="str">
        <f>IFERROR(__xludf.DUMMYFUNCTION("""COMPUTED_VALUE"""),"Bugallon")</f>
        <v>Bugallon</v>
      </c>
      <c r="Q239" s="142" t="str">
        <f>IFERROR(__xludf.DUMMYFUNCTION("""COMPUTED_VALUE"""),"Burgos")</f>
        <v>Burgos</v>
      </c>
      <c r="R239" s="142" t="str">
        <f>IFERROR(__xludf.DUMMYFUNCTION("""COMPUTED_VALUE"""),"Calasiao")</f>
        <v>Calasiao</v>
      </c>
      <c r="S239" s="142" t="str">
        <f>IFERROR(__xludf.DUMMYFUNCTION("""COMPUTED_VALUE"""),"City of Dagupan")</f>
        <v>City of Dagupan</v>
      </c>
      <c r="T239" s="142" t="str">
        <f>IFERROR(__xludf.DUMMYFUNCTION("""COMPUTED_VALUE"""),"Dasol")</f>
        <v>Dasol</v>
      </c>
      <c r="U239" s="142" t="str">
        <f>IFERROR(__xludf.DUMMYFUNCTION("""COMPUTED_VALUE"""),"Infanta")</f>
        <v>Infanta</v>
      </c>
      <c r="V239" s="142" t="str">
        <f>IFERROR(__xludf.DUMMYFUNCTION("""COMPUTED_VALUE"""),"Labrador")</f>
        <v>Labrador</v>
      </c>
      <c r="W239" s="142" t="str">
        <f>IFERROR(__xludf.DUMMYFUNCTION("""COMPUTED_VALUE"""),"Lingayen")</f>
        <v>Lingayen</v>
      </c>
      <c r="X239" s="142" t="str">
        <f>IFERROR(__xludf.DUMMYFUNCTION("""COMPUTED_VALUE"""),"Mabini")</f>
        <v>Mabini</v>
      </c>
      <c r="Y239" s="142" t="str">
        <f>IFERROR(__xludf.DUMMYFUNCTION("""COMPUTED_VALUE"""),"Malasiqui")</f>
        <v>Malasiqui</v>
      </c>
      <c r="Z239" s="142" t="str">
        <f>IFERROR(__xludf.DUMMYFUNCTION("""COMPUTED_VALUE"""),"Manaoag")</f>
        <v>Manaoag</v>
      </c>
      <c r="AA239" s="142" t="str">
        <f>IFERROR(__xludf.DUMMYFUNCTION("""COMPUTED_VALUE"""),"Mangaldan")</f>
        <v>Mangaldan</v>
      </c>
      <c r="AB239" s="142" t="str">
        <f>IFERROR(__xludf.DUMMYFUNCTION("""COMPUTED_VALUE"""),"Mangatarem")</f>
        <v>Mangatarem</v>
      </c>
      <c r="AC239" s="142" t="str">
        <f>IFERROR(__xludf.DUMMYFUNCTION("""COMPUTED_VALUE"""),"Mapandan")</f>
        <v>Mapandan</v>
      </c>
      <c r="AD239" s="142" t="str">
        <f>IFERROR(__xludf.DUMMYFUNCTION("""COMPUTED_VALUE"""),"Natividad")</f>
        <v>Natividad</v>
      </c>
      <c r="AE239" s="142" t="str">
        <f>IFERROR(__xludf.DUMMYFUNCTION("""COMPUTED_VALUE"""),"Pozorrubio")</f>
        <v>Pozorrubio</v>
      </c>
      <c r="AF239" s="142" t="str">
        <f>IFERROR(__xludf.DUMMYFUNCTION("""COMPUTED_VALUE"""),"Rosales")</f>
        <v>Rosales</v>
      </c>
      <c r="AG239" s="142" t="str">
        <f>IFERROR(__xludf.DUMMYFUNCTION("""COMPUTED_VALUE"""),"City of San Carlos")</f>
        <v>City of San Carlos</v>
      </c>
      <c r="AH239" s="142" t="str">
        <f>IFERROR(__xludf.DUMMYFUNCTION("""COMPUTED_VALUE"""),"San Fabian")</f>
        <v>San Fabian</v>
      </c>
      <c r="AI239" s="142" t="str">
        <f>IFERROR(__xludf.DUMMYFUNCTION("""COMPUTED_VALUE"""),"San Jacinto")</f>
        <v>San Jacinto</v>
      </c>
      <c r="AJ239" s="142" t="str">
        <f>IFERROR(__xludf.DUMMYFUNCTION("""COMPUTED_VALUE"""),"San Manuel")</f>
        <v>San Manuel</v>
      </c>
      <c r="AK239" s="142" t="str">
        <f>IFERROR(__xludf.DUMMYFUNCTION("""COMPUTED_VALUE"""),"San Nicolas")</f>
        <v>San Nicolas</v>
      </c>
      <c r="AL239" s="142" t="str">
        <f>IFERROR(__xludf.DUMMYFUNCTION("""COMPUTED_VALUE"""),"San Quintin")</f>
        <v>San Quintin</v>
      </c>
      <c r="AM239" s="142" t="str">
        <f>IFERROR(__xludf.DUMMYFUNCTION("""COMPUTED_VALUE"""),"Santa Barbara")</f>
        <v>Santa Barbara</v>
      </c>
      <c r="AN239" s="142" t="str">
        <f>IFERROR(__xludf.DUMMYFUNCTION("""COMPUTED_VALUE"""),"Santa Maria")</f>
        <v>Santa Maria</v>
      </c>
      <c r="AO239" s="142" t="str">
        <f>IFERROR(__xludf.DUMMYFUNCTION("""COMPUTED_VALUE"""),"Santo Tomas")</f>
        <v>Santo Tomas</v>
      </c>
      <c r="AP239" s="142" t="str">
        <f>IFERROR(__xludf.DUMMYFUNCTION("""COMPUTED_VALUE"""),"Sison")</f>
        <v>Sison</v>
      </c>
      <c r="AQ239" s="142" t="str">
        <f>IFERROR(__xludf.DUMMYFUNCTION("""COMPUTED_VALUE"""),"Sual")</f>
        <v>Sual</v>
      </c>
      <c r="AR239" s="142" t="str">
        <f>IFERROR(__xludf.DUMMYFUNCTION("""COMPUTED_VALUE"""),"Tayug")</f>
        <v>Tayug</v>
      </c>
      <c r="AS239" s="142" t="str">
        <f>IFERROR(__xludf.DUMMYFUNCTION("""COMPUTED_VALUE"""),"Umingan")</f>
        <v>Umingan</v>
      </c>
      <c r="AT239" s="142" t="str">
        <f>IFERROR(__xludf.DUMMYFUNCTION("""COMPUTED_VALUE"""),"Urbiztondo")</f>
        <v>Urbiztondo</v>
      </c>
      <c r="AU239" s="142" t="str">
        <f>IFERROR(__xludf.DUMMYFUNCTION("""COMPUTED_VALUE"""),"City of Urdaneta")</f>
        <v>City of Urdaneta</v>
      </c>
      <c r="AV239" s="142" t="str">
        <f>IFERROR(__xludf.DUMMYFUNCTION("""COMPUTED_VALUE"""),"Villasis")</f>
        <v>Villasis</v>
      </c>
      <c r="AW239" s="142" t="str">
        <f>IFERROR(__xludf.DUMMYFUNCTION("""COMPUTED_VALUE"""),"Laoac")</f>
        <v>Laoac</v>
      </c>
      <c r="AX239" s="8"/>
      <c r="AY239" s="8"/>
      <c r="AZ239" s="8"/>
      <c r="BA239" s="8"/>
      <c r="BB239" s="8"/>
      <c r="BC239" s="8"/>
      <c r="BD239" s="8"/>
      <c r="BE239" s="8"/>
    </row>
    <row r="240">
      <c r="A240" s="142" t="s">
        <v>1283</v>
      </c>
      <c r="B240" s="142" t="str">
        <f>IFERROR(__xludf.DUMMYFUNCTION("""COMPUTED_VALUE"""),"Abucay")</f>
        <v>Abucay</v>
      </c>
      <c r="C240" s="142" t="str">
        <f>IFERROR(__xludf.DUMMYFUNCTION("""COMPUTED_VALUE"""),"Bagac")</f>
        <v>Bagac</v>
      </c>
      <c r="D240" s="142" t="str">
        <f>IFERROR(__xludf.DUMMYFUNCTION("""COMPUTED_VALUE"""),"City of Balanga")</f>
        <v>City of Balanga</v>
      </c>
      <c r="E240" s="142" t="str">
        <f>IFERROR(__xludf.DUMMYFUNCTION("""COMPUTED_VALUE"""),"Dinalupihan")</f>
        <v>Dinalupihan</v>
      </c>
      <c r="F240" s="142" t="str">
        <f>IFERROR(__xludf.DUMMYFUNCTION("""COMPUTED_VALUE"""),"Hermosa")</f>
        <v>Hermosa</v>
      </c>
      <c r="G240" s="142" t="str">
        <f>IFERROR(__xludf.DUMMYFUNCTION("""COMPUTED_VALUE"""),"Limay")</f>
        <v>Limay</v>
      </c>
      <c r="H240" s="142" t="str">
        <f>IFERROR(__xludf.DUMMYFUNCTION("""COMPUTED_VALUE"""),"Mariveles")</f>
        <v>Mariveles</v>
      </c>
      <c r="I240" s="142" t="str">
        <f>IFERROR(__xludf.DUMMYFUNCTION("""COMPUTED_VALUE"""),"Morong")</f>
        <v>Morong</v>
      </c>
      <c r="J240" s="142" t="str">
        <f>IFERROR(__xludf.DUMMYFUNCTION("""COMPUTED_VALUE"""),"Orani")</f>
        <v>Orani</v>
      </c>
      <c r="K240" s="142" t="str">
        <f>IFERROR(__xludf.DUMMYFUNCTION("""COMPUTED_VALUE"""),"Orion")</f>
        <v>Orion</v>
      </c>
      <c r="L240" s="142" t="str">
        <f>IFERROR(__xludf.DUMMYFUNCTION("""COMPUTED_VALUE"""),"Pilar")</f>
        <v>Pilar</v>
      </c>
      <c r="M240" s="142" t="str">
        <f>IFERROR(__xludf.DUMMYFUNCTION("""COMPUTED_VALUE"""),"Samal")</f>
        <v>Samal</v>
      </c>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row>
    <row r="241">
      <c r="A241" s="142" t="s">
        <v>294</v>
      </c>
      <c r="B241" s="142" t="str">
        <f>IFERROR(__xludf.DUMMYFUNCTION("""COMPUTED_VALUE"""),"Botolan")</f>
        <v>Botolan</v>
      </c>
      <c r="C241" s="142" t="str">
        <f>IFERROR(__xludf.DUMMYFUNCTION("""COMPUTED_VALUE"""),"Cabangan")</f>
        <v>Cabangan</v>
      </c>
      <c r="D241" s="142" t="str">
        <f>IFERROR(__xludf.DUMMYFUNCTION("""COMPUTED_VALUE"""),"Candelaria")</f>
        <v>Candelaria</v>
      </c>
      <c r="E241" s="142" t="str">
        <f>IFERROR(__xludf.DUMMYFUNCTION("""COMPUTED_VALUE"""),"Castillejos")</f>
        <v>Castillejos</v>
      </c>
      <c r="F241" s="142" t="str">
        <f>IFERROR(__xludf.DUMMYFUNCTION("""COMPUTED_VALUE"""),"Iba")</f>
        <v>Iba</v>
      </c>
      <c r="G241" s="142" t="str">
        <f>IFERROR(__xludf.DUMMYFUNCTION("""COMPUTED_VALUE"""),"Masinloc")</f>
        <v>Masinloc</v>
      </c>
      <c r="H241" s="142" t="str">
        <f>IFERROR(__xludf.DUMMYFUNCTION("""COMPUTED_VALUE"""),"City of Olongapo")</f>
        <v>City of Olongapo</v>
      </c>
      <c r="I241" s="142" t="str">
        <f>IFERROR(__xludf.DUMMYFUNCTION("""COMPUTED_VALUE"""),"Palauig")</f>
        <v>Palauig</v>
      </c>
      <c r="J241" s="142" t="str">
        <f>IFERROR(__xludf.DUMMYFUNCTION("""COMPUTED_VALUE"""),"San Antonio")</f>
        <v>San Antonio</v>
      </c>
      <c r="K241" s="142" t="str">
        <f>IFERROR(__xludf.DUMMYFUNCTION("""COMPUTED_VALUE"""),"San Felipe")</f>
        <v>San Felipe</v>
      </c>
      <c r="L241" s="142" t="str">
        <f>IFERROR(__xludf.DUMMYFUNCTION("""COMPUTED_VALUE"""),"San Marcelino")</f>
        <v>San Marcelino</v>
      </c>
      <c r="M241" s="142" t="str">
        <f>IFERROR(__xludf.DUMMYFUNCTION("""COMPUTED_VALUE"""),"San Narciso")</f>
        <v>San Narciso</v>
      </c>
      <c r="N241" s="142" t="str">
        <f>IFERROR(__xludf.DUMMYFUNCTION("""COMPUTED_VALUE"""),"Santa Cruz")</f>
        <v>Santa Cruz</v>
      </c>
      <c r="O241" s="142" t="str">
        <f>IFERROR(__xludf.DUMMYFUNCTION("""COMPUTED_VALUE"""),"Subic")</f>
        <v>Subic</v>
      </c>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row>
    <row r="242">
      <c r="A242" s="142" t="s">
        <v>523</v>
      </c>
      <c r="B242" s="142" t="str">
        <f>IFERROR(__xludf.DUMMYFUNCTION("""COMPUTED_VALUE"""),"Aborlan")</f>
        <v>Aborlan</v>
      </c>
      <c r="C242" s="142" t="str">
        <f>IFERROR(__xludf.DUMMYFUNCTION("""COMPUTED_VALUE"""),"Agutaya")</f>
        <v>Agutaya</v>
      </c>
      <c r="D242" s="142" t="str">
        <f>IFERROR(__xludf.DUMMYFUNCTION("""COMPUTED_VALUE"""),"Araceli")</f>
        <v>Araceli</v>
      </c>
      <c r="E242" s="142" t="str">
        <f>IFERROR(__xludf.DUMMYFUNCTION("""COMPUTED_VALUE"""),"Balabac")</f>
        <v>Balabac</v>
      </c>
      <c r="F242" s="142" t="str">
        <f>IFERROR(__xludf.DUMMYFUNCTION("""COMPUTED_VALUE"""),"Bataraza")</f>
        <v>Bataraza</v>
      </c>
      <c r="G242" s="142" t="str">
        <f>IFERROR(__xludf.DUMMYFUNCTION("""COMPUTED_VALUE"""),"Brooke's Point")</f>
        <v>Brooke's Point</v>
      </c>
      <c r="H242" s="142" t="str">
        <f>IFERROR(__xludf.DUMMYFUNCTION("""COMPUTED_VALUE"""),"Busuanga")</f>
        <v>Busuanga</v>
      </c>
      <c r="I242" s="142" t="str">
        <f>IFERROR(__xludf.DUMMYFUNCTION("""COMPUTED_VALUE"""),"Cagayancillo")</f>
        <v>Cagayancillo</v>
      </c>
      <c r="J242" s="142" t="str">
        <f>IFERROR(__xludf.DUMMYFUNCTION("""COMPUTED_VALUE"""),"Coron")</f>
        <v>Coron</v>
      </c>
      <c r="K242" s="142" t="str">
        <f>IFERROR(__xludf.DUMMYFUNCTION("""COMPUTED_VALUE"""),"Cuyo")</f>
        <v>Cuyo</v>
      </c>
      <c r="L242" s="142" t="str">
        <f>IFERROR(__xludf.DUMMYFUNCTION("""COMPUTED_VALUE"""),"Dumaran")</f>
        <v>Dumaran</v>
      </c>
      <c r="M242" s="142" t="str">
        <f>IFERROR(__xludf.DUMMYFUNCTION("""COMPUTED_VALUE"""),"El Nido")</f>
        <v>El Nido</v>
      </c>
      <c r="N242" s="142" t="str">
        <f>IFERROR(__xludf.DUMMYFUNCTION("""COMPUTED_VALUE"""),"Linapacan")</f>
        <v>Linapacan</v>
      </c>
      <c r="O242" s="142" t="str">
        <f>IFERROR(__xludf.DUMMYFUNCTION("""COMPUTED_VALUE"""),"Magsaysay")</f>
        <v>Magsaysay</v>
      </c>
      <c r="P242" s="142" t="str">
        <f>IFERROR(__xludf.DUMMYFUNCTION("""COMPUTED_VALUE"""),"Narra")</f>
        <v>Narra</v>
      </c>
      <c r="Q242" s="142" t="str">
        <f>IFERROR(__xludf.DUMMYFUNCTION("""COMPUTED_VALUE"""),"City of Puerto Princesa")</f>
        <v>City of Puerto Princesa</v>
      </c>
      <c r="R242" s="142" t="str">
        <f>IFERROR(__xludf.DUMMYFUNCTION("""COMPUTED_VALUE"""),"Quezon")</f>
        <v>Quezon</v>
      </c>
      <c r="S242" s="142" t="str">
        <f>IFERROR(__xludf.DUMMYFUNCTION("""COMPUTED_VALUE"""),"Roxas")</f>
        <v>Roxas</v>
      </c>
      <c r="T242" s="142" t="str">
        <f>IFERROR(__xludf.DUMMYFUNCTION("""COMPUTED_VALUE"""),"San Vicente")</f>
        <v>San Vicente</v>
      </c>
      <c r="U242" s="142" t="str">
        <f>IFERROR(__xludf.DUMMYFUNCTION("""COMPUTED_VALUE"""),"Taytay")</f>
        <v>Taytay</v>
      </c>
      <c r="V242" s="142" t="str">
        <f>IFERROR(__xludf.DUMMYFUNCTION("""COMPUTED_VALUE"""),"Kalayaan")</f>
        <v>Kalayaan</v>
      </c>
      <c r="W242" s="142" t="str">
        <f>IFERROR(__xludf.DUMMYFUNCTION("""COMPUTED_VALUE"""),"Culion")</f>
        <v>Culion</v>
      </c>
      <c r="X242" s="142" t="str">
        <f>IFERROR(__xludf.DUMMYFUNCTION("""COMPUTED_VALUE"""),"Dr. Jose P. Rizal")</f>
        <v>Dr. Jose P. Rizal</v>
      </c>
      <c r="Y242" s="142" t="str">
        <f>IFERROR(__xludf.DUMMYFUNCTION("""COMPUTED_VALUE"""),"Sofronio Española")</f>
        <v>Sofronio Española</v>
      </c>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row>
    <row r="243">
      <c r="A243" s="142" t="s">
        <v>563</v>
      </c>
      <c r="B243" s="142" t="str">
        <f>IFERROR(__xludf.DUMMYFUNCTION("""COMPUTED_VALUE"""),"Alburquerque")</f>
        <v>Alburquerque</v>
      </c>
      <c r="C243" s="142" t="str">
        <f>IFERROR(__xludf.DUMMYFUNCTION("""COMPUTED_VALUE"""),"Alicia")</f>
        <v>Alicia</v>
      </c>
      <c r="D243" s="142" t="str">
        <f>IFERROR(__xludf.DUMMYFUNCTION("""COMPUTED_VALUE"""),"Anda")</f>
        <v>Anda</v>
      </c>
      <c r="E243" s="142" t="str">
        <f>IFERROR(__xludf.DUMMYFUNCTION("""COMPUTED_VALUE"""),"Antequera")</f>
        <v>Antequera</v>
      </c>
      <c r="F243" s="142" t="str">
        <f>IFERROR(__xludf.DUMMYFUNCTION("""COMPUTED_VALUE"""),"Baclayon")</f>
        <v>Baclayon</v>
      </c>
      <c r="G243" s="142" t="str">
        <f>IFERROR(__xludf.DUMMYFUNCTION("""COMPUTED_VALUE"""),"Balilihan")</f>
        <v>Balilihan</v>
      </c>
      <c r="H243" s="142" t="str">
        <f>IFERROR(__xludf.DUMMYFUNCTION("""COMPUTED_VALUE"""),"Batuan")</f>
        <v>Batuan</v>
      </c>
      <c r="I243" s="142" t="str">
        <f>IFERROR(__xludf.DUMMYFUNCTION("""COMPUTED_VALUE"""),"Bilar")</f>
        <v>Bilar</v>
      </c>
      <c r="J243" s="142" t="str">
        <f>IFERROR(__xludf.DUMMYFUNCTION("""COMPUTED_VALUE"""),"Buenavista")</f>
        <v>Buenavista</v>
      </c>
      <c r="K243" s="142" t="str">
        <f>IFERROR(__xludf.DUMMYFUNCTION("""COMPUTED_VALUE"""),"Calape")</f>
        <v>Calape</v>
      </c>
      <c r="L243" s="142" t="str">
        <f>IFERROR(__xludf.DUMMYFUNCTION("""COMPUTED_VALUE"""),"Candijay")</f>
        <v>Candijay</v>
      </c>
      <c r="M243" s="142" t="str">
        <f>IFERROR(__xludf.DUMMYFUNCTION("""COMPUTED_VALUE"""),"Carmen")</f>
        <v>Carmen</v>
      </c>
      <c r="N243" s="142" t="str">
        <f>IFERROR(__xludf.DUMMYFUNCTION("""COMPUTED_VALUE"""),"Catigbian")</f>
        <v>Catigbian</v>
      </c>
      <c r="O243" s="142" t="str">
        <f>IFERROR(__xludf.DUMMYFUNCTION("""COMPUTED_VALUE"""),"Clarin")</f>
        <v>Clarin</v>
      </c>
      <c r="P243" s="142" t="str">
        <f>IFERROR(__xludf.DUMMYFUNCTION("""COMPUTED_VALUE"""),"Corella")</f>
        <v>Corella</v>
      </c>
      <c r="Q243" s="142" t="str">
        <f>IFERROR(__xludf.DUMMYFUNCTION("""COMPUTED_VALUE"""),"Cortes")</f>
        <v>Cortes</v>
      </c>
      <c r="R243" s="142" t="str">
        <f>IFERROR(__xludf.DUMMYFUNCTION("""COMPUTED_VALUE"""),"Dagohoy")</f>
        <v>Dagohoy</v>
      </c>
      <c r="S243" s="142" t="str">
        <f>IFERROR(__xludf.DUMMYFUNCTION("""COMPUTED_VALUE"""),"Danao")</f>
        <v>Danao</v>
      </c>
      <c r="T243" s="142" t="str">
        <f>IFERROR(__xludf.DUMMYFUNCTION("""COMPUTED_VALUE"""),"Dauis")</f>
        <v>Dauis</v>
      </c>
      <c r="U243" s="142" t="str">
        <f>IFERROR(__xludf.DUMMYFUNCTION("""COMPUTED_VALUE"""),"Dimiao")</f>
        <v>Dimiao</v>
      </c>
      <c r="V243" s="142" t="str">
        <f>IFERROR(__xludf.DUMMYFUNCTION("""COMPUTED_VALUE"""),"Duero")</f>
        <v>Duero</v>
      </c>
      <c r="W243" s="142" t="str">
        <f>IFERROR(__xludf.DUMMYFUNCTION("""COMPUTED_VALUE"""),"Garcia Hernandez")</f>
        <v>Garcia Hernandez</v>
      </c>
      <c r="X243" s="142" t="str">
        <f>IFERROR(__xludf.DUMMYFUNCTION("""COMPUTED_VALUE"""),"Guindulman")</f>
        <v>Guindulman</v>
      </c>
      <c r="Y243" s="142" t="str">
        <f>IFERROR(__xludf.DUMMYFUNCTION("""COMPUTED_VALUE"""),"Inabanga")</f>
        <v>Inabanga</v>
      </c>
      <c r="Z243" s="142" t="str">
        <f>IFERROR(__xludf.DUMMYFUNCTION("""COMPUTED_VALUE"""),"Jagna")</f>
        <v>Jagna</v>
      </c>
      <c r="AA243" s="142" t="str">
        <f>IFERROR(__xludf.DUMMYFUNCTION("""COMPUTED_VALUE"""),"Getafe")</f>
        <v>Getafe</v>
      </c>
      <c r="AB243" s="142" t="str">
        <f>IFERROR(__xludf.DUMMYFUNCTION("""COMPUTED_VALUE"""),"Lila")</f>
        <v>Lila</v>
      </c>
      <c r="AC243" s="142" t="str">
        <f>IFERROR(__xludf.DUMMYFUNCTION("""COMPUTED_VALUE"""),"Loay")</f>
        <v>Loay</v>
      </c>
      <c r="AD243" s="142" t="str">
        <f>IFERROR(__xludf.DUMMYFUNCTION("""COMPUTED_VALUE"""),"Loboc")</f>
        <v>Loboc</v>
      </c>
      <c r="AE243" s="142" t="str">
        <f>IFERROR(__xludf.DUMMYFUNCTION("""COMPUTED_VALUE"""),"Loon")</f>
        <v>Loon</v>
      </c>
      <c r="AF243" s="142" t="str">
        <f>IFERROR(__xludf.DUMMYFUNCTION("""COMPUTED_VALUE"""),"Mabini")</f>
        <v>Mabini</v>
      </c>
      <c r="AG243" s="142" t="str">
        <f>IFERROR(__xludf.DUMMYFUNCTION("""COMPUTED_VALUE"""),"Maribojoc")</f>
        <v>Maribojoc</v>
      </c>
      <c r="AH243" s="142" t="str">
        <f>IFERROR(__xludf.DUMMYFUNCTION("""COMPUTED_VALUE"""),"Panglao")</f>
        <v>Panglao</v>
      </c>
      <c r="AI243" s="142" t="str">
        <f>IFERROR(__xludf.DUMMYFUNCTION("""COMPUTED_VALUE"""),"Pilar")</f>
        <v>Pilar</v>
      </c>
      <c r="AJ243" s="142" t="str">
        <f>IFERROR(__xludf.DUMMYFUNCTION("""COMPUTED_VALUE"""),"President Carlos P. Garcia")</f>
        <v>President Carlos P. Garcia</v>
      </c>
      <c r="AK243" s="142" t="str">
        <f>IFERROR(__xludf.DUMMYFUNCTION("""COMPUTED_VALUE"""),"Sagbayan")</f>
        <v>Sagbayan</v>
      </c>
      <c r="AL243" s="142" t="str">
        <f>IFERROR(__xludf.DUMMYFUNCTION("""COMPUTED_VALUE"""),"San Isidro")</f>
        <v>San Isidro</v>
      </c>
      <c r="AM243" s="142" t="str">
        <f>IFERROR(__xludf.DUMMYFUNCTION("""COMPUTED_VALUE"""),"San Miguel")</f>
        <v>San Miguel</v>
      </c>
      <c r="AN243" s="142" t="str">
        <f>IFERROR(__xludf.DUMMYFUNCTION("""COMPUTED_VALUE"""),"Sevilla")</f>
        <v>Sevilla</v>
      </c>
      <c r="AO243" s="142" t="str">
        <f>IFERROR(__xludf.DUMMYFUNCTION("""COMPUTED_VALUE"""),"Sierra Bullones")</f>
        <v>Sierra Bullones</v>
      </c>
      <c r="AP243" s="142" t="str">
        <f>IFERROR(__xludf.DUMMYFUNCTION("""COMPUTED_VALUE"""),"Sikatuna")</f>
        <v>Sikatuna</v>
      </c>
      <c r="AQ243" s="142" t="str">
        <f>IFERROR(__xludf.DUMMYFUNCTION("""COMPUTED_VALUE"""),"City of Tagbilaran")</f>
        <v>City of Tagbilaran</v>
      </c>
      <c r="AR243" s="142" t="str">
        <f>IFERROR(__xludf.DUMMYFUNCTION("""COMPUTED_VALUE"""),"Talibon")</f>
        <v>Talibon</v>
      </c>
      <c r="AS243" s="142" t="str">
        <f>IFERROR(__xludf.DUMMYFUNCTION("""COMPUTED_VALUE"""),"Trinidad")</f>
        <v>Trinidad</v>
      </c>
      <c r="AT243" s="142" t="str">
        <f>IFERROR(__xludf.DUMMYFUNCTION("""COMPUTED_VALUE"""),"Tubigon")</f>
        <v>Tubigon</v>
      </c>
      <c r="AU243" s="142" t="str">
        <f>IFERROR(__xludf.DUMMYFUNCTION("""COMPUTED_VALUE"""),"Ubay")</f>
        <v>Ubay</v>
      </c>
      <c r="AV243" s="142" t="str">
        <f>IFERROR(__xludf.DUMMYFUNCTION("""COMPUTED_VALUE"""),"Valencia")</f>
        <v>Valencia</v>
      </c>
      <c r="AW243" s="142" t="str">
        <f>IFERROR(__xludf.DUMMYFUNCTION("""COMPUTED_VALUE"""),"Bien Unido")</f>
        <v>Bien Unido</v>
      </c>
      <c r="AX243" s="8"/>
      <c r="AY243" s="8"/>
      <c r="AZ243" s="8"/>
      <c r="BA243" s="8"/>
      <c r="BB243" s="8"/>
      <c r="BC243" s="8"/>
      <c r="BD243" s="8"/>
      <c r="BE243" s="8"/>
    </row>
    <row r="244">
      <c r="A244" s="142" t="s">
        <v>769</v>
      </c>
      <c r="B244" s="142" t="str">
        <f>IFERROR(__xludf.DUMMYFUNCTION("""COMPUTED_VALUE"""),"Aurora")</f>
        <v>Aurora</v>
      </c>
      <c r="C244" s="142" t="str">
        <f>IFERROR(__xludf.DUMMYFUNCTION("""COMPUTED_VALUE"""),"Bayog")</f>
        <v>Bayog</v>
      </c>
      <c r="D244" s="142" t="str">
        <f>IFERROR(__xludf.DUMMYFUNCTION("""COMPUTED_VALUE"""),"Dimataling")</f>
        <v>Dimataling</v>
      </c>
      <c r="E244" s="142" t="str">
        <f>IFERROR(__xludf.DUMMYFUNCTION("""COMPUTED_VALUE"""),"Dinas")</f>
        <v>Dinas</v>
      </c>
      <c r="F244" s="142" t="str">
        <f>IFERROR(__xludf.DUMMYFUNCTION("""COMPUTED_VALUE"""),"Dumalinao")</f>
        <v>Dumalinao</v>
      </c>
      <c r="G244" s="142" t="str">
        <f>IFERROR(__xludf.DUMMYFUNCTION("""COMPUTED_VALUE"""),"Dumingag")</f>
        <v>Dumingag</v>
      </c>
      <c r="H244" s="142" t="str">
        <f>IFERROR(__xludf.DUMMYFUNCTION("""COMPUTED_VALUE"""),"Kumalarang")</f>
        <v>Kumalarang</v>
      </c>
      <c r="I244" s="142" t="str">
        <f>IFERROR(__xludf.DUMMYFUNCTION("""COMPUTED_VALUE"""),"Labangan")</f>
        <v>Labangan</v>
      </c>
      <c r="J244" s="142" t="str">
        <f>IFERROR(__xludf.DUMMYFUNCTION("""COMPUTED_VALUE"""),"Lapuyan")</f>
        <v>Lapuyan</v>
      </c>
      <c r="K244" s="142" t="str">
        <f>IFERROR(__xludf.DUMMYFUNCTION("""COMPUTED_VALUE"""),"Mahayag")</f>
        <v>Mahayag</v>
      </c>
      <c r="L244" s="142" t="str">
        <f>IFERROR(__xludf.DUMMYFUNCTION("""COMPUTED_VALUE"""),"Margosatubig")</f>
        <v>Margosatubig</v>
      </c>
      <c r="M244" s="142" t="str">
        <f>IFERROR(__xludf.DUMMYFUNCTION("""COMPUTED_VALUE"""),"Midsalip")</f>
        <v>Midsalip</v>
      </c>
      <c r="N244" s="142" t="str">
        <f>IFERROR(__xludf.DUMMYFUNCTION("""COMPUTED_VALUE"""),"Molave")</f>
        <v>Molave</v>
      </c>
      <c r="O244" s="142" t="str">
        <f>IFERROR(__xludf.DUMMYFUNCTION("""COMPUTED_VALUE"""),"City of Pagadian")</f>
        <v>City of Pagadian</v>
      </c>
      <c r="P244" s="142" t="str">
        <f>IFERROR(__xludf.DUMMYFUNCTION("""COMPUTED_VALUE"""),"Ramon Magsaysay")</f>
        <v>Ramon Magsaysay</v>
      </c>
      <c r="Q244" s="142" t="str">
        <f>IFERROR(__xludf.DUMMYFUNCTION("""COMPUTED_VALUE"""),"San Miguel")</f>
        <v>San Miguel</v>
      </c>
      <c r="R244" s="142" t="str">
        <f>IFERROR(__xludf.DUMMYFUNCTION("""COMPUTED_VALUE"""),"San Pablo")</f>
        <v>San Pablo</v>
      </c>
      <c r="S244" s="142" t="str">
        <f>IFERROR(__xludf.DUMMYFUNCTION("""COMPUTED_VALUE"""),"Tabina")</f>
        <v>Tabina</v>
      </c>
      <c r="T244" s="142" t="str">
        <f>IFERROR(__xludf.DUMMYFUNCTION("""COMPUTED_VALUE"""),"Tambulig")</f>
        <v>Tambulig</v>
      </c>
      <c r="U244" s="142" t="str">
        <f>IFERROR(__xludf.DUMMYFUNCTION("""COMPUTED_VALUE"""),"Tukuran")</f>
        <v>Tukuran</v>
      </c>
      <c r="V244" s="142" t="str">
        <f>IFERROR(__xludf.DUMMYFUNCTION("""COMPUTED_VALUE"""),"City of Zamboanga")</f>
        <v>City of Zamboanga</v>
      </c>
      <c r="W244" s="142" t="str">
        <f>IFERROR(__xludf.DUMMYFUNCTION("""COMPUTED_VALUE"""),"Lakewood")</f>
        <v>Lakewood</v>
      </c>
      <c r="X244" s="142" t="str">
        <f>IFERROR(__xludf.DUMMYFUNCTION("""COMPUTED_VALUE"""),"Josefina")</f>
        <v>Josefina</v>
      </c>
      <c r="Y244" s="142" t="str">
        <f>IFERROR(__xludf.DUMMYFUNCTION("""COMPUTED_VALUE"""),"Pitogo")</f>
        <v>Pitogo</v>
      </c>
      <c r="Z244" s="142" t="str">
        <f>IFERROR(__xludf.DUMMYFUNCTION("""COMPUTED_VALUE"""),"Sominot")</f>
        <v>Sominot</v>
      </c>
      <c r="AA244" s="142" t="str">
        <f>IFERROR(__xludf.DUMMYFUNCTION("""COMPUTED_VALUE"""),"Vincenzo A. Sagun")</f>
        <v>Vincenzo A. Sagun</v>
      </c>
      <c r="AB244" s="142" t="str">
        <f>IFERROR(__xludf.DUMMYFUNCTION("""COMPUTED_VALUE"""),"Guipos")</f>
        <v>Guipos</v>
      </c>
      <c r="AC244" s="142" t="str">
        <f>IFERROR(__xludf.DUMMYFUNCTION("""COMPUTED_VALUE"""),"Tigbao")</f>
        <v>Tigbao</v>
      </c>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row>
    <row r="245">
      <c r="A245" s="142" t="s">
        <v>1725</v>
      </c>
      <c r="B245" s="142" t="str">
        <f>IFERROR(__xludf.DUMMYFUNCTION("""COMPUTED_VALUE"""),"Catarman")</f>
        <v>Catarman</v>
      </c>
      <c r="C245" s="142" t="str">
        <f>IFERROR(__xludf.DUMMYFUNCTION("""COMPUTED_VALUE"""),"Guinsiliban")</f>
        <v>Guinsiliban</v>
      </c>
      <c r="D245" s="142" t="str">
        <f>IFERROR(__xludf.DUMMYFUNCTION("""COMPUTED_VALUE"""),"Mahinog")</f>
        <v>Mahinog</v>
      </c>
      <c r="E245" s="142" t="str">
        <f>IFERROR(__xludf.DUMMYFUNCTION("""COMPUTED_VALUE"""),"Mambajao")</f>
        <v>Mambajao</v>
      </c>
      <c r="F245" s="142" t="str">
        <f>IFERROR(__xludf.DUMMYFUNCTION("""COMPUTED_VALUE"""),"Sagay")</f>
        <v>Sagay</v>
      </c>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row>
    <row r="246">
      <c r="A246" s="142" t="s">
        <v>1271</v>
      </c>
      <c r="B246" s="142" t="str">
        <f>IFERROR(__xludf.DUMMYFUNCTION("""COMPUTED_VALUE"""),"Anahawan")</f>
        <v>Anahawan</v>
      </c>
      <c r="C246" s="142" t="str">
        <f>IFERROR(__xludf.DUMMYFUNCTION("""COMPUTED_VALUE"""),"Bontoc")</f>
        <v>Bontoc</v>
      </c>
      <c r="D246" s="142" t="str">
        <f>IFERROR(__xludf.DUMMYFUNCTION("""COMPUTED_VALUE"""),"Hinunangan")</f>
        <v>Hinunangan</v>
      </c>
      <c r="E246" s="142" t="str">
        <f>IFERROR(__xludf.DUMMYFUNCTION("""COMPUTED_VALUE"""),"Hinundayan")</f>
        <v>Hinundayan</v>
      </c>
      <c r="F246" s="142" t="str">
        <f>IFERROR(__xludf.DUMMYFUNCTION("""COMPUTED_VALUE"""),"Libagon")</f>
        <v>Libagon</v>
      </c>
      <c r="G246" s="142" t="str">
        <f>IFERROR(__xludf.DUMMYFUNCTION("""COMPUTED_VALUE"""),"Liloan")</f>
        <v>Liloan</v>
      </c>
      <c r="H246" s="142" t="str">
        <f>IFERROR(__xludf.DUMMYFUNCTION("""COMPUTED_VALUE"""),"City of Maasin")</f>
        <v>City of Maasin</v>
      </c>
      <c r="I246" s="142" t="str">
        <f>IFERROR(__xludf.DUMMYFUNCTION("""COMPUTED_VALUE"""),"Macrohon")</f>
        <v>Macrohon</v>
      </c>
      <c r="J246" s="142" t="str">
        <f>IFERROR(__xludf.DUMMYFUNCTION("""COMPUTED_VALUE"""),"Malitbog")</f>
        <v>Malitbog</v>
      </c>
      <c r="K246" s="142" t="str">
        <f>IFERROR(__xludf.DUMMYFUNCTION("""COMPUTED_VALUE"""),"Padre Burgos")</f>
        <v>Padre Burgos</v>
      </c>
      <c r="L246" s="142" t="str">
        <f>IFERROR(__xludf.DUMMYFUNCTION("""COMPUTED_VALUE"""),"Pintuyan")</f>
        <v>Pintuyan</v>
      </c>
      <c r="M246" s="142" t="str">
        <f>IFERROR(__xludf.DUMMYFUNCTION("""COMPUTED_VALUE"""),"Saint Bernard")</f>
        <v>Saint Bernard</v>
      </c>
      <c r="N246" s="142" t="str">
        <f>IFERROR(__xludf.DUMMYFUNCTION("""COMPUTED_VALUE"""),"San Francisco")</f>
        <v>San Francisco</v>
      </c>
      <c r="O246" s="142" t="str">
        <f>IFERROR(__xludf.DUMMYFUNCTION("""COMPUTED_VALUE"""),"San Juan")</f>
        <v>San Juan</v>
      </c>
      <c r="P246" s="142" t="str">
        <f>IFERROR(__xludf.DUMMYFUNCTION("""COMPUTED_VALUE"""),"San Ricardo")</f>
        <v>San Ricardo</v>
      </c>
      <c r="Q246" s="142" t="str">
        <f>IFERROR(__xludf.DUMMYFUNCTION("""COMPUTED_VALUE"""),"Silago")</f>
        <v>Silago</v>
      </c>
      <c r="R246" s="142" t="str">
        <f>IFERROR(__xludf.DUMMYFUNCTION("""COMPUTED_VALUE"""),"Sogod")</f>
        <v>Sogod</v>
      </c>
      <c r="S246" s="142" t="str">
        <f>IFERROR(__xludf.DUMMYFUNCTION("""COMPUTED_VALUE"""),"Tomas Oppus")</f>
        <v>Tomas Oppus</v>
      </c>
      <c r="T246" s="142" t="str">
        <f>IFERROR(__xludf.DUMMYFUNCTION("""COMPUTED_VALUE"""),"Limasawa")</f>
        <v>Limasawa</v>
      </c>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row>
    <row r="247">
      <c r="A247" s="142" t="s">
        <v>1271</v>
      </c>
      <c r="B247" s="142" t="str">
        <f>IFERROR(__xludf.DUMMYFUNCTION("""COMPUTED_VALUE"""),"Anahawan")</f>
        <v>Anahawan</v>
      </c>
      <c r="C247" s="142" t="str">
        <f>IFERROR(__xludf.DUMMYFUNCTION("""COMPUTED_VALUE"""),"Bontoc")</f>
        <v>Bontoc</v>
      </c>
      <c r="D247" s="142" t="str">
        <f>IFERROR(__xludf.DUMMYFUNCTION("""COMPUTED_VALUE"""),"Hinunangan")</f>
        <v>Hinunangan</v>
      </c>
      <c r="E247" s="142" t="str">
        <f>IFERROR(__xludf.DUMMYFUNCTION("""COMPUTED_VALUE"""),"Hinundayan")</f>
        <v>Hinundayan</v>
      </c>
      <c r="F247" s="142" t="str">
        <f>IFERROR(__xludf.DUMMYFUNCTION("""COMPUTED_VALUE"""),"Libagon")</f>
        <v>Libagon</v>
      </c>
      <c r="G247" s="142" t="str">
        <f>IFERROR(__xludf.DUMMYFUNCTION("""COMPUTED_VALUE"""),"Liloan")</f>
        <v>Liloan</v>
      </c>
      <c r="H247" s="142" t="str">
        <f>IFERROR(__xludf.DUMMYFUNCTION("""COMPUTED_VALUE"""),"City of Maasin")</f>
        <v>City of Maasin</v>
      </c>
      <c r="I247" s="142" t="str">
        <f>IFERROR(__xludf.DUMMYFUNCTION("""COMPUTED_VALUE"""),"Macrohon")</f>
        <v>Macrohon</v>
      </c>
      <c r="J247" s="142" t="str">
        <f>IFERROR(__xludf.DUMMYFUNCTION("""COMPUTED_VALUE"""),"Malitbog")</f>
        <v>Malitbog</v>
      </c>
      <c r="K247" s="142" t="str">
        <f>IFERROR(__xludf.DUMMYFUNCTION("""COMPUTED_VALUE"""),"Padre Burgos")</f>
        <v>Padre Burgos</v>
      </c>
      <c r="L247" s="142" t="str">
        <f>IFERROR(__xludf.DUMMYFUNCTION("""COMPUTED_VALUE"""),"Pintuyan")</f>
        <v>Pintuyan</v>
      </c>
      <c r="M247" s="142" t="str">
        <f>IFERROR(__xludf.DUMMYFUNCTION("""COMPUTED_VALUE"""),"Saint Bernard")</f>
        <v>Saint Bernard</v>
      </c>
      <c r="N247" s="142" t="str">
        <f>IFERROR(__xludf.DUMMYFUNCTION("""COMPUTED_VALUE"""),"San Francisco")</f>
        <v>San Francisco</v>
      </c>
      <c r="O247" s="142" t="str">
        <f>IFERROR(__xludf.DUMMYFUNCTION("""COMPUTED_VALUE"""),"San Juan")</f>
        <v>San Juan</v>
      </c>
      <c r="P247" s="142" t="str">
        <f>IFERROR(__xludf.DUMMYFUNCTION("""COMPUTED_VALUE"""),"San Ricardo")</f>
        <v>San Ricardo</v>
      </c>
      <c r="Q247" s="142" t="str">
        <f>IFERROR(__xludf.DUMMYFUNCTION("""COMPUTED_VALUE"""),"Silago")</f>
        <v>Silago</v>
      </c>
      <c r="R247" s="142" t="str">
        <f>IFERROR(__xludf.DUMMYFUNCTION("""COMPUTED_VALUE"""),"Sogod")</f>
        <v>Sogod</v>
      </c>
      <c r="S247" s="142" t="str">
        <f>IFERROR(__xludf.DUMMYFUNCTION("""COMPUTED_VALUE"""),"Tomas Oppus")</f>
        <v>Tomas Oppus</v>
      </c>
      <c r="T247" s="142" t="str">
        <f>IFERROR(__xludf.DUMMYFUNCTION("""COMPUTED_VALUE"""),"Limasawa")</f>
        <v>Limasawa</v>
      </c>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row>
    <row r="248">
      <c r="A248" s="142" t="s">
        <v>1271</v>
      </c>
      <c r="B248" s="142" t="str">
        <f>IFERROR(__xludf.DUMMYFUNCTION("""COMPUTED_VALUE"""),"Anahawan")</f>
        <v>Anahawan</v>
      </c>
      <c r="C248" s="142" t="str">
        <f>IFERROR(__xludf.DUMMYFUNCTION("""COMPUTED_VALUE"""),"Bontoc")</f>
        <v>Bontoc</v>
      </c>
      <c r="D248" s="142" t="str">
        <f>IFERROR(__xludf.DUMMYFUNCTION("""COMPUTED_VALUE"""),"Hinunangan")</f>
        <v>Hinunangan</v>
      </c>
      <c r="E248" s="142" t="str">
        <f>IFERROR(__xludf.DUMMYFUNCTION("""COMPUTED_VALUE"""),"Hinundayan")</f>
        <v>Hinundayan</v>
      </c>
      <c r="F248" s="142" t="str">
        <f>IFERROR(__xludf.DUMMYFUNCTION("""COMPUTED_VALUE"""),"Libagon")</f>
        <v>Libagon</v>
      </c>
      <c r="G248" s="142" t="str">
        <f>IFERROR(__xludf.DUMMYFUNCTION("""COMPUTED_VALUE"""),"Liloan")</f>
        <v>Liloan</v>
      </c>
      <c r="H248" s="142" t="str">
        <f>IFERROR(__xludf.DUMMYFUNCTION("""COMPUTED_VALUE"""),"City of Maasin")</f>
        <v>City of Maasin</v>
      </c>
      <c r="I248" s="142" t="str">
        <f>IFERROR(__xludf.DUMMYFUNCTION("""COMPUTED_VALUE"""),"Macrohon")</f>
        <v>Macrohon</v>
      </c>
      <c r="J248" s="142" t="str">
        <f>IFERROR(__xludf.DUMMYFUNCTION("""COMPUTED_VALUE"""),"Malitbog")</f>
        <v>Malitbog</v>
      </c>
      <c r="K248" s="142" t="str">
        <f>IFERROR(__xludf.DUMMYFUNCTION("""COMPUTED_VALUE"""),"Padre Burgos")</f>
        <v>Padre Burgos</v>
      </c>
      <c r="L248" s="142" t="str">
        <f>IFERROR(__xludf.DUMMYFUNCTION("""COMPUTED_VALUE"""),"Pintuyan")</f>
        <v>Pintuyan</v>
      </c>
      <c r="M248" s="142" t="str">
        <f>IFERROR(__xludf.DUMMYFUNCTION("""COMPUTED_VALUE"""),"Saint Bernard")</f>
        <v>Saint Bernard</v>
      </c>
      <c r="N248" s="142" t="str">
        <f>IFERROR(__xludf.DUMMYFUNCTION("""COMPUTED_VALUE"""),"San Francisco")</f>
        <v>San Francisco</v>
      </c>
      <c r="O248" s="142" t="str">
        <f>IFERROR(__xludf.DUMMYFUNCTION("""COMPUTED_VALUE"""),"San Juan")</f>
        <v>San Juan</v>
      </c>
      <c r="P248" s="142" t="str">
        <f>IFERROR(__xludf.DUMMYFUNCTION("""COMPUTED_VALUE"""),"San Ricardo")</f>
        <v>San Ricardo</v>
      </c>
      <c r="Q248" s="142" t="str">
        <f>IFERROR(__xludf.DUMMYFUNCTION("""COMPUTED_VALUE"""),"Silago")</f>
        <v>Silago</v>
      </c>
      <c r="R248" s="142" t="str">
        <f>IFERROR(__xludf.DUMMYFUNCTION("""COMPUTED_VALUE"""),"Sogod")</f>
        <v>Sogod</v>
      </c>
      <c r="S248" s="142" t="str">
        <f>IFERROR(__xludf.DUMMYFUNCTION("""COMPUTED_VALUE"""),"Tomas Oppus")</f>
        <v>Tomas Oppus</v>
      </c>
      <c r="T248" s="142" t="str">
        <f>IFERROR(__xludf.DUMMYFUNCTION("""COMPUTED_VALUE"""),"Limasawa")</f>
        <v>Limasawa</v>
      </c>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row>
    <row r="249">
      <c r="A249" s="142" t="s">
        <v>258</v>
      </c>
      <c r="B249" s="142" t="str">
        <f>IFERROR(__xludf.DUMMYFUNCTION("""COMPUTED_VALUE"""),"Agoncillo")</f>
        <v>Agoncillo</v>
      </c>
      <c r="C249" s="142" t="str">
        <f>IFERROR(__xludf.DUMMYFUNCTION("""COMPUTED_VALUE"""),"Alitagtag")</f>
        <v>Alitagtag</v>
      </c>
      <c r="D249" s="142" t="str">
        <f>IFERROR(__xludf.DUMMYFUNCTION("""COMPUTED_VALUE"""),"Balayan")</f>
        <v>Balayan</v>
      </c>
      <c r="E249" s="142" t="str">
        <f>IFERROR(__xludf.DUMMYFUNCTION("""COMPUTED_VALUE"""),"Balete")</f>
        <v>Balete</v>
      </c>
      <c r="F249" s="142" t="str">
        <f>IFERROR(__xludf.DUMMYFUNCTION("""COMPUTED_VALUE"""),"Batangas City")</f>
        <v>Batangas City</v>
      </c>
      <c r="G249" s="142" t="str">
        <f>IFERROR(__xludf.DUMMYFUNCTION("""COMPUTED_VALUE"""),"Bauan")</f>
        <v>Bauan</v>
      </c>
      <c r="H249" s="142" t="str">
        <f>IFERROR(__xludf.DUMMYFUNCTION("""COMPUTED_VALUE"""),"City of Calaca")</f>
        <v>City of Calaca</v>
      </c>
      <c r="I249" s="142" t="str">
        <f>IFERROR(__xludf.DUMMYFUNCTION("""COMPUTED_VALUE"""),"Calatagan")</f>
        <v>Calatagan</v>
      </c>
      <c r="J249" s="142" t="str">
        <f>IFERROR(__xludf.DUMMYFUNCTION("""COMPUTED_VALUE"""),"Cuenca")</f>
        <v>Cuenca</v>
      </c>
      <c r="K249" s="142" t="str">
        <f>IFERROR(__xludf.DUMMYFUNCTION("""COMPUTED_VALUE"""),"Ibaan")</f>
        <v>Ibaan</v>
      </c>
      <c r="L249" s="142" t="str">
        <f>IFERROR(__xludf.DUMMYFUNCTION("""COMPUTED_VALUE"""),"Laurel")</f>
        <v>Laurel</v>
      </c>
      <c r="M249" s="142" t="str">
        <f>IFERROR(__xludf.DUMMYFUNCTION("""COMPUTED_VALUE"""),"Lemery")</f>
        <v>Lemery</v>
      </c>
      <c r="N249" s="142" t="str">
        <f>IFERROR(__xludf.DUMMYFUNCTION("""COMPUTED_VALUE"""),"Lian")</f>
        <v>Lian</v>
      </c>
      <c r="O249" s="142" t="str">
        <f>IFERROR(__xludf.DUMMYFUNCTION("""COMPUTED_VALUE"""),"City of Lipa")</f>
        <v>City of Lipa</v>
      </c>
      <c r="P249" s="142" t="str">
        <f>IFERROR(__xludf.DUMMYFUNCTION("""COMPUTED_VALUE"""),"Lobo")</f>
        <v>Lobo</v>
      </c>
      <c r="Q249" s="142" t="str">
        <f>IFERROR(__xludf.DUMMYFUNCTION("""COMPUTED_VALUE"""),"Mabini")</f>
        <v>Mabini</v>
      </c>
      <c r="R249" s="142" t="str">
        <f>IFERROR(__xludf.DUMMYFUNCTION("""COMPUTED_VALUE"""),"Malvar")</f>
        <v>Malvar</v>
      </c>
      <c r="S249" s="142" t="str">
        <f>IFERROR(__xludf.DUMMYFUNCTION("""COMPUTED_VALUE"""),"Mataasnakahoy")</f>
        <v>Mataasnakahoy</v>
      </c>
      <c r="T249" s="142" t="str">
        <f>IFERROR(__xludf.DUMMYFUNCTION("""COMPUTED_VALUE"""),"Nasugbu")</f>
        <v>Nasugbu</v>
      </c>
      <c r="U249" s="142" t="str">
        <f>IFERROR(__xludf.DUMMYFUNCTION("""COMPUTED_VALUE"""),"Padre Garcia")</f>
        <v>Padre Garcia</v>
      </c>
      <c r="V249" s="142" t="str">
        <f>IFERROR(__xludf.DUMMYFUNCTION("""COMPUTED_VALUE"""),"Rosario")</f>
        <v>Rosario</v>
      </c>
      <c r="W249" s="142" t="str">
        <f>IFERROR(__xludf.DUMMYFUNCTION("""COMPUTED_VALUE"""),"San Jose")</f>
        <v>San Jose</v>
      </c>
      <c r="X249" s="142" t="str">
        <f>IFERROR(__xludf.DUMMYFUNCTION("""COMPUTED_VALUE"""),"San Juan")</f>
        <v>San Juan</v>
      </c>
      <c r="Y249" s="142" t="str">
        <f>IFERROR(__xludf.DUMMYFUNCTION("""COMPUTED_VALUE"""),"San Luis")</f>
        <v>San Luis</v>
      </c>
      <c r="Z249" s="142" t="str">
        <f>IFERROR(__xludf.DUMMYFUNCTION("""COMPUTED_VALUE"""),"San Nicolas")</f>
        <v>San Nicolas</v>
      </c>
      <c r="AA249" s="142" t="str">
        <f>IFERROR(__xludf.DUMMYFUNCTION("""COMPUTED_VALUE"""),"San Pascual")</f>
        <v>San Pascual</v>
      </c>
      <c r="AB249" s="142" t="str">
        <f>IFERROR(__xludf.DUMMYFUNCTION("""COMPUTED_VALUE"""),"Santa Teresita")</f>
        <v>Santa Teresita</v>
      </c>
      <c r="AC249" s="142" t="str">
        <f>IFERROR(__xludf.DUMMYFUNCTION("""COMPUTED_VALUE"""),"City of Sto. Tomas")</f>
        <v>City of Sto. Tomas</v>
      </c>
      <c r="AD249" s="142" t="str">
        <f>IFERROR(__xludf.DUMMYFUNCTION("""COMPUTED_VALUE"""),"Taal")</f>
        <v>Taal</v>
      </c>
      <c r="AE249" s="142" t="str">
        <f>IFERROR(__xludf.DUMMYFUNCTION("""COMPUTED_VALUE"""),"Talisay")</f>
        <v>Talisay</v>
      </c>
      <c r="AF249" s="142" t="str">
        <f>IFERROR(__xludf.DUMMYFUNCTION("""COMPUTED_VALUE"""),"City of Tanauan")</f>
        <v>City of Tanauan</v>
      </c>
      <c r="AG249" s="142" t="str">
        <f>IFERROR(__xludf.DUMMYFUNCTION("""COMPUTED_VALUE"""),"Taysan")</f>
        <v>Taysan</v>
      </c>
      <c r="AH249" s="142" t="str">
        <f>IFERROR(__xludf.DUMMYFUNCTION("""COMPUTED_VALUE"""),"Tingloy")</f>
        <v>Tingloy</v>
      </c>
      <c r="AI249" s="142" t="str">
        <f>IFERROR(__xludf.DUMMYFUNCTION("""COMPUTED_VALUE"""),"Tuy")</f>
        <v>Tuy</v>
      </c>
      <c r="AJ249" s="8"/>
      <c r="AK249" s="8"/>
      <c r="AL249" s="8"/>
      <c r="AM249" s="8"/>
      <c r="AN249" s="8"/>
      <c r="AO249" s="8"/>
      <c r="AP249" s="8"/>
      <c r="AQ249" s="8"/>
      <c r="AR249" s="8"/>
      <c r="AS249" s="8"/>
      <c r="AT249" s="8"/>
      <c r="AU249" s="8"/>
      <c r="AV249" s="8"/>
      <c r="AW249" s="8"/>
      <c r="AX249" s="8"/>
      <c r="AY249" s="8"/>
      <c r="AZ249" s="8"/>
      <c r="BA249" s="8"/>
      <c r="BB249" s="8"/>
      <c r="BC249" s="8"/>
      <c r="BD249" s="8"/>
      <c r="BE249" s="8"/>
    </row>
    <row r="250">
      <c r="A250" s="142" t="s">
        <v>1271</v>
      </c>
      <c r="B250" s="142" t="str">
        <f>IFERROR(__xludf.DUMMYFUNCTION("""COMPUTED_VALUE"""),"Anahawan")</f>
        <v>Anahawan</v>
      </c>
      <c r="C250" s="142" t="str">
        <f>IFERROR(__xludf.DUMMYFUNCTION("""COMPUTED_VALUE"""),"Bontoc")</f>
        <v>Bontoc</v>
      </c>
      <c r="D250" s="142" t="str">
        <f>IFERROR(__xludf.DUMMYFUNCTION("""COMPUTED_VALUE"""),"Hinunangan")</f>
        <v>Hinunangan</v>
      </c>
      <c r="E250" s="142" t="str">
        <f>IFERROR(__xludf.DUMMYFUNCTION("""COMPUTED_VALUE"""),"Hinundayan")</f>
        <v>Hinundayan</v>
      </c>
      <c r="F250" s="142" t="str">
        <f>IFERROR(__xludf.DUMMYFUNCTION("""COMPUTED_VALUE"""),"Libagon")</f>
        <v>Libagon</v>
      </c>
      <c r="G250" s="142" t="str">
        <f>IFERROR(__xludf.DUMMYFUNCTION("""COMPUTED_VALUE"""),"Liloan")</f>
        <v>Liloan</v>
      </c>
      <c r="H250" s="142" t="str">
        <f>IFERROR(__xludf.DUMMYFUNCTION("""COMPUTED_VALUE"""),"City of Maasin")</f>
        <v>City of Maasin</v>
      </c>
      <c r="I250" s="142" t="str">
        <f>IFERROR(__xludf.DUMMYFUNCTION("""COMPUTED_VALUE"""),"Macrohon")</f>
        <v>Macrohon</v>
      </c>
      <c r="J250" s="142" t="str">
        <f>IFERROR(__xludf.DUMMYFUNCTION("""COMPUTED_VALUE"""),"Malitbog")</f>
        <v>Malitbog</v>
      </c>
      <c r="K250" s="142" t="str">
        <f>IFERROR(__xludf.DUMMYFUNCTION("""COMPUTED_VALUE"""),"Padre Burgos")</f>
        <v>Padre Burgos</v>
      </c>
      <c r="L250" s="142" t="str">
        <f>IFERROR(__xludf.DUMMYFUNCTION("""COMPUTED_VALUE"""),"Pintuyan")</f>
        <v>Pintuyan</v>
      </c>
      <c r="M250" s="142" t="str">
        <f>IFERROR(__xludf.DUMMYFUNCTION("""COMPUTED_VALUE"""),"Saint Bernard")</f>
        <v>Saint Bernard</v>
      </c>
      <c r="N250" s="142" t="str">
        <f>IFERROR(__xludf.DUMMYFUNCTION("""COMPUTED_VALUE"""),"San Francisco")</f>
        <v>San Francisco</v>
      </c>
      <c r="O250" s="142" t="str">
        <f>IFERROR(__xludf.DUMMYFUNCTION("""COMPUTED_VALUE"""),"San Juan")</f>
        <v>San Juan</v>
      </c>
      <c r="P250" s="142" t="str">
        <f>IFERROR(__xludf.DUMMYFUNCTION("""COMPUTED_VALUE"""),"San Ricardo")</f>
        <v>San Ricardo</v>
      </c>
      <c r="Q250" s="142" t="str">
        <f>IFERROR(__xludf.DUMMYFUNCTION("""COMPUTED_VALUE"""),"Silago")</f>
        <v>Silago</v>
      </c>
      <c r="R250" s="142" t="str">
        <f>IFERROR(__xludf.DUMMYFUNCTION("""COMPUTED_VALUE"""),"Sogod")</f>
        <v>Sogod</v>
      </c>
      <c r="S250" s="142" t="str">
        <f>IFERROR(__xludf.DUMMYFUNCTION("""COMPUTED_VALUE"""),"Tomas Oppus")</f>
        <v>Tomas Oppus</v>
      </c>
      <c r="T250" s="142" t="str">
        <f>IFERROR(__xludf.DUMMYFUNCTION("""COMPUTED_VALUE"""),"Limasawa")</f>
        <v>Limasawa</v>
      </c>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row>
    <row r="251">
      <c r="A251" s="142" t="s">
        <v>258</v>
      </c>
      <c r="B251" s="142" t="str">
        <f>IFERROR(__xludf.DUMMYFUNCTION("""COMPUTED_VALUE"""),"Agoncillo")</f>
        <v>Agoncillo</v>
      </c>
      <c r="C251" s="142" t="str">
        <f>IFERROR(__xludf.DUMMYFUNCTION("""COMPUTED_VALUE"""),"Alitagtag")</f>
        <v>Alitagtag</v>
      </c>
      <c r="D251" s="142" t="str">
        <f>IFERROR(__xludf.DUMMYFUNCTION("""COMPUTED_VALUE"""),"Balayan")</f>
        <v>Balayan</v>
      </c>
      <c r="E251" s="142" t="str">
        <f>IFERROR(__xludf.DUMMYFUNCTION("""COMPUTED_VALUE"""),"Balete")</f>
        <v>Balete</v>
      </c>
      <c r="F251" s="142" t="str">
        <f>IFERROR(__xludf.DUMMYFUNCTION("""COMPUTED_VALUE"""),"Batangas City")</f>
        <v>Batangas City</v>
      </c>
      <c r="G251" s="142" t="str">
        <f>IFERROR(__xludf.DUMMYFUNCTION("""COMPUTED_VALUE"""),"Bauan")</f>
        <v>Bauan</v>
      </c>
      <c r="H251" s="142" t="str">
        <f>IFERROR(__xludf.DUMMYFUNCTION("""COMPUTED_VALUE"""),"City of Calaca")</f>
        <v>City of Calaca</v>
      </c>
      <c r="I251" s="142" t="str">
        <f>IFERROR(__xludf.DUMMYFUNCTION("""COMPUTED_VALUE"""),"Calatagan")</f>
        <v>Calatagan</v>
      </c>
      <c r="J251" s="142" t="str">
        <f>IFERROR(__xludf.DUMMYFUNCTION("""COMPUTED_VALUE"""),"Cuenca")</f>
        <v>Cuenca</v>
      </c>
      <c r="K251" s="142" t="str">
        <f>IFERROR(__xludf.DUMMYFUNCTION("""COMPUTED_VALUE"""),"Ibaan")</f>
        <v>Ibaan</v>
      </c>
      <c r="L251" s="142" t="str">
        <f>IFERROR(__xludf.DUMMYFUNCTION("""COMPUTED_VALUE"""),"Laurel")</f>
        <v>Laurel</v>
      </c>
      <c r="M251" s="142" t="str">
        <f>IFERROR(__xludf.DUMMYFUNCTION("""COMPUTED_VALUE"""),"Lemery")</f>
        <v>Lemery</v>
      </c>
      <c r="N251" s="142" t="str">
        <f>IFERROR(__xludf.DUMMYFUNCTION("""COMPUTED_VALUE"""),"Lian")</f>
        <v>Lian</v>
      </c>
      <c r="O251" s="142" t="str">
        <f>IFERROR(__xludf.DUMMYFUNCTION("""COMPUTED_VALUE"""),"City of Lipa")</f>
        <v>City of Lipa</v>
      </c>
      <c r="P251" s="142" t="str">
        <f>IFERROR(__xludf.DUMMYFUNCTION("""COMPUTED_VALUE"""),"Lobo")</f>
        <v>Lobo</v>
      </c>
      <c r="Q251" s="142" t="str">
        <f>IFERROR(__xludf.DUMMYFUNCTION("""COMPUTED_VALUE"""),"Mabini")</f>
        <v>Mabini</v>
      </c>
      <c r="R251" s="142" t="str">
        <f>IFERROR(__xludf.DUMMYFUNCTION("""COMPUTED_VALUE"""),"Malvar")</f>
        <v>Malvar</v>
      </c>
      <c r="S251" s="142" t="str">
        <f>IFERROR(__xludf.DUMMYFUNCTION("""COMPUTED_VALUE"""),"Mataasnakahoy")</f>
        <v>Mataasnakahoy</v>
      </c>
      <c r="T251" s="142" t="str">
        <f>IFERROR(__xludf.DUMMYFUNCTION("""COMPUTED_VALUE"""),"Nasugbu")</f>
        <v>Nasugbu</v>
      </c>
      <c r="U251" s="142" t="str">
        <f>IFERROR(__xludf.DUMMYFUNCTION("""COMPUTED_VALUE"""),"Padre Garcia")</f>
        <v>Padre Garcia</v>
      </c>
      <c r="V251" s="142" t="str">
        <f>IFERROR(__xludf.DUMMYFUNCTION("""COMPUTED_VALUE"""),"Rosario")</f>
        <v>Rosario</v>
      </c>
      <c r="W251" s="142" t="str">
        <f>IFERROR(__xludf.DUMMYFUNCTION("""COMPUTED_VALUE"""),"San Jose")</f>
        <v>San Jose</v>
      </c>
      <c r="X251" s="142" t="str">
        <f>IFERROR(__xludf.DUMMYFUNCTION("""COMPUTED_VALUE"""),"San Juan")</f>
        <v>San Juan</v>
      </c>
      <c r="Y251" s="142" t="str">
        <f>IFERROR(__xludf.DUMMYFUNCTION("""COMPUTED_VALUE"""),"San Luis")</f>
        <v>San Luis</v>
      </c>
      <c r="Z251" s="142" t="str">
        <f>IFERROR(__xludf.DUMMYFUNCTION("""COMPUTED_VALUE"""),"San Nicolas")</f>
        <v>San Nicolas</v>
      </c>
      <c r="AA251" s="142" t="str">
        <f>IFERROR(__xludf.DUMMYFUNCTION("""COMPUTED_VALUE"""),"San Pascual")</f>
        <v>San Pascual</v>
      </c>
      <c r="AB251" s="142" t="str">
        <f>IFERROR(__xludf.DUMMYFUNCTION("""COMPUTED_VALUE"""),"Santa Teresita")</f>
        <v>Santa Teresita</v>
      </c>
      <c r="AC251" s="142" t="str">
        <f>IFERROR(__xludf.DUMMYFUNCTION("""COMPUTED_VALUE"""),"City of Sto. Tomas")</f>
        <v>City of Sto. Tomas</v>
      </c>
      <c r="AD251" s="142" t="str">
        <f>IFERROR(__xludf.DUMMYFUNCTION("""COMPUTED_VALUE"""),"Taal")</f>
        <v>Taal</v>
      </c>
      <c r="AE251" s="142" t="str">
        <f>IFERROR(__xludf.DUMMYFUNCTION("""COMPUTED_VALUE"""),"Talisay")</f>
        <v>Talisay</v>
      </c>
      <c r="AF251" s="142" t="str">
        <f>IFERROR(__xludf.DUMMYFUNCTION("""COMPUTED_VALUE"""),"City of Tanauan")</f>
        <v>City of Tanauan</v>
      </c>
      <c r="AG251" s="142" t="str">
        <f>IFERROR(__xludf.DUMMYFUNCTION("""COMPUTED_VALUE"""),"Taysan")</f>
        <v>Taysan</v>
      </c>
      <c r="AH251" s="142" t="str">
        <f>IFERROR(__xludf.DUMMYFUNCTION("""COMPUTED_VALUE"""),"Tingloy")</f>
        <v>Tingloy</v>
      </c>
      <c r="AI251" s="142" t="str">
        <f>IFERROR(__xludf.DUMMYFUNCTION("""COMPUTED_VALUE"""),"Tuy")</f>
        <v>Tuy</v>
      </c>
      <c r="AJ251" s="8"/>
      <c r="AK251" s="8"/>
      <c r="AL251" s="8"/>
      <c r="AM251" s="8"/>
      <c r="AN251" s="8"/>
      <c r="AO251" s="8"/>
      <c r="AP251" s="8"/>
      <c r="AQ251" s="8"/>
      <c r="AR251" s="8"/>
      <c r="AS251" s="8"/>
      <c r="AT251" s="8"/>
      <c r="AU251" s="8"/>
      <c r="AV251" s="8"/>
      <c r="AW251" s="8"/>
      <c r="AX251" s="8"/>
      <c r="AY251" s="8"/>
      <c r="AZ251" s="8"/>
      <c r="BA251" s="8"/>
      <c r="BB251" s="8"/>
      <c r="BC251" s="8"/>
      <c r="BD251" s="8"/>
      <c r="BE251" s="8"/>
    </row>
    <row r="252">
      <c r="A252" s="142" t="s">
        <v>144</v>
      </c>
      <c r="B252" s="142" t="str">
        <f>IFERROR(__xludf.DUMMYFUNCTION("""COMPUTED_VALUE"""),"Agno")</f>
        <v>Agno</v>
      </c>
      <c r="C252" s="142" t="str">
        <f>IFERROR(__xludf.DUMMYFUNCTION("""COMPUTED_VALUE"""),"Aguilar")</f>
        <v>Aguilar</v>
      </c>
      <c r="D252" s="142" t="str">
        <f>IFERROR(__xludf.DUMMYFUNCTION("""COMPUTED_VALUE"""),"City of Alaminos")</f>
        <v>City of Alaminos</v>
      </c>
      <c r="E252" s="142" t="str">
        <f>IFERROR(__xludf.DUMMYFUNCTION("""COMPUTED_VALUE"""),"Alcala")</f>
        <v>Alcala</v>
      </c>
      <c r="F252" s="142" t="str">
        <f>IFERROR(__xludf.DUMMYFUNCTION("""COMPUTED_VALUE"""),"Anda")</f>
        <v>Anda</v>
      </c>
      <c r="G252" s="142" t="str">
        <f>IFERROR(__xludf.DUMMYFUNCTION("""COMPUTED_VALUE"""),"Asingan")</f>
        <v>Asingan</v>
      </c>
      <c r="H252" s="142" t="str">
        <f>IFERROR(__xludf.DUMMYFUNCTION("""COMPUTED_VALUE"""),"Balungao")</f>
        <v>Balungao</v>
      </c>
      <c r="I252" s="142" t="str">
        <f>IFERROR(__xludf.DUMMYFUNCTION("""COMPUTED_VALUE"""),"Bani")</f>
        <v>Bani</v>
      </c>
      <c r="J252" s="142" t="str">
        <f>IFERROR(__xludf.DUMMYFUNCTION("""COMPUTED_VALUE"""),"Basista")</f>
        <v>Basista</v>
      </c>
      <c r="K252" s="142" t="str">
        <f>IFERROR(__xludf.DUMMYFUNCTION("""COMPUTED_VALUE"""),"Bautista")</f>
        <v>Bautista</v>
      </c>
      <c r="L252" s="142" t="str">
        <f>IFERROR(__xludf.DUMMYFUNCTION("""COMPUTED_VALUE"""),"Bayambang")</f>
        <v>Bayambang</v>
      </c>
      <c r="M252" s="142" t="str">
        <f>IFERROR(__xludf.DUMMYFUNCTION("""COMPUTED_VALUE"""),"Binalonan")</f>
        <v>Binalonan</v>
      </c>
      <c r="N252" s="142" t="str">
        <f>IFERROR(__xludf.DUMMYFUNCTION("""COMPUTED_VALUE"""),"Binmaley")</f>
        <v>Binmaley</v>
      </c>
      <c r="O252" s="142" t="str">
        <f>IFERROR(__xludf.DUMMYFUNCTION("""COMPUTED_VALUE"""),"Bolinao")</f>
        <v>Bolinao</v>
      </c>
      <c r="P252" s="142" t="str">
        <f>IFERROR(__xludf.DUMMYFUNCTION("""COMPUTED_VALUE"""),"Bugallon")</f>
        <v>Bugallon</v>
      </c>
      <c r="Q252" s="142" t="str">
        <f>IFERROR(__xludf.DUMMYFUNCTION("""COMPUTED_VALUE"""),"Burgos")</f>
        <v>Burgos</v>
      </c>
      <c r="R252" s="142" t="str">
        <f>IFERROR(__xludf.DUMMYFUNCTION("""COMPUTED_VALUE"""),"Calasiao")</f>
        <v>Calasiao</v>
      </c>
      <c r="S252" s="142" t="str">
        <f>IFERROR(__xludf.DUMMYFUNCTION("""COMPUTED_VALUE"""),"City of Dagupan")</f>
        <v>City of Dagupan</v>
      </c>
      <c r="T252" s="142" t="str">
        <f>IFERROR(__xludf.DUMMYFUNCTION("""COMPUTED_VALUE"""),"Dasol")</f>
        <v>Dasol</v>
      </c>
      <c r="U252" s="142" t="str">
        <f>IFERROR(__xludf.DUMMYFUNCTION("""COMPUTED_VALUE"""),"Infanta")</f>
        <v>Infanta</v>
      </c>
      <c r="V252" s="142" t="str">
        <f>IFERROR(__xludf.DUMMYFUNCTION("""COMPUTED_VALUE"""),"Labrador")</f>
        <v>Labrador</v>
      </c>
      <c r="W252" s="142" t="str">
        <f>IFERROR(__xludf.DUMMYFUNCTION("""COMPUTED_VALUE"""),"Lingayen")</f>
        <v>Lingayen</v>
      </c>
      <c r="X252" s="142" t="str">
        <f>IFERROR(__xludf.DUMMYFUNCTION("""COMPUTED_VALUE"""),"Mabini")</f>
        <v>Mabini</v>
      </c>
      <c r="Y252" s="142" t="str">
        <f>IFERROR(__xludf.DUMMYFUNCTION("""COMPUTED_VALUE"""),"Malasiqui")</f>
        <v>Malasiqui</v>
      </c>
      <c r="Z252" s="142" t="str">
        <f>IFERROR(__xludf.DUMMYFUNCTION("""COMPUTED_VALUE"""),"Manaoag")</f>
        <v>Manaoag</v>
      </c>
      <c r="AA252" s="142" t="str">
        <f>IFERROR(__xludf.DUMMYFUNCTION("""COMPUTED_VALUE"""),"Mangaldan")</f>
        <v>Mangaldan</v>
      </c>
      <c r="AB252" s="142" t="str">
        <f>IFERROR(__xludf.DUMMYFUNCTION("""COMPUTED_VALUE"""),"Mangatarem")</f>
        <v>Mangatarem</v>
      </c>
      <c r="AC252" s="142" t="str">
        <f>IFERROR(__xludf.DUMMYFUNCTION("""COMPUTED_VALUE"""),"Mapandan")</f>
        <v>Mapandan</v>
      </c>
      <c r="AD252" s="142" t="str">
        <f>IFERROR(__xludf.DUMMYFUNCTION("""COMPUTED_VALUE"""),"Natividad")</f>
        <v>Natividad</v>
      </c>
      <c r="AE252" s="142" t="str">
        <f>IFERROR(__xludf.DUMMYFUNCTION("""COMPUTED_VALUE"""),"Pozorrubio")</f>
        <v>Pozorrubio</v>
      </c>
      <c r="AF252" s="142" t="str">
        <f>IFERROR(__xludf.DUMMYFUNCTION("""COMPUTED_VALUE"""),"Rosales")</f>
        <v>Rosales</v>
      </c>
      <c r="AG252" s="142" t="str">
        <f>IFERROR(__xludf.DUMMYFUNCTION("""COMPUTED_VALUE"""),"City of San Carlos")</f>
        <v>City of San Carlos</v>
      </c>
      <c r="AH252" s="142" t="str">
        <f>IFERROR(__xludf.DUMMYFUNCTION("""COMPUTED_VALUE"""),"San Fabian")</f>
        <v>San Fabian</v>
      </c>
      <c r="AI252" s="142" t="str">
        <f>IFERROR(__xludf.DUMMYFUNCTION("""COMPUTED_VALUE"""),"San Jacinto")</f>
        <v>San Jacinto</v>
      </c>
      <c r="AJ252" s="142" t="str">
        <f>IFERROR(__xludf.DUMMYFUNCTION("""COMPUTED_VALUE"""),"San Manuel")</f>
        <v>San Manuel</v>
      </c>
      <c r="AK252" s="142" t="str">
        <f>IFERROR(__xludf.DUMMYFUNCTION("""COMPUTED_VALUE"""),"San Nicolas")</f>
        <v>San Nicolas</v>
      </c>
      <c r="AL252" s="142" t="str">
        <f>IFERROR(__xludf.DUMMYFUNCTION("""COMPUTED_VALUE"""),"San Quintin")</f>
        <v>San Quintin</v>
      </c>
      <c r="AM252" s="142" t="str">
        <f>IFERROR(__xludf.DUMMYFUNCTION("""COMPUTED_VALUE"""),"Santa Barbara")</f>
        <v>Santa Barbara</v>
      </c>
      <c r="AN252" s="142" t="str">
        <f>IFERROR(__xludf.DUMMYFUNCTION("""COMPUTED_VALUE"""),"Santa Maria")</f>
        <v>Santa Maria</v>
      </c>
      <c r="AO252" s="142" t="str">
        <f>IFERROR(__xludf.DUMMYFUNCTION("""COMPUTED_VALUE"""),"Santo Tomas")</f>
        <v>Santo Tomas</v>
      </c>
      <c r="AP252" s="142" t="str">
        <f>IFERROR(__xludf.DUMMYFUNCTION("""COMPUTED_VALUE"""),"Sison")</f>
        <v>Sison</v>
      </c>
      <c r="AQ252" s="142" t="str">
        <f>IFERROR(__xludf.DUMMYFUNCTION("""COMPUTED_VALUE"""),"Sual")</f>
        <v>Sual</v>
      </c>
      <c r="AR252" s="142" t="str">
        <f>IFERROR(__xludf.DUMMYFUNCTION("""COMPUTED_VALUE"""),"Tayug")</f>
        <v>Tayug</v>
      </c>
      <c r="AS252" s="142" t="str">
        <f>IFERROR(__xludf.DUMMYFUNCTION("""COMPUTED_VALUE"""),"Umingan")</f>
        <v>Umingan</v>
      </c>
      <c r="AT252" s="142" t="str">
        <f>IFERROR(__xludf.DUMMYFUNCTION("""COMPUTED_VALUE"""),"Urbiztondo")</f>
        <v>Urbiztondo</v>
      </c>
      <c r="AU252" s="142" t="str">
        <f>IFERROR(__xludf.DUMMYFUNCTION("""COMPUTED_VALUE"""),"City of Urdaneta")</f>
        <v>City of Urdaneta</v>
      </c>
      <c r="AV252" s="142" t="str">
        <f>IFERROR(__xludf.DUMMYFUNCTION("""COMPUTED_VALUE"""),"Villasis")</f>
        <v>Villasis</v>
      </c>
      <c r="AW252" s="142" t="str">
        <f>IFERROR(__xludf.DUMMYFUNCTION("""COMPUTED_VALUE"""),"Laoac")</f>
        <v>Laoac</v>
      </c>
      <c r="AX252" s="8"/>
      <c r="AY252" s="8"/>
      <c r="AZ252" s="8"/>
      <c r="BA252" s="8"/>
      <c r="BB252" s="8"/>
      <c r="BC252" s="8"/>
      <c r="BD252" s="8"/>
      <c r="BE252" s="8"/>
    </row>
    <row r="253">
      <c r="A253" s="142" t="s">
        <v>1725</v>
      </c>
      <c r="B253" s="142" t="str">
        <f>IFERROR(__xludf.DUMMYFUNCTION("""COMPUTED_VALUE"""),"Catarman")</f>
        <v>Catarman</v>
      </c>
      <c r="C253" s="142" t="str">
        <f>IFERROR(__xludf.DUMMYFUNCTION("""COMPUTED_VALUE"""),"Guinsiliban")</f>
        <v>Guinsiliban</v>
      </c>
      <c r="D253" s="142" t="str">
        <f>IFERROR(__xludf.DUMMYFUNCTION("""COMPUTED_VALUE"""),"Mahinog")</f>
        <v>Mahinog</v>
      </c>
      <c r="E253" s="142" t="str">
        <f>IFERROR(__xludf.DUMMYFUNCTION("""COMPUTED_VALUE"""),"Mambajao")</f>
        <v>Mambajao</v>
      </c>
      <c r="F253" s="142" t="str">
        <f>IFERROR(__xludf.DUMMYFUNCTION("""COMPUTED_VALUE"""),"Sagay")</f>
        <v>Sagay</v>
      </c>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row>
    <row r="254">
      <c r="A254" s="142" t="s">
        <v>1725</v>
      </c>
      <c r="B254" s="142" t="str">
        <f>IFERROR(__xludf.DUMMYFUNCTION("""COMPUTED_VALUE"""),"Catarman")</f>
        <v>Catarman</v>
      </c>
      <c r="C254" s="142" t="str">
        <f>IFERROR(__xludf.DUMMYFUNCTION("""COMPUTED_VALUE"""),"Guinsiliban")</f>
        <v>Guinsiliban</v>
      </c>
      <c r="D254" s="142" t="str">
        <f>IFERROR(__xludf.DUMMYFUNCTION("""COMPUTED_VALUE"""),"Mahinog")</f>
        <v>Mahinog</v>
      </c>
      <c r="E254" s="142" t="str">
        <f>IFERROR(__xludf.DUMMYFUNCTION("""COMPUTED_VALUE"""),"Mambajao")</f>
        <v>Mambajao</v>
      </c>
      <c r="F254" s="142" t="str">
        <f>IFERROR(__xludf.DUMMYFUNCTION("""COMPUTED_VALUE"""),"Sagay")</f>
        <v>Sagay</v>
      </c>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row>
    <row r="255">
      <c r="A255" s="142" t="s">
        <v>1283</v>
      </c>
      <c r="B255" s="142" t="str">
        <f>IFERROR(__xludf.DUMMYFUNCTION("""COMPUTED_VALUE"""),"Abucay")</f>
        <v>Abucay</v>
      </c>
      <c r="C255" s="142" t="str">
        <f>IFERROR(__xludf.DUMMYFUNCTION("""COMPUTED_VALUE"""),"Bagac")</f>
        <v>Bagac</v>
      </c>
      <c r="D255" s="142" t="str">
        <f>IFERROR(__xludf.DUMMYFUNCTION("""COMPUTED_VALUE"""),"City of Balanga")</f>
        <v>City of Balanga</v>
      </c>
      <c r="E255" s="142" t="str">
        <f>IFERROR(__xludf.DUMMYFUNCTION("""COMPUTED_VALUE"""),"Dinalupihan")</f>
        <v>Dinalupihan</v>
      </c>
      <c r="F255" s="142" t="str">
        <f>IFERROR(__xludf.DUMMYFUNCTION("""COMPUTED_VALUE"""),"Hermosa")</f>
        <v>Hermosa</v>
      </c>
      <c r="G255" s="142" t="str">
        <f>IFERROR(__xludf.DUMMYFUNCTION("""COMPUTED_VALUE"""),"Limay")</f>
        <v>Limay</v>
      </c>
      <c r="H255" s="142" t="str">
        <f>IFERROR(__xludf.DUMMYFUNCTION("""COMPUTED_VALUE"""),"Mariveles")</f>
        <v>Mariveles</v>
      </c>
      <c r="I255" s="142" t="str">
        <f>IFERROR(__xludf.DUMMYFUNCTION("""COMPUTED_VALUE"""),"Morong")</f>
        <v>Morong</v>
      </c>
      <c r="J255" s="142" t="str">
        <f>IFERROR(__xludf.DUMMYFUNCTION("""COMPUTED_VALUE"""),"Orani")</f>
        <v>Orani</v>
      </c>
      <c r="K255" s="142" t="str">
        <f>IFERROR(__xludf.DUMMYFUNCTION("""COMPUTED_VALUE"""),"Orion")</f>
        <v>Orion</v>
      </c>
      <c r="L255" s="142" t="str">
        <f>IFERROR(__xludf.DUMMYFUNCTION("""COMPUTED_VALUE"""),"Pilar")</f>
        <v>Pilar</v>
      </c>
      <c r="M255" s="142" t="str">
        <f>IFERROR(__xludf.DUMMYFUNCTION("""COMPUTED_VALUE"""),"Samal")</f>
        <v>Samal</v>
      </c>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row>
    <row r="256">
      <c r="A256" s="142" t="s">
        <v>1725</v>
      </c>
      <c r="B256" s="142" t="str">
        <f>IFERROR(__xludf.DUMMYFUNCTION("""COMPUTED_VALUE"""),"Catarman")</f>
        <v>Catarman</v>
      </c>
      <c r="C256" s="142" t="str">
        <f>IFERROR(__xludf.DUMMYFUNCTION("""COMPUTED_VALUE"""),"Guinsiliban")</f>
        <v>Guinsiliban</v>
      </c>
      <c r="D256" s="142" t="str">
        <f>IFERROR(__xludf.DUMMYFUNCTION("""COMPUTED_VALUE"""),"Mahinog")</f>
        <v>Mahinog</v>
      </c>
      <c r="E256" s="142" t="str">
        <f>IFERROR(__xludf.DUMMYFUNCTION("""COMPUTED_VALUE"""),"Mambajao")</f>
        <v>Mambajao</v>
      </c>
      <c r="F256" s="142" t="str">
        <f>IFERROR(__xludf.DUMMYFUNCTION("""COMPUTED_VALUE"""),"Sagay")</f>
        <v>Sagay</v>
      </c>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row>
    <row r="257">
      <c r="A257" s="142" t="s">
        <v>1191</v>
      </c>
      <c r="B257" s="142" t="str">
        <f>IFERROR(__xludf.DUMMYFUNCTION("""COMPUTED_VALUE"""),"Aroroy")</f>
        <v>Aroroy</v>
      </c>
      <c r="C257" s="142" t="str">
        <f>IFERROR(__xludf.DUMMYFUNCTION("""COMPUTED_VALUE"""),"Baleno")</f>
        <v>Baleno</v>
      </c>
      <c r="D257" s="142" t="str">
        <f>IFERROR(__xludf.DUMMYFUNCTION("""COMPUTED_VALUE"""),"Balud")</f>
        <v>Balud</v>
      </c>
      <c r="E257" s="142" t="str">
        <f>IFERROR(__xludf.DUMMYFUNCTION("""COMPUTED_VALUE"""),"Batuan")</f>
        <v>Batuan</v>
      </c>
      <c r="F257" s="142" t="str">
        <f>IFERROR(__xludf.DUMMYFUNCTION("""COMPUTED_VALUE"""),"Cataingan")</f>
        <v>Cataingan</v>
      </c>
      <c r="G257" s="142" t="str">
        <f>IFERROR(__xludf.DUMMYFUNCTION("""COMPUTED_VALUE"""),"Cawayan")</f>
        <v>Cawayan</v>
      </c>
      <c r="H257" s="142" t="str">
        <f>IFERROR(__xludf.DUMMYFUNCTION("""COMPUTED_VALUE"""),"Claveria")</f>
        <v>Claveria</v>
      </c>
      <c r="I257" s="142" t="str">
        <f>IFERROR(__xludf.DUMMYFUNCTION("""COMPUTED_VALUE"""),"Dimasalang")</f>
        <v>Dimasalang</v>
      </c>
      <c r="J257" s="142" t="str">
        <f>IFERROR(__xludf.DUMMYFUNCTION("""COMPUTED_VALUE"""),"Esperanza")</f>
        <v>Esperanza</v>
      </c>
      <c r="K257" s="142" t="str">
        <f>IFERROR(__xludf.DUMMYFUNCTION("""COMPUTED_VALUE"""),"Mandaon")</f>
        <v>Mandaon</v>
      </c>
      <c r="L257" s="142" t="str">
        <f>IFERROR(__xludf.DUMMYFUNCTION("""COMPUTED_VALUE"""),"City of Masbate")</f>
        <v>City of Masbate</v>
      </c>
      <c r="M257" s="142" t="str">
        <f>IFERROR(__xludf.DUMMYFUNCTION("""COMPUTED_VALUE"""),"Milagros")</f>
        <v>Milagros</v>
      </c>
      <c r="N257" s="142" t="str">
        <f>IFERROR(__xludf.DUMMYFUNCTION("""COMPUTED_VALUE"""),"Mobo")</f>
        <v>Mobo</v>
      </c>
      <c r="O257" s="142" t="str">
        <f>IFERROR(__xludf.DUMMYFUNCTION("""COMPUTED_VALUE"""),"Monreal")</f>
        <v>Monreal</v>
      </c>
      <c r="P257" s="142" t="str">
        <f>IFERROR(__xludf.DUMMYFUNCTION("""COMPUTED_VALUE"""),"Palanas")</f>
        <v>Palanas</v>
      </c>
      <c r="Q257" s="142" t="str">
        <f>IFERROR(__xludf.DUMMYFUNCTION("""COMPUTED_VALUE"""),"Pio V. Corpus")</f>
        <v>Pio V. Corpus</v>
      </c>
      <c r="R257" s="142" t="str">
        <f>IFERROR(__xludf.DUMMYFUNCTION("""COMPUTED_VALUE"""),"Placer")</f>
        <v>Placer</v>
      </c>
      <c r="S257" s="142" t="str">
        <f>IFERROR(__xludf.DUMMYFUNCTION("""COMPUTED_VALUE"""),"San Fernando")</f>
        <v>San Fernando</v>
      </c>
      <c r="T257" s="142" t="str">
        <f>IFERROR(__xludf.DUMMYFUNCTION("""COMPUTED_VALUE"""),"San Jacinto")</f>
        <v>San Jacinto</v>
      </c>
      <c r="U257" s="142" t="str">
        <f>IFERROR(__xludf.DUMMYFUNCTION("""COMPUTED_VALUE"""),"San Pascual")</f>
        <v>San Pascual</v>
      </c>
      <c r="V257" s="142" t="str">
        <f>IFERROR(__xludf.DUMMYFUNCTION("""COMPUTED_VALUE"""),"Uson")</f>
        <v>Uson</v>
      </c>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row>
    <row r="258">
      <c r="A258" s="142" t="s">
        <v>144</v>
      </c>
      <c r="B258" s="142" t="str">
        <f>IFERROR(__xludf.DUMMYFUNCTION("""COMPUTED_VALUE"""),"Agno")</f>
        <v>Agno</v>
      </c>
      <c r="C258" s="142" t="str">
        <f>IFERROR(__xludf.DUMMYFUNCTION("""COMPUTED_VALUE"""),"Aguilar")</f>
        <v>Aguilar</v>
      </c>
      <c r="D258" s="142" t="str">
        <f>IFERROR(__xludf.DUMMYFUNCTION("""COMPUTED_VALUE"""),"City of Alaminos")</f>
        <v>City of Alaminos</v>
      </c>
      <c r="E258" s="142" t="str">
        <f>IFERROR(__xludf.DUMMYFUNCTION("""COMPUTED_VALUE"""),"Alcala")</f>
        <v>Alcala</v>
      </c>
      <c r="F258" s="142" t="str">
        <f>IFERROR(__xludf.DUMMYFUNCTION("""COMPUTED_VALUE"""),"Anda")</f>
        <v>Anda</v>
      </c>
      <c r="G258" s="142" t="str">
        <f>IFERROR(__xludf.DUMMYFUNCTION("""COMPUTED_VALUE"""),"Asingan")</f>
        <v>Asingan</v>
      </c>
      <c r="H258" s="142" t="str">
        <f>IFERROR(__xludf.DUMMYFUNCTION("""COMPUTED_VALUE"""),"Balungao")</f>
        <v>Balungao</v>
      </c>
      <c r="I258" s="142" t="str">
        <f>IFERROR(__xludf.DUMMYFUNCTION("""COMPUTED_VALUE"""),"Bani")</f>
        <v>Bani</v>
      </c>
      <c r="J258" s="142" t="str">
        <f>IFERROR(__xludf.DUMMYFUNCTION("""COMPUTED_VALUE"""),"Basista")</f>
        <v>Basista</v>
      </c>
      <c r="K258" s="142" t="str">
        <f>IFERROR(__xludf.DUMMYFUNCTION("""COMPUTED_VALUE"""),"Bautista")</f>
        <v>Bautista</v>
      </c>
      <c r="L258" s="142" t="str">
        <f>IFERROR(__xludf.DUMMYFUNCTION("""COMPUTED_VALUE"""),"Bayambang")</f>
        <v>Bayambang</v>
      </c>
      <c r="M258" s="142" t="str">
        <f>IFERROR(__xludf.DUMMYFUNCTION("""COMPUTED_VALUE"""),"Binalonan")</f>
        <v>Binalonan</v>
      </c>
      <c r="N258" s="142" t="str">
        <f>IFERROR(__xludf.DUMMYFUNCTION("""COMPUTED_VALUE"""),"Binmaley")</f>
        <v>Binmaley</v>
      </c>
      <c r="O258" s="142" t="str">
        <f>IFERROR(__xludf.DUMMYFUNCTION("""COMPUTED_VALUE"""),"Bolinao")</f>
        <v>Bolinao</v>
      </c>
      <c r="P258" s="142" t="str">
        <f>IFERROR(__xludf.DUMMYFUNCTION("""COMPUTED_VALUE"""),"Bugallon")</f>
        <v>Bugallon</v>
      </c>
      <c r="Q258" s="142" t="str">
        <f>IFERROR(__xludf.DUMMYFUNCTION("""COMPUTED_VALUE"""),"Burgos")</f>
        <v>Burgos</v>
      </c>
      <c r="R258" s="142" t="str">
        <f>IFERROR(__xludf.DUMMYFUNCTION("""COMPUTED_VALUE"""),"Calasiao")</f>
        <v>Calasiao</v>
      </c>
      <c r="S258" s="142" t="str">
        <f>IFERROR(__xludf.DUMMYFUNCTION("""COMPUTED_VALUE"""),"City of Dagupan")</f>
        <v>City of Dagupan</v>
      </c>
      <c r="T258" s="142" t="str">
        <f>IFERROR(__xludf.DUMMYFUNCTION("""COMPUTED_VALUE"""),"Dasol")</f>
        <v>Dasol</v>
      </c>
      <c r="U258" s="142" t="str">
        <f>IFERROR(__xludf.DUMMYFUNCTION("""COMPUTED_VALUE"""),"Infanta")</f>
        <v>Infanta</v>
      </c>
      <c r="V258" s="142" t="str">
        <f>IFERROR(__xludf.DUMMYFUNCTION("""COMPUTED_VALUE"""),"Labrador")</f>
        <v>Labrador</v>
      </c>
      <c r="W258" s="142" t="str">
        <f>IFERROR(__xludf.DUMMYFUNCTION("""COMPUTED_VALUE"""),"Lingayen")</f>
        <v>Lingayen</v>
      </c>
      <c r="X258" s="142" t="str">
        <f>IFERROR(__xludf.DUMMYFUNCTION("""COMPUTED_VALUE"""),"Mabini")</f>
        <v>Mabini</v>
      </c>
      <c r="Y258" s="142" t="str">
        <f>IFERROR(__xludf.DUMMYFUNCTION("""COMPUTED_VALUE"""),"Malasiqui")</f>
        <v>Malasiqui</v>
      </c>
      <c r="Z258" s="142" t="str">
        <f>IFERROR(__xludf.DUMMYFUNCTION("""COMPUTED_VALUE"""),"Manaoag")</f>
        <v>Manaoag</v>
      </c>
      <c r="AA258" s="142" t="str">
        <f>IFERROR(__xludf.DUMMYFUNCTION("""COMPUTED_VALUE"""),"Mangaldan")</f>
        <v>Mangaldan</v>
      </c>
      <c r="AB258" s="142" t="str">
        <f>IFERROR(__xludf.DUMMYFUNCTION("""COMPUTED_VALUE"""),"Mangatarem")</f>
        <v>Mangatarem</v>
      </c>
      <c r="AC258" s="142" t="str">
        <f>IFERROR(__xludf.DUMMYFUNCTION("""COMPUTED_VALUE"""),"Mapandan")</f>
        <v>Mapandan</v>
      </c>
      <c r="AD258" s="142" t="str">
        <f>IFERROR(__xludf.DUMMYFUNCTION("""COMPUTED_VALUE"""),"Natividad")</f>
        <v>Natividad</v>
      </c>
      <c r="AE258" s="142" t="str">
        <f>IFERROR(__xludf.DUMMYFUNCTION("""COMPUTED_VALUE"""),"Pozorrubio")</f>
        <v>Pozorrubio</v>
      </c>
      <c r="AF258" s="142" t="str">
        <f>IFERROR(__xludf.DUMMYFUNCTION("""COMPUTED_VALUE"""),"Rosales")</f>
        <v>Rosales</v>
      </c>
      <c r="AG258" s="142" t="str">
        <f>IFERROR(__xludf.DUMMYFUNCTION("""COMPUTED_VALUE"""),"City of San Carlos")</f>
        <v>City of San Carlos</v>
      </c>
      <c r="AH258" s="142" t="str">
        <f>IFERROR(__xludf.DUMMYFUNCTION("""COMPUTED_VALUE"""),"San Fabian")</f>
        <v>San Fabian</v>
      </c>
      <c r="AI258" s="142" t="str">
        <f>IFERROR(__xludf.DUMMYFUNCTION("""COMPUTED_VALUE"""),"San Jacinto")</f>
        <v>San Jacinto</v>
      </c>
      <c r="AJ258" s="142" t="str">
        <f>IFERROR(__xludf.DUMMYFUNCTION("""COMPUTED_VALUE"""),"San Manuel")</f>
        <v>San Manuel</v>
      </c>
      <c r="AK258" s="142" t="str">
        <f>IFERROR(__xludf.DUMMYFUNCTION("""COMPUTED_VALUE"""),"San Nicolas")</f>
        <v>San Nicolas</v>
      </c>
      <c r="AL258" s="142" t="str">
        <f>IFERROR(__xludf.DUMMYFUNCTION("""COMPUTED_VALUE"""),"San Quintin")</f>
        <v>San Quintin</v>
      </c>
      <c r="AM258" s="142" t="str">
        <f>IFERROR(__xludf.DUMMYFUNCTION("""COMPUTED_VALUE"""),"Santa Barbara")</f>
        <v>Santa Barbara</v>
      </c>
      <c r="AN258" s="142" t="str">
        <f>IFERROR(__xludf.DUMMYFUNCTION("""COMPUTED_VALUE"""),"Santa Maria")</f>
        <v>Santa Maria</v>
      </c>
      <c r="AO258" s="142" t="str">
        <f>IFERROR(__xludf.DUMMYFUNCTION("""COMPUTED_VALUE"""),"Santo Tomas")</f>
        <v>Santo Tomas</v>
      </c>
      <c r="AP258" s="142" t="str">
        <f>IFERROR(__xludf.DUMMYFUNCTION("""COMPUTED_VALUE"""),"Sison")</f>
        <v>Sison</v>
      </c>
      <c r="AQ258" s="142" t="str">
        <f>IFERROR(__xludf.DUMMYFUNCTION("""COMPUTED_VALUE"""),"Sual")</f>
        <v>Sual</v>
      </c>
      <c r="AR258" s="142" t="str">
        <f>IFERROR(__xludf.DUMMYFUNCTION("""COMPUTED_VALUE"""),"Tayug")</f>
        <v>Tayug</v>
      </c>
      <c r="AS258" s="142" t="str">
        <f>IFERROR(__xludf.DUMMYFUNCTION("""COMPUTED_VALUE"""),"Umingan")</f>
        <v>Umingan</v>
      </c>
      <c r="AT258" s="142" t="str">
        <f>IFERROR(__xludf.DUMMYFUNCTION("""COMPUTED_VALUE"""),"Urbiztondo")</f>
        <v>Urbiztondo</v>
      </c>
      <c r="AU258" s="142" t="str">
        <f>IFERROR(__xludf.DUMMYFUNCTION("""COMPUTED_VALUE"""),"City of Urdaneta")</f>
        <v>City of Urdaneta</v>
      </c>
      <c r="AV258" s="142" t="str">
        <f>IFERROR(__xludf.DUMMYFUNCTION("""COMPUTED_VALUE"""),"Villasis")</f>
        <v>Villasis</v>
      </c>
      <c r="AW258" s="142" t="str">
        <f>IFERROR(__xludf.DUMMYFUNCTION("""COMPUTED_VALUE"""),"Laoac")</f>
        <v>Laoac</v>
      </c>
      <c r="AX258" s="8"/>
      <c r="AY258" s="8"/>
      <c r="AZ258" s="8"/>
      <c r="BA258" s="8"/>
      <c r="BB258" s="8"/>
      <c r="BC258" s="8"/>
      <c r="BD258" s="8"/>
      <c r="BE258" s="8"/>
    </row>
    <row r="259">
      <c r="A259" s="142" t="s">
        <v>144</v>
      </c>
      <c r="B259" s="142" t="str">
        <f>IFERROR(__xludf.DUMMYFUNCTION("""COMPUTED_VALUE"""),"Agno")</f>
        <v>Agno</v>
      </c>
      <c r="C259" s="142" t="str">
        <f>IFERROR(__xludf.DUMMYFUNCTION("""COMPUTED_VALUE"""),"Aguilar")</f>
        <v>Aguilar</v>
      </c>
      <c r="D259" s="142" t="str">
        <f>IFERROR(__xludf.DUMMYFUNCTION("""COMPUTED_VALUE"""),"City of Alaminos")</f>
        <v>City of Alaminos</v>
      </c>
      <c r="E259" s="142" t="str">
        <f>IFERROR(__xludf.DUMMYFUNCTION("""COMPUTED_VALUE"""),"Alcala")</f>
        <v>Alcala</v>
      </c>
      <c r="F259" s="142" t="str">
        <f>IFERROR(__xludf.DUMMYFUNCTION("""COMPUTED_VALUE"""),"Anda")</f>
        <v>Anda</v>
      </c>
      <c r="G259" s="142" t="str">
        <f>IFERROR(__xludf.DUMMYFUNCTION("""COMPUTED_VALUE"""),"Asingan")</f>
        <v>Asingan</v>
      </c>
      <c r="H259" s="142" t="str">
        <f>IFERROR(__xludf.DUMMYFUNCTION("""COMPUTED_VALUE"""),"Balungao")</f>
        <v>Balungao</v>
      </c>
      <c r="I259" s="142" t="str">
        <f>IFERROR(__xludf.DUMMYFUNCTION("""COMPUTED_VALUE"""),"Bani")</f>
        <v>Bani</v>
      </c>
      <c r="J259" s="142" t="str">
        <f>IFERROR(__xludf.DUMMYFUNCTION("""COMPUTED_VALUE"""),"Basista")</f>
        <v>Basista</v>
      </c>
      <c r="K259" s="142" t="str">
        <f>IFERROR(__xludf.DUMMYFUNCTION("""COMPUTED_VALUE"""),"Bautista")</f>
        <v>Bautista</v>
      </c>
      <c r="L259" s="142" t="str">
        <f>IFERROR(__xludf.DUMMYFUNCTION("""COMPUTED_VALUE"""),"Bayambang")</f>
        <v>Bayambang</v>
      </c>
      <c r="M259" s="142" t="str">
        <f>IFERROR(__xludf.DUMMYFUNCTION("""COMPUTED_VALUE"""),"Binalonan")</f>
        <v>Binalonan</v>
      </c>
      <c r="N259" s="142" t="str">
        <f>IFERROR(__xludf.DUMMYFUNCTION("""COMPUTED_VALUE"""),"Binmaley")</f>
        <v>Binmaley</v>
      </c>
      <c r="O259" s="142" t="str">
        <f>IFERROR(__xludf.DUMMYFUNCTION("""COMPUTED_VALUE"""),"Bolinao")</f>
        <v>Bolinao</v>
      </c>
      <c r="P259" s="142" t="str">
        <f>IFERROR(__xludf.DUMMYFUNCTION("""COMPUTED_VALUE"""),"Bugallon")</f>
        <v>Bugallon</v>
      </c>
      <c r="Q259" s="142" t="str">
        <f>IFERROR(__xludf.DUMMYFUNCTION("""COMPUTED_VALUE"""),"Burgos")</f>
        <v>Burgos</v>
      </c>
      <c r="R259" s="142" t="str">
        <f>IFERROR(__xludf.DUMMYFUNCTION("""COMPUTED_VALUE"""),"Calasiao")</f>
        <v>Calasiao</v>
      </c>
      <c r="S259" s="142" t="str">
        <f>IFERROR(__xludf.DUMMYFUNCTION("""COMPUTED_VALUE"""),"City of Dagupan")</f>
        <v>City of Dagupan</v>
      </c>
      <c r="T259" s="142" t="str">
        <f>IFERROR(__xludf.DUMMYFUNCTION("""COMPUTED_VALUE"""),"Dasol")</f>
        <v>Dasol</v>
      </c>
      <c r="U259" s="142" t="str">
        <f>IFERROR(__xludf.DUMMYFUNCTION("""COMPUTED_VALUE"""),"Infanta")</f>
        <v>Infanta</v>
      </c>
      <c r="V259" s="142" t="str">
        <f>IFERROR(__xludf.DUMMYFUNCTION("""COMPUTED_VALUE"""),"Labrador")</f>
        <v>Labrador</v>
      </c>
      <c r="W259" s="142" t="str">
        <f>IFERROR(__xludf.DUMMYFUNCTION("""COMPUTED_VALUE"""),"Lingayen")</f>
        <v>Lingayen</v>
      </c>
      <c r="X259" s="142" t="str">
        <f>IFERROR(__xludf.DUMMYFUNCTION("""COMPUTED_VALUE"""),"Mabini")</f>
        <v>Mabini</v>
      </c>
      <c r="Y259" s="142" t="str">
        <f>IFERROR(__xludf.DUMMYFUNCTION("""COMPUTED_VALUE"""),"Malasiqui")</f>
        <v>Malasiqui</v>
      </c>
      <c r="Z259" s="142" t="str">
        <f>IFERROR(__xludf.DUMMYFUNCTION("""COMPUTED_VALUE"""),"Manaoag")</f>
        <v>Manaoag</v>
      </c>
      <c r="AA259" s="142" t="str">
        <f>IFERROR(__xludf.DUMMYFUNCTION("""COMPUTED_VALUE"""),"Mangaldan")</f>
        <v>Mangaldan</v>
      </c>
      <c r="AB259" s="142" t="str">
        <f>IFERROR(__xludf.DUMMYFUNCTION("""COMPUTED_VALUE"""),"Mangatarem")</f>
        <v>Mangatarem</v>
      </c>
      <c r="AC259" s="142" t="str">
        <f>IFERROR(__xludf.DUMMYFUNCTION("""COMPUTED_VALUE"""),"Mapandan")</f>
        <v>Mapandan</v>
      </c>
      <c r="AD259" s="142" t="str">
        <f>IFERROR(__xludf.DUMMYFUNCTION("""COMPUTED_VALUE"""),"Natividad")</f>
        <v>Natividad</v>
      </c>
      <c r="AE259" s="142" t="str">
        <f>IFERROR(__xludf.DUMMYFUNCTION("""COMPUTED_VALUE"""),"Pozorrubio")</f>
        <v>Pozorrubio</v>
      </c>
      <c r="AF259" s="142" t="str">
        <f>IFERROR(__xludf.DUMMYFUNCTION("""COMPUTED_VALUE"""),"Rosales")</f>
        <v>Rosales</v>
      </c>
      <c r="AG259" s="142" t="str">
        <f>IFERROR(__xludf.DUMMYFUNCTION("""COMPUTED_VALUE"""),"City of San Carlos")</f>
        <v>City of San Carlos</v>
      </c>
      <c r="AH259" s="142" t="str">
        <f>IFERROR(__xludf.DUMMYFUNCTION("""COMPUTED_VALUE"""),"San Fabian")</f>
        <v>San Fabian</v>
      </c>
      <c r="AI259" s="142" t="str">
        <f>IFERROR(__xludf.DUMMYFUNCTION("""COMPUTED_VALUE"""),"San Jacinto")</f>
        <v>San Jacinto</v>
      </c>
      <c r="AJ259" s="142" t="str">
        <f>IFERROR(__xludf.DUMMYFUNCTION("""COMPUTED_VALUE"""),"San Manuel")</f>
        <v>San Manuel</v>
      </c>
      <c r="AK259" s="142" t="str">
        <f>IFERROR(__xludf.DUMMYFUNCTION("""COMPUTED_VALUE"""),"San Nicolas")</f>
        <v>San Nicolas</v>
      </c>
      <c r="AL259" s="142" t="str">
        <f>IFERROR(__xludf.DUMMYFUNCTION("""COMPUTED_VALUE"""),"San Quintin")</f>
        <v>San Quintin</v>
      </c>
      <c r="AM259" s="142" t="str">
        <f>IFERROR(__xludf.DUMMYFUNCTION("""COMPUTED_VALUE"""),"Santa Barbara")</f>
        <v>Santa Barbara</v>
      </c>
      <c r="AN259" s="142" t="str">
        <f>IFERROR(__xludf.DUMMYFUNCTION("""COMPUTED_VALUE"""),"Santa Maria")</f>
        <v>Santa Maria</v>
      </c>
      <c r="AO259" s="142" t="str">
        <f>IFERROR(__xludf.DUMMYFUNCTION("""COMPUTED_VALUE"""),"Santo Tomas")</f>
        <v>Santo Tomas</v>
      </c>
      <c r="AP259" s="142" t="str">
        <f>IFERROR(__xludf.DUMMYFUNCTION("""COMPUTED_VALUE"""),"Sison")</f>
        <v>Sison</v>
      </c>
      <c r="AQ259" s="142" t="str">
        <f>IFERROR(__xludf.DUMMYFUNCTION("""COMPUTED_VALUE"""),"Sual")</f>
        <v>Sual</v>
      </c>
      <c r="AR259" s="142" t="str">
        <f>IFERROR(__xludf.DUMMYFUNCTION("""COMPUTED_VALUE"""),"Tayug")</f>
        <v>Tayug</v>
      </c>
      <c r="AS259" s="142" t="str">
        <f>IFERROR(__xludf.DUMMYFUNCTION("""COMPUTED_VALUE"""),"Umingan")</f>
        <v>Umingan</v>
      </c>
      <c r="AT259" s="142" t="str">
        <f>IFERROR(__xludf.DUMMYFUNCTION("""COMPUTED_VALUE"""),"Urbiztondo")</f>
        <v>Urbiztondo</v>
      </c>
      <c r="AU259" s="142" t="str">
        <f>IFERROR(__xludf.DUMMYFUNCTION("""COMPUTED_VALUE"""),"City of Urdaneta")</f>
        <v>City of Urdaneta</v>
      </c>
      <c r="AV259" s="142" t="str">
        <f>IFERROR(__xludf.DUMMYFUNCTION("""COMPUTED_VALUE"""),"Villasis")</f>
        <v>Villasis</v>
      </c>
      <c r="AW259" s="142" t="str">
        <f>IFERROR(__xludf.DUMMYFUNCTION("""COMPUTED_VALUE"""),"Laoac")</f>
        <v>Laoac</v>
      </c>
      <c r="AX259" s="8"/>
      <c r="AY259" s="8"/>
      <c r="AZ259" s="8"/>
      <c r="BA259" s="8"/>
      <c r="BB259" s="8"/>
      <c r="BC259" s="8"/>
      <c r="BD259" s="8"/>
      <c r="BE259" s="8"/>
    </row>
    <row r="260">
      <c r="A260" s="142" t="s">
        <v>714</v>
      </c>
      <c r="B260" s="142" t="str">
        <f>IFERROR(__xludf.DUMMYFUNCTION("""COMPUTED_VALUE"""),"Allen")</f>
        <v>Allen</v>
      </c>
      <c r="C260" s="142" t="str">
        <f>IFERROR(__xludf.DUMMYFUNCTION("""COMPUTED_VALUE"""),"Biri")</f>
        <v>Biri</v>
      </c>
      <c r="D260" s="142" t="str">
        <f>IFERROR(__xludf.DUMMYFUNCTION("""COMPUTED_VALUE"""),"Bobon")</f>
        <v>Bobon</v>
      </c>
      <c r="E260" s="142" t="str">
        <f>IFERROR(__xludf.DUMMYFUNCTION("""COMPUTED_VALUE"""),"Capul")</f>
        <v>Capul</v>
      </c>
      <c r="F260" s="142" t="str">
        <f>IFERROR(__xludf.DUMMYFUNCTION("""COMPUTED_VALUE"""),"Catarman")</f>
        <v>Catarman</v>
      </c>
      <c r="G260" s="142" t="str">
        <f>IFERROR(__xludf.DUMMYFUNCTION("""COMPUTED_VALUE"""),"Catubig")</f>
        <v>Catubig</v>
      </c>
      <c r="H260" s="142" t="str">
        <f>IFERROR(__xludf.DUMMYFUNCTION("""COMPUTED_VALUE"""),"Gamay")</f>
        <v>Gamay</v>
      </c>
      <c r="I260" s="142" t="str">
        <f>IFERROR(__xludf.DUMMYFUNCTION("""COMPUTED_VALUE"""),"Laoang")</f>
        <v>Laoang</v>
      </c>
      <c r="J260" s="142" t="str">
        <f>IFERROR(__xludf.DUMMYFUNCTION("""COMPUTED_VALUE"""),"Lapinig")</f>
        <v>Lapinig</v>
      </c>
      <c r="K260" s="142" t="str">
        <f>IFERROR(__xludf.DUMMYFUNCTION("""COMPUTED_VALUE"""),"Las Navas")</f>
        <v>Las Navas</v>
      </c>
      <c r="L260" s="142" t="str">
        <f>IFERROR(__xludf.DUMMYFUNCTION("""COMPUTED_VALUE"""),"Lavezares")</f>
        <v>Lavezares</v>
      </c>
      <c r="M260" s="142" t="str">
        <f>IFERROR(__xludf.DUMMYFUNCTION("""COMPUTED_VALUE"""),"Mapanas")</f>
        <v>Mapanas</v>
      </c>
      <c r="N260" s="142" t="str">
        <f>IFERROR(__xludf.DUMMYFUNCTION("""COMPUTED_VALUE"""),"Mondragon")</f>
        <v>Mondragon</v>
      </c>
      <c r="O260" s="142" t="str">
        <f>IFERROR(__xludf.DUMMYFUNCTION("""COMPUTED_VALUE"""),"Palapag")</f>
        <v>Palapag</v>
      </c>
      <c r="P260" s="142" t="str">
        <f>IFERROR(__xludf.DUMMYFUNCTION("""COMPUTED_VALUE"""),"Pambujan")</f>
        <v>Pambujan</v>
      </c>
      <c r="Q260" s="142" t="str">
        <f>IFERROR(__xludf.DUMMYFUNCTION("""COMPUTED_VALUE"""),"Rosario")</f>
        <v>Rosario</v>
      </c>
      <c r="R260" s="142" t="str">
        <f>IFERROR(__xludf.DUMMYFUNCTION("""COMPUTED_VALUE"""),"San Antonio")</f>
        <v>San Antonio</v>
      </c>
      <c r="S260" s="142" t="str">
        <f>IFERROR(__xludf.DUMMYFUNCTION("""COMPUTED_VALUE"""),"San Isidro")</f>
        <v>San Isidro</v>
      </c>
      <c r="T260" s="142" t="str">
        <f>IFERROR(__xludf.DUMMYFUNCTION("""COMPUTED_VALUE"""),"San Jose")</f>
        <v>San Jose</v>
      </c>
      <c r="U260" s="142" t="str">
        <f>IFERROR(__xludf.DUMMYFUNCTION("""COMPUTED_VALUE"""),"San Roque")</f>
        <v>San Roque</v>
      </c>
      <c r="V260" s="142" t="str">
        <f>IFERROR(__xludf.DUMMYFUNCTION("""COMPUTED_VALUE"""),"San Vicente")</f>
        <v>San Vicente</v>
      </c>
      <c r="W260" s="142" t="str">
        <f>IFERROR(__xludf.DUMMYFUNCTION("""COMPUTED_VALUE"""),"Silvino Lobos")</f>
        <v>Silvino Lobos</v>
      </c>
      <c r="X260" s="142" t="str">
        <f>IFERROR(__xludf.DUMMYFUNCTION("""COMPUTED_VALUE"""),"Victoria")</f>
        <v>Victoria</v>
      </c>
      <c r="Y260" s="142" t="str">
        <f>IFERROR(__xludf.DUMMYFUNCTION("""COMPUTED_VALUE"""),"Lope De Vega")</f>
        <v>Lope De Vega</v>
      </c>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row>
    <row r="261">
      <c r="A261" s="142" t="s">
        <v>144</v>
      </c>
      <c r="B261" s="142" t="str">
        <f>IFERROR(__xludf.DUMMYFUNCTION("""COMPUTED_VALUE"""),"Agno")</f>
        <v>Agno</v>
      </c>
      <c r="C261" s="142" t="str">
        <f>IFERROR(__xludf.DUMMYFUNCTION("""COMPUTED_VALUE"""),"Aguilar")</f>
        <v>Aguilar</v>
      </c>
      <c r="D261" s="142" t="str">
        <f>IFERROR(__xludf.DUMMYFUNCTION("""COMPUTED_VALUE"""),"City of Alaminos")</f>
        <v>City of Alaminos</v>
      </c>
      <c r="E261" s="142" t="str">
        <f>IFERROR(__xludf.DUMMYFUNCTION("""COMPUTED_VALUE"""),"Alcala")</f>
        <v>Alcala</v>
      </c>
      <c r="F261" s="142" t="str">
        <f>IFERROR(__xludf.DUMMYFUNCTION("""COMPUTED_VALUE"""),"Anda")</f>
        <v>Anda</v>
      </c>
      <c r="G261" s="142" t="str">
        <f>IFERROR(__xludf.DUMMYFUNCTION("""COMPUTED_VALUE"""),"Asingan")</f>
        <v>Asingan</v>
      </c>
      <c r="H261" s="142" t="str">
        <f>IFERROR(__xludf.DUMMYFUNCTION("""COMPUTED_VALUE"""),"Balungao")</f>
        <v>Balungao</v>
      </c>
      <c r="I261" s="142" t="str">
        <f>IFERROR(__xludf.DUMMYFUNCTION("""COMPUTED_VALUE"""),"Bani")</f>
        <v>Bani</v>
      </c>
      <c r="J261" s="142" t="str">
        <f>IFERROR(__xludf.DUMMYFUNCTION("""COMPUTED_VALUE"""),"Basista")</f>
        <v>Basista</v>
      </c>
      <c r="K261" s="142" t="str">
        <f>IFERROR(__xludf.DUMMYFUNCTION("""COMPUTED_VALUE"""),"Bautista")</f>
        <v>Bautista</v>
      </c>
      <c r="L261" s="142" t="str">
        <f>IFERROR(__xludf.DUMMYFUNCTION("""COMPUTED_VALUE"""),"Bayambang")</f>
        <v>Bayambang</v>
      </c>
      <c r="M261" s="142" t="str">
        <f>IFERROR(__xludf.DUMMYFUNCTION("""COMPUTED_VALUE"""),"Binalonan")</f>
        <v>Binalonan</v>
      </c>
      <c r="N261" s="142" t="str">
        <f>IFERROR(__xludf.DUMMYFUNCTION("""COMPUTED_VALUE"""),"Binmaley")</f>
        <v>Binmaley</v>
      </c>
      <c r="O261" s="142" t="str">
        <f>IFERROR(__xludf.DUMMYFUNCTION("""COMPUTED_VALUE"""),"Bolinao")</f>
        <v>Bolinao</v>
      </c>
      <c r="P261" s="142" t="str">
        <f>IFERROR(__xludf.DUMMYFUNCTION("""COMPUTED_VALUE"""),"Bugallon")</f>
        <v>Bugallon</v>
      </c>
      <c r="Q261" s="142" t="str">
        <f>IFERROR(__xludf.DUMMYFUNCTION("""COMPUTED_VALUE"""),"Burgos")</f>
        <v>Burgos</v>
      </c>
      <c r="R261" s="142" t="str">
        <f>IFERROR(__xludf.DUMMYFUNCTION("""COMPUTED_VALUE"""),"Calasiao")</f>
        <v>Calasiao</v>
      </c>
      <c r="S261" s="142" t="str">
        <f>IFERROR(__xludf.DUMMYFUNCTION("""COMPUTED_VALUE"""),"City of Dagupan")</f>
        <v>City of Dagupan</v>
      </c>
      <c r="T261" s="142" t="str">
        <f>IFERROR(__xludf.DUMMYFUNCTION("""COMPUTED_VALUE"""),"Dasol")</f>
        <v>Dasol</v>
      </c>
      <c r="U261" s="142" t="str">
        <f>IFERROR(__xludf.DUMMYFUNCTION("""COMPUTED_VALUE"""),"Infanta")</f>
        <v>Infanta</v>
      </c>
      <c r="V261" s="142" t="str">
        <f>IFERROR(__xludf.DUMMYFUNCTION("""COMPUTED_VALUE"""),"Labrador")</f>
        <v>Labrador</v>
      </c>
      <c r="W261" s="142" t="str">
        <f>IFERROR(__xludf.DUMMYFUNCTION("""COMPUTED_VALUE"""),"Lingayen")</f>
        <v>Lingayen</v>
      </c>
      <c r="X261" s="142" t="str">
        <f>IFERROR(__xludf.DUMMYFUNCTION("""COMPUTED_VALUE"""),"Mabini")</f>
        <v>Mabini</v>
      </c>
      <c r="Y261" s="142" t="str">
        <f>IFERROR(__xludf.DUMMYFUNCTION("""COMPUTED_VALUE"""),"Malasiqui")</f>
        <v>Malasiqui</v>
      </c>
      <c r="Z261" s="142" t="str">
        <f>IFERROR(__xludf.DUMMYFUNCTION("""COMPUTED_VALUE"""),"Manaoag")</f>
        <v>Manaoag</v>
      </c>
      <c r="AA261" s="142" t="str">
        <f>IFERROR(__xludf.DUMMYFUNCTION("""COMPUTED_VALUE"""),"Mangaldan")</f>
        <v>Mangaldan</v>
      </c>
      <c r="AB261" s="142" t="str">
        <f>IFERROR(__xludf.DUMMYFUNCTION("""COMPUTED_VALUE"""),"Mangatarem")</f>
        <v>Mangatarem</v>
      </c>
      <c r="AC261" s="142" t="str">
        <f>IFERROR(__xludf.DUMMYFUNCTION("""COMPUTED_VALUE"""),"Mapandan")</f>
        <v>Mapandan</v>
      </c>
      <c r="AD261" s="142" t="str">
        <f>IFERROR(__xludf.DUMMYFUNCTION("""COMPUTED_VALUE"""),"Natividad")</f>
        <v>Natividad</v>
      </c>
      <c r="AE261" s="142" t="str">
        <f>IFERROR(__xludf.DUMMYFUNCTION("""COMPUTED_VALUE"""),"Pozorrubio")</f>
        <v>Pozorrubio</v>
      </c>
      <c r="AF261" s="142" t="str">
        <f>IFERROR(__xludf.DUMMYFUNCTION("""COMPUTED_VALUE"""),"Rosales")</f>
        <v>Rosales</v>
      </c>
      <c r="AG261" s="142" t="str">
        <f>IFERROR(__xludf.DUMMYFUNCTION("""COMPUTED_VALUE"""),"City of San Carlos")</f>
        <v>City of San Carlos</v>
      </c>
      <c r="AH261" s="142" t="str">
        <f>IFERROR(__xludf.DUMMYFUNCTION("""COMPUTED_VALUE"""),"San Fabian")</f>
        <v>San Fabian</v>
      </c>
      <c r="AI261" s="142" t="str">
        <f>IFERROR(__xludf.DUMMYFUNCTION("""COMPUTED_VALUE"""),"San Jacinto")</f>
        <v>San Jacinto</v>
      </c>
      <c r="AJ261" s="142" t="str">
        <f>IFERROR(__xludf.DUMMYFUNCTION("""COMPUTED_VALUE"""),"San Manuel")</f>
        <v>San Manuel</v>
      </c>
      <c r="AK261" s="142" t="str">
        <f>IFERROR(__xludf.DUMMYFUNCTION("""COMPUTED_VALUE"""),"San Nicolas")</f>
        <v>San Nicolas</v>
      </c>
      <c r="AL261" s="142" t="str">
        <f>IFERROR(__xludf.DUMMYFUNCTION("""COMPUTED_VALUE"""),"San Quintin")</f>
        <v>San Quintin</v>
      </c>
      <c r="AM261" s="142" t="str">
        <f>IFERROR(__xludf.DUMMYFUNCTION("""COMPUTED_VALUE"""),"Santa Barbara")</f>
        <v>Santa Barbara</v>
      </c>
      <c r="AN261" s="142" t="str">
        <f>IFERROR(__xludf.DUMMYFUNCTION("""COMPUTED_VALUE"""),"Santa Maria")</f>
        <v>Santa Maria</v>
      </c>
      <c r="AO261" s="142" t="str">
        <f>IFERROR(__xludf.DUMMYFUNCTION("""COMPUTED_VALUE"""),"Santo Tomas")</f>
        <v>Santo Tomas</v>
      </c>
      <c r="AP261" s="142" t="str">
        <f>IFERROR(__xludf.DUMMYFUNCTION("""COMPUTED_VALUE"""),"Sison")</f>
        <v>Sison</v>
      </c>
      <c r="AQ261" s="142" t="str">
        <f>IFERROR(__xludf.DUMMYFUNCTION("""COMPUTED_VALUE"""),"Sual")</f>
        <v>Sual</v>
      </c>
      <c r="AR261" s="142" t="str">
        <f>IFERROR(__xludf.DUMMYFUNCTION("""COMPUTED_VALUE"""),"Tayug")</f>
        <v>Tayug</v>
      </c>
      <c r="AS261" s="142" t="str">
        <f>IFERROR(__xludf.DUMMYFUNCTION("""COMPUTED_VALUE"""),"Umingan")</f>
        <v>Umingan</v>
      </c>
      <c r="AT261" s="142" t="str">
        <f>IFERROR(__xludf.DUMMYFUNCTION("""COMPUTED_VALUE"""),"Urbiztondo")</f>
        <v>Urbiztondo</v>
      </c>
      <c r="AU261" s="142" t="str">
        <f>IFERROR(__xludf.DUMMYFUNCTION("""COMPUTED_VALUE"""),"City of Urdaneta")</f>
        <v>City of Urdaneta</v>
      </c>
      <c r="AV261" s="142" t="str">
        <f>IFERROR(__xludf.DUMMYFUNCTION("""COMPUTED_VALUE"""),"Villasis")</f>
        <v>Villasis</v>
      </c>
      <c r="AW261" s="142" t="str">
        <f>IFERROR(__xludf.DUMMYFUNCTION("""COMPUTED_VALUE"""),"Laoac")</f>
        <v>Laoac</v>
      </c>
      <c r="AX261" s="8"/>
      <c r="AY261" s="8"/>
      <c r="AZ261" s="8"/>
      <c r="BA261" s="8"/>
      <c r="BB261" s="8"/>
      <c r="BC261" s="8"/>
      <c r="BD261" s="8"/>
      <c r="BE261" s="8"/>
    </row>
    <row r="262">
      <c r="A262" s="142" t="s">
        <v>144</v>
      </c>
      <c r="B262" s="142" t="str">
        <f>IFERROR(__xludf.DUMMYFUNCTION("""COMPUTED_VALUE"""),"Agno")</f>
        <v>Agno</v>
      </c>
      <c r="C262" s="142" t="str">
        <f>IFERROR(__xludf.DUMMYFUNCTION("""COMPUTED_VALUE"""),"Aguilar")</f>
        <v>Aguilar</v>
      </c>
      <c r="D262" s="142" t="str">
        <f>IFERROR(__xludf.DUMMYFUNCTION("""COMPUTED_VALUE"""),"City of Alaminos")</f>
        <v>City of Alaminos</v>
      </c>
      <c r="E262" s="142" t="str">
        <f>IFERROR(__xludf.DUMMYFUNCTION("""COMPUTED_VALUE"""),"Alcala")</f>
        <v>Alcala</v>
      </c>
      <c r="F262" s="142" t="str">
        <f>IFERROR(__xludf.DUMMYFUNCTION("""COMPUTED_VALUE"""),"Anda")</f>
        <v>Anda</v>
      </c>
      <c r="G262" s="142" t="str">
        <f>IFERROR(__xludf.DUMMYFUNCTION("""COMPUTED_VALUE"""),"Asingan")</f>
        <v>Asingan</v>
      </c>
      <c r="H262" s="142" t="str">
        <f>IFERROR(__xludf.DUMMYFUNCTION("""COMPUTED_VALUE"""),"Balungao")</f>
        <v>Balungao</v>
      </c>
      <c r="I262" s="142" t="str">
        <f>IFERROR(__xludf.DUMMYFUNCTION("""COMPUTED_VALUE"""),"Bani")</f>
        <v>Bani</v>
      </c>
      <c r="J262" s="142" t="str">
        <f>IFERROR(__xludf.DUMMYFUNCTION("""COMPUTED_VALUE"""),"Basista")</f>
        <v>Basista</v>
      </c>
      <c r="K262" s="142" t="str">
        <f>IFERROR(__xludf.DUMMYFUNCTION("""COMPUTED_VALUE"""),"Bautista")</f>
        <v>Bautista</v>
      </c>
      <c r="L262" s="142" t="str">
        <f>IFERROR(__xludf.DUMMYFUNCTION("""COMPUTED_VALUE"""),"Bayambang")</f>
        <v>Bayambang</v>
      </c>
      <c r="M262" s="142" t="str">
        <f>IFERROR(__xludf.DUMMYFUNCTION("""COMPUTED_VALUE"""),"Binalonan")</f>
        <v>Binalonan</v>
      </c>
      <c r="N262" s="142" t="str">
        <f>IFERROR(__xludf.DUMMYFUNCTION("""COMPUTED_VALUE"""),"Binmaley")</f>
        <v>Binmaley</v>
      </c>
      <c r="O262" s="142" t="str">
        <f>IFERROR(__xludf.DUMMYFUNCTION("""COMPUTED_VALUE"""),"Bolinao")</f>
        <v>Bolinao</v>
      </c>
      <c r="P262" s="142" t="str">
        <f>IFERROR(__xludf.DUMMYFUNCTION("""COMPUTED_VALUE"""),"Bugallon")</f>
        <v>Bugallon</v>
      </c>
      <c r="Q262" s="142" t="str">
        <f>IFERROR(__xludf.DUMMYFUNCTION("""COMPUTED_VALUE"""),"Burgos")</f>
        <v>Burgos</v>
      </c>
      <c r="R262" s="142" t="str">
        <f>IFERROR(__xludf.DUMMYFUNCTION("""COMPUTED_VALUE"""),"Calasiao")</f>
        <v>Calasiao</v>
      </c>
      <c r="S262" s="142" t="str">
        <f>IFERROR(__xludf.DUMMYFUNCTION("""COMPUTED_VALUE"""),"City of Dagupan")</f>
        <v>City of Dagupan</v>
      </c>
      <c r="T262" s="142" t="str">
        <f>IFERROR(__xludf.DUMMYFUNCTION("""COMPUTED_VALUE"""),"Dasol")</f>
        <v>Dasol</v>
      </c>
      <c r="U262" s="142" t="str">
        <f>IFERROR(__xludf.DUMMYFUNCTION("""COMPUTED_VALUE"""),"Infanta")</f>
        <v>Infanta</v>
      </c>
      <c r="V262" s="142" t="str">
        <f>IFERROR(__xludf.DUMMYFUNCTION("""COMPUTED_VALUE"""),"Labrador")</f>
        <v>Labrador</v>
      </c>
      <c r="W262" s="142" t="str">
        <f>IFERROR(__xludf.DUMMYFUNCTION("""COMPUTED_VALUE"""),"Lingayen")</f>
        <v>Lingayen</v>
      </c>
      <c r="X262" s="142" t="str">
        <f>IFERROR(__xludf.DUMMYFUNCTION("""COMPUTED_VALUE"""),"Mabini")</f>
        <v>Mabini</v>
      </c>
      <c r="Y262" s="142" t="str">
        <f>IFERROR(__xludf.DUMMYFUNCTION("""COMPUTED_VALUE"""),"Malasiqui")</f>
        <v>Malasiqui</v>
      </c>
      <c r="Z262" s="142" t="str">
        <f>IFERROR(__xludf.DUMMYFUNCTION("""COMPUTED_VALUE"""),"Manaoag")</f>
        <v>Manaoag</v>
      </c>
      <c r="AA262" s="142" t="str">
        <f>IFERROR(__xludf.DUMMYFUNCTION("""COMPUTED_VALUE"""),"Mangaldan")</f>
        <v>Mangaldan</v>
      </c>
      <c r="AB262" s="142" t="str">
        <f>IFERROR(__xludf.DUMMYFUNCTION("""COMPUTED_VALUE"""),"Mangatarem")</f>
        <v>Mangatarem</v>
      </c>
      <c r="AC262" s="142" t="str">
        <f>IFERROR(__xludf.DUMMYFUNCTION("""COMPUTED_VALUE"""),"Mapandan")</f>
        <v>Mapandan</v>
      </c>
      <c r="AD262" s="142" t="str">
        <f>IFERROR(__xludf.DUMMYFUNCTION("""COMPUTED_VALUE"""),"Natividad")</f>
        <v>Natividad</v>
      </c>
      <c r="AE262" s="142" t="str">
        <f>IFERROR(__xludf.DUMMYFUNCTION("""COMPUTED_VALUE"""),"Pozorrubio")</f>
        <v>Pozorrubio</v>
      </c>
      <c r="AF262" s="142" t="str">
        <f>IFERROR(__xludf.DUMMYFUNCTION("""COMPUTED_VALUE"""),"Rosales")</f>
        <v>Rosales</v>
      </c>
      <c r="AG262" s="142" t="str">
        <f>IFERROR(__xludf.DUMMYFUNCTION("""COMPUTED_VALUE"""),"City of San Carlos")</f>
        <v>City of San Carlos</v>
      </c>
      <c r="AH262" s="142" t="str">
        <f>IFERROR(__xludf.DUMMYFUNCTION("""COMPUTED_VALUE"""),"San Fabian")</f>
        <v>San Fabian</v>
      </c>
      <c r="AI262" s="142" t="str">
        <f>IFERROR(__xludf.DUMMYFUNCTION("""COMPUTED_VALUE"""),"San Jacinto")</f>
        <v>San Jacinto</v>
      </c>
      <c r="AJ262" s="142" t="str">
        <f>IFERROR(__xludf.DUMMYFUNCTION("""COMPUTED_VALUE"""),"San Manuel")</f>
        <v>San Manuel</v>
      </c>
      <c r="AK262" s="142" t="str">
        <f>IFERROR(__xludf.DUMMYFUNCTION("""COMPUTED_VALUE"""),"San Nicolas")</f>
        <v>San Nicolas</v>
      </c>
      <c r="AL262" s="142" t="str">
        <f>IFERROR(__xludf.DUMMYFUNCTION("""COMPUTED_VALUE"""),"San Quintin")</f>
        <v>San Quintin</v>
      </c>
      <c r="AM262" s="142" t="str">
        <f>IFERROR(__xludf.DUMMYFUNCTION("""COMPUTED_VALUE"""),"Santa Barbara")</f>
        <v>Santa Barbara</v>
      </c>
      <c r="AN262" s="142" t="str">
        <f>IFERROR(__xludf.DUMMYFUNCTION("""COMPUTED_VALUE"""),"Santa Maria")</f>
        <v>Santa Maria</v>
      </c>
      <c r="AO262" s="142" t="str">
        <f>IFERROR(__xludf.DUMMYFUNCTION("""COMPUTED_VALUE"""),"Santo Tomas")</f>
        <v>Santo Tomas</v>
      </c>
      <c r="AP262" s="142" t="str">
        <f>IFERROR(__xludf.DUMMYFUNCTION("""COMPUTED_VALUE"""),"Sison")</f>
        <v>Sison</v>
      </c>
      <c r="AQ262" s="142" t="str">
        <f>IFERROR(__xludf.DUMMYFUNCTION("""COMPUTED_VALUE"""),"Sual")</f>
        <v>Sual</v>
      </c>
      <c r="AR262" s="142" t="str">
        <f>IFERROR(__xludf.DUMMYFUNCTION("""COMPUTED_VALUE"""),"Tayug")</f>
        <v>Tayug</v>
      </c>
      <c r="AS262" s="142" t="str">
        <f>IFERROR(__xludf.DUMMYFUNCTION("""COMPUTED_VALUE"""),"Umingan")</f>
        <v>Umingan</v>
      </c>
      <c r="AT262" s="142" t="str">
        <f>IFERROR(__xludf.DUMMYFUNCTION("""COMPUTED_VALUE"""),"Urbiztondo")</f>
        <v>Urbiztondo</v>
      </c>
      <c r="AU262" s="142" t="str">
        <f>IFERROR(__xludf.DUMMYFUNCTION("""COMPUTED_VALUE"""),"City of Urdaneta")</f>
        <v>City of Urdaneta</v>
      </c>
      <c r="AV262" s="142" t="str">
        <f>IFERROR(__xludf.DUMMYFUNCTION("""COMPUTED_VALUE"""),"Villasis")</f>
        <v>Villasis</v>
      </c>
      <c r="AW262" s="142" t="str">
        <f>IFERROR(__xludf.DUMMYFUNCTION("""COMPUTED_VALUE"""),"Laoac")</f>
        <v>Laoac</v>
      </c>
      <c r="AX262" s="8"/>
      <c r="AY262" s="8"/>
      <c r="AZ262" s="8"/>
      <c r="BA262" s="8"/>
      <c r="BB262" s="8"/>
      <c r="BC262" s="8"/>
      <c r="BD262" s="8"/>
      <c r="BE262" s="8"/>
    </row>
    <row r="263">
      <c r="A263" s="142" t="s">
        <v>194</v>
      </c>
      <c r="B263" s="142" t="str">
        <f>IFERROR(__xludf.DUMMYFUNCTION("""COMPUTED_VALUE"""),"Alcantara")</f>
        <v>Alcantara</v>
      </c>
      <c r="C263" s="142" t="str">
        <f>IFERROR(__xludf.DUMMYFUNCTION("""COMPUTED_VALUE"""),"Alcoy")</f>
        <v>Alcoy</v>
      </c>
      <c r="D263" s="142" t="str">
        <f>IFERROR(__xludf.DUMMYFUNCTION("""COMPUTED_VALUE"""),"Alegria")</f>
        <v>Alegria</v>
      </c>
      <c r="E263" s="142" t="str">
        <f>IFERROR(__xludf.DUMMYFUNCTION("""COMPUTED_VALUE"""),"Aloguinsan")</f>
        <v>Aloguinsan</v>
      </c>
      <c r="F263" s="142" t="str">
        <f>IFERROR(__xludf.DUMMYFUNCTION("""COMPUTED_VALUE"""),"Argao")</f>
        <v>Argao</v>
      </c>
      <c r="G263" s="142" t="str">
        <f>IFERROR(__xludf.DUMMYFUNCTION("""COMPUTED_VALUE"""),"Asturias")</f>
        <v>Asturias</v>
      </c>
      <c r="H263" s="142" t="str">
        <f>IFERROR(__xludf.DUMMYFUNCTION("""COMPUTED_VALUE"""),"Badian")</f>
        <v>Badian</v>
      </c>
      <c r="I263" s="142" t="str">
        <f>IFERROR(__xludf.DUMMYFUNCTION("""COMPUTED_VALUE"""),"Balamban")</f>
        <v>Balamban</v>
      </c>
      <c r="J263" s="142" t="str">
        <f>IFERROR(__xludf.DUMMYFUNCTION("""COMPUTED_VALUE"""),"Bantayan")</f>
        <v>Bantayan</v>
      </c>
      <c r="K263" s="142" t="str">
        <f>IFERROR(__xludf.DUMMYFUNCTION("""COMPUTED_VALUE"""),"Barili")</f>
        <v>Barili</v>
      </c>
      <c r="L263" s="142" t="str">
        <f>IFERROR(__xludf.DUMMYFUNCTION("""COMPUTED_VALUE"""),"City of Bogo")</f>
        <v>City of Bogo</v>
      </c>
      <c r="M263" s="142" t="str">
        <f>IFERROR(__xludf.DUMMYFUNCTION("""COMPUTED_VALUE"""),"Boljoon")</f>
        <v>Boljoon</v>
      </c>
      <c r="N263" s="142" t="str">
        <f>IFERROR(__xludf.DUMMYFUNCTION("""COMPUTED_VALUE"""),"Borbon")</f>
        <v>Borbon</v>
      </c>
      <c r="O263" s="142" t="str">
        <f>IFERROR(__xludf.DUMMYFUNCTION("""COMPUTED_VALUE"""),"City of Carcar")</f>
        <v>City of Carcar</v>
      </c>
      <c r="P263" s="142" t="str">
        <f>IFERROR(__xludf.DUMMYFUNCTION("""COMPUTED_VALUE"""),"Carmen")</f>
        <v>Carmen</v>
      </c>
      <c r="Q263" s="142" t="str">
        <f>IFERROR(__xludf.DUMMYFUNCTION("""COMPUTED_VALUE"""),"Catmon")</f>
        <v>Catmon</v>
      </c>
      <c r="R263" s="142" t="str">
        <f>IFERROR(__xludf.DUMMYFUNCTION("""COMPUTED_VALUE"""),"Compostela")</f>
        <v>Compostela</v>
      </c>
      <c r="S263" s="142" t="str">
        <f>IFERROR(__xludf.DUMMYFUNCTION("""COMPUTED_VALUE"""),"Consolacion")</f>
        <v>Consolacion</v>
      </c>
      <c r="T263" s="142" t="str">
        <f>IFERROR(__xludf.DUMMYFUNCTION("""COMPUTED_VALUE"""),"Cordova")</f>
        <v>Cordova</v>
      </c>
      <c r="U263" s="142" t="str">
        <f>IFERROR(__xludf.DUMMYFUNCTION("""COMPUTED_VALUE"""),"Daanbantayan")</f>
        <v>Daanbantayan</v>
      </c>
      <c r="V263" s="142" t="str">
        <f>IFERROR(__xludf.DUMMYFUNCTION("""COMPUTED_VALUE"""),"Dalaguete")</f>
        <v>Dalaguete</v>
      </c>
      <c r="W263" s="142" t="str">
        <f>IFERROR(__xludf.DUMMYFUNCTION("""COMPUTED_VALUE"""),"Danao City")</f>
        <v>Danao City</v>
      </c>
      <c r="X263" s="142" t="str">
        <f>IFERROR(__xludf.DUMMYFUNCTION("""COMPUTED_VALUE"""),"Dumanjug")</f>
        <v>Dumanjug</v>
      </c>
      <c r="Y263" s="142" t="str">
        <f>IFERROR(__xludf.DUMMYFUNCTION("""COMPUTED_VALUE"""),"Ginatilan")</f>
        <v>Ginatilan</v>
      </c>
      <c r="Z263" s="142" t="str">
        <f>IFERROR(__xludf.DUMMYFUNCTION("""COMPUTED_VALUE"""),"Liloan")</f>
        <v>Liloan</v>
      </c>
      <c r="AA263" s="142" t="str">
        <f>IFERROR(__xludf.DUMMYFUNCTION("""COMPUTED_VALUE"""),"Madridejos")</f>
        <v>Madridejos</v>
      </c>
      <c r="AB263" s="142" t="str">
        <f>IFERROR(__xludf.DUMMYFUNCTION("""COMPUTED_VALUE"""),"Malabuyoc")</f>
        <v>Malabuyoc</v>
      </c>
      <c r="AC263" s="142" t="str">
        <f>IFERROR(__xludf.DUMMYFUNCTION("""COMPUTED_VALUE"""),"Medellin")</f>
        <v>Medellin</v>
      </c>
      <c r="AD263" s="142" t="str">
        <f>IFERROR(__xludf.DUMMYFUNCTION("""COMPUTED_VALUE"""),"Minglanilla")</f>
        <v>Minglanilla</v>
      </c>
      <c r="AE263" s="142" t="str">
        <f>IFERROR(__xludf.DUMMYFUNCTION("""COMPUTED_VALUE"""),"Moalboal")</f>
        <v>Moalboal</v>
      </c>
      <c r="AF263" s="142" t="str">
        <f>IFERROR(__xludf.DUMMYFUNCTION("""COMPUTED_VALUE"""),"City of Naga")</f>
        <v>City of Naga</v>
      </c>
      <c r="AG263" s="142" t="str">
        <f>IFERROR(__xludf.DUMMYFUNCTION("""COMPUTED_VALUE"""),"Oslob")</f>
        <v>Oslob</v>
      </c>
      <c r="AH263" s="142" t="str">
        <f>IFERROR(__xludf.DUMMYFUNCTION("""COMPUTED_VALUE"""),"Pilar")</f>
        <v>Pilar</v>
      </c>
      <c r="AI263" s="142" t="str">
        <f>IFERROR(__xludf.DUMMYFUNCTION("""COMPUTED_VALUE"""),"Pinamungajan")</f>
        <v>Pinamungajan</v>
      </c>
      <c r="AJ263" s="142" t="str">
        <f>IFERROR(__xludf.DUMMYFUNCTION("""COMPUTED_VALUE"""),"Poro")</f>
        <v>Poro</v>
      </c>
      <c r="AK263" s="142" t="str">
        <f>IFERROR(__xludf.DUMMYFUNCTION("""COMPUTED_VALUE"""),"Ronda")</f>
        <v>Ronda</v>
      </c>
      <c r="AL263" s="142" t="str">
        <f>IFERROR(__xludf.DUMMYFUNCTION("""COMPUTED_VALUE"""),"Samboan")</f>
        <v>Samboan</v>
      </c>
      <c r="AM263" s="142" t="str">
        <f>IFERROR(__xludf.DUMMYFUNCTION("""COMPUTED_VALUE"""),"San Fernando")</f>
        <v>San Fernando</v>
      </c>
      <c r="AN263" s="142" t="str">
        <f>IFERROR(__xludf.DUMMYFUNCTION("""COMPUTED_VALUE"""),"San Francisco")</f>
        <v>San Francisco</v>
      </c>
      <c r="AO263" s="142" t="str">
        <f>IFERROR(__xludf.DUMMYFUNCTION("""COMPUTED_VALUE"""),"San Remigio")</f>
        <v>San Remigio</v>
      </c>
      <c r="AP263" s="142" t="str">
        <f>IFERROR(__xludf.DUMMYFUNCTION("""COMPUTED_VALUE"""),"Santa Fe")</f>
        <v>Santa Fe</v>
      </c>
      <c r="AQ263" s="142" t="str">
        <f>IFERROR(__xludf.DUMMYFUNCTION("""COMPUTED_VALUE"""),"Santander")</f>
        <v>Santander</v>
      </c>
      <c r="AR263" s="142" t="str">
        <f>IFERROR(__xludf.DUMMYFUNCTION("""COMPUTED_VALUE"""),"Sibonga")</f>
        <v>Sibonga</v>
      </c>
      <c r="AS263" s="142" t="str">
        <f>IFERROR(__xludf.DUMMYFUNCTION("""COMPUTED_VALUE"""),"Sogod")</f>
        <v>Sogod</v>
      </c>
      <c r="AT263" s="142" t="str">
        <f>IFERROR(__xludf.DUMMYFUNCTION("""COMPUTED_VALUE"""),"Tabogon")</f>
        <v>Tabogon</v>
      </c>
      <c r="AU263" s="142" t="str">
        <f>IFERROR(__xludf.DUMMYFUNCTION("""COMPUTED_VALUE"""),"Tabuelan")</f>
        <v>Tabuelan</v>
      </c>
      <c r="AV263" s="142" t="str">
        <f>IFERROR(__xludf.DUMMYFUNCTION("""COMPUTED_VALUE"""),"City of Talisay")</f>
        <v>City of Talisay</v>
      </c>
      <c r="AW263" s="142" t="str">
        <f>IFERROR(__xludf.DUMMYFUNCTION("""COMPUTED_VALUE"""),"City of Toledo")</f>
        <v>City of Toledo</v>
      </c>
      <c r="AX263" s="142" t="str">
        <f>IFERROR(__xludf.DUMMYFUNCTION("""COMPUTED_VALUE"""),"Tuburan")</f>
        <v>Tuburan</v>
      </c>
      <c r="AY263" s="142" t="str">
        <f>IFERROR(__xludf.DUMMYFUNCTION("""COMPUTED_VALUE"""),"Tudela")</f>
        <v>Tudela</v>
      </c>
      <c r="AZ263" s="142" t="str">
        <f>IFERROR(__xludf.DUMMYFUNCTION("""COMPUTED_VALUE"""),"City of Cebu")</f>
        <v>City of Cebu</v>
      </c>
      <c r="BA263" s="142" t="str">
        <f>IFERROR(__xludf.DUMMYFUNCTION("""COMPUTED_VALUE"""),"City of Lapu-Lapu")</f>
        <v>City of Lapu-Lapu</v>
      </c>
      <c r="BB263" s="142" t="str">
        <f>IFERROR(__xludf.DUMMYFUNCTION("""COMPUTED_VALUE"""),"City of Mandaue")</f>
        <v>City of Mandaue</v>
      </c>
      <c r="BC263" s="8"/>
      <c r="BD263" s="8"/>
      <c r="BE263" s="8"/>
    </row>
    <row r="264">
      <c r="A264" s="142" t="s">
        <v>194</v>
      </c>
      <c r="B264" s="142" t="str">
        <f>IFERROR(__xludf.DUMMYFUNCTION("""COMPUTED_VALUE"""),"Alcantara")</f>
        <v>Alcantara</v>
      </c>
      <c r="C264" s="142" t="str">
        <f>IFERROR(__xludf.DUMMYFUNCTION("""COMPUTED_VALUE"""),"Alcoy")</f>
        <v>Alcoy</v>
      </c>
      <c r="D264" s="142" t="str">
        <f>IFERROR(__xludf.DUMMYFUNCTION("""COMPUTED_VALUE"""),"Alegria")</f>
        <v>Alegria</v>
      </c>
      <c r="E264" s="142" t="str">
        <f>IFERROR(__xludf.DUMMYFUNCTION("""COMPUTED_VALUE"""),"Aloguinsan")</f>
        <v>Aloguinsan</v>
      </c>
      <c r="F264" s="142" t="str">
        <f>IFERROR(__xludf.DUMMYFUNCTION("""COMPUTED_VALUE"""),"Argao")</f>
        <v>Argao</v>
      </c>
      <c r="G264" s="142" t="str">
        <f>IFERROR(__xludf.DUMMYFUNCTION("""COMPUTED_VALUE"""),"Asturias")</f>
        <v>Asturias</v>
      </c>
      <c r="H264" s="142" t="str">
        <f>IFERROR(__xludf.DUMMYFUNCTION("""COMPUTED_VALUE"""),"Badian")</f>
        <v>Badian</v>
      </c>
      <c r="I264" s="142" t="str">
        <f>IFERROR(__xludf.DUMMYFUNCTION("""COMPUTED_VALUE"""),"Balamban")</f>
        <v>Balamban</v>
      </c>
      <c r="J264" s="142" t="str">
        <f>IFERROR(__xludf.DUMMYFUNCTION("""COMPUTED_VALUE"""),"Bantayan")</f>
        <v>Bantayan</v>
      </c>
      <c r="K264" s="142" t="str">
        <f>IFERROR(__xludf.DUMMYFUNCTION("""COMPUTED_VALUE"""),"Barili")</f>
        <v>Barili</v>
      </c>
      <c r="L264" s="142" t="str">
        <f>IFERROR(__xludf.DUMMYFUNCTION("""COMPUTED_VALUE"""),"City of Bogo")</f>
        <v>City of Bogo</v>
      </c>
      <c r="M264" s="142" t="str">
        <f>IFERROR(__xludf.DUMMYFUNCTION("""COMPUTED_VALUE"""),"Boljoon")</f>
        <v>Boljoon</v>
      </c>
      <c r="N264" s="142" t="str">
        <f>IFERROR(__xludf.DUMMYFUNCTION("""COMPUTED_VALUE"""),"Borbon")</f>
        <v>Borbon</v>
      </c>
      <c r="O264" s="142" t="str">
        <f>IFERROR(__xludf.DUMMYFUNCTION("""COMPUTED_VALUE"""),"City of Carcar")</f>
        <v>City of Carcar</v>
      </c>
      <c r="P264" s="142" t="str">
        <f>IFERROR(__xludf.DUMMYFUNCTION("""COMPUTED_VALUE"""),"Carmen")</f>
        <v>Carmen</v>
      </c>
      <c r="Q264" s="142" t="str">
        <f>IFERROR(__xludf.DUMMYFUNCTION("""COMPUTED_VALUE"""),"Catmon")</f>
        <v>Catmon</v>
      </c>
      <c r="R264" s="142" t="str">
        <f>IFERROR(__xludf.DUMMYFUNCTION("""COMPUTED_VALUE"""),"Compostela")</f>
        <v>Compostela</v>
      </c>
      <c r="S264" s="142" t="str">
        <f>IFERROR(__xludf.DUMMYFUNCTION("""COMPUTED_VALUE"""),"Consolacion")</f>
        <v>Consolacion</v>
      </c>
      <c r="T264" s="142" t="str">
        <f>IFERROR(__xludf.DUMMYFUNCTION("""COMPUTED_VALUE"""),"Cordova")</f>
        <v>Cordova</v>
      </c>
      <c r="U264" s="142" t="str">
        <f>IFERROR(__xludf.DUMMYFUNCTION("""COMPUTED_VALUE"""),"Daanbantayan")</f>
        <v>Daanbantayan</v>
      </c>
      <c r="V264" s="142" t="str">
        <f>IFERROR(__xludf.DUMMYFUNCTION("""COMPUTED_VALUE"""),"Dalaguete")</f>
        <v>Dalaguete</v>
      </c>
      <c r="W264" s="142" t="str">
        <f>IFERROR(__xludf.DUMMYFUNCTION("""COMPUTED_VALUE"""),"Danao City")</f>
        <v>Danao City</v>
      </c>
      <c r="X264" s="142" t="str">
        <f>IFERROR(__xludf.DUMMYFUNCTION("""COMPUTED_VALUE"""),"Dumanjug")</f>
        <v>Dumanjug</v>
      </c>
      <c r="Y264" s="142" t="str">
        <f>IFERROR(__xludf.DUMMYFUNCTION("""COMPUTED_VALUE"""),"Ginatilan")</f>
        <v>Ginatilan</v>
      </c>
      <c r="Z264" s="142" t="str">
        <f>IFERROR(__xludf.DUMMYFUNCTION("""COMPUTED_VALUE"""),"Liloan")</f>
        <v>Liloan</v>
      </c>
      <c r="AA264" s="142" t="str">
        <f>IFERROR(__xludf.DUMMYFUNCTION("""COMPUTED_VALUE"""),"Madridejos")</f>
        <v>Madridejos</v>
      </c>
      <c r="AB264" s="142" t="str">
        <f>IFERROR(__xludf.DUMMYFUNCTION("""COMPUTED_VALUE"""),"Malabuyoc")</f>
        <v>Malabuyoc</v>
      </c>
      <c r="AC264" s="142" t="str">
        <f>IFERROR(__xludf.DUMMYFUNCTION("""COMPUTED_VALUE"""),"Medellin")</f>
        <v>Medellin</v>
      </c>
      <c r="AD264" s="142" t="str">
        <f>IFERROR(__xludf.DUMMYFUNCTION("""COMPUTED_VALUE"""),"Minglanilla")</f>
        <v>Minglanilla</v>
      </c>
      <c r="AE264" s="142" t="str">
        <f>IFERROR(__xludf.DUMMYFUNCTION("""COMPUTED_VALUE"""),"Moalboal")</f>
        <v>Moalboal</v>
      </c>
      <c r="AF264" s="142" t="str">
        <f>IFERROR(__xludf.DUMMYFUNCTION("""COMPUTED_VALUE"""),"City of Naga")</f>
        <v>City of Naga</v>
      </c>
      <c r="AG264" s="142" t="str">
        <f>IFERROR(__xludf.DUMMYFUNCTION("""COMPUTED_VALUE"""),"Oslob")</f>
        <v>Oslob</v>
      </c>
      <c r="AH264" s="142" t="str">
        <f>IFERROR(__xludf.DUMMYFUNCTION("""COMPUTED_VALUE"""),"Pilar")</f>
        <v>Pilar</v>
      </c>
      <c r="AI264" s="142" t="str">
        <f>IFERROR(__xludf.DUMMYFUNCTION("""COMPUTED_VALUE"""),"Pinamungajan")</f>
        <v>Pinamungajan</v>
      </c>
      <c r="AJ264" s="142" t="str">
        <f>IFERROR(__xludf.DUMMYFUNCTION("""COMPUTED_VALUE"""),"Poro")</f>
        <v>Poro</v>
      </c>
      <c r="AK264" s="142" t="str">
        <f>IFERROR(__xludf.DUMMYFUNCTION("""COMPUTED_VALUE"""),"Ronda")</f>
        <v>Ronda</v>
      </c>
      <c r="AL264" s="142" t="str">
        <f>IFERROR(__xludf.DUMMYFUNCTION("""COMPUTED_VALUE"""),"Samboan")</f>
        <v>Samboan</v>
      </c>
      <c r="AM264" s="142" t="str">
        <f>IFERROR(__xludf.DUMMYFUNCTION("""COMPUTED_VALUE"""),"San Fernando")</f>
        <v>San Fernando</v>
      </c>
      <c r="AN264" s="142" t="str">
        <f>IFERROR(__xludf.DUMMYFUNCTION("""COMPUTED_VALUE"""),"San Francisco")</f>
        <v>San Francisco</v>
      </c>
      <c r="AO264" s="142" t="str">
        <f>IFERROR(__xludf.DUMMYFUNCTION("""COMPUTED_VALUE"""),"San Remigio")</f>
        <v>San Remigio</v>
      </c>
      <c r="AP264" s="142" t="str">
        <f>IFERROR(__xludf.DUMMYFUNCTION("""COMPUTED_VALUE"""),"Santa Fe")</f>
        <v>Santa Fe</v>
      </c>
      <c r="AQ264" s="142" t="str">
        <f>IFERROR(__xludf.DUMMYFUNCTION("""COMPUTED_VALUE"""),"Santander")</f>
        <v>Santander</v>
      </c>
      <c r="AR264" s="142" t="str">
        <f>IFERROR(__xludf.DUMMYFUNCTION("""COMPUTED_VALUE"""),"Sibonga")</f>
        <v>Sibonga</v>
      </c>
      <c r="AS264" s="142" t="str">
        <f>IFERROR(__xludf.DUMMYFUNCTION("""COMPUTED_VALUE"""),"Sogod")</f>
        <v>Sogod</v>
      </c>
      <c r="AT264" s="142" t="str">
        <f>IFERROR(__xludf.DUMMYFUNCTION("""COMPUTED_VALUE"""),"Tabogon")</f>
        <v>Tabogon</v>
      </c>
      <c r="AU264" s="142" t="str">
        <f>IFERROR(__xludf.DUMMYFUNCTION("""COMPUTED_VALUE"""),"Tabuelan")</f>
        <v>Tabuelan</v>
      </c>
      <c r="AV264" s="142" t="str">
        <f>IFERROR(__xludf.DUMMYFUNCTION("""COMPUTED_VALUE"""),"City of Talisay")</f>
        <v>City of Talisay</v>
      </c>
      <c r="AW264" s="142" t="str">
        <f>IFERROR(__xludf.DUMMYFUNCTION("""COMPUTED_VALUE"""),"City of Toledo")</f>
        <v>City of Toledo</v>
      </c>
      <c r="AX264" s="142" t="str">
        <f>IFERROR(__xludf.DUMMYFUNCTION("""COMPUTED_VALUE"""),"Tuburan")</f>
        <v>Tuburan</v>
      </c>
      <c r="AY264" s="142" t="str">
        <f>IFERROR(__xludf.DUMMYFUNCTION("""COMPUTED_VALUE"""),"Tudela")</f>
        <v>Tudela</v>
      </c>
      <c r="AZ264" s="142" t="str">
        <f>IFERROR(__xludf.DUMMYFUNCTION("""COMPUTED_VALUE"""),"City of Cebu")</f>
        <v>City of Cebu</v>
      </c>
      <c r="BA264" s="142" t="str">
        <f>IFERROR(__xludf.DUMMYFUNCTION("""COMPUTED_VALUE"""),"City of Lapu-Lapu")</f>
        <v>City of Lapu-Lapu</v>
      </c>
      <c r="BB264" s="142" t="str">
        <f>IFERROR(__xludf.DUMMYFUNCTION("""COMPUTED_VALUE"""),"City of Mandaue")</f>
        <v>City of Mandaue</v>
      </c>
      <c r="BC264" s="8"/>
      <c r="BD264" s="8"/>
      <c r="BE264" s="8"/>
    </row>
    <row r="265">
      <c r="A265" s="142" t="s">
        <v>1217</v>
      </c>
      <c r="B265" s="142" t="str">
        <f>IFERROR(__xludf.DUMMYFUNCTION("""COMPUTED_VALUE"""),"Panglima Sugala")</f>
        <v>Panglima Sugala</v>
      </c>
      <c r="C265" s="142" t="str">
        <f>IFERROR(__xludf.DUMMYFUNCTION("""COMPUTED_VALUE"""),"Bongao")</f>
        <v>Bongao</v>
      </c>
      <c r="D265" s="142" t="str">
        <f>IFERROR(__xludf.DUMMYFUNCTION("""COMPUTED_VALUE"""),"Mapun")</f>
        <v>Mapun</v>
      </c>
      <c r="E265" s="142" t="str">
        <f>IFERROR(__xludf.DUMMYFUNCTION("""COMPUTED_VALUE"""),"Simunul")</f>
        <v>Simunul</v>
      </c>
      <c r="F265" s="142" t="str">
        <f>IFERROR(__xludf.DUMMYFUNCTION("""COMPUTED_VALUE"""),"Sitangkai")</f>
        <v>Sitangkai</v>
      </c>
      <c r="G265" s="142" t="str">
        <f>IFERROR(__xludf.DUMMYFUNCTION("""COMPUTED_VALUE"""),"South Ubian")</f>
        <v>South Ubian</v>
      </c>
      <c r="H265" s="142" t="str">
        <f>IFERROR(__xludf.DUMMYFUNCTION("""COMPUTED_VALUE"""),"Tandubas")</f>
        <v>Tandubas</v>
      </c>
      <c r="I265" s="142" t="str">
        <f>IFERROR(__xludf.DUMMYFUNCTION("""COMPUTED_VALUE"""),"Turtle Islands")</f>
        <v>Turtle Islands</v>
      </c>
      <c r="J265" s="142" t="str">
        <f>IFERROR(__xludf.DUMMYFUNCTION("""COMPUTED_VALUE"""),"Languyan")</f>
        <v>Languyan</v>
      </c>
      <c r="K265" s="142" t="str">
        <f>IFERROR(__xludf.DUMMYFUNCTION("""COMPUTED_VALUE"""),"Sapa-Sapa")</f>
        <v>Sapa-Sapa</v>
      </c>
      <c r="L265" s="142" t="str">
        <f>IFERROR(__xludf.DUMMYFUNCTION("""COMPUTED_VALUE"""),"Sibutu")</f>
        <v>Sibutu</v>
      </c>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row>
    <row r="266">
      <c r="A266" s="142" t="s">
        <v>893</v>
      </c>
      <c r="B266" s="142" t="str">
        <f>IFERROR(__xludf.DUMMYFUNCTION("""COMPUTED_VALUE"""),"Bacacay")</f>
        <v>Bacacay</v>
      </c>
      <c r="C266" s="142" t="str">
        <f>IFERROR(__xludf.DUMMYFUNCTION("""COMPUTED_VALUE"""),"Camalig")</f>
        <v>Camalig</v>
      </c>
      <c r="D266" s="142" t="str">
        <f>IFERROR(__xludf.DUMMYFUNCTION("""COMPUTED_VALUE"""),"Daraga")</f>
        <v>Daraga</v>
      </c>
      <c r="E266" s="142" t="str">
        <f>IFERROR(__xludf.DUMMYFUNCTION("""COMPUTED_VALUE"""),"Guinobatan")</f>
        <v>Guinobatan</v>
      </c>
      <c r="F266" s="142" t="str">
        <f>IFERROR(__xludf.DUMMYFUNCTION("""COMPUTED_VALUE"""),"Jovellar")</f>
        <v>Jovellar</v>
      </c>
      <c r="G266" s="142" t="str">
        <f>IFERROR(__xludf.DUMMYFUNCTION("""COMPUTED_VALUE"""),"City of Legazpi")</f>
        <v>City of Legazpi</v>
      </c>
      <c r="H266" s="142" t="str">
        <f>IFERROR(__xludf.DUMMYFUNCTION("""COMPUTED_VALUE"""),"Libon")</f>
        <v>Libon</v>
      </c>
      <c r="I266" s="142" t="str">
        <f>IFERROR(__xludf.DUMMYFUNCTION("""COMPUTED_VALUE"""),"City of Ligao")</f>
        <v>City of Ligao</v>
      </c>
      <c r="J266" s="142" t="str">
        <f>IFERROR(__xludf.DUMMYFUNCTION("""COMPUTED_VALUE"""),"Malilipot")</f>
        <v>Malilipot</v>
      </c>
      <c r="K266" s="142" t="str">
        <f>IFERROR(__xludf.DUMMYFUNCTION("""COMPUTED_VALUE"""),"Malinao")</f>
        <v>Malinao</v>
      </c>
      <c r="L266" s="142" t="str">
        <f>IFERROR(__xludf.DUMMYFUNCTION("""COMPUTED_VALUE"""),"Manito")</f>
        <v>Manito</v>
      </c>
      <c r="M266" s="142" t="str">
        <f>IFERROR(__xludf.DUMMYFUNCTION("""COMPUTED_VALUE"""),"Oas")</f>
        <v>Oas</v>
      </c>
      <c r="N266" s="142" t="str">
        <f>IFERROR(__xludf.DUMMYFUNCTION("""COMPUTED_VALUE"""),"Pio Duran")</f>
        <v>Pio Duran</v>
      </c>
      <c r="O266" s="142" t="str">
        <f>IFERROR(__xludf.DUMMYFUNCTION("""COMPUTED_VALUE"""),"Polangui")</f>
        <v>Polangui</v>
      </c>
      <c r="P266" s="142" t="str">
        <f>IFERROR(__xludf.DUMMYFUNCTION("""COMPUTED_VALUE"""),"Rapu-Rapu")</f>
        <v>Rapu-Rapu</v>
      </c>
      <c r="Q266" s="142" t="str">
        <f>IFERROR(__xludf.DUMMYFUNCTION("""COMPUTED_VALUE"""),"Santo Domingo")</f>
        <v>Santo Domingo</v>
      </c>
      <c r="R266" s="142" t="str">
        <f>IFERROR(__xludf.DUMMYFUNCTION("""COMPUTED_VALUE"""),"City of Tabaco")</f>
        <v>City of Tabaco</v>
      </c>
      <c r="S266" s="142" t="str">
        <f>IFERROR(__xludf.DUMMYFUNCTION("""COMPUTED_VALUE"""),"Tiwi")</f>
        <v>Tiwi</v>
      </c>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row>
    <row r="267">
      <c r="A267" s="142" t="s">
        <v>258</v>
      </c>
      <c r="B267" s="142" t="str">
        <f>IFERROR(__xludf.DUMMYFUNCTION("""COMPUTED_VALUE"""),"Agoncillo")</f>
        <v>Agoncillo</v>
      </c>
      <c r="C267" s="142" t="str">
        <f>IFERROR(__xludf.DUMMYFUNCTION("""COMPUTED_VALUE"""),"Alitagtag")</f>
        <v>Alitagtag</v>
      </c>
      <c r="D267" s="142" t="str">
        <f>IFERROR(__xludf.DUMMYFUNCTION("""COMPUTED_VALUE"""),"Balayan")</f>
        <v>Balayan</v>
      </c>
      <c r="E267" s="142" t="str">
        <f>IFERROR(__xludf.DUMMYFUNCTION("""COMPUTED_VALUE"""),"Balete")</f>
        <v>Balete</v>
      </c>
      <c r="F267" s="142" t="str">
        <f>IFERROR(__xludf.DUMMYFUNCTION("""COMPUTED_VALUE"""),"Batangas City")</f>
        <v>Batangas City</v>
      </c>
      <c r="G267" s="142" t="str">
        <f>IFERROR(__xludf.DUMMYFUNCTION("""COMPUTED_VALUE"""),"Bauan")</f>
        <v>Bauan</v>
      </c>
      <c r="H267" s="142" t="str">
        <f>IFERROR(__xludf.DUMMYFUNCTION("""COMPUTED_VALUE"""),"City of Calaca")</f>
        <v>City of Calaca</v>
      </c>
      <c r="I267" s="142" t="str">
        <f>IFERROR(__xludf.DUMMYFUNCTION("""COMPUTED_VALUE"""),"Calatagan")</f>
        <v>Calatagan</v>
      </c>
      <c r="J267" s="142" t="str">
        <f>IFERROR(__xludf.DUMMYFUNCTION("""COMPUTED_VALUE"""),"Cuenca")</f>
        <v>Cuenca</v>
      </c>
      <c r="K267" s="142" t="str">
        <f>IFERROR(__xludf.DUMMYFUNCTION("""COMPUTED_VALUE"""),"Ibaan")</f>
        <v>Ibaan</v>
      </c>
      <c r="L267" s="142" t="str">
        <f>IFERROR(__xludf.DUMMYFUNCTION("""COMPUTED_VALUE"""),"Laurel")</f>
        <v>Laurel</v>
      </c>
      <c r="M267" s="142" t="str">
        <f>IFERROR(__xludf.DUMMYFUNCTION("""COMPUTED_VALUE"""),"Lemery")</f>
        <v>Lemery</v>
      </c>
      <c r="N267" s="142" t="str">
        <f>IFERROR(__xludf.DUMMYFUNCTION("""COMPUTED_VALUE"""),"Lian")</f>
        <v>Lian</v>
      </c>
      <c r="O267" s="142" t="str">
        <f>IFERROR(__xludf.DUMMYFUNCTION("""COMPUTED_VALUE"""),"City of Lipa")</f>
        <v>City of Lipa</v>
      </c>
      <c r="P267" s="142" t="str">
        <f>IFERROR(__xludf.DUMMYFUNCTION("""COMPUTED_VALUE"""),"Lobo")</f>
        <v>Lobo</v>
      </c>
      <c r="Q267" s="142" t="str">
        <f>IFERROR(__xludf.DUMMYFUNCTION("""COMPUTED_VALUE"""),"Mabini")</f>
        <v>Mabini</v>
      </c>
      <c r="R267" s="142" t="str">
        <f>IFERROR(__xludf.DUMMYFUNCTION("""COMPUTED_VALUE"""),"Malvar")</f>
        <v>Malvar</v>
      </c>
      <c r="S267" s="142" t="str">
        <f>IFERROR(__xludf.DUMMYFUNCTION("""COMPUTED_VALUE"""),"Mataasnakahoy")</f>
        <v>Mataasnakahoy</v>
      </c>
      <c r="T267" s="142" t="str">
        <f>IFERROR(__xludf.DUMMYFUNCTION("""COMPUTED_VALUE"""),"Nasugbu")</f>
        <v>Nasugbu</v>
      </c>
      <c r="U267" s="142" t="str">
        <f>IFERROR(__xludf.DUMMYFUNCTION("""COMPUTED_VALUE"""),"Padre Garcia")</f>
        <v>Padre Garcia</v>
      </c>
      <c r="V267" s="142" t="str">
        <f>IFERROR(__xludf.DUMMYFUNCTION("""COMPUTED_VALUE"""),"Rosario")</f>
        <v>Rosario</v>
      </c>
      <c r="W267" s="142" t="str">
        <f>IFERROR(__xludf.DUMMYFUNCTION("""COMPUTED_VALUE"""),"San Jose")</f>
        <v>San Jose</v>
      </c>
      <c r="X267" s="142" t="str">
        <f>IFERROR(__xludf.DUMMYFUNCTION("""COMPUTED_VALUE"""),"San Juan")</f>
        <v>San Juan</v>
      </c>
      <c r="Y267" s="142" t="str">
        <f>IFERROR(__xludf.DUMMYFUNCTION("""COMPUTED_VALUE"""),"San Luis")</f>
        <v>San Luis</v>
      </c>
      <c r="Z267" s="142" t="str">
        <f>IFERROR(__xludf.DUMMYFUNCTION("""COMPUTED_VALUE"""),"San Nicolas")</f>
        <v>San Nicolas</v>
      </c>
      <c r="AA267" s="142" t="str">
        <f>IFERROR(__xludf.DUMMYFUNCTION("""COMPUTED_VALUE"""),"San Pascual")</f>
        <v>San Pascual</v>
      </c>
      <c r="AB267" s="142" t="str">
        <f>IFERROR(__xludf.DUMMYFUNCTION("""COMPUTED_VALUE"""),"Santa Teresita")</f>
        <v>Santa Teresita</v>
      </c>
      <c r="AC267" s="142" t="str">
        <f>IFERROR(__xludf.DUMMYFUNCTION("""COMPUTED_VALUE"""),"City of Sto. Tomas")</f>
        <v>City of Sto. Tomas</v>
      </c>
      <c r="AD267" s="142" t="str">
        <f>IFERROR(__xludf.DUMMYFUNCTION("""COMPUTED_VALUE"""),"Taal")</f>
        <v>Taal</v>
      </c>
      <c r="AE267" s="142" t="str">
        <f>IFERROR(__xludf.DUMMYFUNCTION("""COMPUTED_VALUE"""),"Talisay")</f>
        <v>Talisay</v>
      </c>
      <c r="AF267" s="142" t="str">
        <f>IFERROR(__xludf.DUMMYFUNCTION("""COMPUTED_VALUE"""),"City of Tanauan")</f>
        <v>City of Tanauan</v>
      </c>
      <c r="AG267" s="142" t="str">
        <f>IFERROR(__xludf.DUMMYFUNCTION("""COMPUTED_VALUE"""),"Taysan")</f>
        <v>Taysan</v>
      </c>
      <c r="AH267" s="142" t="str">
        <f>IFERROR(__xludf.DUMMYFUNCTION("""COMPUTED_VALUE"""),"Tingloy")</f>
        <v>Tingloy</v>
      </c>
      <c r="AI267" s="142" t="str">
        <f>IFERROR(__xludf.DUMMYFUNCTION("""COMPUTED_VALUE"""),"Tuy")</f>
        <v>Tuy</v>
      </c>
      <c r="AJ267" s="8"/>
      <c r="AK267" s="8"/>
      <c r="AL267" s="8"/>
      <c r="AM267" s="8"/>
      <c r="AN267" s="8"/>
      <c r="AO267" s="8"/>
      <c r="AP267" s="8"/>
      <c r="AQ267" s="8"/>
      <c r="AR267" s="8"/>
      <c r="AS267" s="8"/>
      <c r="AT267" s="8"/>
      <c r="AU267" s="8"/>
      <c r="AV267" s="8"/>
      <c r="AW267" s="8"/>
      <c r="AX267" s="8"/>
      <c r="AY267" s="8"/>
      <c r="AZ267" s="8"/>
      <c r="BA267" s="8"/>
      <c r="BB267" s="8"/>
      <c r="BC267" s="8"/>
      <c r="BD267" s="8"/>
      <c r="BE267" s="8"/>
    </row>
    <row r="268">
      <c r="A268" s="142" t="s">
        <v>258</v>
      </c>
      <c r="B268" s="142" t="str">
        <f>IFERROR(__xludf.DUMMYFUNCTION("""COMPUTED_VALUE"""),"Agoncillo")</f>
        <v>Agoncillo</v>
      </c>
      <c r="C268" s="142" t="str">
        <f>IFERROR(__xludf.DUMMYFUNCTION("""COMPUTED_VALUE"""),"Alitagtag")</f>
        <v>Alitagtag</v>
      </c>
      <c r="D268" s="142" t="str">
        <f>IFERROR(__xludf.DUMMYFUNCTION("""COMPUTED_VALUE"""),"Balayan")</f>
        <v>Balayan</v>
      </c>
      <c r="E268" s="142" t="str">
        <f>IFERROR(__xludf.DUMMYFUNCTION("""COMPUTED_VALUE"""),"Balete")</f>
        <v>Balete</v>
      </c>
      <c r="F268" s="142" t="str">
        <f>IFERROR(__xludf.DUMMYFUNCTION("""COMPUTED_VALUE"""),"Batangas City")</f>
        <v>Batangas City</v>
      </c>
      <c r="G268" s="142" t="str">
        <f>IFERROR(__xludf.DUMMYFUNCTION("""COMPUTED_VALUE"""),"Bauan")</f>
        <v>Bauan</v>
      </c>
      <c r="H268" s="142" t="str">
        <f>IFERROR(__xludf.DUMMYFUNCTION("""COMPUTED_VALUE"""),"City of Calaca")</f>
        <v>City of Calaca</v>
      </c>
      <c r="I268" s="142" t="str">
        <f>IFERROR(__xludf.DUMMYFUNCTION("""COMPUTED_VALUE"""),"Calatagan")</f>
        <v>Calatagan</v>
      </c>
      <c r="J268" s="142" t="str">
        <f>IFERROR(__xludf.DUMMYFUNCTION("""COMPUTED_VALUE"""),"Cuenca")</f>
        <v>Cuenca</v>
      </c>
      <c r="K268" s="142" t="str">
        <f>IFERROR(__xludf.DUMMYFUNCTION("""COMPUTED_VALUE"""),"Ibaan")</f>
        <v>Ibaan</v>
      </c>
      <c r="L268" s="142" t="str">
        <f>IFERROR(__xludf.DUMMYFUNCTION("""COMPUTED_VALUE"""),"Laurel")</f>
        <v>Laurel</v>
      </c>
      <c r="M268" s="142" t="str">
        <f>IFERROR(__xludf.DUMMYFUNCTION("""COMPUTED_VALUE"""),"Lemery")</f>
        <v>Lemery</v>
      </c>
      <c r="N268" s="142" t="str">
        <f>IFERROR(__xludf.DUMMYFUNCTION("""COMPUTED_VALUE"""),"Lian")</f>
        <v>Lian</v>
      </c>
      <c r="O268" s="142" t="str">
        <f>IFERROR(__xludf.DUMMYFUNCTION("""COMPUTED_VALUE"""),"City of Lipa")</f>
        <v>City of Lipa</v>
      </c>
      <c r="P268" s="142" t="str">
        <f>IFERROR(__xludf.DUMMYFUNCTION("""COMPUTED_VALUE"""),"Lobo")</f>
        <v>Lobo</v>
      </c>
      <c r="Q268" s="142" t="str">
        <f>IFERROR(__xludf.DUMMYFUNCTION("""COMPUTED_VALUE"""),"Mabini")</f>
        <v>Mabini</v>
      </c>
      <c r="R268" s="142" t="str">
        <f>IFERROR(__xludf.DUMMYFUNCTION("""COMPUTED_VALUE"""),"Malvar")</f>
        <v>Malvar</v>
      </c>
      <c r="S268" s="142" t="str">
        <f>IFERROR(__xludf.DUMMYFUNCTION("""COMPUTED_VALUE"""),"Mataasnakahoy")</f>
        <v>Mataasnakahoy</v>
      </c>
      <c r="T268" s="142" t="str">
        <f>IFERROR(__xludf.DUMMYFUNCTION("""COMPUTED_VALUE"""),"Nasugbu")</f>
        <v>Nasugbu</v>
      </c>
      <c r="U268" s="142" t="str">
        <f>IFERROR(__xludf.DUMMYFUNCTION("""COMPUTED_VALUE"""),"Padre Garcia")</f>
        <v>Padre Garcia</v>
      </c>
      <c r="V268" s="142" t="str">
        <f>IFERROR(__xludf.DUMMYFUNCTION("""COMPUTED_VALUE"""),"Rosario")</f>
        <v>Rosario</v>
      </c>
      <c r="W268" s="142" t="str">
        <f>IFERROR(__xludf.DUMMYFUNCTION("""COMPUTED_VALUE"""),"San Jose")</f>
        <v>San Jose</v>
      </c>
      <c r="X268" s="142" t="str">
        <f>IFERROR(__xludf.DUMMYFUNCTION("""COMPUTED_VALUE"""),"San Juan")</f>
        <v>San Juan</v>
      </c>
      <c r="Y268" s="142" t="str">
        <f>IFERROR(__xludf.DUMMYFUNCTION("""COMPUTED_VALUE"""),"San Luis")</f>
        <v>San Luis</v>
      </c>
      <c r="Z268" s="142" t="str">
        <f>IFERROR(__xludf.DUMMYFUNCTION("""COMPUTED_VALUE"""),"San Nicolas")</f>
        <v>San Nicolas</v>
      </c>
      <c r="AA268" s="142" t="str">
        <f>IFERROR(__xludf.DUMMYFUNCTION("""COMPUTED_VALUE"""),"San Pascual")</f>
        <v>San Pascual</v>
      </c>
      <c r="AB268" s="142" t="str">
        <f>IFERROR(__xludf.DUMMYFUNCTION("""COMPUTED_VALUE"""),"Santa Teresita")</f>
        <v>Santa Teresita</v>
      </c>
      <c r="AC268" s="142" t="str">
        <f>IFERROR(__xludf.DUMMYFUNCTION("""COMPUTED_VALUE"""),"City of Sto. Tomas")</f>
        <v>City of Sto. Tomas</v>
      </c>
      <c r="AD268" s="142" t="str">
        <f>IFERROR(__xludf.DUMMYFUNCTION("""COMPUTED_VALUE"""),"Taal")</f>
        <v>Taal</v>
      </c>
      <c r="AE268" s="142" t="str">
        <f>IFERROR(__xludf.DUMMYFUNCTION("""COMPUTED_VALUE"""),"Talisay")</f>
        <v>Talisay</v>
      </c>
      <c r="AF268" s="142" t="str">
        <f>IFERROR(__xludf.DUMMYFUNCTION("""COMPUTED_VALUE"""),"City of Tanauan")</f>
        <v>City of Tanauan</v>
      </c>
      <c r="AG268" s="142" t="str">
        <f>IFERROR(__xludf.DUMMYFUNCTION("""COMPUTED_VALUE"""),"Taysan")</f>
        <v>Taysan</v>
      </c>
      <c r="AH268" s="142" t="str">
        <f>IFERROR(__xludf.DUMMYFUNCTION("""COMPUTED_VALUE"""),"Tingloy")</f>
        <v>Tingloy</v>
      </c>
      <c r="AI268" s="142" t="str">
        <f>IFERROR(__xludf.DUMMYFUNCTION("""COMPUTED_VALUE"""),"Tuy")</f>
        <v>Tuy</v>
      </c>
      <c r="AJ268" s="8"/>
      <c r="AK268" s="8"/>
      <c r="AL268" s="8"/>
      <c r="AM268" s="8"/>
      <c r="AN268" s="8"/>
      <c r="AO268" s="8"/>
      <c r="AP268" s="8"/>
      <c r="AQ268" s="8"/>
      <c r="AR268" s="8"/>
      <c r="AS268" s="8"/>
      <c r="AT268" s="8"/>
      <c r="AU268" s="8"/>
      <c r="AV268" s="8"/>
      <c r="AW268" s="8"/>
      <c r="AX268" s="8"/>
      <c r="AY268" s="8"/>
      <c r="AZ268" s="8"/>
      <c r="BA268" s="8"/>
      <c r="BB268" s="8"/>
      <c r="BC268" s="8"/>
      <c r="BD268" s="8"/>
      <c r="BE268" s="8"/>
    </row>
    <row r="269">
      <c r="A269" s="142" t="s">
        <v>1910</v>
      </c>
      <c r="B269" s="142" t="str">
        <f>IFERROR(__xludf.DUMMYFUNCTION("""COMPUTED_VALUE"""),"Basilisa")</f>
        <v>Basilisa</v>
      </c>
      <c r="C269" s="142" t="str">
        <f>IFERROR(__xludf.DUMMYFUNCTION("""COMPUTED_VALUE"""),"Cagdianao")</f>
        <v>Cagdianao</v>
      </c>
      <c r="D269" s="142" t="str">
        <f>IFERROR(__xludf.DUMMYFUNCTION("""COMPUTED_VALUE"""),"Dinagat")</f>
        <v>Dinagat</v>
      </c>
      <c r="E269" s="142" t="str">
        <f>IFERROR(__xludf.DUMMYFUNCTION("""COMPUTED_VALUE"""),"Libjo")</f>
        <v>Libjo</v>
      </c>
      <c r="F269" s="142" t="str">
        <f>IFERROR(__xludf.DUMMYFUNCTION("""COMPUTED_VALUE"""),"Loreto")</f>
        <v>Loreto</v>
      </c>
      <c r="G269" s="142" t="str">
        <f>IFERROR(__xludf.DUMMYFUNCTION("""COMPUTED_VALUE"""),"San Jose")</f>
        <v>San Jose</v>
      </c>
      <c r="H269" s="142" t="str">
        <f>IFERROR(__xludf.DUMMYFUNCTION("""COMPUTED_VALUE"""),"Tubajon")</f>
        <v>Tubajon</v>
      </c>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row>
    <row r="270">
      <c r="A270" s="142" t="s">
        <v>258</v>
      </c>
      <c r="B270" s="142" t="str">
        <f>IFERROR(__xludf.DUMMYFUNCTION("""COMPUTED_VALUE"""),"Agoncillo")</f>
        <v>Agoncillo</v>
      </c>
      <c r="C270" s="142" t="str">
        <f>IFERROR(__xludf.DUMMYFUNCTION("""COMPUTED_VALUE"""),"Alitagtag")</f>
        <v>Alitagtag</v>
      </c>
      <c r="D270" s="142" t="str">
        <f>IFERROR(__xludf.DUMMYFUNCTION("""COMPUTED_VALUE"""),"Balayan")</f>
        <v>Balayan</v>
      </c>
      <c r="E270" s="142" t="str">
        <f>IFERROR(__xludf.DUMMYFUNCTION("""COMPUTED_VALUE"""),"Balete")</f>
        <v>Balete</v>
      </c>
      <c r="F270" s="142" t="str">
        <f>IFERROR(__xludf.DUMMYFUNCTION("""COMPUTED_VALUE"""),"Batangas City")</f>
        <v>Batangas City</v>
      </c>
      <c r="G270" s="142" t="str">
        <f>IFERROR(__xludf.DUMMYFUNCTION("""COMPUTED_VALUE"""),"Bauan")</f>
        <v>Bauan</v>
      </c>
      <c r="H270" s="142" t="str">
        <f>IFERROR(__xludf.DUMMYFUNCTION("""COMPUTED_VALUE"""),"City of Calaca")</f>
        <v>City of Calaca</v>
      </c>
      <c r="I270" s="142" t="str">
        <f>IFERROR(__xludf.DUMMYFUNCTION("""COMPUTED_VALUE"""),"Calatagan")</f>
        <v>Calatagan</v>
      </c>
      <c r="J270" s="142" t="str">
        <f>IFERROR(__xludf.DUMMYFUNCTION("""COMPUTED_VALUE"""),"Cuenca")</f>
        <v>Cuenca</v>
      </c>
      <c r="K270" s="142" t="str">
        <f>IFERROR(__xludf.DUMMYFUNCTION("""COMPUTED_VALUE"""),"Ibaan")</f>
        <v>Ibaan</v>
      </c>
      <c r="L270" s="142" t="str">
        <f>IFERROR(__xludf.DUMMYFUNCTION("""COMPUTED_VALUE"""),"Laurel")</f>
        <v>Laurel</v>
      </c>
      <c r="M270" s="142" t="str">
        <f>IFERROR(__xludf.DUMMYFUNCTION("""COMPUTED_VALUE"""),"Lemery")</f>
        <v>Lemery</v>
      </c>
      <c r="N270" s="142" t="str">
        <f>IFERROR(__xludf.DUMMYFUNCTION("""COMPUTED_VALUE"""),"Lian")</f>
        <v>Lian</v>
      </c>
      <c r="O270" s="142" t="str">
        <f>IFERROR(__xludf.DUMMYFUNCTION("""COMPUTED_VALUE"""),"City of Lipa")</f>
        <v>City of Lipa</v>
      </c>
      <c r="P270" s="142" t="str">
        <f>IFERROR(__xludf.DUMMYFUNCTION("""COMPUTED_VALUE"""),"Lobo")</f>
        <v>Lobo</v>
      </c>
      <c r="Q270" s="142" t="str">
        <f>IFERROR(__xludf.DUMMYFUNCTION("""COMPUTED_VALUE"""),"Mabini")</f>
        <v>Mabini</v>
      </c>
      <c r="R270" s="142" t="str">
        <f>IFERROR(__xludf.DUMMYFUNCTION("""COMPUTED_VALUE"""),"Malvar")</f>
        <v>Malvar</v>
      </c>
      <c r="S270" s="142" t="str">
        <f>IFERROR(__xludf.DUMMYFUNCTION("""COMPUTED_VALUE"""),"Mataasnakahoy")</f>
        <v>Mataasnakahoy</v>
      </c>
      <c r="T270" s="142" t="str">
        <f>IFERROR(__xludf.DUMMYFUNCTION("""COMPUTED_VALUE"""),"Nasugbu")</f>
        <v>Nasugbu</v>
      </c>
      <c r="U270" s="142" t="str">
        <f>IFERROR(__xludf.DUMMYFUNCTION("""COMPUTED_VALUE"""),"Padre Garcia")</f>
        <v>Padre Garcia</v>
      </c>
      <c r="V270" s="142" t="str">
        <f>IFERROR(__xludf.DUMMYFUNCTION("""COMPUTED_VALUE"""),"Rosario")</f>
        <v>Rosario</v>
      </c>
      <c r="W270" s="142" t="str">
        <f>IFERROR(__xludf.DUMMYFUNCTION("""COMPUTED_VALUE"""),"San Jose")</f>
        <v>San Jose</v>
      </c>
      <c r="X270" s="142" t="str">
        <f>IFERROR(__xludf.DUMMYFUNCTION("""COMPUTED_VALUE"""),"San Juan")</f>
        <v>San Juan</v>
      </c>
      <c r="Y270" s="142" t="str">
        <f>IFERROR(__xludf.DUMMYFUNCTION("""COMPUTED_VALUE"""),"San Luis")</f>
        <v>San Luis</v>
      </c>
      <c r="Z270" s="142" t="str">
        <f>IFERROR(__xludf.DUMMYFUNCTION("""COMPUTED_VALUE"""),"San Nicolas")</f>
        <v>San Nicolas</v>
      </c>
      <c r="AA270" s="142" t="str">
        <f>IFERROR(__xludf.DUMMYFUNCTION("""COMPUTED_VALUE"""),"San Pascual")</f>
        <v>San Pascual</v>
      </c>
      <c r="AB270" s="142" t="str">
        <f>IFERROR(__xludf.DUMMYFUNCTION("""COMPUTED_VALUE"""),"Santa Teresita")</f>
        <v>Santa Teresita</v>
      </c>
      <c r="AC270" s="142" t="str">
        <f>IFERROR(__xludf.DUMMYFUNCTION("""COMPUTED_VALUE"""),"City of Sto. Tomas")</f>
        <v>City of Sto. Tomas</v>
      </c>
      <c r="AD270" s="142" t="str">
        <f>IFERROR(__xludf.DUMMYFUNCTION("""COMPUTED_VALUE"""),"Taal")</f>
        <v>Taal</v>
      </c>
      <c r="AE270" s="142" t="str">
        <f>IFERROR(__xludf.DUMMYFUNCTION("""COMPUTED_VALUE"""),"Talisay")</f>
        <v>Talisay</v>
      </c>
      <c r="AF270" s="142" t="str">
        <f>IFERROR(__xludf.DUMMYFUNCTION("""COMPUTED_VALUE"""),"City of Tanauan")</f>
        <v>City of Tanauan</v>
      </c>
      <c r="AG270" s="142" t="str">
        <f>IFERROR(__xludf.DUMMYFUNCTION("""COMPUTED_VALUE"""),"Taysan")</f>
        <v>Taysan</v>
      </c>
      <c r="AH270" s="142" t="str">
        <f>IFERROR(__xludf.DUMMYFUNCTION("""COMPUTED_VALUE"""),"Tingloy")</f>
        <v>Tingloy</v>
      </c>
      <c r="AI270" s="142" t="str">
        <f>IFERROR(__xludf.DUMMYFUNCTION("""COMPUTED_VALUE"""),"Tuy")</f>
        <v>Tuy</v>
      </c>
      <c r="AJ270" s="8"/>
      <c r="AK270" s="8"/>
      <c r="AL270" s="8"/>
      <c r="AM270" s="8"/>
      <c r="AN270" s="8"/>
      <c r="AO270" s="8"/>
      <c r="AP270" s="8"/>
      <c r="AQ270" s="8"/>
      <c r="AR270" s="8"/>
      <c r="AS270" s="8"/>
      <c r="AT270" s="8"/>
      <c r="AU270" s="8"/>
      <c r="AV270" s="8"/>
      <c r="AW270" s="8"/>
      <c r="AX270" s="8"/>
      <c r="AY270" s="8"/>
      <c r="AZ270" s="8"/>
      <c r="BA270" s="8"/>
      <c r="BB270" s="8"/>
      <c r="BC270" s="8"/>
      <c r="BD270" s="8"/>
      <c r="BE270" s="8"/>
    </row>
    <row r="271">
      <c r="A271" s="142" t="s">
        <v>258</v>
      </c>
      <c r="B271" s="142" t="str">
        <f>IFERROR(__xludf.DUMMYFUNCTION("""COMPUTED_VALUE"""),"Agoncillo")</f>
        <v>Agoncillo</v>
      </c>
      <c r="C271" s="142" t="str">
        <f>IFERROR(__xludf.DUMMYFUNCTION("""COMPUTED_VALUE"""),"Alitagtag")</f>
        <v>Alitagtag</v>
      </c>
      <c r="D271" s="142" t="str">
        <f>IFERROR(__xludf.DUMMYFUNCTION("""COMPUTED_VALUE"""),"Balayan")</f>
        <v>Balayan</v>
      </c>
      <c r="E271" s="142" t="str">
        <f>IFERROR(__xludf.DUMMYFUNCTION("""COMPUTED_VALUE"""),"Balete")</f>
        <v>Balete</v>
      </c>
      <c r="F271" s="142" t="str">
        <f>IFERROR(__xludf.DUMMYFUNCTION("""COMPUTED_VALUE"""),"Batangas City")</f>
        <v>Batangas City</v>
      </c>
      <c r="G271" s="142" t="str">
        <f>IFERROR(__xludf.DUMMYFUNCTION("""COMPUTED_VALUE"""),"Bauan")</f>
        <v>Bauan</v>
      </c>
      <c r="H271" s="142" t="str">
        <f>IFERROR(__xludf.DUMMYFUNCTION("""COMPUTED_VALUE"""),"City of Calaca")</f>
        <v>City of Calaca</v>
      </c>
      <c r="I271" s="142" t="str">
        <f>IFERROR(__xludf.DUMMYFUNCTION("""COMPUTED_VALUE"""),"Calatagan")</f>
        <v>Calatagan</v>
      </c>
      <c r="J271" s="142" t="str">
        <f>IFERROR(__xludf.DUMMYFUNCTION("""COMPUTED_VALUE"""),"Cuenca")</f>
        <v>Cuenca</v>
      </c>
      <c r="K271" s="142" t="str">
        <f>IFERROR(__xludf.DUMMYFUNCTION("""COMPUTED_VALUE"""),"Ibaan")</f>
        <v>Ibaan</v>
      </c>
      <c r="L271" s="142" t="str">
        <f>IFERROR(__xludf.DUMMYFUNCTION("""COMPUTED_VALUE"""),"Laurel")</f>
        <v>Laurel</v>
      </c>
      <c r="M271" s="142" t="str">
        <f>IFERROR(__xludf.DUMMYFUNCTION("""COMPUTED_VALUE"""),"Lemery")</f>
        <v>Lemery</v>
      </c>
      <c r="N271" s="142" t="str">
        <f>IFERROR(__xludf.DUMMYFUNCTION("""COMPUTED_VALUE"""),"Lian")</f>
        <v>Lian</v>
      </c>
      <c r="O271" s="142" t="str">
        <f>IFERROR(__xludf.DUMMYFUNCTION("""COMPUTED_VALUE"""),"City of Lipa")</f>
        <v>City of Lipa</v>
      </c>
      <c r="P271" s="142" t="str">
        <f>IFERROR(__xludf.DUMMYFUNCTION("""COMPUTED_VALUE"""),"Lobo")</f>
        <v>Lobo</v>
      </c>
      <c r="Q271" s="142" t="str">
        <f>IFERROR(__xludf.DUMMYFUNCTION("""COMPUTED_VALUE"""),"Mabini")</f>
        <v>Mabini</v>
      </c>
      <c r="R271" s="142" t="str">
        <f>IFERROR(__xludf.DUMMYFUNCTION("""COMPUTED_VALUE"""),"Malvar")</f>
        <v>Malvar</v>
      </c>
      <c r="S271" s="142" t="str">
        <f>IFERROR(__xludf.DUMMYFUNCTION("""COMPUTED_VALUE"""),"Mataasnakahoy")</f>
        <v>Mataasnakahoy</v>
      </c>
      <c r="T271" s="142" t="str">
        <f>IFERROR(__xludf.DUMMYFUNCTION("""COMPUTED_VALUE"""),"Nasugbu")</f>
        <v>Nasugbu</v>
      </c>
      <c r="U271" s="142" t="str">
        <f>IFERROR(__xludf.DUMMYFUNCTION("""COMPUTED_VALUE"""),"Padre Garcia")</f>
        <v>Padre Garcia</v>
      </c>
      <c r="V271" s="142" t="str">
        <f>IFERROR(__xludf.DUMMYFUNCTION("""COMPUTED_VALUE"""),"Rosario")</f>
        <v>Rosario</v>
      </c>
      <c r="W271" s="142" t="str">
        <f>IFERROR(__xludf.DUMMYFUNCTION("""COMPUTED_VALUE"""),"San Jose")</f>
        <v>San Jose</v>
      </c>
      <c r="X271" s="142" t="str">
        <f>IFERROR(__xludf.DUMMYFUNCTION("""COMPUTED_VALUE"""),"San Juan")</f>
        <v>San Juan</v>
      </c>
      <c r="Y271" s="142" t="str">
        <f>IFERROR(__xludf.DUMMYFUNCTION("""COMPUTED_VALUE"""),"San Luis")</f>
        <v>San Luis</v>
      </c>
      <c r="Z271" s="142" t="str">
        <f>IFERROR(__xludf.DUMMYFUNCTION("""COMPUTED_VALUE"""),"San Nicolas")</f>
        <v>San Nicolas</v>
      </c>
      <c r="AA271" s="142" t="str">
        <f>IFERROR(__xludf.DUMMYFUNCTION("""COMPUTED_VALUE"""),"San Pascual")</f>
        <v>San Pascual</v>
      </c>
      <c r="AB271" s="142" t="str">
        <f>IFERROR(__xludf.DUMMYFUNCTION("""COMPUTED_VALUE"""),"Santa Teresita")</f>
        <v>Santa Teresita</v>
      </c>
      <c r="AC271" s="142" t="str">
        <f>IFERROR(__xludf.DUMMYFUNCTION("""COMPUTED_VALUE"""),"City of Sto. Tomas")</f>
        <v>City of Sto. Tomas</v>
      </c>
      <c r="AD271" s="142" t="str">
        <f>IFERROR(__xludf.DUMMYFUNCTION("""COMPUTED_VALUE"""),"Taal")</f>
        <v>Taal</v>
      </c>
      <c r="AE271" s="142" t="str">
        <f>IFERROR(__xludf.DUMMYFUNCTION("""COMPUTED_VALUE"""),"Talisay")</f>
        <v>Talisay</v>
      </c>
      <c r="AF271" s="142" t="str">
        <f>IFERROR(__xludf.DUMMYFUNCTION("""COMPUTED_VALUE"""),"City of Tanauan")</f>
        <v>City of Tanauan</v>
      </c>
      <c r="AG271" s="142" t="str">
        <f>IFERROR(__xludf.DUMMYFUNCTION("""COMPUTED_VALUE"""),"Taysan")</f>
        <v>Taysan</v>
      </c>
      <c r="AH271" s="142" t="str">
        <f>IFERROR(__xludf.DUMMYFUNCTION("""COMPUTED_VALUE"""),"Tingloy")</f>
        <v>Tingloy</v>
      </c>
      <c r="AI271" s="142" t="str">
        <f>IFERROR(__xludf.DUMMYFUNCTION("""COMPUTED_VALUE"""),"Tuy")</f>
        <v>Tuy</v>
      </c>
      <c r="AJ271" s="8"/>
      <c r="AK271" s="8"/>
      <c r="AL271" s="8"/>
      <c r="AM271" s="8"/>
      <c r="AN271" s="8"/>
      <c r="AO271" s="8"/>
      <c r="AP271" s="8"/>
      <c r="AQ271" s="8"/>
      <c r="AR271" s="8"/>
      <c r="AS271" s="8"/>
      <c r="AT271" s="8"/>
      <c r="AU271" s="8"/>
      <c r="AV271" s="8"/>
      <c r="AW271" s="8"/>
      <c r="AX271" s="8"/>
      <c r="AY271" s="8"/>
      <c r="AZ271" s="8"/>
      <c r="BA271" s="8"/>
      <c r="BB271" s="8"/>
      <c r="BC271" s="8"/>
      <c r="BD271" s="8"/>
      <c r="BE271" s="8"/>
    </row>
    <row r="272">
      <c r="A272" s="142" t="s">
        <v>294</v>
      </c>
      <c r="B272" s="142" t="str">
        <f>IFERROR(__xludf.DUMMYFUNCTION("""COMPUTED_VALUE"""),"Botolan")</f>
        <v>Botolan</v>
      </c>
      <c r="C272" s="142" t="str">
        <f>IFERROR(__xludf.DUMMYFUNCTION("""COMPUTED_VALUE"""),"Cabangan")</f>
        <v>Cabangan</v>
      </c>
      <c r="D272" s="142" t="str">
        <f>IFERROR(__xludf.DUMMYFUNCTION("""COMPUTED_VALUE"""),"Candelaria")</f>
        <v>Candelaria</v>
      </c>
      <c r="E272" s="142" t="str">
        <f>IFERROR(__xludf.DUMMYFUNCTION("""COMPUTED_VALUE"""),"Castillejos")</f>
        <v>Castillejos</v>
      </c>
      <c r="F272" s="142" t="str">
        <f>IFERROR(__xludf.DUMMYFUNCTION("""COMPUTED_VALUE"""),"Iba")</f>
        <v>Iba</v>
      </c>
      <c r="G272" s="142" t="str">
        <f>IFERROR(__xludf.DUMMYFUNCTION("""COMPUTED_VALUE"""),"Masinloc")</f>
        <v>Masinloc</v>
      </c>
      <c r="H272" s="142" t="str">
        <f>IFERROR(__xludf.DUMMYFUNCTION("""COMPUTED_VALUE"""),"City of Olongapo")</f>
        <v>City of Olongapo</v>
      </c>
      <c r="I272" s="142" t="str">
        <f>IFERROR(__xludf.DUMMYFUNCTION("""COMPUTED_VALUE"""),"Palauig")</f>
        <v>Palauig</v>
      </c>
      <c r="J272" s="142" t="str">
        <f>IFERROR(__xludf.DUMMYFUNCTION("""COMPUTED_VALUE"""),"San Antonio")</f>
        <v>San Antonio</v>
      </c>
      <c r="K272" s="142" t="str">
        <f>IFERROR(__xludf.DUMMYFUNCTION("""COMPUTED_VALUE"""),"San Felipe")</f>
        <v>San Felipe</v>
      </c>
      <c r="L272" s="142" t="str">
        <f>IFERROR(__xludf.DUMMYFUNCTION("""COMPUTED_VALUE"""),"San Marcelino")</f>
        <v>San Marcelino</v>
      </c>
      <c r="M272" s="142" t="str">
        <f>IFERROR(__xludf.DUMMYFUNCTION("""COMPUTED_VALUE"""),"San Narciso")</f>
        <v>San Narciso</v>
      </c>
      <c r="N272" s="142" t="str">
        <f>IFERROR(__xludf.DUMMYFUNCTION("""COMPUTED_VALUE"""),"Santa Cruz")</f>
        <v>Santa Cruz</v>
      </c>
      <c r="O272" s="142" t="str">
        <f>IFERROR(__xludf.DUMMYFUNCTION("""COMPUTED_VALUE"""),"Subic")</f>
        <v>Subic</v>
      </c>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row>
    <row r="273">
      <c r="A273" s="142" t="s">
        <v>1947</v>
      </c>
      <c r="B273" s="142" t="str">
        <f>IFERROR(__xludf.DUMMYFUNCTION("""COMPUTED_VALUE"""),"Baco")</f>
        <v>Baco</v>
      </c>
      <c r="C273" s="142" t="str">
        <f>IFERROR(__xludf.DUMMYFUNCTION("""COMPUTED_VALUE"""),"Bansud")</f>
        <v>Bansud</v>
      </c>
      <c r="D273" s="142" t="str">
        <f>IFERROR(__xludf.DUMMYFUNCTION("""COMPUTED_VALUE"""),"Bongabong")</f>
        <v>Bongabong</v>
      </c>
      <c r="E273" s="142" t="str">
        <f>IFERROR(__xludf.DUMMYFUNCTION("""COMPUTED_VALUE"""),"Bulalacao")</f>
        <v>Bulalacao</v>
      </c>
      <c r="F273" s="142" t="str">
        <f>IFERROR(__xludf.DUMMYFUNCTION("""COMPUTED_VALUE"""),"City of Calapan")</f>
        <v>City of Calapan</v>
      </c>
      <c r="G273" s="142" t="str">
        <f>IFERROR(__xludf.DUMMYFUNCTION("""COMPUTED_VALUE"""),"Gloria")</f>
        <v>Gloria</v>
      </c>
      <c r="H273" s="142" t="str">
        <f>IFERROR(__xludf.DUMMYFUNCTION("""COMPUTED_VALUE"""),"Mansalay")</f>
        <v>Mansalay</v>
      </c>
      <c r="I273" s="142" t="str">
        <f>IFERROR(__xludf.DUMMYFUNCTION("""COMPUTED_VALUE"""),"Naujan")</f>
        <v>Naujan</v>
      </c>
      <c r="J273" s="142" t="str">
        <f>IFERROR(__xludf.DUMMYFUNCTION("""COMPUTED_VALUE"""),"Pinamalayan")</f>
        <v>Pinamalayan</v>
      </c>
      <c r="K273" s="142" t="str">
        <f>IFERROR(__xludf.DUMMYFUNCTION("""COMPUTED_VALUE"""),"Pola")</f>
        <v>Pola</v>
      </c>
      <c r="L273" s="142" t="str">
        <f>IFERROR(__xludf.DUMMYFUNCTION("""COMPUTED_VALUE"""),"Puerto Galera")</f>
        <v>Puerto Galera</v>
      </c>
      <c r="M273" s="142" t="str">
        <f>IFERROR(__xludf.DUMMYFUNCTION("""COMPUTED_VALUE"""),"Roxas")</f>
        <v>Roxas</v>
      </c>
      <c r="N273" s="142" t="str">
        <f>IFERROR(__xludf.DUMMYFUNCTION("""COMPUTED_VALUE"""),"San Teodoro")</f>
        <v>San Teodoro</v>
      </c>
      <c r="O273" s="142" t="str">
        <f>IFERROR(__xludf.DUMMYFUNCTION("""COMPUTED_VALUE"""),"Socorro")</f>
        <v>Socorro</v>
      </c>
      <c r="P273" s="142" t="str">
        <f>IFERROR(__xludf.DUMMYFUNCTION("""COMPUTED_VALUE"""),"Victoria")</f>
        <v>Victoria</v>
      </c>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row>
    <row r="274">
      <c r="A274" s="142" t="s">
        <v>258</v>
      </c>
      <c r="B274" s="142" t="str">
        <f>IFERROR(__xludf.DUMMYFUNCTION("""COMPUTED_VALUE"""),"Agoncillo")</f>
        <v>Agoncillo</v>
      </c>
      <c r="C274" s="142" t="str">
        <f>IFERROR(__xludf.DUMMYFUNCTION("""COMPUTED_VALUE"""),"Alitagtag")</f>
        <v>Alitagtag</v>
      </c>
      <c r="D274" s="142" t="str">
        <f>IFERROR(__xludf.DUMMYFUNCTION("""COMPUTED_VALUE"""),"Balayan")</f>
        <v>Balayan</v>
      </c>
      <c r="E274" s="142" t="str">
        <f>IFERROR(__xludf.DUMMYFUNCTION("""COMPUTED_VALUE"""),"Balete")</f>
        <v>Balete</v>
      </c>
      <c r="F274" s="142" t="str">
        <f>IFERROR(__xludf.DUMMYFUNCTION("""COMPUTED_VALUE"""),"Batangas City")</f>
        <v>Batangas City</v>
      </c>
      <c r="G274" s="142" t="str">
        <f>IFERROR(__xludf.DUMMYFUNCTION("""COMPUTED_VALUE"""),"Bauan")</f>
        <v>Bauan</v>
      </c>
      <c r="H274" s="142" t="str">
        <f>IFERROR(__xludf.DUMMYFUNCTION("""COMPUTED_VALUE"""),"City of Calaca")</f>
        <v>City of Calaca</v>
      </c>
      <c r="I274" s="142" t="str">
        <f>IFERROR(__xludf.DUMMYFUNCTION("""COMPUTED_VALUE"""),"Calatagan")</f>
        <v>Calatagan</v>
      </c>
      <c r="J274" s="142" t="str">
        <f>IFERROR(__xludf.DUMMYFUNCTION("""COMPUTED_VALUE"""),"Cuenca")</f>
        <v>Cuenca</v>
      </c>
      <c r="K274" s="142" t="str">
        <f>IFERROR(__xludf.DUMMYFUNCTION("""COMPUTED_VALUE"""),"Ibaan")</f>
        <v>Ibaan</v>
      </c>
      <c r="L274" s="142" t="str">
        <f>IFERROR(__xludf.DUMMYFUNCTION("""COMPUTED_VALUE"""),"Laurel")</f>
        <v>Laurel</v>
      </c>
      <c r="M274" s="142" t="str">
        <f>IFERROR(__xludf.DUMMYFUNCTION("""COMPUTED_VALUE"""),"Lemery")</f>
        <v>Lemery</v>
      </c>
      <c r="N274" s="142" t="str">
        <f>IFERROR(__xludf.DUMMYFUNCTION("""COMPUTED_VALUE"""),"Lian")</f>
        <v>Lian</v>
      </c>
      <c r="O274" s="142" t="str">
        <f>IFERROR(__xludf.DUMMYFUNCTION("""COMPUTED_VALUE"""),"City of Lipa")</f>
        <v>City of Lipa</v>
      </c>
      <c r="P274" s="142" t="str">
        <f>IFERROR(__xludf.DUMMYFUNCTION("""COMPUTED_VALUE"""),"Lobo")</f>
        <v>Lobo</v>
      </c>
      <c r="Q274" s="142" t="str">
        <f>IFERROR(__xludf.DUMMYFUNCTION("""COMPUTED_VALUE"""),"Mabini")</f>
        <v>Mabini</v>
      </c>
      <c r="R274" s="142" t="str">
        <f>IFERROR(__xludf.DUMMYFUNCTION("""COMPUTED_VALUE"""),"Malvar")</f>
        <v>Malvar</v>
      </c>
      <c r="S274" s="142" t="str">
        <f>IFERROR(__xludf.DUMMYFUNCTION("""COMPUTED_VALUE"""),"Mataasnakahoy")</f>
        <v>Mataasnakahoy</v>
      </c>
      <c r="T274" s="142" t="str">
        <f>IFERROR(__xludf.DUMMYFUNCTION("""COMPUTED_VALUE"""),"Nasugbu")</f>
        <v>Nasugbu</v>
      </c>
      <c r="U274" s="142" t="str">
        <f>IFERROR(__xludf.DUMMYFUNCTION("""COMPUTED_VALUE"""),"Padre Garcia")</f>
        <v>Padre Garcia</v>
      </c>
      <c r="V274" s="142" t="str">
        <f>IFERROR(__xludf.DUMMYFUNCTION("""COMPUTED_VALUE"""),"Rosario")</f>
        <v>Rosario</v>
      </c>
      <c r="W274" s="142" t="str">
        <f>IFERROR(__xludf.DUMMYFUNCTION("""COMPUTED_VALUE"""),"San Jose")</f>
        <v>San Jose</v>
      </c>
      <c r="X274" s="142" t="str">
        <f>IFERROR(__xludf.DUMMYFUNCTION("""COMPUTED_VALUE"""),"San Juan")</f>
        <v>San Juan</v>
      </c>
      <c r="Y274" s="142" t="str">
        <f>IFERROR(__xludf.DUMMYFUNCTION("""COMPUTED_VALUE"""),"San Luis")</f>
        <v>San Luis</v>
      </c>
      <c r="Z274" s="142" t="str">
        <f>IFERROR(__xludf.DUMMYFUNCTION("""COMPUTED_VALUE"""),"San Nicolas")</f>
        <v>San Nicolas</v>
      </c>
      <c r="AA274" s="142" t="str">
        <f>IFERROR(__xludf.DUMMYFUNCTION("""COMPUTED_VALUE"""),"San Pascual")</f>
        <v>San Pascual</v>
      </c>
      <c r="AB274" s="142" t="str">
        <f>IFERROR(__xludf.DUMMYFUNCTION("""COMPUTED_VALUE"""),"Santa Teresita")</f>
        <v>Santa Teresita</v>
      </c>
      <c r="AC274" s="142" t="str">
        <f>IFERROR(__xludf.DUMMYFUNCTION("""COMPUTED_VALUE"""),"City of Sto. Tomas")</f>
        <v>City of Sto. Tomas</v>
      </c>
      <c r="AD274" s="142" t="str">
        <f>IFERROR(__xludf.DUMMYFUNCTION("""COMPUTED_VALUE"""),"Taal")</f>
        <v>Taal</v>
      </c>
      <c r="AE274" s="142" t="str">
        <f>IFERROR(__xludf.DUMMYFUNCTION("""COMPUTED_VALUE"""),"Talisay")</f>
        <v>Talisay</v>
      </c>
      <c r="AF274" s="142" t="str">
        <f>IFERROR(__xludf.DUMMYFUNCTION("""COMPUTED_VALUE"""),"City of Tanauan")</f>
        <v>City of Tanauan</v>
      </c>
      <c r="AG274" s="142" t="str">
        <f>IFERROR(__xludf.DUMMYFUNCTION("""COMPUTED_VALUE"""),"Taysan")</f>
        <v>Taysan</v>
      </c>
      <c r="AH274" s="142" t="str">
        <f>IFERROR(__xludf.DUMMYFUNCTION("""COMPUTED_VALUE"""),"Tingloy")</f>
        <v>Tingloy</v>
      </c>
      <c r="AI274" s="142" t="str">
        <f>IFERROR(__xludf.DUMMYFUNCTION("""COMPUTED_VALUE"""),"Tuy")</f>
        <v>Tuy</v>
      </c>
      <c r="AJ274" s="8"/>
      <c r="AK274" s="8"/>
      <c r="AL274" s="8"/>
      <c r="AM274" s="8"/>
      <c r="AN274" s="8"/>
      <c r="AO274" s="8"/>
      <c r="AP274" s="8"/>
      <c r="AQ274" s="8"/>
      <c r="AR274" s="8"/>
      <c r="AS274" s="8"/>
      <c r="AT274" s="8"/>
      <c r="AU274" s="8"/>
      <c r="AV274" s="8"/>
      <c r="AW274" s="8"/>
      <c r="AX274" s="8"/>
      <c r="AY274" s="8"/>
      <c r="AZ274" s="8"/>
      <c r="BA274" s="8"/>
      <c r="BB274" s="8"/>
      <c r="BC274" s="8"/>
      <c r="BD274" s="8"/>
      <c r="BE274" s="8"/>
    </row>
    <row r="275">
      <c r="A275" s="142" t="s">
        <v>523</v>
      </c>
      <c r="B275" s="142" t="str">
        <f>IFERROR(__xludf.DUMMYFUNCTION("""COMPUTED_VALUE"""),"Aborlan")</f>
        <v>Aborlan</v>
      </c>
      <c r="C275" s="142" t="str">
        <f>IFERROR(__xludf.DUMMYFUNCTION("""COMPUTED_VALUE"""),"Agutaya")</f>
        <v>Agutaya</v>
      </c>
      <c r="D275" s="142" t="str">
        <f>IFERROR(__xludf.DUMMYFUNCTION("""COMPUTED_VALUE"""),"Araceli")</f>
        <v>Araceli</v>
      </c>
      <c r="E275" s="142" t="str">
        <f>IFERROR(__xludf.DUMMYFUNCTION("""COMPUTED_VALUE"""),"Balabac")</f>
        <v>Balabac</v>
      </c>
      <c r="F275" s="142" t="str">
        <f>IFERROR(__xludf.DUMMYFUNCTION("""COMPUTED_VALUE"""),"Bataraza")</f>
        <v>Bataraza</v>
      </c>
      <c r="G275" s="142" t="str">
        <f>IFERROR(__xludf.DUMMYFUNCTION("""COMPUTED_VALUE"""),"Brooke's Point")</f>
        <v>Brooke's Point</v>
      </c>
      <c r="H275" s="142" t="str">
        <f>IFERROR(__xludf.DUMMYFUNCTION("""COMPUTED_VALUE"""),"Busuanga")</f>
        <v>Busuanga</v>
      </c>
      <c r="I275" s="142" t="str">
        <f>IFERROR(__xludf.DUMMYFUNCTION("""COMPUTED_VALUE"""),"Cagayancillo")</f>
        <v>Cagayancillo</v>
      </c>
      <c r="J275" s="142" t="str">
        <f>IFERROR(__xludf.DUMMYFUNCTION("""COMPUTED_VALUE"""),"Coron")</f>
        <v>Coron</v>
      </c>
      <c r="K275" s="142" t="str">
        <f>IFERROR(__xludf.DUMMYFUNCTION("""COMPUTED_VALUE"""),"Cuyo")</f>
        <v>Cuyo</v>
      </c>
      <c r="L275" s="142" t="str">
        <f>IFERROR(__xludf.DUMMYFUNCTION("""COMPUTED_VALUE"""),"Dumaran")</f>
        <v>Dumaran</v>
      </c>
      <c r="M275" s="142" t="str">
        <f>IFERROR(__xludf.DUMMYFUNCTION("""COMPUTED_VALUE"""),"El Nido")</f>
        <v>El Nido</v>
      </c>
      <c r="N275" s="142" t="str">
        <f>IFERROR(__xludf.DUMMYFUNCTION("""COMPUTED_VALUE"""),"Linapacan")</f>
        <v>Linapacan</v>
      </c>
      <c r="O275" s="142" t="str">
        <f>IFERROR(__xludf.DUMMYFUNCTION("""COMPUTED_VALUE"""),"Magsaysay")</f>
        <v>Magsaysay</v>
      </c>
      <c r="P275" s="142" t="str">
        <f>IFERROR(__xludf.DUMMYFUNCTION("""COMPUTED_VALUE"""),"Narra")</f>
        <v>Narra</v>
      </c>
      <c r="Q275" s="142" t="str">
        <f>IFERROR(__xludf.DUMMYFUNCTION("""COMPUTED_VALUE"""),"City of Puerto Princesa")</f>
        <v>City of Puerto Princesa</v>
      </c>
      <c r="R275" s="142" t="str">
        <f>IFERROR(__xludf.DUMMYFUNCTION("""COMPUTED_VALUE"""),"Quezon")</f>
        <v>Quezon</v>
      </c>
      <c r="S275" s="142" t="str">
        <f>IFERROR(__xludf.DUMMYFUNCTION("""COMPUTED_VALUE"""),"Roxas")</f>
        <v>Roxas</v>
      </c>
      <c r="T275" s="142" t="str">
        <f>IFERROR(__xludf.DUMMYFUNCTION("""COMPUTED_VALUE"""),"San Vicente")</f>
        <v>San Vicente</v>
      </c>
      <c r="U275" s="142" t="str">
        <f>IFERROR(__xludf.DUMMYFUNCTION("""COMPUTED_VALUE"""),"Taytay")</f>
        <v>Taytay</v>
      </c>
      <c r="V275" s="142" t="str">
        <f>IFERROR(__xludf.DUMMYFUNCTION("""COMPUTED_VALUE"""),"Kalayaan")</f>
        <v>Kalayaan</v>
      </c>
      <c r="W275" s="142" t="str">
        <f>IFERROR(__xludf.DUMMYFUNCTION("""COMPUTED_VALUE"""),"Culion")</f>
        <v>Culion</v>
      </c>
      <c r="X275" s="142" t="str">
        <f>IFERROR(__xludf.DUMMYFUNCTION("""COMPUTED_VALUE"""),"Dr. Jose P. Rizal")</f>
        <v>Dr. Jose P. Rizal</v>
      </c>
      <c r="Y275" s="142" t="str">
        <f>IFERROR(__xludf.DUMMYFUNCTION("""COMPUTED_VALUE"""),"Sofronio Española")</f>
        <v>Sofronio Española</v>
      </c>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row>
    <row r="276">
      <c r="A276" s="142" t="s">
        <v>649</v>
      </c>
      <c r="B276" s="142" t="str">
        <f>IFERROR(__xludf.DUMMYFUNCTION("""COMPUTED_VALUE"""),"Buenavista")</f>
        <v>Buenavista</v>
      </c>
      <c r="C276" s="142" t="str">
        <f>IFERROR(__xludf.DUMMYFUNCTION("""COMPUTED_VALUE"""),"City of Butuan")</f>
        <v>City of Butuan</v>
      </c>
      <c r="D276" s="142" t="str">
        <f>IFERROR(__xludf.DUMMYFUNCTION("""COMPUTED_VALUE"""),"City of Cabadbaran")</f>
        <v>City of Cabadbaran</v>
      </c>
      <c r="E276" s="142" t="str">
        <f>IFERROR(__xludf.DUMMYFUNCTION("""COMPUTED_VALUE"""),"Carmen")</f>
        <v>Carmen</v>
      </c>
      <c r="F276" s="142" t="str">
        <f>IFERROR(__xludf.DUMMYFUNCTION("""COMPUTED_VALUE"""),"Jabonga")</f>
        <v>Jabonga</v>
      </c>
      <c r="G276" s="142" t="str">
        <f>IFERROR(__xludf.DUMMYFUNCTION("""COMPUTED_VALUE"""),"Kitcharao")</f>
        <v>Kitcharao</v>
      </c>
      <c r="H276" s="142" t="str">
        <f>IFERROR(__xludf.DUMMYFUNCTION("""COMPUTED_VALUE"""),"Las Nieves")</f>
        <v>Las Nieves</v>
      </c>
      <c r="I276" s="142" t="str">
        <f>IFERROR(__xludf.DUMMYFUNCTION("""COMPUTED_VALUE"""),"Magallanes")</f>
        <v>Magallanes</v>
      </c>
      <c r="J276" s="142" t="str">
        <f>IFERROR(__xludf.DUMMYFUNCTION("""COMPUTED_VALUE"""),"Nasipit")</f>
        <v>Nasipit</v>
      </c>
      <c r="K276" s="142" t="str">
        <f>IFERROR(__xludf.DUMMYFUNCTION("""COMPUTED_VALUE"""),"Santiago")</f>
        <v>Santiago</v>
      </c>
      <c r="L276" s="142" t="str">
        <f>IFERROR(__xludf.DUMMYFUNCTION("""COMPUTED_VALUE"""),"Tubay")</f>
        <v>Tubay</v>
      </c>
      <c r="M276" s="142" t="str">
        <f>IFERROR(__xludf.DUMMYFUNCTION("""COMPUTED_VALUE"""),"Remedios T. Romualdez")</f>
        <v>Remedios T. Romualdez</v>
      </c>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row>
    <row r="277">
      <c r="A277" s="142" t="s">
        <v>1283</v>
      </c>
      <c r="B277" s="142" t="str">
        <f>IFERROR(__xludf.DUMMYFUNCTION("""COMPUTED_VALUE"""),"Abucay")</f>
        <v>Abucay</v>
      </c>
      <c r="C277" s="142" t="str">
        <f>IFERROR(__xludf.DUMMYFUNCTION("""COMPUTED_VALUE"""),"Bagac")</f>
        <v>Bagac</v>
      </c>
      <c r="D277" s="142" t="str">
        <f>IFERROR(__xludf.DUMMYFUNCTION("""COMPUTED_VALUE"""),"City of Balanga")</f>
        <v>City of Balanga</v>
      </c>
      <c r="E277" s="142" t="str">
        <f>IFERROR(__xludf.DUMMYFUNCTION("""COMPUTED_VALUE"""),"Dinalupihan")</f>
        <v>Dinalupihan</v>
      </c>
      <c r="F277" s="142" t="str">
        <f>IFERROR(__xludf.DUMMYFUNCTION("""COMPUTED_VALUE"""),"Hermosa")</f>
        <v>Hermosa</v>
      </c>
      <c r="G277" s="142" t="str">
        <f>IFERROR(__xludf.DUMMYFUNCTION("""COMPUTED_VALUE"""),"Limay")</f>
        <v>Limay</v>
      </c>
      <c r="H277" s="142" t="str">
        <f>IFERROR(__xludf.DUMMYFUNCTION("""COMPUTED_VALUE"""),"Mariveles")</f>
        <v>Mariveles</v>
      </c>
      <c r="I277" s="142" t="str">
        <f>IFERROR(__xludf.DUMMYFUNCTION("""COMPUTED_VALUE"""),"Morong")</f>
        <v>Morong</v>
      </c>
      <c r="J277" s="142" t="str">
        <f>IFERROR(__xludf.DUMMYFUNCTION("""COMPUTED_VALUE"""),"Orani")</f>
        <v>Orani</v>
      </c>
      <c r="K277" s="142" t="str">
        <f>IFERROR(__xludf.DUMMYFUNCTION("""COMPUTED_VALUE"""),"Orion")</f>
        <v>Orion</v>
      </c>
      <c r="L277" s="142" t="str">
        <f>IFERROR(__xludf.DUMMYFUNCTION("""COMPUTED_VALUE"""),"Pilar")</f>
        <v>Pilar</v>
      </c>
      <c r="M277" s="142" t="str">
        <f>IFERROR(__xludf.DUMMYFUNCTION("""COMPUTED_VALUE"""),"Samal")</f>
        <v>Samal</v>
      </c>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row>
    <row r="278">
      <c r="A278" s="142" t="s">
        <v>1191</v>
      </c>
      <c r="B278" s="142" t="str">
        <f>IFERROR(__xludf.DUMMYFUNCTION("""COMPUTED_VALUE"""),"Aroroy")</f>
        <v>Aroroy</v>
      </c>
      <c r="C278" s="142" t="str">
        <f>IFERROR(__xludf.DUMMYFUNCTION("""COMPUTED_VALUE"""),"Baleno")</f>
        <v>Baleno</v>
      </c>
      <c r="D278" s="142" t="str">
        <f>IFERROR(__xludf.DUMMYFUNCTION("""COMPUTED_VALUE"""),"Balud")</f>
        <v>Balud</v>
      </c>
      <c r="E278" s="142" t="str">
        <f>IFERROR(__xludf.DUMMYFUNCTION("""COMPUTED_VALUE"""),"Batuan")</f>
        <v>Batuan</v>
      </c>
      <c r="F278" s="142" t="str">
        <f>IFERROR(__xludf.DUMMYFUNCTION("""COMPUTED_VALUE"""),"Cataingan")</f>
        <v>Cataingan</v>
      </c>
      <c r="G278" s="142" t="str">
        <f>IFERROR(__xludf.DUMMYFUNCTION("""COMPUTED_VALUE"""),"Cawayan")</f>
        <v>Cawayan</v>
      </c>
      <c r="H278" s="142" t="str">
        <f>IFERROR(__xludf.DUMMYFUNCTION("""COMPUTED_VALUE"""),"Claveria")</f>
        <v>Claveria</v>
      </c>
      <c r="I278" s="142" t="str">
        <f>IFERROR(__xludf.DUMMYFUNCTION("""COMPUTED_VALUE"""),"Dimasalang")</f>
        <v>Dimasalang</v>
      </c>
      <c r="J278" s="142" t="str">
        <f>IFERROR(__xludf.DUMMYFUNCTION("""COMPUTED_VALUE"""),"Esperanza")</f>
        <v>Esperanza</v>
      </c>
      <c r="K278" s="142" t="str">
        <f>IFERROR(__xludf.DUMMYFUNCTION("""COMPUTED_VALUE"""),"Mandaon")</f>
        <v>Mandaon</v>
      </c>
      <c r="L278" s="142" t="str">
        <f>IFERROR(__xludf.DUMMYFUNCTION("""COMPUTED_VALUE"""),"City of Masbate")</f>
        <v>City of Masbate</v>
      </c>
      <c r="M278" s="142" t="str">
        <f>IFERROR(__xludf.DUMMYFUNCTION("""COMPUTED_VALUE"""),"Milagros")</f>
        <v>Milagros</v>
      </c>
      <c r="N278" s="142" t="str">
        <f>IFERROR(__xludf.DUMMYFUNCTION("""COMPUTED_VALUE"""),"Mobo")</f>
        <v>Mobo</v>
      </c>
      <c r="O278" s="142" t="str">
        <f>IFERROR(__xludf.DUMMYFUNCTION("""COMPUTED_VALUE"""),"Monreal")</f>
        <v>Monreal</v>
      </c>
      <c r="P278" s="142" t="str">
        <f>IFERROR(__xludf.DUMMYFUNCTION("""COMPUTED_VALUE"""),"Palanas")</f>
        <v>Palanas</v>
      </c>
      <c r="Q278" s="142" t="str">
        <f>IFERROR(__xludf.DUMMYFUNCTION("""COMPUTED_VALUE"""),"Pio V. Corpus")</f>
        <v>Pio V. Corpus</v>
      </c>
      <c r="R278" s="142" t="str">
        <f>IFERROR(__xludf.DUMMYFUNCTION("""COMPUTED_VALUE"""),"Placer")</f>
        <v>Placer</v>
      </c>
      <c r="S278" s="142" t="str">
        <f>IFERROR(__xludf.DUMMYFUNCTION("""COMPUTED_VALUE"""),"San Fernando")</f>
        <v>San Fernando</v>
      </c>
      <c r="T278" s="142" t="str">
        <f>IFERROR(__xludf.DUMMYFUNCTION("""COMPUTED_VALUE"""),"San Jacinto")</f>
        <v>San Jacinto</v>
      </c>
      <c r="U278" s="142" t="str">
        <f>IFERROR(__xludf.DUMMYFUNCTION("""COMPUTED_VALUE"""),"San Pascual")</f>
        <v>San Pascual</v>
      </c>
      <c r="V278" s="142" t="str">
        <f>IFERROR(__xludf.DUMMYFUNCTION("""COMPUTED_VALUE"""),"Uson")</f>
        <v>Uson</v>
      </c>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row>
    <row r="279">
      <c r="A279" s="142" t="s">
        <v>1997</v>
      </c>
      <c r="B279" s="142" t="str">
        <f>IFERROR(__xludf.DUMMYFUNCTION("""COMPUTED_VALUE"""),"Banga")</f>
        <v>Banga</v>
      </c>
      <c r="C279" s="142" t="str">
        <f>IFERROR(__xludf.DUMMYFUNCTION("""COMPUTED_VALUE"""),"City of General Santos")</f>
        <v>City of General Santos</v>
      </c>
      <c r="D279" s="142" t="str">
        <f>IFERROR(__xludf.DUMMYFUNCTION("""COMPUTED_VALUE"""),"City of Koronadal")</f>
        <v>City of Koronadal</v>
      </c>
      <c r="E279" s="142" t="str">
        <f>IFERROR(__xludf.DUMMYFUNCTION("""COMPUTED_VALUE"""),"Norala")</f>
        <v>Norala</v>
      </c>
      <c r="F279" s="142" t="str">
        <f>IFERROR(__xludf.DUMMYFUNCTION("""COMPUTED_VALUE"""),"Polomolok")</f>
        <v>Polomolok</v>
      </c>
      <c r="G279" s="142" t="str">
        <f>IFERROR(__xludf.DUMMYFUNCTION("""COMPUTED_VALUE"""),"Surallah")</f>
        <v>Surallah</v>
      </c>
      <c r="H279" s="142" t="str">
        <f>IFERROR(__xludf.DUMMYFUNCTION("""COMPUTED_VALUE"""),"Tampakan")</f>
        <v>Tampakan</v>
      </c>
      <c r="I279" s="142" t="str">
        <f>IFERROR(__xludf.DUMMYFUNCTION("""COMPUTED_VALUE"""),"Tantangan")</f>
        <v>Tantangan</v>
      </c>
      <c r="J279" s="142" t="str">
        <f>IFERROR(__xludf.DUMMYFUNCTION("""COMPUTED_VALUE"""),"T'Boli")</f>
        <v>T'Boli</v>
      </c>
      <c r="K279" s="142" t="str">
        <f>IFERROR(__xludf.DUMMYFUNCTION("""COMPUTED_VALUE"""),"Tupi")</f>
        <v>Tupi</v>
      </c>
      <c r="L279" s="142" t="str">
        <f>IFERROR(__xludf.DUMMYFUNCTION("""COMPUTED_VALUE"""),"Santo Niño")</f>
        <v>Santo Niño</v>
      </c>
      <c r="M279" s="142" t="str">
        <f>IFERROR(__xludf.DUMMYFUNCTION("""COMPUTED_VALUE"""),"Lake Sebu")</f>
        <v>Lake Sebu</v>
      </c>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row>
    <row r="280">
      <c r="A280" s="142" t="s">
        <v>357</v>
      </c>
      <c r="B280" s="142" t="str">
        <f>IFERROR(__xludf.DUMMYFUNCTION("""COMPUTED_VALUE"""),"Alabel")</f>
        <v>Alabel</v>
      </c>
      <c r="C280" s="142" t="str">
        <f>IFERROR(__xludf.DUMMYFUNCTION("""COMPUTED_VALUE"""),"Glan")</f>
        <v>Glan</v>
      </c>
      <c r="D280" s="142" t="str">
        <f>IFERROR(__xludf.DUMMYFUNCTION("""COMPUTED_VALUE"""),"Kiamba")</f>
        <v>Kiamba</v>
      </c>
      <c r="E280" s="142" t="str">
        <f>IFERROR(__xludf.DUMMYFUNCTION("""COMPUTED_VALUE"""),"Maasim")</f>
        <v>Maasim</v>
      </c>
      <c r="F280" s="142" t="str">
        <f>IFERROR(__xludf.DUMMYFUNCTION("""COMPUTED_VALUE"""),"Maitum")</f>
        <v>Maitum</v>
      </c>
      <c r="G280" s="142" t="str">
        <f>IFERROR(__xludf.DUMMYFUNCTION("""COMPUTED_VALUE"""),"Malapatan")</f>
        <v>Malapatan</v>
      </c>
      <c r="H280" s="142" t="str">
        <f>IFERROR(__xludf.DUMMYFUNCTION("""COMPUTED_VALUE"""),"Malungon")</f>
        <v>Malungon</v>
      </c>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row>
    <row r="281">
      <c r="A281" s="142" t="s">
        <v>172</v>
      </c>
      <c r="B281" s="142" t="str">
        <f>IFERROR(__xludf.DUMMYFUNCTION("""COMPUTED_VALUE"""),"Alubijid")</f>
        <v>Alubijid</v>
      </c>
      <c r="C281" s="142" t="str">
        <f>IFERROR(__xludf.DUMMYFUNCTION("""COMPUTED_VALUE"""),"Balingasag")</f>
        <v>Balingasag</v>
      </c>
      <c r="D281" s="142" t="str">
        <f>IFERROR(__xludf.DUMMYFUNCTION("""COMPUTED_VALUE"""),"Balingoan")</f>
        <v>Balingoan</v>
      </c>
      <c r="E281" s="142" t="str">
        <f>IFERROR(__xludf.DUMMYFUNCTION("""COMPUTED_VALUE"""),"Binuangan")</f>
        <v>Binuangan</v>
      </c>
      <c r="F281" s="142" t="str">
        <f>IFERROR(__xludf.DUMMYFUNCTION("""COMPUTED_VALUE"""),"City of Cagayan De Oro")</f>
        <v>City of Cagayan De Oro</v>
      </c>
      <c r="G281" s="142" t="str">
        <f>IFERROR(__xludf.DUMMYFUNCTION("""COMPUTED_VALUE"""),"Claveria")</f>
        <v>Claveria</v>
      </c>
      <c r="H281" s="142" t="str">
        <f>IFERROR(__xludf.DUMMYFUNCTION("""COMPUTED_VALUE"""),"City of El Salvador")</f>
        <v>City of El Salvador</v>
      </c>
      <c r="I281" s="142" t="str">
        <f>IFERROR(__xludf.DUMMYFUNCTION("""COMPUTED_VALUE"""),"City of Gingoog")</f>
        <v>City of Gingoog</v>
      </c>
      <c r="J281" s="142" t="str">
        <f>IFERROR(__xludf.DUMMYFUNCTION("""COMPUTED_VALUE"""),"Gitagum")</f>
        <v>Gitagum</v>
      </c>
      <c r="K281" s="142" t="str">
        <f>IFERROR(__xludf.DUMMYFUNCTION("""COMPUTED_VALUE"""),"Initao")</f>
        <v>Initao</v>
      </c>
      <c r="L281" s="142" t="str">
        <f>IFERROR(__xludf.DUMMYFUNCTION("""COMPUTED_VALUE"""),"Jasaan")</f>
        <v>Jasaan</v>
      </c>
      <c r="M281" s="142" t="str">
        <f>IFERROR(__xludf.DUMMYFUNCTION("""COMPUTED_VALUE"""),"Kinoguitan")</f>
        <v>Kinoguitan</v>
      </c>
      <c r="N281" s="142" t="str">
        <f>IFERROR(__xludf.DUMMYFUNCTION("""COMPUTED_VALUE"""),"Lagonglong")</f>
        <v>Lagonglong</v>
      </c>
      <c r="O281" s="142" t="str">
        <f>IFERROR(__xludf.DUMMYFUNCTION("""COMPUTED_VALUE"""),"Laguindingan")</f>
        <v>Laguindingan</v>
      </c>
      <c r="P281" s="142" t="str">
        <f>IFERROR(__xludf.DUMMYFUNCTION("""COMPUTED_VALUE"""),"Libertad")</f>
        <v>Libertad</v>
      </c>
      <c r="Q281" s="142" t="str">
        <f>IFERROR(__xludf.DUMMYFUNCTION("""COMPUTED_VALUE"""),"Lugait")</f>
        <v>Lugait</v>
      </c>
      <c r="R281" s="142" t="str">
        <f>IFERROR(__xludf.DUMMYFUNCTION("""COMPUTED_VALUE"""),"Magsaysay")</f>
        <v>Magsaysay</v>
      </c>
      <c r="S281" s="142" t="str">
        <f>IFERROR(__xludf.DUMMYFUNCTION("""COMPUTED_VALUE"""),"Manticao")</f>
        <v>Manticao</v>
      </c>
      <c r="T281" s="142" t="str">
        <f>IFERROR(__xludf.DUMMYFUNCTION("""COMPUTED_VALUE"""),"Medina")</f>
        <v>Medina</v>
      </c>
      <c r="U281" s="142" t="str">
        <f>IFERROR(__xludf.DUMMYFUNCTION("""COMPUTED_VALUE"""),"Naawan")</f>
        <v>Naawan</v>
      </c>
      <c r="V281" s="142" t="str">
        <f>IFERROR(__xludf.DUMMYFUNCTION("""COMPUTED_VALUE"""),"Opol")</f>
        <v>Opol</v>
      </c>
      <c r="W281" s="142" t="str">
        <f>IFERROR(__xludf.DUMMYFUNCTION("""COMPUTED_VALUE"""),"Salay")</f>
        <v>Salay</v>
      </c>
      <c r="X281" s="142" t="str">
        <f>IFERROR(__xludf.DUMMYFUNCTION("""COMPUTED_VALUE"""),"Sugbongcogon")</f>
        <v>Sugbongcogon</v>
      </c>
      <c r="Y281" s="142" t="str">
        <f>IFERROR(__xludf.DUMMYFUNCTION("""COMPUTED_VALUE"""),"Tagoloan")</f>
        <v>Tagoloan</v>
      </c>
      <c r="Z281" s="142" t="str">
        <f>IFERROR(__xludf.DUMMYFUNCTION("""COMPUTED_VALUE"""),"Talisayan")</f>
        <v>Talisayan</v>
      </c>
      <c r="AA281" s="142" t="str">
        <f>IFERROR(__xludf.DUMMYFUNCTION("""COMPUTED_VALUE"""),"Villanueva")</f>
        <v>Villanueva</v>
      </c>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row>
    <row r="282">
      <c r="A282" s="142" t="s">
        <v>438</v>
      </c>
      <c r="B282" s="142" t="str">
        <f>IFERROR(__xludf.DUMMYFUNCTION("""COMPUTED_VALUE"""),"Agoo")</f>
        <v>Agoo</v>
      </c>
      <c r="C282" s="142" t="str">
        <f>IFERROR(__xludf.DUMMYFUNCTION("""COMPUTED_VALUE"""),"Aringay")</f>
        <v>Aringay</v>
      </c>
      <c r="D282" s="142" t="str">
        <f>IFERROR(__xludf.DUMMYFUNCTION("""COMPUTED_VALUE"""),"Bacnotan")</f>
        <v>Bacnotan</v>
      </c>
      <c r="E282" s="142" t="str">
        <f>IFERROR(__xludf.DUMMYFUNCTION("""COMPUTED_VALUE"""),"Bagulin")</f>
        <v>Bagulin</v>
      </c>
      <c r="F282" s="142" t="str">
        <f>IFERROR(__xludf.DUMMYFUNCTION("""COMPUTED_VALUE"""),"Balaoan")</f>
        <v>Balaoan</v>
      </c>
      <c r="G282" s="142" t="str">
        <f>IFERROR(__xludf.DUMMYFUNCTION("""COMPUTED_VALUE"""),"Bangar")</f>
        <v>Bangar</v>
      </c>
      <c r="H282" s="142" t="str">
        <f>IFERROR(__xludf.DUMMYFUNCTION("""COMPUTED_VALUE"""),"Bauang")</f>
        <v>Bauang</v>
      </c>
      <c r="I282" s="142" t="str">
        <f>IFERROR(__xludf.DUMMYFUNCTION("""COMPUTED_VALUE"""),"Burgos")</f>
        <v>Burgos</v>
      </c>
      <c r="J282" s="142" t="str">
        <f>IFERROR(__xludf.DUMMYFUNCTION("""COMPUTED_VALUE"""),"Caba")</f>
        <v>Caba</v>
      </c>
      <c r="K282" s="142" t="str">
        <f>IFERROR(__xludf.DUMMYFUNCTION("""COMPUTED_VALUE"""),"Luna")</f>
        <v>Luna</v>
      </c>
      <c r="L282" s="142" t="str">
        <f>IFERROR(__xludf.DUMMYFUNCTION("""COMPUTED_VALUE"""),"Naguilian")</f>
        <v>Naguilian</v>
      </c>
      <c r="M282" s="142" t="str">
        <f>IFERROR(__xludf.DUMMYFUNCTION("""COMPUTED_VALUE"""),"Pugo")</f>
        <v>Pugo</v>
      </c>
      <c r="N282" s="142" t="str">
        <f>IFERROR(__xludf.DUMMYFUNCTION("""COMPUTED_VALUE"""),"Rosario")</f>
        <v>Rosario</v>
      </c>
      <c r="O282" s="142" t="str">
        <f>IFERROR(__xludf.DUMMYFUNCTION("""COMPUTED_VALUE"""),"City of San Fernando")</f>
        <v>City of San Fernando</v>
      </c>
      <c r="P282" s="142" t="str">
        <f>IFERROR(__xludf.DUMMYFUNCTION("""COMPUTED_VALUE"""),"San Gabriel")</f>
        <v>San Gabriel</v>
      </c>
      <c r="Q282" s="142" t="str">
        <f>IFERROR(__xludf.DUMMYFUNCTION("""COMPUTED_VALUE"""),"San Juan")</f>
        <v>San Juan</v>
      </c>
      <c r="R282" s="142" t="str">
        <f>IFERROR(__xludf.DUMMYFUNCTION("""COMPUTED_VALUE"""),"Santo Tomas")</f>
        <v>Santo Tomas</v>
      </c>
      <c r="S282" s="142" t="str">
        <f>IFERROR(__xludf.DUMMYFUNCTION("""COMPUTED_VALUE"""),"Santol")</f>
        <v>Santol</v>
      </c>
      <c r="T282" s="142" t="str">
        <f>IFERROR(__xludf.DUMMYFUNCTION("""COMPUTED_VALUE"""),"Sudipen")</f>
        <v>Sudipen</v>
      </c>
      <c r="U282" s="142" t="str">
        <f>IFERROR(__xludf.DUMMYFUNCTION("""COMPUTED_VALUE"""),"Tubao")</f>
        <v>Tubao</v>
      </c>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row>
    <row r="283">
      <c r="A283" s="142" t="s">
        <v>258</v>
      </c>
      <c r="B283" s="142" t="str">
        <f>IFERROR(__xludf.DUMMYFUNCTION("""COMPUTED_VALUE"""),"Agoncillo")</f>
        <v>Agoncillo</v>
      </c>
      <c r="C283" s="142" t="str">
        <f>IFERROR(__xludf.DUMMYFUNCTION("""COMPUTED_VALUE"""),"Alitagtag")</f>
        <v>Alitagtag</v>
      </c>
      <c r="D283" s="142" t="str">
        <f>IFERROR(__xludf.DUMMYFUNCTION("""COMPUTED_VALUE"""),"Balayan")</f>
        <v>Balayan</v>
      </c>
      <c r="E283" s="142" t="str">
        <f>IFERROR(__xludf.DUMMYFUNCTION("""COMPUTED_VALUE"""),"Balete")</f>
        <v>Balete</v>
      </c>
      <c r="F283" s="142" t="str">
        <f>IFERROR(__xludf.DUMMYFUNCTION("""COMPUTED_VALUE"""),"Batangas City")</f>
        <v>Batangas City</v>
      </c>
      <c r="G283" s="142" t="str">
        <f>IFERROR(__xludf.DUMMYFUNCTION("""COMPUTED_VALUE"""),"Bauan")</f>
        <v>Bauan</v>
      </c>
      <c r="H283" s="142" t="str">
        <f>IFERROR(__xludf.DUMMYFUNCTION("""COMPUTED_VALUE"""),"City of Calaca")</f>
        <v>City of Calaca</v>
      </c>
      <c r="I283" s="142" t="str">
        <f>IFERROR(__xludf.DUMMYFUNCTION("""COMPUTED_VALUE"""),"Calatagan")</f>
        <v>Calatagan</v>
      </c>
      <c r="J283" s="142" t="str">
        <f>IFERROR(__xludf.DUMMYFUNCTION("""COMPUTED_VALUE"""),"Cuenca")</f>
        <v>Cuenca</v>
      </c>
      <c r="K283" s="142" t="str">
        <f>IFERROR(__xludf.DUMMYFUNCTION("""COMPUTED_VALUE"""),"Ibaan")</f>
        <v>Ibaan</v>
      </c>
      <c r="L283" s="142" t="str">
        <f>IFERROR(__xludf.DUMMYFUNCTION("""COMPUTED_VALUE"""),"Laurel")</f>
        <v>Laurel</v>
      </c>
      <c r="M283" s="142" t="str">
        <f>IFERROR(__xludf.DUMMYFUNCTION("""COMPUTED_VALUE"""),"Lemery")</f>
        <v>Lemery</v>
      </c>
      <c r="N283" s="142" t="str">
        <f>IFERROR(__xludf.DUMMYFUNCTION("""COMPUTED_VALUE"""),"Lian")</f>
        <v>Lian</v>
      </c>
      <c r="O283" s="142" t="str">
        <f>IFERROR(__xludf.DUMMYFUNCTION("""COMPUTED_VALUE"""),"City of Lipa")</f>
        <v>City of Lipa</v>
      </c>
      <c r="P283" s="142" t="str">
        <f>IFERROR(__xludf.DUMMYFUNCTION("""COMPUTED_VALUE"""),"Lobo")</f>
        <v>Lobo</v>
      </c>
      <c r="Q283" s="142" t="str">
        <f>IFERROR(__xludf.DUMMYFUNCTION("""COMPUTED_VALUE"""),"Mabini")</f>
        <v>Mabini</v>
      </c>
      <c r="R283" s="142" t="str">
        <f>IFERROR(__xludf.DUMMYFUNCTION("""COMPUTED_VALUE"""),"Malvar")</f>
        <v>Malvar</v>
      </c>
      <c r="S283" s="142" t="str">
        <f>IFERROR(__xludf.DUMMYFUNCTION("""COMPUTED_VALUE"""),"Mataasnakahoy")</f>
        <v>Mataasnakahoy</v>
      </c>
      <c r="T283" s="142" t="str">
        <f>IFERROR(__xludf.DUMMYFUNCTION("""COMPUTED_VALUE"""),"Nasugbu")</f>
        <v>Nasugbu</v>
      </c>
      <c r="U283" s="142" t="str">
        <f>IFERROR(__xludf.DUMMYFUNCTION("""COMPUTED_VALUE"""),"Padre Garcia")</f>
        <v>Padre Garcia</v>
      </c>
      <c r="V283" s="142" t="str">
        <f>IFERROR(__xludf.DUMMYFUNCTION("""COMPUTED_VALUE"""),"Rosario")</f>
        <v>Rosario</v>
      </c>
      <c r="W283" s="142" t="str">
        <f>IFERROR(__xludf.DUMMYFUNCTION("""COMPUTED_VALUE"""),"San Jose")</f>
        <v>San Jose</v>
      </c>
      <c r="X283" s="142" t="str">
        <f>IFERROR(__xludf.DUMMYFUNCTION("""COMPUTED_VALUE"""),"San Juan")</f>
        <v>San Juan</v>
      </c>
      <c r="Y283" s="142" t="str">
        <f>IFERROR(__xludf.DUMMYFUNCTION("""COMPUTED_VALUE"""),"San Luis")</f>
        <v>San Luis</v>
      </c>
      <c r="Z283" s="142" t="str">
        <f>IFERROR(__xludf.DUMMYFUNCTION("""COMPUTED_VALUE"""),"San Nicolas")</f>
        <v>San Nicolas</v>
      </c>
      <c r="AA283" s="142" t="str">
        <f>IFERROR(__xludf.DUMMYFUNCTION("""COMPUTED_VALUE"""),"San Pascual")</f>
        <v>San Pascual</v>
      </c>
      <c r="AB283" s="142" t="str">
        <f>IFERROR(__xludf.DUMMYFUNCTION("""COMPUTED_VALUE"""),"Santa Teresita")</f>
        <v>Santa Teresita</v>
      </c>
      <c r="AC283" s="142" t="str">
        <f>IFERROR(__xludf.DUMMYFUNCTION("""COMPUTED_VALUE"""),"City of Sto. Tomas")</f>
        <v>City of Sto. Tomas</v>
      </c>
      <c r="AD283" s="142" t="str">
        <f>IFERROR(__xludf.DUMMYFUNCTION("""COMPUTED_VALUE"""),"Taal")</f>
        <v>Taal</v>
      </c>
      <c r="AE283" s="142" t="str">
        <f>IFERROR(__xludf.DUMMYFUNCTION("""COMPUTED_VALUE"""),"Talisay")</f>
        <v>Talisay</v>
      </c>
      <c r="AF283" s="142" t="str">
        <f>IFERROR(__xludf.DUMMYFUNCTION("""COMPUTED_VALUE"""),"City of Tanauan")</f>
        <v>City of Tanauan</v>
      </c>
      <c r="AG283" s="142" t="str">
        <f>IFERROR(__xludf.DUMMYFUNCTION("""COMPUTED_VALUE"""),"Taysan")</f>
        <v>Taysan</v>
      </c>
      <c r="AH283" s="142" t="str">
        <f>IFERROR(__xludf.DUMMYFUNCTION("""COMPUTED_VALUE"""),"Tingloy")</f>
        <v>Tingloy</v>
      </c>
      <c r="AI283" s="142" t="str">
        <f>IFERROR(__xludf.DUMMYFUNCTION("""COMPUTED_VALUE"""),"Tuy")</f>
        <v>Tuy</v>
      </c>
      <c r="AJ283" s="8"/>
      <c r="AK283" s="8"/>
      <c r="AL283" s="8"/>
      <c r="AM283" s="8"/>
      <c r="AN283" s="8"/>
      <c r="AO283" s="8"/>
      <c r="AP283" s="8"/>
      <c r="AQ283" s="8"/>
      <c r="AR283" s="8"/>
      <c r="AS283" s="8"/>
      <c r="AT283" s="8"/>
      <c r="AU283" s="8"/>
      <c r="AV283" s="8"/>
      <c r="AW283" s="8"/>
      <c r="AX283" s="8"/>
      <c r="AY283" s="8"/>
      <c r="AZ283" s="8"/>
      <c r="BA283" s="8"/>
      <c r="BB283" s="8"/>
      <c r="BC283" s="8"/>
      <c r="BD283" s="8"/>
      <c r="BE283" s="8"/>
    </row>
    <row r="284">
      <c r="A284" s="142" t="s">
        <v>331</v>
      </c>
      <c r="B284" s="142" t="str">
        <f>IFERROR(__xludf.DUMMYFUNCTION("""COMPUTED_VALUE"""),"Asuncion")</f>
        <v>Asuncion</v>
      </c>
      <c r="C284" s="142" t="str">
        <f>IFERROR(__xludf.DUMMYFUNCTION("""COMPUTED_VALUE"""),"Carmen")</f>
        <v>Carmen</v>
      </c>
      <c r="D284" s="142" t="str">
        <f>IFERROR(__xludf.DUMMYFUNCTION("""COMPUTED_VALUE"""),"Kapalong")</f>
        <v>Kapalong</v>
      </c>
      <c r="E284" s="142" t="str">
        <f>IFERROR(__xludf.DUMMYFUNCTION("""COMPUTED_VALUE"""),"New Corella")</f>
        <v>New Corella</v>
      </c>
      <c r="F284" s="142" t="str">
        <f>IFERROR(__xludf.DUMMYFUNCTION("""COMPUTED_VALUE"""),"City of Panabo")</f>
        <v>City of Panabo</v>
      </c>
      <c r="G284" s="142" t="str">
        <f>IFERROR(__xludf.DUMMYFUNCTION("""COMPUTED_VALUE"""),"Island Garden City of Samal")</f>
        <v>Island Garden City of Samal</v>
      </c>
      <c r="H284" s="142" t="str">
        <f>IFERROR(__xludf.DUMMYFUNCTION("""COMPUTED_VALUE"""),"Santo Tomas")</f>
        <v>Santo Tomas</v>
      </c>
      <c r="I284" s="142" t="str">
        <f>IFERROR(__xludf.DUMMYFUNCTION("""COMPUTED_VALUE"""),"City of Tagum")</f>
        <v>City of Tagum</v>
      </c>
      <c r="J284" s="142" t="str">
        <f>IFERROR(__xludf.DUMMYFUNCTION("""COMPUTED_VALUE"""),"Talaingod")</f>
        <v>Talaingod</v>
      </c>
      <c r="K284" s="142" t="str">
        <f>IFERROR(__xludf.DUMMYFUNCTION("""COMPUTED_VALUE"""),"Braulio E. Dujali")</f>
        <v>Braulio E. Dujali</v>
      </c>
      <c r="L284" s="142" t="str">
        <f>IFERROR(__xludf.DUMMYFUNCTION("""COMPUTED_VALUE"""),"San Isidro")</f>
        <v>San Isidro</v>
      </c>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row>
    <row r="285">
      <c r="A285" s="142" t="s">
        <v>558</v>
      </c>
      <c r="B285" s="142" t="str">
        <f>IFERROR(__xludf.DUMMYFUNCTION("""COMPUTED_VALUE"""),"Ajuy")</f>
        <v>Ajuy</v>
      </c>
      <c r="C285" s="142" t="str">
        <f>IFERROR(__xludf.DUMMYFUNCTION("""COMPUTED_VALUE"""),"Alimodian")</f>
        <v>Alimodian</v>
      </c>
      <c r="D285" s="142" t="str">
        <f>IFERROR(__xludf.DUMMYFUNCTION("""COMPUTED_VALUE"""),"Anilao")</f>
        <v>Anilao</v>
      </c>
      <c r="E285" s="142" t="str">
        <f>IFERROR(__xludf.DUMMYFUNCTION("""COMPUTED_VALUE"""),"Badiangan")</f>
        <v>Badiangan</v>
      </c>
      <c r="F285" s="142" t="str">
        <f>IFERROR(__xludf.DUMMYFUNCTION("""COMPUTED_VALUE"""),"Balasan")</f>
        <v>Balasan</v>
      </c>
      <c r="G285" s="142" t="str">
        <f>IFERROR(__xludf.DUMMYFUNCTION("""COMPUTED_VALUE"""),"Banate")</f>
        <v>Banate</v>
      </c>
      <c r="H285" s="142" t="str">
        <f>IFERROR(__xludf.DUMMYFUNCTION("""COMPUTED_VALUE"""),"Barotac Nuevo")</f>
        <v>Barotac Nuevo</v>
      </c>
      <c r="I285" s="142" t="str">
        <f>IFERROR(__xludf.DUMMYFUNCTION("""COMPUTED_VALUE"""),"Barotac Viejo")</f>
        <v>Barotac Viejo</v>
      </c>
      <c r="J285" s="142" t="str">
        <f>IFERROR(__xludf.DUMMYFUNCTION("""COMPUTED_VALUE"""),"Batad")</f>
        <v>Batad</v>
      </c>
      <c r="K285" s="142" t="str">
        <f>IFERROR(__xludf.DUMMYFUNCTION("""COMPUTED_VALUE"""),"Bingawan")</f>
        <v>Bingawan</v>
      </c>
      <c r="L285" s="142" t="str">
        <f>IFERROR(__xludf.DUMMYFUNCTION("""COMPUTED_VALUE"""),"Cabatuan")</f>
        <v>Cabatuan</v>
      </c>
      <c r="M285" s="142" t="str">
        <f>IFERROR(__xludf.DUMMYFUNCTION("""COMPUTED_VALUE"""),"Calinog")</f>
        <v>Calinog</v>
      </c>
      <c r="N285" s="142" t="str">
        <f>IFERROR(__xludf.DUMMYFUNCTION("""COMPUTED_VALUE"""),"Carles")</f>
        <v>Carles</v>
      </c>
      <c r="O285" s="142" t="str">
        <f>IFERROR(__xludf.DUMMYFUNCTION("""COMPUTED_VALUE"""),"Concepcion")</f>
        <v>Concepcion</v>
      </c>
      <c r="P285" s="142" t="str">
        <f>IFERROR(__xludf.DUMMYFUNCTION("""COMPUTED_VALUE"""),"Dingle")</f>
        <v>Dingle</v>
      </c>
      <c r="Q285" s="142" t="str">
        <f>IFERROR(__xludf.DUMMYFUNCTION("""COMPUTED_VALUE"""),"Dueñas")</f>
        <v>Dueñas</v>
      </c>
      <c r="R285" s="142" t="str">
        <f>IFERROR(__xludf.DUMMYFUNCTION("""COMPUTED_VALUE"""),"Dumangas")</f>
        <v>Dumangas</v>
      </c>
      <c r="S285" s="142" t="str">
        <f>IFERROR(__xludf.DUMMYFUNCTION("""COMPUTED_VALUE"""),"Estancia")</f>
        <v>Estancia</v>
      </c>
      <c r="T285" s="142" t="str">
        <f>IFERROR(__xludf.DUMMYFUNCTION("""COMPUTED_VALUE"""),"Guimbal")</f>
        <v>Guimbal</v>
      </c>
      <c r="U285" s="142" t="str">
        <f>IFERROR(__xludf.DUMMYFUNCTION("""COMPUTED_VALUE"""),"Igbaras")</f>
        <v>Igbaras</v>
      </c>
      <c r="V285" s="142" t="str">
        <f>IFERROR(__xludf.DUMMYFUNCTION("""COMPUTED_VALUE"""),"City of Iloilo")</f>
        <v>City of Iloilo</v>
      </c>
      <c r="W285" s="142" t="str">
        <f>IFERROR(__xludf.DUMMYFUNCTION("""COMPUTED_VALUE"""),"Janiuay")</f>
        <v>Janiuay</v>
      </c>
      <c r="X285" s="142" t="str">
        <f>IFERROR(__xludf.DUMMYFUNCTION("""COMPUTED_VALUE"""),"Lambunao")</f>
        <v>Lambunao</v>
      </c>
      <c r="Y285" s="142" t="str">
        <f>IFERROR(__xludf.DUMMYFUNCTION("""COMPUTED_VALUE"""),"Leganes")</f>
        <v>Leganes</v>
      </c>
      <c r="Z285" s="142" t="str">
        <f>IFERROR(__xludf.DUMMYFUNCTION("""COMPUTED_VALUE"""),"Lemery")</f>
        <v>Lemery</v>
      </c>
      <c r="AA285" s="142" t="str">
        <f>IFERROR(__xludf.DUMMYFUNCTION("""COMPUTED_VALUE"""),"Leon")</f>
        <v>Leon</v>
      </c>
      <c r="AB285" s="142" t="str">
        <f>IFERROR(__xludf.DUMMYFUNCTION("""COMPUTED_VALUE"""),"Maasin")</f>
        <v>Maasin</v>
      </c>
      <c r="AC285" s="142" t="str">
        <f>IFERROR(__xludf.DUMMYFUNCTION("""COMPUTED_VALUE"""),"Miagao")</f>
        <v>Miagao</v>
      </c>
      <c r="AD285" s="142" t="str">
        <f>IFERROR(__xludf.DUMMYFUNCTION("""COMPUTED_VALUE"""),"Mina")</f>
        <v>Mina</v>
      </c>
      <c r="AE285" s="142" t="str">
        <f>IFERROR(__xludf.DUMMYFUNCTION("""COMPUTED_VALUE"""),"New Lucena")</f>
        <v>New Lucena</v>
      </c>
      <c r="AF285" s="142" t="str">
        <f>IFERROR(__xludf.DUMMYFUNCTION("""COMPUTED_VALUE"""),"Oton")</f>
        <v>Oton</v>
      </c>
      <c r="AG285" s="142" t="str">
        <f>IFERROR(__xludf.DUMMYFUNCTION("""COMPUTED_VALUE"""),"City of Passi")</f>
        <v>City of Passi</v>
      </c>
      <c r="AH285" s="142" t="str">
        <f>IFERROR(__xludf.DUMMYFUNCTION("""COMPUTED_VALUE"""),"Pavia")</f>
        <v>Pavia</v>
      </c>
      <c r="AI285" s="142" t="str">
        <f>IFERROR(__xludf.DUMMYFUNCTION("""COMPUTED_VALUE"""),"Pototan")</f>
        <v>Pototan</v>
      </c>
      <c r="AJ285" s="142" t="str">
        <f>IFERROR(__xludf.DUMMYFUNCTION("""COMPUTED_VALUE"""),"San Dionisio")</f>
        <v>San Dionisio</v>
      </c>
      <c r="AK285" s="142" t="str">
        <f>IFERROR(__xludf.DUMMYFUNCTION("""COMPUTED_VALUE"""),"San Enrique")</f>
        <v>San Enrique</v>
      </c>
      <c r="AL285" s="142" t="str">
        <f>IFERROR(__xludf.DUMMYFUNCTION("""COMPUTED_VALUE"""),"San Joaquin")</f>
        <v>San Joaquin</v>
      </c>
      <c r="AM285" s="142" t="str">
        <f>IFERROR(__xludf.DUMMYFUNCTION("""COMPUTED_VALUE"""),"San Miguel")</f>
        <v>San Miguel</v>
      </c>
      <c r="AN285" s="142" t="str">
        <f>IFERROR(__xludf.DUMMYFUNCTION("""COMPUTED_VALUE"""),"San Rafael")</f>
        <v>San Rafael</v>
      </c>
      <c r="AO285" s="142" t="str">
        <f>IFERROR(__xludf.DUMMYFUNCTION("""COMPUTED_VALUE"""),"Santa Barbara")</f>
        <v>Santa Barbara</v>
      </c>
      <c r="AP285" s="142" t="str">
        <f>IFERROR(__xludf.DUMMYFUNCTION("""COMPUTED_VALUE"""),"Sara")</f>
        <v>Sara</v>
      </c>
      <c r="AQ285" s="142" t="str">
        <f>IFERROR(__xludf.DUMMYFUNCTION("""COMPUTED_VALUE"""),"Tigbauan")</f>
        <v>Tigbauan</v>
      </c>
      <c r="AR285" s="142" t="str">
        <f>IFERROR(__xludf.DUMMYFUNCTION("""COMPUTED_VALUE"""),"Tubungan")</f>
        <v>Tubungan</v>
      </c>
      <c r="AS285" s="142" t="str">
        <f>IFERROR(__xludf.DUMMYFUNCTION("""COMPUTED_VALUE"""),"Zarraga")</f>
        <v>Zarraga</v>
      </c>
      <c r="AT285" s="8"/>
      <c r="AU285" s="8"/>
      <c r="AV285" s="8"/>
      <c r="AW285" s="8"/>
      <c r="AX285" s="8"/>
      <c r="AY285" s="8"/>
      <c r="AZ285" s="8"/>
      <c r="BA285" s="8"/>
      <c r="BB285" s="8"/>
      <c r="BC285" s="8"/>
      <c r="BD285" s="8"/>
      <c r="BE285" s="8"/>
    </row>
    <row r="286">
      <c r="A286" s="142" t="s">
        <v>194</v>
      </c>
      <c r="B286" s="142" t="str">
        <f>IFERROR(__xludf.DUMMYFUNCTION("""COMPUTED_VALUE"""),"Alcantara")</f>
        <v>Alcantara</v>
      </c>
      <c r="C286" s="142" t="str">
        <f>IFERROR(__xludf.DUMMYFUNCTION("""COMPUTED_VALUE"""),"Alcoy")</f>
        <v>Alcoy</v>
      </c>
      <c r="D286" s="142" t="str">
        <f>IFERROR(__xludf.DUMMYFUNCTION("""COMPUTED_VALUE"""),"Alegria")</f>
        <v>Alegria</v>
      </c>
      <c r="E286" s="142" t="str">
        <f>IFERROR(__xludf.DUMMYFUNCTION("""COMPUTED_VALUE"""),"Aloguinsan")</f>
        <v>Aloguinsan</v>
      </c>
      <c r="F286" s="142" t="str">
        <f>IFERROR(__xludf.DUMMYFUNCTION("""COMPUTED_VALUE"""),"Argao")</f>
        <v>Argao</v>
      </c>
      <c r="G286" s="142" t="str">
        <f>IFERROR(__xludf.DUMMYFUNCTION("""COMPUTED_VALUE"""),"Asturias")</f>
        <v>Asturias</v>
      </c>
      <c r="H286" s="142" t="str">
        <f>IFERROR(__xludf.DUMMYFUNCTION("""COMPUTED_VALUE"""),"Badian")</f>
        <v>Badian</v>
      </c>
      <c r="I286" s="142" t="str">
        <f>IFERROR(__xludf.DUMMYFUNCTION("""COMPUTED_VALUE"""),"Balamban")</f>
        <v>Balamban</v>
      </c>
      <c r="J286" s="142" t="str">
        <f>IFERROR(__xludf.DUMMYFUNCTION("""COMPUTED_VALUE"""),"Bantayan")</f>
        <v>Bantayan</v>
      </c>
      <c r="K286" s="142" t="str">
        <f>IFERROR(__xludf.DUMMYFUNCTION("""COMPUTED_VALUE"""),"Barili")</f>
        <v>Barili</v>
      </c>
      <c r="L286" s="142" t="str">
        <f>IFERROR(__xludf.DUMMYFUNCTION("""COMPUTED_VALUE"""),"City of Bogo")</f>
        <v>City of Bogo</v>
      </c>
      <c r="M286" s="142" t="str">
        <f>IFERROR(__xludf.DUMMYFUNCTION("""COMPUTED_VALUE"""),"Boljoon")</f>
        <v>Boljoon</v>
      </c>
      <c r="N286" s="142" t="str">
        <f>IFERROR(__xludf.DUMMYFUNCTION("""COMPUTED_VALUE"""),"Borbon")</f>
        <v>Borbon</v>
      </c>
      <c r="O286" s="142" t="str">
        <f>IFERROR(__xludf.DUMMYFUNCTION("""COMPUTED_VALUE"""),"City of Carcar")</f>
        <v>City of Carcar</v>
      </c>
      <c r="P286" s="142" t="str">
        <f>IFERROR(__xludf.DUMMYFUNCTION("""COMPUTED_VALUE"""),"Carmen")</f>
        <v>Carmen</v>
      </c>
      <c r="Q286" s="142" t="str">
        <f>IFERROR(__xludf.DUMMYFUNCTION("""COMPUTED_VALUE"""),"Catmon")</f>
        <v>Catmon</v>
      </c>
      <c r="R286" s="142" t="str">
        <f>IFERROR(__xludf.DUMMYFUNCTION("""COMPUTED_VALUE"""),"Compostela")</f>
        <v>Compostela</v>
      </c>
      <c r="S286" s="142" t="str">
        <f>IFERROR(__xludf.DUMMYFUNCTION("""COMPUTED_VALUE"""),"Consolacion")</f>
        <v>Consolacion</v>
      </c>
      <c r="T286" s="142" t="str">
        <f>IFERROR(__xludf.DUMMYFUNCTION("""COMPUTED_VALUE"""),"Cordova")</f>
        <v>Cordova</v>
      </c>
      <c r="U286" s="142" t="str">
        <f>IFERROR(__xludf.DUMMYFUNCTION("""COMPUTED_VALUE"""),"Daanbantayan")</f>
        <v>Daanbantayan</v>
      </c>
      <c r="V286" s="142" t="str">
        <f>IFERROR(__xludf.DUMMYFUNCTION("""COMPUTED_VALUE"""),"Dalaguete")</f>
        <v>Dalaguete</v>
      </c>
      <c r="W286" s="142" t="str">
        <f>IFERROR(__xludf.DUMMYFUNCTION("""COMPUTED_VALUE"""),"Danao City")</f>
        <v>Danao City</v>
      </c>
      <c r="X286" s="142" t="str">
        <f>IFERROR(__xludf.DUMMYFUNCTION("""COMPUTED_VALUE"""),"Dumanjug")</f>
        <v>Dumanjug</v>
      </c>
      <c r="Y286" s="142" t="str">
        <f>IFERROR(__xludf.DUMMYFUNCTION("""COMPUTED_VALUE"""),"Ginatilan")</f>
        <v>Ginatilan</v>
      </c>
      <c r="Z286" s="142" t="str">
        <f>IFERROR(__xludf.DUMMYFUNCTION("""COMPUTED_VALUE"""),"Liloan")</f>
        <v>Liloan</v>
      </c>
      <c r="AA286" s="142" t="str">
        <f>IFERROR(__xludf.DUMMYFUNCTION("""COMPUTED_VALUE"""),"Madridejos")</f>
        <v>Madridejos</v>
      </c>
      <c r="AB286" s="142" t="str">
        <f>IFERROR(__xludf.DUMMYFUNCTION("""COMPUTED_VALUE"""),"Malabuyoc")</f>
        <v>Malabuyoc</v>
      </c>
      <c r="AC286" s="142" t="str">
        <f>IFERROR(__xludf.DUMMYFUNCTION("""COMPUTED_VALUE"""),"Medellin")</f>
        <v>Medellin</v>
      </c>
      <c r="AD286" s="142" t="str">
        <f>IFERROR(__xludf.DUMMYFUNCTION("""COMPUTED_VALUE"""),"Minglanilla")</f>
        <v>Minglanilla</v>
      </c>
      <c r="AE286" s="142" t="str">
        <f>IFERROR(__xludf.DUMMYFUNCTION("""COMPUTED_VALUE"""),"Moalboal")</f>
        <v>Moalboal</v>
      </c>
      <c r="AF286" s="142" t="str">
        <f>IFERROR(__xludf.DUMMYFUNCTION("""COMPUTED_VALUE"""),"City of Naga")</f>
        <v>City of Naga</v>
      </c>
      <c r="AG286" s="142" t="str">
        <f>IFERROR(__xludf.DUMMYFUNCTION("""COMPUTED_VALUE"""),"Oslob")</f>
        <v>Oslob</v>
      </c>
      <c r="AH286" s="142" t="str">
        <f>IFERROR(__xludf.DUMMYFUNCTION("""COMPUTED_VALUE"""),"Pilar")</f>
        <v>Pilar</v>
      </c>
      <c r="AI286" s="142" t="str">
        <f>IFERROR(__xludf.DUMMYFUNCTION("""COMPUTED_VALUE"""),"Pinamungajan")</f>
        <v>Pinamungajan</v>
      </c>
      <c r="AJ286" s="142" t="str">
        <f>IFERROR(__xludf.DUMMYFUNCTION("""COMPUTED_VALUE"""),"Poro")</f>
        <v>Poro</v>
      </c>
      <c r="AK286" s="142" t="str">
        <f>IFERROR(__xludf.DUMMYFUNCTION("""COMPUTED_VALUE"""),"Ronda")</f>
        <v>Ronda</v>
      </c>
      <c r="AL286" s="142" t="str">
        <f>IFERROR(__xludf.DUMMYFUNCTION("""COMPUTED_VALUE"""),"Samboan")</f>
        <v>Samboan</v>
      </c>
      <c r="AM286" s="142" t="str">
        <f>IFERROR(__xludf.DUMMYFUNCTION("""COMPUTED_VALUE"""),"San Fernando")</f>
        <v>San Fernando</v>
      </c>
      <c r="AN286" s="142" t="str">
        <f>IFERROR(__xludf.DUMMYFUNCTION("""COMPUTED_VALUE"""),"San Francisco")</f>
        <v>San Francisco</v>
      </c>
      <c r="AO286" s="142" t="str">
        <f>IFERROR(__xludf.DUMMYFUNCTION("""COMPUTED_VALUE"""),"San Remigio")</f>
        <v>San Remigio</v>
      </c>
      <c r="AP286" s="142" t="str">
        <f>IFERROR(__xludf.DUMMYFUNCTION("""COMPUTED_VALUE"""),"Santa Fe")</f>
        <v>Santa Fe</v>
      </c>
      <c r="AQ286" s="142" t="str">
        <f>IFERROR(__xludf.DUMMYFUNCTION("""COMPUTED_VALUE"""),"Santander")</f>
        <v>Santander</v>
      </c>
      <c r="AR286" s="142" t="str">
        <f>IFERROR(__xludf.DUMMYFUNCTION("""COMPUTED_VALUE"""),"Sibonga")</f>
        <v>Sibonga</v>
      </c>
      <c r="AS286" s="142" t="str">
        <f>IFERROR(__xludf.DUMMYFUNCTION("""COMPUTED_VALUE"""),"Sogod")</f>
        <v>Sogod</v>
      </c>
      <c r="AT286" s="142" t="str">
        <f>IFERROR(__xludf.DUMMYFUNCTION("""COMPUTED_VALUE"""),"Tabogon")</f>
        <v>Tabogon</v>
      </c>
      <c r="AU286" s="142" t="str">
        <f>IFERROR(__xludf.DUMMYFUNCTION("""COMPUTED_VALUE"""),"Tabuelan")</f>
        <v>Tabuelan</v>
      </c>
      <c r="AV286" s="142" t="str">
        <f>IFERROR(__xludf.DUMMYFUNCTION("""COMPUTED_VALUE"""),"City of Talisay")</f>
        <v>City of Talisay</v>
      </c>
      <c r="AW286" s="142" t="str">
        <f>IFERROR(__xludf.DUMMYFUNCTION("""COMPUTED_VALUE"""),"City of Toledo")</f>
        <v>City of Toledo</v>
      </c>
      <c r="AX286" s="142" t="str">
        <f>IFERROR(__xludf.DUMMYFUNCTION("""COMPUTED_VALUE"""),"Tuburan")</f>
        <v>Tuburan</v>
      </c>
      <c r="AY286" s="142" t="str">
        <f>IFERROR(__xludf.DUMMYFUNCTION("""COMPUTED_VALUE"""),"Tudela")</f>
        <v>Tudela</v>
      </c>
      <c r="AZ286" s="142" t="str">
        <f>IFERROR(__xludf.DUMMYFUNCTION("""COMPUTED_VALUE"""),"City of Cebu")</f>
        <v>City of Cebu</v>
      </c>
      <c r="BA286" s="142" t="str">
        <f>IFERROR(__xludf.DUMMYFUNCTION("""COMPUTED_VALUE"""),"City of Lapu-Lapu")</f>
        <v>City of Lapu-Lapu</v>
      </c>
      <c r="BB286" s="142" t="str">
        <f>IFERROR(__xludf.DUMMYFUNCTION("""COMPUTED_VALUE"""),"City of Mandaue")</f>
        <v>City of Mandaue</v>
      </c>
      <c r="BC286" s="8"/>
      <c r="BD286" s="8"/>
      <c r="BE286" s="8"/>
    </row>
    <row r="287">
      <c r="A287" s="142" t="s">
        <v>258</v>
      </c>
      <c r="B287" s="142" t="str">
        <f>IFERROR(__xludf.DUMMYFUNCTION("""COMPUTED_VALUE"""),"Agoncillo")</f>
        <v>Agoncillo</v>
      </c>
      <c r="C287" s="142" t="str">
        <f>IFERROR(__xludf.DUMMYFUNCTION("""COMPUTED_VALUE"""),"Alitagtag")</f>
        <v>Alitagtag</v>
      </c>
      <c r="D287" s="142" t="str">
        <f>IFERROR(__xludf.DUMMYFUNCTION("""COMPUTED_VALUE"""),"Balayan")</f>
        <v>Balayan</v>
      </c>
      <c r="E287" s="142" t="str">
        <f>IFERROR(__xludf.DUMMYFUNCTION("""COMPUTED_VALUE"""),"Balete")</f>
        <v>Balete</v>
      </c>
      <c r="F287" s="142" t="str">
        <f>IFERROR(__xludf.DUMMYFUNCTION("""COMPUTED_VALUE"""),"Batangas City")</f>
        <v>Batangas City</v>
      </c>
      <c r="G287" s="142" t="str">
        <f>IFERROR(__xludf.DUMMYFUNCTION("""COMPUTED_VALUE"""),"Bauan")</f>
        <v>Bauan</v>
      </c>
      <c r="H287" s="142" t="str">
        <f>IFERROR(__xludf.DUMMYFUNCTION("""COMPUTED_VALUE"""),"City of Calaca")</f>
        <v>City of Calaca</v>
      </c>
      <c r="I287" s="142" t="str">
        <f>IFERROR(__xludf.DUMMYFUNCTION("""COMPUTED_VALUE"""),"Calatagan")</f>
        <v>Calatagan</v>
      </c>
      <c r="J287" s="142" t="str">
        <f>IFERROR(__xludf.DUMMYFUNCTION("""COMPUTED_VALUE"""),"Cuenca")</f>
        <v>Cuenca</v>
      </c>
      <c r="K287" s="142" t="str">
        <f>IFERROR(__xludf.DUMMYFUNCTION("""COMPUTED_VALUE"""),"Ibaan")</f>
        <v>Ibaan</v>
      </c>
      <c r="L287" s="142" t="str">
        <f>IFERROR(__xludf.DUMMYFUNCTION("""COMPUTED_VALUE"""),"Laurel")</f>
        <v>Laurel</v>
      </c>
      <c r="M287" s="142" t="str">
        <f>IFERROR(__xludf.DUMMYFUNCTION("""COMPUTED_VALUE"""),"Lemery")</f>
        <v>Lemery</v>
      </c>
      <c r="N287" s="142" t="str">
        <f>IFERROR(__xludf.DUMMYFUNCTION("""COMPUTED_VALUE"""),"Lian")</f>
        <v>Lian</v>
      </c>
      <c r="O287" s="142" t="str">
        <f>IFERROR(__xludf.DUMMYFUNCTION("""COMPUTED_VALUE"""),"City of Lipa")</f>
        <v>City of Lipa</v>
      </c>
      <c r="P287" s="142" t="str">
        <f>IFERROR(__xludf.DUMMYFUNCTION("""COMPUTED_VALUE"""),"Lobo")</f>
        <v>Lobo</v>
      </c>
      <c r="Q287" s="142" t="str">
        <f>IFERROR(__xludf.DUMMYFUNCTION("""COMPUTED_VALUE"""),"Mabini")</f>
        <v>Mabini</v>
      </c>
      <c r="R287" s="142" t="str">
        <f>IFERROR(__xludf.DUMMYFUNCTION("""COMPUTED_VALUE"""),"Malvar")</f>
        <v>Malvar</v>
      </c>
      <c r="S287" s="142" t="str">
        <f>IFERROR(__xludf.DUMMYFUNCTION("""COMPUTED_VALUE"""),"Mataasnakahoy")</f>
        <v>Mataasnakahoy</v>
      </c>
      <c r="T287" s="142" t="str">
        <f>IFERROR(__xludf.DUMMYFUNCTION("""COMPUTED_VALUE"""),"Nasugbu")</f>
        <v>Nasugbu</v>
      </c>
      <c r="U287" s="142" t="str">
        <f>IFERROR(__xludf.DUMMYFUNCTION("""COMPUTED_VALUE"""),"Padre Garcia")</f>
        <v>Padre Garcia</v>
      </c>
      <c r="V287" s="142" t="str">
        <f>IFERROR(__xludf.DUMMYFUNCTION("""COMPUTED_VALUE"""),"Rosario")</f>
        <v>Rosario</v>
      </c>
      <c r="W287" s="142" t="str">
        <f>IFERROR(__xludf.DUMMYFUNCTION("""COMPUTED_VALUE"""),"San Jose")</f>
        <v>San Jose</v>
      </c>
      <c r="X287" s="142" t="str">
        <f>IFERROR(__xludf.DUMMYFUNCTION("""COMPUTED_VALUE"""),"San Juan")</f>
        <v>San Juan</v>
      </c>
      <c r="Y287" s="142" t="str">
        <f>IFERROR(__xludf.DUMMYFUNCTION("""COMPUTED_VALUE"""),"San Luis")</f>
        <v>San Luis</v>
      </c>
      <c r="Z287" s="142" t="str">
        <f>IFERROR(__xludf.DUMMYFUNCTION("""COMPUTED_VALUE"""),"San Nicolas")</f>
        <v>San Nicolas</v>
      </c>
      <c r="AA287" s="142" t="str">
        <f>IFERROR(__xludf.DUMMYFUNCTION("""COMPUTED_VALUE"""),"San Pascual")</f>
        <v>San Pascual</v>
      </c>
      <c r="AB287" s="142" t="str">
        <f>IFERROR(__xludf.DUMMYFUNCTION("""COMPUTED_VALUE"""),"Santa Teresita")</f>
        <v>Santa Teresita</v>
      </c>
      <c r="AC287" s="142" t="str">
        <f>IFERROR(__xludf.DUMMYFUNCTION("""COMPUTED_VALUE"""),"City of Sto. Tomas")</f>
        <v>City of Sto. Tomas</v>
      </c>
      <c r="AD287" s="142" t="str">
        <f>IFERROR(__xludf.DUMMYFUNCTION("""COMPUTED_VALUE"""),"Taal")</f>
        <v>Taal</v>
      </c>
      <c r="AE287" s="142" t="str">
        <f>IFERROR(__xludf.DUMMYFUNCTION("""COMPUTED_VALUE"""),"Talisay")</f>
        <v>Talisay</v>
      </c>
      <c r="AF287" s="142" t="str">
        <f>IFERROR(__xludf.DUMMYFUNCTION("""COMPUTED_VALUE"""),"City of Tanauan")</f>
        <v>City of Tanauan</v>
      </c>
      <c r="AG287" s="142" t="str">
        <f>IFERROR(__xludf.DUMMYFUNCTION("""COMPUTED_VALUE"""),"Taysan")</f>
        <v>Taysan</v>
      </c>
      <c r="AH287" s="142" t="str">
        <f>IFERROR(__xludf.DUMMYFUNCTION("""COMPUTED_VALUE"""),"Tingloy")</f>
        <v>Tingloy</v>
      </c>
      <c r="AI287" s="142" t="str">
        <f>IFERROR(__xludf.DUMMYFUNCTION("""COMPUTED_VALUE"""),"Tuy")</f>
        <v>Tuy</v>
      </c>
      <c r="AJ287" s="8"/>
      <c r="AK287" s="8"/>
      <c r="AL287" s="8"/>
      <c r="AM287" s="8"/>
      <c r="AN287" s="8"/>
      <c r="AO287" s="8"/>
      <c r="AP287" s="8"/>
      <c r="AQ287" s="8"/>
      <c r="AR287" s="8"/>
      <c r="AS287" s="8"/>
      <c r="AT287" s="8"/>
      <c r="AU287" s="8"/>
      <c r="AV287" s="8"/>
      <c r="AW287" s="8"/>
      <c r="AX287" s="8"/>
      <c r="AY287" s="8"/>
      <c r="AZ287" s="8"/>
      <c r="BA287" s="8"/>
      <c r="BB287" s="8"/>
      <c r="BC287" s="8"/>
      <c r="BD287" s="8"/>
      <c r="BE287" s="8"/>
    </row>
    <row r="288">
      <c r="A288" s="142" t="s">
        <v>172</v>
      </c>
      <c r="B288" s="142" t="str">
        <f>IFERROR(__xludf.DUMMYFUNCTION("""COMPUTED_VALUE"""),"Alubijid")</f>
        <v>Alubijid</v>
      </c>
      <c r="C288" s="142" t="str">
        <f>IFERROR(__xludf.DUMMYFUNCTION("""COMPUTED_VALUE"""),"Balingasag")</f>
        <v>Balingasag</v>
      </c>
      <c r="D288" s="142" t="str">
        <f>IFERROR(__xludf.DUMMYFUNCTION("""COMPUTED_VALUE"""),"Balingoan")</f>
        <v>Balingoan</v>
      </c>
      <c r="E288" s="142" t="str">
        <f>IFERROR(__xludf.DUMMYFUNCTION("""COMPUTED_VALUE"""),"Binuangan")</f>
        <v>Binuangan</v>
      </c>
      <c r="F288" s="142" t="str">
        <f>IFERROR(__xludf.DUMMYFUNCTION("""COMPUTED_VALUE"""),"City of Cagayan De Oro")</f>
        <v>City of Cagayan De Oro</v>
      </c>
      <c r="G288" s="142" t="str">
        <f>IFERROR(__xludf.DUMMYFUNCTION("""COMPUTED_VALUE"""),"Claveria")</f>
        <v>Claveria</v>
      </c>
      <c r="H288" s="142" t="str">
        <f>IFERROR(__xludf.DUMMYFUNCTION("""COMPUTED_VALUE"""),"City of El Salvador")</f>
        <v>City of El Salvador</v>
      </c>
      <c r="I288" s="142" t="str">
        <f>IFERROR(__xludf.DUMMYFUNCTION("""COMPUTED_VALUE"""),"City of Gingoog")</f>
        <v>City of Gingoog</v>
      </c>
      <c r="J288" s="142" t="str">
        <f>IFERROR(__xludf.DUMMYFUNCTION("""COMPUTED_VALUE"""),"Gitagum")</f>
        <v>Gitagum</v>
      </c>
      <c r="K288" s="142" t="str">
        <f>IFERROR(__xludf.DUMMYFUNCTION("""COMPUTED_VALUE"""),"Initao")</f>
        <v>Initao</v>
      </c>
      <c r="L288" s="142" t="str">
        <f>IFERROR(__xludf.DUMMYFUNCTION("""COMPUTED_VALUE"""),"Jasaan")</f>
        <v>Jasaan</v>
      </c>
      <c r="M288" s="142" t="str">
        <f>IFERROR(__xludf.DUMMYFUNCTION("""COMPUTED_VALUE"""),"Kinoguitan")</f>
        <v>Kinoguitan</v>
      </c>
      <c r="N288" s="142" t="str">
        <f>IFERROR(__xludf.DUMMYFUNCTION("""COMPUTED_VALUE"""),"Lagonglong")</f>
        <v>Lagonglong</v>
      </c>
      <c r="O288" s="142" t="str">
        <f>IFERROR(__xludf.DUMMYFUNCTION("""COMPUTED_VALUE"""),"Laguindingan")</f>
        <v>Laguindingan</v>
      </c>
      <c r="P288" s="142" t="str">
        <f>IFERROR(__xludf.DUMMYFUNCTION("""COMPUTED_VALUE"""),"Libertad")</f>
        <v>Libertad</v>
      </c>
      <c r="Q288" s="142" t="str">
        <f>IFERROR(__xludf.DUMMYFUNCTION("""COMPUTED_VALUE"""),"Lugait")</f>
        <v>Lugait</v>
      </c>
      <c r="R288" s="142" t="str">
        <f>IFERROR(__xludf.DUMMYFUNCTION("""COMPUTED_VALUE"""),"Magsaysay")</f>
        <v>Magsaysay</v>
      </c>
      <c r="S288" s="142" t="str">
        <f>IFERROR(__xludf.DUMMYFUNCTION("""COMPUTED_VALUE"""),"Manticao")</f>
        <v>Manticao</v>
      </c>
      <c r="T288" s="142" t="str">
        <f>IFERROR(__xludf.DUMMYFUNCTION("""COMPUTED_VALUE"""),"Medina")</f>
        <v>Medina</v>
      </c>
      <c r="U288" s="142" t="str">
        <f>IFERROR(__xludf.DUMMYFUNCTION("""COMPUTED_VALUE"""),"Naawan")</f>
        <v>Naawan</v>
      </c>
      <c r="V288" s="142" t="str">
        <f>IFERROR(__xludf.DUMMYFUNCTION("""COMPUTED_VALUE"""),"Opol")</f>
        <v>Opol</v>
      </c>
      <c r="W288" s="142" t="str">
        <f>IFERROR(__xludf.DUMMYFUNCTION("""COMPUTED_VALUE"""),"Salay")</f>
        <v>Salay</v>
      </c>
      <c r="X288" s="142" t="str">
        <f>IFERROR(__xludf.DUMMYFUNCTION("""COMPUTED_VALUE"""),"Sugbongcogon")</f>
        <v>Sugbongcogon</v>
      </c>
      <c r="Y288" s="142" t="str">
        <f>IFERROR(__xludf.DUMMYFUNCTION("""COMPUTED_VALUE"""),"Tagoloan")</f>
        <v>Tagoloan</v>
      </c>
      <c r="Z288" s="142" t="str">
        <f>IFERROR(__xludf.DUMMYFUNCTION("""COMPUTED_VALUE"""),"Talisayan")</f>
        <v>Talisayan</v>
      </c>
      <c r="AA288" s="142" t="str">
        <f>IFERROR(__xludf.DUMMYFUNCTION("""COMPUTED_VALUE"""),"Villanueva")</f>
        <v>Villanueva</v>
      </c>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row>
    <row r="289">
      <c r="A289" s="142" t="s">
        <v>258</v>
      </c>
      <c r="B289" s="142" t="str">
        <f>IFERROR(__xludf.DUMMYFUNCTION("""COMPUTED_VALUE"""),"Agoncillo")</f>
        <v>Agoncillo</v>
      </c>
      <c r="C289" s="142" t="str">
        <f>IFERROR(__xludf.DUMMYFUNCTION("""COMPUTED_VALUE"""),"Alitagtag")</f>
        <v>Alitagtag</v>
      </c>
      <c r="D289" s="142" t="str">
        <f>IFERROR(__xludf.DUMMYFUNCTION("""COMPUTED_VALUE"""),"Balayan")</f>
        <v>Balayan</v>
      </c>
      <c r="E289" s="142" t="str">
        <f>IFERROR(__xludf.DUMMYFUNCTION("""COMPUTED_VALUE"""),"Balete")</f>
        <v>Balete</v>
      </c>
      <c r="F289" s="142" t="str">
        <f>IFERROR(__xludf.DUMMYFUNCTION("""COMPUTED_VALUE"""),"Batangas City")</f>
        <v>Batangas City</v>
      </c>
      <c r="G289" s="142" t="str">
        <f>IFERROR(__xludf.DUMMYFUNCTION("""COMPUTED_VALUE"""),"Bauan")</f>
        <v>Bauan</v>
      </c>
      <c r="H289" s="142" t="str">
        <f>IFERROR(__xludf.DUMMYFUNCTION("""COMPUTED_VALUE"""),"City of Calaca")</f>
        <v>City of Calaca</v>
      </c>
      <c r="I289" s="142" t="str">
        <f>IFERROR(__xludf.DUMMYFUNCTION("""COMPUTED_VALUE"""),"Calatagan")</f>
        <v>Calatagan</v>
      </c>
      <c r="J289" s="142" t="str">
        <f>IFERROR(__xludf.DUMMYFUNCTION("""COMPUTED_VALUE"""),"Cuenca")</f>
        <v>Cuenca</v>
      </c>
      <c r="K289" s="142" t="str">
        <f>IFERROR(__xludf.DUMMYFUNCTION("""COMPUTED_VALUE"""),"Ibaan")</f>
        <v>Ibaan</v>
      </c>
      <c r="L289" s="142" t="str">
        <f>IFERROR(__xludf.DUMMYFUNCTION("""COMPUTED_VALUE"""),"Laurel")</f>
        <v>Laurel</v>
      </c>
      <c r="M289" s="142" t="str">
        <f>IFERROR(__xludf.DUMMYFUNCTION("""COMPUTED_VALUE"""),"Lemery")</f>
        <v>Lemery</v>
      </c>
      <c r="N289" s="142" t="str">
        <f>IFERROR(__xludf.DUMMYFUNCTION("""COMPUTED_VALUE"""),"Lian")</f>
        <v>Lian</v>
      </c>
      <c r="O289" s="142" t="str">
        <f>IFERROR(__xludf.DUMMYFUNCTION("""COMPUTED_VALUE"""),"City of Lipa")</f>
        <v>City of Lipa</v>
      </c>
      <c r="P289" s="142" t="str">
        <f>IFERROR(__xludf.DUMMYFUNCTION("""COMPUTED_VALUE"""),"Lobo")</f>
        <v>Lobo</v>
      </c>
      <c r="Q289" s="142" t="str">
        <f>IFERROR(__xludf.DUMMYFUNCTION("""COMPUTED_VALUE"""),"Mabini")</f>
        <v>Mabini</v>
      </c>
      <c r="R289" s="142" t="str">
        <f>IFERROR(__xludf.DUMMYFUNCTION("""COMPUTED_VALUE"""),"Malvar")</f>
        <v>Malvar</v>
      </c>
      <c r="S289" s="142" t="str">
        <f>IFERROR(__xludf.DUMMYFUNCTION("""COMPUTED_VALUE"""),"Mataasnakahoy")</f>
        <v>Mataasnakahoy</v>
      </c>
      <c r="T289" s="142" t="str">
        <f>IFERROR(__xludf.DUMMYFUNCTION("""COMPUTED_VALUE"""),"Nasugbu")</f>
        <v>Nasugbu</v>
      </c>
      <c r="U289" s="142" t="str">
        <f>IFERROR(__xludf.DUMMYFUNCTION("""COMPUTED_VALUE"""),"Padre Garcia")</f>
        <v>Padre Garcia</v>
      </c>
      <c r="V289" s="142" t="str">
        <f>IFERROR(__xludf.DUMMYFUNCTION("""COMPUTED_VALUE"""),"Rosario")</f>
        <v>Rosario</v>
      </c>
      <c r="W289" s="142" t="str">
        <f>IFERROR(__xludf.DUMMYFUNCTION("""COMPUTED_VALUE"""),"San Jose")</f>
        <v>San Jose</v>
      </c>
      <c r="X289" s="142" t="str">
        <f>IFERROR(__xludf.DUMMYFUNCTION("""COMPUTED_VALUE"""),"San Juan")</f>
        <v>San Juan</v>
      </c>
      <c r="Y289" s="142" t="str">
        <f>IFERROR(__xludf.DUMMYFUNCTION("""COMPUTED_VALUE"""),"San Luis")</f>
        <v>San Luis</v>
      </c>
      <c r="Z289" s="142" t="str">
        <f>IFERROR(__xludf.DUMMYFUNCTION("""COMPUTED_VALUE"""),"San Nicolas")</f>
        <v>San Nicolas</v>
      </c>
      <c r="AA289" s="142" t="str">
        <f>IFERROR(__xludf.DUMMYFUNCTION("""COMPUTED_VALUE"""),"San Pascual")</f>
        <v>San Pascual</v>
      </c>
      <c r="AB289" s="142" t="str">
        <f>IFERROR(__xludf.DUMMYFUNCTION("""COMPUTED_VALUE"""),"Santa Teresita")</f>
        <v>Santa Teresita</v>
      </c>
      <c r="AC289" s="142" t="str">
        <f>IFERROR(__xludf.DUMMYFUNCTION("""COMPUTED_VALUE"""),"City of Sto. Tomas")</f>
        <v>City of Sto. Tomas</v>
      </c>
      <c r="AD289" s="142" t="str">
        <f>IFERROR(__xludf.DUMMYFUNCTION("""COMPUTED_VALUE"""),"Taal")</f>
        <v>Taal</v>
      </c>
      <c r="AE289" s="142" t="str">
        <f>IFERROR(__xludf.DUMMYFUNCTION("""COMPUTED_VALUE"""),"Talisay")</f>
        <v>Talisay</v>
      </c>
      <c r="AF289" s="142" t="str">
        <f>IFERROR(__xludf.DUMMYFUNCTION("""COMPUTED_VALUE"""),"City of Tanauan")</f>
        <v>City of Tanauan</v>
      </c>
      <c r="AG289" s="142" t="str">
        <f>IFERROR(__xludf.DUMMYFUNCTION("""COMPUTED_VALUE"""),"Taysan")</f>
        <v>Taysan</v>
      </c>
      <c r="AH289" s="142" t="str">
        <f>IFERROR(__xludf.DUMMYFUNCTION("""COMPUTED_VALUE"""),"Tingloy")</f>
        <v>Tingloy</v>
      </c>
      <c r="AI289" s="142" t="str">
        <f>IFERROR(__xludf.DUMMYFUNCTION("""COMPUTED_VALUE"""),"Tuy")</f>
        <v>Tuy</v>
      </c>
      <c r="AJ289" s="8"/>
      <c r="AK289" s="8"/>
      <c r="AL289" s="8"/>
      <c r="AM289" s="8"/>
      <c r="AN289" s="8"/>
      <c r="AO289" s="8"/>
      <c r="AP289" s="8"/>
      <c r="AQ289" s="8"/>
      <c r="AR289" s="8"/>
      <c r="AS289" s="8"/>
      <c r="AT289" s="8"/>
      <c r="AU289" s="8"/>
      <c r="AV289" s="8"/>
      <c r="AW289" s="8"/>
      <c r="AX289" s="8"/>
      <c r="AY289" s="8"/>
      <c r="AZ289" s="8"/>
      <c r="BA289" s="8"/>
      <c r="BB289" s="8"/>
      <c r="BC289" s="8"/>
      <c r="BD289" s="8"/>
      <c r="BE289" s="8"/>
    </row>
    <row r="290">
      <c r="A290" s="142" t="s">
        <v>563</v>
      </c>
      <c r="B290" s="142" t="str">
        <f>IFERROR(__xludf.DUMMYFUNCTION("""COMPUTED_VALUE"""),"Alburquerque")</f>
        <v>Alburquerque</v>
      </c>
      <c r="C290" s="142" t="str">
        <f>IFERROR(__xludf.DUMMYFUNCTION("""COMPUTED_VALUE"""),"Alicia")</f>
        <v>Alicia</v>
      </c>
      <c r="D290" s="142" t="str">
        <f>IFERROR(__xludf.DUMMYFUNCTION("""COMPUTED_VALUE"""),"Anda")</f>
        <v>Anda</v>
      </c>
      <c r="E290" s="142" t="str">
        <f>IFERROR(__xludf.DUMMYFUNCTION("""COMPUTED_VALUE"""),"Antequera")</f>
        <v>Antequera</v>
      </c>
      <c r="F290" s="142" t="str">
        <f>IFERROR(__xludf.DUMMYFUNCTION("""COMPUTED_VALUE"""),"Baclayon")</f>
        <v>Baclayon</v>
      </c>
      <c r="G290" s="142" t="str">
        <f>IFERROR(__xludf.DUMMYFUNCTION("""COMPUTED_VALUE"""),"Balilihan")</f>
        <v>Balilihan</v>
      </c>
      <c r="H290" s="142" t="str">
        <f>IFERROR(__xludf.DUMMYFUNCTION("""COMPUTED_VALUE"""),"Batuan")</f>
        <v>Batuan</v>
      </c>
      <c r="I290" s="142" t="str">
        <f>IFERROR(__xludf.DUMMYFUNCTION("""COMPUTED_VALUE"""),"Bilar")</f>
        <v>Bilar</v>
      </c>
      <c r="J290" s="142" t="str">
        <f>IFERROR(__xludf.DUMMYFUNCTION("""COMPUTED_VALUE"""),"Buenavista")</f>
        <v>Buenavista</v>
      </c>
      <c r="K290" s="142" t="str">
        <f>IFERROR(__xludf.DUMMYFUNCTION("""COMPUTED_VALUE"""),"Calape")</f>
        <v>Calape</v>
      </c>
      <c r="L290" s="142" t="str">
        <f>IFERROR(__xludf.DUMMYFUNCTION("""COMPUTED_VALUE"""),"Candijay")</f>
        <v>Candijay</v>
      </c>
      <c r="M290" s="142" t="str">
        <f>IFERROR(__xludf.DUMMYFUNCTION("""COMPUTED_VALUE"""),"Carmen")</f>
        <v>Carmen</v>
      </c>
      <c r="N290" s="142" t="str">
        <f>IFERROR(__xludf.DUMMYFUNCTION("""COMPUTED_VALUE"""),"Catigbian")</f>
        <v>Catigbian</v>
      </c>
      <c r="O290" s="142" t="str">
        <f>IFERROR(__xludf.DUMMYFUNCTION("""COMPUTED_VALUE"""),"Clarin")</f>
        <v>Clarin</v>
      </c>
      <c r="P290" s="142" t="str">
        <f>IFERROR(__xludf.DUMMYFUNCTION("""COMPUTED_VALUE"""),"Corella")</f>
        <v>Corella</v>
      </c>
      <c r="Q290" s="142" t="str">
        <f>IFERROR(__xludf.DUMMYFUNCTION("""COMPUTED_VALUE"""),"Cortes")</f>
        <v>Cortes</v>
      </c>
      <c r="R290" s="142" t="str">
        <f>IFERROR(__xludf.DUMMYFUNCTION("""COMPUTED_VALUE"""),"Dagohoy")</f>
        <v>Dagohoy</v>
      </c>
      <c r="S290" s="142" t="str">
        <f>IFERROR(__xludf.DUMMYFUNCTION("""COMPUTED_VALUE"""),"Danao")</f>
        <v>Danao</v>
      </c>
      <c r="T290" s="142" t="str">
        <f>IFERROR(__xludf.DUMMYFUNCTION("""COMPUTED_VALUE"""),"Dauis")</f>
        <v>Dauis</v>
      </c>
      <c r="U290" s="142" t="str">
        <f>IFERROR(__xludf.DUMMYFUNCTION("""COMPUTED_VALUE"""),"Dimiao")</f>
        <v>Dimiao</v>
      </c>
      <c r="V290" s="142" t="str">
        <f>IFERROR(__xludf.DUMMYFUNCTION("""COMPUTED_VALUE"""),"Duero")</f>
        <v>Duero</v>
      </c>
      <c r="W290" s="142" t="str">
        <f>IFERROR(__xludf.DUMMYFUNCTION("""COMPUTED_VALUE"""),"Garcia Hernandez")</f>
        <v>Garcia Hernandez</v>
      </c>
      <c r="X290" s="142" t="str">
        <f>IFERROR(__xludf.DUMMYFUNCTION("""COMPUTED_VALUE"""),"Guindulman")</f>
        <v>Guindulman</v>
      </c>
      <c r="Y290" s="142" t="str">
        <f>IFERROR(__xludf.DUMMYFUNCTION("""COMPUTED_VALUE"""),"Inabanga")</f>
        <v>Inabanga</v>
      </c>
      <c r="Z290" s="142" t="str">
        <f>IFERROR(__xludf.DUMMYFUNCTION("""COMPUTED_VALUE"""),"Jagna")</f>
        <v>Jagna</v>
      </c>
      <c r="AA290" s="142" t="str">
        <f>IFERROR(__xludf.DUMMYFUNCTION("""COMPUTED_VALUE"""),"Getafe")</f>
        <v>Getafe</v>
      </c>
      <c r="AB290" s="142" t="str">
        <f>IFERROR(__xludf.DUMMYFUNCTION("""COMPUTED_VALUE"""),"Lila")</f>
        <v>Lila</v>
      </c>
      <c r="AC290" s="142" t="str">
        <f>IFERROR(__xludf.DUMMYFUNCTION("""COMPUTED_VALUE"""),"Loay")</f>
        <v>Loay</v>
      </c>
      <c r="AD290" s="142" t="str">
        <f>IFERROR(__xludf.DUMMYFUNCTION("""COMPUTED_VALUE"""),"Loboc")</f>
        <v>Loboc</v>
      </c>
      <c r="AE290" s="142" t="str">
        <f>IFERROR(__xludf.DUMMYFUNCTION("""COMPUTED_VALUE"""),"Loon")</f>
        <v>Loon</v>
      </c>
      <c r="AF290" s="142" t="str">
        <f>IFERROR(__xludf.DUMMYFUNCTION("""COMPUTED_VALUE"""),"Mabini")</f>
        <v>Mabini</v>
      </c>
      <c r="AG290" s="142" t="str">
        <f>IFERROR(__xludf.DUMMYFUNCTION("""COMPUTED_VALUE"""),"Maribojoc")</f>
        <v>Maribojoc</v>
      </c>
      <c r="AH290" s="142" t="str">
        <f>IFERROR(__xludf.DUMMYFUNCTION("""COMPUTED_VALUE"""),"Panglao")</f>
        <v>Panglao</v>
      </c>
      <c r="AI290" s="142" t="str">
        <f>IFERROR(__xludf.DUMMYFUNCTION("""COMPUTED_VALUE"""),"Pilar")</f>
        <v>Pilar</v>
      </c>
      <c r="AJ290" s="142" t="str">
        <f>IFERROR(__xludf.DUMMYFUNCTION("""COMPUTED_VALUE"""),"President Carlos P. Garcia")</f>
        <v>President Carlos P. Garcia</v>
      </c>
      <c r="AK290" s="142" t="str">
        <f>IFERROR(__xludf.DUMMYFUNCTION("""COMPUTED_VALUE"""),"Sagbayan")</f>
        <v>Sagbayan</v>
      </c>
      <c r="AL290" s="142" t="str">
        <f>IFERROR(__xludf.DUMMYFUNCTION("""COMPUTED_VALUE"""),"San Isidro")</f>
        <v>San Isidro</v>
      </c>
      <c r="AM290" s="142" t="str">
        <f>IFERROR(__xludf.DUMMYFUNCTION("""COMPUTED_VALUE"""),"San Miguel")</f>
        <v>San Miguel</v>
      </c>
      <c r="AN290" s="142" t="str">
        <f>IFERROR(__xludf.DUMMYFUNCTION("""COMPUTED_VALUE"""),"Sevilla")</f>
        <v>Sevilla</v>
      </c>
      <c r="AO290" s="142" t="str">
        <f>IFERROR(__xludf.DUMMYFUNCTION("""COMPUTED_VALUE"""),"Sierra Bullones")</f>
        <v>Sierra Bullones</v>
      </c>
      <c r="AP290" s="142" t="str">
        <f>IFERROR(__xludf.DUMMYFUNCTION("""COMPUTED_VALUE"""),"Sikatuna")</f>
        <v>Sikatuna</v>
      </c>
      <c r="AQ290" s="142" t="str">
        <f>IFERROR(__xludf.DUMMYFUNCTION("""COMPUTED_VALUE"""),"City of Tagbilaran")</f>
        <v>City of Tagbilaran</v>
      </c>
      <c r="AR290" s="142" t="str">
        <f>IFERROR(__xludf.DUMMYFUNCTION("""COMPUTED_VALUE"""),"Talibon")</f>
        <v>Talibon</v>
      </c>
      <c r="AS290" s="142" t="str">
        <f>IFERROR(__xludf.DUMMYFUNCTION("""COMPUTED_VALUE"""),"Trinidad")</f>
        <v>Trinidad</v>
      </c>
      <c r="AT290" s="142" t="str">
        <f>IFERROR(__xludf.DUMMYFUNCTION("""COMPUTED_VALUE"""),"Tubigon")</f>
        <v>Tubigon</v>
      </c>
      <c r="AU290" s="142" t="str">
        <f>IFERROR(__xludf.DUMMYFUNCTION("""COMPUTED_VALUE"""),"Ubay")</f>
        <v>Ubay</v>
      </c>
      <c r="AV290" s="142" t="str">
        <f>IFERROR(__xludf.DUMMYFUNCTION("""COMPUTED_VALUE"""),"Valencia")</f>
        <v>Valencia</v>
      </c>
      <c r="AW290" s="142" t="str">
        <f>IFERROR(__xludf.DUMMYFUNCTION("""COMPUTED_VALUE"""),"Bien Unido")</f>
        <v>Bien Unido</v>
      </c>
      <c r="AX290" s="8"/>
      <c r="AY290" s="8"/>
      <c r="AZ290" s="8"/>
      <c r="BA290" s="8"/>
      <c r="BB290" s="8"/>
      <c r="BC290" s="8"/>
      <c r="BD290" s="8"/>
      <c r="BE290" s="8"/>
    </row>
    <row r="291">
      <c r="A291" s="142" t="s">
        <v>802</v>
      </c>
      <c r="B291" s="142" t="str">
        <f>IFERROR(__xludf.DUMMYFUNCTION("""COMPUTED_VALUE"""),"Boac")</f>
        <v>Boac</v>
      </c>
      <c r="C291" s="142" t="str">
        <f>IFERROR(__xludf.DUMMYFUNCTION("""COMPUTED_VALUE"""),"Buenavista")</f>
        <v>Buenavista</v>
      </c>
      <c r="D291" s="142" t="str">
        <f>IFERROR(__xludf.DUMMYFUNCTION("""COMPUTED_VALUE"""),"Gasan")</f>
        <v>Gasan</v>
      </c>
      <c r="E291" s="142" t="str">
        <f>IFERROR(__xludf.DUMMYFUNCTION("""COMPUTED_VALUE"""),"Mogpog")</f>
        <v>Mogpog</v>
      </c>
      <c r="F291" s="142" t="str">
        <f>IFERROR(__xludf.DUMMYFUNCTION("""COMPUTED_VALUE"""),"Santa Cruz")</f>
        <v>Santa Cruz</v>
      </c>
      <c r="G291" s="142" t="str">
        <f>IFERROR(__xludf.DUMMYFUNCTION("""COMPUTED_VALUE"""),"Torrijos")</f>
        <v>Torrijos</v>
      </c>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row>
    <row r="292">
      <c r="A292" s="142" t="s">
        <v>523</v>
      </c>
      <c r="B292" s="142" t="str">
        <f>IFERROR(__xludf.DUMMYFUNCTION("""COMPUTED_VALUE"""),"Aborlan")</f>
        <v>Aborlan</v>
      </c>
      <c r="C292" s="142" t="str">
        <f>IFERROR(__xludf.DUMMYFUNCTION("""COMPUTED_VALUE"""),"Agutaya")</f>
        <v>Agutaya</v>
      </c>
      <c r="D292" s="142" t="str">
        <f>IFERROR(__xludf.DUMMYFUNCTION("""COMPUTED_VALUE"""),"Araceli")</f>
        <v>Araceli</v>
      </c>
      <c r="E292" s="142" t="str">
        <f>IFERROR(__xludf.DUMMYFUNCTION("""COMPUTED_VALUE"""),"Balabac")</f>
        <v>Balabac</v>
      </c>
      <c r="F292" s="142" t="str">
        <f>IFERROR(__xludf.DUMMYFUNCTION("""COMPUTED_VALUE"""),"Bataraza")</f>
        <v>Bataraza</v>
      </c>
      <c r="G292" s="142" t="str">
        <f>IFERROR(__xludf.DUMMYFUNCTION("""COMPUTED_VALUE"""),"Brooke's Point")</f>
        <v>Brooke's Point</v>
      </c>
      <c r="H292" s="142" t="str">
        <f>IFERROR(__xludf.DUMMYFUNCTION("""COMPUTED_VALUE"""),"Busuanga")</f>
        <v>Busuanga</v>
      </c>
      <c r="I292" s="142" t="str">
        <f>IFERROR(__xludf.DUMMYFUNCTION("""COMPUTED_VALUE"""),"Cagayancillo")</f>
        <v>Cagayancillo</v>
      </c>
      <c r="J292" s="142" t="str">
        <f>IFERROR(__xludf.DUMMYFUNCTION("""COMPUTED_VALUE"""),"Coron")</f>
        <v>Coron</v>
      </c>
      <c r="K292" s="142" t="str">
        <f>IFERROR(__xludf.DUMMYFUNCTION("""COMPUTED_VALUE"""),"Cuyo")</f>
        <v>Cuyo</v>
      </c>
      <c r="L292" s="142" t="str">
        <f>IFERROR(__xludf.DUMMYFUNCTION("""COMPUTED_VALUE"""),"Dumaran")</f>
        <v>Dumaran</v>
      </c>
      <c r="M292" s="142" t="str">
        <f>IFERROR(__xludf.DUMMYFUNCTION("""COMPUTED_VALUE"""),"El Nido")</f>
        <v>El Nido</v>
      </c>
      <c r="N292" s="142" t="str">
        <f>IFERROR(__xludf.DUMMYFUNCTION("""COMPUTED_VALUE"""),"Linapacan")</f>
        <v>Linapacan</v>
      </c>
      <c r="O292" s="142" t="str">
        <f>IFERROR(__xludf.DUMMYFUNCTION("""COMPUTED_VALUE"""),"Magsaysay")</f>
        <v>Magsaysay</v>
      </c>
      <c r="P292" s="142" t="str">
        <f>IFERROR(__xludf.DUMMYFUNCTION("""COMPUTED_VALUE"""),"Narra")</f>
        <v>Narra</v>
      </c>
      <c r="Q292" s="142" t="str">
        <f>IFERROR(__xludf.DUMMYFUNCTION("""COMPUTED_VALUE"""),"City of Puerto Princesa")</f>
        <v>City of Puerto Princesa</v>
      </c>
      <c r="R292" s="142" t="str">
        <f>IFERROR(__xludf.DUMMYFUNCTION("""COMPUTED_VALUE"""),"Quezon")</f>
        <v>Quezon</v>
      </c>
      <c r="S292" s="142" t="str">
        <f>IFERROR(__xludf.DUMMYFUNCTION("""COMPUTED_VALUE"""),"Roxas")</f>
        <v>Roxas</v>
      </c>
      <c r="T292" s="142" t="str">
        <f>IFERROR(__xludf.DUMMYFUNCTION("""COMPUTED_VALUE"""),"San Vicente")</f>
        <v>San Vicente</v>
      </c>
      <c r="U292" s="142" t="str">
        <f>IFERROR(__xludf.DUMMYFUNCTION("""COMPUTED_VALUE"""),"Taytay")</f>
        <v>Taytay</v>
      </c>
      <c r="V292" s="142" t="str">
        <f>IFERROR(__xludf.DUMMYFUNCTION("""COMPUTED_VALUE"""),"Kalayaan")</f>
        <v>Kalayaan</v>
      </c>
      <c r="W292" s="142" t="str">
        <f>IFERROR(__xludf.DUMMYFUNCTION("""COMPUTED_VALUE"""),"Culion")</f>
        <v>Culion</v>
      </c>
      <c r="X292" s="142" t="str">
        <f>IFERROR(__xludf.DUMMYFUNCTION("""COMPUTED_VALUE"""),"Dr. Jose P. Rizal")</f>
        <v>Dr. Jose P. Rizal</v>
      </c>
      <c r="Y292" s="142" t="str">
        <f>IFERROR(__xludf.DUMMYFUNCTION("""COMPUTED_VALUE"""),"Sofronio Española")</f>
        <v>Sofronio Española</v>
      </c>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row>
    <row r="293">
      <c r="A293" s="142" t="s">
        <v>172</v>
      </c>
      <c r="B293" s="142" t="str">
        <f>IFERROR(__xludf.DUMMYFUNCTION("""COMPUTED_VALUE"""),"Alubijid")</f>
        <v>Alubijid</v>
      </c>
      <c r="C293" s="142" t="str">
        <f>IFERROR(__xludf.DUMMYFUNCTION("""COMPUTED_VALUE"""),"Balingasag")</f>
        <v>Balingasag</v>
      </c>
      <c r="D293" s="142" t="str">
        <f>IFERROR(__xludf.DUMMYFUNCTION("""COMPUTED_VALUE"""),"Balingoan")</f>
        <v>Balingoan</v>
      </c>
      <c r="E293" s="142" t="str">
        <f>IFERROR(__xludf.DUMMYFUNCTION("""COMPUTED_VALUE"""),"Binuangan")</f>
        <v>Binuangan</v>
      </c>
      <c r="F293" s="142" t="str">
        <f>IFERROR(__xludf.DUMMYFUNCTION("""COMPUTED_VALUE"""),"City of Cagayan De Oro")</f>
        <v>City of Cagayan De Oro</v>
      </c>
      <c r="G293" s="142" t="str">
        <f>IFERROR(__xludf.DUMMYFUNCTION("""COMPUTED_VALUE"""),"Claveria")</f>
        <v>Claveria</v>
      </c>
      <c r="H293" s="142" t="str">
        <f>IFERROR(__xludf.DUMMYFUNCTION("""COMPUTED_VALUE"""),"City of El Salvador")</f>
        <v>City of El Salvador</v>
      </c>
      <c r="I293" s="142" t="str">
        <f>IFERROR(__xludf.DUMMYFUNCTION("""COMPUTED_VALUE"""),"City of Gingoog")</f>
        <v>City of Gingoog</v>
      </c>
      <c r="J293" s="142" t="str">
        <f>IFERROR(__xludf.DUMMYFUNCTION("""COMPUTED_VALUE"""),"Gitagum")</f>
        <v>Gitagum</v>
      </c>
      <c r="K293" s="142" t="str">
        <f>IFERROR(__xludf.DUMMYFUNCTION("""COMPUTED_VALUE"""),"Initao")</f>
        <v>Initao</v>
      </c>
      <c r="L293" s="142" t="str">
        <f>IFERROR(__xludf.DUMMYFUNCTION("""COMPUTED_VALUE"""),"Jasaan")</f>
        <v>Jasaan</v>
      </c>
      <c r="M293" s="142" t="str">
        <f>IFERROR(__xludf.DUMMYFUNCTION("""COMPUTED_VALUE"""),"Kinoguitan")</f>
        <v>Kinoguitan</v>
      </c>
      <c r="N293" s="142" t="str">
        <f>IFERROR(__xludf.DUMMYFUNCTION("""COMPUTED_VALUE"""),"Lagonglong")</f>
        <v>Lagonglong</v>
      </c>
      <c r="O293" s="142" t="str">
        <f>IFERROR(__xludf.DUMMYFUNCTION("""COMPUTED_VALUE"""),"Laguindingan")</f>
        <v>Laguindingan</v>
      </c>
      <c r="P293" s="142" t="str">
        <f>IFERROR(__xludf.DUMMYFUNCTION("""COMPUTED_VALUE"""),"Libertad")</f>
        <v>Libertad</v>
      </c>
      <c r="Q293" s="142" t="str">
        <f>IFERROR(__xludf.DUMMYFUNCTION("""COMPUTED_VALUE"""),"Lugait")</f>
        <v>Lugait</v>
      </c>
      <c r="R293" s="142" t="str">
        <f>IFERROR(__xludf.DUMMYFUNCTION("""COMPUTED_VALUE"""),"Magsaysay")</f>
        <v>Magsaysay</v>
      </c>
      <c r="S293" s="142" t="str">
        <f>IFERROR(__xludf.DUMMYFUNCTION("""COMPUTED_VALUE"""),"Manticao")</f>
        <v>Manticao</v>
      </c>
      <c r="T293" s="142" t="str">
        <f>IFERROR(__xludf.DUMMYFUNCTION("""COMPUTED_VALUE"""),"Medina")</f>
        <v>Medina</v>
      </c>
      <c r="U293" s="142" t="str">
        <f>IFERROR(__xludf.DUMMYFUNCTION("""COMPUTED_VALUE"""),"Naawan")</f>
        <v>Naawan</v>
      </c>
      <c r="V293" s="142" t="str">
        <f>IFERROR(__xludf.DUMMYFUNCTION("""COMPUTED_VALUE"""),"Opol")</f>
        <v>Opol</v>
      </c>
      <c r="W293" s="142" t="str">
        <f>IFERROR(__xludf.DUMMYFUNCTION("""COMPUTED_VALUE"""),"Salay")</f>
        <v>Salay</v>
      </c>
      <c r="X293" s="142" t="str">
        <f>IFERROR(__xludf.DUMMYFUNCTION("""COMPUTED_VALUE"""),"Sugbongcogon")</f>
        <v>Sugbongcogon</v>
      </c>
      <c r="Y293" s="142" t="str">
        <f>IFERROR(__xludf.DUMMYFUNCTION("""COMPUTED_VALUE"""),"Tagoloan")</f>
        <v>Tagoloan</v>
      </c>
      <c r="Z293" s="142" t="str">
        <f>IFERROR(__xludf.DUMMYFUNCTION("""COMPUTED_VALUE"""),"Talisayan")</f>
        <v>Talisayan</v>
      </c>
      <c r="AA293" s="142" t="str">
        <f>IFERROR(__xludf.DUMMYFUNCTION("""COMPUTED_VALUE"""),"Villanueva")</f>
        <v>Villanueva</v>
      </c>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row>
    <row r="294">
      <c r="A294" s="142" t="s">
        <v>258</v>
      </c>
      <c r="B294" s="142" t="str">
        <f>IFERROR(__xludf.DUMMYFUNCTION("""COMPUTED_VALUE"""),"Agoncillo")</f>
        <v>Agoncillo</v>
      </c>
      <c r="C294" s="142" t="str">
        <f>IFERROR(__xludf.DUMMYFUNCTION("""COMPUTED_VALUE"""),"Alitagtag")</f>
        <v>Alitagtag</v>
      </c>
      <c r="D294" s="142" t="str">
        <f>IFERROR(__xludf.DUMMYFUNCTION("""COMPUTED_VALUE"""),"Balayan")</f>
        <v>Balayan</v>
      </c>
      <c r="E294" s="142" t="str">
        <f>IFERROR(__xludf.DUMMYFUNCTION("""COMPUTED_VALUE"""),"Balete")</f>
        <v>Balete</v>
      </c>
      <c r="F294" s="142" t="str">
        <f>IFERROR(__xludf.DUMMYFUNCTION("""COMPUTED_VALUE"""),"Batangas City")</f>
        <v>Batangas City</v>
      </c>
      <c r="G294" s="142" t="str">
        <f>IFERROR(__xludf.DUMMYFUNCTION("""COMPUTED_VALUE"""),"Bauan")</f>
        <v>Bauan</v>
      </c>
      <c r="H294" s="142" t="str">
        <f>IFERROR(__xludf.DUMMYFUNCTION("""COMPUTED_VALUE"""),"City of Calaca")</f>
        <v>City of Calaca</v>
      </c>
      <c r="I294" s="142" t="str">
        <f>IFERROR(__xludf.DUMMYFUNCTION("""COMPUTED_VALUE"""),"Calatagan")</f>
        <v>Calatagan</v>
      </c>
      <c r="J294" s="142" t="str">
        <f>IFERROR(__xludf.DUMMYFUNCTION("""COMPUTED_VALUE"""),"Cuenca")</f>
        <v>Cuenca</v>
      </c>
      <c r="K294" s="142" t="str">
        <f>IFERROR(__xludf.DUMMYFUNCTION("""COMPUTED_VALUE"""),"Ibaan")</f>
        <v>Ibaan</v>
      </c>
      <c r="L294" s="142" t="str">
        <f>IFERROR(__xludf.DUMMYFUNCTION("""COMPUTED_VALUE"""),"Laurel")</f>
        <v>Laurel</v>
      </c>
      <c r="M294" s="142" t="str">
        <f>IFERROR(__xludf.DUMMYFUNCTION("""COMPUTED_VALUE"""),"Lemery")</f>
        <v>Lemery</v>
      </c>
      <c r="N294" s="142" t="str">
        <f>IFERROR(__xludf.DUMMYFUNCTION("""COMPUTED_VALUE"""),"Lian")</f>
        <v>Lian</v>
      </c>
      <c r="O294" s="142" t="str">
        <f>IFERROR(__xludf.DUMMYFUNCTION("""COMPUTED_VALUE"""),"City of Lipa")</f>
        <v>City of Lipa</v>
      </c>
      <c r="P294" s="142" t="str">
        <f>IFERROR(__xludf.DUMMYFUNCTION("""COMPUTED_VALUE"""),"Lobo")</f>
        <v>Lobo</v>
      </c>
      <c r="Q294" s="142" t="str">
        <f>IFERROR(__xludf.DUMMYFUNCTION("""COMPUTED_VALUE"""),"Mabini")</f>
        <v>Mabini</v>
      </c>
      <c r="R294" s="142" t="str">
        <f>IFERROR(__xludf.DUMMYFUNCTION("""COMPUTED_VALUE"""),"Malvar")</f>
        <v>Malvar</v>
      </c>
      <c r="S294" s="142" t="str">
        <f>IFERROR(__xludf.DUMMYFUNCTION("""COMPUTED_VALUE"""),"Mataasnakahoy")</f>
        <v>Mataasnakahoy</v>
      </c>
      <c r="T294" s="142" t="str">
        <f>IFERROR(__xludf.DUMMYFUNCTION("""COMPUTED_VALUE"""),"Nasugbu")</f>
        <v>Nasugbu</v>
      </c>
      <c r="U294" s="142" t="str">
        <f>IFERROR(__xludf.DUMMYFUNCTION("""COMPUTED_VALUE"""),"Padre Garcia")</f>
        <v>Padre Garcia</v>
      </c>
      <c r="V294" s="142" t="str">
        <f>IFERROR(__xludf.DUMMYFUNCTION("""COMPUTED_VALUE"""),"Rosario")</f>
        <v>Rosario</v>
      </c>
      <c r="W294" s="142" t="str">
        <f>IFERROR(__xludf.DUMMYFUNCTION("""COMPUTED_VALUE"""),"San Jose")</f>
        <v>San Jose</v>
      </c>
      <c r="X294" s="142" t="str">
        <f>IFERROR(__xludf.DUMMYFUNCTION("""COMPUTED_VALUE"""),"San Juan")</f>
        <v>San Juan</v>
      </c>
      <c r="Y294" s="142" t="str">
        <f>IFERROR(__xludf.DUMMYFUNCTION("""COMPUTED_VALUE"""),"San Luis")</f>
        <v>San Luis</v>
      </c>
      <c r="Z294" s="142" t="str">
        <f>IFERROR(__xludf.DUMMYFUNCTION("""COMPUTED_VALUE"""),"San Nicolas")</f>
        <v>San Nicolas</v>
      </c>
      <c r="AA294" s="142" t="str">
        <f>IFERROR(__xludf.DUMMYFUNCTION("""COMPUTED_VALUE"""),"San Pascual")</f>
        <v>San Pascual</v>
      </c>
      <c r="AB294" s="142" t="str">
        <f>IFERROR(__xludf.DUMMYFUNCTION("""COMPUTED_VALUE"""),"Santa Teresita")</f>
        <v>Santa Teresita</v>
      </c>
      <c r="AC294" s="142" t="str">
        <f>IFERROR(__xludf.DUMMYFUNCTION("""COMPUTED_VALUE"""),"City of Sto. Tomas")</f>
        <v>City of Sto. Tomas</v>
      </c>
      <c r="AD294" s="142" t="str">
        <f>IFERROR(__xludf.DUMMYFUNCTION("""COMPUTED_VALUE"""),"Taal")</f>
        <v>Taal</v>
      </c>
      <c r="AE294" s="142" t="str">
        <f>IFERROR(__xludf.DUMMYFUNCTION("""COMPUTED_VALUE"""),"Talisay")</f>
        <v>Talisay</v>
      </c>
      <c r="AF294" s="142" t="str">
        <f>IFERROR(__xludf.DUMMYFUNCTION("""COMPUTED_VALUE"""),"City of Tanauan")</f>
        <v>City of Tanauan</v>
      </c>
      <c r="AG294" s="142" t="str">
        <f>IFERROR(__xludf.DUMMYFUNCTION("""COMPUTED_VALUE"""),"Taysan")</f>
        <v>Taysan</v>
      </c>
      <c r="AH294" s="142" t="str">
        <f>IFERROR(__xludf.DUMMYFUNCTION("""COMPUTED_VALUE"""),"Tingloy")</f>
        <v>Tingloy</v>
      </c>
      <c r="AI294" s="142" t="str">
        <f>IFERROR(__xludf.DUMMYFUNCTION("""COMPUTED_VALUE"""),"Tuy")</f>
        <v>Tuy</v>
      </c>
      <c r="AJ294" s="8"/>
      <c r="AK294" s="8"/>
      <c r="AL294" s="8"/>
      <c r="AM294" s="8"/>
      <c r="AN294" s="8"/>
      <c r="AO294" s="8"/>
      <c r="AP294" s="8"/>
      <c r="AQ294" s="8"/>
      <c r="AR294" s="8"/>
      <c r="AS294" s="8"/>
      <c r="AT294" s="8"/>
      <c r="AU294" s="8"/>
      <c r="AV294" s="8"/>
      <c r="AW294" s="8"/>
      <c r="AX294" s="8"/>
      <c r="AY294" s="8"/>
      <c r="AZ294" s="8"/>
      <c r="BA294" s="8"/>
      <c r="BB294" s="8"/>
      <c r="BC294" s="8"/>
      <c r="BD294" s="8"/>
      <c r="BE294" s="8"/>
    </row>
    <row r="295">
      <c r="A295" s="142" t="s">
        <v>858</v>
      </c>
      <c r="B295" s="142" t="str">
        <f>IFERROR(__xludf.DUMMYFUNCTION("""COMPUTED_VALUE"""),"Anini-Y")</f>
        <v>Anini-Y</v>
      </c>
      <c r="C295" s="142" t="str">
        <f>IFERROR(__xludf.DUMMYFUNCTION("""COMPUTED_VALUE"""),"Barbaza")</f>
        <v>Barbaza</v>
      </c>
      <c r="D295" s="142" t="str">
        <f>IFERROR(__xludf.DUMMYFUNCTION("""COMPUTED_VALUE"""),"Belison")</f>
        <v>Belison</v>
      </c>
      <c r="E295" s="142" t="str">
        <f>IFERROR(__xludf.DUMMYFUNCTION("""COMPUTED_VALUE"""),"Bugasong")</f>
        <v>Bugasong</v>
      </c>
      <c r="F295" s="142" t="str">
        <f>IFERROR(__xludf.DUMMYFUNCTION("""COMPUTED_VALUE"""),"Caluya")</f>
        <v>Caluya</v>
      </c>
      <c r="G295" s="142" t="str">
        <f>IFERROR(__xludf.DUMMYFUNCTION("""COMPUTED_VALUE"""),"Culasi")</f>
        <v>Culasi</v>
      </c>
      <c r="H295" s="142" t="str">
        <f>IFERROR(__xludf.DUMMYFUNCTION("""COMPUTED_VALUE"""),"Tobias Fornier")</f>
        <v>Tobias Fornier</v>
      </c>
      <c r="I295" s="142" t="str">
        <f>IFERROR(__xludf.DUMMYFUNCTION("""COMPUTED_VALUE"""),"Hamtic")</f>
        <v>Hamtic</v>
      </c>
      <c r="J295" s="142" t="str">
        <f>IFERROR(__xludf.DUMMYFUNCTION("""COMPUTED_VALUE"""),"Laua-An")</f>
        <v>Laua-An</v>
      </c>
      <c r="K295" s="142" t="str">
        <f>IFERROR(__xludf.DUMMYFUNCTION("""COMPUTED_VALUE"""),"Libertad")</f>
        <v>Libertad</v>
      </c>
      <c r="L295" s="142" t="str">
        <f>IFERROR(__xludf.DUMMYFUNCTION("""COMPUTED_VALUE"""),"Pandan")</f>
        <v>Pandan</v>
      </c>
      <c r="M295" s="142" t="str">
        <f>IFERROR(__xludf.DUMMYFUNCTION("""COMPUTED_VALUE"""),"Patnongon")</f>
        <v>Patnongon</v>
      </c>
      <c r="N295" s="142" t="str">
        <f>IFERROR(__xludf.DUMMYFUNCTION("""COMPUTED_VALUE"""),"San Jose")</f>
        <v>San Jose</v>
      </c>
      <c r="O295" s="142" t="str">
        <f>IFERROR(__xludf.DUMMYFUNCTION("""COMPUTED_VALUE"""),"San Remigio")</f>
        <v>San Remigio</v>
      </c>
      <c r="P295" s="142" t="str">
        <f>IFERROR(__xludf.DUMMYFUNCTION("""COMPUTED_VALUE"""),"Sebaste")</f>
        <v>Sebaste</v>
      </c>
      <c r="Q295" s="142" t="str">
        <f>IFERROR(__xludf.DUMMYFUNCTION("""COMPUTED_VALUE"""),"Sibalom")</f>
        <v>Sibalom</v>
      </c>
      <c r="R295" s="142" t="str">
        <f>IFERROR(__xludf.DUMMYFUNCTION("""COMPUTED_VALUE"""),"Tibiao")</f>
        <v>Tibiao</v>
      </c>
      <c r="S295" s="142" t="str">
        <f>IFERROR(__xludf.DUMMYFUNCTION("""COMPUTED_VALUE"""),"Valderrama")</f>
        <v>Valderrama</v>
      </c>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row>
    <row r="296">
      <c r="A296" s="142" t="s">
        <v>563</v>
      </c>
      <c r="B296" s="142" t="str">
        <f>IFERROR(__xludf.DUMMYFUNCTION("""COMPUTED_VALUE"""),"Alburquerque")</f>
        <v>Alburquerque</v>
      </c>
      <c r="C296" s="142" t="str">
        <f>IFERROR(__xludf.DUMMYFUNCTION("""COMPUTED_VALUE"""),"Alicia")</f>
        <v>Alicia</v>
      </c>
      <c r="D296" s="142" t="str">
        <f>IFERROR(__xludf.DUMMYFUNCTION("""COMPUTED_VALUE"""),"Anda")</f>
        <v>Anda</v>
      </c>
      <c r="E296" s="142" t="str">
        <f>IFERROR(__xludf.DUMMYFUNCTION("""COMPUTED_VALUE"""),"Antequera")</f>
        <v>Antequera</v>
      </c>
      <c r="F296" s="142" t="str">
        <f>IFERROR(__xludf.DUMMYFUNCTION("""COMPUTED_VALUE"""),"Baclayon")</f>
        <v>Baclayon</v>
      </c>
      <c r="G296" s="142" t="str">
        <f>IFERROR(__xludf.DUMMYFUNCTION("""COMPUTED_VALUE"""),"Balilihan")</f>
        <v>Balilihan</v>
      </c>
      <c r="H296" s="142" t="str">
        <f>IFERROR(__xludf.DUMMYFUNCTION("""COMPUTED_VALUE"""),"Batuan")</f>
        <v>Batuan</v>
      </c>
      <c r="I296" s="142" t="str">
        <f>IFERROR(__xludf.DUMMYFUNCTION("""COMPUTED_VALUE"""),"Bilar")</f>
        <v>Bilar</v>
      </c>
      <c r="J296" s="142" t="str">
        <f>IFERROR(__xludf.DUMMYFUNCTION("""COMPUTED_VALUE"""),"Buenavista")</f>
        <v>Buenavista</v>
      </c>
      <c r="K296" s="142" t="str">
        <f>IFERROR(__xludf.DUMMYFUNCTION("""COMPUTED_VALUE"""),"Calape")</f>
        <v>Calape</v>
      </c>
      <c r="L296" s="142" t="str">
        <f>IFERROR(__xludf.DUMMYFUNCTION("""COMPUTED_VALUE"""),"Candijay")</f>
        <v>Candijay</v>
      </c>
      <c r="M296" s="142" t="str">
        <f>IFERROR(__xludf.DUMMYFUNCTION("""COMPUTED_VALUE"""),"Carmen")</f>
        <v>Carmen</v>
      </c>
      <c r="N296" s="142" t="str">
        <f>IFERROR(__xludf.DUMMYFUNCTION("""COMPUTED_VALUE"""),"Catigbian")</f>
        <v>Catigbian</v>
      </c>
      <c r="O296" s="142" t="str">
        <f>IFERROR(__xludf.DUMMYFUNCTION("""COMPUTED_VALUE"""),"Clarin")</f>
        <v>Clarin</v>
      </c>
      <c r="P296" s="142" t="str">
        <f>IFERROR(__xludf.DUMMYFUNCTION("""COMPUTED_VALUE"""),"Corella")</f>
        <v>Corella</v>
      </c>
      <c r="Q296" s="142" t="str">
        <f>IFERROR(__xludf.DUMMYFUNCTION("""COMPUTED_VALUE"""),"Cortes")</f>
        <v>Cortes</v>
      </c>
      <c r="R296" s="142" t="str">
        <f>IFERROR(__xludf.DUMMYFUNCTION("""COMPUTED_VALUE"""),"Dagohoy")</f>
        <v>Dagohoy</v>
      </c>
      <c r="S296" s="142" t="str">
        <f>IFERROR(__xludf.DUMMYFUNCTION("""COMPUTED_VALUE"""),"Danao")</f>
        <v>Danao</v>
      </c>
      <c r="T296" s="142" t="str">
        <f>IFERROR(__xludf.DUMMYFUNCTION("""COMPUTED_VALUE"""),"Dauis")</f>
        <v>Dauis</v>
      </c>
      <c r="U296" s="142" t="str">
        <f>IFERROR(__xludf.DUMMYFUNCTION("""COMPUTED_VALUE"""),"Dimiao")</f>
        <v>Dimiao</v>
      </c>
      <c r="V296" s="142" t="str">
        <f>IFERROR(__xludf.DUMMYFUNCTION("""COMPUTED_VALUE"""),"Duero")</f>
        <v>Duero</v>
      </c>
      <c r="W296" s="142" t="str">
        <f>IFERROR(__xludf.DUMMYFUNCTION("""COMPUTED_VALUE"""),"Garcia Hernandez")</f>
        <v>Garcia Hernandez</v>
      </c>
      <c r="X296" s="142" t="str">
        <f>IFERROR(__xludf.DUMMYFUNCTION("""COMPUTED_VALUE"""),"Guindulman")</f>
        <v>Guindulman</v>
      </c>
      <c r="Y296" s="142" t="str">
        <f>IFERROR(__xludf.DUMMYFUNCTION("""COMPUTED_VALUE"""),"Inabanga")</f>
        <v>Inabanga</v>
      </c>
      <c r="Z296" s="142" t="str">
        <f>IFERROR(__xludf.DUMMYFUNCTION("""COMPUTED_VALUE"""),"Jagna")</f>
        <v>Jagna</v>
      </c>
      <c r="AA296" s="142" t="str">
        <f>IFERROR(__xludf.DUMMYFUNCTION("""COMPUTED_VALUE"""),"Getafe")</f>
        <v>Getafe</v>
      </c>
      <c r="AB296" s="142" t="str">
        <f>IFERROR(__xludf.DUMMYFUNCTION("""COMPUTED_VALUE"""),"Lila")</f>
        <v>Lila</v>
      </c>
      <c r="AC296" s="142" t="str">
        <f>IFERROR(__xludf.DUMMYFUNCTION("""COMPUTED_VALUE"""),"Loay")</f>
        <v>Loay</v>
      </c>
      <c r="AD296" s="142" t="str">
        <f>IFERROR(__xludf.DUMMYFUNCTION("""COMPUTED_VALUE"""),"Loboc")</f>
        <v>Loboc</v>
      </c>
      <c r="AE296" s="142" t="str">
        <f>IFERROR(__xludf.DUMMYFUNCTION("""COMPUTED_VALUE"""),"Loon")</f>
        <v>Loon</v>
      </c>
      <c r="AF296" s="142" t="str">
        <f>IFERROR(__xludf.DUMMYFUNCTION("""COMPUTED_VALUE"""),"Mabini")</f>
        <v>Mabini</v>
      </c>
      <c r="AG296" s="142" t="str">
        <f>IFERROR(__xludf.DUMMYFUNCTION("""COMPUTED_VALUE"""),"Maribojoc")</f>
        <v>Maribojoc</v>
      </c>
      <c r="AH296" s="142" t="str">
        <f>IFERROR(__xludf.DUMMYFUNCTION("""COMPUTED_VALUE"""),"Panglao")</f>
        <v>Panglao</v>
      </c>
      <c r="AI296" s="142" t="str">
        <f>IFERROR(__xludf.DUMMYFUNCTION("""COMPUTED_VALUE"""),"Pilar")</f>
        <v>Pilar</v>
      </c>
      <c r="AJ296" s="142" t="str">
        <f>IFERROR(__xludf.DUMMYFUNCTION("""COMPUTED_VALUE"""),"President Carlos P. Garcia")</f>
        <v>President Carlos P. Garcia</v>
      </c>
      <c r="AK296" s="142" t="str">
        <f>IFERROR(__xludf.DUMMYFUNCTION("""COMPUTED_VALUE"""),"Sagbayan")</f>
        <v>Sagbayan</v>
      </c>
      <c r="AL296" s="142" t="str">
        <f>IFERROR(__xludf.DUMMYFUNCTION("""COMPUTED_VALUE"""),"San Isidro")</f>
        <v>San Isidro</v>
      </c>
      <c r="AM296" s="142" t="str">
        <f>IFERROR(__xludf.DUMMYFUNCTION("""COMPUTED_VALUE"""),"San Miguel")</f>
        <v>San Miguel</v>
      </c>
      <c r="AN296" s="142" t="str">
        <f>IFERROR(__xludf.DUMMYFUNCTION("""COMPUTED_VALUE"""),"Sevilla")</f>
        <v>Sevilla</v>
      </c>
      <c r="AO296" s="142" t="str">
        <f>IFERROR(__xludf.DUMMYFUNCTION("""COMPUTED_VALUE"""),"Sierra Bullones")</f>
        <v>Sierra Bullones</v>
      </c>
      <c r="AP296" s="142" t="str">
        <f>IFERROR(__xludf.DUMMYFUNCTION("""COMPUTED_VALUE"""),"Sikatuna")</f>
        <v>Sikatuna</v>
      </c>
      <c r="AQ296" s="142" t="str">
        <f>IFERROR(__xludf.DUMMYFUNCTION("""COMPUTED_VALUE"""),"City of Tagbilaran")</f>
        <v>City of Tagbilaran</v>
      </c>
      <c r="AR296" s="142" t="str">
        <f>IFERROR(__xludf.DUMMYFUNCTION("""COMPUTED_VALUE"""),"Talibon")</f>
        <v>Talibon</v>
      </c>
      <c r="AS296" s="142" t="str">
        <f>IFERROR(__xludf.DUMMYFUNCTION("""COMPUTED_VALUE"""),"Trinidad")</f>
        <v>Trinidad</v>
      </c>
      <c r="AT296" s="142" t="str">
        <f>IFERROR(__xludf.DUMMYFUNCTION("""COMPUTED_VALUE"""),"Tubigon")</f>
        <v>Tubigon</v>
      </c>
      <c r="AU296" s="142" t="str">
        <f>IFERROR(__xludf.DUMMYFUNCTION("""COMPUTED_VALUE"""),"Ubay")</f>
        <v>Ubay</v>
      </c>
      <c r="AV296" s="142" t="str">
        <f>IFERROR(__xludf.DUMMYFUNCTION("""COMPUTED_VALUE"""),"Valencia")</f>
        <v>Valencia</v>
      </c>
      <c r="AW296" s="142" t="str">
        <f>IFERROR(__xludf.DUMMYFUNCTION("""COMPUTED_VALUE"""),"Bien Unido")</f>
        <v>Bien Unido</v>
      </c>
      <c r="AX296" s="8"/>
      <c r="AY296" s="8"/>
      <c r="AZ296" s="8"/>
      <c r="BA296" s="8"/>
      <c r="BB296" s="8"/>
      <c r="BC296" s="8"/>
      <c r="BD296" s="8"/>
      <c r="BE296" s="8"/>
    </row>
    <row r="297">
      <c r="A297" s="142" t="s">
        <v>563</v>
      </c>
      <c r="B297" s="142" t="str">
        <f>IFERROR(__xludf.DUMMYFUNCTION("""COMPUTED_VALUE"""),"Alburquerque")</f>
        <v>Alburquerque</v>
      </c>
      <c r="C297" s="142" t="str">
        <f>IFERROR(__xludf.DUMMYFUNCTION("""COMPUTED_VALUE"""),"Alicia")</f>
        <v>Alicia</v>
      </c>
      <c r="D297" s="142" t="str">
        <f>IFERROR(__xludf.DUMMYFUNCTION("""COMPUTED_VALUE"""),"Anda")</f>
        <v>Anda</v>
      </c>
      <c r="E297" s="142" t="str">
        <f>IFERROR(__xludf.DUMMYFUNCTION("""COMPUTED_VALUE"""),"Antequera")</f>
        <v>Antequera</v>
      </c>
      <c r="F297" s="142" t="str">
        <f>IFERROR(__xludf.DUMMYFUNCTION("""COMPUTED_VALUE"""),"Baclayon")</f>
        <v>Baclayon</v>
      </c>
      <c r="G297" s="142" t="str">
        <f>IFERROR(__xludf.DUMMYFUNCTION("""COMPUTED_VALUE"""),"Balilihan")</f>
        <v>Balilihan</v>
      </c>
      <c r="H297" s="142" t="str">
        <f>IFERROR(__xludf.DUMMYFUNCTION("""COMPUTED_VALUE"""),"Batuan")</f>
        <v>Batuan</v>
      </c>
      <c r="I297" s="142" t="str">
        <f>IFERROR(__xludf.DUMMYFUNCTION("""COMPUTED_VALUE"""),"Bilar")</f>
        <v>Bilar</v>
      </c>
      <c r="J297" s="142" t="str">
        <f>IFERROR(__xludf.DUMMYFUNCTION("""COMPUTED_VALUE"""),"Buenavista")</f>
        <v>Buenavista</v>
      </c>
      <c r="K297" s="142" t="str">
        <f>IFERROR(__xludf.DUMMYFUNCTION("""COMPUTED_VALUE"""),"Calape")</f>
        <v>Calape</v>
      </c>
      <c r="L297" s="142" t="str">
        <f>IFERROR(__xludf.DUMMYFUNCTION("""COMPUTED_VALUE"""),"Candijay")</f>
        <v>Candijay</v>
      </c>
      <c r="M297" s="142" t="str">
        <f>IFERROR(__xludf.DUMMYFUNCTION("""COMPUTED_VALUE"""),"Carmen")</f>
        <v>Carmen</v>
      </c>
      <c r="N297" s="142" t="str">
        <f>IFERROR(__xludf.DUMMYFUNCTION("""COMPUTED_VALUE"""),"Catigbian")</f>
        <v>Catigbian</v>
      </c>
      <c r="O297" s="142" t="str">
        <f>IFERROR(__xludf.DUMMYFUNCTION("""COMPUTED_VALUE"""),"Clarin")</f>
        <v>Clarin</v>
      </c>
      <c r="P297" s="142" t="str">
        <f>IFERROR(__xludf.DUMMYFUNCTION("""COMPUTED_VALUE"""),"Corella")</f>
        <v>Corella</v>
      </c>
      <c r="Q297" s="142" t="str">
        <f>IFERROR(__xludf.DUMMYFUNCTION("""COMPUTED_VALUE"""),"Cortes")</f>
        <v>Cortes</v>
      </c>
      <c r="R297" s="142" t="str">
        <f>IFERROR(__xludf.DUMMYFUNCTION("""COMPUTED_VALUE"""),"Dagohoy")</f>
        <v>Dagohoy</v>
      </c>
      <c r="S297" s="142" t="str">
        <f>IFERROR(__xludf.DUMMYFUNCTION("""COMPUTED_VALUE"""),"Danao")</f>
        <v>Danao</v>
      </c>
      <c r="T297" s="142" t="str">
        <f>IFERROR(__xludf.DUMMYFUNCTION("""COMPUTED_VALUE"""),"Dauis")</f>
        <v>Dauis</v>
      </c>
      <c r="U297" s="142" t="str">
        <f>IFERROR(__xludf.DUMMYFUNCTION("""COMPUTED_VALUE"""),"Dimiao")</f>
        <v>Dimiao</v>
      </c>
      <c r="V297" s="142" t="str">
        <f>IFERROR(__xludf.DUMMYFUNCTION("""COMPUTED_VALUE"""),"Duero")</f>
        <v>Duero</v>
      </c>
      <c r="W297" s="142" t="str">
        <f>IFERROR(__xludf.DUMMYFUNCTION("""COMPUTED_VALUE"""),"Garcia Hernandez")</f>
        <v>Garcia Hernandez</v>
      </c>
      <c r="X297" s="142" t="str">
        <f>IFERROR(__xludf.DUMMYFUNCTION("""COMPUTED_VALUE"""),"Guindulman")</f>
        <v>Guindulman</v>
      </c>
      <c r="Y297" s="142" t="str">
        <f>IFERROR(__xludf.DUMMYFUNCTION("""COMPUTED_VALUE"""),"Inabanga")</f>
        <v>Inabanga</v>
      </c>
      <c r="Z297" s="142" t="str">
        <f>IFERROR(__xludf.DUMMYFUNCTION("""COMPUTED_VALUE"""),"Jagna")</f>
        <v>Jagna</v>
      </c>
      <c r="AA297" s="142" t="str">
        <f>IFERROR(__xludf.DUMMYFUNCTION("""COMPUTED_VALUE"""),"Getafe")</f>
        <v>Getafe</v>
      </c>
      <c r="AB297" s="142" t="str">
        <f>IFERROR(__xludf.DUMMYFUNCTION("""COMPUTED_VALUE"""),"Lila")</f>
        <v>Lila</v>
      </c>
      <c r="AC297" s="142" t="str">
        <f>IFERROR(__xludf.DUMMYFUNCTION("""COMPUTED_VALUE"""),"Loay")</f>
        <v>Loay</v>
      </c>
      <c r="AD297" s="142" t="str">
        <f>IFERROR(__xludf.DUMMYFUNCTION("""COMPUTED_VALUE"""),"Loboc")</f>
        <v>Loboc</v>
      </c>
      <c r="AE297" s="142" t="str">
        <f>IFERROR(__xludf.DUMMYFUNCTION("""COMPUTED_VALUE"""),"Loon")</f>
        <v>Loon</v>
      </c>
      <c r="AF297" s="142" t="str">
        <f>IFERROR(__xludf.DUMMYFUNCTION("""COMPUTED_VALUE"""),"Mabini")</f>
        <v>Mabini</v>
      </c>
      <c r="AG297" s="142" t="str">
        <f>IFERROR(__xludf.DUMMYFUNCTION("""COMPUTED_VALUE"""),"Maribojoc")</f>
        <v>Maribojoc</v>
      </c>
      <c r="AH297" s="142" t="str">
        <f>IFERROR(__xludf.DUMMYFUNCTION("""COMPUTED_VALUE"""),"Panglao")</f>
        <v>Panglao</v>
      </c>
      <c r="AI297" s="142" t="str">
        <f>IFERROR(__xludf.DUMMYFUNCTION("""COMPUTED_VALUE"""),"Pilar")</f>
        <v>Pilar</v>
      </c>
      <c r="AJ297" s="142" t="str">
        <f>IFERROR(__xludf.DUMMYFUNCTION("""COMPUTED_VALUE"""),"President Carlos P. Garcia")</f>
        <v>President Carlos P. Garcia</v>
      </c>
      <c r="AK297" s="142" t="str">
        <f>IFERROR(__xludf.DUMMYFUNCTION("""COMPUTED_VALUE"""),"Sagbayan")</f>
        <v>Sagbayan</v>
      </c>
      <c r="AL297" s="142" t="str">
        <f>IFERROR(__xludf.DUMMYFUNCTION("""COMPUTED_VALUE"""),"San Isidro")</f>
        <v>San Isidro</v>
      </c>
      <c r="AM297" s="142" t="str">
        <f>IFERROR(__xludf.DUMMYFUNCTION("""COMPUTED_VALUE"""),"San Miguel")</f>
        <v>San Miguel</v>
      </c>
      <c r="AN297" s="142" t="str">
        <f>IFERROR(__xludf.DUMMYFUNCTION("""COMPUTED_VALUE"""),"Sevilla")</f>
        <v>Sevilla</v>
      </c>
      <c r="AO297" s="142" t="str">
        <f>IFERROR(__xludf.DUMMYFUNCTION("""COMPUTED_VALUE"""),"Sierra Bullones")</f>
        <v>Sierra Bullones</v>
      </c>
      <c r="AP297" s="142" t="str">
        <f>IFERROR(__xludf.DUMMYFUNCTION("""COMPUTED_VALUE"""),"Sikatuna")</f>
        <v>Sikatuna</v>
      </c>
      <c r="AQ297" s="142" t="str">
        <f>IFERROR(__xludf.DUMMYFUNCTION("""COMPUTED_VALUE"""),"City of Tagbilaran")</f>
        <v>City of Tagbilaran</v>
      </c>
      <c r="AR297" s="142" t="str">
        <f>IFERROR(__xludf.DUMMYFUNCTION("""COMPUTED_VALUE"""),"Talibon")</f>
        <v>Talibon</v>
      </c>
      <c r="AS297" s="142" t="str">
        <f>IFERROR(__xludf.DUMMYFUNCTION("""COMPUTED_VALUE"""),"Trinidad")</f>
        <v>Trinidad</v>
      </c>
      <c r="AT297" s="142" t="str">
        <f>IFERROR(__xludf.DUMMYFUNCTION("""COMPUTED_VALUE"""),"Tubigon")</f>
        <v>Tubigon</v>
      </c>
      <c r="AU297" s="142" t="str">
        <f>IFERROR(__xludf.DUMMYFUNCTION("""COMPUTED_VALUE"""),"Ubay")</f>
        <v>Ubay</v>
      </c>
      <c r="AV297" s="142" t="str">
        <f>IFERROR(__xludf.DUMMYFUNCTION("""COMPUTED_VALUE"""),"Valencia")</f>
        <v>Valencia</v>
      </c>
      <c r="AW297" s="142" t="str">
        <f>IFERROR(__xludf.DUMMYFUNCTION("""COMPUTED_VALUE"""),"Bien Unido")</f>
        <v>Bien Unido</v>
      </c>
      <c r="AX297" s="8"/>
      <c r="AY297" s="8"/>
      <c r="AZ297" s="8"/>
      <c r="BA297" s="8"/>
      <c r="BB297" s="8"/>
      <c r="BC297" s="8"/>
      <c r="BD297" s="8"/>
      <c r="BE297" s="8"/>
    </row>
    <row r="298">
      <c r="A298" s="142" t="s">
        <v>563</v>
      </c>
      <c r="B298" s="142" t="str">
        <f>IFERROR(__xludf.DUMMYFUNCTION("""COMPUTED_VALUE"""),"Alburquerque")</f>
        <v>Alburquerque</v>
      </c>
      <c r="C298" s="142" t="str">
        <f>IFERROR(__xludf.DUMMYFUNCTION("""COMPUTED_VALUE"""),"Alicia")</f>
        <v>Alicia</v>
      </c>
      <c r="D298" s="142" t="str">
        <f>IFERROR(__xludf.DUMMYFUNCTION("""COMPUTED_VALUE"""),"Anda")</f>
        <v>Anda</v>
      </c>
      <c r="E298" s="142" t="str">
        <f>IFERROR(__xludf.DUMMYFUNCTION("""COMPUTED_VALUE"""),"Antequera")</f>
        <v>Antequera</v>
      </c>
      <c r="F298" s="142" t="str">
        <f>IFERROR(__xludf.DUMMYFUNCTION("""COMPUTED_VALUE"""),"Baclayon")</f>
        <v>Baclayon</v>
      </c>
      <c r="G298" s="142" t="str">
        <f>IFERROR(__xludf.DUMMYFUNCTION("""COMPUTED_VALUE"""),"Balilihan")</f>
        <v>Balilihan</v>
      </c>
      <c r="H298" s="142" t="str">
        <f>IFERROR(__xludf.DUMMYFUNCTION("""COMPUTED_VALUE"""),"Batuan")</f>
        <v>Batuan</v>
      </c>
      <c r="I298" s="142" t="str">
        <f>IFERROR(__xludf.DUMMYFUNCTION("""COMPUTED_VALUE"""),"Bilar")</f>
        <v>Bilar</v>
      </c>
      <c r="J298" s="142" t="str">
        <f>IFERROR(__xludf.DUMMYFUNCTION("""COMPUTED_VALUE"""),"Buenavista")</f>
        <v>Buenavista</v>
      </c>
      <c r="K298" s="142" t="str">
        <f>IFERROR(__xludf.DUMMYFUNCTION("""COMPUTED_VALUE"""),"Calape")</f>
        <v>Calape</v>
      </c>
      <c r="L298" s="142" t="str">
        <f>IFERROR(__xludf.DUMMYFUNCTION("""COMPUTED_VALUE"""),"Candijay")</f>
        <v>Candijay</v>
      </c>
      <c r="M298" s="142" t="str">
        <f>IFERROR(__xludf.DUMMYFUNCTION("""COMPUTED_VALUE"""),"Carmen")</f>
        <v>Carmen</v>
      </c>
      <c r="N298" s="142" t="str">
        <f>IFERROR(__xludf.DUMMYFUNCTION("""COMPUTED_VALUE"""),"Catigbian")</f>
        <v>Catigbian</v>
      </c>
      <c r="O298" s="142" t="str">
        <f>IFERROR(__xludf.DUMMYFUNCTION("""COMPUTED_VALUE"""),"Clarin")</f>
        <v>Clarin</v>
      </c>
      <c r="P298" s="142" t="str">
        <f>IFERROR(__xludf.DUMMYFUNCTION("""COMPUTED_VALUE"""),"Corella")</f>
        <v>Corella</v>
      </c>
      <c r="Q298" s="142" t="str">
        <f>IFERROR(__xludf.DUMMYFUNCTION("""COMPUTED_VALUE"""),"Cortes")</f>
        <v>Cortes</v>
      </c>
      <c r="R298" s="142" t="str">
        <f>IFERROR(__xludf.DUMMYFUNCTION("""COMPUTED_VALUE"""),"Dagohoy")</f>
        <v>Dagohoy</v>
      </c>
      <c r="S298" s="142" t="str">
        <f>IFERROR(__xludf.DUMMYFUNCTION("""COMPUTED_VALUE"""),"Danao")</f>
        <v>Danao</v>
      </c>
      <c r="T298" s="142" t="str">
        <f>IFERROR(__xludf.DUMMYFUNCTION("""COMPUTED_VALUE"""),"Dauis")</f>
        <v>Dauis</v>
      </c>
      <c r="U298" s="142" t="str">
        <f>IFERROR(__xludf.DUMMYFUNCTION("""COMPUTED_VALUE"""),"Dimiao")</f>
        <v>Dimiao</v>
      </c>
      <c r="V298" s="142" t="str">
        <f>IFERROR(__xludf.DUMMYFUNCTION("""COMPUTED_VALUE"""),"Duero")</f>
        <v>Duero</v>
      </c>
      <c r="W298" s="142" t="str">
        <f>IFERROR(__xludf.DUMMYFUNCTION("""COMPUTED_VALUE"""),"Garcia Hernandez")</f>
        <v>Garcia Hernandez</v>
      </c>
      <c r="X298" s="142" t="str">
        <f>IFERROR(__xludf.DUMMYFUNCTION("""COMPUTED_VALUE"""),"Guindulman")</f>
        <v>Guindulman</v>
      </c>
      <c r="Y298" s="142" t="str">
        <f>IFERROR(__xludf.DUMMYFUNCTION("""COMPUTED_VALUE"""),"Inabanga")</f>
        <v>Inabanga</v>
      </c>
      <c r="Z298" s="142" t="str">
        <f>IFERROR(__xludf.DUMMYFUNCTION("""COMPUTED_VALUE"""),"Jagna")</f>
        <v>Jagna</v>
      </c>
      <c r="AA298" s="142" t="str">
        <f>IFERROR(__xludf.DUMMYFUNCTION("""COMPUTED_VALUE"""),"Getafe")</f>
        <v>Getafe</v>
      </c>
      <c r="AB298" s="142" t="str">
        <f>IFERROR(__xludf.DUMMYFUNCTION("""COMPUTED_VALUE"""),"Lila")</f>
        <v>Lila</v>
      </c>
      <c r="AC298" s="142" t="str">
        <f>IFERROR(__xludf.DUMMYFUNCTION("""COMPUTED_VALUE"""),"Loay")</f>
        <v>Loay</v>
      </c>
      <c r="AD298" s="142" t="str">
        <f>IFERROR(__xludf.DUMMYFUNCTION("""COMPUTED_VALUE"""),"Loboc")</f>
        <v>Loboc</v>
      </c>
      <c r="AE298" s="142" t="str">
        <f>IFERROR(__xludf.DUMMYFUNCTION("""COMPUTED_VALUE"""),"Loon")</f>
        <v>Loon</v>
      </c>
      <c r="AF298" s="142" t="str">
        <f>IFERROR(__xludf.DUMMYFUNCTION("""COMPUTED_VALUE"""),"Mabini")</f>
        <v>Mabini</v>
      </c>
      <c r="AG298" s="142" t="str">
        <f>IFERROR(__xludf.DUMMYFUNCTION("""COMPUTED_VALUE"""),"Maribojoc")</f>
        <v>Maribojoc</v>
      </c>
      <c r="AH298" s="142" t="str">
        <f>IFERROR(__xludf.DUMMYFUNCTION("""COMPUTED_VALUE"""),"Panglao")</f>
        <v>Panglao</v>
      </c>
      <c r="AI298" s="142" t="str">
        <f>IFERROR(__xludf.DUMMYFUNCTION("""COMPUTED_VALUE"""),"Pilar")</f>
        <v>Pilar</v>
      </c>
      <c r="AJ298" s="142" t="str">
        <f>IFERROR(__xludf.DUMMYFUNCTION("""COMPUTED_VALUE"""),"President Carlos P. Garcia")</f>
        <v>President Carlos P. Garcia</v>
      </c>
      <c r="AK298" s="142" t="str">
        <f>IFERROR(__xludf.DUMMYFUNCTION("""COMPUTED_VALUE"""),"Sagbayan")</f>
        <v>Sagbayan</v>
      </c>
      <c r="AL298" s="142" t="str">
        <f>IFERROR(__xludf.DUMMYFUNCTION("""COMPUTED_VALUE"""),"San Isidro")</f>
        <v>San Isidro</v>
      </c>
      <c r="AM298" s="142" t="str">
        <f>IFERROR(__xludf.DUMMYFUNCTION("""COMPUTED_VALUE"""),"San Miguel")</f>
        <v>San Miguel</v>
      </c>
      <c r="AN298" s="142" t="str">
        <f>IFERROR(__xludf.DUMMYFUNCTION("""COMPUTED_VALUE"""),"Sevilla")</f>
        <v>Sevilla</v>
      </c>
      <c r="AO298" s="142" t="str">
        <f>IFERROR(__xludf.DUMMYFUNCTION("""COMPUTED_VALUE"""),"Sierra Bullones")</f>
        <v>Sierra Bullones</v>
      </c>
      <c r="AP298" s="142" t="str">
        <f>IFERROR(__xludf.DUMMYFUNCTION("""COMPUTED_VALUE"""),"Sikatuna")</f>
        <v>Sikatuna</v>
      </c>
      <c r="AQ298" s="142" t="str">
        <f>IFERROR(__xludf.DUMMYFUNCTION("""COMPUTED_VALUE"""),"City of Tagbilaran")</f>
        <v>City of Tagbilaran</v>
      </c>
      <c r="AR298" s="142" t="str">
        <f>IFERROR(__xludf.DUMMYFUNCTION("""COMPUTED_VALUE"""),"Talibon")</f>
        <v>Talibon</v>
      </c>
      <c r="AS298" s="142" t="str">
        <f>IFERROR(__xludf.DUMMYFUNCTION("""COMPUTED_VALUE"""),"Trinidad")</f>
        <v>Trinidad</v>
      </c>
      <c r="AT298" s="142" t="str">
        <f>IFERROR(__xludf.DUMMYFUNCTION("""COMPUTED_VALUE"""),"Tubigon")</f>
        <v>Tubigon</v>
      </c>
      <c r="AU298" s="142" t="str">
        <f>IFERROR(__xludf.DUMMYFUNCTION("""COMPUTED_VALUE"""),"Ubay")</f>
        <v>Ubay</v>
      </c>
      <c r="AV298" s="142" t="str">
        <f>IFERROR(__xludf.DUMMYFUNCTION("""COMPUTED_VALUE"""),"Valencia")</f>
        <v>Valencia</v>
      </c>
      <c r="AW298" s="142" t="str">
        <f>IFERROR(__xludf.DUMMYFUNCTION("""COMPUTED_VALUE"""),"Bien Unido")</f>
        <v>Bien Unido</v>
      </c>
      <c r="AX298" s="8"/>
      <c r="AY298" s="8"/>
      <c r="AZ298" s="8"/>
      <c r="BA298" s="8"/>
      <c r="BB298" s="8"/>
      <c r="BC298" s="8"/>
      <c r="BD298" s="8"/>
      <c r="BE298" s="8"/>
    </row>
    <row r="299">
      <c r="A299" s="142" t="s">
        <v>563</v>
      </c>
      <c r="B299" s="142" t="str">
        <f>IFERROR(__xludf.DUMMYFUNCTION("""COMPUTED_VALUE"""),"Alburquerque")</f>
        <v>Alburquerque</v>
      </c>
      <c r="C299" s="142" t="str">
        <f>IFERROR(__xludf.DUMMYFUNCTION("""COMPUTED_VALUE"""),"Alicia")</f>
        <v>Alicia</v>
      </c>
      <c r="D299" s="142" t="str">
        <f>IFERROR(__xludf.DUMMYFUNCTION("""COMPUTED_VALUE"""),"Anda")</f>
        <v>Anda</v>
      </c>
      <c r="E299" s="142" t="str">
        <f>IFERROR(__xludf.DUMMYFUNCTION("""COMPUTED_VALUE"""),"Antequera")</f>
        <v>Antequera</v>
      </c>
      <c r="F299" s="142" t="str">
        <f>IFERROR(__xludf.DUMMYFUNCTION("""COMPUTED_VALUE"""),"Baclayon")</f>
        <v>Baclayon</v>
      </c>
      <c r="G299" s="142" t="str">
        <f>IFERROR(__xludf.DUMMYFUNCTION("""COMPUTED_VALUE"""),"Balilihan")</f>
        <v>Balilihan</v>
      </c>
      <c r="H299" s="142" t="str">
        <f>IFERROR(__xludf.DUMMYFUNCTION("""COMPUTED_VALUE"""),"Batuan")</f>
        <v>Batuan</v>
      </c>
      <c r="I299" s="142" t="str">
        <f>IFERROR(__xludf.DUMMYFUNCTION("""COMPUTED_VALUE"""),"Bilar")</f>
        <v>Bilar</v>
      </c>
      <c r="J299" s="142" t="str">
        <f>IFERROR(__xludf.DUMMYFUNCTION("""COMPUTED_VALUE"""),"Buenavista")</f>
        <v>Buenavista</v>
      </c>
      <c r="K299" s="142" t="str">
        <f>IFERROR(__xludf.DUMMYFUNCTION("""COMPUTED_VALUE"""),"Calape")</f>
        <v>Calape</v>
      </c>
      <c r="L299" s="142" t="str">
        <f>IFERROR(__xludf.DUMMYFUNCTION("""COMPUTED_VALUE"""),"Candijay")</f>
        <v>Candijay</v>
      </c>
      <c r="M299" s="142" t="str">
        <f>IFERROR(__xludf.DUMMYFUNCTION("""COMPUTED_VALUE"""),"Carmen")</f>
        <v>Carmen</v>
      </c>
      <c r="N299" s="142" t="str">
        <f>IFERROR(__xludf.DUMMYFUNCTION("""COMPUTED_VALUE"""),"Catigbian")</f>
        <v>Catigbian</v>
      </c>
      <c r="O299" s="142" t="str">
        <f>IFERROR(__xludf.DUMMYFUNCTION("""COMPUTED_VALUE"""),"Clarin")</f>
        <v>Clarin</v>
      </c>
      <c r="P299" s="142" t="str">
        <f>IFERROR(__xludf.DUMMYFUNCTION("""COMPUTED_VALUE"""),"Corella")</f>
        <v>Corella</v>
      </c>
      <c r="Q299" s="142" t="str">
        <f>IFERROR(__xludf.DUMMYFUNCTION("""COMPUTED_VALUE"""),"Cortes")</f>
        <v>Cortes</v>
      </c>
      <c r="R299" s="142" t="str">
        <f>IFERROR(__xludf.DUMMYFUNCTION("""COMPUTED_VALUE"""),"Dagohoy")</f>
        <v>Dagohoy</v>
      </c>
      <c r="S299" s="142" t="str">
        <f>IFERROR(__xludf.DUMMYFUNCTION("""COMPUTED_VALUE"""),"Danao")</f>
        <v>Danao</v>
      </c>
      <c r="T299" s="142" t="str">
        <f>IFERROR(__xludf.DUMMYFUNCTION("""COMPUTED_VALUE"""),"Dauis")</f>
        <v>Dauis</v>
      </c>
      <c r="U299" s="142" t="str">
        <f>IFERROR(__xludf.DUMMYFUNCTION("""COMPUTED_VALUE"""),"Dimiao")</f>
        <v>Dimiao</v>
      </c>
      <c r="V299" s="142" t="str">
        <f>IFERROR(__xludf.DUMMYFUNCTION("""COMPUTED_VALUE"""),"Duero")</f>
        <v>Duero</v>
      </c>
      <c r="W299" s="142" t="str">
        <f>IFERROR(__xludf.DUMMYFUNCTION("""COMPUTED_VALUE"""),"Garcia Hernandez")</f>
        <v>Garcia Hernandez</v>
      </c>
      <c r="X299" s="142" t="str">
        <f>IFERROR(__xludf.DUMMYFUNCTION("""COMPUTED_VALUE"""),"Guindulman")</f>
        <v>Guindulman</v>
      </c>
      <c r="Y299" s="142" t="str">
        <f>IFERROR(__xludf.DUMMYFUNCTION("""COMPUTED_VALUE"""),"Inabanga")</f>
        <v>Inabanga</v>
      </c>
      <c r="Z299" s="142" t="str">
        <f>IFERROR(__xludf.DUMMYFUNCTION("""COMPUTED_VALUE"""),"Jagna")</f>
        <v>Jagna</v>
      </c>
      <c r="AA299" s="142" t="str">
        <f>IFERROR(__xludf.DUMMYFUNCTION("""COMPUTED_VALUE"""),"Getafe")</f>
        <v>Getafe</v>
      </c>
      <c r="AB299" s="142" t="str">
        <f>IFERROR(__xludf.DUMMYFUNCTION("""COMPUTED_VALUE"""),"Lila")</f>
        <v>Lila</v>
      </c>
      <c r="AC299" s="142" t="str">
        <f>IFERROR(__xludf.DUMMYFUNCTION("""COMPUTED_VALUE"""),"Loay")</f>
        <v>Loay</v>
      </c>
      <c r="AD299" s="142" t="str">
        <f>IFERROR(__xludf.DUMMYFUNCTION("""COMPUTED_VALUE"""),"Loboc")</f>
        <v>Loboc</v>
      </c>
      <c r="AE299" s="142" t="str">
        <f>IFERROR(__xludf.DUMMYFUNCTION("""COMPUTED_VALUE"""),"Loon")</f>
        <v>Loon</v>
      </c>
      <c r="AF299" s="142" t="str">
        <f>IFERROR(__xludf.DUMMYFUNCTION("""COMPUTED_VALUE"""),"Mabini")</f>
        <v>Mabini</v>
      </c>
      <c r="AG299" s="142" t="str">
        <f>IFERROR(__xludf.DUMMYFUNCTION("""COMPUTED_VALUE"""),"Maribojoc")</f>
        <v>Maribojoc</v>
      </c>
      <c r="AH299" s="142" t="str">
        <f>IFERROR(__xludf.DUMMYFUNCTION("""COMPUTED_VALUE"""),"Panglao")</f>
        <v>Panglao</v>
      </c>
      <c r="AI299" s="142" t="str">
        <f>IFERROR(__xludf.DUMMYFUNCTION("""COMPUTED_VALUE"""),"Pilar")</f>
        <v>Pilar</v>
      </c>
      <c r="AJ299" s="142" t="str">
        <f>IFERROR(__xludf.DUMMYFUNCTION("""COMPUTED_VALUE"""),"President Carlos P. Garcia")</f>
        <v>President Carlos P. Garcia</v>
      </c>
      <c r="AK299" s="142" t="str">
        <f>IFERROR(__xludf.DUMMYFUNCTION("""COMPUTED_VALUE"""),"Sagbayan")</f>
        <v>Sagbayan</v>
      </c>
      <c r="AL299" s="142" t="str">
        <f>IFERROR(__xludf.DUMMYFUNCTION("""COMPUTED_VALUE"""),"San Isidro")</f>
        <v>San Isidro</v>
      </c>
      <c r="AM299" s="142" t="str">
        <f>IFERROR(__xludf.DUMMYFUNCTION("""COMPUTED_VALUE"""),"San Miguel")</f>
        <v>San Miguel</v>
      </c>
      <c r="AN299" s="142" t="str">
        <f>IFERROR(__xludf.DUMMYFUNCTION("""COMPUTED_VALUE"""),"Sevilla")</f>
        <v>Sevilla</v>
      </c>
      <c r="AO299" s="142" t="str">
        <f>IFERROR(__xludf.DUMMYFUNCTION("""COMPUTED_VALUE"""),"Sierra Bullones")</f>
        <v>Sierra Bullones</v>
      </c>
      <c r="AP299" s="142" t="str">
        <f>IFERROR(__xludf.DUMMYFUNCTION("""COMPUTED_VALUE"""),"Sikatuna")</f>
        <v>Sikatuna</v>
      </c>
      <c r="AQ299" s="142" t="str">
        <f>IFERROR(__xludf.DUMMYFUNCTION("""COMPUTED_VALUE"""),"City of Tagbilaran")</f>
        <v>City of Tagbilaran</v>
      </c>
      <c r="AR299" s="142" t="str">
        <f>IFERROR(__xludf.DUMMYFUNCTION("""COMPUTED_VALUE"""),"Talibon")</f>
        <v>Talibon</v>
      </c>
      <c r="AS299" s="142" t="str">
        <f>IFERROR(__xludf.DUMMYFUNCTION("""COMPUTED_VALUE"""),"Trinidad")</f>
        <v>Trinidad</v>
      </c>
      <c r="AT299" s="142" t="str">
        <f>IFERROR(__xludf.DUMMYFUNCTION("""COMPUTED_VALUE"""),"Tubigon")</f>
        <v>Tubigon</v>
      </c>
      <c r="AU299" s="142" t="str">
        <f>IFERROR(__xludf.DUMMYFUNCTION("""COMPUTED_VALUE"""),"Ubay")</f>
        <v>Ubay</v>
      </c>
      <c r="AV299" s="142" t="str">
        <f>IFERROR(__xludf.DUMMYFUNCTION("""COMPUTED_VALUE"""),"Valencia")</f>
        <v>Valencia</v>
      </c>
      <c r="AW299" s="142" t="str">
        <f>IFERROR(__xludf.DUMMYFUNCTION("""COMPUTED_VALUE"""),"Bien Unido")</f>
        <v>Bien Unido</v>
      </c>
      <c r="AX299" s="8"/>
      <c r="AY299" s="8"/>
      <c r="AZ299" s="8"/>
      <c r="BA299" s="8"/>
      <c r="BB299" s="8"/>
      <c r="BC299" s="8"/>
      <c r="BD299" s="8"/>
      <c r="BE299" s="8"/>
    </row>
    <row r="300">
      <c r="A300" s="142" t="s">
        <v>194</v>
      </c>
      <c r="B300" s="142" t="str">
        <f>IFERROR(__xludf.DUMMYFUNCTION("""COMPUTED_VALUE"""),"Alcantara")</f>
        <v>Alcantara</v>
      </c>
      <c r="C300" s="142" t="str">
        <f>IFERROR(__xludf.DUMMYFUNCTION("""COMPUTED_VALUE"""),"Alcoy")</f>
        <v>Alcoy</v>
      </c>
      <c r="D300" s="142" t="str">
        <f>IFERROR(__xludf.DUMMYFUNCTION("""COMPUTED_VALUE"""),"Alegria")</f>
        <v>Alegria</v>
      </c>
      <c r="E300" s="142" t="str">
        <f>IFERROR(__xludf.DUMMYFUNCTION("""COMPUTED_VALUE"""),"Aloguinsan")</f>
        <v>Aloguinsan</v>
      </c>
      <c r="F300" s="142" t="str">
        <f>IFERROR(__xludf.DUMMYFUNCTION("""COMPUTED_VALUE"""),"Argao")</f>
        <v>Argao</v>
      </c>
      <c r="G300" s="142" t="str">
        <f>IFERROR(__xludf.DUMMYFUNCTION("""COMPUTED_VALUE"""),"Asturias")</f>
        <v>Asturias</v>
      </c>
      <c r="H300" s="142" t="str">
        <f>IFERROR(__xludf.DUMMYFUNCTION("""COMPUTED_VALUE"""),"Badian")</f>
        <v>Badian</v>
      </c>
      <c r="I300" s="142" t="str">
        <f>IFERROR(__xludf.DUMMYFUNCTION("""COMPUTED_VALUE"""),"Balamban")</f>
        <v>Balamban</v>
      </c>
      <c r="J300" s="142" t="str">
        <f>IFERROR(__xludf.DUMMYFUNCTION("""COMPUTED_VALUE"""),"Bantayan")</f>
        <v>Bantayan</v>
      </c>
      <c r="K300" s="142" t="str">
        <f>IFERROR(__xludf.DUMMYFUNCTION("""COMPUTED_VALUE"""),"Barili")</f>
        <v>Barili</v>
      </c>
      <c r="L300" s="142" t="str">
        <f>IFERROR(__xludf.DUMMYFUNCTION("""COMPUTED_VALUE"""),"City of Bogo")</f>
        <v>City of Bogo</v>
      </c>
      <c r="M300" s="142" t="str">
        <f>IFERROR(__xludf.DUMMYFUNCTION("""COMPUTED_VALUE"""),"Boljoon")</f>
        <v>Boljoon</v>
      </c>
      <c r="N300" s="142" t="str">
        <f>IFERROR(__xludf.DUMMYFUNCTION("""COMPUTED_VALUE"""),"Borbon")</f>
        <v>Borbon</v>
      </c>
      <c r="O300" s="142" t="str">
        <f>IFERROR(__xludf.DUMMYFUNCTION("""COMPUTED_VALUE"""),"City of Carcar")</f>
        <v>City of Carcar</v>
      </c>
      <c r="P300" s="142" t="str">
        <f>IFERROR(__xludf.DUMMYFUNCTION("""COMPUTED_VALUE"""),"Carmen")</f>
        <v>Carmen</v>
      </c>
      <c r="Q300" s="142" t="str">
        <f>IFERROR(__xludf.DUMMYFUNCTION("""COMPUTED_VALUE"""),"Catmon")</f>
        <v>Catmon</v>
      </c>
      <c r="R300" s="142" t="str">
        <f>IFERROR(__xludf.DUMMYFUNCTION("""COMPUTED_VALUE"""),"Compostela")</f>
        <v>Compostela</v>
      </c>
      <c r="S300" s="142" t="str">
        <f>IFERROR(__xludf.DUMMYFUNCTION("""COMPUTED_VALUE"""),"Consolacion")</f>
        <v>Consolacion</v>
      </c>
      <c r="T300" s="142" t="str">
        <f>IFERROR(__xludf.DUMMYFUNCTION("""COMPUTED_VALUE"""),"Cordova")</f>
        <v>Cordova</v>
      </c>
      <c r="U300" s="142" t="str">
        <f>IFERROR(__xludf.DUMMYFUNCTION("""COMPUTED_VALUE"""),"Daanbantayan")</f>
        <v>Daanbantayan</v>
      </c>
      <c r="V300" s="142" t="str">
        <f>IFERROR(__xludf.DUMMYFUNCTION("""COMPUTED_VALUE"""),"Dalaguete")</f>
        <v>Dalaguete</v>
      </c>
      <c r="W300" s="142" t="str">
        <f>IFERROR(__xludf.DUMMYFUNCTION("""COMPUTED_VALUE"""),"Danao City")</f>
        <v>Danao City</v>
      </c>
      <c r="X300" s="142" t="str">
        <f>IFERROR(__xludf.DUMMYFUNCTION("""COMPUTED_VALUE"""),"Dumanjug")</f>
        <v>Dumanjug</v>
      </c>
      <c r="Y300" s="142" t="str">
        <f>IFERROR(__xludf.DUMMYFUNCTION("""COMPUTED_VALUE"""),"Ginatilan")</f>
        <v>Ginatilan</v>
      </c>
      <c r="Z300" s="142" t="str">
        <f>IFERROR(__xludf.DUMMYFUNCTION("""COMPUTED_VALUE"""),"Liloan")</f>
        <v>Liloan</v>
      </c>
      <c r="AA300" s="142" t="str">
        <f>IFERROR(__xludf.DUMMYFUNCTION("""COMPUTED_VALUE"""),"Madridejos")</f>
        <v>Madridejos</v>
      </c>
      <c r="AB300" s="142" t="str">
        <f>IFERROR(__xludf.DUMMYFUNCTION("""COMPUTED_VALUE"""),"Malabuyoc")</f>
        <v>Malabuyoc</v>
      </c>
      <c r="AC300" s="142" t="str">
        <f>IFERROR(__xludf.DUMMYFUNCTION("""COMPUTED_VALUE"""),"Medellin")</f>
        <v>Medellin</v>
      </c>
      <c r="AD300" s="142" t="str">
        <f>IFERROR(__xludf.DUMMYFUNCTION("""COMPUTED_VALUE"""),"Minglanilla")</f>
        <v>Minglanilla</v>
      </c>
      <c r="AE300" s="142" t="str">
        <f>IFERROR(__xludf.DUMMYFUNCTION("""COMPUTED_VALUE"""),"Moalboal")</f>
        <v>Moalboal</v>
      </c>
      <c r="AF300" s="142" t="str">
        <f>IFERROR(__xludf.DUMMYFUNCTION("""COMPUTED_VALUE"""),"City of Naga")</f>
        <v>City of Naga</v>
      </c>
      <c r="AG300" s="142" t="str">
        <f>IFERROR(__xludf.DUMMYFUNCTION("""COMPUTED_VALUE"""),"Oslob")</f>
        <v>Oslob</v>
      </c>
      <c r="AH300" s="142" t="str">
        <f>IFERROR(__xludf.DUMMYFUNCTION("""COMPUTED_VALUE"""),"Pilar")</f>
        <v>Pilar</v>
      </c>
      <c r="AI300" s="142" t="str">
        <f>IFERROR(__xludf.DUMMYFUNCTION("""COMPUTED_VALUE"""),"Pinamungajan")</f>
        <v>Pinamungajan</v>
      </c>
      <c r="AJ300" s="142" t="str">
        <f>IFERROR(__xludf.DUMMYFUNCTION("""COMPUTED_VALUE"""),"Poro")</f>
        <v>Poro</v>
      </c>
      <c r="AK300" s="142" t="str">
        <f>IFERROR(__xludf.DUMMYFUNCTION("""COMPUTED_VALUE"""),"Ronda")</f>
        <v>Ronda</v>
      </c>
      <c r="AL300" s="142" t="str">
        <f>IFERROR(__xludf.DUMMYFUNCTION("""COMPUTED_VALUE"""),"Samboan")</f>
        <v>Samboan</v>
      </c>
      <c r="AM300" s="142" t="str">
        <f>IFERROR(__xludf.DUMMYFUNCTION("""COMPUTED_VALUE"""),"San Fernando")</f>
        <v>San Fernando</v>
      </c>
      <c r="AN300" s="142" t="str">
        <f>IFERROR(__xludf.DUMMYFUNCTION("""COMPUTED_VALUE"""),"San Francisco")</f>
        <v>San Francisco</v>
      </c>
      <c r="AO300" s="142" t="str">
        <f>IFERROR(__xludf.DUMMYFUNCTION("""COMPUTED_VALUE"""),"San Remigio")</f>
        <v>San Remigio</v>
      </c>
      <c r="AP300" s="142" t="str">
        <f>IFERROR(__xludf.DUMMYFUNCTION("""COMPUTED_VALUE"""),"Santa Fe")</f>
        <v>Santa Fe</v>
      </c>
      <c r="AQ300" s="142" t="str">
        <f>IFERROR(__xludf.DUMMYFUNCTION("""COMPUTED_VALUE"""),"Santander")</f>
        <v>Santander</v>
      </c>
      <c r="AR300" s="142" t="str">
        <f>IFERROR(__xludf.DUMMYFUNCTION("""COMPUTED_VALUE"""),"Sibonga")</f>
        <v>Sibonga</v>
      </c>
      <c r="AS300" s="142" t="str">
        <f>IFERROR(__xludf.DUMMYFUNCTION("""COMPUTED_VALUE"""),"Sogod")</f>
        <v>Sogod</v>
      </c>
      <c r="AT300" s="142" t="str">
        <f>IFERROR(__xludf.DUMMYFUNCTION("""COMPUTED_VALUE"""),"Tabogon")</f>
        <v>Tabogon</v>
      </c>
      <c r="AU300" s="142" t="str">
        <f>IFERROR(__xludf.DUMMYFUNCTION("""COMPUTED_VALUE"""),"Tabuelan")</f>
        <v>Tabuelan</v>
      </c>
      <c r="AV300" s="142" t="str">
        <f>IFERROR(__xludf.DUMMYFUNCTION("""COMPUTED_VALUE"""),"City of Talisay")</f>
        <v>City of Talisay</v>
      </c>
      <c r="AW300" s="142" t="str">
        <f>IFERROR(__xludf.DUMMYFUNCTION("""COMPUTED_VALUE"""),"City of Toledo")</f>
        <v>City of Toledo</v>
      </c>
      <c r="AX300" s="142" t="str">
        <f>IFERROR(__xludf.DUMMYFUNCTION("""COMPUTED_VALUE"""),"Tuburan")</f>
        <v>Tuburan</v>
      </c>
      <c r="AY300" s="142" t="str">
        <f>IFERROR(__xludf.DUMMYFUNCTION("""COMPUTED_VALUE"""),"Tudela")</f>
        <v>Tudela</v>
      </c>
      <c r="AZ300" s="142" t="str">
        <f>IFERROR(__xludf.DUMMYFUNCTION("""COMPUTED_VALUE"""),"City of Cebu")</f>
        <v>City of Cebu</v>
      </c>
      <c r="BA300" s="142" t="str">
        <f>IFERROR(__xludf.DUMMYFUNCTION("""COMPUTED_VALUE"""),"City of Lapu-Lapu")</f>
        <v>City of Lapu-Lapu</v>
      </c>
      <c r="BB300" s="142" t="str">
        <f>IFERROR(__xludf.DUMMYFUNCTION("""COMPUTED_VALUE"""),"City of Mandaue")</f>
        <v>City of Mandaue</v>
      </c>
      <c r="BC300" s="8"/>
      <c r="BD300" s="8"/>
      <c r="BE300" s="8"/>
    </row>
    <row r="301">
      <c r="A301" s="142" t="s">
        <v>194</v>
      </c>
      <c r="B301" s="142" t="str">
        <f>IFERROR(__xludf.DUMMYFUNCTION("""COMPUTED_VALUE"""),"Alcantara")</f>
        <v>Alcantara</v>
      </c>
      <c r="C301" s="142" t="str">
        <f>IFERROR(__xludf.DUMMYFUNCTION("""COMPUTED_VALUE"""),"Alcoy")</f>
        <v>Alcoy</v>
      </c>
      <c r="D301" s="142" t="str">
        <f>IFERROR(__xludf.DUMMYFUNCTION("""COMPUTED_VALUE"""),"Alegria")</f>
        <v>Alegria</v>
      </c>
      <c r="E301" s="142" t="str">
        <f>IFERROR(__xludf.DUMMYFUNCTION("""COMPUTED_VALUE"""),"Aloguinsan")</f>
        <v>Aloguinsan</v>
      </c>
      <c r="F301" s="142" t="str">
        <f>IFERROR(__xludf.DUMMYFUNCTION("""COMPUTED_VALUE"""),"Argao")</f>
        <v>Argao</v>
      </c>
      <c r="G301" s="142" t="str">
        <f>IFERROR(__xludf.DUMMYFUNCTION("""COMPUTED_VALUE"""),"Asturias")</f>
        <v>Asturias</v>
      </c>
      <c r="H301" s="142" t="str">
        <f>IFERROR(__xludf.DUMMYFUNCTION("""COMPUTED_VALUE"""),"Badian")</f>
        <v>Badian</v>
      </c>
      <c r="I301" s="142" t="str">
        <f>IFERROR(__xludf.DUMMYFUNCTION("""COMPUTED_VALUE"""),"Balamban")</f>
        <v>Balamban</v>
      </c>
      <c r="J301" s="142" t="str">
        <f>IFERROR(__xludf.DUMMYFUNCTION("""COMPUTED_VALUE"""),"Bantayan")</f>
        <v>Bantayan</v>
      </c>
      <c r="K301" s="142" t="str">
        <f>IFERROR(__xludf.DUMMYFUNCTION("""COMPUTED_VALUE"""),"Barili")</f>
        <v>Barili</v>
      </c>
      <c r="L301" s="142" t="str">
        <f>IFERROR(__xludf.DUMMYFUNCTION("""COMPUTED_VALUE"""),"City of Bogo")</f>
        <v>City of Bogo</v>
      </c>
      <c r="M301" s="142" t="str">
        <f>IFERROR(__xludf.DUMMYFUNCTION("""COMPUTED_VALUE"""),"Boljoon")</f>
        <v>Boljoon</v>
      </c>
      <c r="N301" s="142" t="str">
        <f>IFERROR(__xludf.DUMMYFUNCTION("""COMPUTED_VALUE"""),"Borbon")</f>
        <v>Borbon</v>
      </c>
      <c r="O301" s="142" t="str">
        <f>IFERROR(__xludf.DUMMYFUNCTION("""COMPUTED_VALUE"""),"City of Carcar")</f>
        <v>City of Carcar</v>
      </c>
      <c r="P301" s="142" t="str">
        <f>IFERROR(__xludf.DUMMYFUNCTION("""COMPUTED_VALUE"""),"Carmen")</f>
        <v>Carmen</v>
      </c>
      <c r="Q301" s="142" t="str">
        <f>IFERROR(__xludf.DUMMYFUNCTION("""COMPUTED_VALUE"""),"Catmon")</f>
        <v>Catmon</v>
      </c>
      <c r="R301" s="142" t="str">
        <f>IFERROR(__xludf.DUMMYFUNCTION("""COMPUTED_VALUE"""),"Compostela")</f>
        <v>Compostela</v>
      </c>
      <c r="S301" s="142" t="str">
        <f>IFERROR(__xludf.DUMMYFUNCTION("""COMPUTED_VALUE"""),"Consolacion")</f>
        <v>Consolacion</v>
      </c>
      <c r="T301" s="142" t="str">
        <f>IFERROR(__xludf.DUMMYFUNCTION("""COMPUTED_VALUE"""),"Cordova")</f>
        <v>Cordova</v>
      </c>
      <c r="U301" s="142" t="str">
        <f>IFERROR(__xludf.DUMMYFUNCTION("""COMPUTED_VALUE"""),"Daanbantayan")</f>
        <v>Daanbantayan</v>
      </c>
      <c r="V301" s="142" t="str">
        <f>IFERROR(__xludf.DUMMYFUNCTION("""COMPUTED_VALUE"""),"Dalaguete")</f>
        <v>Dalaguete</v>
      </c>
      <c r="W301" s="142" t="str">
        <f>IFERROR(__xludf.DUMMYFUNCTION("""COMPUTED_VALUE"""),"Danao City")</f>
        <v>Danao City</v>
      </c>
      <c r="X301" s="142" t="str">
        <f>IFERROR(__xludf.DUMMYFUNCTION("""COMPUTED_VALUE"""),"Dumanjug")</f>
        <v>Dumanjug</v>
      </c>
      <c r="Y301" s="142" t="str">
        <f>IFERROR(__xludf.DUMMYFUNCTION("""COMPUTED_VALUE"""),"Ginatilan")</f>
        <v>Ginatilan</v>
      </c>
      <c r="Z301" s="142" t="str">
        <f>IFERROR(__xludf.DUMMYFUNCTION("""COMPUTED_VALUE"""),"Liloan")</f>
        <v>Liloan</v>
      </c>
      <c r="AA301" s="142" t="str">
        <f>IFERROR(__xludf.DUMMYFUNCTION("""COMPUTED_VALUE"""),"Madridejos")</f>
        <v>Madridejos</v>
      </c>
      <c r="AB301" s="142" t="str">
        <f>IFERROR(__xludf.DUMMYFUNCTION("""COMPUTED_VALUE"""),"Malabuyoc")</f>
        <v>Malabuyoc</v>
      </c>
      <c r="AC301" s="142" t="str">
        <f>IFERROR(__xludf.DUMMYFUNCTION("""COMPUTED_VALUE"""),"Medellin")</f>
        <v>Medellin</v>
      </c>
      <c r="AD301" s="142" t="str">
        <f>IFERROR(__xludf.DUMMYFUNCTION("""COMPUTED_VALUE"""),"Minglanilla")</f>
        <v>Minglanilla</v>
      </c>
      <c r="AE301" s="142" t="str">
        <f>IFERROR(__xludf.DUMMYFUNCTION("""COMPUTED_VALUE"""),"Moalboal")</f>
        <v>Moalboal</v>
      </c>
      <c r="AF301" s="142" t="str">
        <f>IFERROR(__xludf.DUMMYFUNCTION("""COMPUTED_VALUE"""),"City of Naga")</f>
        <v>City of Naga</v>
      </c>
      <c r="AG301" s="142" t="str">
        <f>IFERROR(__xludf.DUMMYFUNCTION("""COMPUTED_VALUE"""),"Oslob")</f>
        <v>Oslob</v>
      </c>
      <c r="AH301" s="142" t="str">
        <f>IFERROR(__xludf.DUMMYFUNCTION("""COMPUTED_VALUE"""),"Pilar")</f>
        <v>Pilar</v>
      </c>
      <c r="AI301" s="142" t="str">
        <f>IFERROR(__xludf.DUMMYFUNCTION("""COMPUTED_VALUE"""),"Pinamungajan")</f>
        <v>Pinamungajan</v>
      </c>
      <c r="AJ301" s="142" t="str">
        <f>IFERROR(__xludf.DUMMYFUNCTION("""COMPUTED_VALUE"""),"Poro")</f>
        <v>Poro</v>
      </c>
      <c r="AK301" s="142" t="str">
        <f>IFERROR(__xludf.DUMMYFUNCTION("""COMPUTED_VALUE"""),"Ronda")</f>
        <v>Ronda</v>
      </c>
      <c r="AL301" s="142" t="str">
        <f>IFERROR(__xludf.DUMMYFUNCTION("""COMPUTED_VALUE"""),"Samboan")</f>
        <v>Samboan</v>
      </c>
      <c r="AM301" s="142" t="str">
        <f>IFERROR(__xludf.DUMMYFUNCTION("""COMPUTED_VALUE"""),"San Fernando")</f>
        <v>San Fernando</v>
      </c>
      <c r="AN301" s="142" t="str">
        <f>IFERROR(__xludf.DUMMYFUNCTION("""COMPUTED_VALUE"""),"San Francisco")</f>
        <v>San Francisco</v>
      </c>
      <c r="AO301" s="142" t="str">
        <f>IFERROR(__xludf.DUMMYFUNCTION("""COMPUTED_VALUE"""),"San Remigio")</f>
        <v>San Remigio</v>
      </c>
      <c r="AP301" s="142" t="str">
        <f>IFERROR(__xludf.DUMMYFUNCTION("""COMPUTED_VALUE"""),"Santa Fe")</f>
        <v>Santa Fe</v>
      </c>
      <c r="AQ301" s="142" t="str">
        <f>IFERROR(__xludf.DUMMYFUNCTION("""COMPUTED_VALUE"""),"Santander")</f>
        <v>Santander</v>
      </c>
      <c r="AR301" s="142" t="str">
        <f>IFERROR(__xludf.DUMMYFUNCTION("""COMPUTED_VALUE"""),"Sibonga")</f>
        <v>Sibonga</v>
      </c>
      <c r="AS301" s="142" t="str">
        <f>IFERROR(__xludf.DUMMYFUNCTION("""COMPUTED_VALUE"""),"Sogod")</f>
        <v>Sogod</v>
      </c>
      <c r="AT301" s="142" t="str">
        <f>IFERROR(__xludf.DUMMYFUNCTION("""COMPUTED_VALUE"""),"Tabogon")</f>
        <v>Tabogon</v>
      </c>
      <c r="AU301" s="142" t="str">
        <f>IFERROR(__xludf.DUMMYFUNCTION("""COMPUTED_VALUE"""),"Tabuelan")</f>
        <v>Tabuelan</v>
      </c>
      <c r="AV301" s="142" t="str">
        <f>IFERROR(__xludf.DUMMYFUNCTION("""COMPUTED_VALUE"""),"City of Talisay")</f>
        <v>City of Talisay</v>
      </c>
      <c r="AW301" s="142" t="str">
        <f>IFERROR(__xludf.DUMMYFUNCTION("""COMPUTED_VALUE"""),"City of Toledo")</f>
        <v>City of Toledo</v>
      </c>
      <c r="AX301" s="142" t="str">
        <f>IFERROR(__xludf.DUMMYFUNCTION("""COMPUTED_VALUE"""),"Tuburan")</f>
        <v>Tuburan</v>
      </c>
      <c r="AY301" s="142" t="str">
        <f>IFERROR(__xludf.DUMMYFUNCTION("""COMPUTED_VALUE"""),"Tudela")</f>
        <v>Tudela</v>
      </c>
      <c r="AZ301" s="142" t="str">
        <f>IFERROR(__xludf.DUMMYFUNCTION("""COMPUTED_VALUE"""),"City of Cebu")</f>
        <v>City of Cebu</v>
      </c>
      <c r="BA301" s="142" t="str">
        <f>IFERROR(__xludf.DUMMYFUNCTION("""COMPUTED_VALUE"""),"City of Lapu-Lapu")</f>
        <v>City of Lapu-Lapu</v>
      </c>
      <c r="BB301" s="142" t="str">
        <f>IFERROR(__xludf.DUMMYFUNCTION("""COMPUTED_VALUE"""),"City of Mandaue")</f>
        <v>City of Mandaue</v>
      </c>
      <c r="BC301" s="8"/>
      <c r="BD301" s="8"/>
      <c r="BE301" s="8"/>
    </row>
    <row r="302">
      <c r="A302" s="142" t="s">
        <v>194</v>
      </c>
      <c r="B302" s="142" t="str">
        <f>IFERROR(__xludf.DUMMYFUNCTION("""COMPUTED_VALUE"""),"Alcantara")</f>
        <v>Alcantara</v>
      </c>
      <c r="C302" s="142" t="str">
        <f>IFERROR(__xludf.DUMMYFUNCTION("""COMPUTED_VALUE"""),"Alcoy")</f>
        <v>Alcoy</v>
      </c>
      <c r="D302" s="142" t="str">
        <f>IFERROR(__xludf.DUMMYFUNCTION("""COMPUTED_VALUE"""),"Alegria")</f>
        <v>Alegria</v>
      </c>
      <c r="E302" s="142" t="str">
        <f>IFERROR(__xludf.DUMMYFUNCTION("""COMPUTED_VALUE"""),"Aloguinsan")</f>
        <v>Aloguinsan</v>
      </c>
      <c r="F302" s="142" t="str">
        <f>IFERROR(__xludf.DUMMYFUNCTION("""COMPUTED_VALUE"""),"Argao")</f>
        <v>Argao</v>
      </c>
      <c r="G302" s="142" t="str">
        <f>IFERROR(__xludf.DUMMYFUNCTION("""COMPUTED_VALUE"""),"Asturias")</f>
        <v>Asturias</v>
      </c>
      <c r="H302" s="142" t="str">
        <f>IFERROR(__xludf.DUMMYFUNCTION("""COMPUTED_VALUE"""),"Badian")</f>
        <v>Badian</v>
      </c>
      <c r="I302" s="142" t="str">
        <f>IFERROR(__xludf.DUMMYFUNCTION("""COMPUTED_VALUE"""),"Balamban")</f>
        <v>Balamban</v>
      </c>
      <c r="J302" s="142" t="str">
        <f>IFERROR(__xludf.DUMMYFUNCTION("""COMPUTED_VALUE"""),"Bantayan")</f>
        <v>Bantayan</v>
      </c>
      <c r="K302" s="142" t="str">
        <f>IFERROR(__xludf.DUMMYFUNCTION("""COMPUTED_VALUE"""),"Barili")</f>
        <v>Barili</v>
      </c>
      <c r="L302" s="142" t="str">
        <f>IFERROR(__xludf.DUMMYFUNCTION("""COMPUTED_VALUE"""),"City of Bogo")</f>
        <v>City of Bogo</v>
      </c>
      <c r="M302" s="142" t="str">
        <f>IFERROR(__xludf.DUMMYFUNCTION("""COMPUTED_VALUE"""),"Boljoon")</f>
        <v>Boljoon</v>
      </c>
      <c r="N302" s="142" t="str">
        <f>IFERROR(__xludf.DUMMYFUNCTION("""COMPUTED_VALUE"""),"Borbon")</f>
        <v>Borbon</v>
      </c>
      <c r="O302" s="142" t="str">
        <f>IFERROR(__xludf.DUMMYFUNCTION("""COMPUTED_VALUE"""),"City of Carcar")</f>
        <v>City of Carcar</v>
      </c>
      <c r="P302" s="142" t="str">
        <f>IFERROR(__xludf.DUMMYFUNCTION("""COMPUTED_VALUE"""),"Carmen")</f>
        <v>Carmen</v>
      </c>
      <c r="Q302" s="142" t="str">
        <f>IFERROR(__xludf.DUMMYFUNCTION("""COMPUTED_VALUE"""),"Catmon")</f>
        <v>Catmon</v>
      </c>
      <c r="R302" s="142" t="str">
        <f>IFERROR(__xludf.DUMMYFUNCTION("""COMPUTED_VALUE"""),"Compostela")</f>
        <v>Compostela</v>
      </c>
      <c r="S302" s="142" t="str">
        <f>IFERROR(__xludf.DUMMYFUNCTION("""COMPUTED_VALUE"""),"Consolacion")</f>
        <v>Consolacion</v>
      </c>
      <c r="T302" s="142" t="str">
        <f>IFERROR(__xludf.DUMMYFUNCTION("""COMPUTED_VALUE"""),"Cordova")</f>
        <v>Cordova</v>
      </c>
      <c r="U302" s="142" t="str">
        <f>IFERROR(__xludf.DUMMYFUNCTION("""COMPUTED_VALUE"""),"Daanbantayan")</f>
        <v>Daanbantayan</v>
      </c>
      <c r="V302" s="142" t="str">
        <f>IFERROR(__xludf.DUMMYFUNCTION("""COMPUTED_VALUE"""),"Dalaguete")</f>
        <v>Dalaguete</v>
      </c>
      <c r="W302" s="142" t="str">
        <f>IFERROR(__xludf.DUMMYFUNCTION("""COMPUTED_VALUE"""),"Danao City")</f>
        <v>Danao City</v>
      </c>
      <c r="X302" s="142" t="str">
        <f>IFERROR(__xludf.DUMMYFUNCTION("""COMPUTED_VALUE"""),"Dumanjug")</f>
        <v>Dumanjug</v>
      </c>
      <c r="Y302" s="142" t="str">
        <f>IFERROR(__xludf.DUMMYFUNCTION("""COMPUTED_VALUE"""),"Ginatilan")</f>
        <v>Ginatilan</v>
      </c>
      <c r="Z302" s="142" t="str">
        <f>IFERROR(__xludf.DUMMYFUNCTION("""COMPUTED_VALUE"""),"Liloan")</f>
        <v>Liloan</v>
      </c>
      <c r="AA302" s="142" t="str">
        <f>IFERROR(__xludf.DUMMYFUNCTION("""COMPUTED_VALUE"""),"Madridejos")</f>
        <v>Madridejos</v>
      </c>
      <c r="AB302" s="142" t="str">
        <f>IFERROR(__xludf.DUMMYFUNCTION("""COMPUTED_VALUE"""),"Malabuyoc")</f>
        <v>Malabuyoc</v>
      </c>
      <c r="AC302" s="142" t="str">
        <f>IFERROR(__xludf.DUMMYFUNCTION("""COMPUTED_VALUE"""),"Medellin")</f>
        <v>Medellin</v>
      </c>
      <c r="AD302" s="142" t="str">
        <f>IFERROR(__xludf.DUMMYFUNCTION("""COMPUTED_VALUE"""),"Minglanilla")</f>
        <v>Minglanilla</v>
      </c>
      <c r="AE302" s="142" t="str">
        <f>IFERROR(__xludf.DUMMYFUNCTION("""COMPUTED_VALUE"""),"Moalboal")</f>
        <v>Moalboal</v>
      </c>
      <c r="AF302" s="142" t="str">
        <f>IFERROR(__xludf.DUMMYFUNCTION("""COMPUTED_VALUE"""),"City of Naga")</f>
        <v>City of Naga</v>
      </c>
      <c r="AG302" s="142" t="str">
        <f>IFERROR(__xludf.DUMMYFUNCTION("""COMPUTED_VALUE"""),"Oslob")</f>
        <v>Oslob</v>
      </c>
      <c r="AH302" s="142" t="str">
        <f>IFERROR(__xludf.DUMMYFUNCTION("""COMPUTED_VALUE"""),"Pilar")</f>
        <v>Pilar</v>
      </c>
      <c r="AI302" s="142" t="str">
        <f>IFERROR(__xludf.DUMMYFUNCTION("""COMPUTED_VALUE"""),"Pinamungajan")</f>
        <v>Pinamungajan</v>
      </c>
      <c r="AJ302" s="142" t="str">
        <f>IFERROR(__xludf.DUMMYFUNCTION("""COMPUTED_VALUE"""),"Poro")</f>
        <v>Poro</v>
      </c>
      <c r="AK302" s="142" t="str">
        <f>IFERROR(__xludf.DUMMYFUNCTION("""COMPUTED_VALUE"""),"Ronda")</f>
        <v>Ronda</v>
      </c>
      <c r="AL302" s="142" t="str">
        <f>IFERROR(__xludf.DUMMYFUNCTION("""COMPUTED_VALUE"""),"Samboan")</f>
        <v>Samboan</v>
      </c>
      <c r="AM302" s="142" t="str">
        <f>IFERROR(__xludf.DUMMYFUNCTION("""COMPUTED_VALUE"""),"San Fernando")</f>
        <v>San Fernando</v>
      </c>
      <c r="AN302" s="142" t="str">
        <f>IFERROR(__xludf.DUMMYFUNCTION("""COMPUTED_VALUE"""),"San Francisco")</f>
        <v>San Francisco</v>
      </c>
      <c r="AO302" s="142" t="str">
        <f>IFERROR(__xludf.DUMMYFUNCTION("""COMPUTED_VALUE"""),"San Remigio")</f>
        <v>San Remigio</v>
      </c>
      <c r="AP302" s="142" t="str">
        <f>IFERROR(__xludf.DUMMYFUNCTION("""COMPUTED_VALUE"""),"Santa Fe")</f>
        <v>Santa Fe</v>
      </c>
      <c r="AQ302" s="142" t="str">
        <f>IFERROR(__xludf.DUMMYFUNCTION("""COMPUTED_VALUE"""),"Santander")</f>
        <v>Santander</v>
      </c>
      <c r="AR302" s="142" t="str">
        <f>IFERROR(__xludf.DUMMYFUNCTION("""COMPUTED_VALUE"""),"Sibonga")</f>
        <v>Sibonga</v>
      </c>
      <c r="AS302" s="142" t="str">
        <f>IFERROR(__xludf.DUMMYFUNCTION("""COMPUTED_VALUE"""),"Sogod")</f>
        <v>Sogod</v>
      </c>
      <c r="AT302" s="142" t="str">
        <f>IFERROR(__xludf.DUMMYFUNCTION("""COMPUTED_VALUE"""),"Tabogon")</f>
        <v>Tabogon</v>
      </c>
      <c r="AU302" s="142" t="str">
        <f>IFERROR(__xludf.DUMMYFUNCTION("""COMPUTED_VALUE"""),"Tabuelan")</f>
        <v>Tabuelan</v>
      </c>
      <c r="AV302" s="142" t="str">
        <f>IFERROR(__xludf.DUMMYFUNCTION("""COMPUTED_VALUE"""),"City of Talisay")</f>
        <v>City of Talisay</v>
      </c>
      <c r="AW302" s="142" t="str">
        <f>IFERROR(__xludf.DUMMYFUNCTION("""COMPUTED_VALUE"""),"City of Toledo")</f>
        <v>City of Toledo</v>
      </c>
      <c r="AX302" s="142" t="str">
        <f>IFERROR(__xludf.DUMMYFUNCTION("""COMPUTED_VALUE"""),"Tuburan")</f>
        <v>Tuburan</v>
      </c>
      <c r="AY302" s="142" t="str">
        <f>IFERROR(__xludf.DUMMYFUNCTION("""COMPUTED_VALUE"""),"Tudela")</f>
        <v>Tudela</v>
      </c>
      <c r="AZ302" s="142" t="str">
        <f>IFERROR(__xludf.DUMMYFUNCTION("""COMPUTED_VALUE"""),"City of Cebu")</f>
        <v>City of Cebu</v>
      </c>
      <c r="BA302" s="142" t="str">
        <f>IFERROR(__xludf.DUMMYFUNCTION("""COMPUTED_VALUE"""),"City of Lapu-Lapu")</f>
        <v>City of Lapu-Lapu</v>
      </c>
      <c r="BB302" s="142" t="str">
        <f>IFERROR(__xludf.DUMMYFUNCTION("""COMPUTED_VALUE"""),"City of Mandaue")</f>
        <v>City of Mandaue</v>
      </c>
      <c r="BC302" s="8"/>
      <c r="BD302" s="8"/>
      <c r="BE302" s="8"/>
    </row>
    <row r="303">
      <c r="A303" s="142" t="s">
        <v>194</v>
      </c>
      <c r="B303" s="142" t="str">
        <f>IFERROR(__xludf.DUMMYFUNCTION("""COMPUTED_VALUE"""),"Alcantara")</f>
        <v>Alcantara</v>
      </c>
      <c r="C303" s="142" t="str">
        <f>IFERROR(__xludf.DUMMYFUNCTION("""COMPUTED_VALUE"""),"Alcoy")</f>
        <v>Alcoy</v>
      </c>
      <c r="D303" s="142" t="str">
        <f>IFERROR(__xludf.DUMMYFUNCTION("""COMPUTED_VALUE"""),"Alegria")</f>
        <v>Alegria</v>
      </c>
      <c r="E303" s="142" t="str">
        <f>IFERROR(__xludf.DUMMYFUNCTION("""COMPUTED_VALUE"""),"Aloguinsan")</f>
        <v>Aloguinsan</v>
      </c>
      <c r="F303" s="142" t="str">
        <f>IFERROR(__xludf.DUMMYFUNCTION("""COMPUTED_VALUE"""),"Argao")</f>
        <v>Argao</v>
      </c>
      <c r="G303" s="142" t="str">
        <f>IFERROR(__xludf.DUMMYFUNCTION("""COMPUTED_VALUE"""),"Asturias")</f>
        <v>Asturias</v>
      </c>
      <c r="H303" s="142" t="str">
        <f>IFERROR(__xludf.DUMMYFUNCTION("""COMPUTED_VALUE"""),"Badian")</f>
        <v>Badian</v>
      </c>
      <c r="I303" s="142" t="str">
        <f>IFERROR(__xludf.DUMMYFUNCTION("""COMPUTED_VALUE"""),"Balamban")</f>
        <v>Balamban</v>
      </c>
      <c r="J303" s="142" t="str">
        <f>IFERROR(__xludf.DUMMYFUNCTION("""COMPUTED_VALUE"""),"Bantayan")</f>
        <v>Bantayan</v>
      </c>
      <c r="K303" s="142" t="str">
        <f>IFERROR(__xludf.DUMMYFUNCTION("""COMPUTED_VALUE"""),"Barili")</f>
        <v>Barili</v>
      </c>
      <c r="L303" s="142" t="str">
        <f>IFERROR(__xludf.DUMMYFUNCTION("""COMPUTED_VALUE"""),"City of Bogo")</f>
        <v>City of Bogo</v>
      </c>
      <c r="M303" s="142" t="str">
        <f>IFERROR(__xludf.DUMMYFUNCTION("""COMPUTED_VALUE"""),"Boljoon")</f>
        <v>Boljoon</v>
      </c>
      <c r="N303" s="142" t="str">
        <f>IFERROR(__xludf.DUMMYFUNCTION("""COMPUTED_VALUE"""),"Borbon")</f>
        <v>Borbon</v>
      </c>
      <c r="O303" s="142" t="str">
        <f>IFERROR(__xludf.DUMMYFUNCTION("""COMPUTED_VALUE"""),"City of Carcar")</f>
        <v>City of Carcar</v>
      </c>
      <c r="P303" s="142" t="str">
        <f>IFERROR(__xludf.DUMMYFUNCTION("""COMPUTED_VALUE"""),"Carmen")</f>
        <v>Carmen</v>
      </c>
      <c r="Q303" s="142" t="str">
        <f>IFERROR(__xludf.DUMMYFUNCTION("""COMPUTED_VALUE"""),"Catmon")</f>
        <v>Catmon</v>
      </c>
      <c r="R303" s="142" t="str">
        <f>IFERROR(__xludf.DUMMYFUNCTION("""COMPUTED_VALUE"""),"Compostela")</f>
        <v>Compostela</v>
      </c>
      <c r="S303" s="142" t="str">
        <f>IFERROR(__xludf.DUMMYFUNCTION("""COMPUTED_VALUE"""),"Consolacion")</f>
        <v>Consolacion</v>
      </c>
      <c r="T303" s="142" t="str">
        <f>IFERROR(__xludf.DUMMYFUNCTION("""COMPUTED_VALUE"""),"Cordova")</f>
        <v>Cordova</v>
      </c>
      <c r="U303" s="142" t="str">
        <f>IFERROR(__xludf.DUMMYFUNCTION("""COMPUTED_VALUE"""),"Daanbantayan")</f>
        <v>Daanbantayan</v>
      </c>
      <c r="V303" s="142" t="str">
        <f>IFERROR(__xludf.DUMMYFUNCTION("""COMPUTED_VALUE"""),"Dalaguete")</f>
        <v>Dalaguete</v>
      </c>
      <c r="W303" s="142" t="str">
        <f>IFERROR(__xludf.DUMMYFUNCTION("""COMPUTED_VALUE"""),"Danao City")</f>
        <v>Danao City</v>
      </c>
      <c r="X303" s="142" t="str">
        <f>IFERROR(__xludf.DUMMYFUNCTION("""COMPUTED_VALUE"""),"Dumanjug")</f>
        <v>Dumanjug</v>
      </c>
      <c r="Y303" s="142" t="str">
        <f>IFERROR(__xludf.DUMMYFUNCTION("""COMPUTED_VALUE"""),"Ginatilan")</f>
        <v>Ginatilan</v>
      </c>
      <c r="Z303" s="142" t="str">
        <f>IFERROR(__xludf.DUMMYFUNCTION("""COMPUTED_VALUE"""),"Liloan")</f>
        <v>Liloan</v>
      </c>
      <c r="AA303" s="142" t="str">
        <f>IFERROR(__xludf.DUMMYFUNCTION("""COMPUTED_VALUE"""),"Madridejos")</f>
        <v>Madridejos</v>
      </c>
      <c r="AB303" s="142" t="str">
        <f>IFERROR(__xludf.DUMMYFUNCTION("""COMPUTED_VALUE"""),"Malabuyoc")</f>
        <v>Malabuyoc</v>
      </c>
      <c r="AC303" s="142" t="str">
        <f>IFERROR(__xludf.DUMMYFUNCTION("""COMPUTED_VALUE"""),"Medellin")</f>
        <v>Medellin</v>
      </c>
      <c r="AD303" s="142" t="str">
        <f>IFERROR(__xludf.DUMMYFUNCTION("""COMPUTED_VALUE"""),"Minglanilla")</f>
        <v>Minglanilla</v>
      </c>
      <c r="AE303" s="142" t="str">
        <f>IFERROR(__xludf.DUMMYFUNCTION("""COMPUTED_VALUE"""),"Moalboal")</f>
        <v>Moalboal</v>
      </c>
      <c r="AF303" s="142" t="str">
        <f>IFERROR(__xludf.DUMMYFUNCTION("""COMPUTED_VALUE"""),"City of Naga")</f>
        <v>City of Naga</v>
      </c>
      <c r="AG303" s="142" t="str">
        <f>IFERROR(__xludf.DUMMYFUNCTION("""COMPUTED_VALUE"""),"Oslob")</f>
        <v>Oslob</v>
      </c>
      <c r="AH303" s="142" t="str">
        <f>IFERROR(__xludf.DUMMYFUNCTION("""COMPUTED_VALUE"""),"Pilar")</f>
        <v>Pilar</v>
      </c>
      <c r="AI303" s="142" t="str">
        <f>IFERROR(__xludf.DUMMYFUNCTION("""COMPUTED_VALUE"""),"Pinamungajan")</f>
        <v>Pinamungajan</v>
      </c>
      <c r="AJ303" s="142" t="str">
        <f>IFERROR(__xludf.DUMMYFUNCTION("""COMPUTED_VALUE"""),"Poro")</f>
        <v>Poro</v>
      </c>
      <c r="AK303" s="142" t="str">
        <f>IFERROR(__xludf.DUMMYFUNCTION("""COMPUTED_VALUE"""),"Ronda")</f>
        <v>Ronda</v>
      </c>
      <c r="AL303" s="142" t="str">
        <f>IFERROR(__xludf.DUMMYFUNCTION("""COMPUTED_VALUE"""),"Samboan")</f>
        <v>Samboan</v>
      </c>
      <c r="AM303" s="142" t="str">
        <f>IFERROR(__xludf.DUMMYFUNCTION("""COMPUTED_VALUE"""),"San Fernando")</f>
        <v>San Fernando</v>
      </c>
      <c r="AN303" s="142" t="str">
        <f>IFERROR(__xludf.DUMMYFUNCTION("""COMPUTED_VALUE"""),"San Francisco")</f>
        <v>San Francisco</v>
      </c>
      <c r="AO303" s="142" t="str">
        <f>IFERROR(__xludf.DUMMYFUNCTION("""COMPUTED_VALUE"""),"San Remigio")</f>
        <v>San Remigio</v>
      </c>
      <c r="AP303" s="142" t="str">
        <f>IFERROR(__xludf.DUMMYFUNCTION("""COMPUTED_VALUE"""),"Santa Fe")</f>
        <v>Santa Fe</v>
      </c>
      <c r="AQ303" s="142" t="str">
        <f>IFERROR(__xludf.DUMMYFUNCTION("""COMPUTED_VALUE"""),"Santander")</f>
        <v>Santander</v>
      </c>
      <c r="AR303" s="142" t="str">
        <f>IFERROR(__xludf.DUMMYFUNCTION("""COMPUTED_VALUE"""),"Sibonga")</f>
        <v>Sibonga</v>
      </c>
      <c r="AS303" s="142" t="str">
        <f>IFERROR(__xludf.DUMMYFUNCTION("""COMPUTED_VALUE"""),"Sogod")</f>
        <v>Sogod</v>
      </c>
      <c r="AT303" s="142" t="str">
        <f>IFERROR(__xludf.DUMMYFUNCTION("""COMPUTED_VALUE"""),"Tabogon")</f>
        <v>Tabogon</v>
      </c>
      <c r="AU303" s="142" t="str">
        <f>IFERROR(__xludf.DUMMYFUNCTION("""COMPUTED_VALUE"""),"Tabuelan")</f>
        <v>Tabuelan</v>
      </c>
      <c r="AV303" s="142" t="str">
        <f>IFERROR(__xludf.DUMMYFUNCTION("""COMPUTED_VALUE"""),"City of Talisay")</f>
        <v>City of Talisay</v>
      </c>
      <c r="AW303" s="142" t="str">
        <f>IFERROR(__xludf.DUMMYFUNCTION("""COMPUTED_VALUE"""),"City of Toledo")</f>
        <v>City of Toledo</v>
      </c>
      <c r="AX303" s="142" t="str">
        <f>IFERROR(__xludf.DUMMYFUNCTION("""COMPUTED_VALUE"""),"Tuburan")</f>
        <v>Tuburan</v>
      </c>
      <c r="AY303" s="142" t="str">
        <f>IFERROR(__xludf.DUMMYFUNCTION("""COMPUTED_VALUE"""),"Tudela")</f>
        <v>Tudela</v>
      </c>
      <c r="AZ303" s="142" t="str">
        <f>IFERROR(__xludf.DUMMYFUNCTION("""COMPUTED_VALUE"""),"City of Cebu")</f>
        <v>City of Cebu</v>
      </c>
      <c r="BA303" s="142" t="str">
        <f>IFERROR(__xludf.DUMMYFUNCTION("""COMPUTED_VALUE"""),"City of Lapu-Lapu")</f>
        <v>City of Lapu-Lapu</v>
      </c>
      <c r="BB303" s="142" t="str">
        <f>IFERROR(__xludf.DUMMYFUNCTION("""COMPUTED_VALUE"""),"City of Mandaue")</f>
        <v>City of Mandaue</v>
      </c>
      <c r="BC303" s="8"/>
      <c r="BD303" s="8"/>
      <c r="BE303" s="8"/>
    </row>
    <row r="304">
      <c r="A304" s="142" t="s">
        <v>632</v>
      </c>
      <c r="B304" s="142" t="str">
        <f>IFERROR(__xludf.DUMMYFUNCTION("""COMPUTED_VALUE"""),"Amlan")</f>
        <v>Amlan</v>
      </c>
      <c r="C304" s="142" t="str">
        <f>IFERROR(__xludf.DUMMYFUNCTION("""COMPUTED_VALUE"""),"Ayungon")</f>
        <v>Ayungon</v>
      </c>
      <c r="D304" s="142" t="str">
        <f>IFERROR(__xludf.DUMMYFUNCTION("""COMPUTED_VALUE"""),"Bacong")</f>
        <v>Bacong</v>
      </c>
      <c r="E304" s="142" t="str">
        <f>IFERROR(__xludf.DUMMYFUNCTION("""COMPUTED_VALUE"""),"City of Bais")</f>
        <v>City of Bais</v>
      </c>
      <c r="F304" s="142" t="str">
        <f>IFERROR(__xludf.DUMMYFUNCTION("""COMPUTED_VALUE"""),"Basay")</f>
        <v>Basay</v>
      </c>
      <c r="G304" s="142" t="str">
        <f>IFERROR(__xludf.DUMMYFUNCTION("""COMPUTED_VALUE"""),"City of Bayawan")</f>
        <v>City of Bayawan</v>
      </c>
      <c r="H304" s="142" t="str">
        <f>IFERROR(__xludf.DUMMYFUNCTION("""COMPUTED_VALUE"""),"Bindoy")</f>
        <v>Bindoy</v>
      </c>
      <c r="I304" s="142" t="str">
        <f>IFERROR(__xludf.DUMMYFUNCTION("""COMPUTED_VALUE"""),"City of Canlaon")</f>
        <v>City of Canlaon</v>
      </c>
      <c r="J304" s="142" t="str">
        <f>IFERROR(__xludf.DUMMYFUNCTION("""COMPUTED_VALUE"""),"Dauin")</f>
        <v>Dauin</v>
      </c>
      <c r="K304" s="142" t="str">
        <f>IFERROR(__xludf.DUMMYFUNCTION("""COMPUTED_VALUE"""),"City of Dumaguete")</f>
        <v>City of Dumaguete</v>
      </c>
      <c r="L304" s="142" t="str">
        <f>IFERROR(__xludf.DUMMYFUNCTION("""COMPUTED_VALUE"""),"City of Guihulngan")</f>
        <v>City of Guihulngan</v>
      </c>
      <c r="M304" s="142" t="str">
        <f>IFERROR(__xludf.DUMMYFUNCTION("""COMPUTED_VALUE"""),"Jimalalud")</f>
        <v>Jimalalud</v>
      </c>
      <c r="N304" s="142" t="str">
        <f>IFERROR(__xludf.DUMMYFUNCTION("""COMPUTED_VALUE"""),"La Libertad")</f>
        <v>La Libertad</v>
      </c>
      <c r="O304" s="142" t="str">
        <f>IFERROR(__xludf.DUMMYFUNCTION("""COMPUTED_VALUE"""),"Mabinay")</f>
        <v>Mabinay</v>
      </c>
      <c r="P304" s="142" t="str">
        <f>IFERROR(__xludf.DUMMYFUNCTION("""COMPUTED_VALUE"""),"Manjuyod")</f>
        <v>Manjuyod</v>
      </c>
      <c r="Q304" s="142" t="str">
        <f>IFERROR(__xludf.DUMMYFUNCTION("""COMPUTED_VALUE"""),"Pamplona")</f>
        <v>Pamplona</v>
      </c>
      <c r="R304" s="142" t="str">
        <f>IFERROR(__xludf.DUMMYFUNCTION("""COMPUTED_VALUE"""),"San Jose")</f>
        <v>San Jose</v>
      </c>
      <c r="S304" s="142" t="str">
        <f>IFERROR(__xludf.DUMMYFUNCTION("""COMPUTED_VALUE"""),"Santa Catalina")</f>
        <v>Santa Catalina</v>
      </c>
      <c r="T304" s="142" t="str">
        <f>IFERROR(__xludf.DUMMYFUNCTION("""COMPUTED_VALUE"""),"Siaton")</f>
        <v>Siaton</v>
      </c>
      <c r="U304" s="142" t="str">
        <f>IFERROR(__xludf.DUMMYFUNCTION("""COMPUTED_VALUE"""),"Sibulan")</f>
        <v>Sibulan</v>
      </c>
      <c r="V304" s="142" t="str">
        <f>IFERROR(__xludf.DUMMYFUNCTION("""COMPUTED_VALUE"""),"City of Tanjay")</f>
        <v>City of Tanjay</v>
      </c>
      <c r="W304" s="142" t="str">
        <f>IFERROR(__xludf.DUMMYFUNCTION("""COMPUTED_VALUE"""),"Tayasan")</f>
        <v>Tayasan</v>
      </c>
      <c r="X304" s="142" t="str">
        <f>IFERROR(__xludf.DUMMYFUNCTION("""COMPUTED_VALUE"""),"Valencia")</f>
        <v>Valencia</v>
      </c>
      <c r="Y304" s="142" t="str">
        <f>IFERROR(__xludf.DUMMYFUNCTION("""COMPUTED_VALUE"""),"Vallehermoso")</f>
        <v>Vallehermoso</v>
      </c>
      <c r="Z304" s="142" t="str">
        <f>IFERROR(__xludf.DUMMYFUNCTION("""COMPUTED_VALUE"""),"Zamboanguita")</f>
        <v>Zamboanguita</v>
      </c>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row>
    <row r="305">
      <c r="A305" s="142" t="s">
        <v>632</v>
      </c>
      <c r="B305" s="142" t="str">
        <f>IFERROR(__xludf.DUMMYFUNCTION("""COMPUTED_VALUE"""),"Amlan")</f>
        <v>Amlan</v>
      </c>
      <c r="C305" s="142" t="str">
        <f>IFERROR(__xludf.DUMMYFUNCTION("""COMPUTED_VALUE"""),"Ayungon")</f>
        <v>Ayungon</v>
      </c>
      <c r="D305" s="142" t="str">
        <f>IFERROR(__xludf.DUMMYFUNCTION("""COMPUTED_VALUE"""),"Bacong")</f>
        <v>Bacong</v>
      </c>
      <c r="E305" s="142" t="str">
        <f>IFERROR(__xludf.DUMMYFUNCTION("""COMPUTED_VALUE"""),"City of Bais")</f>
        <v>City of Bais</v>
      </c>
      <c r="F305" s="142" t="str">
        <f>IFERROR(__xludf.DUMMYFUNCTION("""COMPUTED_VALUE"""),"Basay")</f>
        <v>Basay</v>
      </c>
      <c r="G305" s="142" t="str">
        <f>IFERROR(__xludf.DUMMYFUNCTION("""COMPUTED_VALUE"""),"City of Bayawan")</f>
        <v>City of Bayawan</v>
      </c>
      <c r="H305" s="142" t="str">
        <f>IFERROR(__xludf.DUMMYFUNCTION("""COMPUTED_VALUE"""),"Bindoy")</f>
        <v>Bindoy</v>
      </c>
      <c r="I305" s="142" t="str">
        <f>IFERROR(__xludf.DUMMYFUNCTION("""COMPUTED_VALUE"""),"City of Canlaon")</f>
        <v>City of Canlaon</v>
      </c>
      <c r="J305" s="142" t="str">
        <f>IFERROR(__xludf.DUMMYFUNCTION("""COMPUTED_VALUE"""),"Dauin")</f>
        <v>Dauin</v>
      </c>
      <c r="K305" s="142" t="str">
        <f>IFERROR(__xludf.DUMMYFUNCTION("""COMPUTED_VALUE"""),"City of Dumaguete")</f>
        <v>City of Dumaguete</v>
      </c>
      <c r="L305" s="142" t="str">
        <f>IFERROR(__xludf.DUMMYFUNCTION("""COMPUTED_VALUE"""),"City of Guihulngan")</f>
        <v>City of Guihulngan</v>
      </c>
      <c r="M305" s="142" t="str">
        <f>IFERROR(__xludf.DUMMYFUNCTION("""COMPUTED_VALUE"""),"Jimalalud")</f>
        <v>Jimalalud</v>
      </c>
      <c r="N305" s="142" t="str">
        <f>IFERROR(__xludf.DUMMYFUNCTION("""COMPUTED_VALUE"""),"La Libertad")</f>
        <v>La Libertad</v>
      </c>
      <c r="O305" s="142" t="str">
        <f>IFERROR(__xludf.DUMMYFUNCTION("""COMPUTED_VALUE"""),"Mabinay")</f>
        <v>Mabinay</v>
      </c>
      <c r="P305" s="142" t="str">
        <f>IFERROR(__xludf.DUMMYFUNCTION("""COMPUTED_VALUE"""),"Manjuyod")</f>
        <v>Manjuyod</v>
      </c>
      <c r="Q305" s="142" t="str">
        <f>IFERROR(__xludf.DUMMYFUNCTION("""COMPUTED_VALUE"""),"Pamplona")</f>
        <v>Pamplona</v>
      </c>
      <c r="R305" s="142" t="str">
        <f>IFERROR(__xludf.DUMMYFUNCTION("""COMPUTED_VALUE"""),"San Jose")</f>
        <v>San Jose</v>
      </c>
      <c r="S305" s="142" t="str">
        <f>IFERROR(__xludf.DUMMYFUNCTION("""COMPUTED_VALUE"""),"Santa Catalina")</f>
        <v>Santa Catalina</v>
      </c>
      <c r="T305" s="142" t="str">
        <f>IFERROR(__xludf.DUMMYFUNCTION("""COMPUTED_VALUE"""),"Siaton")</f>
        <v>Siaton</v>
      </c>
      <c r="U305" s="142" t="str">
        <f>IFERROR(__xludf.DUMMYFUNCTION("""COMPUTED_VALUE"""),"Sibulan")</f>
        <v>Sibulan</v>
      </c>
      <c r="V305" s="142" t="str">
        <f>IFERROR(__xludf.DUMMYFUNCTION("""COMPUTED_VALUE"""),"City of Tanjay")</f>
        <v>City of Tanjay</v>
      </c>
      <c r="W305" s="142" t="str">
        <f>IFERROR(__xludf.DUMMYFUNCTION("""COMPUTED_VALUE"""),"Tayasan")</f>
        <v>Tayasan</v>
      </c>
      <c r="X305" s="142" t="str">
        <f>IFERROR(__xludf.DUMMYFUNCTION("""COMPUTED_VALUE"""),"Valencia")</f>
        <v>Valencia</v>
      </c>
      <c r="Y305" s="142" t="str">
        <f>IFERROR(__xludf.DUMMYFUNCTION("""COMPUTED_VALUE"""),"Vallehermoso")</f>
        <v>Vallehermoso</v>
      </c>
      <c r="Z305" s="142" t="str">
        <f>IFERROR(__xludf.DUMMYFUNCTION("""COMPUTED_VALUE"""),"Zamboanguita")</f>
        <v>Zamboanguita</v>
      </c>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row>
    <row r="306">
      <c r="A306" s="142" t="s">
        <v>632</v>
      </c>
      <c r="B306" s="142" t="str">
        <f>IFERROR(__xludf.DUMMYFUNCTION("""COMPUTED_VALUE"""),"Amlan")</f>
        <v>Amlan</v>
      </c>
      <c r="C306" s="142" t="str">
        <f>IFERROR(__xludf.DUMMYFUNCTION("""COMPUTED_VALUE"""),"Ayungon")</f>
        <v>Ayungon</v>
      </c>
      <c r="D306" s="142" t="str">
        <f>IFERROR(__xludf.DUMMYFUNCTION("""COMPUTED_VALUE"""),"Bacong")</f>
        <v>Bacong</v>
      </c>
      <c r="E306" s="142" t="str">
        <f>IFERROR(__xludf.DUMMYFUNCTION("""COMPUTED_VALUE"""),"City of Bais")</f>
        <v>City of Bais</v>
      </c>
      <c r="F306" s="142" t="str">
        <f>IFERROR(__xludf.DUMMYFUNCTION("""COMPUTED_VALUE"""),"Basay")</f>
        <v>Basay</v>
      </c>
      <c r="G306" s="142" t="str">
        <f>IFERROR(__xludf.DUMMYFUNCTION("""COMPUTED_VALUE"""),"City of Bayawan")</f>
        <v>City of Bayawan</v>
      </c>
      <c r="H306" s="142" t="str">
        <f>IFERROR(__xludf.DUMMYFUNCTION("""COMPUTED_VALUE"""),"Bindoy")</f>
        <v>Bindoy</v>
      </c>
      <c r="I306" s="142" t="str">
        <f>IFERROR(__xludf.DUMMYFUNCTION("""COMPUTED_VALUE"""),"City of Canlaon")</f>
        <v>City of Canlaon</v>
      </c>
      <c r="J306" s="142" t="str">
        <f>IFERROR(__xludf.DUMMYFUNCTION("""COMPUTED_VALUE"""),"Dauin")</f>
        <v>Dauin</v>
      </c>
      <c r="K306" s="142" t="str">
        <f>IFERROR(__xludf.DUMMYFUNCTION("""COMPUTED_VALUE"""),"City of Dumaguete")</f>
        <v>City of Dumaguete</v>
      </c>
      <c r="L306" s="142" t="str">
        <f>IFERROR(__xludf.DUMMYFUNCTION("""COMPUTED_VALUE"""),"City of Guihulngan")</f>
        <v>City of Guihulngan</v>
      </c>
      <c r="M306" s="142" t="str">
        <f>IFERROR(__xludf.DUMMYFUNCTION("""COMPUTED_VALUE"""),"Jimalalud")</f>
        <v>Jimalalud</v>
      </c>
      <c r="N306" s="142" t="str">
        <f>IFERROR(__xludf.DUMMYFUNCTION("""COMPUTED_VALUE"""),"La Libertad")</f>
        <v>La Libertad</v>
      </c>
      <c r="O306" s="142" t="str">
        <f>IFERROR(__xludf.DUMMYFUNCTION("""COMPUTED_VALUE"""),"Mabinay")</f>
        <v>Mabinay</v>
      </c>
      <c r="P306" s="142" t="str">
        <f>IFERROR(__xludf.DUMMYFUNCTION("""COMPUTED_VALUE"""),"Manjuyod")</f>
        <v>Manjuyod</v>
      </c>
      <c r="Q306" s="142" t="str">
        <f>IFERROR(__xludf.DUMMYFUNCTION("""COMPUTED_VALUE"""),"Pamplona")</f>
        <v>Pamplona</v>
      </c>
      <c r="R306" s="142" t="str">
        <f>IFERROR(__xludf.DUMMYFUNCTION("""COMPUTED_VALUE"""),"San Jose")</f>
        <v>San Jose</v>
      </c>
      <c r="S306" s="142" t="str">
        <f>IFERROR(__xludf.DUMMYFUNCTION("""COMPUTED_VALUE"""),"Santa Catalina")</f>
        <v>Santa Catalina</v>
      </c>
      <c r="T306" s="142" t="str">
        <f>IFERROR(__xludf.DUMMYFUNCTION("""COMPUTED_VALUE"""),"Siaton")</f>
        <v>Siaton</v>
      </c>
      <c r="U306" s="142" t="str">
        <f>IFERROR(__xludf.DUMMYFUNCTION("""COMPUTED_VALUE"""),"Sibulan")</f>
        <v>Sibulan</v>
      </c>
      <c r="V306" s="142" t="str">
        <f>IFERROR(__xludf.DUMMYFUNCTION("""COMPUTED_VALUE"""),"City of Tanjay")</f>
        <v>City of Tanjay</v>
      </c>
      <c r="W306" s="142" t="str">
        <f>IFERROR(__xludf.DUMMYFUNCTION("""COMPUTED_VALUE"""),"Tayasan")</f>
        <v>Tayasan</v>
      </c>
      <c r="X306" s="142" t="str">
        <f>IFERROR(__xludf.DUMMYFUNCTION("""COMPUTED_VALUE"""),"Valencia")</f>
        <v>Valencia</v>
      </c>
      <c r="Y306" s="142" t="str">
        <f>IFERROR(__xludf.DUMMYFUNCTION("""COMPUTED_VALUE"""),"Vallehermoso")</f>
        <v>Vallehermoso</v>
      </c>
      <c r="Z306" s="142" t="str">
        <f>IFERROR(__xludf.DUMMYFUNCTION("""COMPUTED_VALUE"""),"Zamboanguita")</f>
        <v>Zamboanguita</v>
      </c>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row>
    <row r="307">
      <c r="A307" s="142" t="s">
        <v>632</v>
      </c>
      <c r="B307" s="142" t="str">
        <f>IFERROR(__xludf.DUMMYFUNCTION("""COMPUTED_VALUE"""),"Amlan")</f>
        <v>Amlan</v>
      </c>
      <c r="C307" s="142" t="str">
        <f>IFERROR(__xludf.DUMMYFUNCTION("""COMPUTED_VALUE"""),"Ayungon")</f>
        <v>Ayungon</v>
      </c>
      <c r="D307" s="142" t="str">
        <f>IFERROR(__xludf.DUMMYFUNCTION("""COMPUTED_VALUE"""),"Bacong")</f>
        <v>Bacong</v>
      </c>
      <c r="E307" s="142" t="str">
        <f>IFERROR(__xludf.DUMMYFUNCTION("""COMPUTED_VALUE"""),"City of Bais")</f>
        <v>City of Bais</v>
      </c>
      <c r="F307" s="142" t="str">
        <f>IFERROR(__xludf.DUMMYFUNCTION("""COMPUTED_VALUE"""),"Basay")</f>
        <v>Basay</v>
      </c>
      <c r="G307" s="142" t="str">
        <f>IFERROR(__xludf.DUMMYFUNCTION("""COMPUTED_VALUE"""),"City of Bayawan")</f>
        <v>City of Bayawan</v>
      </c>
      <c r="H307" s="142" t="str">
        <f>IFERROR(__xludf.DUMMYFUNCTION("""COMPUTED_VALUE"""),"Bindoy")</f>
        <v>Bindoy</v>
      </c>
      <c r="I307" s="142" t="str">
        <f>IFERROR(__xludf.DUMMYFUNCTION("""COMPUTED_VALUE"""),"City of Canlaon")</f>
        <v>City of Canlaon</v>
      </c>
      <c r="J307" s="142" t="str">
        <f>IFERROR(__xludf.DUMMYFUNCTION("""COMPUTED_VALUE"""),"Dauin")</f>
        <v>Dauin</v>
      </c>
      <c r="K307" s="142" t="str">
        <f>IFERROR(__xludf.DUMMYFUNCTION("""COMPUTED_VALUE"""),"City of Dumaguete")</f>
        <v>City of Dumaguete</v>
      </c>
      <c r="L307" s="142" t="str">
        <f>IFERROR(__xludf.DUMMYFUNCTION("""COMPUTED_VALUE"""),"City of Guihulngan")</f>
        <v>City of Guihulngan</v>
      </c>
      <c r="M307" s="142" t="str">
        <f>IFERROR(__xludf.DUMMYFUNCTION("""COMPUTED_VALUE"""),"Jimalalud")</f>
        <v>Jimalalud</v>
      </c>
      <c r="N307" s="142" t="str">
        <f>IFERROR(__xludf.DUMMYFUNCTION("""COMPUTED_VALUE"""),"La Libertad")</f>
        <v>La Libertad</v>
      </c>
      <c r="O307" s="142" t="str">
        <f>IFERROR(__xludf.DUMMYFUNCTION("""COMPUTED_VALUE"""),"Mabinay")</f>
        <v>Mabinay</v>
      </c>
      <c r="P307" s="142" t="str">
        <f>IFERROR(__xludf.DUMMYFUNCTION("""COMPUTED_VALUE"""),"Manjuyod")</f>
        <v>Manjuyod</v>
      </c>
      <c r="Q307" s="142" t="str">
        <f>IFERROR(__xludf.DUMMYFUNCTION("""COMPUTED_VALUE"""),"Pamplona")</f>
        <v>Pamplona</v>
      </c>
      <c r="R307" s="142" t="str">
        <f>IFERROR(__xludf.DUMMYFUNCTION("""COMPUTED_VALUE"""),"San Jose")</f>
        <v>San Jose</v>
      </c>
      <c r="S307" s="142" t="str">
        <f>IFERROR(__xludf.DUMMYFUNCTION("""COMPUTED_VALUE"""),"Santa Catalina")</f>
        <v>Santa Catalina</v>
      </c>
      <c r="T307" s="142" t="str">
        <f>IFERROR(__xludf.DUMMYFUNCTION("""COMPUTED_VALUE"""),"Siaton")</f>
        <v>Siaton</v>
      </c>
      <c r="U307" s="142" t="str">
        <f>IFERROR(__xludf.DUMMYFUNCTION("""COMPUTED_VALUE"""),"Sibulan")</f>
        <v>Sibulan</v>
      </c>
      <c r="V307" s="142" t="str">
        <f>IFERROR(__xludf.DUMMYFUNCTION("""COMPUTED_VALUE"""),"City of Tanjay")</f>
        <v>City of Tanjay</v>
      </c>
      <c r="W307" s="142" t="str">
        <f>IFERROR(__xludf.DUMMYFUNCTION("""COMPUTED_VALUE"""),"Tayasan")</f>
        <v>Tayasan</v>
      </c>
      <c r="X307" s="142" t="str">
        <f>IFERROR(__xludf.DUMMYFUNCTION("""COMPUTED_VALUE"""),"Valencia")</f>
        <v>Valencia</v>
      </c>
      <c r="Y307" s="142" t="str">
        <f>IFERROR(__xludf.DUMMYFUNCTION("""COMPUTED_VALUE"""),"Vallehermoso")</f>
        <v>Vallehermoso</v>
      </c>
      <c r="Z307" s="142" t="str">
        <f>IFERROR(__xludf.DUMMYFUNCTION("""COMPUTED_VALUE"""),"Zamboanguita")</f>
        <v>Zamboanguita</v>
      </c>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row>
    <row r="308">
      <c r="A308" s="142" t="s">
        <v>826</v>
      </c>
      <c r="B308" s="142" t="str">
        <f>IFERROR(__xludf.DUMMYFUNCTION("""COMPUTED_VALUE"""),"Enrique Villanueva")</f>
        <v>Enrique Villanueva</v>
      </c>
      <c r="C308" s="142" t="str">
        <f>IFERROR(__xludf.DUMMYFUNCTION("""COMPUTED_VALUE"""),"Larena")</f>
        <v>Larena</v>
      </c>
      <c r="D308" s="142" t="str">
        <f>IFERROR(__xludf.DUMMYFUNCTION("""COMPUTED_VALUE"""),"Lazi")</f>
        <v>Lazi</v>
      </c>
      <c r="E308" s="142" t="str">
        <f>IFERROR(__xludf.DUMMYFUNCTION("""COMPUTED_VALUE"""),"Maria")</f>
        <v>Maria</v>
      </c>
      <c r="F308" s="142" t="str">
        <f>IFERROR(__xludf.DUMMYFUNCTION("""COMPUTED_VALUE"""),"San Juan")</f>
        <v>San Juan</v>
      </c>
      <c r="G308" s="142" t="str">
        <f>IFERROR(__xludf.DUMMYFUNCTION("""COMPUTED_VALUE"""),"Siquijor")</f>
        <v>Siquijor</v>
      </c>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row>
    <row r="309">
      <c r="A309" s="142" t="s">
        <v>826</v>
      </c>
      <c r="B309" s="142" t="str">
        <f>IFERROR(__xludf.DUMMYFUNCTION("""COMPUTED_VALUE"""),"Enrique Villanueva")</f>
        <v>Enrique Villanueva</v>
      </c>
      <c r="C309" s="142" t="str">
        <f>IFERROR(__xludf.DUMMYFUNCTION("""COMPUTED_VALUE"""),"Larena")</f>
        <v>Larena</v>
      </c>
      <c r="D309" s="142" t="str">
        <f>IFERROR(__xludf.DUMMYFUNCTION("""COMPUTED_VALUE"""),"Lazi")</f>
        <v>Lazi</v>
      </c>
      <c r="E309" s="142" t="str">
        <f>IFERROR(__xludf.DUMMYFUNCTION("""COMPUTED_VALUE"""),"Maria")</f>
        <v>Maria</v>
      </c>
      <c r="F309" s="142" t="str">
        <f>IFERROR(__xludf.DUMMYFUNCTION("""COMPUTED_VALUE"""),"San Juan")</f>
        <v>San Juan</v>
      </c>
      <c r="G309" s="142" t="str">
        <f>IFERROR(__xludf.DUMMYFUNCTION("""COMPUTED_VALUE"""),"Siquijor")</f>
        <v>Siquijor</v>
      </c>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row>
    <row r="310">
      <c r="A310" s="142" t="s">
        <v>331</v>
      </c>
      <c r="B310" s="142" t="str">
        <f>IFERROR(__xludf.DUMMYFUNCTION("""COMPUTED_VALUE"""),"Asuncion")</f>
        <v>Asuncion</v>
      </c>
      <c r="C310" s="142" t="str">
        <f>IFERROR(__xludf.DUMMYFUNCTION("""COMPUTED_VALUE"""),"Carmen")</f>
        <v>Carmen</v>
      </c>
      <c r="D310" s="142" t="str">
        <f>IFERROR(__xludf.DUMMYFUNCTION("""COMPUTED_VALUE"""),"Kapalong")</f>
        <v>Kapalong</v>
      </c>
      <c r="E310" s="142" t="str">
        <f>IFERROR(__xludf.DUMMYFUNCTION("""COMPUTED_VALUE"""),"New Corella")</f>
        <v>New Corella</v>
      </c>
      <c r="F310" s="142" t="str">
        <f>IFERROR(__xludf.DUMMYFUNCTION("""COMPUTED_VALUE"""),"City of Panabo")</f>
        <v>City of Panabo</v>
      </c>
      <c r="G310" s="142" t="str">
        <f>IFERROR(__xludf.DUMMYFUNCTION("""COMPUTED_VALUE"""),"Island Garden City of Samal")</f>
        <v>Island Garden City of Samal</v>
      </c>
      <c r="H310" s="142" t="str">
        <f>IFERROR(__xludf.DUMMYFUNCTION("""COMPUTED_VALUE"""),"Santo Tomas")</f>
        <v>Santo Tomas</v>
      </c>
      <c r="I310" s="142" t="str">
        <f>IFERROR(__xludf.DUMMYFUNCTION("""COMPUTED_VALUE"""),"City of Tagum")</f>
        <v>City of Tagum</v>
      </c>
      <c r="J310" s="142" t="str">
        <f>IFERROR(__xludf.DUMMYFUNCTION("""COMPUTED_VALUE"""),"Talaingod")</f>
        <v>Talaingod</v>
      </c>
      <c r="K310" s="142" t="str">
        <f>IFERROR(__xludf.DUMMYFUNCTION("""COMPUTED_VALUE"""),"Braulio E. Dujali")</f>
        <v>Braulio E. Dujali</v>
      </c>
      <c r="L310" s="142" t="str">
        <f>IFERROR(__xludf.DUMMYFUNCTION("""COMPUTED_VALUE"""),"San Isidro")</f>
        <v>San Isidro</v>
      </c>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row>
    <row r="311">
      <c r="A311" s="142" t="s">
        <v>194</v>
      </c>
      <c r="B311" s="142" t="str">
        <f>IFERROR(__xludf.DUMMYFUNCTION("""COMPUTED_VALUE"""),"Alcantara")</f>
        <v>Alcantara</v>
      </c>
      <c r="C311" s="142" t="str">
        <f>IFERROR(__xludf.DUMMYFUNCTION("""COMPUTED_VALUE"""),"Alcoy")</f>
        <v>Alcoy</v>
      </c>
      <c r="D311" s="142" t="str">
        <f>IFERROR(__xludf.DUMMYFUNCTION("""COMPUTED_VALUE"""),"Alegria")</f>
        <v>Alegria</v>
      </c>
      <c r="E311" s="142" t="str">
        <f>IFERROR(__xludf.DUMMYFUNCTION("""COMPUTED_VALUE"""),"Aloguinsan")</f>
        <v>Aloguinsan</v>
      </c>
      <c r="F311" s="142" t="str">
        <f>IFERROR(__xludf.DUMMYFUNCTION("""COMPUTED_VALUE"""),"Argao")</f>
        <v>Argao</v>
      </c>
      <c r="G311" s="142" t="str">
        <f>IFERROR(__xludf.DUMMYFUNCTION("""COMPUTED_VALUE"""),"Asturias")</f>
        <v>Asturias</v>
      </c>
      <c r="H311" s="142" t="str">
        <f>IFERROR(__xludf.DUMMYFUNCTION("""COMPUTED_VALUE"""),"Badian")</f>
        <v>Badian</v>
      </c>
      <c r="I311" s="142" t="str">
        <f>IFERROR(__xludf.DUMMYFUNCTION("""COMPUTED_VALUE"""),"Balamban")</f>
        <v>Balamban</v>
      </c>
      <c r="J311" s="142" t="str">
        <f>IFERROR(__xludf.DUMMYFUNCTION("""COMPUTED_VALUE"""),"Bantayan")</f>
        <v>Bantayan</v>
      </c>
      <c r="K311" s="142" t="str">
        <f>IFERROR(__xludf.DUMMYFUNCTION("""COMPUTED_VALUE"""),"Barili")</f>
        <v>Barili</v>
      </c>
      <c r="L311" s="142" t="str">
        <f>IFERROR(__xludf.DUMMYFUNCTION("""COMPUTED_VALUE"""),"City of Bogo")</f>
        <v>City of Bogo</v>
      </c>
      <c r="M311" s="142" t="str">
        <f>IFERROR(__xludf.DUMMYFUNCTION("""COMPUTED_VALUE"""),"Boljoon")</f>
        <v>Boljoon</v>
      </c>
      <c r="N311" s="142" t="str">
        <f>IFERROR(__xludf.DUMMYFUNCTION("""COMPUTED_VALUE"""),"Borbon")</f>
        <v>Borbon</v>
      </c>
      <c r="O311" s="142" t="str">
        <f>IFERROR(__xludf.DUMMYFUNCTION("""COMPUTED_VALUE"""),"City of Carcar")</f>
        <v>City of Carcar</v>
      </c>
      <c r="P311" s="142" t="str">
        <f>IFERROR(__xludf.DUMMYFUNCTION("""COMPUTED_VALUE"""),"Carmen")</f>
        <v>Carmen</v>
      </c>
      <c r="Q311" s="142" t="str">
        <f>IFERROR(__xludf.DUMMYFUNCTION("""COMPUTED_VALUE"""),"Catmon")</f>
        <v>Catmon</v>
      </c>
      <c r="R311" s="142" t="str">
        <f>IFERROR(__xludf.DUMMYFUNCTION("""COMPUTED_VALUE"""),"Compostela")</f>
        <v>Compostela</v>
      </c>
      <c r="S311" s="142" t="str">
        <f>IFERROR(__xludf.DUMMYFUNCTION("""COMPUTED_VALUE"""),"Consolacion")</f>
        <v>Consolacion</v>
      </c>
      <c r="T311" s="142" t="str">
        <f>IFERROR(__xludf.DUMMYFUNCTION("""COMPUTED_VALUE"""),"Cordova")</f>
        <v>Cordova</v>
      </c>
      <c r="U311" s="142" t="str">
        <f>IFERROR(__xludf.DUMMYFUNCTION("""COMPUTED_VALUE"""),"Daanbantayan")</f>
        <v>Daanbantayan</v>
      </c>
      <c r="V311" s="142" t="str">
        <f>IFERROR(__xludf.DUMMYFUNCTION("""COMPUTED_VALUE"""),"Dalaguete")</f>
        <v>Dalaguete</v>
      </c>
      <c r="W311" s="142" t="str">
        <f>IFERROR(__xludf.DUMMYFUNCTION("""COMPUTED_VALUE"""),"Danao City")</f>
        <v>Danao City</v>
      </c>
      <c r="X311" s="142" t="str">
        <f>IFERROR(__xludf.DUMMYFUNCTION("""COMPUTED_VALUE"""),"Dumanjug")</f>
        <v>Dumanjug</v>
      </c>
      <c r="Y311" s="142" t="str">
        <f>IFERROR(__xludf.DUMMYFUNCTION("""COMPUTED_VALUE"""),"Ginatilan")</f>
        <v>Ginatilan</v>
      </c>
      <c r="Z311" s="142" t="str">
        <f>IFERROR(__xludf.DUMMYFUNCTION("""COMPUTED_VALUE"""),"Liloan")</f>
        <v>Liloan</v>
      </c>
      <c r="AA311" s="142" t="str">
        <f>IFERROR(__xludf.DUMMYFUNCTION("""COMPUTED_VALUE"""),"Madridejos")</f>
        <v>Madridejos</v>
      </c>
      <c r="AB311" s="142" t="str">
        <f>IFERROR(__xludf.DUMMYFUNCTION("""COMPUTED_VALUE"""),"Malabuyoc")</f>
        <v>Malabuyoc</v>
      </c>
      <c r="AC311" s="142" t="str">
        <f>IFERROR(__xludf.DUMMYFUNCTION("""COMPUTED_VALUE"""),"Medellin")</f>
        <v>Medellin</v>
      </c>
      <c r="AD311" s="142" t="str">
        <f>IFERROR(__xludf.DUMMYFUNCTION("""COMPUTED_VALUE"""),"Minglanilla")</f>
        <v>Minglanilla</v>
      </c>
      <c r="AE311" s="142" t="str">
        <f>IFERROR(__xludf.DUMMYFUNCTION("""COMPUTED_VALUE"""),"Moalboal")</f>
        <v>Moalboal</v>
      </c>
      <c r="AF311" s="142" t="str">
        <f>IFERROR(__xludf.DUMMYFUNCTION("""COMPUTED_VALUE"""),"City of Naga")</f>
        <v>City of Naga</v>
      </c>
      <c r="AG311" s="142" t="str">
        <f>IFERROR(__xludf.DUMMYFUNCTION("""COMPUTED_VALUE"""),"Oslob")</f>
        <v>Oslob</v>
      </c>
      <c r="AH311" s="142" t="str">
        <f>IFERROR(__xludf.DUMMYFUNCTION("""COMPUTED_VALUE"""),"Pilar")</f>
        <v>Pilar</v>
      </c>
      <c r="AI311" s="142" t="str">
        <f>IFERROR(__xludf.DUMMYFUNCTION("""COMPUTED_VALUE"""),"Pinamungajan")</f>
        <v>Pinamungajan</v>
      </c>
      <c r="AJ311" s="142" t="str">
        <f>IFERROR(__xludf.DUMMYFUNCTION("""COMPUTED_VALUE"""),"Poro")</f>
        <v>Poro</v>
      </c>
      <c r="AK311" s="142" t="str">
        <f>IFERROR(__xludf.DUMMYFUNCTION("""COMPUTED_VALUE"""),"Ronda")</f>
        <v>Ronda</v>
      </c>
      <c r="AL311" s="142" t="str">
        <f>IFERROR(__xludf.DUMMYFUNCTION("""COMPUTED_VALUE"""),"Samboan")</f>
        <v>Samboan</v>
      </c>
      <c r="AM311" s="142" t="str">
        <f>IFERROR(__xludf.DUMMYFUNCTION("""COMPUTED_VALUE"""),"San Fernando")</f>
        <v>San Fernando</v>
      </c>
      <c r="AN311" s="142" t="str">
        <f>IFERROR(__xludf.DUMMYFUNCTION("""COMPUTED_VALUE"""),"San Francisco")</f>
        <v>San Francisco</v>
      </c>
      <c r="AO311" s="142" t="str">
        <f>IFERROR(__xludf.DUMMYFUNCTION("""COMPUTED_VALUE"""),"San Remigio")</f>
        <v>San Remigio</v>
      </c>
      <c r="AP311" s="142" t="str">
        <f>IFERROR(__xludf.DUMMYFUNCTION("""COMPUTED_VALUE"""),"Santa Fe")</f>
        <v>Santa Fe</v>
      </c>
      <c r="AQ311" s="142" t="str">
        <f>IFERROR(__xludf.DUMMYFUNCTION("""COMPUTED_VALUE"""),"Santander")</f>
        <v>Santander</v>
      </c>
      <c r="AR311" s="142" t="str">
        <f>IFERROR(__xludf.DUMMYFUNCTION("""COMPUTED_VALUE"""),"Sibonga")</f>
        <v>Sibonga</v>
      </c>
      <c r="AS311" s="142" t="str">
        <f>IFERROR(__xludf.DUMMYFUNCTION("""COMPUTED_VALUE"""),"Sogod")</f>
        <v>Sogod</v>
      </c>
      <c r="AT311" s="142" t="str">
        <f>IFERROR(__xludf.DUMMYFUNCTION("""COMPUTED_VALUE"""),"Tabogon")</f>
        <v>Tabogon</v>
      </c>
      <c r="AU311" s="142" t="str">
        <f>IFERROR(__xludf.DUMMYFUNCTION("""COMPUTED_VALUE"""),"Tabuelan")</f>
        <v>Tabuelan</v>
      </c>
      <c r="AV311" s="142" t="str">
        <f>IFERROR(__xludf.DUMMYFUNCTION("""COMPUTED_VALUE"""),"City of Talisay")</f>
        <v>City of Talisay</v>
      </c>
      <c r="AW311" s="142" t="str">
        <f>IFERROR(__xludf.DUMMYFUNCTION("""COMPUTED_VALUE"""),"City of Toledo")</f>
        <v>City of Toledo</v>
      </c>
      <c r="AX311" s="142" t="str">
        <f>IFERROR(__xludf.DUMMYFUNCTION("""COMPUTED_VALUE"""),"Tuburan")</f>
        <v>Tuburan</v>
      </c>
      <c r="AY311" s="142" t="str">
        <f>IFERROR(__xludf.DUMMYFUNCTION("""COMPUTED_VALUE"""),"Tudela")</f>
        <v>Tudela</v>
      </c>
      <c r="AZ311" s="142" t="str">
        <f>IFERROR(__xludf.DUMMYFUNCTION("""COMPUTED_VALUE"""),"City of Cebu")</f>
        <v>City of Cebu</v>
      </c>
      <c r="BA311" s="142" t="str">
        <f>IFERROR(__xludf.DUMMYFUNCTION("""COMPUTED_VALUE"""),"City of Lapu-Lapu")</f>
        <v>City of Lapu-Lapu</v>
      </c>
      <c r="BB311" s="142" t="str">
        <f>IFERROR(__xludf.DUMMYFUNCTION("""COMPUTED_VALUE"""),"City of Mandaue")</f>
        <v>City of Mandaue</v>
      </c>
      <c r="BC311" s="8"/>
      <c r="BD311" s="8"/>
      <c r="BE311" s="8"/>
    </row>
    <row r="312">
      <c r="A312" s="142" t="s">
        <v>315</v>
      </c>
      <c r="B312" s="142" t="str">
        <f>IFERROR(__xludf.DUMMYFUNCTION("""COMPUTED_VALUE"""),"Altavas")</f>
        <v>Altavas</v>
      </c>
      <c r="C312" s="142" t="str">
        <f>IFERROR(__xludf.DUMMYFUNCTION("""COMPUTED_VALUE"""),"Balete")</f>
        <v>Balete</v>
      </c>
      <c r="D312" s="142" t="str">
        <f>IFERROR(__xludf.DUMMYFUNCTION("""COMPUTED_VALUE"""),"Banga")</f>
        <v>Banga</v>
      </c>
      <c r="E312" s="142" t="str">
        <f>IFERROR(__xludf.DUMMYFUNCTION("""COMPUTED_VALUE"""),"Batan")</f>
        <v>Batan</v>
      </c>
      <c r="F312" s="142" t="str">
        <f>IFERROR(__xludf.DUMMYFUNCTION("""COMPUTED_VALUE"""),"Buruanga")</f>
        <v>Buruanga</v>
      </c>
      <c r="G312" s="142" t="str">
        <f>IFERROR(__xludf.DUMMYFUNCTION("""COMPUTED_VALUE"""),"Ibajay")</f>
        <v>Ibajay</v>
      </c>
      <c r="H312" s="142" t="str">
        <f>IFERROR(__xludf.DUMMYFUNCTION("""COMPUTED_VALUE"""),"Kalibo")</f>
        <v>Kalibo</v>
      </c>
      <c r="I312" s="142" t="str">
        <f>IFERROR(__xludf.DUMMYFUNCTION("""COMPUTED_VALUE"""),"Lezo")</f>
        <v>Lezo</v>
      </c>
      <c r="J312" s="142" t="str">
        <f>IFERROR(__xludf.DUMMYFUNCTION("""COMPUTED_VALUE"""),"Libacao")</f>
        <v>Libacao</v>
      </c>
      <c r="K312" s="142" t="str">
        <f>IFERROR(__xludf.DUMMYFUNCTION("""COMPUTED_VALUE"""),"Madalag")</f>
        <v>Madalag</v>
      </c>
      <c r="L312" s="142" t="str">
        <f>IFERROR(__xludf.DUMMYFUNCTION("""COMPUTED_VALUE"""),"Makato")</f>
        <v>Makato</v>
      </c>
      <c r="M312" s="142" t="str">
        <f>IFERROR(__xludf.DUMMYFUNCTION("""COMPUTED_VALUE"""),"Malay")</f>
        <v>Malay</v>
      </c>
      <c r="N312" s="142" t="str">
        <f>IFERROR(__xludf.DUMMYFUNCTION("""COMPUTED_VALUE"""),"Malinao")</f>
        <v>Malinao</v>
      </c>
      <c r="O312" s="142" t="str">
        <f>IFERROR(__xludf.DUMMYFUNCTION("""COMPUTED_VALUE"""),"Nabas")</f>
        <v>Nabas</v>
      </c>
      <c r="P312" s="142" t="str">
        <f>IFERROR(__xludf.DUMMYFUNCTION("""COMPUTED_VALUE"""),"New Washington")</f>
        <v>New Washington</v>
      </c>
      <c r="Q312" s="142" t="str">
        <f>IFERROR(__xludf.DUMMYFUNCTION("""COMPUTED_VALUE"""),"Numancia")</f>
        <v>Numancia</v>
      </c>
      <c r="R312" s="142" t="str">
        <f>IFERROR(__xludf.DUMMYFUNCTION("""COMPUTED_VALUE"""),"Tangalan")</f>
        <v>Tangalan</v>
      </c>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row>
    <row r="313">
      <c r="A313" s="142" t="s">
        <v>331</v>
      </c>
      <c r="B313" s="142" t="str">
        <f>IFERROR(__xludf.DUMMYFUNCTION("""COMPUTED_VALUE"""),"Asuncion")</f>
        <v>Asuncion</v>
      </c>
      <c r="C313" s="142" t="str">
        <f>IFERROR(__xludf.DUMMYFUNCTION("""COMPUTED_VALUE"""),"Carmen")</f>
        <v>Carmen</v>
      </c>
      <c r="D313" s="142" t="str">
        <f>IFERROR(__xludf.DUMMYFUNCTION("""COMPUTED_VALUE"""),"Kapalong")</f>
        <v>Kapalong</v>
      </c>
      <c r="E313" s="142" t="str">
        <f>IFERROR(__xludf.DUMMYFUNCTION("""COMPUTED_VALUE"""),"New Corella")</f>
        <v>New Corella</v>
      </c>
      <c r="F313" s="142" t="str">
        <f>IFERROR(__xludf.DUMMYFUNCTION("""COMPUTED_VALUE"""),"City of Panabo")</f>
        <v>City of Panabo</v>
      </c>
      <c r="G313" s="142" t="str">
        <f>IFERROR(__xludf.DUMMYFUNCTION("""COMPUTED_VALUE"""),"Island Garden City of Samal")</f>
        <v>Island Garden City of Samal</v>
      </c>
      <c r="H313" s="142" t="str">
        <f>IFERROR(__xludf.DUMMYFUNCTION("""COMPUTED_VALUE"""),"Santo Tomas")</f>
        <v>Santo Tomas</v>
      </c>
      <c r="I313" s="142" t="str">
        <f>IFERROR(__xludf.DUMMYFUNCTION("""COMPUTED_VALUE"""),"City of Tagum")</f>
        <v>City of Tagum</v>
      </c>
      <c r="J313" s="142" t="str">
        <f>IFERROR(__xludf.DUMMYFUNCTION("""COMPUTED_VALUE"""),"Talaingod")</f>
        <v>Talaingod</v>
      </c>
      <c r="K313" s="142" t="str">
        <f>IFERROR(__xludf.DUMMYFUNCTION("""COMPUTED_VALUE"""),"Braulio E. Dujali")</f>
        <v>Braulio E. Dujali</v>
      </c>
      <c r="L313" s="142" t="str">
        <f>IFERROR(__xludf.DUMMYFUNCTION("""COMPUTED_VALUE"""),"San Isidro")</f>
        <v>San Isidro</v>
      </c>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row>
    <row r="314">
      <c r="A314" s="142" t="s">
        <v>600</v>
      </c>
      <c r="B314" s="142" t="str">
        <f>IFERROR(__xludf.DUMMYFUNCTION("""COMPUTED_VALUE"""),"Bacolod")</f>
        <v>Bacolod</v>
      </c>
      <c r="C314" s="142" t="str">
        <f>IFERROR(__xludf.DUMMYFUNCTION("""COMPUTED_VALUE"""),"Baloi")</f>
        <v>Baloi</v>
      </c>
      <c r="D314" s="142" t="str">
        <f>IFERROR(__xludf.DUMMYFUNCTION("""COMPUTED_VALUE"""),"Baroy")</f>
        <v>Baroy</v>
      </c>
      <c r="E314" s="142" t="str">
        <f>IFERROR(__xludf.DUMMYFUNCTION("""COMPUTED_VALUE"""),"City of Iligan")</f>
        <v>City of Iligan</v>
      </c>
      <c r="F314" s="142" t="str">
        <f>IFERROR(__xludf.DUMMYFUNCTION("""COMPUTED_VALUE"""),"Kapatagan")</f>
        <v>Kapatagan</v>
      </c>
      <c r="G314" s="142" t="str">
        <f>IFERROR(__xludf.DUMMYFUNCTION("""COMPUTED_VALUE"""),"Sultan Naga Dimaporo")</f>
        <v>Sultan Naga Dimaporo</v>
      </c>
      <c r="H314" s="142" t="str">
        <f>IFERROR(__xludf.DUMMYFUNCTION("""COMPUTED_VALUE"""),"Kauswagan")</f>
        <v>Kauswagan</v>
      </c>
      <c r="I314" s="142" t="str">
        <f>IFERROR(__xludf.DUMMYFUNCTION("""COMPUTED_VALUE"""),"Kolambugan")</f>
        <v>Kolambugan</v>
      </c>
      <c r="J314" s="142" t="str">
        <f>IFERROR(__xludf.DUMMYFUNCTION("""COMPUTED_VALUE"""),"Lala")</f>
        <v>Lala</v>
      </c>
      <c r="K314" s="142" t="str">
        <f>IFERROR(__xludf.DUMMYFUNCTION("""COMPUTED_VALUE"""),"Linamon")</f>
        <v>Linamon</v>
      </c>
      <c r="L314" s="142" t="str">
        <f>IFERROR(__xludf.DUMMYFUNCTION("""COMPUTED_VALUE"""),"Magsaysay")</f>
        <v>Magsaysay</v>
      </c>
      <c r="M314" s="142" t="str">
        <f>IFERROR(__xludf.DUMMYFUNCTION("""COMPUTED_VALUE"""),"Maigo")</f>
        <v>Maigo</v>
      </c>
      <c r="N314" s="142" t="str">
        <f>IFERROR(__xludf.DUMMYFUNCTION("""COMPUTED_VALUE"""),"Matungao")</f>
        <v>Matungao</v>
      </c>
      <c r="O314" s="142" t="str">
        <f>IFERROR(__xludf.DUMMYFUNCTION("""COMPUTED_VALUE"""),"Munai")</f>
        <v>Munai</v>
      </c>
      <c r="P314" s="142" t="str">
        <f>IFERROR(__xludf.DUMMYFUNCTION("""COMPUTED_VALUE"""),"Nunungan")</f>
        <v>Nunungan</v>
      </c>
      <c r="Q314" s="142" t="str">
        <f>IFERROR(__xludf.DUMMYFUNCTION("""COMPUTED_VALUE"""),"Pantao Ragat")</f>
        <v>Pantao Ragat</v>
      </c>
      <c r="R314" s="142" t="str">
        <f>IFERROR(__xludf.DUMMYFUNCTION("""COMPUTED_VALUE"""),"Poona Piagapo")</f>
        <v>Poona Piagapo</v>
      </c>
      <c r="S314" s="142" t="str">
        <f>IFERROR(__xludf.DUMMYFUNCTION("""COMPUTED_VALUE"""),"Salvador")</f>
        <v>Salvador</v>
      </c>
      <c r="T314" s="142" t="str">
        <f>IFERROR(__xludf.DUMMYFUNCTION("""COMPUTED_VALUE"""),"Sapad")</f>
        <v>Sapad</v>
      </c>
      <c r="U314" s="142" t="str">
        <f>IFERROR(__xludf.DUMMYFUNCTION("""COMPUTED_VALUE"""),"Tagoloan")</f>
        <v>Tagoloan</v>
      </c>
      <c r="V314" s="142" t="str">
        <f>IFERROR(__xludf.DUMMYFUNCTION("""COMPUTED_VALUE"""),"Tangcal")</f>
        <v>Tangcal</v>
      </c>
      <c r="W314" s="142" t="str">
        <f>IFERROR(__xludf.DUMMYFUNCTION("""COMPUTED_VALUE"""),"Tubod")</f>
        <v>Tubod</v>
      </c>
      <c r="X314" s="142" t="str">
        <f>IFERROR(__xludf.DUMMYFUNCTION("""COMPUTED_VALUE"""),"Pantar")</f>
        <v>Pantar</v>
      </c>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row>
    <row r="315">
      <c r="A315" s="142" t="s">
        <v>2265</v>
      </c>
      <c r="B315" s="142" t="str">
        <f>IFERROR(__xludf.DUMMYFUNCTION("""COMPUTED_VALUE"""),"Compostela")</f>
        <v>Compostela</v>
      </c>
      <c r="C315" s="142" t="str">
        <f>IFERROR(__xludf.DUMMYFUNCTION("""COMPUTED_VALUE"""),"Laak")</f>
        <v>Laak</v>
      </c>
      <c r="D315" s="142" t="str">
        <f>IFERROR(__xludf.DUMMYFUNCTION("""COMPUTED_VALUE"""),"Mabini")</f>
        <v>Mabini</v>
      </c>
      <c r="E315" s="142" t="str">
        <f>IFERROR(__xludf.DUMMYFUNCTION("""COMPUTED_VALUE"""),"Maco")</f>
        <v>Maco</v>
      </c>
      <c r="F315" s="142" t="str">
        <f>IFERROR(__xludf.DUMMYFUNCTION("""COMPUTED_VALUE"""),"Maragusan")</f>
        <v>Maragusan</v>
      </c>
      <c r="G315" s="142" t="str">
        <f>IFERROR(__xludf.DUMMYFUNCTION("""COMPUTED_VALUE"""),"Mawab")</f>
        <v>Mawab</v>
      </c>
      <c r="H315" s="142" t="str">
        <f>IFERROR(__xludf.DUMMYFUNCTION("""COMPUTED_VALUE"""),"Monkayo")</f>
        <v>Monkayo</v>
      </c>
      <c r="I315" s="142" t="str">
        <f>IFERROR(__xludf.DUMMYFUNCTION("""COMPUTED_VALUE"""),"Montevista")</f>
        <v>Montevista</v>
      </c>
      <c r="J315" s="142" t="str">
        <f>IFERROR(__xludf.DUMMYFUNCTION("""COMPUTED_VALUE"""),"Nabunturan")</f>
        <v>Nabunturan</v>
      </c>
      <c r="K315" s="142" t="str">
        <f>IFERROR(__xludf.DUMMYFUNCTION("""COMPUTED_VALUE"""),"New Bataan")</f>
        <v>New Bataan</v>
      </c>
      <c r="L315" s="142" t="str">
        <f>IFERROR(__xludf.DUMMYFUNCTION("""COMPUTED_VALUE"""),"Pantukan")</f>
        <v>Pantukan</v>
      </c>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row>
    <row r="316">
      <c r="A316" s="142" t="s">
        <v>523</v>
      </c>
      <c r="B316" s="142" t="str">
        <f>IFERROR(__xludf.DUMMYFUNCTION("""COMPUTED_VALUE"""),"Aborlan")</f>
        <v>Aborlan</v>
      </c>
      <c r="C316" s="142" t="str">
        <f>IFERROR(__xludf.DUMMYFUNCTION("""COMPUTED_VALUE"""),"Agutaya")</f>
        <v>Agutaya</v>
      </c>
      <c r="D316" s="142" t="str">
        <f>IFERROR(__xludf.DUMMYFUNCTION("""COMPUTED_VALUE"""),"Araceli")</f>
        <v>Araceli</v>
      </c>
      <c r="E316" s="142" t="str">
        <f>IFERROR(__xludf.DUMMYFUNCTION("""COMPUTED_VALUE"""),"Balabac")</f>
        <v>Balabac</v>
      </c>
      <c r="F316" s="142" t="str">
        <f>IFERROR(__xludf.DUMMYFUNCTION("""COMPUTED_VALUE"""),"Bataraza")</f>
        <v>Bataraza</v>
      </c>
      <c r="G316" s="142" t="str">
        <f>IFERROR(__xludf.DUMMYFUNCTION("""COMPUTED_VALUE"""),"Brooke's Point")</f>
        <v>Brooke's Point</v>
      </c>
      <c r="H316" s="142" t="str">
        <f>IFERROR(__xludf.DUMMYFUNCTION("""COMPUTED_VALUE"""),"Busuanga")</f>
        <v>Busuanga</v>
      </c>
      <c r="I316" s="142" t="str">
        <f>IFERROR(__xludf.DUMMYFUNCTION("""COMPUTED_VALUE"""),"Cagayancillo")</f>
        <v>Cagayancillo</v>
      </c>
      <c r="J316" s="142" t="str">
        <f>IFERROR(__xludf.DUMMYFUNCTION("""COMPUTED_VALUE"""),"Coron")</f>
        <v>Coron</v>
      </c>
      <c r="K316" s="142" t="str">
        <f>IFERROR(__xludf.DUMMYFUNCTION("""COMPUTED_VALUE"""),"Cuyo")</f>
        <v>Cuyo</v>
      </c>
      <c r="L316" s="142" t="str">
        <f>IFERROR(__xludf.DUMMYFUNCTION("""COMPUTED_VALUE"""),"Dumaran")</f>
        <v>Dumaran</v>
      </c>
      <c r="M316" s="142" t="str">
        <f>IFERROR(__xludf.DUMMYFUNCTION("""COMPUTED_VALUE"""),"El Nido")</f>
        <v>El Nido</v>
      </c>
      <c r="N316" s="142" t="str">
        <f>IFERROR(__xludf.DUMMYFUNCTION("""COMPUTED_VALUE"""),"Linapacan")</f>
        <v>Linapacan</v>
      </c>
      <c r="O316" s="142" t="str">
        <f>IFERROR(__xludf.DUMMYFUNCTION("""COMPUTED_VALUE"""),"Magsaysay")</f>
        <v>Magsaysay</v>
      </c>
      <c r="P316" s="142" t="str">
        <f>IFERROR(__xludf.DUMMYFUNCTION("""COMPUTED_VALUE"""),"Narra")</f>
        <v>Narra</v>
      </c>
      <c r="Q316" s="142" t="str">
        <f>IFERROR(__xludf.DUMMYFUNCTION("""COMPUTED_VALUE"""),"City of Puerto Princesa")</f>
        <v>City of Puerto Princesa</v>
      </c>
      <c r="R316" s="142" t="str">
        <f>IFERROR(__xludf.DUMMYFUNCTION("""COMPUTED_VALUE"""),"Quezon")</f>
        <v>Quezon</v>
      </c>
      <c r="S316" s="142" t="str">
        <f>IFERROR(__xludf.DUMMYFUNCTION("""COMPUTED_VALUE"""),"Roxas")</f>
        <v>Roxas</v>
      </c>
      <c r="T316" s="142" t="str">
        <f>IFERROR(__xludf.DUMMYFUNCTION("""COMPUTED_VALUE"""),"San Vicente")</f>
        <v>San Vicente</v>
      </c>
      <c r="U316" s="142" t="str">
        <f>IFERROR(__xludf.DUMMYFUNCTION("""COMPUTED_VALUE"""),"Taytay")</f>
        <v>Taytay</v>
      </c>
      <c r="V316" s="142" t="str">
        <f>IFERROR(__xludf.DUMMYFUNCTION("""COMPUTED_VALUE"""),"Kalayaan")</f>
        <v>Kalayaan</v>
      </c>
      <c r="W316" s="142" t="str">
        <f>IFERROR(__xludf.DUMMYFUNCTION("""COMPUTED_VALUE"""),"Culion")</f>
        <v>Culion</v>
      </c>
      <c r="X316" s="142" t="str">
        <f>IFERROR(__xludf.DUMMYFUNCTION("""COMPUTED_VALUE"""),"Dr. Jose P. Rizal")</f>
        <v>Dr. Jose P. Rizal</v>
      </c>
      <c r="Y316" s="142" t="str">
        <f>IFERROR(__xludf.DUMMYFUNCTION("""COMPUTED_VALUE"""),"Sofronio Española")</f>
        <v>Sofronio Española</v>
      </c>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row>
    <row r="317">
      <c r="A317" s="142" t="s">
        <v>346</v>
      </c>
      <c r="B317" s="142" t="str">
        <f>IFERROR(__xludf.DUMMYFUNCTION("""COMPUTED_VALUE"""),"Alegria")</f>
        <v>Alegria</v>
      </c>
      <c r="C317" s="142" t="str">
        <f>IFERROR(__xludf.DUMMYFUNCTION("""COMPUTED_VALUE"""),"Bacuag")</f>
        <v>Bacuag</v>
      </c>
      <c r="D317" s="142" t="str">
        <f>IFERROR(__xludf.DUMMYFUNCTION("""COMPUTED_VALUE"""),"Burgos")</f>
        <v>Burgos</v>
      </c>
      <c r="E317" s="142" t="str">
        <f>IFERROR(__xludf.DUMMYFUNCTION("""COMPUTED_VALUE"""),"Claver")</f>
        <v>Claver</v>
      </c>
      <c r="F317" s="142" t="str">
        <f>IFERROR(__xludf.DUMMYFUNCTION("""COMPUTED_VALUE"""),"Dapa")</f>
        <v>Dapa</v>
      </c>
      <c r="G317" s="142" t="str">
        <f>IFERROR(__xludf.DUMMYFUNCTION("""COMPUTED_VALUE"""),"Del Carmen")</f>
        <v>Del Carmen</v>
      </c>
      <c r="H317" s="142" t="str">
        <f>IFERROR(__xludf.DUMMYFUNCTION("""COMPUTED_VALUE"""),"General Luna")</f>
        <v>General Luna</v>
      </c>
      <c r="I317" s="142" t="str">
        <f>IFERROR(__xludf.DUMMYFUNCTION("""COMPUTED_VALUE"""),"Gigaquit")</f>
        <v>Gigaquit</v>
      </c>
      <c r="J317" s="142" t="str">
        <f>IFERROR(__xludf.DUMMYFUNCTION("""COMPUTED_VALUE"""),"Mainit")</f>
        <v>Mainit</v>
      </c>
      <c r="K317" s="142" t="str">
        <f>IFERROR(__xludf.DUMMYFUNCTION("""COMPUTED_VALUE"""),"Malimono")</f>
        <v>Malimono</v>
      </c>
      <c r="L317" s="142" t="str">
        <f>IFERROR(__xludf.DUMMYFUNCTION("""COMPUTED_VALUE"""),"Pilar")</f>
        <v>Pilar</v>
      </c>
      <c r="M317" s="142" t="str">
        <f>IFERROR(__xludf.DUMMYFUNCTION("""COMPUTED_VALUE"""),"Placer")</f>
        <v>Placer</v>
      </c>
      <c r="N317" s="142" t="str">
        <f>IFERROR(__xludf.DUMMYFUNCTION("""COMPUTED_VALUE"""),"San Benito")</f>
        <v>San Benito</v>
      </c>
      <c r="O317" s="142" t="str">
        <f>IFERROR(__xludf.DUMMYFUNCTION("""COMPUTED_VALUE"""),"San Francisco")</f>
        <v>San Francisco</v>
      </c>
      <c r="P317" s="142" t="str">
        <f>IFERROR(__xludf.DUMMYFUNCTION("""COMPUTED_VALUE"""),"San Isidro")</f>
        <v>San Isidro</v>
      </c>
      <c r="Q317" s="142" t="str">
        <f>IFERROR(__xludf.DUMMYFUNCTION("""COMPUTED_VALUE"""),"Santa Monica")</f>
        <v>Santa Monica</v>
      </c>
      <c r="R317" s="142" t="str">
        <f>IFERROR(__xludf.DUMMYFUNCTION("""COMPUTED_VALUE"""),"Sison")</f>
        <v>Sison</v>
      </c>
      <c r="S317" s="142" t="str">
        <f>IFERROR(__xludf.DUMMYFUNCTION("""COMPUTED_VALUE"""),"Socorro")</f>
        <v>Socorro</v>
      </c>
      <c r="T317" s="142" t="str">
        <f>IFERROR(__xludf.DUMMYFUNCTION("""COMPUTED_VALUE"""),"City of Surigao")</f>
        <v>City of Surigao</v>
      </c>
      <c r="U317" s="142" t="str">
        <f>IFERROR(__xludf.DUMMYFUNCTION("""COMPUTED_VALUE"""),"Tagana-An")</f>
        <v>Tagana-An</v>
      </c>
      <c r="V317" s="142" t="str">
        <f>IFERROR(__xludf.DUMMYFUNCTION("""COMPUTED_VALUE"""),"Tubod")</f>
        <v>Tubod</v>
      </c>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row>
    <row r="318">
      <c r="A318" s="142" t="s">
        <v>1283</v>
      </c>
      <c r="B318" s="142" t="str">
        <f>IFERROR(__xludf.DUMMYFUNCTION("""COMPUTED_VALUE"""),"Abucay")</f>
        <v>Abucay</v>
      </c>
      <c r="C318" s="142" t="str">
        <f>IFERROR(__xludf.DUMMYFUNCTION("""COMPUTED_VALUE"""),"Bagac")</f>
        <v>Bagac</v>
      </c>
      <c r="D318" s="142" t="str">
        <f>IFERROR(__xludf.DUMMYFUNCTION("""COMPUTED_VALUE"""),"City of Balanga")</f>
        <v>City of Balanga</v>
      </c>
      <c r="E318" s="142" t="str">
        <f>IFERROR(__xludf.DUMMYFUNCTION("""COMPUTED_VALUE"""),"Dinalupihan")</f>
        <v>Dinalupihan</v>
      </c>
      <c r="F318" s="142" t="str">
        <f>IFERROR(__xludf.DUMMYFUNCTION("""COMPUTED_VALUE"""),"Hermosa")</f>
        <v>Hermosa</v>
      </c>
      <c r="G318" s="142" t="str">
        <f>IFERROR(__xludf.DUMMYFUNCTION("""COMPUTED_VALUE"""),"Limay")</f>
        <v>Limay</v>
      </c>
      <c r="H318" s="142" t="str">
        <f>IFERROR(__xludf.DUMMYFUNCTION("""COMPUTED_VALUE"""),"Mariveles")</f>
        <v>Mariveles</v>
      </c>
      <c r="I318" s="142" t="str">
        <f>IFERROR(__xludf.DUMMYFUNCTION("""COMPUTED_VALUE"""),"Morong")</f>
        <v>Morong</v>
      </c>
      <c r="J318" s="142" t="str">
        <f>IFERROR(__xludf.DUMMYFUNCTION("""COMPUTED_VALUE"""),"Orani")</f>
        <v>Orani</v>
      </c>
      <c r="K318" s="142" t="str">
        <f>IFERROR(__xludf.DUMMYFUNCTION("""COMPUTED_VALUE"""),"Orion")</f>
        <v>Orion</v>
      </c>
      <c r="L318" s="142" t="str">
        <f>IFERROR(__xludf.DUMMYFUNCTION("""COMPUTED_VALUE"""),"Pilar")</f>
        <v>Pilar</v>
      </c>
      <c r="M318" s="142" t="str">
        <f>IFERROR(__xludf.DUMMYFUNCTION("""COMPUTED_VALUE"""),"Samal")</f>
        <v>Samal</v>
      </c>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row>
    <row r="319">
      <c r="A319" s="142" t="s">
        <v>258</v>
      </c>
      <c r="B319" s="142" t="str">
        <f>IFERROR(__xludf.DUMMYFUNCTION("""COMPUTED_VALUE"""),"Agoncillo")</f>
        <v>Agoncillo</v>
      </c>
      <c r="C319" s="142" t="str">
        <f>IFERROR(__xludf.DUMMYFUNCTION("""COMPUTED_VALUE"""),"Alitagtag")</f>
        <v>Alitagtag</v>
      </c>
      <c r="D319" s="142" t="str">
        <f>IFERROR(__xludf.DUMMYFUNCTION("""COMPUTED_VALUE"""),"Balayan")</f>
        <v>Balayan</v>
      </c>
      <c r="E319" s="142" t="str">
        <f>IFERROR(__xludf.DUMMYFUNCTION("""COMPUTED_VALUE"""),"Balete")</f>
        <v>Balete</v>
      </c>
      <c r="F319" s="142" t="str">
        <f>IFERROR(__xludf.DUMMYFUNCTION("""COMPUTED_VALUE"""),"Batangas City")</f>
        <v>Batangas City</v>
      </c>
      <c r="G319" s="142" t="str">
        <f>IFERROR(__xludf.DUMMYFUNCTION("""COMPUTED_VALUE"""),"Bauan")</f>
        <v>Bauan</v>
      </c>
      <c r="H319" s="142" t="str">
        <f>IFERROR(__xludf.DUMMYFUNCTION("""COMPUTED_VALUE"""),"City of Calaca")</f>
        <v>City of Calaca</v>
      </c>
      <c r="I319" s="142" t="str">
        <f>IFERROR(__xludf.DUMMYFUNCTION("""COMPUTED_VALUE"""),"Calatagan")</f>
        <v>Calatagan</v>
      </c>
      <c r="J319" s="142" t="str">
        <f>IFERROR(__xludf.DUMMYFUNCTION("""COMPUTED_VALUE"""),"Cuenca")</f>
        <v>Cuenca</v>
      </c>
      <c r="K319" s="142" t="str">
        <f>IFERROR(__xludf.DUMMYFUNCTION("""COMPUTED_VALUE"""),"Ibaan")</f>
        <v>Ibaan</v>
      </c>
      <c r="L319" s="142" t="str">
        <f>IFERROR(__xludf.DUMMYFUNCTION("""COMPUTED_VALUE"""),"Laurel")</f>
        <v>Laurel</v>
      </c>
      <c r="M319" s="142" t="str">
        <f>IFERROR(__xludf.DUMMYFUNCTION("""COMPUTED_VALUE"""),"Lemery")</f>
        <v>Lemery</v>
      </c>
      <c r="N319" s="142" t="str">
        <f>IFERROR(__xludf.DUMMYFUNCTION("""COMPUTED_VALUE"""),"Lian")</f>
        <v>Lian</v>
      </c>
      <c r="O319" s="142" t="str">
        <f>IFERROR(__xludf.DUMMYFUNCTION("""COMPUTED_VALUE"""),"City of Lipa")</f>
        <v>City of Lipa</v>
      </c>
      <c r="P319" s="142" t="str">
        <f>IFERROR(__xludf.DUMMYFUNCTION("""COMPUTED_VALUE"""),"Lobo")</f>
        <v>Lobo</v>
      </c>
      <c r="Q319" s="142" t="str">
        <f>IFERROR(__xludf.DUMMYFUNCTION("""COMPUTED_VALUE"""),"Mabini")</f>
        <v>Mabini</v>
      </c>
      <c r="R319" s="142" t="str">
        <f>IFERROR(__xludf.DUMMYFUNCTION("""COMPUTED_VALUE"""),"Malvar")</f>
        <v>Malvar</v>
      </c>
      <c r="S319" s="142" t="str">
        <f>IFERROR(__xludf.DUMMYFUNCTION("""COMPUTED_VALUE"""),"Mataasnakahoy")</f>
        <v>Mataasnakahoy</v>
      </c>
      <c r="T319" s="142" t="str">
        <f>IFERROR(__xludf.DUMMYFUNCTION("""COMPUTED_VALUE"""),"Nasugbu")</f>
        <v>Nasugbu</v>
      </c>
      <c r="U319" s="142" t="str">
        <f>IFERROR(__xludf.DUMMYFUNCTION("""COMPUTED_VALUE"""),"Padre Garcia")</f>
        <v>Padre Garcia</v>
      </c>
      <c r="V319" s="142" t="str">
        <f>IFERROR(__xludf.DUMMYFUNCTION("""COMPUTED_VALUE"""),"Rosario")</f>
        <v>Rosario</v>
      </c>
      <c r="W319" s="142" t="str">
        <f>IFERROR(__xludf.DUMMYFUNCTION("""COMPUTED_VALUE"""),"San Jose")</f>
        <v>San Jose</v>
      </c>
      <c r="X319" s="142" t="str">
        <f>IFERROR(__xludf.DUMMYFUNCTION("""COMPUTED_VALUE"""),"San Juan")</f>
        <v>San Juan</v>
      </c>
      <c r="Y319" s="142" t="str">
        <f>IFERROR(__xludf.DUMMYFUNCTION("""COMPUTED_VALUE"""),"San Luis")</f>
        <v>San Luis</v>
      </c>
      <c r="Z319" s="142" t="str">
        <f>IFERROR(__xludf.DUMMYFUNCTION("""COMPUTED_VALUE"""),"San Nicolas")</f>
        <v>San Nicolas</v>
      </c>
      <c r="AA319" s="142" t="str">
        <f>IFERROR(__xludf.DUMMYFUNCTION("""COMPUTED_VALUE"""),"San Pascual")</f>
        <v>San Pascual</v>
      </c>
      <c r="AB319" s="142" t="str">
        <f>IFERROR(__xludf.DUMMYFUNCTION("""COMPUTED_VALUE"""),"Santa Teresita")</f>
        <v>Santa Teresita</v>
      </c>
      <c r="AC319" s="142" t="str">
        <f>IFERROR(__xludf.DUMMYFUNCTION("""COMPUTED_VALUE"""),"City of Sto. Tomas")</f>
        <v>City of Sto. Tomas</v>
      </c>
      <c r="AD319" s="142" t="str">
        <f>IFERROR(__xludf.DUMMYFUNCTION("""COMPUTED_VALUE"""),"Taal")</f>
        <v>Taal</v>
      </c>
      <c r="AE319" s="142" t="str">
        <f>IFERROR(__xludf.DUMMYFUNCTION("""COMPUTED_VALUE"""),"Talisay")</f>
        <v>Talisay</v>
      </c>
      <c r="AF319" s="142" t="str">
        <f>IFERROR(__xludf.DUMMYFUNCTION("""COMPUTED_VALUE"""),"City of Tanauan")</f>
        <v>City of Tanauan</v>
      </c>
      <c r="AG319" s="142" t="str">
        <f>IFERROR(__xludf.DUMMYFUNCTION("""COMPUTED_VALUE"""),"Taysan")</f>
        <v>Taysan</v>
      </c>
      <c r="AH319" s="142" t="str">
        <f>IFERROR(__xludf.DUMMYFUNCTION("""COMPUTED_VALUE"""),"Tingloy")</f>
        <v>Tingloy</v>
      </c>
      <c r="AI319" s="142" t="str">
        <f>IFERROR(__xludf.DUMMYFUNCTION("""COMPUTED_VALUE"""),"Tuy")</f>
        <v>Tuy</v>
      </c>
      <c r="AJ319" s="8"/>
      <c r="AK319" s="8"/>
      <c r="AL319" s="8"/>
      <c r="AM319" s="8"/>
      <c r="AN319" s="8"/>
      <c r="AO319" s="8"/>
      <c r="AP319" s="8"/>
      <c r="AQ319" s="8"/>
      <c r="AR319" s="8"/>
      <c r="AS319" s="8"/>
      <c r="AT319" s="8"/>
      <c r="AU319" s="8"/>
      <c r="AV319" s="8"/>
      <c r="AW319" s="8"/>
      <c r="AX319" s="8"/>
      <c r="AY319" s="8"/>
      <c r="AZ319" s="8"/>
      <c r="BA319" s="8"/>
      <c r="BB319" s="8"/>
      <c r="BC319" s="8"/>
      <c r="BD319" s="8"/>
      <c r="BE319" s="8"/>
    </row>
    <row r="320">
      <c r="A320" s="142" t="s">
        <v>893</v>
      </c>
      <c r="B320" s="142" t="str">
        <f>IFERROR(__xludf.DUMMYFUNCTION("""COMPUTED_VALUE"""),"Bacacay")</f>
        <v>Bacacay</v>
      </c>
      <c r="C320" s="142" t="str">
        <f>IFERROR(__xludf.DUMMYFUNCTION("""COMPUTED_VALUE"""),"Camalig")</f>
        <v>Camalig</v>
      </c>
      <c r="D320" s="142" t="str">
        <f>IFERROR(__xludf.DUMMYFUNCTION("""COMPUTED_VALUE"""),"Daraga")</f>
        <v>Daraga</v>
      </c>
      <c r="E320" s="142" t="str">
        <f>IFERROR(__xludf.DUMMYFUNCTION("""COMPUTED_VALUE"""),"Guinobatan")</f>
        <v>Guinobatan</v>
      </c>
      <c r="F320" s="142" t="str">
        <f>IFERROR(__xludf.DUMMYFUNCTION("""COMPUTED_VALUE"""),"Jovellar")</f>
        <v>Jovellar</v>
      </c>
      <c r="G320" s="142" t="str">
        <f>IFERROR(__xludf.DUMMYFUNCTION("""COMPUTED_VALUE"""),"City of Legazpi")</f>
        <v>City of Legazpi</v>
      </c>
      <c r="H320" s="142" t="str">
        <f>IFERROR(__xludf.DUMMYFUNCTION("""COMPUTED_VALUE"""),"Libon")</f>
        <v>Libon</v>
      </c>
      <c r="I320" s="142" t="str">
        <f>IFERROR(__xludf.DUMMYFUNCTION("""COMPUTED_VALUE"""),"City of Ligao")</f>
        <v>City of Ligao</v>
      </c>
      <c r="J320" s="142" t="str">
        <f>IFERROR(__xludf.DUMMYFUNCTION("""COMPUTED_VALUE"""),"Malilipot")</f>
        <v>Malilipot</v>
      </c>
      <c r="K320" s="142" t="str">
        <f>IFERROR(__xludf.DUMMYFUNCTION("""COMPUTED_VALUE"""),"Malinao")</f>
        <v>Malinao</v>
      </c>
      <c r="L320" s="142" t="str">
        <f>IFERROR(__xludf.DUMMYFUNCTION("""COMPUTED_VALUE"""),"Manito")</f>
        <v>Manito</v>
      </c>
      <c r="M320" s="142" t="str">
        <f>IFERROR(__xludf.DUMMYFUNCTION("""COMPUTED_VALUE"""),"Oas")</f>
        <v>Oas</v>
      </c>
      <c r="N320" s="142" t="str">
        <f>IFERROR(__xludf.DUMMYFUNCTION("""COMPUTED_VALUE"""),"Pio Duran")</f>
        <v>Pio Duran</v>
      </c>
      <c r="O320" s="142" t="str">
        <f>IFERROR(__xludf.DUMMYFUNCTION("""COMPUTED_VALUE"""),"Polangui")</f>
        <v>Polangui</v>
      </c>
      <c r="P320" s="142" t="str">
        <f>IFERROR(__xludf.DUMMYFUNCTION("""COMPUTED_VALUE"""),"Rapu-Rapu")</f>
        <v>Rapu-Rapu</v>
      </c>
      <c r="Q320" s="142" t="str">
        <f>IFERROR(__xludf.DUMMYFUNCTION("""COMPUTED_VALUE"""),"Santo Domingo")</f>
        <v>Santo Domingo</v>
      </c>
      <c r="R320" s="142" t="str">
        <f>IFERROR(__xludf.DUMMYFUNCTION("""COMPUTED_VALUE"""),"City of Tabaco")</f>
        <v>City of Tabaco</v>
      </c>
      <c r="S320" s="142" t="str">
        <f>IFERROR(__xludf.DUMMYFUNCTION("""COMPUTED_VALUE"""),"Tiwi")</f>
        <v>Tiwi</v>
      </c>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row>
    <row r="321">
      <c r="A321" s="142" t="s">
        <v>194</v>
      </c>
      <c r="B321" s="142" t="str">
        <f>IFERROR(__xludf.DUMMYFUNCTION("""COMPUTED_VALUE"""),"Alcantara")</f>
        <v>Alcantara</v>
      </c>
      <c r="C321" s="142" t="str">
        <f>IFERROR(__xludf.DUMMYFUNCTION("""COMPUTED_VALUE"""),"Alcoy")</f>
        <v>Alcoy</v>
      </c>
      <c r="D321" s="142" t="str">
        <f>IFERROR(__xludf.DUMMYFUNCTION("""COMPUTED_VALUE"""),"Alegria")</f>
        <v>Alegria</v>
      </c>
      <c r="E321" s="142" t="str">
        <f>IFERROR(__xludf.DUMMYFUNCTION("""COMPUTED_VALUE"""),"Aloguinsan")</f>
        <v>Aloguinsan</v>
      </c>
      <c r="F321" s="142" t="str">
        <f>IFERROR(__xludf.DUMMYFUNCTION("""COMPUTED_VALUE"""),"Argao")</f>
        <v>Argao</v>
      </c>
      <c r="G321" s="142" t="str">
        <f>IFERROR(__xludf.DUMMYFUNCTION("""COMPUTED_VALUE"""),"Asturias")</f>
        <v>Asturias</v>
      </c>
      <c r="H321" s="142" t="str">
        <f>IFERROR(__xludf.DUMMYFUNCTION("""COMPUTED_VALUE"""),"Badian")</f>
        <v>Badian</v>
      </c>
      <c r="I321" s="142" t="str">
        <f>IFERROR(__xludf.DUMMYFUNCTION("""COMPUTED_VALUE"""),"Balamban")</f>
        <v>Balamban</v>
      </c>
      <c r="J321" s="142" t="str">
        <f>IFERROR(__xludf.DUMMYFUNCTION("""COMPUTED_VALUE"""),"Bantayan")</f>
        <v>Bantayan</v>
      </c>
      <c r="K321" s="142" t="str">
        <f>IFERROR(__xludf.DUMMYFUNCTION("""COMPUTED_VALUE"""),"Barili")</f>
        <v>Barili</v>
      </c>
      <c r="L321" s="142" t="str">
        <f>IFERROR(__xludf.DUMMYFUNCTION("""COMPUTED_VALUE"""),"City of Bogo")</f>
        <v>City of Bogo</v>
      </c>
      <c r="M321" s="142" t="str">
        <f>IFERROR(__xludf.DUMMYFUNCTION("""COMPUTED_VALUE"""),"Boljoon")</f>
        <v>Boljoon</v>
      </c>
      <c r="N321" s="142" t="str">
        <f>IFERROR(__xludf.DUMMYFUNCTION("""COMPUTED_VALUE"""),"Borbon")</f>
        <v>Borbon</v>
      </c>
      <c r="O321" s="142" t="str">
        <f>IFERROR(__xludf.DUMMYFUNCTION("""COMPUTED_VALUE"""),"City of Carcar")</f>
        <v>City of Carcar</v>
      </c>
      <c r="P321" s="142" t="str">
        <f>IFERROR(__xludf.DUMMYFUNCTION("""COMPUTED_VALUE"""),"Carmen")</f>
        <v>Carmen</v>
      </c>
      <c r="Q321" s="142" t="str">
        <f>IFERROR(__xludf.DUMMYFUNCTION("""COMPUTED_VALUE"""),"Catmon")</f>
        <v>Catmon</v>
      </c>
      <c r="R321" s="142" t="str">
        <f>IFERROR(__xludf.DUMMYFUNCTION("""COMPUTED_VALUE"""),"Compostela")</f>
        <v>Compostela</v>
      </c>
      <c r="S321" s="142" t="str">
        <f>IFERROR(__xludf.DUMMYFUNCTION("""COMPUTED_VALUE"""),"Consolacion")</f>
        <v>Consolacion</v>
      </c>
      <c r="T321" s="142" t="str">
        <f>IFERROR(__xludf.DUMMYFUNCTION("""COMPUTED_VALUE"""),"Cordova")</f>
        <v>Cordova</v>
      </c>
      <c r="U321" s="142" t="str">
        <f>IFERROR(__xludf.DUMMYFUNCTION("""COMPUTED_VALUE"""),"Daanbantayan")</f>
        <v>Daanbantayan</v>
      </c>
      <c r="V321" s="142" t="str">
        <f>IFERROR(__xludf.DUMMYFUNCTION("""COMPUTED_VALUE"""),"Dalaguete")</f>
        <v>Dalaguete</v>
      </c>
      <c r="W321" s="142" t="str">
        <f>IFERROR(__xludf.DUMMYFUNCTION("""COMPUTED_VALUE"""),"Danao City")</f>
        <v>Danao City</v>
      </c>
      <c r="X321" s="142" t="str">
        <f>IFERROR(__xludf.DUMMYFUNCTION("""COMPUTED_VALUE"""),"Dumanjug")</f>
        <v>Dumanjug</v>
      </c>
      <c r="Y321" s="142" t="str">
        <f>IFERROR(__xludf.DUMMYFUNCTION("""COMPUTED_VALUE"""),"Ginatilan")</f>
        <v>Ginatilan</v>
      </c>
      <c r="Z321" s="142" t="str">
        <f>IFERROR(__xludf.DUMMYFUNCTION("""COMPUTED_VALUE"""),"Liloan")</f>
        <v>Liloan</v>
      </c>
      <c r="AA321" s="142" t="str">
        <f>IFERROR(__xludf.DUMMYFUNCTION("""COMPUTED_VALUE"""),"Madridejos")</f>
        <v>Madridejos</v>
      </c>
      <c r="AB321" s="142" t="str">
        <f>IFERROR(__xludf.DUMMYFUNCTION("""COMPUTED_VALUE"""),"Malabuyoc")</f>
        <v>Malabuyoc</v>
      </c>
      <c r="AC321" s="142" t="str">
        <f>IFERROR(__xludf.DUMMYFUNCTION("""COMPUTED_VALUE"""),"Medellin")</f>
        <v>Medellin</v>
      </c>
      <c r="AD321" s="142" t="str">
        <f>IFERROR(__xludf.DUMMYFUNCTION("""COMPUTED_VALUE"""),"Minglanilla")</f>
        <v>Minglanilla</v>
      </c>
      <c r="AE321" s="142" t="str">
        <f>IFERROR(__xludf.DUMMYFUNCTION("""COMPUTED_VALUE"""),"Moalboal")</f>
        <v>Moalboal</v>
      </c>
      <c r="AF321" s="142" t="str">
        <f>IFERROR(__xludf.DUMMYFUNCTION("""COMPUTED_VALUE"""),"City of Naga")</f>
        <v>City of Naga</v>
      </c>
      <c r="AG321" s="142" t="str">
        <f>IFERROR(__xludf.DUMMYFUNCTION("""COMPUTED_VALUE"""),"Oslob")</f>
        <v>Oslob</v>
      </c>
      <c r="AH321" s="142" t="str">
        <f>IFERROR(__xludf.DUMMYFUNCTION("""COMPUTED_VALUE"""),"Pilar")</f>
        <v>Pilar</v>
      </c>
      <c r="AI321" s="142" t="str">
        <f>IFERROR(__xludf.DUMMYFUNCTION("""COMPUTED_VALUE"""),"Pinamungajan")</f>
        <v>Pinamungajan</v>
      </c>
      <c r="AJ321" s="142" t="str">
        <f>IFERROR(__xludf.DUMMYFUNCTION("""COMPUTED_VALUE"""),"Poro")</f>
        <v>Poro</v>
      </c>
      <c r="AK321" s="142" t="str">
        <f>IFERROR(__xludf.DUMMYFUNCTION("""COMPUTED_VALUE"""),"Ronda")</f>
        <v>Ronda</v>
      </c>
      <c r="AL321" s="142" t="str">
        <f>IFERROR(__xludf.DUMMYFUNCTION("""COMPUTED_VALUE"""),"Samboan")</f>
        <v>Samboan</v>
      </c>
      <c r="AM321" s="142" t="str">
        <f>IFERROR(__xludf.DUMMYFUNCTION("""COMPUTED_VALUE"""),"San Fernando")</f>
        <v>San Fernando</v>
      </c>
      <c r="AN321" s="142" t="str">
        <f>IFERROR(__xludf.DUMMYFUNCTION("""COMPUTED_VALUE"""),"San Francisco")</f>
        <v>San Francisco</v>
      </c>
      <c r="AO321" s="142" t="str">
        <f>IFERROR(__xludf.DUMMYFUNCTION("""COMPUTED_VALUE"""),"San Remigio")</f>
        <v>San Remigio</v>
      </c>
      <c r="AP321" s="142" t="str">
        <f>IFERROR(__xludf.DUMMYFUNCTION("""COMPUTED_VALUE"""),"Santa Fe")</f>
        <v>Santa Fe</v>
      </c>
      <c r="AQ321" s="142" t="str">
        <f>IFERROR(__xludf.DUMMYFUNCTION("""COMPUTED_VALUE"""),"Santander")</f>
        <v>Santander</v>
      </c>
      <c r="AR321" s="142" t="str">
        <f>IFERROR(__xludf.DUMMYFUNCTION("""COMPUTED_VALUE"""),"Sibonga")</f>
        <v>Sibonga</v>
      </c>
      <c r="AS321" s="142" t="str">
        <f>IFERROR(__xludf.DUMMYFUNCTION("""COMPUTED_VALUE"""),"Sogod")</f>
        <v>Sogod</v>
      </c>
      <c r="AT321" s="142" t="str">
        <f>IFERROR(__xludf.DUMMYFUNCTION("""COMPUTED_VALUE"""),"Tabogon")</f>
        <v>Tabogon</v>
      </c>
      <c r="AU321" s="142" t="str">
        <f>IFERROR(__xludf.DUMMYFUNCTION("""COMPUTED_VALUE"""),"Tabuelan")</f>
        <v>Tabuelan</v>
      </c>
      <c r="AV321" s="142" t="str">
        <f>IFERROR(__xludf.DUMMYFUNCTION("""COMPUTED_VALUE"""),"City of Talisay")</f>
        <v>City of Talisay</v>
      </c>
      <c r="AW321" s="142" t="str">
        <f>IFERROR(__xludf.DUMMYFUNCTION("""COMPUTED_VALUE"""),"City of Toledo")</f>
        <v>City of Toledo</v>
      </c>
      <c r="AX321" s="142" t="str">
        <f>IFERROR(__xludf.DUMMYFUNCTION("""COMPUTED_VALUE"""),"Tuburan")</f>
        <v>Tuburan</v>
      </c>
      <c r="AY321" s="142" t="str">
        <f>IFERROR(__xludf.DUMMYFUNCTION("""COMPUTED_VALUE"""),"Tudela")</f>
        <v>Tudela</v>
      </c>
      <c r="AZ321" s="142" t="str">
        <f>IFERROR(__xludf.DUMMYFUNCTION("""COMPUTED_VALUE"""),"City of Cebu")</f>
        <v>City of Cebu</v>
      </c>
      <c r="BA321" s="142" t="str">
        <f>IFERROR(__xludf.DUMMYFUNCTION("""COMPUTED_VALUE"""),"City of Lapu-Lapu")</f>
        <v>City of Lapu-Lapu</v>
      </c>
      <c r="BB321" s="142" t="str">
        <f>IFERROR(__xludf.DUMMYFUNCTION("""COMPUTED_VALUE"""),"City of Mandaue")</f>
        <v>City of Mandaue</v>
      </c>
      <c r="BC321" s="8"/>
      <c r="BD321" s="8"/>
      <c r="BE321" s="8"/>
    </row>
    <row r="322">
      <c r="A322" s="142" t="s">
        <v>357</v>
      </c>
      <c r="B322" s="142" t="str">
        <f>IFERROR(__xludf.DUMMYFUNCTION("""COMPUTED_VALUE"""),"Alabel")</f>
        <v>Alabel</v>
      </c>
      <c r="C322" s="142" t="str">
        <f>IFERROR(__xludf.DUMMYFUNCTION("""COMPUTED_VALUE"""),"Glan")</f>
        <v>Glan</v>
      </c>
      <c r="D322" s="142" t="str">
        <f>IFERROR(__xludf.DUMMYFUNCTION("""COMPUTED_VALUE"""),"Kiamba")</f>
        <v>Kiamba</v>
      </c>
      <c r="E322" s="142" t="str">
        <f>IFERROR(__xludf.DUMMYFUNCTION("""COMPUTED_VALUE"""),"Maasim")</f>
        <v>Maasim</v>
      </c>
      <c r="F322" s="142" t="str">
        <f>IFERROR(__xludf.DUMMYFUNCTION("""COMPUTED_VALUE"""),"Maitum")</f>
        <v>Maitum</v>
      </c>
      <c r="G322" s="142" t="str">
        <f>IFERROR(__xludf.DUMMYFUNCTION("""COMPUTED_VALUE"""),"Malapatan")</f>
        <v>Malapatan</v>
      </c>
      <c r="H322" s="142" t="str">
        <f>IFERROR(__xludf.DUMMYFUNCTION("""COMPUTED_VALUE"""),"Malungon")</f>
        <v>Malungon</v>
      </c>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row>
    <row r="323">
      <c r="A323" s="142" t="s">
        <v>643</v>
      </c>
      <c r="B323" s="142" t="str">
        <f>IFERROR(__xludf.DUMMYFUNCTION("""COMPUTED_VALUE"""),"Barira")</f>
        <v>Barira</v>
      </c>
      <c r="C323" s="142" t="str">
        <f>IFERROR(__xludf.DUMMYFUNCTION("""COMPUTED_VALUE"""),"Buldon")</f>
        <v>Buldon</v>
      </c>
      <c r="D323" s="142" t="str">
        <f>IFERROR(__xludf.DUMMYFUNCTION("""COMPUTED_VALUE"""),"City of Cotabato")</f>
        <v>City of Cotabato</v>
      </c>
      <c r="E323" s="142" t="str">
        <f>IFERROR(__xludf.DUMMYFUNCTION("""COMPUTED_VALUE"""),"Datu Blah T. Sinsuat")</f>
        <v>Datu Blah T. Sinsuat</v>
      </c>
      <c r="F323" s="142" t="str">
        <f>IFERROR(__xludf.DUMMYFUNCTION("""COMPUTED_VALUE"""),"Datu Odin Sinsuat")</f>
        <v>Datu Odin Sinsuat</v>
      </c>
      <c r="G323" s="142" t="str">
        <f>IFERROR(__xludf.DUMMYFUNCTION("""COMPUTED_VALUE"""),"Kabuntalan")</f>
        <v>Kabuntalan</v>
      </c>
      <c r="H323" s="142" t="str">
        <f>IFERROR(__xludf.DUMMYFUNCTION("""COMPUTED_VALUE"""),"Matanog")</f>
        <v>Matanog</v>
      </c>
      <c r="I323" s="142" t="str">
        <f>IFERROR(__xludf.DUMMYFUNCTION("""COMPUTED_VALUE"""),"Northern Kabuntalan")</f>
        <v>Northern Kabuntalan</v>
      </c>
      <c r="J323" s="142" t="str">
        <f>IFERROR(__xludf.DUMMYFUNCTION("""COMPUTED_VALUE"""),"Parang")</f>
        <v>Parang</v>
      </c>
      <c r="K323" s="142" t="str">
        <f>IFERROR(__xludf.DUMMYFUNCTION("""COMPUTED_VALUE"""),"Sultan Kudarat")</f>
        <v>Sultan Kudarat</v>
      </c>
      <c r="L323" s="142" t="str">
        <f>IFERROR(__xludf.DUMMYFUNCTION("""COMPUTED_VALUE"""),"Sultan Mastura")</f>
        <v>Sultan Mastura</v>
      </c>
      <c r="M323" s="142" t="str">
        <f>IFERROR(__xludf.DUMMYFUNCTION("""COMPUTED_VALUE"""),"Talitay")</f>
        <v>Talitay</v>
      </c>
      <c r="N323" s="142" t="str">
        <f>IFERROR(__xludf.DUMMYFUNCTION("""COMPUTED_VALUE"""),"Upi")</f>
        <v>Upi</v>
      </c>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row>
    <row r="324">
      <c r="A324" s="142" t="s">
        <v>558</v>
      </c>
      <c r="B324" s="142" t="str">
        <f>IFERROR(__xludf.DUMMYFUNCTION("""COMPUTED_VALUE"""),"Ajuy")</f>
        <v>Ajuy</v>
      </c>
      <c r="C324" s="142" t="str">
        <f>IFERROR(__xludf.DUMMYFUNCTION("""COMPUTED_VALUE"""),"Alimodian")</f>
        <v>Alimodian</v>
      </c>
      <c r="D324" s="142" t="str">
        <f>IFERROR(__xludf.DUMMYFUNCTION("""COMPUTED_VALUE"""),"Anilao")</f>
        <v>Anilao</v>
      </c>
      <c r="E324" s="142" t="str">
        <f>IFERROR(__xludf.DUMMYFUNCTION("""COMPUTED_VALUE"""),"Badiangan")</f>
        <v>Badiangan</v>
      </c>
      <c r="F324" s="142" t="str">
        <f>IFERROR(__xludf.DUMMYFUNCTION("""COMPUTED_VALUE"""),"Balasan")</f>
        <v>Balasan</v>
      </c>
      <c r="G324" s="142" t="str">
        <f>IFERROR(__xludf.DUMMYFUNCTION("""COMPUTED_VALUE"""),"Banate")</f>
        <v>Banate</v>
      </c>
      <c r="H324" s="142" t="str">
        <f>IFERROR(__xludf.DUMMYFUNCTION("""COMPUTED_VALUE"""),"Barotac Nuevo")</f>
        <v>Barotac Nuevo</v>
      </c>
      <c r="I324" s="142" t="str">
        <f>IFERROR(__xludf.DUMMYFUNCTION("""COMPUTED_VALUE"""),"Barotac Viejo")</f>
        <v>Barotac Viejo</v>
      </c>
      <c r="J324" s="142" t="str">
        <f>IFERROR(__xludf.DUMMYFUNCTION("""COMPUTED_VALUE"""),"Batad")</f>
        <v>Batad</v>
      </c>
      <c r="K324" s="142" t="str">
        <f>IFERROR(__xludf.DUMMYFUNCTION("""COMPUTED_VALUE"""),"Bingawan")</f>
        <v>Bingawan</v>
      </c>
      <c r="L324" s="142" t="str">
        <f>IFERROR(__xludf.DUMMYFUNCTION("""COMPUTED_VALUE"""),"Cabatuan")</f>
        <v>Cabatuan</v>
      </c>
      <c r="M324" s="142" t="str">
        <f>IFERROR(__xludf.DUMMYFUNCTION("""COMPUTED_VALUE"""),"Calinog")</f>
        <v>Calinog</v>
      </c>
      <c r="N324" s="142" t="str">
        <f>IFERROR(__xludf.DUMMYFUNCTION("""COMPUTED_VALUE"""),"Carles")</f>
        <v>Carles</v>
      </c>
      <c r="O324" s="142" t="str">
        <f>IFERROR(__xludf.DUMMYFUNCTION("""COMPUTED_VALUE"""),"Concepcion")</f>
        <v>Concepcion</v>
      </c>
      <c r="P324" s="142" t="str">
        <f>IFERROR(__xludf.DUMMYFUNCTION("""COMPUTED_VALUE"""),"Dingle")</f>
        <v>Dingle</v>
      </c>
      <c r="Q324" s="142" t="str">
        <f>IFERROR(__xludf.DUMMYFUNCTION("""COMPUTED_VALUE"""),"Dueñas")</f>
        <v>Dueñas</v>
      </c>
      <c r="R324" s="142" t="str">
        <f>IFERROR(__xludf.DUMMYFUNCTION("""COMPUTED_VALUE"""),"Dumangas")</f>
        <v>Dumangas</v>
      </c>
      <c r="S324" s="142" t="str">
        <f>IFERROR(__xludf.DUMMYFUNCTION("""COMPUTED_VALUE"""),"Estancia")</f>
        <v>Estancia</v>
      </c>
      <c r="T324" s="142" t="str">
        <f>IFERROR(__xludf.DUMMYFUNCTION("""COMPUTED_VALUE"""),"Guimbal")</f>
        <v>Guimbal</v>
      </c>
      <c r="U324" s="142" t="str">
        <f>IFERROR(__xludf.DUMMYFUNCTION("""COMPUTED_VALUE"""),"Igbaras")</f>
        <v>Igbaras</v>
      </c>
      <c r="V324" s="142" t="str">
        <f>IFERROR(__xludf.DUMMYFUNCTION("""COMPUTED_VALUE"""),"City of Iloilo")</f>
        <v>City of Iloilo</v>
      </c>
      <c r="W324" s="142" t="str">
        <f>IFERROR(__xludf.DUMMYFUNCTION("""COMPUTED_VALUE"""),"Janiuay")</f>
        <v>Janiuay</v>
      </c>
      <c r="X324" s="142" t="str">
        <f>IFERROR(__xludf.DUMMYFUNCTION("""COMPUTED_VALUE"""),"Lambunao")</f>
        <v>Lambunao</v>
      </c>
      <c r="Y324" s="142" t="str">
        <f>IFERROR(__xludf.DUMMYFUNCTION("""COMPUTED_VALUE"""),"Leganes")</f>
        <v>Leganes</v>
      </c>
      <c r="Z324" s="142" t="str">
        <f>IFERROR(__xludf.DUMMYFUNCTION("""COMPUTED_VALUE"""),"Lemery")</f>
        <v>Lemery</v>
      </c>
      <c r="AA324" s="142" t="str">
        <f>IFERROR(__xludf.DUMMYFUNCTION("""COMPUTED_VALUE"""),"Leon")</f>
        <v>Leon</v>
      </c>
      <c r="AB324" s="142" t="str">
        <f>IFERROR(__xludf.DUMMYFUNCTION("""COMPUTED_VALUE"""),"Maasin")</f>
        <v>Maasin</v>
      </c>
      <c r="AC324" s="142" t="str">
        <f>IFERROR(__xludf.DUMMYFUNCTION("""COMPUTED_VALUE"""),"Miagao")</f>
        <v>Miagao</v>
      </c>
      <c r="AD324" s="142" t="str">
        <f>IFERROR(__xludf.DUMMYFUNCTION("""COMPUTED_VALUE"""),"Mina")</f>
        <v>Mina</v>
      </c>
      <c r="AE324" s="142" t="str">
        <f>IFERROR(__xludf.DUMMYFUNCTION("""COMPUTED_VALUE"""),"New Lucena")</f>
        <v>New Lucena</v>
      </c>
      <c r="AF324" s="142" t="str">
        <f>IFERROR(__xludf.DUMMYFUNCTION("""COMPUTED_VALUE"""),"Oton")</f>
        <v>Oton</v>
      </c>
      <c r="AG324" s="142" t="str">
        <f>IFERROR(__xludf.DUMMYFUNCTION("""COMPUTED_VALUE"""),"City of Passi")</f>
        <v>City of Passi</v>
      </c>
      <c r="AH324" s="142" t="str">
        <f>IFERROR(__xludf.DUMMYFUNCTION("""COMPUTED_VALUE"""),"Pavia")</f>
        <v>Pavia</v>
      </c>
      <c r="AI324" s="142" t="str">
        <f>IFERROR(__xludf.DUMMYFUNCTION("""COMPUTED_VALUE"""),"Pototan")</f>
        <v>Pototan</v>
      </c>
      <c r="AJ324" s="142" t="str">
        <f>IFERROR(__xludf.DUMMYFUNCTION("""COMPUTED_VALUE"""),"San Dionisio")</f>
        <v>San Dionisio</v>
      </c>
      <c r="AK324" s="142" t="str">
        <f>IFERROR(__xludf.DUMMYFUNCTION("""COMPUTED_VALUE"""),"San Enrique")</f>
        <v>San Enrique</v>
      </c>
      <c r="AL324" s="142" t="str">
        <f>IFERROR(__xludf.DUMMYFUNCTION("""COMPUTED_VALUE"""),"San Joaquin")</f>
        <v>San Joaquin</v>
      </c>
      <c r="AM324" s="142" t="str">
        <f>IFERROR(__xludf.DUMMYFUNCTION("""COMPUTED_VALUE"""),"San Miguel")</f>
        <v>San Miguel</v>
      </c>
      <c r="AN324" s="142" t="str">
        <f>IFERROR(__xludf.DUMMYFUNCTION("""COMPUTED_VALUE"""),"San Rafael")</f>
        <v>San Rafael</v>
      </c>
      <c r="AO324" s="142" t="str">
        <f>IFERROR(__xludf.DUMMYFUNCTION("""COMPUTED_VALUE"""),"Santa Barbara")</f>
        <v>Santa Barbara</v>
      </c>
      <c r="AP324" s="142" t="str">
        <f>IFERROR(__xludf.DUMMYFUNCTION("""COMPUTED_VALUE"""),"Sara")</f>
        <v>Sara</v>
      </c>
      <c r="AQ324" s="142" t="str">
        <f>IFERROR(__xludf.DUMMYFUNCTION("""COMPUTED_VALUE"""),"Tigbauan")</f>
        <v>Tigbauan</v>
      </c>
      <c r="AR324" s="142" t="str">
        <f>IFERROR(__xludf.DUMMYFUNCTION("""COMPUTED_VALUE"""),"Tubungan")</f>
        <v>Tubungan</v>
      </c>
      <c r="AS324" s="142" t="str">
        <f>IFERROR(__xludf.DUMMYFUNCTION("""COMPUTED_VALUE"""),"Zarraga")</f>
        <v>Zarraga</v>
      </c>
      <c r="AT324" s="8"/>
      <c r="AU324" s="8"/>
      <c r="AV324" s="8"/>
      <c r="AW324" s="8"/>
      <c r="AX324" s="8"/>
      <c r="AY324" s="8"/>
      <c r="AZ324" s="8"/>
      <c r="BA324" s="8"/>
      <c r="BB324" s="8"/>
      <c r="BC324" s="8"/>
      <c r="BD324" s="8"/>
      <c r="BE324" s="8"/>
    </row>
    <row r="325">
      <c r="A325" s="142" t="s">
        <v>558</v>
      </c>
      <c r="B325" s="142" t="str">
        <f>IFERROR(__xludf.DUMMYFUNCTION("""COMPUTED_VALUE"""),"Ajuy")</f>
        <v>Ajuy</v>
      </c>
      <c r="C325" s="142" t="str">
        <f>IFERROR(__xludf.DUMMYFUNCTION("""COMPUTED_VALUE"""),"Alimodian")</f>
        <v>Alimodian</v>
      </c>
      <c r="D325" s="142" t="str">
        <f>IFERROR(__xludf.DUMMYFUNCTION("""COMPUTED_VALUE"""),"Anilao")</f>
        <v>Anilao</v>
      </c>
      <c r="E325" s="142" t="str">
        <f>IFERROR(__xludf.DUMMYFUNCTION("""COMPUTED_VALUE"""),"Badiangan")</f>
        <v>Badiangan</v>
      </c>
      <c r="F325" s="142" t="str">
        <f>IFERROR(__xludf.DUMMYFUNCTION("""COMPUTED_VALUE"""),"Balasan")</f>
        <v>Balasan</v>
      </c>
      <c r="G325" s="142" t="str">
        <f>IFERROR(__xludf.DUMMYFUNCTION("""COMPUTED_VALUE"""),"Banate")</f>
        <v>Banate</v>
      </c>
      <c r="H325" s="142" t="str">
        <f>IFERROR(__xludf.DUMMYFUNCTION("""COMPUTED_VALUE"""),"Barotac Nuevo")</f>
        <v>Barotac Nuevo</v>
      </c>
      <c r="I325" s="142" t="str">
        <f>IFERROR(__xludf.DUMMYFUNCTION("""COMPUTED_VALUE"""),"Barotac Viejo")</f>
        <v>Barotac Viejo</v>
      </c>
      <c r="J325" s="142" t="str">
        <f>IFERROR(__xludf.DUMMYFUNCTION("""COMPUTED_VALUE"""),"Batad")</f>
        <v>Batad</v>
      </c>
      <c r="K325" s="142" t="str">
        <f>IFERROR(__xludf.DUMMYFUNCTION("""COMPUTED_VALUE"""),"Bingawan")</f>
        <v>Bingawan</v>
      </c>
      <c r="L325" s="142" t="str">
        <f>IFERROR(__xludf.DUMMYFUNCTION("""COMPUTED_VALUE"""),"Cabatuan")</f>
        <v>Cabatuan</v>
      </c>
      <c r="M325" s="142" t="str">
        <f>IFERROR(__xludf.DUMMYFUNCTION("""COMPUTED_VALUE"""),"Calinog")</f>
        <v>Calinog</v>
      </c>
      <c r="N325" s="142" t="str">
        <f>IFERROR(__xludf.DUMMYFUNCTION("""COMPUTED_VALUE"""),"Carles")</f>
        <v>Carles</v>
      </c>
      <c r="O325" s="142" t="str">
        <f>IFERROR(__xludf.DUMMYFUNCTION("""COMPUTED_VALUE"""),"Concepcion")</f>
        <v>Concepcion</v>
      </c>
      <c r="P325" s="142" t="str">
        <f>IFERROR(__xludf.DUMMYFUNCTION("""COMPUTED_VALUE"""),"Dingle")</f>
        <v>Dingle</v>
      </c>
      <c r="Q325" s="142" t="str">
        <f>IFERROR(__xludf.DUMMYFUNCTION("""COMPUTED_VALUE"""),"Dueñas")</f>
        <v>Dueñas</v>
      </c>
      <c r="R325" s="142" t="str">
        <f>IFERROR(__xludf.DUMMYFUNCTION("""COMPUTED_VALUE"""),"Dumangas")</f>
        <v>Dumangas</v>
      </c>
      <c r="S325" s="142" t="str">
        <f>IFERROR(__xludf.DUMMYFUNCTION("""COMPUTED_VALUE"""),"Estancia")</f>
        <v>Estancia</v>
      </c>
      <c r="T325" s="142" t="str">
        <f>IFERROR(__xludf.DUMMYFUNCTION("""COMPUTED_VALUE"""),"Guimbal")</f>
        <v>Guimbal</v>
      </c>
      <c r="U325" s="142" t="str">
        <f>IFERROR(__xludf.DUMMYFUNCTION("""COMPUTED_VALUE"""),"Igbaras")</f>
        <v>Igbaras</v>
      </c>
      <c r="V325" s="142" t="str">
        <f>IFERROR(__xludf.DUMMYFUNCTION("""COMPUTED_VALUE"""),"City of Iloilo")</f>
        <v>City of Iloilo</v>
      </c>
      <c r="W325" s="142" t="str">
        <f>IFERROR(__xludf.DUMMYFUNCTION("""COMPUTED_VALUE"""),"Janiuay")</f>
        <v>Janiuay</v>
      </c>
      <c r="X325" s="142" t="str">
        <f>IFERROR(__xludf.DUMMYFUNCTION("""COMPUTED_VALUE"""),"Lambunao")</f>
        <v>Lambunao</v>
      </c>
      <c r="Y325" s="142" t="str">
        <f>IFERROR(__xludf.DUMMYFUNCTION("""COMPUTED_VALUE"""),"Leganes")</f>
        <v>Leganes</v>
      </c>
      <c r="Z325" s="142" t="str">
        <f>IFERROR(__xludf.DUMMYFUNCTION("""COMPUTED_VALUE"""),"Lemery")</f>
        <v>Lemery</v>
      </c>
      <c r="AA325" s="142" t="str">
        <f>IFERROR(__xludf.DUMMYFUNCTION("""COMPUTED_VALUE"""),"Leon")</f>
        <v>Leon</v>
      </c>
      <c r="AB325" s="142" t="str">
        <f>IFERROR(__xludf.DUMMYFUNCTION("""COMPUTED_VALUE"""),"Maasin")</f>
        <v>Maasin</v>
      </c>
      <c r="AC325" s="142" t="str">
        <f>IFERROR(__xludf.DUMMYFUNCTION("""COMPUTED_VALUE"""),"Miagao")</f>
        <v>Miagao</v>
      </c>
      <c r="AD325" s="142" t="str">
        <f>IFERROR(__xludf.DUMMYFUNCTION("""COMPUTED_VALUE"""),"Mina")</f>
        <v>Mina</v>
      </c>
      <c r="AE325" s="142" t="str">
        <f>IFERROR(__xludf.DUMMYFUNCTION("""COMPUTED_VALUE"""),"New Lucena")</f>
        <v>New Lucena</v>
      </c>
      <c r="AF325" s="142" t="str">
        <f>IFERROR(__xludf.DUMMYFUNCTION("""COMPUTED_VALUE"""),"Oton")</f>
        <v>Oton</v>
      </c>
      <c r="AG325" s="142" t="str">
        <f>IFERROR(__xludf.DUMMYFUNCTION("""COMPUTED_VALUE"""),"City of Passi")</f>
        <v>City of Passi</v>
      </c>
      <c r="AH325" s="142" t="str">
        <f>IFERROR(__xludf.DUMMYFUNCTION("""COMPUTED_VALUE"""),"Pavia")</f>
        <v>Pavia</v>
      </c>
      <c r="AI325" s="142" t="str">
        <f>IFERROR(__xludf.DUMMYFUNCTION("""COMPUTED_VALUE"""),"Pototan")</f>
        <v>Pototan</v>
      </c>
      <c r="AJ325" s="142" t="str">
        <f>IFERROR(__xludf.DUMMYFUNCTION("""COMPUTED_VALUE"""),"San Dionisio")</f>
        <v>San Dionisio</v>
      </c>
      <c r="AK325" s="142" t="str">
        <f>IFERROR(__xludf.DUMMYFUNCTION("""COMPUTED_VALUE"""),"San Enrique")</f>
        <v>San Enrique</v>
      </c>
      <c r="AL325" s="142" t="str">
        <f>IFERROR(__xludf.DUMMYFUNCTION("""COMPUTED_VALUE"""),"San Joaquin")</f>
        <v>San Joaquin</v>
      </c>
      <c r="AM325" s="142" t="str">
        <f>IFERROR(__xludf.DUMMYFUNCTION("""COMPUTED_VALUE"""),"San Miguel")</f>
        <v>San Miguel</v>
      </c>
      <c r="AN325" s="142" t="str">
        <f>IFERROR(__xludf.DUMMYFUNCTION("""COMPUTED_VALUE"""),"San Rafael")</f>
        <v>San Rafael</v>
      </c>
      <c r="AO325" s="142" t="str">
        <f>IFERROR(__xludf.DUMMYFUNCTION("""COMPUTED_VALUE"""),"Santa Barbara")</f>
        <v>Santa Barbara</v>
      </c>
      <c r="AP325" s="142" t="str">
        <f>IFERROR(__xludf.DUMMYFUNCTION("""COMPUTED_VALUE"""),"Sara")</f>
        <v>Sara</v>
      </c>
      <c r="AQ325" s="142" t="str">
        <f>IFERROR(__xludf.DUMMYFUNCTION("""COMPUTED_VALUE"""),"Tigbauan")</f>
        <v>Tigbauan</v>
      </c>
      <c r="AR325" s="142" t="str">
        <f>IFERROR(__xludf.DUMMYFUNCTION("""COMPUTED_VALUE"""),"Tubungan")</f>
        <v>Tubungan</v>
      </c>
      <c r="AS325" s="142" t="str">
        <f>IFERROR(__xludf.DUMMYFUNCTION("""COMPUTED_VALUE"""),"Zarraga")</f>
        <v>Zarraga</v>
      </c>
      <c r="AT325" s="8"/>
      <c r="AU325" s="8"/>
      <c r="AV325" s="8"/>
      <c r="AW325" s="8"/>
      <c r="AX325" s="8"/>
      <c r="AY325" s="8"/>
      <c r="AZ325" s="8"/>
      <c r="BA325" s="8"/>
      <c r="BB325" s="8"/>
      <c r="BC325" s="8"/>
      <c r="BD325" s="8"/>
      <c r="BE325" s="8"/>
    </row>
    <row r="326">
      <c r="A326" s="142" t="s">
        <v>558</v>
      </c>
      <c r="B326" s="142" t="str">
        <f>IFERROR(__xludf.DUMMYFUNCTION("""COMPUTED_VALUE"""),"Ajuy")</f>
        <v>Ajuy</v>
      </c>
      <c r="C326" s="142" t="str">
        <f>IFERROR(__xludf.DUMMYFUNCTION("""COMPUTED_VALUE"""),"Alimodian")</f>
        <v>Alimodian</v>
      </c>
      <c r="D326" s="142" t="str">
        <f>IFERROR(__xludf.DUMMYFUNCTION("""COMPUTED_VALUE"""),"Anilao")</f>
        <v>Anilao</v>
      </c>
      <c r="E326" s="142" t="str">
        <f>IFERROR(__xludf.DUMMYFUNCTION("""COMPUTED_VALUE"""),"Badiangan")</f>
        <v>Badiangan</v>
      </c>
      <c r="F326" s="142" t="str">
        <f>IFERROR(__xludf.DUMMYFUNCTION("""COMPUTED_VALUE"""),"Balasan")</f>
        <v>Balasan</v>
      </c>
      <c r="G326" s="142" t="str">
        <f>IFERROR(__xludf.DUMMYFUNCTION("""COMPUTED_VALUE"""),"Banate")</f>
        <v>Banate</v>
      </c>
      <c r="H326" s="142" t="str">
        <f>IFERROR(__xludf.DUMMYFUNCTION("""COMPUTED_VALUE"""),"Barotac Nuevo")</f>
        <v>Barotac Nuevo</v>
      </c>
      <c r="I326" s="142" t="str">
        <f>IFERROR(__xludf.DUMMYFUNCTION("""COMPUTED_VALUE"""),"Barotac Viejo")</f>
        <v>Barotac Viejo</v>
      </c>
      <c r="J326" s="142" t="str">
        <f>IFERROR(__xludf.DUMMYFUNCTION("""COMPUTED_VALUE"""),"Batad")</f>
        <v>Batad</v>
      </c>
      <c r="K326" s="142" t="str">
        <f>IFERROR(__xludf.DUMMYFUNCTION("""COMPUTED_VALUE"""),"Bingawan")</f>
        <v>Bingawan</v>
      </c>
      <c r="L326" s="142" t="str">
        <f>IFERROR(__xludf.DUMMYFUNCTION("""COMPUTED_VALUE"""),"Cabatuan")</f>
        <v>Cabatuan</v>
      </c>
      <c r="M326" s="142" t="str">
        <f>IFERROR(__xludf.DUMMYFUNCTION("""COMPUTED_VALUE"""),"Calinog")</f>
        <v>Calinog</v>
      </c>
      <c r="N326" s="142" t="str">
        <f>IFERROR(__xludf.DUMMYFUNCTION("""COMPUTED_VALUE"""),"Carles")</f>
        <v>Carles</v>
      </c>
      <c r="O326" s="142" t="str">
        <f>IFERROR(__xludf.DUMMYFUNCTION("""COMPUTED_VALUE"""),"Concepcion")</f>
        <v>Concepcion</v>
      </c>
      <c r="P326" s="142" t="str">
        <f>IFERROR(__xludf.DUMMYFUNCTION("""COMPUTED_VALUE"""),"Dingle")</f>
        <v>Dingle</v>
      </c>
      <c r="Q326" s="142" t="str">
        <f>IFERROR(__xludf.DUMMYFUNCTION("""COMPUTED_VALUE"""),"Dueñas")</f>
        <v>Dueñas</v>
      </c>
      <c r="R326" s="142" t="str">
        <f>IFERROR(__xludf.DUMMYFUNCTION("""COMPUTED_VALUE"""),"Dumangas")</f>
        <v>Dumangas</v>
      </c>
      <c r="S326" s="142" t="str">
        <f>IFERROR(__xludf.DUMMYFUNCTION("""COMPUTED_VALUE"""),"Estancia")</f>
        <v>Estancia</v>
      </c>
      <c r="T326" s="142" t="str">
        <f>IFERROR(__xludf.DUMMYFUNCTION("""COMPUTED_VALUE"""),"Guimbal")</f>
        <v>Guimbal</v>
      </c>
      <c r="U326" s="142" t="str">
        <f>IFERROR(__xludf.DUMMYFUNCTION("""COMPUTED_VALUE"""),"Igbaras")</f>
        <v>Igbaras</v>
      </c>
      <c r="V326" s="142" t="str">
        <f>IFERROR(__xludf.DUMMYFUNCTION("""COMPUTED_VALUE"""),"City of Iloilo")</f>
        <v>City of Iloilo</v>
      </c>
      <c r="W326" s="142" t="str">
        <f>IFERROR(__xludf.DUMMYFUNCTION("""COMPUTED_VALUE"""),"Janiuay")</f>
        <v>Janiuay</v>
      </c>
      <c r="X326" s="142" t="str">
        <f>IFERROR(__xludf.DUMMYFUNCTION("""COMPUTED_VALUE"""),"Lambunao")</f>
        <v>Lambunao</v>
      </c>
      <c r="Y326" s="142" t="str">
        <f>IFERROR(__xludf.DUMMYFUNCTION("""COMPUTED_VALUE"""),"Leganes")</f>
        <v>Leganes</v>
      </c>
      <c r="Z326" s="142" t="str">
        <f>IFERROR(__xludf.DUMMYFUNCTION("""COMPUTED_VALUE"""),"Lemery")</f>
        <v>Lemery</v>
      </c>
      <c r="AA326" s="142" t="str">
        <f>IFERROR(__xludf.DUMMYFUNCTION("""COMPUTED_VALUE"""),"Leon")</f>
        <v>Leon</v>
      </c>
      <c r="AB326" s="142" t="str">
        <f>IFERROR(__xludf.DUMMYFUNCTION("""COMPUTED_VALUE"""),"Maasin")</f>
        <v>Maasin</v>
      </c>
      <c r="AC326" s="142" t="str">
        <f>IFERROR(__xludf.DUMMYFUNCTION("""COMPUTED_VALUE"""),"Miagao")</f>
        <v>Miagao</v>
      </c>
      <c r="AD326" s="142" t="str">
        <f>IFERROR(__xludf.DUMMYFUNCTION("""COMPUTED_VALUE"""),"Mina")</f>
        <v>Mina</v>
      </c>
      <c r="AE326" s="142" t="str">
        <f>IFERROR(__xludf.DUMMYFUNCTION("""COMPUTED_VALUE"""),"New Lucena")</f>
        <v>New Lucena</v>
      </c>
      <c r="AF326" s="142" t="str">
        <f>IFERROR(__xludf.DUMMYFUNCTION("""COMPUTED_VALUE"""),"Oton")</f>
        <v>Oton</v>
      </c>
      <c r="AG326" s="142" t="str">
        <f>IFERROR(__xludf.DUMMYFUNCTION("""COMPUTED_VALUE"""),"City of Passi")</f>
        <v>City of Passi</v>
      </c>
      <c r="AH326" s="142" t="str">
        <f>IFERROR(__xludf.DUMMYFUNCTION("""COMPUTED_VALUE"""),"Pavia")</f>
        <v>Pavia</v>
      </c>
      <c r="AI326" s="142" t="str">
        <f>IFERROR(__xludf.DUMMYFUNCTION("""COMPUTED_VALUE"""),"Pototan")</f>
        <v>Pototan</v>
      </c>
      <c r="AJ326" s="142" t="str">
        <f>IFERROR(__xludf.DUMMYFUNCTION("""COMPUTED_VALUE"""),"San Dionisio")</f>
        <v>San Dionisio</v>
      </c>
      <c r="AK326" s="142" t="str">
        <f>IFERROR(__xludf.DUMMYFUNCTION("""COMPUTED_VALUE"""),"San Enrique")</f>
        <v>San Enrique</v>
      </c>
      <c r="AL326" s="142" t="str">
        <f>IFERROR(__xludf.DUMMYFUNCTION("""COMPUTED_VALUE"""),"San Joaquin")</f>
        <v>San Joaquin</v>
      </c>
      <c r="AM326" s="142" t="str">
        <f>IFERROR(__xludf.DUMMYFUNCTION("""COMPUTED_VALUE"""),"San Miguel")</f>
        <v>San Miguel</v>
      </c>
      <c r="AN326" s="142" t="str">
        <f>IFERROR(__xludf.DUMMYFUNCTION("""COMPUTED_VALUE"""),"San Rafael")</f>
        <v>San Rafael</v>
      </c>
      <c r="AO326" s="142" t="str">
        <f>IFERROR(__xludf.DUMMYFUNCTION("""COMPUTED_VALUE"""),"Santa Barbara")</f>
        <v>Santa Barbara</v>
      </c>
      <c r="AP326" s="142" t="str">
        <f>IFERROR(__xludf.DUMMYFUNCTION("""COMPUTED_VALUE"""),"Sara")</f>
        <v>Sara</v>
      </c>
      <c r="AQ326" s="142" t="str">
        <f>IFERROR(__xludf.DUMMYFUNCTION("""COMPUTED_VALUE"""),"Tigbauan")</f>
        <v>Tigbauan</v>
      </c>
      <c r="AR326" s="142" t="str">
        <f>IFERROR(__xludf.DUMMYFUNCTION("""COMPUTED_VALUE"""),"Tubungan")</f>
        <v>Tubungan</v>
      </c>
      <c r="AS326" s="142" t="str">
        <f>IFERROR(__xludf.DUMMYFUNCTION("""COMPUTED_VALUE"""),"Zarraga")</f>
        <v>Zarraga</v>
      </c>
      <c r="AT326" s="8"/>
      <c r="AU326" s="8"/>
      <c r="AV326" s="8"/>
      <c r="AW326" s="8"/>
      <c r="AX326" s="8"/>
      <c r="AY326" s="8"/>
      <c r="AZ326" s="8"/>
      <c r="BA326" s="8"/>
      <c r="BB326" s="8"/>
      <c r="BC326" s="8"/>
      <c r="BD326" s="8"/>
      <c r="BE326" s="8"/>
    </row>
    <row r="327">
      <c r="A327" s="142" t="s">
        <v>632</v>
      </c>
      <c r="B327" s="142" t="str">
        <f>IFERROR(__xludf.DUMMYFUNCTION("""COMPUTED_VALUE"""),"Amlan")</f>
        <v>Amlan</v>
      </c>
      <c r="C327" s="142" t="str">
        <f>IFERROR(__xludf.DUMMYFUNCTION("""COMPUTED_VALUE"""),"Ayungon")</f>
        <v>Ayungon</v>
      </c>
      <c r="D327" s="142" t="str">
        <f>IFERROR(__xludf.DUMMYFUNCTION("""COMPUTED_VALUE"""),"Bacong")</f>
        <v>Bacong</v>
      </c>
      <c r="E327" s="142" t="str">
        <f>IFERROR(__xludf.DUMMYFUNCTION("""COMPUTED_VALUE"""),"City of Bais")</f>
        <v>City of Bais</v>
      </c>
      <c r="F327" s="142" t="str">
        <f>IFERROR(__xludf.DUMMYFUNCTION("""COMPUTED_VALUE"""),"Basay")</f>
        <v>Basay</v>
      </c>
      <c r="G327" s="142" t="str">
        <f>IFERROR(__xludf.DUMMYFUNCTION("""COMPUTED_VALUE"""),"City of Bayawan")</f>
        <v>City of Bayawan</v>
      </c>
      <c r="H327" s="142" t="str">
        <f>IFERROR(__xludf.DUMMYFUNCTION("""COMPUTED_VALUE"""),"Bindoy")</f>
        <v>Bindoy</v>
      </c>
      <c r="I327" s="142" t="str">
        <f>IFERROR(__xludf.DUMMYFUNCTION("""COMPUTED_VALUE"""),"City of Canlaon")</f>
        <v>City of Canlaon</v>
      </c>
      <c r="J327" s="142" t="str">
        <f>IFERROR(__xludf.DUMMYFUNCTION("""COMPUTED_VALUE"""),"Dauin")</f>
        <v>Dauin</v>
      </c>
      <c r="K327" s="142" t="str">
        <f>IFERROR(__xludf.DUMMYFUNCTION("""COMPUTED_VALUE"""),"City of Dumaguete")</f>
        <v>City of Dumaguete</v>
      </c>
      <c r="L327" s="142" t="str">
        <f>IFERROR(__xludf.DUMMYFUNCTION("""COMPUTED_VALUE"""),"City of Guihulngan")</f>
        <v>City of Guihulngan</v>
      </c>
      <c r="M327" s="142" t="str">
        <f>IFERROR(__xludf.DUMMYFUNCTION("""COMPUTED_VALUE"""),"Jimalalud")</f>
        <v>Jimalalud</v>
      </c>
      <c r="N327" s="142" t="str">
        <f>IFERROR(__xludf.DUMMYFUNCTION("""COMPUTED_VALUE"""),"La Libertad")</f>
        <v>La Libertad</v>
      </c>
      <c r="O327" s="142" t="str">
        <f>IFERROR(__xludf.DUMMYFUNCTION("""COMPUTED_VALUE"""),"Mabinay")</f>
        <v>Mabinay</v>
      </c>
      <c r="P327" s="142" t="str">
        <f>IFERROR(__xludf.DUMMYFUNCTION("""COMPUTED_VALUE"""),"Manjuyod")</f>
        <v>Manjuyod</v>
      </c>
      <c r="Q327" s="142" t="str">
        <f>IFERROR(__xludf.DUMMYFUNCTION("""COMPUTED_VALUE"""),"Pamplona")</f>
        <v>Pamplona</v>
      </c>
      <c r="R327" s="142" t="str">
        <f>IFERROR(__xludf.DUMMYFUNCTION("""COMPUTED_VALUE"""),"San Jose")</f>
        <v>San Jose</v>
      </c>
      <c r="S327" s="142" t="str">
        <f>IFERROR(__xludf.DUMMYFUNCTION("""COMPUTED_VALUE"""),"Santa Catalina")</f>
        <v>Santa Catalina</v>
      </c>
      <c r="T327" s="142" t="str">
        <f>IFERROR(__xludf.DUMMYFUNCTION("""COMPUTED_VALUE"""),"Siaton")</f>
        <v>Siaton</v>
      </c>
      <c r="U327" s="142" t="str">
        <f>IFERROR(__xludf.DUMMYFUNCTION("""COMPUTED_VALUE"""),"Sibulan")</f>
        <v>Sibulan</v>
      </c>
      <c r="V327" s="142" t="str">
        <f>IFERROR(__xludf.DUMMYFUNCTION("""COMPUTED_VALUE"""),"City of Tanjay")</f>
        <v>City of Tanjay</v>
      </c>
      <c r="W327" s="142" t="str">
        <f>IFERROR(__xludf.DUMMYFUNCTION("""COMPUTED_VALUE"""),"Tayasan")</f>
        <v>Tayasan</v>
      </c>
      <c r="X327" s="142" t="str">
        <f>IFERROR(__xludf.DUMMYFUNCTION("""COMPUTED_VALUE"""),"Valencia")</f>
        <v>Valencia</v>
      </c>
      <c r="Y327" s="142" t="str">
        <f>IFERROR(__xludf.DUMMYFUNCTION("""COMPUTED_VALUE"""),"Vallehermoso")</f>
        <v>Vallehermoso</v>
      </c>
      <c r="Z327" s="142" t="str">
        <f>IFERROR(__xludf.DUMMYFUNCTION("""COMPUTED_VALUE"""),"Zamboanguita")</f>
        <v>Zamboanguita</v>
      </c>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row>
    <row r="328">
      <c r="A328" s="142" t="s">
        <v>357</v>
      </c>
      <c r="B328" s="142" t="str">
        <f>IFERROR(__xludf.DUMMYFUNCTION("""COMPUTED_VALUE"""),"Alabel")</f>
        <v>Alabel</v>
      </c>
      <c r="C328" s="142" t="str">
        <f>IFERROR(__xludf.DUMMYFUNCTION("""COMPUTED_VALUE"""),"Glan")</f>
        <v>Glan</v>
      </c>
      <c r="D328" s="142" t="str">
        <f>IFERROR(__xludf.DUMMYFUNCTION("""COMPUTED_VALUE"""),"Kiamba")</f>
        <v>Kiamba</v>
      </c>
      <c r="E328" s="142" t="str">
        <f>IFERROR(__xludf.DUMMYFUNCTION("""COMPUTED_VALUE"""),"Maasim")</f>
        <v>Maasim</v>
      </c>
      <c r="F328" s="142" t="str">
        <f>IFERROR(__xludf.DUMMYFUNCTION("""COMPUTED_VALUE"""),"Maitum")</f>
        <v>Maitum</v>
      </c>
      <c r="G328" s="142" t="str">
        <f>IFERROR(__xludf.DUMMYFUNCTION("""COMPUTED_VALUE"""),"Malapatan")</f>
        <v>Malapatan</v>
      </c>
      <c r="H328" s="142" t="str">
        <f>IFERROR(__xludf.DUMMYFUNCTION("""COMPUTED_VALUE"""),"Malungon")</f>
        <v>Malungon</v>
      </c>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row>
    <row r="329">
      <c r="A329" s="142" t="s">
        <v>893</v>
      </c>
      <c r="B329" s="142" t="str">
        <f>IFERROR(__xludf.DUMMYFUNCTION("""COMPUTED_VALUE"""),"Bacacay")</f>
        <v>Bacacay</v>
      </c>
      <c r="C329" s="142" t="str">
        <f>IFERROR(__xludf.DUMMYFUNCTION("""COMPUTED_VALUE"""),"Camalig")</f>
        <v>Camalig</v>
      </c>
      <c r="D329" s="142" t="str">
        <f>IFERROR(__xludf.DUMMYFUNCTION("""COMPUTED_VALUE"""),"Daraga")</f>
        <v>Daraga</v>
      </c>
      <c r="E329" s="142" t="str">
        <f>IFERROR(__xludf.DUMMYFUNCTION("""COMPUTED_VALUE"""),"Guinobatan")</f>
        <v>Guinobatan</v>
      </c>
      <c r="F329" s="142" t="str">
        <f>IFERROR(__xludf.DUMMYFUNCTION("""COMPUTED_VALUE"""),"Jovellar")</f>
        <v>Jovellar</v>
      </c>
      <c r="G329" s="142" t="str">
        <f>IFERROR(__xludf.DUMMYFUNCTION("""COMPUTED_VALUE"""),"City of Legazpi")</f>
        <v>City of Legazpi</v>
      </c>
      <c r="H329" s="142" t="str">
        <f>IFERROR(__xludf.DUMMYFUNCTION("""COMPUTED_VALUE"""),"Libon")</f>
        <v>Libon</v>
      </c>
      <c r="I329" s="142" t="str">
        <f>IFERROR(__xludf.DUMMYFUNCTION("""COMPUTED_VALUE"""),"City of Ligao")</f>
        <v>City of Ligao</v>
      </c>
      <c r="J329" s="142" t="str">
        <f>IFERROR(__xludf.DUMMYFUNCTION("""COMPUTED_VALUE"""),"Malilipot")</f>
        <v>Malilipot</v>
      </c>
      <c r="K329" s="142" t="str">
        <f>IFERROR(__xludf.DUMMYFUNCTION("""COMPUTED_VALUE"""),"Malinao")</f>
        <v>Malinao</v>
      </c>
      <c r="L329" s="142" t="str">
        <f>IFERROR(__xludf.DUMMYFUNCTION("""COMPUTED_VALUE"""),"Manito")</f>
        <v>Manito</v>
      </c>
      <c r="M329" s="142" t="str">
        <f>IFERROR(__xludf.DUMMYFUNCTION("""COMPUTED_VALUE"""),"Oas")</f>
        <v>Oas</v>
      </c>
      <c r="N329" s="142" t="str">
        <f>IFERROR(__xludf.DUMMYFUNCTION("""COMPUTED_VALUE"""),"Pio Duran")</f>
        <v>Pio Duran</v>
      </c>
      <c r="O329" s="142" t="str">
        <f>IFERROR(__xludf.DUMMYFUNCTION("""COMPUTED_VALUE"""),"Polangui")</f>
        <v>Polangui</v>
      </c>
      <c r="P329" s="142" t="str">
        <f>IFERROR(__xludf.DUMMYFUNCTION("""COMPUTED_VALUE"""),"Rapu-Rapu")</f>
        <v>Rapu-Rapu</v>
      </c>
      <c r="Q329" s="142" t="str">
        <f>IFERROR(__xludf.DUMMYFUNCTION("""COMPUTED_VALUE"""),"Santo Domingo")</f>
        <v>Santo Domingo</v>
      </c>
      <c r="R329" s="142" t="str">
        <f>IFERROR(__xludf.DUMMYFUNCTION("""COMPUTED_VALUE"""),"City of Tabaco")</f>
        <v>City of Tabaco</v>
      </c>
      <c r="S329" s="142" t="str">
        <f>IFERROR(__xludf.DUMMYFUNCTION("""COMPUTED_VALUE"""),"Tiwi")</f>
        <v>Tiwi</v>
      </c>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row>
    <row r="330">
      <c r="A330" s="142" t="s">
        <v>381</v>
      </c>
      <c r="B330" s="142" t="str">
        <f>IFERROR(__xludf.DUMMYFUNCTION("""COMPUTED_VALUE"""),"Adams")</f>
        <v>Adams</v>
      </c>
      <c r="C330" s="142" t="str">
        <f>IFERROR(__xludf.DUMMYFUNCTION("""COMPUTED_VALUE"""),"Bacarra")</f>
        <v>Bacarra</v>
      </c>
      <c r="D330" s="142" t="str">
        <f>IFERROR(__xludf.DUMMYFUNCTION("""COMPUTED_VALUE"""),"Badoc")</f>
        <v>Badoc</v>
      </c>
      <c r="E330" s="142" t="str">
        <f>IFERROR(__xludf.DUMMYFUNCTION("""COMPUTED_VALUE"""),"Bangui")</f>
        <v>Bangui</v>
      </c>
      <c r="F330" s="142" t="str">
        <f>IFERROR(__xludf.DUMMYFUNCTION("""COMPUTED_VALUE"""),"City of Batac")</f>
        <v>City of Batac</v>
      </c>
      <c r="G330" s="142" t="str">
        <f>IFERROR(__xludf.DUMMYFUNCTION("""COMPUTED_VALUE"""),"Burgos")</f>
        <v>Burgos</v>
      </c>
      <c r="H330" s="142" t="str">
        <f>IFERROR(__xludf.DUMMYFUNCTION("""COMPUTED_VALUE"""),"Carasi")</f>
        <v>Carasi</v>
      </c>
      <c r="I330" s="142" t="str">
        <f>IFERROR(__xludf.DUMMYFUNCTION("""COMPUTED_VALUE"""),"Currimao")</f>
        <v>Currimao</v>
      </c>
      <c r="J330" s="142" t="str">
        <f>IFERROR(__xludf.DUMMYFUNCTION("""COMPUTED_VALUE"""),"Dingras")</f>
        <v>Dingras</v>
      </c>
      <c r="K330" s="142" t="str">
        <f>IFERROR(__xludf.DUMMYFUNCTION("""COMPUTED_VALUE"""),"Dumalneg")</f>
        <v>Dumalneg</v>
      </c>
      <c r="L330" s="142" t="str">
        <f>IFERROR(__xludf.DUMMYFUNCTION("""COMPUTED_VALUE"""),"Banna")</f>
        <v>Banna</v>
      </c>
      <c r="M330" s="142" t="str">
        <f>IFERROR(__xludf.DUMMYFUNCTION("""COMPUTED_VALUE"""),"City of Laoag")</f>
        <v>City of Laoag</v>
      </c>
      <c r="N330" s="142" t="str">
        <f>IFERROR(__xludf.DUMMYFUNCTION("""COMPUTED_VALUE"""),"Marcos")</f>
        <v>Marcos</v>
      </c>
      <c r="O330" s="142" t="str">
        <f>IFERROR(__xludf.DUMMYFUNCTION("""COMPUTED_VALUE"""),"Nueva Era")</f>
        <v>Nueva Era</v>
      </c>
      <c r="P330" s="142" t="str">
        <f>IFERROR(__xludf.DUMMYFUNCTION("""COMPUTED_VALUE"""),"Pagudpud")</f>
        <v>Pagudpud</v>
      </c>
      <c r="Q330" s="142" t="str">
        <f>IFERROR(__xludf.DUMMYFUNCTION("""COMPUTED_VALUE"""),"Paoay")</f>
        <v>Paoay</v>
      </c>
      <c r="R330" s="142" t="str">
        <f>IFERROR(__xludf.DUMMYFUNCTION("""COMPUTED_VALUE"""),"Pasuquin")</f>
        <v>Pasuquin</v>
      </c>
      <c r="S330" s="142" t="str">
        <f>IFERROR(__xludf.DUMMYFUNCTION("""COMPUTED_VALUE"""),"Piddig")</f>
        <v>Piddig</v>
      </c>
      <c r="T330" s="142" t="str">
        <f>IFERROR(__xludf.DUMMYFUNCTION("""COMPUTED_VALUE"""),"Pinili")</f>
        <v>Pinili</v>
      </c>
      <c r="U330" s="142" t="str">
        <f>IFERROR(__xludf.DUMMYFUNCTION("""COMPUTED_VALUE"""),"San Nicolas")</f>
        <v>San Nicolas</v>
      </c>
      <c r="V330" s="142" t="str">
        <f>IFERROR(__xludf.DUMMYFUNCTION("""COMPUTED_VALUE"""),"Sarrat")</f>
        <v>Sarrat</v>
      </c>
      <c r="W330" s="142" t="str">
        <f>IFERROR(__xludf.DUMMYFUNCTION("""COMPUTED_VALUE"""),"Solsona")</f>
        <v>Solsona</v>
      </c>
      <c r="X330" s="142" t="str">
        <f>IFERROR(__xludf.DUMMYFUNCTION("""COMPUTED_VALUE"""),"Vintar")</f>
        <v>Vintar</v>
      </c>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row>
    <row r="331">
      <c r="A331" s="142" t="s">
        <v>346</v>
      </c>
      <c r="B331" s="142" t="str">
        <f>IFERROR(__xludf.DUMMYFUNCTION("""COMPUTED_VALUE"""),"Alegria")</f>
        <v>Alegria</v>
      </c>
      <c r="C331" s="142" t="str">
        <f>IFERROR(__xludf.DUMMYFUNCTION("""COMPUTED_VALUE"""),"Bacuag")</f>
        <v>Bacuag</v>
      </c>
      <c r="D331" s="142" t="str">
        <f>IFERROR(__xludf.DUMMYFUNCTION("""COMPUTED_VALUE"""),"Burgos")</f>
        <v>Burgos</v>
      </c>
      <c r="E331" s="142" t="str">
        <f>IFERROR(__xludf.DUMMYFUNCTION("""COMPUTED_VALUE"""),"Claver")</f>
        <v>Claver</v>
      </c>
      <c r="F331" s="142" t="str">
        <f>IFERROR(__xludf.DUMMYFUNCTION("""COMPUTED_VALUE"""),"Dapa")</f>
        <v>Dapa</v>
      </c>
      <c r="G331" s="142" t="str">
        <f>IFERROR(__xludf.DUMMYFUNCTION("""COMPUTED_VALUE"""),"Del Carmen")</f>
        <v>Del Carmen</v>
      </c>
      <c r="H331" s="142" t="str">
        <f>IFERROR(__xludf.DUMMYFUNCTION("""COMPUTED_VALUE"""),"General Luna")</f>
        <v>General Luna</v>
      </c>
      <c r="I331" s="142" t="str">
        <f>IFERROR(__xludf.DUMMYFUNCTION("""COMPUTED_VALUE"""),"Gigaquit")</f>
        <v>Gigaquit</v>
      </c>
      <c r="J331" s="142" t="str">
        <f>IFERROR(__xludf.DUMMYFUNCTION("""COMPUTED_VALUE"""),"Mainit")</f>
        <v>Mainit</v>
      </c>
      <c r="K331" s="142" t="str">
        <f>IFERROR(__xludf.DUMMYFUNCTION("""COMPUTED_VALUE"""),"Malimono")</f>
        <v>Malimono</v>
      </c>
      <c r="L331" s="142" t="str">
        <f>IFERROR(__xludf.DUMMYFUNCTION("""COMPUTED_VALUE"""),"Pilar")</f>
        <v>Pilar</v>
      </c>
      <c r="M331" s="142" t="str">
        <f>IFERROR(__xludf.DUMMYFUNCTION("""COMPUTED_VALUE"""),"Placer")</f>
        <v>Placer</v>
      </c>
      <c r="N331" s="142" t="str">
        <f>IFERROR(__xludf.DUMMYFUNCTION("""COMPUTED_VALUE"""),"San Benito")</f>
        <v>San Benito</v>
      </c>
      <c r="O331" s="142" t="str">
        <f>IFERROR(__xludf.DUMMYFUNCTION("""COMPUTED_VALUE"""),"San Francisco")</f>
        <v>San Francisco</v>
      </c>
      <c r="P331" s="142" t="str">
        <f>IFERROR(__xludf.DUMMYFUNCTION("""COMPUTED_VALUE"""),"San Isidro")</f>
        <v>San Isidro</v>
      </c>
      <c r="Q331" s="142" t="str">
        <f>IFERROR(__xludf.DUMMYFUNCTION("""COMPUTED_VALUE"""),"Santa Monica")</f>
        <v>Santa Monica</v>
      </c>
      <c r="R331" s="142" t="str">
        <f>IFERROR(__xludf.DUMMYFUNCTION("""COMPUTED_VALUE"""),"Sison")</f>
        <v>Sison</v>
      </c>
      <c r="S331" s="142" t="str">
        <f>IFERROR(__xludf.DUMMYFUNCTION("""COMPUTED_VALUE"""),"Socorro")</f>
        <v>Socorro</v>
      </c>
      <c r="T331" s="142" t="str">
        <f>IFERROR(__xludf.DUMMYFUNCTION("""COMPUTED_VALUE"""),"City of Surigao")</f>
        <v>City of Surigao</v>
      </c>
      <c r="U331" s="142" t="str">
        <f>IFERROR(__xludf.DUMMYFUNCTION("""COMPUTED_VALUE"""),"Tagana-An")</f>
        <v>Tagana-An</v>
      </c>
      <c r="V331" s="142" t="str">
        <f>IFERROR(__xludf.DUMMYFUNCTION("""COMPUTED_VALUE"""),"Tubod")</f>
        <v>Tubod</v>
      </c>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row>
    <row r="332">
      <c r="A332" s="142" t="s">
        <v>497</v>
      </c>
      <c r="B332" s="142" t="str">
        <f>IFERROR(__xludf.DUMMYFUNCTION("""COMPUTED_VALUE"""),"Agdangan")</f>
        <v>Agdangan</v>
      </c>
      <c r="C332" s="142" t="str">
        <f>IFERROR(__xludf.DUMMYFUNCTION("""COMPUTED_VALUE"""),"Alabat")</f>
        <v>Alabat</v>
      </c>
      <c r="D332" s="142" t="str">
        <f>IFERROR(__xludf.DUMMYFUNCTION("""COMPUTED_VALUE"""),"Atimonan")</f>
        <v>Atimonan</v>
      </c>
      <c r="E332" s="142" t="str">
        <f>IFERROR(__xludf.DUMMYFUNCTION("""COMPUTED_VALUE"""),"Buenavista")</f>
        <v>Buenavista</v>
      </c>
      <c r="F332" s="142" t="str">
        <f>IFERROR(__xludf.DUMMYFUNCTION("""COMPUTED_VALUE"""),"Burdeos")</f>
        <v>Burdeos</v>
      </c>
      <c r="G332" s="142" t="str">
        <f>IFERROR(__xludf.DUMMYFUNCTION("""COMPUTED_VALUE"""),"Calauag")</f>
        <v>Calauag</v>
      </c>
      <c r="H332" s="142" t="str">
        <f>IFERROR(__xludf.DUMMYFUNCTION("""COMPUTED_VALUE"""),"Candelaria")</f>
        <v>Candelaria</v>
      </c>
      <c r="I332" s="142" t="str">
        <f>IFERROR(__xludf.DUMMYFUNCTION("""COMPUTED_VALUE"""),"Catanauan")</f>
        <v>Catanauan</v>
      </c>
      <c r="J332" s="142" t="str">
        <f>IFERROR(__xludf.DUMMYFUNCTION("""COMPUTED_VALUE"""),"Dolores")</f>
        <v>Dolores</v>
      </c>
      <c r="K332" s="142" t="str">
        <f>IFERROR(__xludf.DUMMYFUNCTION("""COMPUTED_VALUE"""),"General Luna")</f>
        <v>General Luna</v>
      </c>
      <c r="L332" s="142" t="str">
        <f>IFERROR(__xludf.DUMMYFUNCTION("""COMPUTED_VALUE"""),"General Nakar")</f>
        <v>General Nakar</v>
      </c>
      <c r="M332" s="142" t="str">
        <f>IFERROR(__xludf.DUMMYFUNCTION("""COMPUTED_VALUE"""),"Guinayangan")</f>
        <v>Guinayangan</v>
      </c>
      <c r="N332" s="142" t="str">
        <f>IFERROR(__xludf.DUMMYFUNCTION("""COMPUTED_VALUE"""),"Gumaca")</f>
        <v>Gumaca</v>
      </c>
      <c r="O332" s="142" t="str">
        <f>IFERROR(__xludf.DUMMYFUNCTION("""COMPUTED_VALUE"""),"Infanta")</f>
        <v>Infanta</v>
      </c>
      <c r="P332" s="142" t="str">
        <f>IFERROR(__xludf.DUMMYFUNCTION("""COMPUTED_VALUE"""),"Jomalig")</f>
        <v>Jomalig</v>
      </c>
      <c r="Q332" s="142" t="str">
        <f>IFERROR(__xludf.DUMMYFUNCTION("""COMPUTED_VALUE"""),"Lopez")</f>
        <v>Lopez</v>
      </c>
      <c r="R332" s="142" t="str">
        <f>IFERROR(__xludf.DUMMYFUNCTION("""COMPUTED_VALUE"""),"Lucban")</f>
        <v>Lucban</v>
      </c>
      <c r="S332" s="142" t="str">
        <f>IFERROR(__xludf.DUMMYFUNCTION("""COMPUTED_VALUE"""),"Macalelon")</f>
        <v>Macalelon</v>
      </c>
      <c r="T332" s="142" t="str">
        <f>IFERROR(__xludf.DUMMYFUNCTION("""COMPUTED_VALUE"""),"Mauban")</f>
        <v>Mauban</v>
      </c>
      <c r="U332" s="142" t="str">
        <f>IFERROR(__xludf.DUMMYFUNCTION("""COMPUTED_VALUE"""),"Mulanay")</f>
        <v>Mulanay</v>
      </c>
      <c r="V332" s="142" t="str">
        <f>IFERROR(__xludf.DUMMYFUNCTION("""COMPUTED_VALUE"""),"Padre Burgos")</f>
        <v>Padre Burgos</v>
      </c>
      <c r="W332" s="142" t="str">
        <f>IFERROR(__xludf.DUMMYFUNCTION("""COMPUTED_VALUE"""),"Pagbilao")</f>
        <v>Pagbilao</v>
      </c>
      <c r="X332" s="142" t="str">
        <f>IFERROR(__xludf.DUMMYFUNCTION("""COMPUTED_VALUE"""),"Panukulan")</f>
        <v>Panukulan</v>
      </c>
      <c r="Y332" s="142" t="str">
        <f>IFERROR(__xludf.DUMMYFUNCTION("""COMPUTED_VALUE"""),"Patnanungan")</f>
        <v>Patnanungan</v>
      </c>
      <c r="Z332" s="142" t="str">
        <f>IFERROR(__xludf.DUMMYFUNCTION("""COMPUTED_VALUE"""),"Perez")</f>
        <v>Perez</v>
      </c>
      <c r="AA332" s="142" t="str">
        <f>IFERROR(__xludf.DUMMYFUNCTION("""COMPUTED_VALUE"""),"Pitogo")</f>
        <v>Pitogo</v>
      </c>
      <c r="AB332" s="142" t="str">
        <f>IFERROR(__xludf.DUMMYFUNCTION("""COMPUTED_VALUE"""),"Plaridel")</f>
        <v>Plaridel</v>
      </c>
      <c r="AC332" s="142" t="str">
        <f>IFERROR(__xludf.DUMMYFUNCTION("""COMPUTED_VALUE"""),"Polillo")</f>
        <v>Polillo</v>
      </c>
      <c r="AD332" s="142" t="str">
        <f>IFERROR(__xludf.DUMMYFUNCTION("""COMPUTED_VALUE"""),"Quezon")</f>
        <v>Quezon</v>
      </c>
      <c r="AE332" s="142" t="str">
        <f>IFERROR(__xludf.DUMMYFUNCTION("""COMPUTED_VALUE"""),"Real")</f>
        <v>Real</v>
      </c>
      <c r="AF332" s="142" t="str">
        <f>IFERROR(__xludf.DUMMYFUNCTION("""COMPUTED_VALUE"""),"Sampaloc")</f>
        <v>Sampaloc</v>
      </c>
      <c r="AG332" s="142" t="str">
        <f>IFERROR(__xludf.DUMMYFUNCTION("""COMPUTED_VALUE"""),"San Andres")</f>
        <v>San Andres</v>
      </c>
      <c r="AH332" s="142" t="str">
        <f>IFERROR(__xludf.DUMMYFUNCTION("""COMPUTED_VALUE"""),"San Antonio")</f>
        <v>San Antonio</v>
      </c>
      <c r="AI332" s="142" t="str">
        <f>IFERROR(__xludf.DUMMYFUNCTION("""COMPUTED_VALUE"""),"San Francisco")</f>
        <v>San Francisco</v>
      </c>
      <c r="AJ332" s="142" t="str">
        <f>IFERROR(__xludf.DUMMYFUNCTION("""COMPUTED_VALUE"""),"San Narciso")</f>
        <v>San Narciso</v>
      </c>
      <c r="AK332" s="142" t="str">
        <f>IFERROR(__xludf.DUMMYFUNCTION("""COMPUTED_VALUE"""),"Sariaya")</f>
        <v>Sariaya</v>
      </c>
      <c r="AL332" s="142" t="str">
        <f>IFERROR(__xludf.DUMMYFUNCTION("""COMPUTED_VALUE"""),"Tagkawayan")</f>
        <v>Tagkawayan</v>
      </c>
      <c r="AM332" s="142" t="str">
        <f>IFERROR(__xludf.DUMMYFUNCTION("""COMPUTED_VALUE"""),"City of Tayabas")</f>
        <v>City of Tayabas</v>
      </c>
      <c r="AN332" s="142" t="str">
        <f>IFERROR(__xludf.DUMMYFUNCTION("""COMPUTED_VALUE"""),"Tiaong")</f>
        <v>Tiaong</v>
      </c>
      <c r="AO332" s="142" t="str">
        <f>IFERROR(__xludf.DUMMYFUNCTION("""COMPUTED_VALUE"""),"Unisan")</f>
        <v>Unisan</v>
      </c>
      <c r="AP332" s="142" t="str">
        <f>IFERROR(__xludf.DUMMYFUNCTION("""COMPUTED_VALUE"""),"Rizal")</f>
        <v>Rizal</v>
      </c>
      <c r="AQ332" s="142" t="str">
        <f>IFERROR(__xludf.DUMMYFUNCTION("""COMPUTED_VALUE"""),"Angono")</f>
        <v>Angono</v>
      </c>
      <c r="AR332" s="142" t="str">
        <f>IFERROR(__xludf.DUMMYFUNCTION("""COMPUTED_VALUE"""),"City of Antipolo")</f>
        <v>City of Antipolo</v>
      </c>
      <c r="AS332" s="142" t="str">
        <f>IFERROR(__xludf.DUMMYFUNCTION("""COMPUTED_VALUE"""),"Baras")</f>
        <v>Baras</v>
      </c>
      <c r="AT332" s="142" t="str">
        <f>IFERROR(__xludf.DUMMYFUNCTION("""COMPUTED_VALUE"""),"Binangonan")</f>
        <v>Binangonan</v>
      </c>
      <c r="AU332" s="142" t="str">
        <f>IFERROR(__xludf.DUMMYFUNCTION("""COMPUTED_VALUE"""),"Cainta")</f>
        <v>Cainta</v>
      </c>
      <c r="AV332" s="142" t="str">
        <f>IFERROR(__xludf.DUMMYFUNCTION("""COMPUTED_VALUE"""),"Cardona")</f>
        <v>Cardona</v>
      </c>
      <c r="AW332" s="142" t="str">
        <f>IFERROR(__xludf.DUMMYFUNCTION("""COMPUTED_VALUE"""),"Jala-Jala")</f>
        <v>Jala-Jala</v>
      </c>
      <c r="AX332" s="142" t="str">
        <f>IFERROR(__xludf.DUMMYFUNCTION("""COMPUTED_VALUE"""),"Rodriguez")</f>
        <v>Rodriguez</v>
      </c>
      <c r="AY332" s="142" t="str">
        <f>IFERROR(__xludf.DUMMYFUNCTION("""COMPUTED_VALUE"""),"Morong")</f>
        <v>Morong</v>
      </c>
      <c r="AZ332" s="142" t="str">
        <f>IFERROR(__xludf.DUMMYFUNCTION("""COMPUTED_VALUE"""),"Pililla")</f>
        <v>Pililla</v>
      </c>
      <c r="BA332" s="142" t="str">
        <f>IFERROR(__xludf.DUMMYFUNCTION("""COMPUTED_VALUE"""),"San Mateo")</f>
        <v>San Mateo</v>
      </c>
      <c r="BB332" s="142" t="str">
        <f>IFERROR(__xludf.DUMMYFUNCTION("""COMPUTED_VALUE"""),"Tanay")</f>
        <v>Tanay</v>
      </c>
      <c r="BC332" s="142" t="str">
        <f>IFERROR(__xludf.DUMMYFUNCTION("""COMPUTED_VALUE"""),"Taytay")</f>
        <v>Taytay</v>
      </c>
      <c r="BD332" s="142" t="str">
        <f>IFERROR(__xludf.DUMMYFUNCTION("""COMPUTED_VALUE"""),"Teresa")</f>
        <v>Teresa</v>
      </c>
      <c r="BE332" s="142" t="str">
        <f>IFERROR(__xludf.DUMMYFUNCTION("""COMPUTED_VALUE"""),"City of Lucena")</f>
        <v>City of Lucena</v>
      </c>
    </row>
    <row r="333">
      <c r="A333" s="142" t="s">
        <v>194</v>
      </c>
      <c r="B333" s="142" t="str">
        <f>IFERROR(__xludf.DUMMYFUNCTION("""COMPUTED_VALUE"""),"Alcantara")</f>
        <v>Alcantara</v>
      </c>
      <c r="C333" s="142" t="str">
        <f>IFERROR(__xludf.DUMMYFUNCTION("""COMPUTED_VALUE"""),"Alcoy")</f>
        <v>Alcoy</v>
      </c>
      <c r="D333" s="142" t="str">
        <f>IFERROR(__xludf.DUMMYFUNCTION("""COMPUTED_VALUE"""),"Alegria")</f>
        <v>Alegria</v>
      </c>
      <c r="E333" s="142" t="str">
        <f>IFERROR(__xludf.DUMMYFUNCTION("""COMPUTED_VALUE"""),"Aloguinsan")</f>
        <v>Aloguinsan</v>
      </c>
      <c r="F333" s="142" t="str">
        <f>IFERROR(__xludf.DUMMYFUNCTION("""COMPUTED_VALUE"""),"Argao")</f>
        <v>Argao</v>
      </c>
      <c r="G333" s="142" t="str">
        <f>IFERROR(__xludf.DUMMYFUNCTION("""COMPUTED_VALUE"""),"Asturias")</f>
        <v>Asturias</v>
      </c>
      <c r="H333" s="142" t="str">
        <f>IFERROR(__xludf.DUMMYFUNCTION("""COMPUTED_VALUE"""),"Badian")</f>
        <v>Badian</v>
      </c>
      <c r="I333" s="142" t="str">
        <f>IFERROR(__xludf.DUMMYFUNCTION("""COMPUTED_VALUE"""),"Balamban")</f>
        <v>Balamban</v>
      </c>
      <c r="J333" s="142" t="str">
        <f>IFERROR(__xludf.DUMMYFUNCTION("""COMPUTED_VALUE"""),"Bantayan")</f>
        <v>Bantayan</v>
      </c>
      <c r="K333" s="142" t="str">
        <f>IFERROR(__xludf.DUMMYFUNCTION("""COMPUTED_VALUE"""),"Barili")</f>
        <v>Barili</v>
      </c>
      <c r="L333" s="142" t="str">
        <f>IFERROR(__xludf.DUMMYFUNCTION("""COMPUTED_VALUE"""),"City of Bogo")</f>
        <v>City of Bogo</v>
      </c>
      <c r="M333" s="142" t="str">
        <f>IFERROR(__xludf.DUMMYFUNCTION("""COMPUTED_VALUE"""),"Boljoon")</f>
        <v>Boljoon</v>
      </c>
      <c r="N333" s="142" t="str">
        <f>IFERROR(__xludf.DUMMYFUNCTION("""COMPUTED_VALUE"""),"Borbon")</f>
        <v>Borbon</v>
      </c>
      <c r="O333" s="142" t="str">
        <f>IFERROR(__xludf.DUMMYFUNCTION("""COMPUTED_VALUE"""),"City of Carcar")</f>
        <v>City of Carcar</v>
      </c>
      <c r="P333" s="142" t="str">
        <f>IFERROR(__xludf.DUMMYFUNCTION("""COMPUTED_VALUE"""),"Carmen")</f>
        <v>Carmen</v>
      </c>
      <c r="Q333" s="142" t="str">
        <f>IFERROR(__xludf.DUMMYFUNCTION("""COMPUTED_VALUE"""),"Catmon")</f>
        <v>Catmon</v>
      </c>
      <c r="R333" s="142" t="str">
        <f>IFERROR(__xludf.DUMMYFUNCTION("""COMPUTED_VALUE"""),"Compostela")</f>
        <v>Compostela</v>
      </c>
      <c r="S333" s="142" t="str">
        <f>IFERROR(__xludf.DUMMYFUNCTION("""COMPUTED_VALUE"""),"Consolacion")</f>
        <v>Consolacion</v>
      </c>
      <c r="T333" s="142" t="str">
        <f>IFERROR(__xludf.DUMMYFUNCTION("""COMPUTED_VALUE"""),"Cordova")</f>
        <v>Cordova</v>
      </c>
      <c r="U333" s="142" t="str">
        <f>IFERROR(__xludf.DUMMYFUNCTION("""COMPUTED_VALUE"""),"Daanbantayan")</f>
        <v>Daanbantayan</v>
      </c>
      <c r="V333" s="142" t="str">
        <f>IFERROR(__xludf.DUMMYFUNCTION("""COMPUTED_VALUE"""),"Dalaguete")</f>
        <v>Dalaguete</v>
      </c>
      <c r="W333" s="142" t="str">
        <f>IFERROR(__xludf.DUMMYFUNCTION("""COMPUTED_VALUE"""),"Danao City")</f>
        <v>Danao City</v>
      </c>
      <c r="X333" s="142" t="str">
        <f>IFERROR(__xludf.DUMMYFUNCTION("""COMPUTED_VALUE"""),"Dumanjug")</f>
        <v>Dumanjug</v>
      </c>
      <c r="Y333" s="142" t="str">
        <f>IFERROR(__xludf.DUMMYFUNCTION("""COMPUTED_VALUE"""),"Ginatilan")</f>
        <v>Ginatilan</v>
      </c>
      <c r="Z333" s="142" t="str">
        <f>IFERROR(__xludf.DUMMYFUNCTION("""COMPUTED_VALUE"""),"Liloan")</f>
        <v>Liloan</v>
      </c>
      <c r="AA333" s="142" t="str">
        <f>IFERROR(__xludf.DUMMYFUNCTION("""COMPUTED_VALUE"""),"Madridejos")</f>
        <v>Madridejos</v>
      </c>
      <c r="AB333" s="142" t="str">
        <f>IFERROR(__xludf.DUMMYFUNCTION("""COMPUTED_VALUE"""),"Malabuyoc")</f>
        <v>Malabuyoc</v>
      </c>
      <c r="AC333" s="142" t="str">
        <f>IFERROR(__xludf.DUMMYFUNCTION("""COMPUTED_VALUE"""),"Medellin")</f>
        <v>Medellin</v>
      </c>
      <c r="AD333" s="142" t="str">
        <f>IFERROR(__xludf.DUMMYFUNCTION("""COMPUTED_VALUE"""),"Minglanilla")</f>
        <v>Minglanilla</v>
      </c>
      <c r="AE333" s="142" t="str">
        <f>IFERROR(__xludf.DUMMYFUNCTION("""COMPUTED_VALUE"""),"Moalboal")</f>
        <v>Moalboal</v>
      </c>
      <c r="AF333" s="142" t="str">
        <f>IFERROR(__xludf.DUMMYFUNCTION("""COMPUTED_VALUE"""),"City of Naga")</f>
        <v>City of Naga</v>
      </c>
      <c r="AG333" s="142" t="str">
        <f>IFERROR(__xludf.DUMMYFUNCTION("""COMPUTED_VALUE"""),"Oslob")</f>
        <v>Oslob</v>
      </c>
      <c r="AH333" s="142" t="str">
        <f>IFERROR(__xludf.DUMMYFUNCTION("""COMPUTED_VALUE"""),"Pilar")</f>
        <v>Pilar</v>
      </c>
      <c r="AI333" s="142" t="str">
        <f>IFERROR(__xludf.DUMMYFUNCTION("""COMPUTED_VALUE"""),"Pinamungajan")</f>
        <v>Pinamungajan</v>
      </c>
      <c r="AJ333" s="142" t="str">
        <f>IFERROR(__xludf.DUMMYFUNCTION("""COMPUTED_VALUE"""),"Poro")</f>
        <v>Poro</v>
      </c>
      <c r="AK333" s="142" t="str">
        <f>IFERROR(__xludf.DUMMYFUNCTION("""COMPUTED_VALUE"""),"Ronda")</f>
        <v>Ronda</v>
      </c>
      <c r="AL333" s="142" t="str">
        <f>IFERROR(__xludf.DUMMYFUNCTION("""COMPUTED_VALUE"""),"Samboan")</f>
        <v>Samboan</v>
      </c>
      <c r="AM333" s="142" t="str">
        <f>IFERROR(__xludf.DUMMYFUNCTION("""COMPUTED_VALUE"""),"San Fernando")</f>
        <v>San Fernando</v>
      </c>
      <c r="AN333" s="142" t="str">
        <f>IFERROR(__xludf.DUMMYFUNCTION("""COMPUTED_VALUE"""),"San Francisco")</f>
        <v>San Francisco</v>
      </c>
      <c r="AO333" s="142" t="str">
        <f>IFERROR(__xludf.DUMMYFUNCTION("""COMPUTED_VALUE"""),"San Remigio")</f>
        <v>San Remigio</v>
      </c>
      <c r="AP333" s="142" t="str">
        <f>IFERROR(__xludf.DUMMYFUNCTION("""COMPUTED_VALUE"""),"Santa Fe")</f>
        <v>Santa Fe</v>
      </c>
      <c r="AQ333" s="142" t="str">
        <f>IFERROR(__xludf.DUMMYFUNCTION("""COMPUTED_VALUE"""),"Santander")</f>
        <v>Santander</v>
      </c>
      <c r="AR333" s="142" t="str">
        <f>IFERROR(__xludf.DUMMYFUNCTION("""COMPUTED_VALUE"""),"Sibonga")</f>
        <v>Sibonga</v>
      </c>
      <c r="AS333" s="142" t="str">
        <f>IFERROR(__xludf.DUMMYFUNCTION("""COMPUTED_VALUE"""),"Sogod")</f>
        <v>Sogod</v>
      </c>
      <c r="AT333" s="142" t="str">
        <f>IFERROR(__xludf.DUMMYFUNCTION("""COMPUTED_VALUE"""),"Tabogon")</f>
        <v>Tabogon</v>
      </c>
      <c r="AU333" s="142" t="str">
        <f>IFERROR(__xludf.DUMMYFUNCTION("""COMPUTED_VALUE"""),"Tabuelan")</f>
        <v>Tabuelan</v>
      </c>
      <c r="AV333" s="142" t="str">
        <f>IFERROR(__xludf.DUMMYFUNCTION("""COMPUTED_VALUE"""),"City of Talisay")</f>
        <v>City of Talisay</v>
      </c>
      <c r="AW333" s="142" t="str">
        <f>IFERROR(__xludf.DUMMYFUNCTION("""COMPUTED_VALUE"""),"City of Toledo")</f>
        <v>City of Toledo</v>
      </c>
      <c r="AX333" s="142" t="str">
        <f>IFERROR(__xludf.DUMMYFUNCTION("""COMPUTED_VALUE"""),"Tuburan")</f>
        <v>Tuburan</v>
      </c>
      <c r="AY333" s="142" t="str">
        <f>IFERROR(__xludf.DUMMYFUNCTION("""COMPUTED_VALUE"""),"Tudela")</f>
        <v>Tudela</v>
      </c>
      <c r="AZ333" s="142" t="str">
        <f>IFERROR(__xludf.DUMMYFUNCTION("""COMPUTED_VALUE"""),"City of Cebu")</f>
        <v>City of Cebu</v>
      </c>
      <c r="BA333" s="142" t="str">
        <f>IFERROR(__xludf.DUMMYFUNCTION("""COMPUTED_VALUE"""),"City of Lapu-Lapu")</f>
        <v>City of Lapu-Lapu</v>
      </c>
      <c r="BB333" s="142" t="str">
        <f>IFERROR(__xludf.DUMMYFUNCTION("""COMPUTED_VALUE"""),"City of Mandaue")</f>
        <v>City of Mandaue</v>
      </c>
      <c r="BC333" s="8"/>
      <c r="BD333" s="8"/>
      <c r="BE333" s="8"/>
    </row>
    <row r="334">
      <c r="A334" s="142" t="s">
        <v>1445</v>
      </c>
      <c r="B334" s="142" t="str">
        <f>IFERROR(__xludf.DUMMYFUNCTION("""COMPUTED_VALUE"""),"Basud")</f>
        <v>Basud</v>
      </c>
      <c r="C334" s="142" t="str">
        <f>IFERROR(__xludf.DUMMYFUNCTION("""COMPUTED_VALUE"""),"Capalonga")</f>
        <v>Capalonga</v>
      </c>
      <c r="D334" s="142" t="str">
        <f>IFERROR(__xludf.DUMMYFUNCTION("""COMPUTED_VALUE"""),"Daet")</f>
        <v>Daet</v>
      </c>
      <c r="E334" s="142" t="str">
        <f>IFERROR(__xludf.DUMMYFUNCTION("""COMPUTED_VALUE"""),"San Lorenzo Ruiz")</f>
        <v>San Lorenzo Ruiz</v>
      </c>
      <c r="F334" s="142" t="str">
        <f>IFERROR(__xludf.DUMMYFUNCTION("""COMPUTED_VALUE"""),"Jose Panganiban")</f>
        <v>Jose Panganiban</v>
      </c>
      <c r="G334" s="142" t="str">
        <f>IFERROR(__xludf.DUMMYFUNCTION("""COMPUTED_VALUE"""),"Labo")</f>
        <v>Labo</v>
      </c>
      <c r="H334" s="142" t="str">
        <f>IFERROR(__xludf.DUMMYFUNCTION("""COMPUTED_VALUE"""),"Mercedes")</f>
        <v>Mercedes</v>
      </c>
      <c r="I334" s="142" t="str">
        <f>IFERROR(__xludf.DUMMYFUNCTION("""COMPUTED_VALUE"""),"Paracale")</f>
        <v>Paracale</v>
      </c>
      <c r="J334" s="142" t="str">
        <f>IFERROR(__xludf.DUMMYFUNCTION("""COMPUTED_VALUE"""),"San Vicente")</f>
        <v>San Vicente</v>
      </c>
      <c r="K334" s="142" t="str">
        <f>IFERROR(__xludf.DUMMYFUNCTION("""COMPUTED_VALUE"""),"Santa Elena")</f>
        <v>Santa Elena</v>
      </c>
      <c r="L334" s="142" t="str">
        <f>IFERROR(__xludf.DUMMYFUNCTION("""COMPUTED_VALUE"""),"Talisay")</f>
        <v>Talisay</v>
      </c>
      <c r="M334" s="142" t="str">
        <f>IFERROR(__xludf.DUMMYFUNCTION("""COMPUTED_VALUE"""),"Vinzons")</f>
        <v>Vinzons</v>
      </c>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row>
    <row r="335">
      <c r="A335" s="142" t="s">
        <v>438</v>
      </c>
      <c r="B335" s="142" t="str">
        <f>IFERROR(__xludf.DUMMYFUNCTION("""COMPUTED_VALUE"""),"Agoo")</f>
        <v>Agoo</v>
      </c>
      <c r="C335" s="142" t="str">
        <f>IFERROR(__xludf.DUMMYFUNCTION("""COMPUTED_VALUE"""),"Aringay")</f>
        <v>Aringay</v>
      </c>
      <c r="D335" s="142" t="str">
        <f>IFERROR(__xludf.DUMMYFUNCTION("""COMPUTED_VALUE"""),"Bacnotan")</f>
        <v>Bacnotan</v>
      </c>
      <c r="E335" s="142" t="str">
        <f>IFERROR(__xludf.DUMMYFUNCTION("""COMPUTED_VALUE"""),"Bagulin")</f>
        <v>Bagulin</v>
      </c>
      <c r="F335" s="142" t="str">
        <f>IFERROR(__xludf.DUMMYFUNCTION("""COMPUTED_VALUE"""),"Balaoan")</f>
        <v>Balaoan</v>
      </c>
      <c r="G335" s="142" t="str">
        <f>IFERROR(__xludf.DUMMYFUNCTION("""COMPUTED_VALUE"""),"Bangar")</f>
        <v>Bangar</v>
      </c>
      <c r="H335" s="142" t="str">
        <f>IFERROR(__xludf.DUMMYFUNCTION("""COMPUTED_VALUE"""),"Bauang")</f>
        <v>Bauang</v>
      </c>
      <c r="I335" s="142" t="str">
        <f>IFERROR(__xludf.DUMMYFUNCTION("""COMPUTED_VALUE"""),"Burgos")</f>
        <v>Burgos</v>
      </c>
      <c r="J335" s="142" t="str">
        <f>IFERROR(__xludf.DUMMYFUNCTION("""COMPUTED_VALUE"""),"Caba")</f>
        <v>Caba</v>
      </c>
      <c r="K335" s="142" t="str">
        <f>IFERROR(__xludf.DUMMYFUNCTION("""COMPUTED_VALUE"""),"Luna")</f>
        <v>Luna</v>
      </c>
      <c r="L335" s="142" t="str">
        <f>IFERROR(__xludf.DUMMYFUNCTION("""COMPUTED_VALUE"""),"Naguilian")</f>
        <v>Naguilian</v>
      </c>
      <c r="M335" s="142" t="str">
        <f>IFERROR(__xludf.DUMMYFUNCTION("""COMPUTED_VALUE"""),"Pugo")</f>
        <v>Pugo</v>
      </c>
      <c r="N335" s="142" t="str">
        <f>IFERROR(__xludf.DUMMYFUNCTION("""COMPUTED_VALUE"""),"Rosario")</f>
        <v>Rosario</v>
      </c>
      <c r="O335" s="142" t="str">
        <f>IFERROR(__xludf.DUMMYFUNCTION("""COMPUTED_VALUE"""),"City of San Fernando")</f>
        <v>City of San Fernando</v>
      </c>
      <c r="P335" s="142" t="str">
        <f>IFERROR(__xludf.DUMMYFUNCTION("""COMPUTED_VALUE"""),"San Gabriel")</f>
        <v>San Gabriel</v>
      </c>
      <c r="Q335" s="142" t="str">
        <f>IFERROR(__xludf.DUMMYFUNCTION("""COMPUTED_VALUE"""),"San Juan")</f>
        <v>San Juan</v>
      </c>
      <c r="R335" s="142" t="str">
        <f>IFERROR(__xludf.DUMMYFUNCTION("""COMPUTED_VALUE"""),"Santo Tomas")</f>
        <v>Santo Tomas</v>
      </c>
      <c r="S335" s="142" t="str">
        <f>IFERROR(__xludf.DUMMYFUNCTION("""COMPUTED_VALUE"""),"Santol")</f>
        <v>Santol</v>
      </c>
      <c r="T335" s="142" t="str">
        <f>IFERROR(__xludf.DUMMYFUNCTION("""COMPUTED_VALUE"""),"Sudipen")</f>
        <v>Sudipen</v>
      </c>
      <c r="U335" s="142" t="str">
        <f>IFERROR(__xludf.DUMMYFUNCTION("""COMPUTED_VALUE"""),"Tubao")</f>
        <v>Tubao</v>
      </c>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row>
    <row r="336">
      <c r="A336" s="142" t="s">
        <v>258</v>
      </c>
      <c r="B336" s="142" t="str">
        <f>IFERROR(__xludf.DUMMYFUNCTION("""COMPUTED_VALUE"""),"Agoncillo")</f>
        <v>Agoncillo</v>
      </c>
      <c r="C336" s="142" t="str">
        <f>IFERROR(__xludf.DUMMYFUNCTION("""COMPUTED_VALUE"""),"Alitagtag")</f>
        <v>Alitagtag</v>
      </c>
      <c r="D336" s="142" t="str">
        <f>IFERROR(__xludf.DUMMYFUNCTION("""COMPUTED_VALUE"""),"Balayan")</f>
        <v>Balayan</v>
      </c>
      <c r="E336" s="142" t="str">
        <f>IFERROR(__xludf.DUMMYFUNCTION("""COMPUTED_VALUE"""),"Balete")</f>
        <v>Balete</v>
      </c>
      <c r="F336" s="142" t="str">
        <f>IFERROR(__xludf.DUMMYFUNCTION("""COMPUTED_VALUE"""),"Batangas City")</f>
        <v>Batangas City</v>
      </c>
      <c r="G336" s="142" t="str">
        <f>IFERROR(__xludf.DUMMYFUNCTION("""COMPUTED_VALUE"""),"Bauan")</f>
        <v>Bauan</v>
      </c>
      <c r="H336" s="142" t="str">
        <f>IFERROR(__xludf.DUMMYFUNCTION("""COMPUTED_VALUE"""),"City of Calaca")</f>
        <v>City of Calaca</v>
      </c>
      <c r="I336" s="142" t="str">
        <f>IFERROR(__xludf.DUMMYFUNCTION("""COMPUTED_VALUE"""),"Calatagan")</f>
        <v>Calatagan</v>
      </c>
      <c r="J336" s="142" t="str">
        <f>IFERROR(__xludf.DUMMYFUNCTION("""COMPUTED_VALUE"""),"Cuenca")</f>
        <v>Cuenca</v>
      </c>
      <c r="K336" s="142" t="str">
        <f>IFERROR(__xludf.DUMMYFUNCTION("""COMPUTED_VALUE"""),"Ibaan")</f>
        <v>Ibaan</v>
      </c>
      <c r="L336" s="142" t="str">
        <f>IFERROR(__xludf.DUMMYFUNCTION("""COMPUTED_VALUE"""),"Laurel")</f>
        <v>Laurel</v>
      </c>
      <c r="M336" s="142" t="str">
        <f>IFERROR(__xludf.DUMMYFUNCTION("""COMPUTED_VALUE"""),"Lemery")</f>
        <v>Lemery</v>
      </c>
      <c r="N336" s="142" t="str">
        <f>IFERROR(__xludf.DUMMYFUNCTION("""COMPUTED_VALUE"""),"Lian")</f>
        <v>Lian</v>
      </c>
      <c r="O336" s="142" t="str">
        <f>IFERROR(__xludf.DUMMYFUNCTION("""COMPUTED_VALUE"""),"City of Lipa")</f>
        <v>City of Lipa</v>
      </c>
      <c r="P336" s="142" t="str">
        <f>IFERROR(__xludf.DUMMYFUNCTION("""COMPUTED_VALUE"""),"Lobo")</f>
        <v>Lobo</v>
      </c>
      <c r="Q336" s="142" t="str">
        <f>IFERROR(__xludf.DUMMYFUNCTION("""COMPUTED_VALUE"""),"Mabini")</f>
        <v>Mabini</v>
      </c>
      <c r="R336" s="142" t="str">
        <f>IFERROR(__xludf.DUMMYFUNCTION("""COMPUTED_VALUE"""),"Malvar")</f>
        <v>Malvar</v>
      </c>
      <c r="S336" s="142" t="str">
        <f>IFERROR(__xludf.DUMMYFUNCTION("""COMPUTED_VALUE"""),"Mataasnakahoy")</f>
        <v>Mataasnakahoy</v>
      </c>
      <c r="T336" s="142" t="str">
        <f>IFERROR(__xludf.DUMMYFUNCTION("""COMPUTED_VALUE"""),"Nasugbu")</f>
        <v>Nasugbu</v>
      </c>
      <c r="U336" s="142" t="str">
        <f>IFERROR(__xludf.DUMMYFUNCTION("""COMPUTED_VALUE"""),"Padre Garcia")</f>
        <v>Padre Garcia</v>
      </c>
      <c r="V336" s="142" t="str">
        <f>IFERROR(__xludf.DUMMYFUNCTION("""COMPUTED_VALUE"""),"Rosario")</f>
        <v>Rosario</v>
      </c>
      <c r="W336" s="142" t="str">
        <f>IFERROR(__xludf.DUMMYFUNCTION("""COMPUTED_VALUE"""),"San Jose")</f>
        <v>San Jose</v>
      </c>
      <c r="X336" s="142" t="str">
        <f>IFERROR(__xludf.DUMMYFUNCTION("""COMPUTED_VALUE"""),"San Juan")</f>
        <v>San Juan</v>
      </c>
      <c r="Y336" s="142" t="str">
        <f>IFERROR(__xludf.DUMMYFUNCTION("""COMPUTED_VALUE"""),"San Luis")</f>
        <v>San Luis</v>
      </c>
      <c r="Z336" s="142" t="str">
        <f>IFERROR(__xludf.DUMMYFUNCTION("""COMPUTED_VALUE"""),"San Nicolas")</f>
        <v>San Nicolas</v>
      </c>
      <c r="AA336" s="142" t="str">
        <f>IFERROR(__xludf.DUMMYFUNCTION("""COMPUTED_VALUE"""),"San Pascual")</f>
        <v>San Pascual</v>
      </c>
      <c r="AB336" s="142" t="str">
        <f>IFERROR(__xludf.DUMMYFUNCTION("""COMPUTED_VALUE"""),"Santa Teresita")</f>
        <v>Santa Teresita</v>
      </c>
      <c r="AC336" s="142" t="str">
        <f>IFERROR(__xludf.DUMMYFUNCTION("""COMPUTED_VALUE"""),"City of Sto. Tomas")</f>
        <v>City of Sto. Tomas</v>
      </c>
      <c r="AD336" s="142" t="str">
        <f>IFERROR(__xludf.DUMMYFUNCTION("""COMPUTED_VALUE"""),"Taal")</f>
        <v>Taal</v>
      </c>
      <c r="AE336" s="142" t="str">
        <f>IFERROR(__xludf.DUMMYFUNCTION("""COMPUTED_VALUE"""),"Talisay")</f>
        <v>Talisay</v>
      </c>
      <c r="AF336" s="142" t="str">
        <f>IFERROR(__xludf.DUMMYFUNCTION("""COMPUTED_VALUE"""),"City of Tanauan")</f>
        <v>City of Tanauan</v>
      </c>
      <c r="AG336" s="142" t="str">
        <f>IFERROR(__xludf.DUMMYFUNCTION("""COMPUTED_VALUE"""),"Taysan")</f>
        <v>Taysan</v>
      </c>
      <c r="AH336" s="142" t="str">
        <f>IFERROR(__xludf.DUMMYFUNCTION("""COMPUTED_VALUE"""),"Tingloy")</f>
        <v>Tingloy</v>
      </c>
      <c r="AI336" s="142" t="str">
        <f>IFERROR(__xludf.DUMMYFUNCTION("""COMPUTED_VALUE"""),"Tuy")</f>
        <v>Tuy</v>
      </c>
      <c r="AJ336" s="8"/>
      <c r="AK336" s="8"/>
      <c r="AL336" s="8"/>
      <c r="AM336" s="8"/>
      <c r="AN336" s="8"/>
      <c r="AO336" s="8"/>
      <c r="AP336" s="8"/>
      <c r="AQ336" s="8"/>
      <c r="AR336" s="8"/>
      <c r="AS336" s="8"/>
      <c r="AT336" s="8"/>
      <c r="AU336" s="8"/>
      <c r="AV336" s="8"/>
      <c r="AW336" s="8"/>
      <c r="AX336" s="8"/>
      <c r="AY336" s="8"/>
      <c r="AZ336" s="8"/>
      <c r="BA336" s="8"/>
      <c r="BB336" s="8"/>
      <c r="BC336" s="8"/>
      <c r="BD336" s="8"/>
      <c r="BE336" s="8"/>
    </row>
    <row r="337">
      <c r="A337" s="142" t="s">
        <v>258</v>
      </c>
      <c r="B337" s="142" t="str">
        <f>IFERROR(__xludf.DUMMYFUNCTION("""COMPUTED_VALUE"""),"Agoncillo")</f>
        <v>Agoncillo</v>
      </c>
      <c r="C337" s="142" t="str">
        <f>IFERROR(__xludf.DUMMYFUNCTION("""COMPUTED_VALUE"""),"Alitagtag")</f>
        <v>Alitagtag</v>
      </c>
      <c r="D337" s="142" t="str">
        <f>IFERROR(__xludf.DUMMYFUNCTION("""COMPUTED_VALUE"""),"Balayan")</f>
        <v>Balayan</v>
      </c>
      <c r="E337" s="142" t="str">
        <f>IFERROR(__xludf.DUMMYFUNCTION("""COMPUTED_VALUE"""),"Balete")</f>
        <v>Balete</v>
      </c>
      <c r="F337" s="142" t="str">
        <f>IFERROR(__xludf.DUMMYFUNCTION("""COMPUTED_VALUE"""),"Batangas City")</f>
        <v>Batangas City</v>
      </c>
      <c r="G337" s="142" t="str">
        <f>IFERROR(__xludf.DUMMYFUNCTION("""COMPUTED_VALUE"""),"Bauan")</f>
        <v>Bauan</v>
      </c>
      <c r="H337" s="142" t="str">
        <f>IFERROR(__xludf.DUMMYFUNCTION("""COMPUTED_VALUE"""),"City of Calaca")</f>
        <v>City of Calaca</v>
      </c>
      <c r="I337" s="142" t="str">
        <f>IFERROR(__xludf.DUMMYFUNCTION("""COMPUTED_VALUE"""),"Calatagan")</f>
        <v>Calatagan</v>
      </c>
      <c r="J337" s="142" t="str">
        <f>IFERROR(__xludf.DUMMYFUNCTION("""COMPUTED_VALUE"""),"Cuenca")</f>
        <v>Cuenca</v>
      </c>
      <c r="K337" s="142" t="str">
        <f>IFERROR(__xludf.DUMMYFUNCTION("""COMPUTED_VALUE"""),"Ibaan")</f>
        <v>Ibaan</v>
      </c>
      <c r="L337" s="142" t="str">
        <f>IFERROR(__xludf.DUMMYFUNCTION("""COMPUTED_VALUE"""),"Laurel")</f>
        <v>Laurel</v>
      </c>
      <c r="M337" s="142" t="str">
        <f>IFERROR(__xludf.DUMMYFUNCTION("""COMPUTED_VALUE"""),"Lemery")</f>
        <v>Lemery</v>
      </c>
      <c r="N337" s="142" t="str">
        <f>IFERROR(__xludf.DUMMYFUNCTION("""COMPUTED_VALUE"""),"Lian")</f>
        <v>Lian</v>
      </c>
      <c r="O337" s="142" t="str">
        <f>IFERROR(__xludf.DUMMYFUNCTION("""COMPUTED_VALUE"""),"City of Lipa")</f>
        <v>City of Lipa</v>
      </c>
      <c r="P337" s="142" t="str">
        <f>IFERROR(__xludf.DUMMYFUNCTION("""COMPUTED_VALUE"""),"Lobo")</f>
        <v>Lobo</v>
      </c>
      <c r="Q337" s="142" t="str">
        <f>IFERROR(__xludf.DUMMYFUNCTION("""COMPUTED_VALUE"""),"Mabini")</f>
        <v>Mabini</v>
      </c>
      <c r="R337" s="142" t="str">
        <f>IFERROR(__xludf.DUMMYFUNCTION("""COMPUTED_VALUE"""),"Malvar")</f>
        <v>Malvar</v>
      </c>
      <c r="S337" s="142" t="str">
        <f>IFERROR(__xludf.DUMMYFUNCTION("""COMPUTED_VALUE"""),"Mataasnakahoy")</f>
        <v>Mataasnakahoy</v>
      </c>
      <c r="T337" s="142" t="str">
        <f>IFERROR(__xludf.DUMMYFUNCTION("""COMPUTED_VALUE"""),"Nasugbu")</f>
        <v>Nasugbu</v>
      </c>
      <c r="U337" s="142" t="str">
        <f>IFERROR(__xludf.DUMMYFUNCTION("""COMPUTED_VALUE"""),"Padre Garcia")</f>
        <v>Padre Garcia</v>
      </c>
      <c r="V337" s="142" t="str">
        <f>IFERROR(__xludf.DUMMYFUNCTION("""COMPUTED_VALUE"""),"Rosario")</f>
        <v>Rosario</v>
      </c>
      <c r="W337" s="142" t="str">
        <f>IFERROR(__xludf.DUMMYFUNCTION("""COMPUTED_VALUE"""),"San Jose")</f>
        <v>San Jose</v>
      </c>
      <c r="X337" s="142" t="str">
        <f>IFERROR(__xludf.DUMMYFUNCTION("""COMPUTED_VALUE"""),"San Juan")</f>
        <v>San Juan</v>
      </c>
      <c r="Y337" s="142" t="str">
        <f>IFERROR(__xludf.DUMMYFUNCTION("""COMPUTED_VALUE"""),"San Luis")</f>
        <v>San Luis</v>
      </c>
      <c r="Z337" s="142" t="str">
        <f>IFERROR(__xludf.DUMMYFUNCTION("""COMPUTED_VALUE"""),"San Nicolas")</f>
        <v>San Nicolas</v>
      </c>
      <c r="AA337" s="142" t="str">
        <f>IFERROR(__xludf.DUMMYFUNCTION("""COMPUTED_VALUE"""),"San Pascual")</f>
        <v>San Pascual</v>
      </c>
      <c r="AB337" s="142" t="str">
        <f>IFERROR(__xludf.DUMMYFUNCTION("""COMPUTED_VALUE"""),"Santa Teresita")</f>
        <v>Santa Teresita</v>
      </c>
      <c r="AC337" s="142" t="str">
        <f>IFERROR(__xludf.DUMMYFUNCTION("""COMPUTED_VALUE"""),"City of Sto. Tomas")</f>
        <v>City of Sto. Tomas</v>
      </c>
      <c r="AD337" s="142" t="str">
        <f>IFERROR(__xludf.DUMMYFUNCTION("""COMPUTED_VALUE"""),"Taal")</f>
        <v>Taal</v>
      </c>
      <c r="AE337" s="142" t="str">
        <f>IFERROR(__xludf.DUMMYFUNCTION("""COMPUTED_VALUE"""),"Talisay")</f>
        <v>Talisay</v>
      </c>
      <c r="AF337" s="142" t="str">
        <f>IFERROR(__xludf.DUMMYFUNCTION("""COMPUTED_VALUE"""),"City of Tanauan")</f>
        <v>City of Tanauan</v>
      </c>
      <c r="AG337" s="142" t="str">
        <f>IFERROR(__xludf.DUMMYFUNCTION("""COMPUTED_VALUE"""),"Taysan")</f>
        <v>Taysan</v>
      </c>
      <c r="AH337" s="142" t="str">
        <f>IFERROR(__xludf.DUMMYFUNCTION("""COMPUTED_VALUE"""),"Tingloy")</f>
        <v>Tingloy</v>
      </c>
      <c r="AI337" s="142" t="str">
        <f>IFERROR(__xludf.DUMMYFUNCTION("""COMPUTED_VALUE"""),"Tuy")</f>
        <v>Tuy</v>
      </c>
      <c r="AJ337" s="8"/>
      <c r="AK337" s="8"/>
      <c r="AL337" s="8"/>
      <c r="AM337" s="8"/>
      <c r="AN337" s="8"/>
      <c r="AO337" s="8"/>
      <c r="AP337" s="8"/>
      <c r="AQ337" s="8"/>
      <c r="AR337" s="8"/>
      <c r="AS337" s="8"/>
      <c r="AT337" s="8"/>
      <c r="AU337" s="8"/>
      <c r="AV337" s="8"/>
      <c r="AW337" s="8"/>
      <c r="AX337" s="8"/>
      <c r="AY337" s="8"/>
      <c r="AZ337" s="8"/>
      <c r="BA337" s="8"/>
      <c r="BB337" s="8"/>
      <c r="BC337" s="8"/>
      <c r="BD337" s="8"/>
      <c r="BE337" s="8"/>
    </row>
    <row r="338">
      <c r="A338" s="142" t="s">
        <v>258</v>
      </c>
      <c r="B338" s="142" t="str">
        <f>IFERROR(__xludf.DUMMYFUNCTION("""COMPUTED_VALUE"""),"Agoncillo")</f>
        <v>Agoncillo</v>
      </c>
      <c r="C338" s="142" t="str">
        <f>IFERROR(__xludf.DUMMYFUNCTION("""COMPUTED_VALUE"""),"Alitagtag")</f>
        <v>Alitagtag</v>
      </c>
      <c r="D338" s="142" t="str">
        <f>IFERROR(__xludf.DUMMYFUNCTION("""COMPUTED_VALUE"""),"Balayan")</f>
        <v>Balayan</v>
      </c>
      <c r="E338" s="142" t="str">
        <f>IFERROR(__xludf.DUMMYFUNCTION("""COMPUTED_VALUE"""),"Balete")</f>
        <v>Balete</v>
      </c>
      <c r="F338" s="142" t="str">
        <f>IFERROR(__xludf.DUMMYFUNCTION("""COMPUTED_VALUE"""),"Batangas City")</f>
        <v>Batangas City</v>
      </c>
      <c r="G338" s="142" t="str">
        <f>IFERROR(__xludf.DUMMYFUNCTION("""COMPUTED_VALUE"""),"Bauan")</f>
        <v>Bauan</v>
      </c>
      <c r="H338" s="142" t="str">
        <f>IFERROR(__xludf.DUMMYFUNCTION("""COMPUTED_VALUE"""),"City of Calaca")</f>
        <v>City of Calaca</v>
      </c>
      <c r="I338" s="142" t="str">
        <f>IFERROR(__xludf.DUMMYFUNCTION("""COMPUTED_VALUE"""),"Calatagan")</f>
        <v>Calatagan</v>
      </c>
      <c r="J338" s="142" t="str">
        <f>IFERROR(__xludf.DUMMYFUNCTION("""COMPUTED_VALUE"""),"Cuenca")</f>
        <v>Cuenca</v>
      </c>
      <c r="K338" s="142" t="str">
        <f>IFERROR(__xludf.DUMMYFUNCTION("""COMPUTED_VALUE"""),"Ibaan")</f>
        <v>Ibaan</v>
      </c>
      <c r="L338" s="142" t="str">
        <f>IFERROR(__xludf.DUMMYFUNCTION("""COMPUTED_VALUE"""),"Laurel")</f>
        <v>Laurel</v>
      </c>
      <c r="M338" s="142" t="str">
        <f>IFERROR(__xludf.DUMMYFUNCTION("""COMPUTED_VALUE"""),"Lemery")</f>
        <v>Lemery</v>
      </c>
      <c r="N338" s="142" t="str">
        <f>IFERROR(__xludf.DUMMYFUNCTION("""COMPUTED_VALUE"""),"Lian")</f>
        <v>Lian</v>
      </c>
      <c r="O338" s="142" t="str">
        <f>IFERROR(__xludf.DUMMYFUNCTION("""COMPUTED_VALUE"""),"City of Lipa")</f>
        <v>City of Lipa</v>
      </c>
      <c r="P338" s="142" t="str">
        <f>IFERROR(__xludf.DUMMYFUNCTION("""COMPUTED_VALUE"""),"Lobo")</f>
        <v>Lobo</v>
      </c>
      <c r="Q338" s="142" t="str">
        <f>IFERROR(__xludf.DUMMYFUNCTION("""COMPUTED_VALUE"""),"Mabini")</f>
        <v>Mabini</v>
      </c>
      <c r="R338" s="142" t="str">
        <f>IFERROR(__xludf.DUMMYFUNCTION("""COMPUTED_VALUE"""),"Malvar")</f>
        <v>Malvar</v>
      </c>
      <c r="S338" s="142" t="str">
        <f>IFERROR(__xludf.DUMMYFUNCTION("""COMPUTED_VALUE"""),"Mataasnakahoy")</f>
        <v>Mataasnakahoy</v>
      </c>
      <c r="T338" s="142" t="str">
        <f>IFERROR(__xludf.DUMMYFUNCTION("""COMPUTED_VALUE"""),"Nasugbu")</f>
        <v>Nasugbu</v>
      </c>
      <c r="U338" s="142" t="str">
        <f>IFERROR(__xludf.DUMMYFUNCTION("""COMPUTED_VALUE"""),"Padre Garcia")</f>
        <v>Padre Garcia</v>
      </c>
      <c r="V338" s="142" t="str">
        <f>IFERROR(__xludf.DUMMYFUNCTION("""COMPUTED_VALUE"""),"Rosario")</f>
        <v>Rosario</v>
      </c>
      <c r="W338" s="142" t="str">
        <f>IFERROR(__xludf.DUMMYFUNCTION("""COMPUTED_VALUE"""),"San Jose")</f>
        <v>San Jose</v>
      </c>
      <c r="X338" s="142" t="str">
        <f>IFERROR(__xludf.DUMMYFUNCTION("""COMPUTED_VALUE"""),"San Juan")</f>
        <v>San Juan</v>
      </c>
      <c r="Y338" s="142" t="str">
        <f>IFERROR(__xludf.DUMMYFUNCTION("""COMPUTED_VALUE"""),"San Luis")</f>
        <v>San Luis</v>
      </c>
      <c r="Z338" s="142" t="str">
        <f>IFERROR(__xludf.DUMMYFUNCTION("""COMPUTED_VALUE"""),"San Nicolas")</f>
        <v>San Nicolas</v>
      </c>
      <c r="AA338" s="142" t="str">
        <f>IFERROR(__xludf.DUMMYFUNCTION("""COMPUTED_VALUE"""),"San Pascual")</f>
        <v>San Pascual</v>
      </c>
      <c r="AB338" s="142" t="str">
        <f>IFERROR(__xludf.DUMMYFUNCTION("""COMPUTED_VALUE"""),"Santa Teresita")</f>
        <v>Santa Teresita</v>
      </c>
      <c r="AC338" s="142" t="str">
        <f>IFERROR(__xludf.DUMMYFUNCTION("""COMPUTED_VALUE"""),"City of Sto. Tomas")</f>
        <v>City of Sto. Tomas</v>
      </c>
      <c r="AD338" s="142" t="str">
        <f>IFERROR(__xludf.DUMMYFUNCTION("""COMPUTED_VALUE"""),"Taal")</f>
        <v>Taal</v>
      </c>
      <c r="AE338" s="142" t="str">
        <f>IFERROR(__xludf.DUMMYFUNCTION("""COMPUTED_VALUE"""),"Talisay")</f>
        <v>Talisay</v>
      </c>
      <c r="AF338" s="142" t="str">
        <f>IFERROR(__xludf.DUMMYFUNCTION("""COMPUTED_VALUE"""),"City of Tanauan")</f>
        <v>City of Tanauan</v>
      </c>
      <c r="AG338" s="142" t="str">
        <f>IFERROR(__xludf.DUMMYFUNCTION("""COMPUTED_VALUE"""),"Taysan")</f>
        <v>Taysan</v>
      </c>
      <c r="AH338" s="142" t="str">
        <f>IFERROR(__xludf.DUMMYFUNCTION("""COMPUTED_VALUE"""),"Tingloy")</f>
        <v>Tingloy</v>
      </c>
      <c r="AI338" s="142" t="str">
        <f>IFERROR(__xludf.DUMMYFUNCTION("""COMPUTED_VALUE"""),"Tuy")</f>
        <v>Tuy</v>
      </c>
      <c r="AJ338" s="8"/>
      <c r="AK338" s="8"/>
      <c r="AL338" s="8"/>
      <c r="AM338" s="8"/>
      <c r="AN338" s="8"/>
      <c r="AO338" s="8"/>
      <c r="AP338" s="8"/>
      <c r="AQ338" s="8"/>
      <c r="AR338" s="8"/>
      <c r="AS338" s="8"/>
      <c r="AT338" s="8"/>
      <c r="AU338" s="8"/>
      <c r="AV338" s="8"/>
      <c r="AW338" s="8"/>
      <c r="AX338" s="8"/>
      <c r="AY338" s="8"/>
      <c r="AZ338" s="8"/>
      <c r="BA338" s="8"/>
      <c r="BB338" s="8"/>
      <c r="BC338" s="8"/>
      <c r="BD338" s="8"/>
      <c r="BE338" s="8"/>
    </row>
    <row r="339">
      <c r="A339" s="142" t="s">
        <v>258</v>
      </c>
      <c r="B339" s="142" t="str">
        <f>IFERROR(__xludf.DUMMYFUNCTION("""COMPUTED_VALUE"""),"Agoncillo")</f>
        <v>Agoncillo</v>
      </c>
      <c r="C339" s="142" t="str">
        <f>IFERROR(__xludf.DUMMYFUNCTION("""COMPUTED_VALUE"""),"Alitagtag")</f>
        <v>Alitagtag</v>
      </c>
      <c r="D339" s="142" t="str">
        <f>IFERROR(__xludf.DUMMYFUNCTION("""COMPUTED_VALUE"""),"Balayan")</f>
        <v>Balayan</v>
      </c>
      <c r="E339" s="142" t="str">
        <f>IFERROR(__xludf.DUMMYFUNCTION("""COMPUTED_VALUE"""),"Balete")</f>
        <v>Balete</v>
      </c>
      <c r="F339" s="142" t="str">
        <f>IFERROR(__xludf.DUMMYFUNCTION("""COMPUTED_VALUE"""),"Batangas City")</f>
        <v>Batangas City</v>
      </c>
      <c r="G339" s="142" t="str">
        <f>IFERROR(__xludf.DUMMYFUNCTION("""COMPUTED_VALUE"""),"Bauan")</f>
        <v>Bauan</v>
      </c>
      <c r="H339" s="142" t="str">
        <f>IFERROR(__xludf.DUMMYFUNCTION("""COMPUTED_VALUE"""),"City of Calaca")</f>
        <v>City of Calaca</v>
      </c>
      <c r="I339" s="142" t="str">
        <f>IFERROR(__xludf.DUMMYFUNCTION("""COMPUTED_VALUE"""),"Calatagan")</f>
        <v>Calatagan</v>
      </c>
      <c r="J339" s="142" t="str">
        <f>IFERROR(__xludf.DUMMYFUNCTION("""COMPUTED_VALUE"""),"Cuenca")</f>
        <v>Cuenca</v>
      </c>
      <c r="K339" s="142" t="str">
        <f>IFERROR(__xludf.DUMMYFUNCTION("""COMPUTED_VALUE"""),"Ibaan")</f>
        <v>Ibaan</v>
      </c>
      <c r="L339" s="142" t="str">
        <f>IFERROR(__xludf.DUMMYFUNCTION("""COMPUTED_VALUE"""),"Laurel")</f>
        <v>Laurel</v>
      </c>
      <c r="M339" s="142" t="str">
        <f>IFERROR(__xludf.DUMMYFUNCTION("""COMPUTED_VALUE"""),"Lemery")</f>
        <v>Lemery</v>
      </c>
      <c r="N339" s="142" t="str">
        <f>IFERROR(__xludf.DUMMYFUNCTION("""COMPUTED_VALUE"""),"Lian")</f>
        <v>Lian</v>
      </c>
      <c r="O339" s="142" t="str">
        <f>IFERROR(__xludf.DUMMYFUNCTION("""COMPUTED_VALUE"""),"City of Lipa")</f>
        <v>City of Lipa</v>
      </c>
      <c r="P339" s="142" t="str">
        <f>IFERROR(__xludf.DUMMYFUNCTION("""COMPUTED_VALUE"""),"Lobo")</f>
        <v>Lobo</v>
      </c>
      <c r="Q339" s="142" t="str">
        <f>IFERROR(__xludf.DUMMYFUNCTION("""COMPUTED_VALUE"""),"Mabini")</f>
        <v>Mabini</v>
      </c>
      <c r="R339" s="142" t="str">
        <f>IFERROR(__xludf.DUMMYFUNCTION("""COMPUTED_VALUE"""),"Malvar")</f>
        <v>Malvar</v>
      </c>
      <c r="S339" s="142" t="str">
        <f>IFERROR(__xludf.DUMMYFUNCTION("""COMPUTED_VALUE"""),"Mataasnakahoy")</f>
        <v>Mataasnakahoy</v>
      </c>
      <c r="T339" s="142" t="str">
        <f>IFERROR(__xludf.DUMMYFUNCTION("""COMPUTED_VALUE"""),"Nasugbu")</f>
        <v>Nasugbu</v>
      </c>
      <c r="U339" s="142" t="str">
        <f>IFERROR(__xludf.DUMMYFUNCTION("""COMPUTED_VALUE"""),"Padre Garcia")</f>
        <v>Padre Garcia</v>
      </c>
      <c r="V339" s="142" t="str">
        <f>IFERROR(__xludf.DUMMYFUNCTION("""COMPUTED_VALUE"""),"Rosario")</f>
        <v>Rosario</v>
      </c>
      <c r="W339" s="142" t="str">
        <f>IFERROR(__xludf.DUMMYFUNCTION("""COMPUTED_VALUE"""),"San Jose")</f>
        <v>San Jose</v>
      </c>
      <c r="X339" s="142" t="str">
        <f>IFERROR(__xludf.DUMMYFUNCTION("""COMPUTED_VALUE"""),"San Juan")</f>
        <v>San Juan</v>
      </c>
      <c r="Y339" s="142" t="str">
        <f>IFERROR(__xludf.DUMMYFUNCTION("""COMPUTED_VALUE"""),"San Luis")</f>
        <v>San Luis</v>
      </c>
      <c r="Z339" s="142" t="str">
        <f>IFERROR(__xludf.DUMMYFUNCTION("""COMPUTED_VALUE"""),"San Nicolas")</f>
        <v>San Nicolas</v>
      </c>
      <c r="AA339" s="142" t="str">
        <f>IFERROR(__xludf.DUMMYFUNCTION("""COMPUTED_VALUE"""),"San Pascual")</f>
        <v>San Pascual</v>
      </c>
      <c r="AB339" s="142" t="str">
        <f>IFERROR(__xludf.DUMMYFUNCTION("""COMPUTED_VALUE"""),"Santa Teresita")</f>
        <v>Santa Teresita</v>
      </c>
      <c r="AC339" s="142" t="str">
        <f>IFERROR(__xludf.DUMMYFUNCTION("""COMPUTED_VALUE"""),"City of Sto. Tomas")</f>
        <v>City of Sto. Tomas</v>
      </c>
      <c r="AD339" s="142" t="str">
        <f>IFERROR(__xludf.DUMMYFUNCTION("""COMPUTED_VALUE"""),"Taal")</f>
        <v>Taal</v>
      </c>
      <c r="AE339" s="142" t="str">
        <f>IFERROR(__xludf.DUMMYFUNCTION("""COMPUTED_VALUE"""),"Talisay")</f>
        <v>Talisay</v>
      </c>
      <c r="AF339" s="142" t="str">
        <f>IFERROR(__xludf.DUMMYFUNCTION("""COMPUTED_VALUE"""),"City of Tanauan")</f>
        <v>City of Tanauan</v>
      </c>
      <c r="AG339" s="142" t="str">
        <f>IFERROR(__xludf.DUMMYFUNCTION("""COMPUTED_VALUE"""),"Taysan")</f>
        <v>Taysan</v>
      </c>
      <c r="AH339" s="142" t="str">
        <f>IFERROR(__xludf.DUMMYFUNCTION("""COMPUTED_VALUE"""),"Tingloy")</f>
        <v>Tingloy</v>
      </c>
      <c r="AI339" s="142" t="str">
        <f>IFERROR(__xludf.DUMMYFUNCTION("""COMPUTED_VALUE"""),"Tuy")</f>
        <v>Tuy</v>
      </c>
      <c r="AJ339" s="8"/>
      <c r="AK339" s="8"/>
      <c r="AL339" s="8"/>
      <c r="AM339" s="8"/>
      <c r="AN339" s="8"/>
      <c r="AO339" s="8"/>
      <c r="AP339" s="8"/>
      <c r="AQ339" s="8"/>
      <c r="AR339" s="8"/>
      <c r="AS339" s="8"/>
      <c r="AT339" s="8"/>
      <c r="AU339" s="8"/>
      <c r="AV339" s="8"/>
      <c r="AW339" s="8"/>
      <c r="AX339" s="8"/>
      <c r="AY339" s="8"/>
      <c r="AZ339" s="8"/>
      <c r="BA339" s="8"/>
      <c r="BB339" s="8"/>
      <c r="BC339" s="8"/>
      <c r="BD339" s="8"/>
      <c r="BE339" s="8"/>
    </row>
    <row r="340">
      <c r="A340" s="142" t="s">
        <v>258</v>
      </c>
      <c r="B340" s="142" t="str">
        <f>IFERROR(__xludf.DUMMYFUNCTION("""COMPUTED_VALUE"""),"Agoncillo")</f>
        <v>Agoncillo</v>
      </c>
      <c r="C340" s="142" t="str">
        <f>IFERROR(__xludf.DUMMYFUNCTION("""COMPUTED_VALUE"""),"Alitagtag")</f>
        <v>Alitagtag</v>
      </c>
      <c r="D340" s="142" t="str">
        <f>IFERROR(__xludf.DUMMYFUNCTION("""COMPUTED_VALUE"""),"Balayan")</f>
        <v>Balayan</v>
      </c>
      <c r="E340" s="142" t="str">
        <f>IFERROR(__xludf.DUMMYFUNCTION("""COMPUTED_VALUE"""),"Balete")</f>
        <v>Balete</v>
      </c>
      <c r="F340" s="142" t="str">
        <f>IFERROR(__xludf.DUMMYFUNCTION("""COMPUTED_VALUE"""),"Batangas City")</f>
        <v>Batangas City</v>
      </c>
      <c r="G340" s="142" t="str">
        <f>IFERROR(__xludf.DUMMYFUNCTION("""COMPUTED_VALUE"""),"Bauan")</f>
        <v>Bauan</v>
      </c>
      <c r="H340" s="142" t="str">
        <f>IFERROR(__xludf.DUMMYFUNCTION("""COMPUTED_VALUE"""),"City of Calaca")</f>
        <v>City of Calaca</v>
      </c>
      <c r="I340" s="142" t="str">
        <f>IFERROR(__xludf.DUMMYFUNCTION("""COMPUTED_VALUE"""),"Calatagan")</f>
        <v>Calatagan</v>
      </c>
      <c r="J340" s="142" t="str">
        <f>IFERROR(__xludf.DUMMYFUNCTION("""COMPUTED_VALUE"""),"Cuenca")</f>
        <v>Cuenca</v>
      </c>
      <c r="K340" s="142" t="str">
        <f>IFERROR(__xludf.DUMMYFUNCTION("""COMPUTED_VALUE"""),"Ibaan")</f>
        <v>Ibaan</v>
      </c>
      <c r="L340" s="142" t="str">
        <f>IFERROR(__xludf.DUMMYFUNCTION("""COMPUTED_VALUE"""),"Laurel")</f>
        <v>Laurel</v>
      </c>
      <c r="M340" s="142" t="str">
        <f>IFERROR(__xludf.DUMMYFUNCTION("""COMPUTED_VALUE"""),"Lemery")</f>
        <v>Lemery</v>
      </c>
      <c r="N340" s="142" t="str">
        <f>IFERROR(__xludf.DUMMYFUNCTION("""COMPUTED_VALUE"""),"Lian")</f>
        <v>Lian</v>
      </c>
      <c r="O340" s="142" t="str">
        <f>IFERROR(__xludf.DUMMYFUNCTION("""COMPUTED_VALUE"""),"City of Lipa")</f>
        <v>City of Lipa</v>
      </c>
      <c r="P340" s="142" t="str">
        <f>IFERROR(__xludf.DUMMYFUNCTION("""COMPUTED_VALUE"""),"Lobo")</f>
        <v>Lobo</v>
      </c>
      <c r="Q340" s="142" t="str">
        <f>IFERROR(__xludf.DUMMYFUNCTION("""COMPUTED_VALUE"""),"Mabini")</f>
        <v>Mabini</v>
      </c>
      <c r="R340" s="142" t="str">
        <f>IFERROR(__xludf.DUMMYFUNCTION("""COMPUTED_VALUE"""),"Malvar")</f>
        <v>Malvar</v>
      </c>
      <c r="S340" s="142" t="str">
        <f>IFERROR(__xludf.DUMMYFUNCTION("""COMPUTED_VALUE"""),"Mataasnakahoy")</f>
        <v>Mataasnakahoy</v>
      </c>
      <c r="T340" s="142" t="str">
        <f>IFERROR(__xludf.DUMMYFUNCTION("""COMPUTED_VALUE"""),"Nasugbu")</f>
        <v>Nasugbu</v>
      </c>
      <c r="U340" s="142" t="str">
        <f>IFERROR(__xludf.DUMMYFUNCTION("""COMPUTED_VALUE"""),"Padre Garcia")</f>
        <v>Padre Garcia</v>
      </c>
      <c r="V340" s="142" t="str">
        <f>IFERROR(__xludf.DUMMYFUNCTION("""COMPUTED_VALUE"""),"Rosario")</f>
        <v>Rosario</v>
      </c>
      <c r="W340" s="142" t="str">
        <f>IFERROR(__xludf.DUMMYFUNCTION("""COMPUTED_VALUE"""),"San Jose")</f>
        <v>San Jose</v>
      </c>
      <c r="X340" s="142" t="str">
        <f>IFERROR(__xludf.DUMMYFUNCTION("""COMPUTED_VALUE"""),"San Juan")</f>
        <v>San Juan</v>
      </c>
      <c r="Y340" s="142" t="str">
        <f>IFERROR(__xludf.DUMMYFUNCTION("""COMPUTED_VALUE"""),"San Luis")</f>
        <v>San Luis</v>
      </c>
      <c r="Z340" s="142" t="str">
        <f>IFERROR(__xludf.DUMMYFUNCTION("""COMPUTED_VALUE"""),"San Nicolas")</f>
        <v>San Nicolas</v>
      </c>
      <c r="AA340" s="142" t="str">
        <f>IFERROR(__xludf.DUMMYFUNCTION("""COMPUTED_VALUE"""),"San Pascual")</f>
        <v>San Pascual</v>
      </c>
      <c r="AB340" s="142" t="str">
        <f>IFERROR(__xludf.DUMMYFUNCTION("""COMPUTED_VALUE"""),"Santa Teresita")</f>
        <v>Santa Teresita</v>
      </c>
      <c r="AC340" s="142" t="str">
        <f>IFERROR(__xludf.DUMMYFUNCTION("""COMPUTED_VALUE"""),"City of Sto. Tomas")</f>
        <v>City of Sto. Tomas</v>
      </c>
      <c r="AD340" s="142" t="str">
        <f>IFERROR(__xludf.DUMMYFUNCTION("""COMPUTED_VALUE"""),"Taal")</f>
        <v>Taal</v>
      </c>
      <c r="AE340" s="142" t="str">
        <f>IFERROR(__xludf.DUMMYFUNCTION("""COMPUTED_VALUE"""),"Talisay")</f>
        <v>Talisay</v>
      </c>
      <c r="AF340" s="142" t="str">
        <f>IFERROR(__xludf.DUMMYFUNCTION("""COMPUTED_VALUE"""),"City of Tanauan")</f>
        <v>City of Tanauan</v>
      </c>
      <c r="AG340" s="142" t="str">
        <f>IFERROR(__xludf.DUMMYFUNCTION("""COMPUTED_VALUE"""),"Taysan")</f>
        <v>Taysan</v>
      </c>
      <c r="AH340" s="142" t="str">
        <f>IFERROR(__xludf.DUMMYFUNCTION("""COMPUTED_VALUE"""),"Tingloy")</f>
        <v>Tingloy</v>
      </c>
      <c r="AI340" s="142" t="str">
        <f>IFERROR(__xludf.DUMMYFUNCTION("""COMPUTED_VALUE"""),"Tuy")</f>
        <v>Tuy</v>
      </c>
      <c r="AJ340" s="8"/>
      <c r="AK340" s="8"/>
      <c r="AL340" s="8"/>
      <c r="AM340" s="8"/>
      <c r="AN340" s="8"/>
      <c r="AO340" s="8"/>
      <c r="AP340" s="8"/>
      <c r="AQ340" s="8"/>
      <c r="AR340" s="8"/>
      <c r="AS340" s="8"/>
      <c r="AT340" s="8"/>
      <c r="AU340" s="8"/>
      <c r="AV340" s="8"/>
      <c r="AW340" s="8"/>
      <c r="AX340" s="8"/>
      <c r="AY340" s="8"/>
      <c r="AZ340" s="8"/>
      <c r="BA340" s="8"/>
      <c r="BB340" s="8"/>
      <c r="BC340" s="8"/>
      <c r="BD340" s="8"/>
      <c r="BE340" s="8"/>
    </row>
    <row r="341">
      <c r="A341" s="142" t="s">
        <v>893</v>
      </c>
      <c r="B341" s="142" t="str">
        <f>IFERROR(__xludf.DUMMYFUNCTION("""COMPUTED_VALUE"""),"Bacacay")</f>
        <v>Bacacay</v>
      </c>
      <c r="C341" s="142" t="str">
        <f>IFERROR(__xludf.DUMMYFUNCTION("""COMPUTED_VALUE"""),"Camalig")</f>
        <v>Camalig</v>
      </c>
      <c r="D341" s="142" t="str">
        <f>IFERROR(__xludf.DUMMYFUNCTION("""COMPUTED_VALUE"""),"Daraga")</f>
        <v>Daraga</v>
      </c>
      <c r="E341" s="142" t="str">
        <f>IFERROR(__xludf.DUMMYFUNCTION("""COMPUTED_VALUE"""),"Guinobatan")</f>
        <v>Guinobatan</v>
      </c>
      <c r="F341" s="142" t="str">
        <f>IFERROR(__xludf.DUMMYFUNCTION("""COMPUTED_VALUE"""),"Jovellar")</f>
        <v>Jovellar</v>
      </c>
      <c r="G341" s="142" t="str">
        <f>IFERROR(__xludf.DUMMYFUNCTION("""COMPUTED_VALUE"""),"City of Legazpi")</f>
        <v>City of Legazpi</v>
      </c>
      <c r="H341" s="142" t="str">
        <f>IFERROR(__xludf.DUMMYFUNCTION("""COMPUTED_VALUE"""),"Libon")</f>
        <v>Libon</v>
      </c>
      <c r="I341" s="142" t="str">
        <f>IFERROR(__xludf.DUMMYFUNCTION("""COMPUTED_VALUE"""),"City of Ligao")</f>
        <v>City of Ligao</v>
      </c>
      <c r="J341" s="142" t="str">
        <f>IFERROR(__xludf.DUMMYFUNCTION("""COMPUTED_VALUE"""),"Malilipot")</f>
        <v>Malilipot</v>
      </c>
      <c r="K341" s="142" t="str">
        <f>IFERROR(__xludf.DUMMYFUNCTION("""COMPUTED_VALUE"""),"Malinao")</f>
        <v>Malinao</v>
      </c>
      <c r="L341" s="142" t="str">
        <f>IFERROR(__xludf.DUMMYFUNCTION("""COMPUTED_VALUE"""),"Manito")</f>
        <v>Manito</v>
      </c>
      <c r="M341" s="142" t="str">
        <f>IFERROR(__xludf.DUMMYFUNCTION("""COMPUTED_VALUE"""),"Oas")</f>
        <v>Oas</v>
      </c>
      <c r="N341" s="142" t="str">
        <f>IFERROR(__xludf.DUMMYFUNCTION("""COMPUTED_VALUE"""),"Pio Duran")</f>
        <v>Pio Duran</v>
      </c>
      <c r="O341" s="142" t="str">
        <f>IFERROR(__xludf.DUMMYFUNCTION("""COMPUTED_VALUE"""),"Polangui")</f>
        <v>Polangui</v>
      </c>
      <c r="P341" s="142" t="str">
        <f>IFERROR(__xludf.DUMMYFUNCTION("""COMPUTED_VALUE"""),"Rapu-Rapu")</f>
        <v>Rapu-Rapu</v>
      </c>
      <c r="Q341" s="142" t="str">
        <f>IFERROR(__xludf.DUMMYFUNCTION("""COMPUTED_VALUE"""),"Santo Domingo")</f>
        <v>Santo Domingo</v>
      </c>
      <c r="R341" s="142" t="str">
        <f>IFERROR(__xludf.DUMMYFUNCTION("""COMPUTED_VALUE"""),"City of Tabaco")</f>
        <v>City of Tabaco</v>
      </c>
      <c r="S341" s="142" t="str">
        <f>IFERROR(__xludf.DUMMYFUNCTION("""COMPUTED_VALUE"""),"Tiwi")</f>
        <v>Tiwi</v>
      </c>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row>
    <row r="342">
      <c r="A342" s="142" t="s">
        <v>1089</v>
      </c>
      <c r="B342" s="142" t="str">
        <f>IFERROR(__xludf.DUMMYFUNCTION("""COMPUTED_VALUE"""),"Baao")</f>
        <v>Baao</v>
      </c>
      <c r="C342" s="142" t="str">
        <f>IFERROR(__xludf.DUMMYFUNCTION("""COMPUTED_VALUE"""),"Balatan")</f>
        <v>Balatan</v>
      </c>
      <c r="D342" s="142" t="str">
        <f>IFERROR(__xludf.DUMMYFUNCTION("""COMPUTED_VALUE"""),"Bato")</f>
        <v>Bato</v>
      </c>
      <c r="E342" s="142" t="str">
        <f>IFERROR(__xludf.DUMMYFUNCTION("""COMPUTED_VALUE"""),"Bombon")</f>
        <v>Bombon</v>
      </c>
      <c r="F342" s="142" t="str">
        <f>IFERROR(__xludf.DUMMYFUNCTION("""COMPUTED_VALUE"""),"Buhi")</f>
        <v>Buhi</v>
      </c>
      <c r="G342" s="142" t="str">
        <f>IFERROR(__xludf.DUMMYFUNCTION("""COMPUTED_VALUE"""),"Bula")</f>
        <v>Bula</v>
      </c>
      <c r="H342" s="142" t="str">
        <f>IFERROR(__xludf.DUMMYFUNCTION("""COMPUTED_VALUE"""),"Cabusao")</f>
        <v>Cabusao</v>
      </c>
      <c r="I342" s="142" t="str">
        <f>IFERROR(__xludf.DUMMYFUNCTION("""COMPUTED_VALUE"""),"Calabanga")</f>
        <v>Calabanga</v>
      </c>
      <c r="J342" s="142" t="str">
        <f>IFERROR(__xludf.DUMMYFUNCTION("""COMPUTED_VALUE"""),"Camaligan")</f>
        <v>Camaligan</v>
      </c>
      <c r="K342" s="142" t="str">
        <f>IFERROR(__xludf.DUMMYFUNCTION("""COMPUTED_VALUE"""),"Canaman")</f>
        <v>Canaman</v>
      </c>
      <c r="L342" s="142" t="str">
        <f>IFERROR(__xludf.DUMMYFUNCTION("""COMPUTED_VALUE"""),"Caramoan")</f>
        <v>Caramoan</v>
      </c>
      <c r="M342" s="142" t="str">
        <f>IFERROR(__xludf.DUMMYFUNCTION("""COMPUTED_VALUE"""),"Del Gallego")</f>
        <v>Del Gallego</v>
      </c>
      <c r="N342" s="142" t="str">
        <f>IFERROR(__xludf.DUMMYFUNCTION("""COMPUTED_VALUE"""),"Gainza")</f>
        <v>Gainza</v>
      </c>
      <c r="O342" s="142" t="str">
        <f>IFERROR(__xludf.DUMMYFUNCTION("""COMPUTED_VALUE"""),"Garchitorena")</f>
        <v>Garchitorena</v>
      </c>
      <c r="P342" s="142" t="str">
        <f>IFERROR(__xludf.DUMMYFUNCTION("""COMPUTED_VALUE"""),"Goa")</f>
        <v>Goa</v>
      </c>
      <c r="Q342" s="142" t="str">
        <f>IFERROR(__xludf.DUMMYFUNCTION("""COMPUTED_VALUE"""),"City of Iriga")</f>
        <v>City of Iriga</v>
      </c>
      <c r="R342" s="142" t="str">
        <f>IFERROR(__xludf.DUMMYFUNCTION("""COMPUTED_VALUE"""),"Lagonoy")</f>
        <v>Lagonoy</v>
      </c>
      <c r="S342" s="142" t="str">
        <f>IFERROR(__xludf.DUMMYFUNCTION("""COMPUTED_VALUE"""),"Libmanan")</f>
        <v>Libmanan</v>
      </c>
      <c r="T342" s="142" t="str">
        <f>IFERROR(__xludf.DUMMYFUNCTION("""COMPUTED_VALUE"""),"Lupi")</f>
        <v>Lupi</v>
      </c>
      <c r="U342" s="142" t="str">
        <f>IFERROR(__xludf.DUMMYFUNCTION("""COMPUTED_VALUE"""),"Magarao")</f>
        <v>Magarao</v>
      </c>
      <c r="V342" s="142" t="str">
        <f>IFERROR(__xludf.DUMMYFUNCTION("""COMPUTED_VALUE"""),"Milaor")</f>
        <v>Milaor</v>
      </c>
      <c r="W342" s="142" t="str">
        <f>IFERROR(__xludf.DUMMYFUNCTION("""COMPUTED_VALUE"""),"Minalabac")</f>
        <v>Minalabac</v>
      </c>
      <c r="X342" s="142" t="str">
        <f>IFERROR(__xludf.DUMMYFUNCTION("""COMPUTED_VALUE"""),"Nabua")</f>
        <v>Nabua</v>
      </c>
      <c r="Y342" s="142" t="str">
        <f>IFERROR(__xludf.DUMMYFUNCTION("""COMPUTED_VALUE"""),"City of Naga")</f>
        <v>City of Naga</v>
      </c>
      <c r="Z342" s="142" t="str">
        <f>IFERROR(__xludf.DUMMYFUNCTION("""COMPUTED_VALUE"""),"Ocampo")</f>
        <v>Ocampo</v>
      </c>
      <c r="AA342" s="142" t="str">
        <f>IFERROR(__xludf.DUMMYFUNCTION("""COMPUTED_VALUE"""),"Pamplona")</f>
        <v>Pamplona</v>
      </c>
      <c r="AB342" s="142" t="str">
        <f>IFERROR(__xludf.DUMMYFUNCTION("""COMPUTED_VALUE"""),"Pasacao")</f>
        <v>Pasacao</v>
      </c>
      <c r="AC342" s="142" t="str">
        <f>IFERROR(__xludf.DUMMYFUNCTION("""COMPUTED_VALUE"""),"Pili")</f>
        <v>Pili</v>
      </c>
      <c r="AD342" s="142" t="str">
        <f>IFERROR(__xludf.DUMMYFUNCTION("""COMPUTED_VALUE"""),"Presentacion")</f>
        <v>Presentacion</v>
      </c>
      <c r="AE342" s="142" t="str">
        <f>IFERROR(__xludf.DUMMYFUNCTION("""COMPUTED_VALUE"""),"Ragay")</f>
        <v>Ragay</v>
      </c>
      <c r="AF342" s="142" t="str">
        <f>IFERROR(__xludf.DUMMYFUNCTION("""COMPUTED_VALUE"""),"Sagñay")</f>
        <v>Sagñay</v>
      </c>
      <c r="AG342" s="142" t="str">
        <f>IFERROR(__xludf.DUMMYFUNCTION("""COMPUTED_VALUE"""),"San Fernando")</f>
        <v>San Fernando</v>
      </c>
      <c r="AH342" s="142" t="str">
        <f>IFERROR(__xludf.DUMMYFUNCTION("""COMPUTED_VALUE"""),"San Jose")</f>
        <v>San Jose</v>
      </c>
      <c r="AI342" s="142" t="str">
        <f>IFERROR(__xludf.DUMMYFUNCTION("""COMPUTED_VALUE"""),"Sipocot")</f>
        <v>Sipocot</v>
      </c>
      <c r="AJ342" s="142" t="str">
        <f>IFERROR(__xludf.DUMMYFUNCTION("""COMPUTED_VALUE"""),"Siruma")</f>
        <v>Siruma</v>
      </c>
      <c r="AK342" s="142" t="str">
        <f>IFERROR(__xludf.DUMMYFUNCTION("""COMPUTED_VALUE"""),"Tigaon")</f>
        <v>Tigaon</v>
      </c>
      <c r="AL342" s="142" t="str">
        <f>IFERROR(__xludf.DUMMYFUNCTION("""COMPUTED_VALUE"""),"Tinambac")</f>
        <v>Tinambac</v>
      </c>
      <c r="AM342" s="8"/>
      <c r="AN342" s="8"/>
      <c r="AO342" s="8"/>
      <c r="AP342" s="8"/>
      <c r="AQ342" s="8"/>
      <c r="AR342" s="8"/>
      <c r="AS342" s="8"/>
      <c r="AT342" s="8"/>
      <c r="AU342" s="8"/>
      <c r="AV342" s="8"/>
      <c r="AW342" s="8"/>
      <c r="AX342" s="8"/>
      <c r="AY342" s="8"/>
      <c r="AZ342" s="8"/>
      <c r="BA342" s="8"/>
      <c r="BB342" s="8"/>
      <c r="BC342" s="8"/>
      <c r="BD342" s="8"/>
      <c r="BE342" s="8"/>
    </row>
    <row r="343">
      <c r="A343" s="142" t="s">
        <v>1459</v>
      </c>
      <c r="B343" s="142" t="str">
        <f>IFERROR(__xludf.DUMMYFUNCTION("""COMPUTED_VALUE"""),"Bagamanoc")</f>
        <v>Bagamanoc</v>
      </c>
      <c r="C343" s="142" t="str">
        <f>IFERROR(__xludf.DUMMYFUNCTION("""COMPUTED_VALUE"""),"Baras")</f>
        <v>Baras</v>
      </c>
      <c r="D343" s="142" t="str">
        <f>IFERROR(__xludf.DUMMYFUNCTION("""COMPUTED_VALUE"""),"Bato")</f>
        <v>Bato</v>
      </c>
      <c r="E343" s="142" t="str">
        <f>IFERROR(__xludf.DUMMYFUNCTION("""COMPUTED_VALUE"""),"Caramoran")</f>
        <v>Caramoran</v>
      </c>
      <c r="F343" s="142" t="str">
        <f>IFERROR(__xludf.DUMMYFUNCTION("""COMPUTED_VALUE"""),"Gigmoto")</f>
        <v>Gigmoto</v>
      </c>
      <c r="G343" s="142" t="str">
        <f>IFERROR(__xludf.DUMMYFUNCTION("""COMPUTED_VALUE"""),"Pandan")</f>
        <v>Pandan</v>
      </c>
      <c r="H343" s="142" t="str">
        <f>IFERROR(__xludf.DUMMYFUNCTION("""COMPUTED_VALUE"""),"Panganiban")</f>
        <v>Panganiban</v>
      </c>
      <c r="I343" s="142" t="str">
        <f>IFERROR(__xludf.DUMMYFUNCTION("""COMPUTED_VALUE"""),"San Andres")</f>
        <v>San Andres</v>
      </c>
      <c r="J343" s="142" t="str">
        <f>IFERROR(__xludf.DUMMYFUNCTION("""COMPUTED_VALUE"""),"San Miguel")</f>
        <v>San Miguel</v>
      </c>
      <c r="K343" s="142" t="str">
        <f>IFERROR(__xludf.DUMMYFUNCTION("""COMPUTED_VALUE"""),"Viga")</f>
        <v>Viga</v>
      </c>
      <c r="L343" s="142" t="str">
        <f>IFERROR(__xludf.DUMMYFUNCTION("""COMPUTED_VALUE"""),"Virac")</f>
        <v>Virac</v>
      </c>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row>
    <row r="344">
      <c r="A344" s="142" t="s">
        <v>1271</v>
      </c>
      <c r="B344" s="142" t="str">
        <f>IFERROR(__xludf.DUMMYFUNCTION("""COMPUTED_VALUE"""),"Anahawan")</f>
        <v>Anahawan</v>
      </c>
      <c r="C344" s="142" t="str">
        <f>IFERROR(__xludf.DUMMYFUNCTION("""COMPUTED_VALUE"""),"Bontoc")</f>
        <v>Bontoc</v>
      </c>
      <c r="D344" s="142" t="str">
        <f>IFERROR(__xludf.DUMMYFUNCTION("""COMPUTED_VALUE"""),"Hinunangan")</f>
        <v>Hinunangan</v>
      </c>
      <c r="E344" s="142" t="str">
        <f>IFERROR(__xludf.DUMMYFUNCTION("""COMPUTED_VALUE"""),"Hinundayan")</f>
        <v>Hinundayan</v>
      </c>
      <c r="F344" s="142" t="str">
        <f>IFERROR(__xludf.DUMMYFUNCTION("""COMPUTED_VALUE"""),"Libagon")</f>
        <v>Libagon</v>
      </c>
      <c r="G344" s="142" t="str">
        <f>IFERROR(__xludf.DUMMYFUNCTION("""COMPUTED_VALUE"""),"Liloan")</f>
        <v>Liloan</v>
      </c>
      <c r="H344" s="142" t="str">
        <f>IFERROR(__xludf.DUMMYFUNCTION("""COMPUTED_VALUE"""),"City of Maasin")</f>
        <v>City of Maasin</v>
      </c>
      <c r="I344" s="142" t="str">
        <f>IFERROR(__xludf.DUMMYFUNCTION("""COMPUTED_VALUE"""),"Macrohon")</f>
        <v>Macrohon</v>
      </c>
      <c r="J344" s="142" t="str">
        <f>IFERROR(__xludf.DUMMYFUNCTION("""COMPUTED_VALUE"""),"Malitbog")</f>
        <v>Malitbog</v>
      </c>
      <c r="K344" s="142" t="str">
        <f>IFERROR(__xludf.DUMMYFUNCTION("""COMPUTED_VALUE"""),"Padre Burgos")</f>
        <v>Padre Burgos</v>
      </c>
      <c r="L344" s="142" t="str">
        <f>IFERROR(__xludf.DUMMYFUNCTION("""COMPUTED_VALUE"""),"Pintuyan")</f>
        <v>Pintuyan</v>
      </c>
      <c r="M344" s="142" t="str">
        <f>IFERROR(__xludf.DUMMYFUNCTION("""COMPUTED_VALUE"""),"Saint Bernard")</f>
        <v>Saint Bernard</v>
      </c>
      <c r="N344" s="142" t="str">
        <f>IFERROR(__xludf.DUMMYFUNCTION("""COMPUTED_VALUE"""),"San Francisco")</f>
        <v>San Francisco</v>
      </c>
      <c r="O344" s="142" t="str">
        <f>IFERROR(__xludf.DUMMYFUNCTION("""COMPUTED_VALUE"""),"San Juan")</f>
        <v>San Juan</v>
      </c>
      <c r="P344" s="142" t="str">
        <f>IFERROR(__xludf.DUMMYFUNCTION("""COMPUTED_VALUE"""),"San Ricardo")</f>
        <v>San Ricardo</v>
      </c>
      <c r="Q344" s="142" t="str">
        <f>IFERROR(__xludf.DUMMYFUNCTION("""COMPUTED_VALUE"""),"Silago")</f>
        <v>Silago</v>
      </c>
      <c r="R344" s="142" t="str">
        <f>IFERROR(__xludf.DUMMYFUNCTION("""COMPUTED_VALUE"""),"Sogod")</f>
        <v>Sogod</v>
      </c>
      <c r="S344" s="142" t="str">
        <f>IFERROR(__xludf.DUMMYFUNCTION("""COMPUTED_VALUE"""),"Tomas Oppus")</f>
        <v>Tomas Oppus</v>
      </c>
      <c r="T344" s="142" t="str">
        <f>IFERROR(__xludf.DUMMYFUNCTION("""COMPUTED_VALUE"""),"Limasawa")</f>
        <v>Limasawa</v>
      </c>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row>
    <row r="345">
      <c r="A345" s="142" t="s">
        <v>1725</v>
      </c>
      <c r="B345" s="142" t="str">
        <f>IFERROR(__xludf.DUMMYFUNCTION("""COMPUTED_VALUE"""),"Catarman")</f>
        <v>Catarman</v>
      </c>
      <c r="C345" s="142" t="str">
        <f>IFERROR(__xludf.DUMMYFUNCTION("""COMPUTED_VALUE"""),"Guinsiliban")</f>
        <v>Guinsiliban</v>
      </c>
      <c r="D345" s="142" t="str">
        <f>IFERROR(__xludf.DUMMYFUNCTION("""COMPUTED_VALUE"""),"Mahinog")</f>
        <v>Mahinog</v>
      </c>
      <c r="E345" s="142" t="str">
        <f>IFERROR(__xludf.DUMMYFUNCTION("""COMPUTED_VALUE"""),"Mambajao")</f>
        <v>Mambajao</v>
      </c>
      <c r="F345" s="142" t="str">
        <f>IFERROR(__xludf.DUMMYFUNCTION("""COMPUTED_VALUE"""),"Sagay")</f>
        <v>Sagay</v>
      </c>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row>
    <row r="346">
      <c r="A346" s="142" t="s">
        <v>976</v>
      </c>
      <c r="B346" s="142" t="str">
        <f>IFERROR(__xludf.DUMMYFUNCTION("""COMPUTED_VALUE"""),"Aloran")</f>
        <v>Aloran</v>
      </c>
      <c r="C346" s="142" t="str">
        <f>IFERROR(__xludf.DUMMYFUNCTION("""COMPUTED_VALUE"""),"Baliangao")</f>
        <v>Baliangao</v>
      </c>
      <c r="D346" s="142" t="str">
        <f>IFERROR(__xludf.DUMMYFUNCTION("""COMPUTED_VALUE"""),"Bonifacio")</f>
        <v>Bonifacio</v>
      </c>
      <c r="E346" s="142" t="str">
        <f>IFERROR(__xludf.DUMMYFUNCTION("""COMPUTED_VALUE"""),"Calamba")</f>
        <v>Calamba</v>
      </c>
      <c r="F346" s="142" t="str">
        <f>IFERROR(__xludf.DUMMYFUNCTION("""COMPUTED_VALUE"""),"Clarin")</f>
        <v>Clarin</v>
      </c>
      <c r="G346" s="142" t="str">
        <f>IFERROR(__xludf.DUMMYFUNCTION("""COMPUTED_VALUE"""),"Concepcion")</f>
        <v>Concepcion</v>
      </c>
      <c r="H346" s="142" t="str">
        <f>IFERROR(__xludf.DUMMYFUNCTION("""COMPUTED_VALUE"""),"Jimenez")</f>
        <v>Jimenez</v>
      </c>
      <c r="I346" s="142" t="str">
        <f>IFERROR(__xludf.DUMMYFUNCTION("""COMPUTED_VALUE"""),"Lopez Jaena")</f>
        <v>Lopez Jaena</v>
      </c>
      <c r="J346" s="142" t="str">
        <f>IFERROR(__xludf.DUMMYFUNCTION("""COMPUTED_VALUE"""),"City of Oroquieta")</f>
        <v>City of Oroquieta</v>
      </c>
      <c r="K346" s="142" t="str">
        <f>IFERROR(__xludf.DUMMYFUNCTION("""COMPUTED_VALUE"""),"City of Ozamiz")</f>
        <v>City of Ozamiz</v>
      </c>
      <c r="L346" s="142" t="str">
        <f>IFERROR(__xludf.DUMMYFUNCTION("""COMPUTED_VALUE"""),"Panaon")</f>
        <v>Panaon</v>
      </c>
      <c r="M346" s="142" t="str">
        <f>IFERROR(__xludf.DUMMYFUNCTION("""COMPUTED_VALUE"""),"Plaridel")</f>
        <v>Plaridel</v>
      </c>
      <c r="N346" s="142" t="str">
        <f>IFERROR(__xludf.DUMMYFUNCTION("""COMPUTED_VALUE"""),"Sapang Dalaga")</f>
        <v>Sapang Dalaga</v>
      </c>
      <c r="O346" s="142" t="str">
        <f>IFERROR(__xludf.DUMMYFUNCTION("""COMPUTED_VALUE"""),"Sinacaban")</f>
        <v>Sinacaban</v>
      </c>
      <c r="P346" s="142" t="str">
        <f>IFERROR(__xludf.DUMMYFUNCTION("""COMPUTED_VALUE"""),"City of Tangub")</f>
        <v>City of Tangub</v>
      </c>
      <c r="Q346" s="142" t="str">
        <f>IFERROR(__xludf.DUMMYFUNCTION("""COMPUTED_VALUE"""),"Tudela")</f>
        <v>Tudela</v>
      </c>
      <c r="R346" s="142" t="str">
        <f>IFERROR(__xludf.DUMMYFUNCTION("""COMPUTED_VALUE"""),"Don Victoriano Chiongbian")</f>
        <v>Don Victoriano Chiongbian</v>
      </c>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row>
    <row r="347">
      <c r="A347" s="142" t="s">
        <v>649</v>
      </c>
      <c r="B347" s="142" t="str">
        <f>IFERROR(__xludf.DUMMYFUNCTION("""COMPUTED_VALUE"""),"Buenavista")</f>
        <v>Buenavista</v>
      </c>
      <c r="C347" s="142" t="str">
        <f>IFERROR(__xludf.DUMMYFUNCTION("""COMPUTED_VALUE"""),"City of Butuan")</f>
        <v>City of Butuan</v>
      </c>
      <c r="D347" s="142" t="str">
        <f>IFERROR(__xludf.DUMMYFUNCTION("""COMPUTED_VALUE"""),"City of Cabadbaran")</f>
        <v>City of Cabadbaran</v>
      </c>
      <c r="E347" s="142" t="str">
        <f>IFERROR(__xludf.DUMMYFUNCTION("""COMPUTED_VALUE"""),"Carmen")</f>
        <v>Carmen</v>
      </c>
      <c r="F347" s="142" t="str">
        <f>IFERROR(__xludf.DUMMYFUNCTION("""COMPUTED_VALUE"""),"Jabonga")</f>
        <v>Jabonga</v>
      </c>
      <c r="G347" s="142" t="str">
        <f>IFERROR(__xludf.DUMMYFUNCTION("""COMPUTED_VALUE"""),"Kitcharao")</f>
        <v>Kitcharao</v>
      </c>
      <c r="H347" s="142" t="str">
        <f>IFERROR(__xludf.DUMMYFUNCTION("""COMPUTED_VALUE"""),"Las Nieves")</f>
        <v>Las Nieves</v>
      </c>
      <c r="I347" s="142" t="str">
        <f>IFERROR(__xludf.DUMMYFUNCTION("""COMPUTED_VALUE"""),"Magallanes")</f>
        <v>Magallanes</v>
      </c>
      <c r="J347" s="142" t="str">
        <f>IFERROR(__xludf.DUMMYFUNCTION("""COMPUTED_VALUE"""),"Nasipit")</f>
        <v>Nasipit</v>
      </c>
      <c r="K347" s="142" t="str">
        <f>IFERROR(__xludf.DUMMYFUNCTION("""COMPUTED_VALUE"""),"Santiago")</f>
        <v>Santiago</v>
      </c>
      <c r="L347" s="142" t="str">
        <f>IFERROR(__xludf.DUMMYFUNCTION("""COMPUTED_VALUE"""),"Tubay")</f>
        <v>Tubay</v>
      </c>
      <c r="M347" s="142" t="str">
        <f>IFERROR(__xludf.DUMMYFUNCTION("""COMPUTED_VALUE"""),"Remedios T. Romualdez")</f>
        <v>Remedios T. Romualdez</v>
      </c>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row>
    <row r="348">
      <c r="A348" s="142" t="s">
        <v>649</v>
      </c>
      <c r="B348" s="142" t="str">
        <f>IFERROR(__xludf.DUMMYFUNCTION("""COMPUTED_VALUE"""),"Buenavista")</f>
        <v>Buenavista</v>
      </c>
      <c r="C348" s="142" t="str">
        <f>IFERROR(__xludf.DUMMYFUNCTION("""COMPUTED_VALUE"""),"City of Butuan")</f>
        <v>City of Butuan</v>
      </c>
      <c r="D348" s="142" t="str">
        <f>IFERROR(__xludf.DUMMYFUNCTION("""COMPUTED_VALUE"""),"City of Cabadbaran")</f>
        <v>City of Cabadbaran</v>
      </c>
      <c r="E348" s="142" t="str">
        <f>IFERROR(__xludf.DUMMYFUNCTION("""COMPUTED_VALUE"""),"Carmen")</f>
        <v>Carmen</v>
      </c>
      <c r="F348" s="142" t="str">
        <f>IFERROR(__xludf.DUMMYFUNCTION("""COMPUTED_VALUE"""),"Jabonga")</f>
        <v>Jabonga</v>
      </c>
      <c r="G348" s="142" t="str">
        <f>IFERROR(__xludf.DUMMYFUNCTION("""COMPUTED_VALUE"""),"Kitcharao")</f>
        <v>Kitcharao</v>
      </c>
      <c r="H348" s="142" t="str">
        <f>IFERROR(__xludf.DUMMYFUNCTION("""COMPUTED_VALUE"""),"Las Nieves")</f>
        <v>Las Nieves</v>
      </c>
      <c r="I348" s="142" t="str">
        <f>IFERROR(__xludf.DUMMYFUNCTION("""COMPUTED_VALUE"""),"Magallanes")</f>
        <v>Magallanes</v>
      </c>
      <c r="J348" s="142" t="str">
        <f>IFERROR(__xludf.DUMMYFUNCTION("""COMPUTED_VALUE"""),"Nasipit")</f>
        <v>Nasipit</v>
      </c>
      <c r="K348" s="142" t="str">
        <f>IFERROR(__xludf.DUMMYFUNCTION("""COMPUTED_VALUE"""),"Santiago")</f>
        <v>Santiago</v>
      </c>
      <c r="L348" s="142" t="str">
        <f>IFERROR(__xludf.DUMMYFUNCTION("""COMPUTED_VALUE"""),"Tubay")</f>
        <v>Tubay</v>
      </c>
      <c r="M348" s="142" t="str">
        <f>IFERROR(__xludf.DUMMYFUNCTION("""COMPUTED_VALUE"""),"Remedios T. Romualdez")</f>
        <v>Remedios T. Romualdez</v>
      </c>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row>
    <row r="349">
      <c r="A349" s="142" t="s">
        <v>1089</v>
      </c>
      <c r="B349" s="142" t="str">
        <f>IFERROR(__xludf.DUMMYFUNCTION("""COMPUTED_VALUE"""),"Baao")</f>
        <v>Baao</v>
      </c>
      <c r="C349" s="142" t="str">
        <f>IFERROR(__xludf.DUMMYFUNCTION("""COMPUTED_VALUE"""),"Balatan")</f>
        <v>Balatan</v>
      </c>
      <c r="D349" s="142" t="str">
        <f>IFERROR(__xludf.DUMMYFUNCTION("""COMPUTED_VALUE"""),"Bato")</f>
        <v>Bato</v>
      </c>
      <c r="E349" s="142" t="str">
        <f>IFERROR(__xludf.DUMMYFUNCTION("""COMPUTED_VALUE"""),"Bombon")</f>
        <v>Bombon</v>
      </c>
      <c r="F349" s="142" t="str">
        <f>IFERROR(__xludf.DUMMYFUNCTION("""COMPUTED_VALUE"""),"Buhi")</f>
        <v>Buhi</v>
      </c>
      <c r="G349" s="142" t="str">
        <f>IFERROR(__xludf.DUMMYFUNCTION("""COMPUTED_VALUE"""),"Bula")</f>
        <v>Bula</v>
      </c>
      <c r="H349" s="142" t="str">
        <f>IFERROR(__xludf.DUMMYFUNCTION("""COMPUTED_VALUE"""),"Cabusao")</f>
        <v>Cabusao</v>
      </c>
      <c r="I349" s="142" t="str">
        <f>IFERROR(__xludf.DUMMYFUNCTION("""COMPUTED_VALUE"""),"Calabanga")</f>
        <v>Calabanga</v>
      </c>
      <c r="J349" s="142" t="str">
        <f>IFERROR(__xludf.DUMMYFUNCTION("""COMPUTED_VALUE"""),"Camaligan")</f>
        <v>Camaligan</v>
      </c>
      <c r="K349" s="142" t="str">
        <f>IFERROR(__xludf.DUMMYFUNCTION("""COMPUTED_VALUE"""),"Canaman")</f>
        <v>Canaman</v>
      </c>
      <c r="L349" s="142" t="str">
        <f>IFERROR(__xludf.DUMMYFUNCTION("""COMPUTED_VALUE"""),"Caramoan")</f>
        <v>Caramoan</v>
      </c>
      <c r="M349" s="142" t="str">
        <f>IFERROR(__xludf.DUMMYFUNCTION("""COMPUTED_VALUE"""),"Del Gallego")</f>
        <v>Del Gallego</v>
      </c>
      <c r="N349" s="142" t="str">
        <f>IFERROR(__xludf.DUMMYFUNCTION("""COMPUTED_VALUE"""),"Gainza")</f>
        <v>Gainza</v>
      </c>
      <c r="O349" s="142" t="str">
        <f>IFERROR(__xludf.DUMMYFUNCTION("""COMPUTED_VALUE"""),"Garchitorena")</f>
        <v>Garchitorena</v>
      </c>
      <c r="P349" s="142" t="str">
        <f>IFERROR(__xludf.DUMMYFUNCTION("""COMPUTED_VALUE"""),"Goa")</f>
        <v>Goa</v>
      </c>
      <c r="Q349" s="142" t="str">
        <f>IFERROR(__xludf.DUMMYFUNCTION("""COMPUTED_VALUE"""),"City of Iriga")</f>
        <v>City of Iriga</v>
      </c>
      <c r="R349" s="142" t="str">
        <f>IFERROR(__xludf.DUMMYFUNCTION("""COMPUTED_VALUE"""),"Lagonoy")</f>
        <v>Lagonoy</v>
      </c>
      <c r="S349" s="142" t="str">
        <f>IFERROR(__xludf.DUMMYFUNCTION("""COMPUTED_VALUE"""),"Libmanan")</f>
        <v>Libmanan</v>
      </c>
      <c r="T349" s="142" t="str">
        <f>IFERROR(__xludf.DUMMYFUNCTION("""COMPUTED_VALUE"""),"Lupi")</f>
        <v>Lupi</v>
      </c>
      <c r="U349" s="142" t="str">
        <f>IFERROR(__xludf.DUMMYFUNCTION("""COMPUTED_VALUE"""),"Magarao")</f>
        <v>Magarao</v>
      </c>
      <c r="V349" s="142" t="str">
        <f>IFERROR(__xludf.DUMMYFUNCTION("""COMPUTED_VALUE"""),"Milaor")</f>
        <v>Milaor</v>
      </c>
      <c r="W349" s="142" t="str">
        <f>IFERROR(__xludf.DUMMYFUNCTION("""COMPUTED_VALUE"""),"Minalabac")</f>
        <v>Minalabac</v>
      </c>
      <c r="X349" s="142" t="str">
        <f>IFERROR(__xludf.DUMMYFUNCTION("""COMPUTED_VALUE"""),"Nabua")</f>
        <v>Nabua</v>
      </c>
      <c r="Y349" s="142" t="str">
        <f>IFERROR(__xludf.DUMMYFUNCTION("""COMPUTED_VALUE"""),"City of Naga")</f>
        <v>City of Naga</v>
      </c>
      <c r="Z349" s="142" t="str">
        <f>IFERROR(__xludf.DUMMYFUNCTION("""COMPUTED_VALUE"""),"Ocampo")</f>
        <v>Ocampo</v>
      </c>
      <c r="AA349" s="142" t="str">
        <f>IFERROR(__xludf.DUMMYFUNCTION("""COMPUTED_VALUE"""),"Pamplona")</f>
        <v>Pamplona</v>
      </c>
      <c r="AB349" s="142" t="str">
        <f>IFERROR(__xludf.DUMMYFUNCTION("""COMPUTED_VALUE"""),"Pasacao")</f>
        <v>Pasacao</v>
      </c>
      <c r="AC349" s="142" t="str">
        <f>IFERROR(__xludf.DUMMYFUNCTION("""COMPUTED_VALUE"""),"Pili")</f>
        <v>Pili</v>
      </c>
      <c r="AD349" s="142" t="str">
        <f>IFERROR(__xludf.DUMMYFUNCTION("""COMPUTED_VALUE"""),"Presentacion")</f>
        <v>Presentacion</v>
      </c>
      <c r="AE349" s="142" t="str">
        <f>IFERROR(__xludf.DUMMYFUNCTION("""COMPUTED_VALUE"""),"Ragay")</f>
        <v>Ragay</v>
      </c>
      <c r="AF349" s="142" t="str">
        <f>IFERROR(__xludf.DUMMYFUNCTION("""COMPUTED_VALUE"""),"Sagñay")</f>
        <v>Sagñay</v>
      </c>
      <c r="AG349" s="142" t="str">
        <f>IFERROR(__xludf.DUMMYFUNCTION("""COMPUTED_VALUE"""),"San Fernando")</f>
        <v>San Fernando</v>
      </c>
      <c r="AH349" s="142" t="str">
        <f>IFERROR(__xludf.DUMMYFUNCTION("""COMPUTED_VALUE"""),"San Jose")</f>
        <v>San Jose</v>
      </c>
      <c r="AI349" s="142" t="str">
        <f>IFERROR(__xludf.DUMMYFUNCTION("""COMPUTED_VALUE"""),"Sipocot")</f>
        <v>Sipocot</v>
      </c>
      <c r="AJ349" s="142" t="str">
        <f>IFERROR(__xludf.DUMMYFUNCTION("""COMPUTED_VALUE"""),"Siruma")</f>
        <v>Siruma</v>
      </c>
      <c r="AK349" s="142" t="str">
        <f>IFERROR(__xludf.DUMMYFUNCTION("""COMPUTED_VALUE"""),"Tigaon")</f>
        <v>Tigaon</v>
      </c>
      <c r="AL349" s="142" t="str">
        <f>IFERROR(__xludf.DUMMYFUNCTION("""COMPUTED_VALUE"""),"Tinambac")</f>
        <v>Tinambac</v>
      </c>
      <c r="AM349" s="8"/>
      <c r="AN349" s="8"/>
      <c r="AO349" s="8"/>
      <c r="AP349" s="8"/>
      <c r="AQ349" s="8"/>
      <c r="AR349" s="8"/>
      <c r="AS349" s="8"/>
      <c r="AT349" s="8"/>
      <c r="AU349" s="8"/>
      <c r="AV349" s="8"/>
      <c r="AW349" s="8"/>
      <c r="AX349" s="8"/>
      <c r="AY349" s="8"/>
      <c r="AZ349" s="8"/>
      <c r="BA349" s="8"/>
      <c r="BB349" s="8"/>
      <c r="BC349" s="8"/>
      <c r="BD349" s="8"/>
      <c r="BE349" s="8"/>
    </row>
    <row r="350">
      <c r="A350" s="142" t="s">
        <v>331</v>
      </c>
      <c r="B350" s="142" t="str">
        <f>IFERROR(__xludf.DUMMYFUNCTION("""COMPUTED_VALUE"""),"Asuncion")</f>
        <v>Asuncion</v>
      </c>
      <c r="C350" s="142" t="str">
        <f>IFERROR(__xludf.DUMMYFUNCTION("""COMPUTED_VALUE"""),"Carmen")</f>
        <v>Carmen</v>
      </c>
      <c r="D350" s="142" t="str">
        <f>IFERROR(__xludf.DUMMYFUNCTION("""COMPUTED_VALUE"""),"Kapalong")</f>
        <v>Kapalong</v>
      </c>
      <c r="E350" s="142" t="str">
        <f>IFERROR(__xludf.DUMMYFUNCTION("""COMPUTED_VALUE"""),"New Corella")</f>
        <v>New Corella</v>
      </c>
      <c r="F350" s="142" t="str">
        <f>IFERROR(__xludf.DUMMYFUNCTION("""COMPUTED_VALUE"""),"City of Panabo")</f>
        <v>City of Panabo</v>
      </c>
      <c r="G350" s="142" t="str">
        <f>IFERROR(__xludf.DUMMYFUNCTION("""COMPUTED_VALUE"""),"Island Garden City of Samal")</f>
        <v>Island Garden City of Samal</v>
      </c>
      <c r="H350" s="142" t="str">
        <f>IFERROR(__xludf.DUMMYFUNCTION("""COMPUTED_VALUE"""),"Santo Tomas")</f>
        <v>Santo Tomas</v>
      </c>
      <c r="I350" s="142" t="str">
        <f>IFERROR(__xludf.DUMMYFUNCTION("""COMPUTED_VALUE"""),"City of Tagum")</f>
        <v>City of Tagum</v>
      </c>
      <c r="J350" s="142" t="str">
        <f>IFERROR(__xludf.DUMMYFUNCTION("""COMPUTED_VALUE"""),"Talaingod")</f>
        <v>Talaingod</v>
      </c>
      <c r="K350" s="142" t="str">
        <f>IFERROR(__xludf.DUMMYFUNCTION("""COMPUTED_VALUE"""),"Braulio E. Dujali")</f>
        <v>Braulio E. Dujali</v>
      </c>
      <c r="L350" s="142" t="str">
        <f>IFERROR(__xludf.DUMMYFUNCTION("""COMPUTED_VALUE"""),"San Isidro")</f>
        <v>San Isidro</v>
      </c>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row>
    <row r="351">
      <c r="A351" s="142" t="s">
        <v>2528</v>
      </c>
      <c r="B351" s="142" t="str">
        <f>IFERROR(__xludf.DUMMYFUNCTION("""COMPUTED_VALUE"""),"Bacolod-Kalawi")</f>
        <v>Bacolod-Kalawi</v>
      </c>
      <c r="C351" s="142" t="str">
        <f>IFERROR(__xludf.DUMMYFUNCTION("""COMPUTED_VALUE"""),"Balabagan")</f>
        <v>Balabagan</v>
      </c>
      <c r="D351" s="142" t="str">
        <f>IFERROR(__xludf.DUMMYFUNCTION("""COMPUTED_VALUE"""),"Balindong")</f>
        <v>Balindong</v>
      </c>
      <c r="E351" s="142" t="str">
        <f>IFERROR(__xludf.DUMMYFUNCTION("""COMPUTED_VALUE"""),"Bayang")</f>
        <v>Bayang</v>
      </c>
      <c r="F351" s="142" t="str">
        <f>IFERROR(__xludf.DUMMYFUNCTION("""COMPUTED_VALUE"""),"Binidayan")</f>
        <v>Binidayan</v>
      </c>
      <c r="G351" s="142" t="str">
        <f>IFERROR(__xludf.DUMMYFUNCTION("""COMPUTED_VALUE"""),"Bubong")</f>
        <v>Bubong</v>
      </c>
      <c r="H351" s="142" t="str">
        <f>IFERROR(__xludf.DUMMYFUNCTION("""COMPUTED_VALUE"""),"Butig")</f>
        <v>Butig</v>
      </c>
      <c r="I351" s="142" t="str">
        <f>IFERROR(__xludf.DUMMYFUNCTION("""COMPUTED_VALUE"""),"Ganassi")</f>
        <v>Ganassi</v>
      </c>
      <c r="J351" s="142" t="str">
        <f>IFERROR(__xludf.DUMMYFUNCTION("""COMPUTED_VALUE"""),"Kapai")</f>
        <v>Kapai</v>
      </c>
      <c r="K351" s="142" t="str">
        <f>IFERROR(__xludf.DUMMYFUNCTION("""COMPUTED_VALUE"""),"Lumba-Bayabao")</f>
        <v>Lumba-Bayabao</v>
      </c>
      <c r="L351" s="142" t="str">
        <f>IFERROR(__xludf.DUMMYFUNCTION("""COMPUTED_VALUE"""),"Lumbatan")</f>
        <v>Lumbatan</v>
      </c>
      <c r="M351" s="142" t="str">
        <f>IFERROR(__xludf.DUMMYFUNCTION("""COMPUTED_VALUE"""),"Madalum")</f>
        <v>Madalum</v>
      </c>
      <c r="N351" s="142" t="str">
        <f>IFERROR(__xludf.DUMMYFUNCTION("""COMPUTED_VALUE"""),"Madamba")</f>
        <v>Madamba</v>
      </c>
      <c r="O351" s="142" t="str">
        <f>IFERROR(__xludf.DUMMYFUNCTION("""COMPUTED_VALUE"""),"Malabang")</f>
        <v>Malabang</v>
      </c>
      <c r="P351" s="142" t="str">
        <f>IFERROR(__xludf.DUMMYFUNCTION("""COMPUTED_VALUE"""),"Marantao")</f>
        <v>Marantao</v>
      </c>
      <c r="Q351" s="142" t="str">
        <f>IFERROR(__xludf.DUMMYFUNCTION("""COMPUTED_VALUE"""),"City of Marawi")</f>
        <v>City of Marawi</v>
      </c>
      <c r="R351" s="142" t="str">
        <f>IFERROR(__xludf.DUMMYFUNCTION("""COMPUTED_VALUE"""),"Masiu")</f>
        <v>Masiu</v>
      </c>
      <c r="S351" s="142" t="str">
        <f>IFERROR(__xludf.DUMMYFUNCTION("""COMPUTED_VALUE"""),"Mulondo")</f>
        <v>Mulondo</v>
      </c>
      <c r="T351" s="142" t="str">
        <f>IFERROR(__xludf.DUMMYFUNCTION("""COMPUTED_VALUE"""),"Pagayawan")</f>
        <v>Pagayawan</v>
      </c>
      <c r="U351" s="142" t="str">
        <f>IFERROR(__xludf.DUMMYFUNCTION("""COMPUTED_VALUE"""),"Piagapo")</f>
        <v>Piagapo</v>
      </c>
      <c r="V351" s="142" t="str">
        <f>IFERROR(__xludf.DUMMYFUNCTION("""COMPUTED_VALUE"""),"Poona Bayabao")</f>
        <v>Poona Bayabao</v>
      </c>
      <c r="W351" s="142" t="str">
        <f>IFERROR(__xludf.DUMMYFUNCTION("""COMPUTED_VALUE"""),"Pualas")</f>
        <v>Pualas</v>
      </c>
      <c r="X351" s="142" t="str">
        <f>IFERROR(__xludf.DUMMYFUNCTION("""COMPUTED_VALUE"""),"Ditsaan-Ramain")</f>
        <v>Ditsaan-Ramain</v>
      </c>
      <c r="Y351" s="142" t="str">
        <f>IFERROR(__xludf.DUMMYFUNCTION("""COMPUTED_VALUE"""),"Saguiaran")</f>
        <v>Saguiaran</v>
      </c>
      <c r="Z351" s="142" t="str">
        <f>IFERROR(__xludf.DUMMYFUNCTION("""COMPUTED_VALUE"""),"Tamparan")</f>
        <v>Tamparan</v>
      </c>
      <c r="AA351" s="142" t="str">
        <f>IFERROR(__xludf.DUMMYFUNCTION("""COMPUTED_VALUE"""),"Taraka")</f>
        <v>Taraka</v>
      </c>
      <c r="AB351" s="142" t="str">
        <f>IFERROR(__xludf.DUMMYFUNCTION("""COMPUTED_VALUE"""),"Tubaran")</f>
        <v>Tubaran</v>
      </c>
      <c r="AC351" s="142" t="str">
        <f>IFERROR(__xludf.DUMMYFUNCTION("""COMPUTED_VALUE"""),"Tugaya")</f>
        <v>Tugaya</v>
      </c>
      <c r="AD351" s="142" t="str">
        <f>IFERROR(__xludf.DUMMYFUNCTION("""COMPUTED_VALUE"""),"Wao")</f>
        <v>Wao</v>
      </c>
      <c r="AE351" s="142" t="str">
        <f>IFERROR(__xludf.DUMMYFUNCTION("""COMPUTED_VALUE"""),"Marogong")</f>
        <v>Marogong</v>
      </c>
      <c r="AF351" s="142" t="str">
        <f>IFERROR(__xludf.DUMMYFUNCTION("""COMPUTED_VALUE"""),"Calanogas")</f>
        <v>Calanogas</v>
      </c>
      <c r="AG351" s="142" t="str">
        <f>IFERROR(__xludf.DUMMYFUNCTION("""COMPUTED_VALUE"""),"Buadiposo-Buntong")</f>
        <v>Buadiposo-Buntong</v>
      </c>
      <c r="AH351" s="142" t="str">
        <f>IFERROR(__xludf.DUMMYFUNCTION("""COMPUTED_VALUE"""),"Maguing")</f>
        <v>Maguing</v>
      </c>
      <c r="AI351" s="142" t="str">
        <f>IFERROR(__xludf.DUMMYFUNCTION("""COMPUTED_VALUE"""),"Picong")</f>
        <v>Picong</v>
      </c>
      <c r="AJ351" s="142" t="str">
        <f>IFERROR(__xludf.DUMMYFUNCTION("""COMPUTED_VALUE"""),"Lumbayanague")</f>
        <v>Lumbayanague</v>
      </c>
      <c r="AK351" s="142" t="str">
        <f>IFERROR(__xludf.DUMMYFUNCTION("""COMPUTED_VALUE"""),"Amai Manabilang")</f>
        <v>Amai Manabilang</v>
      </c>
      <c r="AL351" s="142" t="str">
        <f>IFERROR(__xludf.DUMMYFUNCTION("""COMPUTED_VALUE"""),"Tagoloan Ii")</f>
        <v>Tagoloan Ii</v>
      </c>
      <c r="AM351" s="142" t="str">
        <f>IFERROR(__xludf.DUMMYFUNCTION("""COMPUTED_VALUE"""),"Kapatagan")</f>
        <v>Kapatagan</v>
      </c>
      <c r="AN351" s="142" t="str">
        <f>IFERROR(__xludf.DUMMYFUNCTION("""COMPUTED_VALUE"""),"Sultan Dumalondong")</f>
        <v>Sultan Dumalondong</v>
      </c>
      <c r="AO351" s="142" t="str">
        <f>IFERROR(__xludf.DUMMYFUNCTION("""COMPUTED_VALUE"""),"Lumbaca-Unayan")</f>
        <v>Lumbaca-Unayan</v>
      </c>
      <c r="AP351" s="8"/>
      <c r="AQ351" s="8"/>
      <c r="AR351" s="8"/>
      <c r="AS351" s="8"/>
      <c r="AT351" s="8"/>
      <c r="AU351" s="8"/>
      <c r="AV351" s="8"/>
      <c r="AW351" s="8"/>
      <c r="AX351" s="8"/>
      <c r="AY351" s="8"/>
      <c r="AZ351" s="8"/>
      <c r="BA351" s="8"/>
      <c r="BB351" s="8"/>
      <c r="BC351" s="8"/>
      <c r="BD351" s="8"/>
      <c r="BE351" s="8"/>
    </row>
    <row r="352">
      <c r="A352" s="142" t="s">
        <v>438</v>
      </c>
      <c r="B352" s="142" t="str">
        <f>IFERROR(__xludf.DUMMYFUNCTION("""COMPUTED_VALUE"""),"Agoo")</f>
        <v>Agoo</v>
      </c>
      <c r="C352" s="142" t="str">
        <f>IFERROR(__xludf.DUMMYFUNCTION("""COMPUTED_VALUE"""),"Aringay")</f>
        <v>Aringay</v>
      </c>
      <c r="D352" s="142" t="str">
        <f>IFERROR(__xludf.DUMMYFUNCTION("""COMPUTED_VALUE"""),"Bacnotan")</f>
        <v>Bacnotan</v>
      </c>
      <c r="E352" s="142" t="str">
        <f>IFERROR(__xludf.DUMMYFUNCTION("""COMPUTED_VALUE"""),"Bagulin")</f>
        <v>Bagulin</v>
      </c>
      <c r="F352" s="142" t="str">
        <f>IFERROR(__xludf.DUMMYFUNCTION("""COMPUTED_VALUE"""),"Balaoan")</f>
        <v>Balaoan</v>
      </c>
      <c r="G352" s="142" t="str">
        <f>IFERROR(__xludf.DUMMYFUNCTION("""COMPUTED_VALUE"""),"Bangar")</f>
        <v>Bangar</v>
      </c>
      <c r="H352" s="142" t="str">
        <f>IFERROR(__xludf.DUMMYFUNCTION("""COMPUTED_VALUE"""),"Bauang")</f>
        <v>Bauang</v>
      </c>
      <c r="I352" s="142" t="str">
        <f>IFERROR(__xludf.DUMMYFUNCTION("""COMPUTED_VALUE"""),"Burgos")</f>
        <v>Burgos</v>
      </c>
      <c r="J352" s="142" t="str">
        <f>IFERROR(__xludf.DUMMYFUNCTION("""COMPUTED_VALUE"""),"Caba")</f>
        <v>Caba</v>
      </c>
      <c r="K352" s="142" t="str">
        <f>IFERROR(__xludf.DUMMYFUNCTION("""COMPUTED_VALUE"""),"Luna")</f>
        <v>Luna</v>
      </c>
      <c r="L352" s="142" t="str">
        <f>IFERROR(__xludf.DUMMYFUNCTION("""COMPUTED_VALUE"""),"Naguilian")</f>
        <v>Naguilian</v>
      </c>
      <c r="M352" s="142" t="str">
        <f>IFERROR(__xludf.DUMMYFUNCTION("""COMPUTED_VALUE"""),"Pugo")</f>
        <v>Pugo</v>
      </c>
      <c r="N352" s="142" t="str">
        <f>IFERROR(__xludf.DUMMYFUNCTION("""COMPUTED_VALUE"""),"Rosario")</f>
        <v>Rosario</v>
      </c>
      <c r="O352" s="142" t="str">
        <f>IFERROR(__xludf.DUMMYFUNCTION("""COMPUTED_VALUE"""),"City of San Fernando")</f>
        <v>City of San Fernando</v>
      </c>
      <c r="P352" s="142" t="str">
        <f>IFERROR(__xludf.DUMMYFUNCTION("""COMPUTED_VALUE"""),"San Gabriel")</f>
        <v>San Gabriel</v>
      </c>
      <c r="Q352" s="142" t="str">
        <f>IFERROR(__xludf.DUMMYFUNCTION("""COMPUTED_VALUE"""),"San Juan")</f>
        <v>San Juan</v>
      </c>
      <c r="R352" s="142" t="str">
        <f>IFERROR(__xludf.DUMMYFUNCTION("""COMPUTED_VALUE"""),"Santo Tomas")</f>
        <v>Santo Tomas</v>
      </c>
      <c r="S352" s="142" t="str">
        <f>IFERROR(__xludf.DUMMYFUNCTION("""COMPUTED_VALUE"""),"Santol")</f>
        <v>Santol</v>
      </c>
      <c r="T352" s="142" t="str">
        <f>IFERROR(__xludf.DUMMYFUNCTION("""COMPUTED_VALUE"""),"Sudipen")</f>
        <v>Sudipen</v>
      </c>
      <c r="U352" s="142" t="str">
        <f>IFERROR(__xludf.DUMMYFUNCTION("""COMPUTED_VALUE"""),"Tubao")</f>
        <v>Tubao</v>
      </c>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row>
    <row r="353">
      <c r="A353" s="142" t="s">
        <v>144</v>
      </c>
      <c r="B353" s="142" t="str">
        <f>IFERROR(__xludf.DUMMYFUNCTION("""COMPUTED_VALUE"""),"Agno")</f>
        <v>Agno</v>
      </c>
      <c r="C353" s="142" t="str">
        <f>IFERROR(__xludf.DUMMYFUNCTION("""COMPUTED_VALUE"""),"Aguilar")</f>
        <v>Aguilar</v>
      </c>
      <c r="D353" s="142" t="str">
        <f>IFERROR(__xludf.DUMMYFUNCTION("""COMPUTED_VALUE"""),"City of Alaminos")</f>
        <v>City of Alaminos</v>
      </c>
      <c r="E353" s="142" t="str">
        <f>IFERROR(__xludf.DUMMYFUNCTION("""COMPUTED_VALUE"""),"Alcala")</f>
        <v>Alcala</v>
      </c>
      <c r="F353" s="142" t="str">
        <f>IFERROR(__xludf.DUMMYFUNCTION("""COMPUTED_VALUE"""),"Anda")</f>
        <v>Anda</v>
      </c>
      <c r="G353" s="142" t="str">
        <f>IFERROR(__xludf.DUMMYFUNCTION("""COMPUTED_VALUE"""),"Asingan")</f>
        <v>Asingan</v>
      </c>
      <c r="H353" s="142" t="str">
        <f>IFERROR(__xludf.DUMMYFUNCTION("""COMPUTED_VALUE"""),"Balungao")</f>
        <v>Balungao</v>
      </c>
      <c r="I353" s="142" t="str">
        <f>IFERROR(__xludf.DUMMYFUNCTION("""COMPUTED_VALUE"""),"Bani")</f>
        <v>Bani</v>
      </c>
      <c r="J353" s="142" t="str">
        <f>IFERROR(__xludf.DUMMYFUNCTION("""COMPUTED_VALUE"""),"Basista")</f>
        <v>Basista</v>
      </c>
      <c r="K353" s="142" t="str">
        <f>IFERROR(__xludf.DUMMYFUNCTION("""COMPUTED_VALUE"""),"Bautista")</f>
        <v>Bautista</v>
      </c>
      <c r="L353" s="142" t="str">
        <f>IFERROR(__xludf.DUMMYFUNCTION("""COMPUTED_VALUE"""),"Bayambang")</f>
        <v>Bayambang</v>
      </c>
      <c r="M353" s="142" t="str">
        <f>IFERROR(__xludf.DUMMYFUNCTION("""COMPUTED_VALUE"""),"Binalonan")</f>
        <v>Binalonan</v>
      </c>
      <c r="N353" s="142" t="str">
        <f>IFERROR(__xludf.DUMMYFUNCTION("""COMPUTED_VALUE"""),"Binmaley")</f>
        <v>Binmaley</v>
      </c>
      <c r="O353" s="142" t="str">
        <f>IFERROR(__xludf.DUMMYFUNCTION("""COMPUTED_VALUE"""),"Bolinao")</f>
        <v>Bolinao</v>
      </c>
      <c r="P353" s="142" t="str">
        <f>IFERROR(__xludf.DUMMYFUNCTION("""COMPUTED_VALUE"""),"Bugallon")</f>
        <v>Bugallon</v>
      </c>
      <c r="Q353" s="142" t="str">
        <f>IFERROR(__xludf.DUMMYFUNCTION("""COMPUTED_VALUE"""),"Burgos")</f>
        <v>Burgos</v>
      </c>
      <c r="R353" s="142" t="str">
        <f>IFERROR(__xludf.DUMMYFUNCTION("""COMPUTED_VALUE"""),"Calasiao")</f>
        <v>Calasiao</v>
      </c>
      <c r="S353" s="142" t="str">
        <f>IFERROR(__xludf.DUMMYFUNCTION("""COMPUTED_VALUE"""),"City of Dagupan")</f>
        <v>City of Dagupan</v>
      </c>
      <c r="T353" s="142" t="str">
        <f>IFERROR(__xludf.DUMMYFUNCTION("""COMPUTED_VALUE"""),"Dasol")</f>
        <v>Dasol</v>
      </c>
      <c r="U353" s="142" t="str">
        <f>IFERROR(__xludf.DUMMYFUNCTION("""COMPUTED_VALUE"""),"Infanta")</f>
        <v>Infanta</v>
      </c>
      <c r="V353" s="142" t="str">
        <f>IFERROR(__xludf.DUMMYFUNCTION("""COMPUTED_VALUE"""),"Labrador")</f>
        <v>Labrador</v>
      </c>
      <c r="W353" s="142" t="str">
        <f>IFERROR(__xludf.DUMMYFUNCTION("""COMPUTED_VALUE"""),"Lingayen")</f>
        <v>Lingayen</v>
      </c>
      <c r="X353" s="142" t="str">
        <f>IFERROR(__xludf.DUMMYFUNCTION("""COMPUTED_VALUE"""),"Mabini")</f>
        <v>Mabini</v>
      </c>
      <c r="Y353" s="142" t="str">
        <f>IFERROR(__xludf.DUMMYFUNCTION("""COMPUTED_VALUE"""),"Malasiqui")</f>
        <v>Malasiqui</v>
      </c>
      <c r="Z353" s="142" t="str">
        <f>IFERROR(__xludf.DUMMYFUNCTION("""COMPUTED_VALUE"""),"Manaoag")</f>
        <v>Manaoag</v>
      </c>
      <c r="AA353" s="142" t="str">
        <f>IFERROR(__xludf.DUMMYFUNCTION("""COMPUTED_VALUE"""),"Mangaldan")</f>
        <v>Mangaldan</v>
      </c>
      <c r="AB353" s="142" t="str">
        <f>IFERROR(__xludf.DUMMYFUNCTION("""COMPUTED_VALUE"""),"Mangatarem")</f>
        <v>Mangatarem</v>
      </c>
      <c r="AC353" s="142" t="str">
        <f>IFERROR(__xludf.DUMMYFUNCTION("""COMPUTED_VALUE"""),"Mapandan")</f>
        <v>Mapandan</v>
      </c>
      <c r="AD353" s="142" t="str">
        <f>IFERROR(__xludf.DUMMYFUNCTION("""COMPUTED_VALUE"""),"Natividad")</f>
        <v>Natividad</v>
      </c>
      <c r="AE353" s="142" t="str">
        <f>IFERROR(__xludf.DUMMYFUNCTION("""COMPUTED_VALUE"""),"Pozorrubio")</f>
        <v>Pozorrubio</v>
      </c>
      <c r="AF353" s="142" t="str">
        <f>IFERROR(__xludf.DUMMYFUNCTION("""COMPUTED_VALUE"""),"Rosales")</f>
        <v>Rosales</v>
      </c>
      <c r="AG353" s="142" t="str">
        <f>IFERROR(__xludf.DUMMYFUNCTION("""COMPUTED_VALUE"""),"City of San Carlos")</f>
        <v>City of San Carlos</v>
      </c>
      <c r="AH353" s="142" t="str">
        <f>IFERROR(__xludf.DUMMYFUNCTION("""COMPUTED_VALUE"""),"San Fabian")</f>
        <v>San Fabian</v>
      </c>
      <c r="AI353" s="142" t="str">
        <f>IFERROR(__xludf.DUMMYFUNCTION("""COMPUTED_VALUE"""),"San Jacinto")</f>
        <v>San Jacinto</v>
      </c>
      <c r="AJ353" s="142" t="str">
        <f>IFERROR(__xludf.DUMMYFUNCTION("""COMPUTED_VALUE"""),"San Manuel")</f>
        <v>San Manuel</v>
      </c>
      <c r="AK353" s="142" t="str">
        <f>IFERROR(__xludf.DUMMYFUNCTION("""COMPUTED_VALUE"""),"San Nicolas")</f>
        <v>San Nicolas</v>
      </c>
      <c r="AL353" s="142" t="str">
        <f>IFERROR(__xludf.DUMMYFUNCTION("""COMPUTED_VALUE"""),"San Quintin")</f>
        <v>San Quintin</v>
      </c>
      <c r="AM353" s="142" t="str">
        <f>IFERROR(__xludf.DUMMYFUNCTION("""COMPUTED_VALUE"""),"Santa Barbara")</f>
        <v>Santa Barbara</v>
      </c>
      <c r="AN353" s="142" t="str">
        <f>IFERROR(__xludf.DUMMYFUNCTION("""COMPUTED_VALUE"""),"Santa Maria")</f>
        <v>Santa Maria</v>
      </c>
      <c r="AO353" s="142" t="str">
        <f>IFERROR(__xludf.DUMMYFUNCTION("""COMPUTED_VALUE"""),"Santo Tomas")</f>
        <v>Santo Tomas</v>
      </c>
      <c r="AP353" s="142" t="str">
        <f>IFERROR(__xludf.DUMMYFUNCTION("""COMPUTED_VALUE"""),"Sison")</f>
        <v>Sison</v>
      </c>
      <c r="AQ353" s="142" t="str">
        <f>IFERROR(__xludf.DUMMYFUNCTION("""COMPUTED_VALUE"""),"Sual")</f>
        <v>Sual</v>
      </c>
      <c r="AR353" s="142" t="str">
        <f>IFERROR(__xludf.DUMMYFUNCTION("""COMPUTED_VALUE"""),"Tayug")</f>
        <v>Tayug</v>
      </c>
      <c r="AS353" s="142" t="str">
        <f>IFERROR(__xludf.DUMMYFUNCTION("""COMPUTED_VALUE"""),"Umingan")</f>
        <v>Umingan</v>
      </c>
      <c r="AT353" s="142" t="str">
        <f>IFERROR(__xludf.DUMMYFUNCTION("""COMPUTED_VALUE"""),"Urbiztondo")</f>
        <v>Urbiztondo</v>
      </c>
      <c r="AU353" s="142" t="str">
        <f>IFERROR(__xludf.DUMMYFUNCTION("""COMPUTED_VALUE"""),"City of Urdaneta")</f>
        <v>City of Urdaneta</v>
      </c>
      <c r="AV353" s="142" t="str">
        <f>IFERROR(__xludf.DUMMYFUNCTION("""COMPUTED_VALUE"""),"Villasis")</f>
        <v>Villasis</v>
      </c>
      <c r="AW353" s="142" t="str">
        <f>IFERROR(__xludf.DUMMYFUNCTION("""COMPUTED_VALUE"""),"Laoac")</f>
        <v>Laoac</v>
      </c>
      <c r="AX353" s="8"/>
      <c r="AY353" s="8"/>
      <c r="AZ353" s="8"/>
      <c r="BA353" s="8"/>
      <c r="BB353" s="8"/>
      <c r="BC353" s="8"/>
      <c r="BD353" s="8"/>
      <c r="BE353" s="8"/>
    </row>
    <row r="354">
      <c r="A354" s="142" t="s">
        <v>558</v>
      </c>
      <c r="B354" s="142" t="str">
        <f>IFERROR(__xludf.DUMMYFUNCTION("""COMPUTED_VALUE"""),"Ajuy")</f>
        <v>Ajuy</v>
      </c>
      <c r="C354" s="142" t="str">
        <f>IFERROR(__xludf.DUMMYFUNCTION("""COMPUTED_VALUE"""),"Alimodian")</f>
        <v>Alimodian</v>
      </c>
      <c r="D354" s="142" t="str">
        <f>IFERROR(__xludf.DUMMYFUNCTION("""COMPUTED_VALUE"""),"Anilao")</f>
        <v>Anilao</v>
      </c>
      <c r="E354" s="142" t="str">
        <f>IFERROR(__xludf.DUMMYFUNCTION("""COMPUTED_VALUE"""),"Badiangan")</f>
        <v>Badiangan</v>
      </c>
      <c r="F354" s="142" t="str">
        <f>IFERROR(__xludf.DUMMYFUNCTION("""COMPUTED_VALUE"""),"Balasan")</f>
        <v>Balasan</v>
      </c>
      <c r="G354" s="142" t="str">
        <f>IFERROR(__xludf.DUMMYFUNCTION("""COMPUTED_VALUE"""),"Banate")</f>
        <v>Banate</v>
      </c>
      <c r="H354" s="142" t="str">
        <f>IFERROR(__xludf.DUMMYFUNCTION("""COMPUTED_VALUE"""),"Barotac Nuevo")</f>
        <v>Barotac Nuevo</v>
      </c>
      <c r="I354" s="142" t="str">
        <f>IFERROR(__xludf.DUMMYFUNCTION("""COMPUTED_VALUE"""),"Barotac Viejo")</f>
        <v>Barotac Viejo</v>
      </c>
      <c r="J354" s="142" t="str">
        <f>IFERROR(__xludf.DUMMYFUNCTION("""COMPUTED_VALUE"""),"Batad")</f>
        <v>Batad</v>
      </c>
      <c r="K354" s="142" t="str">
        <f>IFERROR(__xludf.DUMMYFUNCTION("""COMPUTED_VALUE"""),"Bingawan")</f>
        <v>Bingawan</v>
      </c>
      <c r="L354" s="142" t="str">
        <f>IFERROR(__xludf.DUMMYFUNCTION("""COMPUTED_VALUE"""),"Cabatuan")</f>
        <v>Cabatuan</v>
      </c>
      <c r="M354" s="142" t="str">
        <f>IFERROR(__xludf.DUMMYFUNCTION("""COMPUTED_VALUE"""),"Calinog")</f>
        <v>Calinog</v>
      </c>
      <c r="N354" s="142" t="str">
        <f>IFERROR(__xludf.DUMMYFUNCTION("""COMPUTED_VALUE"""),"Carles")</f>
        <v>Carles</v>
      </c>
      <c r="O354" s="142" t="str">
        <f>IFERROR(__xludf.DUMMYFUNCTION("""COMPUTED_VALUE"""),"Concepcion")</f>
        <v>Concepcion</v>
      </c>
      <c r="P354" s="142" t="str">
        <f>IFERROR(__xludf.DUMMYFUNCTION("""COMPUTED_VALUE"""),"Dingle")</f>
        <v>Dingle</v>
      </c>
      <c r="Q354" s="142" t="str">
        <f>IFERROR(__xludf.DUMMYFUNCTION("""COMPUTED_VALUE"""),"Dueñas")</f>
        <v>Dueñas</v>
      </c>
      <c r="R354" s="142" t="str">
        <f>IFERROR(__xludf.DUMMYFUNCTION("""COMPUTED_VALUE"""),"Dumangas")</f>
        <v>Dumangas</v>
      </c>
      <c r="S354" s="142" t="str">
        <f>IFERROR(__xludf.DUMMYFUNCTION("""COMPUTED_VALUE"""),"Estancia")</f>
        <v>Estancia</v>
      </c>
      <c r="T354" s="142" t="str">
        <f>IFERROR(__xludf.DUMMYFUNCTION("""COMPUTED_VALUE"""),"Guimbal")</f>
        <v>Guimbal</v>
      </c>
      <c r="U354" s="142" t="str">
        <f>IFERROR(__xludf.DUMMYFUNCTION("""COMPUTED_VALUE"""),"Igbaras")</f>
        <v>Igbaras</v>
      </c>
      <c r="V354" s="142" t="str">
        <f>IFERROR(__xludf.DUMMYFUNCTION("""COMPUTED_VALUE"""),"City of Iloilo")</f>
        <v>City of Iloilo</v>
      </c>
      <c r="W354" s="142" t="str">
        <f>IFERROR(__xludf.DUMMYFUNCTION("""COMPUTED_VALUE"""),"Janiuay")</f>
        <v>Janiuay</v>
      </c>
      <c r="X354" s="142" t="str">
        <f>IFERROR(__xludf.DUMMYFUNCTION("""COMPUTED_VALUE"""),"Lambunao")</f>
        <v>Lambunao</v>
      </c>
      <c r="Y354" s="142" t="str">
        <f>IFERROR(__xludf.DUMMYFUNCTION("""COMPUTED_VALUE"""),"Leganes")</f>
        <v>Leganes</v>
      </c>
      <c r="Z354" s="142" t="str">
        <f>IFERROR(__xludf.DUMMYFUNCTION("""COMPUTED_VALUE"""),"Lemery")</f>
        <v>Lemery</v>
      </c>
      <c r="AA354" s="142" t="str">
        <f>IFERROR(__xludf.DUMMYFUNCTION("""COMPUTED_VALUE"""),"Leon")</f>
        <v>Leon</v>
      </c>
      <c r="AB354" s="142" t="str">
        <f>IFERROR(__xludf.DUMMYFUNCTION("""COMPUTED_VALUE"""),"Maasin")</f>
        <v>Maasin</v>
      </c>
      <c r="AC354" s="142" t="str">
        <f>IFERROR(__xludf.DUMMYFUNCTION("""COMPUTED_VALUE"""),"Miagao")</f>
        <v>Miagao</v>
      </c>
      <c r="AD354" s="142" t="str">
        <f>IFERROR(__xludf.DUMMYFUNCTION("""COMPUTED_VALUE"""),"Mina")</f>
        <v>Mina</v>
      </c>
      <c r="AE354" s="142" t="str">
        <f>IFERROR(__xludf.DUMMYFUNCTION("""COMPUTED_VALUE"""),"New Lucena")</f>
        <v>New Lucena</v>
      </c>
      <c r="AF354" s="142" t="str">
        <f>IFERROR(__xludf.DUMMYFUNCTION("""COMPUTED_VALUE"""),"Oton")</f>
        <v>Oton</v>
      </c>
      <c r="AG354" s="142" t="str">
        <f>IFERROR(__xludf.DUMMYFUNCTION("""COMPUTED_VALUE"""),"City of Passi")</f>
        <v>City of Passi</v>
      </c>
      <c r="AH354" s="142" t="str">
        <f>IFERROR(__xludf.DUMMYFUNCTION("""COMPUTED_VALUE"""),"Pavia")</f>
        <v>Pavia</v>
      </c>
      <c r="AI354" s="142" t="str">
        <f>IFERROR(__xludf.DUMMYFUNCTION("""COMPUTED_VALUE"""),"Pototan")</f>
        <v>Pototan</v>
      </c>
      <c r="AJ354" s="142" t="str">
        <f>IFERROR(__xludf.DUMMYFUNCTION("""COMPUTED_VALUE"""),"San Dionisio")</f>
        <v>San Dionisio</v>
      </c>
      <c r="AK354" s="142" t="str">
        <f>IFERROR(__xludf.DUMMYFUNCTION("""COMPUTED_VALUE"""),"San Enrique")</f>
        <v>San Enrique</v>
      </c>
      <c r="AL354" s="142" t="str">
        <f>IFERROR(__xludf.DUMMYFUNCTION("""COMPUTED_VALUE"""),"San Joaquin")</f>
        <v>San Joaquin</v>
      </c>
      <c r="AM354" s="142" t="str">
        <f>IFERROR(__xludf.DUMMYFUNCTION("""COMPUTED_VALUE"""),"San Miguel")</f>
        <v>San Miguel</v>
      </c>
      <c r="AN354" s="142" t="str">
        <f>IFERROR(__xludf.DUMMYFUNCTION("""COMPUTED_VALUE"""),"San Rafael")</f>
        <v>San Rafael</v>
      </c>
      <c r="AO354" s="142" t="str">
        <f>IFERROR(__xludf.DUMMYFUNCTION("""COMPUTED_VALUE"""),"Santa Barbara")</f>
        <v>Santa Barbara</v>
      </c>
      <c r="AP354" s="142" t="str">
        <f>IFERROR(__xludf.DUMMYFUNCTION("""COMPUTED_VALUE"""),"Sara")</f>
        <v>Sara</v>
      </c>
      <c r="AQ354" s="142" t="str">
        <f>IFERROR(__xludf.DUMMYFUNCTION("""COMPUTED_VALUE"""),"Tigbauan")</f>
        <v>Tigbauan</v>
      </c>
      <c r="AR354" s="142" t="str">
        <f>IFERROR(__xludf.DUMMYFUNCTION("""COMPUTED_VALUE"""),"Tubungan")</f>
        <v>Tubungan</v>
      </c>
      <c r="AS354" s="142" t="str">
        <f>IFERROR(__xludf.DUMMYFUNCTION("""COMPUTED_VALUE"""),"Zarraga")</f>
        <v>Zarraga</v>
      </c>
      <c r="AT354" s="8"/>
      <c r="AU354" s="8"/>
      <c r="AV354" s="8"/>
      <c r="AW354" s="8"/>
      <c r="AX354" s="8"/>
      <c r="AY354" s="8"/>
      <c r="AZ354" s="8"/>
      <c r="BA354" s="8"/>
      <c r="BB354" s="8"/>
      <c r="BC354" s="8"/>
      <c r="BD354" s="8"/>
      <c r="BE354" s="8"/>
    </row>
    <row r="355">
      <c r="A355" s="142" t="s">
        <v>649</v>
      </c>
      <c r="B355" s="142" t="str">
        <f>IFERROR(__xludf.DUMMYFUNCTION("""COMPUTED_VALUE"""),"Buenavista")</f>
        <v>Buenavista</v>
      </c>
      <c r="C355" s="142" t="str">
        <f>IFERROR(__xludf.DUMMYFUNCTION("""COMPUTED_VALUE"""),"City of Butuan")</f>
        <v>City of Butuan</v>
      </c>
      <c r="D355" s="142" t="str">
        <f>IFERROR(__xludf.DUMMYFUNCTION("""COMPUTED_VALUE"""),"City of Cabadbaran")</f>
        <v>City of Cabadbaran</v>
      </c>
      <c r="E355" s="142" t="str">
        <f>IFERROR(__xludf.DUMMYFUNCTION("""COMPUTED_VALUE"""),"Carmen")</f>
        <v>Carmen</v>
      </c>
      <c r="F355" s="142" t="str">
        <f>IFERROR(__xludf.DUMMYFUNCTION("""COMPUTED_VALUE"""),"Jabonga")</f>
        <v>Jabonga</v>
      </c>
      <c r="G355" s="142" t="str">
        <f>IFERROR(__xludf.DUMMYFUNCTION("""COMPUTED_VALUE"""),"Kitcharao")</f>
        <v>Kitcharao</v>
      </c>
      <c r="H355" s="142" t="str">
        <f>IFERROR(__xludf.DUMMYFUNCTION("""COMPUTED_VALUE"""),"Las Nieves")</f>
        <v>Las Nieves</v>
      </c>
      <c r="I355" s="142" t="str">
        <f>IFERROR(__xludf.DUMMYFUNCTION("""COMPUTED_VALUE"""),"Magallanes")</f>
        <v>Magallanes</v>
      </c>
      <c r="J355" s="142" t="str">
        <f>IFERROR(__xludf.DUMMYFUNCTION("""COMPUTED_VALUE"""),"Nasipit")</f>
        <v>Nasipit</v>
      </c>
      <c r="K355" s="142" t="str">
        <f>IFERROR(__xludf.DUMMYFUNCTION("""COMPUTED_VALUE"""),"Santiago")</f>
        <v>Santiago</v>
      </c>
      <c r="L355" s="142" t="str">
        <f>IFERROR(__xludf.DUMMYFUNCTION("""COMPUTED_VALUE"""),"Tubay")</f>
        <v>Tubay</v>
      </c>
      <c r="M355" s="142" t="str">
        <f>IFERROR(__xludf.DUMMYFUNCTION("""COMPUTED_VALUE"""),"Remedios T. Romualdez")</f>
        <v>Remedios T. Romualdez</v>
      </c>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row>
    <row r="356">
      <c r="A356" s="142" t="s">
        <v>523</v>
      </c>
      <c r="B356" s="142" t="str">
        <f>IFERROR(__xludf.DUMMYFUNCTION("""COMPUTED_VALUE"""),"Aborlan")</f>
        <v>Aborlan</v>
      </c>
      <c r="C356" s="142" t="str">
        <f>IFERROR(__xludf.DUMMYFUNCTION("""COMPUTED_VALUE"""),"Agutaya")</f>
        <v>Agutaya</v>
      </c>
      <c r="D356" s="142" t="str">
        <f>IFERROR(__xludf.DUMMYFUNCTION("""COMPUTED_VALUE"""),"Araceli")</f>
        <v>Araceli</v>
      </c>
      <c r="E356" s="142" t="str">
        <f>IFERROR(__xludf.DUMMYFUNCTION("""COMPUTED_VALUE"""),"Balabac")</f>
        <v>Balabac</v>
      </c>
      <c r="F356" s="142" t="str">
        <f>IFERROR(__xludf.DUMMYFUNCTION("""COMPUTED_VALUE"""),"Bataraza")</f>
        <v>Bataraza</v>
      </c>
      <c r="G356" s="142" t="str">
        <f>IFERROR(__xludf.DUMMYFUNCTION("""COMPUTED_VALUE"""),"Brooke's Point")</f>
        <v>Brooke's Point</v>
      </c>
      <c r="H356" s="142" t="str">
        <f>IFERROR(__xludf.DUMMYFUNCTION("""COMPUTED_VALUE"""),"Busuanga")</f>
        <v>Busuanga</v>
      </c>
      <c r="I356" s="142" t="str">
        <f>IFERROR(__xludf.DUMMYFUNCTION("""COMPUTED_VALUE"""),"Cagayancillo")</f>
        <v>Cagayancillo</v>
      </c>
      <c r="J356" s="142" t="str">
        <f>IFERROR(__xludf.DUMMYFUNCTION("""COMPUTED_VALUE"""),"Coron")</f>
        <v>Coron</v>
      </c>
      <c r="K356" s="142" t="str">
        <f>IFERROR(__xludf.DUMMYFUNCTION("""COMPUTED_VALUE"""),"Cuyo")</f>
        <v>Cuyo</v>
      </c>
      <c r="L356" s="142" t="str">
        <f>IFERROR(__xludf.DUMMYFUNCTION("""COMPUTED_VALUE"""),"Dumaran")</f>
        <v>Dumaran</v>
      </c>
      <c r="M356" s="142" t="str">
        <f>IFERROR(__xludf.DUMMYFUNCTION("""COMPUTED_VALUE"""),"El Nido")</f>
        <v>El Nido</v>
      </c>
      <c r="N356" s="142" t="str">
        <f>IFERROR(__xludf.DUMMYFUNCTION("""COMPUTED_VALUE"""),"Linapacan")</f>
        <v>Linapacan</v>
      </c>
      <c r="O356" s="142" t="str">
        <f>IFERROR(__xludf.DUMMYFUNCTION("""COMPUTED_VALUE"""),"Magsaysay")</f>
        <v>Magsaysay</v>
      </c>
      <c r="P356" s="142" t="str">
        <f>IFERROR(__xludf.DUMMYFUNCTION("""COMPUTED_VALUE"""),"Narra")</f>
        <v>Narra</v>
      </c>
      <c r="Q356" s="142" t="str">
        <f>IFERROR(__xludf.DUMMYFUNCTION("""COMPUTED_VALUE"""),"City of Puerto Princesa")</f>
        <v>City of Puerto Princesa</v>
      </c>
      <c r="R356" s="142" t="str">
        <f>IFERROR(__xludf.DUMMYFUNCTION("""COMPUTED_VALUE"""),"Quezon")</f>
        <v>Quezon</v>
      </c>
      <c r="S356" s="142" t="str">
        <f>IFERROR(__xludf.DUMMYFUNCTION("""COMPUTED_VALUE"""),"Roxas")</f>
        <v>Roxas</v>
      </c>
      <c r="T356" s="142" t="str">
        <f>IFERROR(__xludf.DUMMYFUNCTION("""COMPUTED_VALUE"""),"San Vicente")</f>
        <v>San Vicente</v>
      </c>
      <c r="U356" s="142" t="str">
        <f>IFERROR(__xludf.DUMMYFUNCTION("""COMPUTED_VALUE"""),"Taytay")</f>
        <v>Taytay</v>
      </c>
      <c r="V356" s="142" t="str">
        <f>IFERROR(__xludf.DUMMYFUNCTION("""COMPUTED_VALUE"""),"Kalayaan")</f>
        <v>Kalayaan</v>
      </c>
      <c r="W356" s="142" t="str">
        <f>IFERROR(__xludf.DUMMYFUNCTION("""COMPUTED_VALUE"""),"Culion")</f>
        <v>Culion</v>
      </c>
      <c r="X356" s="142" t="str">
        <f>IFERROR(__xludf.DUMMYFUNCTION("""COMPUTED_VALUE"""),"Dr. Jose P. Rizal")</f>
        <v>Dr. Jose P. Rizal</v>
      </c>
      <c r="Y356" s="142" t="str">
        <f>IFERROR(__xludf.DUMMYFUNCTION("""COMPUTED_VALUE"""),"Sofronio Española")</f>
        <v>Sofronio Española</v>
      </c>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row>
    <row r="357">
      <c r="A357" s="142" t="s">
        <v>615</v>
      </c>
      <c r="B357" s="142" t="str">
        <f>IFERROR(__xludf.DUMMYFUNCTION("""COMPUTED_VALUE"""),"Bansalan")</f>
        <v>Bansalan</v>
      </c>
      <c r="C357" s="142" t="str">
        <f>IFERROR(__xludf.DUMMYFUNCTION("""COMPUTED_VALUE"""),"City of Davao")</f>
        <v>City of Davao</v>
      </c>
      <c r="D357" s="142" t="str">
        <f>IFERROR(__xludf.DUMMYFUNCTION("""COMPUTED_VALUE"""),"City of Digos")</f>
        <v>City of Digos</v>
      </c>
      <c r="E357" s="142" t="str">
        <f>IFERROR(__xludf.DUMMYFUNCTION("""COMPUTED_VALUE"""),"Hagonoy")</f>
        <v>Hagonoy</v>
      </c>
      <c r="F357" s="142" t="str">
        <f>IFERROR(__xludf.DUMMYFUNCTION("""COMPUTED_VALUE"""),"Kiblawan")</f>
        <v>Kiblawan</v>
      </c>
      <c r="G357" s="142" t="str">
        <f>IFERROR(__xludf.DUMMYFUNCTION("""COMPUTED_VALUE"""),"Magsaysay")</f>
        <v>Magsaysay</v>
      </c>
      <c r="H357" s="142" t="str">
        <f>IFERROR(__xludf.DUMMYFUNCTION("""COMPUTED_VALUE"""),"Malalag")</f>
        <v>Malalag</v>
      </c>
      <c r="I357" s="142" t="str">
        <f>IFERROR(__xludf.DUMMYFUNCTION("""COMPUTED_VALUE"""),"Matanao")</f>
        <v>Matanao</v>
      </c>
      <c r="J357" s="142" t="str">
        <f>IFERROR(__xludf.DUMMYFUNCTION("""COMPUTED_VALUE"""),"Padada")</f>
        <v>Padada</v>
      </c>
      <c r="K357" s="142" t="str">
        <f>IFERROR(__xludf.DUMMYFUNCTION("""COMPUTED_VALUE"""),"Santa Cruz")</f>
        <v>Santa Cruz</v>
      </c>
      <c r="L357" s="142" t="str">
        <f>IFERROR(__xludf.DUMMYFUNCTION("""COMPUTED_VALUE"""),"Sulop")</f>
        <v>Sulop</v>
      </c>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row>
    <row r="358">
      <c r="A358" s="142" t="s">
        <v>381</v>
      </c>
      <c r="B358" s="142" t="str">
        <f>IFERROR(__xludf.DUMMYFUNCTION("""COMPUTED_VALUE"""),"Adams")</f>
        <v>Adams</v>
      </c>
      <c r="C358" s="142" t="str">
        <f>IFERROR(__xludf.DUMMYFUNCTION("""COMPUTED_VALUE"""),"Bacarra")</f>
        <v>Bacarra</v>
      </c>
      <c r="D358" s="142" t="str">
        <f>IFERROR(__xludf.DUMMYFUNCTION("""COMPUTED_VALUE"""),"Badoc")</f>
        <v>Badoc</v>
      </c>
      <c r="E358" s="142" t="str">
        <f>IFERROR(__xludf.DUMMYFUNCTION("""COMPUTED_VALUE"""),"Bangui")</f>
        <v>Bangui</v>
      </c>
      <c r="F358" s="142" t="str">
        <f>IFERROR(__xludf.DUMMYFUNCTION("""COMPUTED_VALUE"""),"City of Batac")</f>
        <v>City of Batac</v>
      </c>
      <c r="G358" s="142" t="str">
        <f>IFERROR(__xludf.DUMMYFUNCTION("""COMPUTED_VALUE"""),"Burgos")</f>
        <v>Burgos</v>
      </c>
      <c r="H358" s="142" t="str">
        <f>IFERROR(__xludf.DUMMYFUNCTION("""COMPUTED_VALUE"""),"Carasi")</f>
        <v>Carasi</v>
      </c>
      <c r="I358" s="142" t="str">
        <f>IFERROR(__xludf.DUMMYFUNCTION("""COMPUTED_VALUE"""),"Currimao")</f>
        <v>Currimao</v>
      </c>
      <c r="J358" s="142" t="str">
        <f>IFERROR(__xludf.DUMMYFUNCTION("""COMPUTED_VALUE"""),"Dingras")</f>
        <v>Dingras</v>
      </c>
      <c r="K358" s="142" t="str">
        <f>IFERROR(__xludf.DUMMYFUNCTION("""COMPUTED_VALUE"""),"Dumalneg")</f>
        <v>Dumalneg</v>
      </c>
      <c r="L358" s="142" t="str">
        <f>IFERROR(__xludf.DUMMYFUNCTION("""COMPUTED_VALUE"""),"Banna")</f>
        <v>Banna</v>
      </c>
      <c r="M358" s="142" t="str">
        <f>IFERROR(__xludf.DUMMYFUNCTION("""COMPUTED_VALUE"""),"City of Laoag")</f>
        <v>City of Laoag</v>
      </c>
      <c r="N358" s="142" t="str">
        <f>IFERROR(__xludf.DUMMYFUNCTION("""COMPUTED_VALUE"""),"Marcos")</f>
        <v>Marcos</v>
      </c>
      <c r="O358" s="142" t="str">
        <f>IFERROR(__xludf.DUMMYFUNCTION("""COMPUTED_VALUE"""),"Nueva Era")</f>
        <v>Nueva Era</v>
      </c>
      <c r="P358" s="142" t="str">
        <f>IFERROR(__xludf.DUMMYFUNCTION("""COMPUTED_VALUE"""),"Pagudpud")</f>
        <v>Pagudpud</v>
      </c>
      <c r="Q358" s="142" t="str">
        <f>IFERROR(__xludf.DUMMYFUNCTION("""COMPUTED_VALUE"""),"Paoay")</f>
        <v>Paoay</v>
      </c>
      <c r="R358" s="142" t="str">
        <f>IFERROR(__xludf.DUMMYFUNCTION("""COMPUTED_VALUE"""),"Pasuquin")</f>
        <v>Pasuquin</v>
      </c>
      <c r="S358" s="142" t="str">
        <f>IFERROR(__xludf.DUMMYFUNCTION("""COMPUTED_VALUE"""),"Piddig")</f>
        <v>Piddig</v>
      </c>
      <c r="T358" s="142" t="str">
        <f>IFERROR(__xludf.DUMMYFUNCTION("""COMPUTED_VALUE"""),"Pinili")</f>
        <v>Pinili</v>
      </c>
      <c r="U358" s="142" t="str">
        <f>IFERROR(__xludf.DUMMYFUNCTION("""COMPUTED_VALUE"""),"San Nicolas")</f>
        <v>San Nicolas</v>
      </c>
      <c r="V358" s="142" t="str">
        <f>IFERROR(__xludf.DUMMYFUNCTION("""COMPUTED_VALUE"""),"Sarrat")</f>
        <v>Sarrat</v>
      </c>
      <c r="W358" s="142" t="str">
        <f>IFERROR(__xludf.DUMMYFUNCTION("""COMPUTED_VALUE"""),"Solsona")</f>
        <v>Solsona</v>
      </c>
      <c r="X358" s="142" t="str">
        <f>IFERROR(__xludf.DUMMYFUNCTION("""COMPUTED_VALUE"""),"Vintar")</f>
        <v>Vintar</v>
      </c>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row>
    <row r="359">
      <c r="A359" s="142" t="s">
        <v>404</v>
      </c>
      <c r="B359" s="142" t="str">
        <f>IFERROR(__xludf.DUMMYFUNCTION("""COMPUTED_VALUE"""),"Alilem")</f>
        <v>Alilem</v>
      </c>
      <c r="C359" s="142" t="str">
        <f>IFERROR(__xludf.DUMMYFUNCTION("""COMPUTED_VALUE"""),"Banayoyo")</f>
        <v>Banayoyo</v>
      </c>
      <c r="D359" s="142" t="str">
        <f>IFERROR(__xludf.DUMMYFUNCTION("""COMPUTED_VALUE"""),"Bantay")</f>
        <v>Bantay</v>
      </c>
      <c r="E359" s="142" t="str">
        <f>IFERROR(__xludf.DUMMYFUNCTION("""COMPUTED_VALUE"""),"Burgos")</f>
        <v>Burgos</v>
      </c>
      <c r="F359" s="142" t="str">
        <f>IFERROR(__xludf.DUMMYFUNCTION("""COMPUTED_VALUE"""),"Cabugao")</f>
        <v>Cabugao</v>
      </c>
      <c r="G359" s="142" t="str">
        <f>IFERROR(__xludf.DUMMYFUNCTION("""COMPUTED_VALUE"""),"City of Candon")</f>
        <v>City of Candon</v>
      </c>
      <c r="H359" s="142" t="str">
        <f>IFERROR(__xludf.DUMMYFUNCTION("""COMPUTED_VALUE"""),"Caoayan")</f>
        <v>Caoayan</v>
      </c>
      <c r="I359" s="142" t="str">
        <f>IFERROR(__xludf.DUMMYFUNCTION("""COMPUTED_VALUE"""),"Cervantes")</f>
        <v>Cervantes</v>
      </c>
      <c r="J359" s="142" t="str">
        <f>IFERROR(__xludf.DUMMYFUNCTION("""COMPUTED_VALUE"""),"Galimuyod")</f>
        <v>Galimuyod</v>
      </c>
      <c r="K359" s="142" t="str">
        <f>IFERROR(__xludf.DUMMYFUNCTION("""COMPUTED_VALUE"""),"Gregorio del Pilar")</f>
        <v>Gregorio del Pilar</v>
      </c>
      <c r="L359" s="142" t="str">
        <f>IFERROR(__xludf.DUMMYFUNCTION("""COMPUTED_VALUE"""),"Lidlidda")</f>
        <v>Lidlidda</v>
      </c>
      <c r="M359" s="142" t="str">
        <f>IFERROR(__xludf.DUMMYFUNCTION("""COMPUTED_VALUE"""),"Magsingal")</f>
        <v>Magsingal</v>
      </c>
      <c r="N359" s="142" t="str">
        <f>IFERROR(__xludf.DUMMYFUNCTION("""COMPUTED_VALUE"""),"Nagbukel")</f>
        <v>Nagbukel</v>
      </c>
      <c r="O359" s="142" t="str">
        <f>IFERROR(__xludf.DUMMYFUNCTION("""COMPUTED_VALUE"""),"Narvacan")</f>
        <v>Narvacan</v>
      </c>
      <c r="P359" s="142" t="str">
        <f>IFERROR(__xludf.DUMMYFUNCTION("""COMPUTED_VALUE"""),"Quirino")</f>
        <v>Quirino</v>
      </c>
      <c r="Q359" s="142" t="str">
        <f>IFERROR(__xludf.DUMMYFUNCTION("""COMPUTED_VALUE"""),"Salcedo")</f>
        <v>Salcedo</v>
      </c>
      <c r="R359" s="142" t="str">
        <f>IFERROR(__xludf.DUMMYFUNCTION("""COMPUTED_VALUE"""),"San Emilio")</f>
        <v>San Emilio</v>
      </c>
      <c r="S359" s="142" t="str">
        <f>IFERROR(__xludf.DUMMYFUNCTION("""COMPUTED_VALUE"""),"San Esteban")</f>
        <v>San Esteban</v>
      </c>
      <c r="T359" s="142" t="str">
        <f>IFERROR(__xludf.DUMMYFUNCTION("""COMPUTED_VALUE"""),"San Ildefonso")</f>
        <v>San Ildefonso</v>
      </c>
      <c r="U359" s="142" t="str">
        <f>IFERROR(__xludf.DUMMYFUNCTION("""COMPUTED_VALUE"""),"San Juan")</f>
        <v>San Juan</v>
      </c>
      <c r="V359" s="142" t="str">
        <f>IFERROR(__xludf.DUMMYFUNCTION("""COMPUTED_VALUE"""),"San Vicente")</f>
        <v>San Vicente</v>
      </c>
      <c r="W359" s="142" t="str">
        <f>IFERROR(__xludf.DUMMYFUNCTION("""COMPUTED_VALUE"""),"Santa")</f>
        <v>Santa</v>
      </c>
      <c r="X359" s="142" t="str">
        <f>IFERROR(__xludf.DUMMYFUNCTION("""COMPUTED_VALUE"""),"Santa Catalina")</f>
        <v>Santa Catalina</v>
      </c>
      <c r="Y359" s="142" t="str">
        <f>IFERROR(__xludf.DUMMYFUNCTION("""COMPUTED_VALUE"""),"Santa Cruz")</f>
        <v>Santa Cruz</v>
      </c>
      <c r="Z359" s="142" t="str">
        <f>IFERROR(__xludf.DUMMYFUNCTION("""COMPUTED_VALUE"""),"Santa Lucia")</f>
        <v>Santa Lucia</v>
      </c>
      <c r="AA359" s="142" t="str">
        <f>IFERROR(__xludf.DUMMYFUNCTION("""COMPUTED_VALUE"""),"Santa Maria")</f>
        <v>Santa Maria</v>
      </c>
      <c r="AB359" s="142" t="str">
        <f>IFERROR(__xludf.DUMMYFUNCTION("""COMPUTED_VALUE"""),"Santiago")</f>
        <v>Santiago</v>
      </c>
      <c r="AC359" s="142" t="str">
        <f>IFERROR(__xludf.DUMMYFUNCTION("""COMPUTED_VALUE"""),"Santo Domingo")</f>
        <v>Santo Domingo</v>
      </c>
      <c r="AD359" s="142" t="str">
        <f>IFERROR(__xludf.DUMMYFUNCTION("""COMPUTED_VALUE"""),"Sigay")</f>
        <v>Sigay</v>
      </c>
      <c r="AE359" s="142" t="str">
        <f>IFERROR(__xludf.DUMMYFUNCTION("""COMPUTED_VALUE"""),"Sinait")</f>
        <v>Sinait</v>
      </c>
      <c r="AF359" s="142" t="str">
        <f>IFERROR(__xludf.DUMMYFUNCTION("""COMPUTED_VALUE"""),"Sugpon")</f>
        <v>Sugpon</v>
      </c>
      <c r="AG359" s="142" t="str">
        <f>IFERROR(__xludf.DUMMYFUNCTION("""COMPUTED_VALUE"""),"Suyo")</f>
        <v>Suyo</v>
      </c>
      <c r="AH359" s="142" t="str">
        <f>IFERROR(__xludf.DUMMYFUNCTION("""COMPUTED_VALUE"""),"Tagudin")</f>
        <v>Tagudin</v>
      </c>
      <c r="AI359" s="142" t="str">
        <f>IFERROR(__xludf.DUMMYFUNCTION("""COMPUTED_VALUE"""),"City of Vigan")</f>
        <v>City of Vigan</v>
      </c>
      <c r="AJ359" s="8"/>
      <c r="AK359" s="8"/>
      <c r="AL359" s="8"/>
      <c r="AM359" s="8"/>
      <c r="AN359" s="8"/>
      <c r="AO359" s="8"/>
      <c r="AP359" s="8"/>
      <c r="AQ359" s="8"/>
      <c r="AR359" s="8"/>
      <c r="AS359" s="8"/>
      <c r="AT359" s="8"/>
      <c r="AU359" s="8"/>
      <c r="AV359" s="8"/>
      <c r="AW359" s="8"/>
      <c r="AX359" s="8"/>
      <c r="AY359" s="8"/>
      <c r="AZ359" s="8"/>
      <c r="BA359" s="8"/>
      <c r="BB359" s="8"/>
      <c r="BC359" s="8"/>
      <c r="BD359" s="8"/>
      <c r="BE359" s="8"/>
    </row>
    <row r="360">
      <c r="A360" s="142" t="s">
        <v>294</v>
      </c>
      <c r="B360" s="142" t="str">
        <f>IFERROR(__xludf.DUMMYFUNCTION("""COMPUTED_VALUE"""),"Botolan")</f>
        <v>Botolan</v>
      </c>
      <c r="C360" s="142" t="str">
        <f>IFERROR(__xludf.DUMMYFUNCTION("""COMPUTED_VALUE"""),"Cabangan")</f>
        <v>Cabangan</v>
      </c>
      <c r="D360" s="142" t="str">
        <f>IFERROR(__xludf.DUMMYFUNCTION("""COMPUTED_VALUE"""),"Candelaria")</f>
        <v>Candelaria</v>
      </c>
      <c r="E360" s="142" t="str">
        <f>IFERROR(__xludf.DUMMYFUNCTION("""COMPUTED_VALUE"""),"Castillejos")</f>
        <v>Castillejos</v>
      </c>
      <c r="F360" s="142" t="str">
        <f>IFERROR(__xludf.DUMMYFUNCTION("""COMPUTED_VALUE"""),"Iba")</f>
        <v>Iba</v>
      </c>
      <c r="G360" s="142" t="str">
        <f>IFERROR(__xludf.DUMMYFUNCTION("""COMPUTED_VALUE"""),"Masinloc")</f>
        <v>Masinloc</v>
      </c>
      <c r="H360" s="142" t="str">
        <f>IFERROR(__xludf.DUMMYFUNCTION("""COMPUTED_VALUE"""),"City of Olongapo")</f>
        <v>City of Olongapo</v>
      </c>
      <c r="I360" s="142" t="str">
        <f>IFERROR(__xludf.DUMMYFUNCTION("""COMPUTED_VALUE"""),"Palauig")</f>
        <v>Palauig</v>
      </c>
      <c r="J360" s="142" t="str">
        <f>IFERROR(__xludf.DUMMYFUNCTION("""COMPUTED_VALUE"""),"San Antonio")</f>
        <v>San Antonio</v>
      </c>
      <c r="K360" s="142" t="str">
        <f>IFERROR(__xludf.DUMMYFUNCTION("""COMPUTED_VALUE"""),"San Felipe")</f>
        <v>San Felipe</v>
      </c>
      <c r="L360" s="142" t="str">
        <f>IFERROR(__xludf.DUMMYFUNCTION("""COMPUTED_VALUE"""),"San Marcelino")</f>
        <v>San Marcelino</v>
      </c>
      <c r="M360" s="142" t="str">
        <f>IFERROR(__xludf.DUMMYFUNCTION("""COMPUTED_VALUE"""),"San Narciso")</f>
        <v>San Narciso</v>
      </c>
      <c r="N360" s="142" t="str">
        <f>IFERROR(__xludf.DUMMYFUNCTION("""COMPUTED_VALUE"""),"Santa Cruz")</f>
        <v>Santa Cruz</v>
      </c>
      <c r="O360" s="142" t="str">
        <f>IFERROR(__xludf.DUMMYFUNCTION("""COMPUTED_VALUE"""),"Subic")</f>
        <v>Subic</v>
      </c>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row>
    <row r="361">
      <c r="A361" s="142" t="s">
        <v>258</v>
      </c>
      <c r="B361" s="142" t="str">
        <f>IFERROR(__xludf.DUMMYFUNCTION("""COMPUTED_VALUE"""),"Agoncillo")</f>
        <v>Agoncillo</v>
      </c>
      <c r="C361" s="142" t="str">
        <f>IFERROR(__xludf.DUMMYFUNCTION("""COMPUTED_VALUE"""),"Alitagtag")</f>
        <v>Alitagtag</v>
      </c>
      <c r="D361" s="142" t="str">
        <f>IFERROR(__xludf.DUMMYFUNCTION("""COMPUTED_VALUE"""),"Balayan")</f>
        <v>Balayan</v>
      </c>
      <c r="E361" s="142" t="str">
        <f>IFERROR(__xludf.DUMMYFUNCTION("""COMPUTED_VALUE"""),"Balete")</f>
        <v>Balete</v>
      </c>
      <c r="F361" s="142" t="str">
        <f>IFERROR(__xludf.DUMMYFUNCTION("""COMPUTED_VALUE"""),"Batangas City")</f>
        <v>Batangas City</v>
      </c>
      <c r="G361" s="142" t="str">
        <f>IFERROR(__xludf.DUMMYFUNCTION("""COMPUTED_VALUE"""),"Bauan")</f>
        <v>Bauan</v>
      </c>
      <c r="H361" s="142" t="str">
        <f>IFERROR(__xludf.DUMMYFUNCTION("""COMPUTED_VALUE"""),"City of Calaca")</f>
        <v>City of Calaca</v>
      </c>
      <c r="I361" s="142" t="str">
        <f>IFERROR(__xludf.DUMMYFUNCTION("""COMPUTED_VALUE"""),"Calatagan")</f>
        <v>Calatagan</v>
      </c>
      <c r="J361" s="142" t="str">
        <f>IFERROR(__xludf.DUMMYFUNCTION("""COMPUTED_VALUE"""),"Cuenca")</f>
        <v>Cuenca</v>
      </c>
      <c r="K361" s="142" t="str">
        <f>IFERROR(__xludf.DUMMYFUNCTION("""COMPUTED_VALUE"""),"Ibaan")</f>
        <v>Ibaan</v>
      </c>
      <c r="L361" s="142" t="str">
        <f>IFERROR(__xludf.DUMMYFUNCTION("""COMPUTED_VALUE"""),"Laurel")</f>
        <v>Laurel</v>
      </c>
      <c r="M361" s="142" t="str">
        <f>IFERROR(__xludf.DUMMYFUNCTION("""COMPUTED_VALUE"""),"Lemery")</f>
        <v>Lemery</v>
      </c>
      <c r="N361" s="142" t="str">
        <f>IFERROR(__xludf.DUMMYFUNCTION("""COMPUTED_VALUE"""),"Lian")</f>
        <v>Lian</v>
      </c>
      <c r="O361" s="142" t="str">
        <f>IFERROR(__xludf.DUMMYFUNCTION("""COMPUTED_VALUE"""),"City of Lipa")</f>
        <v>City of Lipa</v>
      </c>
      <c r="P361" s="142" t="str">
        <f>IFERROR(__xludf.DUMMYFUNCTION("""COMPUTED_VALUE"""),"Lobo")</f>
        <v>Lobo</v>
      </c>
      <c r="Q361" s="142" t="str">
        <f>IFERROR(__xludf.DUMMYFUNCTION("""COMPUTED_VALUE"""),"Mabini")</f>
        <v>Mabini</v>
      </c>
      <c r="R361" s="142" t="str">
        <f>IFERROR(__xludf.DUMMYFUNCTION("""COMPUTED_VALUE"""),"Malvar")</f>
        <v>Malvar</v>
      </c>
      <c r="S361" s="142" t="str">
        <f>IFERROR(__xludf.DUMMYFUNCTION("""COMPUTED_VALUE"""),"Mataasnakahoy")</f>
        <v>Mataasnakahoy</v>
      </c>
      <c r="T361" s="142" t="str">
        <f>IFERROR(__xludf.DUMMYFUNCTION("""COMPUTED_VALUE"""),"Nasugbu")</f>
        <v>Nasugbu</v>
      </c>
      <c r="U361" s="142" t="str">
        <f>IFERROR(__xludf.DUMMYFUNCTION("""COMPUTED_VALUE"""),"Padre Garcia")</f>
        <v>Padre Garcia</v>
      </c>
      <c r="V361" s="142" t="str">
        <f>IFERROR(__xludf.DUMMYFUNCTION("""COMPUTED_VALUE"""),"Rosario")</f>
        <v>Rosario</v>
      </c>
      <c r="W361" s="142" t="str">
        <f>IFERROR(__xludf.DUMMYFUNCTION("""COMPUTED_VALUE"""),"San Jose")</f>
        <v>San Jose</v>
      </c>
      <c r="X361" s="142" t="str">
        <f>IFERROR(__xludf.DUMMYFUNCTION("""COMPUTED_VALUE"""),"San Juan")</f>
        <v>San Juan</v>
      </c>
      <c r="Y361" s="142" t="str">
        <f>IFERROR(__xludf.DUMMYFUNCTION("""COMPUTED_VALUE"""),"San Luis")</f>
        <v>San Luis</v>
      </c>
      <c r="Z361" s="142" t="str">
        <f>IFERROR(__xludf.DUMMYFUNCTION("""COMPUTED_VALUE"""),"San Nicolas")</f>
        <v>San Nicolas</v>
      </c>
      <c r="AA361" s="142" t="str">
        <f>IFERROR(__xludf.DUMMYFUNCTION("""COMPUTED_VALUE"""),"San Pascual")</f>
        <v>San Pascual</v>
      </c>
      <c r="AB361" s="142" t="str">
        <f>IFERROR(__xludf.DUMMYFUNCTION("""COMPUTED_VALUE"""),"Santa Teresita")</f>
        <v>Santa Teresita</v>
      </c>
      <c r="AC361" s="142" t="str">
        <f>IFERROR(__xludf.DUMMYFUNCTION("""COMPUTED_VALUE"""),"City of Sto. Tomas")</f>
        <v>City of Sto. Tomas</v>
      </c>
      <c r="AD361" s="142" t="str">
        <f>IFERROR(__xludf.DUMMYFUNCTION("""COMPUTED_VALUE"""),"Taal")</f>
        <v>Taal</v>
      </c>
      <c r="AE361" s="142" t="str">
        <f>IFERROR(__xludf.DUMMYFUNCTION("""COMPUTED_VALUE"""),"Talisay")</f>
        <v>Talisay</v>
      </c>
      <c r="AF361" s="142" t="str">
        <f>IFERROR(__xludf.DUMMYFUNCTION("""COMPUTED_VALUE"""),"City of Tanauan")</f>
        <v>City of Tanauan</v>
      </c>
      <c r="AG361" s="142" t="str">
        <f>IFERROR(__xludf.DUMMYFUNCTION("""COMPUTED_VALUE"""),"Taysan")</f>
        <v>Taysan</v>
      </c>
      <c r="AH361" s="142" t="str">
        <f>IFERROR(__xludf.DUMMYFUNCTION("""COMPUTED_VALUE"""),"Tingloy")</f>
        <v>Tingloy</v>
      </c>
      <c r="AI361" s="142" t="str">
        <f>IFERROR(__xludf.DUMMYFUNCTION("""COMPUTED_VALUE"""),"Tuy")</f>
        <v>Tuy</v>
      </c>
      <c r="AJ361" s="8"/>
      <c r="AK361" s="8"/>
      <c r="AL361" s="8"/>
      <c r="AM361" s="8"/>
      <c r="AN361" s="8"/>
      <c r="AO361" s="8"/>
      <c r="AP361" s="8"/>
      <c r="AQ361" s="8"/>
      <c r="AR361" s="8"/>
      <c r="AS361" s="8"/>
      <c r="AT361" s="8"/>
      <c r="AU361" s="8"/>
      <c r="AV361" s="8"/>
      <c r="AW361" s="8"/>
      <c r="AX361" s="8"/>
      <c r="AY361" s="8"/>
      <c r="AZ361" s="8"/>
      <c r="BA361" s="8"/>
      <c r="BB361" s="8"/>
      <c r="BC361" s="8"/>
      <c r="BD361" s="8"/>
      <c r="BE361" s="8"/>
    </row>
    <row r="362">
      <c r="A362" s="142" t="s">
        <v>2618</v>
      </c>
      <c r="B362" s="142" t="str">
        <f>IFERROR(__xludf.DUMMYFUNCTION("""COMPUTED_VALUE"""),"Abra De Ilog")</f>
        <v>Abra De Ilog</v>
      </c>
      <c r="C362" s="142" t="str">
        <f>IFERROR(__xludf.DUMMYFUNCTION("""COMPUTED_VALUE"""),"Calintaan")</f>
        <v>Calintaan</v>
      </c>
      <c r="D362" s="142" t="str">
        <f>IFERROR(__xludf.DUMMYFUNCTION("""COMPUTED_VALUE"""),"Looc")</f>
        <v>Looc</v>
      </c>
      <c r="E362" s="142" t="str">
        <f>IFERROR(__xludf.DUMMYFUNCTION("""COMPUTED_VALUE"""),"Lubang")</f>
        <v>Lubang</v>
      </c>
      <c r="F362" s="142" t="str">
        <f>IFERROR(__xludf.DUMMYFUNCTION("""COMPUTED_VALUE"""),"Magsaysay")</f>
        <v>Magsaysay</v>
      </c>
      <c r="G362" s="142" t="str">
        <f>IFERROR(__xludf.DUMMYFUNCTION("""COMPUTED_VALUE"""),"Mamburao")</f>
        <v>Mamburao</v>
      </c>
      <c r="H362" s="142" t="str">
        <f>IFERROR(__xludf.DUMMYFUNCTION("""COMPUTED_VALUE"""),"Paluan")</f>
        <v>Paluan</v>
      </c>
      <c r="I362" s="142" t="str">
        <f>IFERROR(__xludf.DUMMYFUNCTION("""COMPUTED_VALUE"""),"Rizal")</f>
        <v>Rizal</v>
      </c>
      <c r="J362" s="142" t="str">
        <f>IFERROR(__xludf.DUMMYFUNCTION("""COMPUTED_VALUE"""),"Sablayan")</f>
        <v>Sablayan</v>
      </c>
      <c r="K362" s="142" t="str">
        <f>IFERROR(__xludf.DUMMYFUNCTION("""COMPUTED_VALUE"""),"San Jose")</f>
        <v>San Jose</v>
      </c>
      <c r="L362" s="142" t="str">
        <f>IFERROR(__xludf.DUMMYFUNCTION("""COMPUTED_VALUE"""),"Santa Cruz")</f>
        <v>Santa Cruz</v>
      </c>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row>
    <row r="363">
      <c r="A363" s="142" t="s">
        <v>172</v>
      </c>
      <c r="B363" s="142" t="str">
        <f>IFERROR(__xludf.DUMMYFUNCTION("""COMPUTED_VALUE"""),"Alubijid")</f>
        <v>Alubijid</v>
      </c>
      <c r="C363" s="142" t="str">
        <f>IFERROR(__xludf.DUMMYFUNCTION("""COMPUTED_VALUE"""),"Balingasag")</f>
        <v>Balingasag</v>
      </c>
      <c r="D363" s="142" t="str">
        <f>IFERROR(__xludf.DUMMYFUNCTION("""COMPUTED_VALUE"""),"Balingoan")</f>
        <v>Balingoan</v>
      </c>
      <c r="E363" s="142" t="str">
        <f>IFERROR(__xludf.DUMMYFUNCTION("""COMPUTED_VALUE"""),"Binuangan")</f>
        <v>Binuangan</v>
      </c>
      <c r="F363" s="142" t="str">
        <f>IFERROR(__xludf.DUMMYFUNCTION("""COMPUTED_VALUE"""),"City of Cagayan De Oro")</f>
        <v>City of Cagayan De Oro</v>
      </c>
      <c r="G363" s="142" t="str">
        <f>IFERROR(__xludf.DUMMYFUNCTION("""COMPUTED_VALUE"""),"Claveria")</f>
        <v>Claveria</v>
      </c>
      <c r="H363" s="142" t="str">
        <f>IFERROR(__xludf.DUMMYFUNCTION("""COMPUTED_VALUE"""),"City of El Salvador")</f>
        <v>City of El Salvador</v>
      </c>
      <c r="I363" s="142" t="str">
        <f>IFERROR(__xludf.DUMMYFUNCTION("""COMPUTED_VALUE"""),"City of Gingoog")</f>
        <v>City of Gingoog</v>
      </c>
      <c r="J363" s="142" t="str">
        <f>IFERROR(__xludf.DUMMYFUNCTION("""COMPUTED_VALUE"""),"Gitagum")</f>
        <v>Gitagum</v>
      </c>
      <c r="K363" s="142" t="str">
        <f>IFERROR(__xludf.DUMMYFUNCTION("""COMPUTED_VALUE"""),"Initao")</f>
        <v>Initao</v>
      </c>
      <c r="L363" s="142" t="str">
        <f>IFERROR(__xludf.DUMMYFUNCTION("""COMPUTED_VALUE"""),"Jasaan")</f>
        <v>Jasaan</v>
      </c>
      <c r="M363" s="142" t="str">
        <f>IFERROR(__xludf.DUMMYFUNCTION("""COMPUTED_VALUE"""),"Kinoguitan")</f>
        <v>Kinoguitan</v>
      </c>
      <c r="N363" s="142" t="str">
        <f>IFERROR(__xludf.DUMMYFUNCTION("""COMPUTED_VALUE"""),"Lagonglong")</f>
        <v>Lagonglong</v>
      </c>
      <c r="O363" s="142" t="str">
        <f>IFERROR(__xludf.DUMMYFUNCTION("""COMPUTED_VALUE"""),"Laguindingan")</f>
        <v>Laguindingan</v>
      </c>
      <c r="P363" s="142" t="str">
        <f>IFERROR(__xludf.DUMMYFUNCTION("""COMPUTED_VALUE"""),"Libertad")</f>
        <v>Libertad</v>
      </c>
      <c r="Q363" s="142" t="str">
        <f>IFERROR(__xludf.DUMMYFUNCTION("""COMPUTED_VALUE"""),"Lugait")</f>
        <v>Lugait</v>
      </c>
      <c r="R363" s="142" t="str">
        <f>IFERROR(__xludf.DUMMYFUNCTION("""COMPUTED_VALUE"""),"Magsaysay")</f>
        <v>Magsaysay</v>
      </c>
      <c r="S363" s="142" t="str">
        <f>IFERROR(__xludf.DUMMYFUNCTION("""COMPUTED_VALUE"""),"Manticao")</f>
        <v>Manticao</v>
      </c>
      <c r="T363" s="142" t="str">
        <f>IFERROR(__xludf.DUMMYFUNCTION("""COMPUTED_VALUE"""),"Medina")</f>
        <v>Medina</v>
      </c>
      <c r="U363" s="142" t="str">
        <f>IFERROR(__xludf.DUMMYFUNCTION("""COMPUTED_VALUE"""),"Naawan")</f>
        <v>Naawan</v>
      </c>
      <c r="V363" s="142" t="str">
        <f>IFERROR(__xludf.DUMMYFUNCTION("""COMPUTED_VALUE"""),"Opol")</f>
        <v>Opol</v>
      </c>
      <c r="W363" s="142" t="str">
        <f>IFERROR(__xludf.DUMMYFUNCTION("""COMPUTED_VALUE"""),"Salay")</f>
        <v>Salay</v>
      </c>
      <c r="X363" s="142" t="str">
        <f>IFERROR(__xludf.DUMMYFUNCTION("""COMPUTED_VALUE"""),"Sugbongcogon")</f>
        <v>Sugbongcogon</v>
      </c>
      <c r="Y363" s="142" t="str">
        <f>IFERROR(__xludf.DUMMYFUNCTION("""COMPUTED_VALUE"""),"Tagoloan")</f>
        <v>Tagoloan</v>
      </c>
      <c r="Z363" s="142" t="str">
        <f>IFERROR(__xludf.DUMMYFUNCTION("""COMPUTED_VALUE"""),"Talisayan")</f>
        <v>Talisayan</v>
      </c>
      <c r="AA363" s="142" t="str">
        <f>IFERROR(__xludf.DUMMYFUNCTION("""COMPUTED_VALUE"""),"Villanueva")</f>
        <v>Villanueva</v>
      </c>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row>
    <row r="364">
      <c r="A364" s="142" t="s">
        <v>172</v>
      </c>
      <c r="B364" s="142" t="str">
        <f>IFERROR(__xludf.DUMMYFUNCTION("""COMPUTED_VALUE"""),"Alubijid")</f>
        <v>Alubijid</v>
      </c>
      <c r="C364" s="142" t="str">
        <f>IFERROR(__xludf.DUMMYFUNCTION("""COMPUTED_VALUE"""),"Balingasag")</f>
        <v>Balingasag</v>
      </c>
      <c r="D364" s="142" t="str">
        <f>IFERROR(__xludf.DUMMYFUNCTION("""COMPUTED_VALUE"""),"Balingoan")</f>
        <v>Balingoan</v>
      </c>
      <c r="E364" s="142" t="str">
        <f>IFERROR(__xludf.DUMMYFUNCTION("""COMPUTED_VALUE"""),"Binuangan")</f>
        <v>Binuangan</v>
      </c>
      <c r="F364" s="142" t="str">
        <f>IFERROR(__xludf.DUMMYFUNCTION("""COMPUTED_VALUE"""),"City of Cagayan De Oro")</f>
        <v>City of Cagayan De Oro</v>
      </c>
      <c r="G364" s="142" t="str">
        <f>IFERROR(__xludf.DUMMYFUNCTION("""COMPUTED_VALUE"""),"Claveria")</f>
        <v>Claveria</v>
      </c>
      <c r="H364" s="142" t="str">
        <f>IFERROR(__xludf.DUMMYFUNCTION("""COMPUTED_VALUE"""),"City of El Salvador")</f>
        <v>City of El Salvador</v>
      </c>
      <c r="I364" s="142" t="str">
        <f>IFERROR(__xludf.DUMMYFUNCTION("""COMPUTED_VALUE"""),"City of Gingoog")</f>
        <v>City of Gingoog</v>
      </c>
      <c r="J364" s="142" t="str">
        <f>IFERROR(__xludf.DUMMYFUNCTION("""COMPUTED_VALUE"""),"Gitagum")</f>
        <v>Gitagum</v>
      </c>
      <c r="K364" s="142" t="str">
        <f>IFERROR(__xludf.DUMMYFUNCTION("""COMPUTED_VALUE"""),"Initao")</f>
        <v>Initao</v>
      </c>
      <c r="L364" s="142" t="str">
        <f>IFERROR(__xludf.DUMMYFUNCTION("""COMPUTED_VALUE"""),"Jasaan")</f>
        <v>Jasaan</v>
      </c>
      <c r="M364" s="142" t="str">
        <f>IFERROR(__xludf.DUMMYFUNCTION("""COMPUTED_VALUE"""),"Kinoguitan")</f>
        <v>Kinoguitan</v>
      </c>
      <c r="N364" s="142" t="str">
        <f>IFERROR(__xludf.DUMMYFUNCTION("""COMPUTED_VALUE"""),"Lagonglong")</f>
        <v>Lagonglong</v>
      </c>
      <c r="O364" s="142" t="str">
        <f>IFERROR(__xludf.DUMMYFUNCTION("""COMPUTED_VALUE"""),"Laguindingan")</f>
        <v>Laguindingan</v>
      </c>
      <c r="P364" s="142" t="str">
        <f>IFERROR(__xludf.DUMMYFUNCTION("""COMPUTED_VALUE"""),"Libertad")</f>
        <v>Libertad</v>
      </c>
      <c r="Q364" s="142" t="str">
        <f>IFERROR(__xludf.DUMMYFUNCTION("""COMPUTED_VALUE"""),"Lugait")</f>
        <v>Lugait</v>
      </c>
      <c r="R364" s="142" t="str">
        <f>IFERROR(__xludf.DUMMYFUNCTION("""COMPUTED_VALUE"""),"Magsaysay")</f>
        <v>Magsaysay</v>
      </c>
      <c r="S364" s="142" t="str">
        <f>IFERROR(__xludf.DUMMYFUNCTION("""COMPUTED_VALUE"""),"Manticao")</f>
        <v>Manticao</v>
      </c>
      <c r="T364" s="142" t="str">
        <f>IFERROR(__xludf.DUMMYFUNCTION("""COMPUTED_VALUE"""),"Medina")</f>
        <v>Medina</v>
      </c>
      <c r="U364" s="142" t="str">
        <f>IFERROR(__xludf.DUMMYFUNCTION("""COMPUTED_VALUE"""),"Naawan")</f>
        <v>Naawan</v>
      </c>
      <c r="V364" s="142" t="str">
        <f>IFERROR(__xludf.DUMMYFUNCTION("""COMPUTED_VALUE"""),"Opol")</f>
        <v>Opol</v>
      </c>
      <c r="W364" s="142" t="str">
        <f>IFERROR(__xludf.DUMMYFUNCTION("""COMPUTED_VALUE"""),"Salay")</f>
        <v>Salay</v>
      </c>
      <c r="X364" s="142" t="str">
        <f>IFERROR(__xludf.DUMMYFUNCTION("""COMPUTED_VALUE"""),"Sugbongcogon")</f>
        <v>Sugbongcogon</v>
      </c>
      <c r="Y364" s="142" t="str">
        <f>IFERROR(__xludf.DUMMYFUNCTION("""COMPUTED_VALUE"""),"Tagoloan")</f>
        <v>Tagoloan</v>
      </c>
      <c r="Z364" s="142" t="str">
        <f>IFERROR(__xludf.DUMMYFUNCTION("""COMPUTED_VALUE"""),"Talisayan")</f>
        <v>Talisayan</v>
      </c>
      <c r="AA364" s="142" t="str">
        <f>IFERROR(__xludf.DUMMYFUNCTION("""COMPUTED_VALUE"""),"Villanueva")</f>
        <v>Villanueva</v>
      </c>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row>
    <row r="365">
      <c r="A365" s="142" t="s">
        <v>1271</v>
      </c>
      <c r="B365" s="142" t="str">
        <f>IFERROR(__xludf.DUMMYFUNCTION("""COMPUTED_VALUE"""),"Anahawan")</f>
        <v>Anahawan</v>
      </c>
      <c r="C365" s="142" t="str">
        <f>IFERROR(__xludf.DUMMYFUNCTION("""COMPUTED_VALUE"""),"Bontoc")</f>
        <v>Bontoc</v>
      </c>
      <c r="D365" s="142" t="str">
        <f>IFERROR(__xludf.DUMMYFUNCTION("""COMPUTED_VALUE"""),"Hinunangan")</f>
        <v>Hinunangan</v>
      </c>
      <c r="E365" s="142" t="str">
        <f>IFERROR(__xludf.DUMMYFUNCTION("""COMPUTED_VALUE"""),"Hinundayan")</f>
        <v>Hinundayan</v>
      </c>
      <c r="F365" s="142" t="str">
        <f>IFERROR(__xludf.DUMMYFUNCTION("""COMPUTED_VALUE"""),"Libagon")</f>
        <v>Libagon</v>
      </c>
      <c r="G365" s="142" t="str">
        <f>IFERROR(__xludf.DUMMYFUNCTION("""COMPUTED_VALUE"""),"Liloan")</f>
        <v>Liloan</v>
      </c>
      <c r="H365" s="142" t="str">
        <f>IFERROR(__xludf.DUMMYFUNCTION("""COMPUTED_VALUE"""),"City of Maasin")</f>
        <v>City of Maasin</v>
      </c>
      <c r="I365" s="142" t="str">
        <f>IFERROR(__xludf.DUMMYFUNCTION("""COMPUTED_VALUE"""),"Macrohon")</f>
        <v>Macrohon</v>
      </c>
      <c r="J365" s="142" t="str">
        <f>IFERROR(__xludf.DUMMYFUNCTION("""COMPUTED_VALUE"""),"Malitbog")</f>
        <v>Malitbog</v>
      </c>
      <c r="K365" s="142" t="str">
        <f>IFERROR(__xludf.DUMMYFUNCTION("""COMPUTED_VALUE"""),"Padre Burgos")</f>
        <v>Padre Burgos</v>
      </c>
      <c r="L365" s="142" t="str">
        <f>IFERROR(__xludf.DUMMYFUNCTION("""COMPUTED_VALUE"""),"Pintuyan")</f>
        <v>Pintuyan</v>
      </c>
      <c r="M365" s="142" t="str">
        <f>IFERROR(__xludf.DUMMYFUNCTION("""COMPUTED_VALUE"""),"Saint Bernard")</f>
        <v>Saint Bernard</v>
      </c>
      <c r="N365" s="142" t="str">
        <f>IFERROR(__xludf.DUMMYFUNCTION("""COMPUTED_VALUE"""),"San Francisco")</f>
        <v>San Francisco</v>
      </c>
      <c r="O365" s="142" t="str">
        <f>IFERROR(__xludf.DUMMYFUNCTION("""COMPUTED_VALUE"""),"San Juan")</f>
        <v>San Juan</v>
      </c>
      <c r="P365" s="142" t="str">
        <f>IFERROR(__xludf.DUMMYFUNCTION("""COMPUTED_VALUE"""),"San Ricardo")</f>
        <v>San Ricardo</v>
      </c>
      <c r="Q365" s="142" t="str">
        <f>IFERROR(__xludf.DUMMYFUNCTION("""COMPUTED_VALUE"""),"Silago")</f>
        <v>Silago</v>
      </c>
      <c r="R365" s="142" t="str">
        <f>IFERROR(__xludf.DUMMYFUNCTION("""COMPUTED_VALUE"""),"Sogod")</f>
        <v>Sogod</v>
      </c>
      <c r="S365" s="142" t="str">
        <f>IFERROR(__xludf.DUMMYFUNCTION("""COMPUTED_VALUE"""),"Tomas Oppus")</f>
        <v>Tomas Oppus</v>
      </c>
      <c r="T365" s="142" t="str">
        <f>IFERROR(__xludf.DUMMYFUNCTION("""COMPUTED_VALUE"""),"Limasawa")</f>
        <v>Limasawa</v>
      </c>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row>
    <row r="366">
      <c r="A366" s="142" t="s">
        <v>858</v>
      </c>
      <c r="B366" s="142" t="str">
        <f>IFERROR(__xludf.DUMMYFUNCTION("""COMPUTED_VALUE"""),"Anini-Y")</f>
        <v>Anini-Y</v>
      </c>
      <c r="C366" s="142" t="str">
        <f>IFERROR(__xludf.DUMMYFUNCTION("""COMPUTED_VALUE"""),"Barbaza")</f>
        <v>Barbaza</v>
      </c>
      <c r="D366" s="142" t="str">
        <f>IFERROR(__xludf.DUMMYFUNCTION("""COMPUTED_VALUE"""),"Belison")</f>
        <v>Belison</v>
      </c>
      <c r="E366" s="142" t="str">
        <f>IFERROR(__xludf.DUMMYFUNCTION("""COMPUTED_VALUE"""),"Bugasong")</f>
        <v>Bugasong</v>
      </c>
      <c r="F366" s="142" t="str">
        <f>IFERROR(__xludf.DUMMYFUNCTION("""COMPUTED_VALUE"""),"Caluya")</f>
        <v>Caluya</v>
      </c>
      <c r="G366" s="142" t="str">
        <f>IFERROR(__xludf.DUMMYFUNCTION("""COMPUTED_VALUE"""),"Culasi")</f>
        <v>Culasi</v>
      </c>
      <c r="H366" s="142" t="str">
        <f>IFERROR(__xludf.DUMMYFUNCTION("""COMPUTED_VALUE"""),"Tobias Fornier")</f>
        <v>Tobias Fornier</v>
      </c>
      <c r="I366" s="142" t="str">
        <f>IFERROR(__xludf.DUMMYFUNCTION("""COMPUTED_VALUE"""),"Hamtic")</f>
        <v>Hamtic</v>
      </c>
      <c r="J366" s="142" t="str">
        <f>IFERROR(__xludf.DUMMYFUNCTION("""COMPUTED_VALUE"""),"Laua-An")</f>
        <v>Laua-An</v>
      </c>
      <c r="K366" s="142" t="str">
        <f>IFERROR(__xludf.DUMMYFUNCTION("""COMPUTED_VALUE"""),"Libertad")</f>
        <v>Libertad</v>
      </c>
      <c r="L366" s="142" t="str">
        <f>IFERROR(__xludf.DUMMYFUNCTION("""COMPUTED_VALUE"""),"Pandan")</f>
        <v>Pandan</v>
      </c>
      <c r="M366" s="142" t="str">
        <f>IFERROR(__xludf.DUMMYFUNCTION("""COMPUTED_VALUE"""),"Patnongon")</f>
        <v>Patnongon</v>
      </c>
      <c r="N366" s="142" t="str">
        <f>IFERROR(__xludf.DUMMYFUNCTION("""COMPUTED_VALUE"""),"San Jose")</f>
        <v>San Jose</v>
      </c>
      <c r="O366" s="142" t="str">
        <f>IFERROR(__xludf.DUMMYFUNCTION("""COMPUTED_VALUE"""),"San Remigio")</f>
        <v>San Remigio</v>
      </c>
      <c r="P366" s="142" t="str">
        <f>IFERROR(__xludf.DUMMYFUNCTION("""COMPUTED_VALUE"""),"Sebaste")</f>
        <v>Sebaste</v>
      </c>
      <c r="Q366" s="142" t="str">
        <f>IFERROR(__xludf.DUMMYFUNCTION("""COMPUTED_VALUE"""),"Sibalom")</f>
        <v>Sibalom</v>
      </c>
      <c r="R366" s="142" t="str">
        <f>IFERROR(__xludf.DUMMYFUNCTION("""COMPUTED_VALUE"""),"Tibiao")</f>
        <v>Tibiao</v>
      </c>
      <c r="S366" s="142" t="str">
        <f>IFERROR(__xludf.DUMMYFUNCTION("""COMPUTED_VALUE"""),"Valderrama")</f>
        <v>Valderrama</v>
      </c>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row>
    <row r="367">
      <c r="A367" s="142" t="s">
        <v>558</v>
      </c>
      <c r="B367" s="142" t="str">
        <f>IFERROR(__xludf.DUMMYFUNCTION("""COMPUTED_VALUE"""),"Ajuy")</f>
        <v>Ajuy</v>
      </c>
      <c r="C367" s="142" t="str">
        <f>IFERROR(__xludf.DUMMYFUNCTION("""COMPUTED_VALUE"""),"Alimodian")</f>
        <v>Alimodian</v>
      </c>
      <c r="D367" s="142" t="str">
        <f>IFERROR(__xludf.DUMMYFUNCTION("""COMPUTED_VALUE"""),"Anilao")</f>
        <v>Anilao</v>
      </c>
      <c r="E367" s="142" t="str">
        <f>IFERROR(__xludf.DUMMYFUNCTION("""COMPUTED_VALUE"""),"Badiangan")</f>
        <v>Badiangan</v>
      </c>
      <c r="F367" s="142" t="str">
        <f>IFERROR(__xludf.DUMMYFUNCTION("""COMPUTED_VALUE"""),"Balasan")</f>
        <v>Balasan</v>
      </c>
      <c r="G367" s="142" t="str">
        <f>IFERROR(__xludf.DUMMYFUNCTION("""COMPUTED_VALUE"""),"Banate")</f>
        <v>Banate</v>
      </c>
      <c r="H367" s="142" t="str">
        <f>IFERROR(__xludf.DUMMYFUNCTION("""COMPUTED_VALUE"""),"Barotac Nuevo")</f>
        <v>Barotac Nuevo</v>
      </c>
      <c r="I367" s="142" t="str">
        <f>IFERROR(__xludf.DUMMYFUNCTION("""COMPUTED_VALUE"""),"Barotac Viejo")</f>
        <v>Barotac Viejo</v>
      </c>
      <c r="J367" s="142" t="str">
        <f>IFERROR(__xludf.DUMMYFUNCTION("""COMPUTED_VALUE"""),"Batad")</f>
        <v>Batad</v>
      </c>
      <c r="K367" s="142" t="str">
        <f>IFERROR(__xludf.DUMMYFUNCTION("""COMPUTED_VALUE"""),"Bingawan")</f>
        <v>Bingawan</v>
      </c>
      <c r="L367" s="142" t="str">
        <f>IFERROR(__xludf.DUMMYFUNCTION("""COMPUTED_VALUE"""),"Cabatuan")</f>
        <v>Cabatuan</v>
      </c>
      <c r="M367" s="142" t="str">
        <f>IFERROR(__xludf.DUMMYFUNCTION("""COMPUTED_VALUE"""),"Calinog")</f>
        <v>Calinog</v>
      </c>
      <c r="N367" s="142" t="str">
        <f>IFERROR(__xludf.DUMMYFUNCTION("""COMPUTED_VALUE"""),"Carles")</f>
        <v>Carles</v>
      </c>
      <c r="O367" s="142" t="str">
        <f>IFERROR(__xludf.DUMMYFUNCTION("""COMPUTED_VALUE"""),"Concepcion")</f>
        <v>Concepcion</v>
      </c>
      <c r="P367" s="142" t="str">
        <f>IFERROR(__xludf.DUMMYFUNCTION("""COMPUTED_VALUE"""),"Dingle")</f>
        <v>Dingle</v>
      </c>
      <c r="Q367" s="142" t="str">
        <f>IFERROR(__xludf.DUMMYFUNCTION("""COMPUTED_VALUE"""),"Dueñas")</f>
        <v>Dueñas</v>
      </c>
      <c r="R367" s="142" t="str">
        <f>IFERROR(__xludf.DUMMYFUNCTION("""COMPUTED_VALUE"""),"Dumangas")</f>
        <v>Dumangas</v>
      </c>
      <c r="S367" s="142" t="str">
        <f>IFERROR(__xludf.DUMMYFUNCTION("""COMPUTED_VALUE"""),"Estancia")</f>
        <v>Estancia</v>
      </c>
      <c r="T367" s="142" t="str">
        <f>IFERROR(__xludf.DUMMYFUNCTION("""COMPUTED_VALUE"""),"Guimbal")</f>
        <v>Guimbal</v>
      </c>
      <c r="U367" s="142" t="str">
        <f>IFERROR(__xludf.DUMMYFUNCTION("""COMPUTED_VALUE"""),"Igbaras")</f>
        <v>Igbaras</v>
      </c>
      <c r="V367" s="142" t="str">
        <f>IFERROR(__xludf.DUMMYFUNCTION("""COMPUTED_VALUE"""),"City of Iloilo")</f>
        <v>City of Iloilo</v>
      </c>
      <c r="W367" s="142" t="str">
        <f>IFERROR(__xludf.DUMMYFUNCTION("""COMPUTED_VALUE"""),"Janiuay")</f>
        <v>Janiuay</v>
      </c>
      <c r="X367" s="142" t="str">
        <f>IFERROR(__xludf.DUMMYFUNCTION("""COMPUTED_VALUE"""),"Lambunao")</f>
        <v>Lambunao</v>
      </c>
      <c r="Y367" s="142" t="str">
        <f>IFERROR(__xludf.DUMMYFUNCTION("""COMPUTED_VALUE"""),"Leganes")</f>
        <v>Leganes</v>
      </c>
      <c r="Z367" s="142" t="str">
        <f>IFERROR(__xludf.DUMMYFUNCTION("""COMPUTED_VALUE"""),"Lemery")</f>
        <v>Lemery</v>
      </c>
      <c r="AA367" s="142" t="str">
        <f>IFERROR(__xludf.DUMMYFUNCTION("""COMPUTED_VALUE"""),"Leon")</f>
        <v>Leon</v>
      </c>
      <c r="AB367" s="142" t="str">
        <f>IFERROR(__xludf.DUMMYFUNCTION("""COMPUTED_VALUE"""),"Maasin")</f>
        <v>Maasin</v>
      </c>
      <c r="AC367" s="142" t="str">
        <f>IFERROR(__xludf.DUMMYFUNCTION("""COMPUTED_VALUE"""),"Miagao")</f>
        <v>Miagao</v>
      </c>
      <c r="AD367" s="142" t="str">
        <f>IFERROR(__xludf.DUMMYFUNCTION("""COMPUTED_VALUE"""),"Mina")</f>
        <v>Mina</v>
      </c>
      <c r="AE367" s="142" t="str">
        <f>IFERROR(__xludf.DUMMYFUNCTION("""COMPUTED_VALUE"""),"New Lucena")</f>
        <v>New Lucena</v>
      </c>
      <c r="AF367" s="142" t="str">
        <f>IFERROR(__xludf.DUMMYFUNCTION("""COMPUTED_VALUE"""),"Oton")</f>
        <v>Oton</v>
      </c>
      <c r="AG367" s="142" t="str">
        <f>IFERROR(__xludf.DUMMYFUNCTION("""COMPUTED_VALUE"""),"City of Passi")</f>
        <v>City of Passi</v>
      </c>
      <c r="AH367" s="142" t="str">
        <f>IFERROR(__xludf.DUMMYFUNCTION("""COMPUTED_VALUE"""),"Pavia")</f>
        <v>Pavia</v>
      </c>
      <c r="AI367" s="142" t="str">
        <f>IFERROR(__xludf.DUMMYFUNCTION("""COMPUTED_VALUE"""),"Pototan")</f>
        <v>Pototan</v>
      </c>
      <c r="AJ367" s="142" t="str">
        <f>IFERROR(__xludf.DUMMYFUNCTION("""COMPUTED_VALUE"""),"San Dionisio")</f>
        <v>San Dionisio</v>
      </c>
      <c r="AK367" s="142" t="str">
        <f>IFERROR(__xludf.DUMMYFUNCTION("""COMPUTED_VALUE"""),"San Enrique")</f>
        <v>San Enrique</v>
      </c>
      <c r="AL367" s="142" t="str">
        <f>IFERROR(__xludf.DUMMYFUNCTION("""COMPUTED_VALUE"""),"San Joaquin")</f>
        <v>San Joaquin</v>
      </c>
      <c r="AM367" s="142" t="str">
        <f>IFERROR(__xludf.DUMMYFUNCTION("""COMPUTED_VALUE"""),"San Miguel")</f>
        <v>San Miguel</v>
      </c>
      <c r="AN367" s="142" t="str">
        <f>IFERROR(__xludf.DUMMYFUNCTION("""COMPUTED_VALUE"""),"San Rafael")</f>
        <v>San Rafael</v>
      </c>
      <c r="AO367" s="142" t="str">
        <f>IFERROR(__xludf.DUMMYFUNCTION("""COMPUTED_VALUE"""),"Santa Barbara")</f>
        <v>Santa Barbara</v>
      </c>
      <c r="AP367" s="142" t="str">
        <f>IFERROR(__xludf.DUMMYFUNCTION("""COMPUTED_VALUE"""),"Sara")</f>
        <v>Sara</v>
      </c>
      <c r="AQ367" s="142" t="str">
        <f>IFERROR(__xludf.DUMMYFUNCTION("""COMPUTED_VALUE"""),"Tigbauan")</f>
        <v>Tigbauan</v>
      </c>
      <c r="AR367" s="142" t="str">
        <f>IFERROR(__xludf.DUMMYFUNCTION("""COMPUTED_VALUE"""),"Tubungan")</f>
        <v>Tubungan</v>
      </c>
      <c r="AS367" s="142" t="str">
        <f>IFERROR(__xludf.DUMMYFUNCTION("""COMPUTED_VALUE"""),"Zarraga")</f>
        <v>Zarraga</v>
      </c>
      <c r="AT367" s="8"/>
      <c r="AU367" s="8"/>
      <c r="AV367" s="8"/>
      <c r="AW367" s="8"/>
      <c r="AX367" s="8"/>
      <c r="AY367" s="8"/>
      <c r="AZ367" s="8"/>
      <c r="BA367" s="8"/>
      <c r="BB367" s="8"/>
      <c r="BC367" s="8"/>
      <c r="BD367" s="8"/>
      <c r="BE367" s="8"/>
    </row>
    <row r="368">
      <c r="A368" s="142" t="s">
        <v>558</v>
      </c>
      <c r="B368" s="142" t="str">
        <f>IFERROR(__xludf.DUMMYFUNCTION("""COMPUTED_VALUE"""),"Ajuy")</f>
        <v>Ajuy</v>
      </c>
      <c r="C368" s="142" t="str">
        <f>IFERROR(__xludf.DUMMYFUNCTION("""COMPUTED_VALUE"""),"Alimodian")</f>
        <v>Alimodian</v>
      </c>
      <c r="D368" s="142" t="str">
        <f>IFERROR(__xludf.DUMMYFUNCTION("""COMPUTED_VALUE"""),"Anilao")</f>
        <v>Anilao</v>
      </c>
      <c r="E368" s="142" t="str">
        <f>IFERROR(__xludf.DUMMYFUNCTION("""COMPUTED_VALUE"""),"Badiangan")</f>
        <v>Badiangan</v>
      </c>
      <c r="F368" s="142" t="str">
        <f>IFERROR(__xludf.DUMMYFUNCTION("""COMPUTED_VALUE"""),"Balasan")</f>
        <v>Balasan</v>
      </c>
      <c r="G368" s="142" t="str">
        <f>IFERROR(__xludf.DUMMYFUNCTION("""COMPUTED_VALUE"""),"Banate")</f>
        <v>Banate</v>
      </c>
      <c r="H368" s="142" t="str">
        <f>IFERROR(__xludf.DUMMYFUNCTION("""COMPUTED_VALUE"""),"Barotac Nuevo")</f>
        <v>Barotac Nuevo</v>
      </c>
      <c r="I368" s="142" t="str">
        <f>IFERROR(__xludf.DUMMYFUNCTION("""COMPUTED_VALUE"""),"Barotac Viejo")</f>
        <v>Barotac Viejo</v>
      </c>
      <c r="J368" s="142" t="str">
        <f>IFERROR(__xludf.DUMMYFUNCTION("""COMPUTED_VALUE"""),"Batad")</f>
        <v>Batad</v>
      </c>
      <c r="K368" s="142" t="str">
        <f>IFERROR(__xludf.DUMMYFUNCTION("""COMPUTED_VALUE"""),"Bingawan")</f>
        <v>Bingawan</v>
      </c>
      <c r="L368" s="142" t="str">
        <f>IFERROR(__xludf.DUMMYFUNCTION("""COMPUTED_VALUE"""),"Cabatuan")</f>
        <v>Cabatuan</v>
      </c>
      <c r="M368" s="142" t="str">
        <f>IFERROR(__xludf.DUMMYFUNCTION("""COMPUTED_VALUE"""),"Calinog")</f>
        <v>Calinog</v>
      </c>
      <c r="N368" s="142" t="str">
        <f>IFERROR(__xludf.DUMMYFUNCTION("""COMPUTED_VALUE"""),"Carles")</f>
        <v>Carles</v>
      </c>
      <c r="O368" s="142" t="str">
        <f>IFERROR(__xludf.DUMMYFUNCTION("""COMPUTED_VALUE"""),"Concepcion")</f>
        <v>Concepcion</v>
      </c>
      <c r="P368" s="142" t="str">
        <f>IFERROR(__xludf.DUMMYFUNCTION("""COMPUTED_VALUE"""),"Dingle")</f>
        <v>Dingle</v>
      </c>
      <c r="Q368" s="142" t="str">
        <f>IFERROR(__xludf.DUMMYFUNCTION("""COMPUTED_VALUE"""),"Dueñas")</f>
        <v>Dueñas</v>
      </c>
      <c r="R368" s="142" t="str">
        <f>IFERROR(__xludf.DUMMYFUNCTION("""COMPUTED_VALUE"""),"Dumangas")</f>
        <v>Dumangas</v>
      </c>
      <c r="S368" s="142" t="str">
        <f>IFERROR(__xludf.DUMMYFUNCTION("""COMPUTED_VALUE"""),"Estancia")</f>
        <v>Estancia</v>
      </c>
      <c r="T368" s="142" t="str">
        <f>IFERROR(__xludf.DUMMYFUNCTION("""COMPUTED_VALUE"""),"Guimbal")</f>
        <v>Guimbal</v>
      </c>
      <c r="U368" s="142" t="str">
        <f>IFERROR(__xludf.DUMMYFUNCTION("""COMPUTED_VALUE"""),"Igbaras")</f>
        <v>Igbaras</v>
      </c>
      <c r="V368" s="142" t="str">
        <f>IFERROR(__xludf.DUMMYFUNCTION("""COMPUTED_VALUE"""),"City of Iloilo")</f>
        <v>City of Iloilo</v>
      </c>
      <c r="W368" s="142" t="str">
        <f>IFERROR(__xludf.DUMMYFUNCTION("""COMPUTED_VALUE"""),"Janiuay")</f>
        <v>Janiuay</v>
      </c>
      <c r="X368" s="142" t="str">
        <f>IFERROR(__xludf.DUMMYFUNCTION("""COMPUTED_VALUE"""),"Lambunao")</f>
        <v>Lambunao</v>
      </c>
      <c r="Y368" s="142" t="str">
        <f>IFERROR(__xludf.DUMMYFUNCTION("""COMPUTED_VALUE"""),"Leganes")</f>
        <v>Leganes</v>
      </c>
      <c r="Z368" s="142" t="str">
        <f>IFERROR(__xludf.DUMMYFUNCTION("""COMPUTED_VALUE"""),"Lemery")</f>
        <v>Lemery</v>
      </c>
      <c r="AA368" s="142" t="str">
        <f>IFERROR(__xludf.DUMMYFUNCTION("""COMPUTED_VALUE"""),"Leon")</f>
        <v>Leon</v>
      </c>
      <c r="AB368" s="142" t="str">
        <f>IFERROR(__xludf.DUMMYFUNCTION("""COMPUTED_VALUE"""),"Maasin")</f>
        <v>Maasin</v>
      </c>
      <c r="AC368" s="142" t="str">
        <f>IFERROR(__xludf.DUMMYFUNCTION("""COMPUTED_VALUE"""),"Miagao")</f>
        <v>Miagao</v>
      </c>
      <c r="AD368" s="142" t="str">
        <f>IFERROR(__xludf.DUMMYFUNCTION("""COMPUTED_VALUE"""),"Mina")</f>
        <v>Mina</v>
      </c>
      <c r="AE368" s="142" t="str">
        <f>IFERROR(__xludf.DUMMYFUNCTION("""COMPUTED_VALUE"""),"New Lucena")</f>
        <v>New Lucena</v>
      </c>
      <c r="AF368" s="142" t="str">
        <f>IFERROR(__xludf.DUMMYFUNCTION("""COMPUTED_VALUE"""),"Oton")</f>
        <v>Oton</v>
      </c>
      <c r="AG368" s="142" t="str">
        <f>IFERROR(__xludf.DUMMYFUNCTION("""COMPUTED_VALUE"""),"City of Passi")</f>
        <v>City of Passi</v>
      </c>
      <c r="AH368" s="142" t="str">
        <f>IFERROR(__xludf.DUMMYFUNCTION("""COMPUTED_VALUE"""),"Pavia")</f>
        <v>Pavia</v>
      </c>
      <c r="AI368" s="142" t="str">
        <f>IFERROR(__xludf.DUMMYFUNCTION("""COMPUTED_VALUE"""),"Pototan")</f>
        <v>Pototan</v>
      </c>
      <c r="AJ368" s="142" t="str">
        <f>IFERROR(__xludf.DUMMYFUNCTION("""COMPUTED_VALUE"""),"San Dionisio")</f>
        <v>San Dionisio</v>
      </c>
      <c r="AK368" s="142" t="str">
        <f>IFERROR(__xludf.DUMMYFUNCTION("""COMPUTED_VALUE"""),"San Enrique")</f>
        <v>San Enrique</v>
      </c>
      <c r="AL368" s="142" t="str">
        <f>IFERROR(__xludf.DUMMYFUNCTION("""COMPUTED_VALUE"""),"San Joaquin")</f>
        <v>San Joaquin</v>
      </c>
      <c r="AM368" s="142" t="str">
        <f>IFERROR(__xludf.DUMMYFUNCTION("""COMPUTED_VALUE"""),"San Miguel")</f>
        <v>San Miguel</v>
      </c>
      <c r="AN368" s="142" t="str">
        <f>IFERROR(__xludf.DUMMYFUNCTION("""COMPUTED_VALUE"""),"San Rafael")</f>
        <v>San Rafael</v>
      </c>
      <c r="AO368" s="142" t="str">
        <f>IFERROR(__xludf.DUMMYFUNCTION("""COMPUTED_VALUE"""),"Santa Barbara")</f>
        <v>Santa Barbara</v>
      </c>
      <c r="AP368" s="142" t="str">
        <f>IFERROR(__xludf.DUMMYFUNCTION("""COMPUTED_VALUE"""),"Sara")</f>
        <v>Sara</v>
      </c>
      <c r="AQ368" s="142" t="str">
        <f>IFERROR(__xludf.DUMMYFUNCTION("""COMPUTED_VALUE"""),"Tigbauan")</f>
        <v>Tigbauan</v>
      </c>
      <c r="AR368" s="142" t="str">
        <f>IFERROR(__xludf.DUMMYFUNCTION("""COMPUTED_VALUE"""),"Tubungan")</f>
        <v>Tubungan</v>
      </c>
      <c r="AS368" s="142" t="str">
        <f>IFERROR(__xludf.DUMMYFUNCTION("""COMPUTED_VALUE"""),"Zarraga")</f>
        <v>Zarraga</v>
      </c>
      <c r="AT368" s="8"/>
      <c r="AU368" s="8"/>
      <c r="AV368" s="8"/>
      <c r="AW368" s="8"/>
      <c r="AX368" s="8"/>
      <c r="AY368" s="8"/>
      <c r="AZ368" s="8"/>
      <c r="BA368" s="8"/>
      <c r="BB368" s="8"/>
      <c r="BC368" s="8"/>
      <c r="BD368" s="8"/>
      <c r="BE368" s="8"/>
    </row>
    <row r="369">
      <c r="A369" s="142" t="s">
        <v>632</v>
      </c>
      <c r="B369" s="142" t="str">
        <f>IFERROR(__xludf.DUMMYFUNCTION("""COMPUTED_VALUE"""),"Amlan")</f>
        <v>Amlan</v>
      </c>
      <c r="C369" s="142" t="str">
        <f>IFERROR(__xludf.DUMMYFUNCTION("""COMPUTED_VALUE"""),"Ayungon")</f>
        <v>Ayungon</v>
      </c>
      <c r="D369" s="142" t="str">
        <f>IFERROR(__xludf.DUMMYFUNCTION("""COMPUTED_VALUE"""),"Bacong")</f>
        <v>Bacong</v>
      </c>
      <c r="E369" s="142" t="str">
        <f>IFERROR(__xludf.DUMMYFUNCTION("""COMPUTED_VALUE"""),"City of Bais")</f>
        <v>City of Bais</v>
      </c>
      <c r="F369" s="142" t="str">
        <f>IFERROR(__xludf.DUMMYFUNCTION("""COMPUTED_VALUE"""),"Basay")</f>
        <v>Basay</v>
      </c>
      <c r="G369" s="142" t="str">
        <f>IFERROR(__xludf.DUMMYFUNCTION("""COMPUTED_VALUE"""),"City of Bayawan")</f>
        <v>City of Bayawan</v>
      </c>
      <c r="H369" s="142" t="str">
        <f>IFERROR(__xludf.DUMMYFUNCTION("""COMPUTED_VALUE"""),"Bindoy")</f>
        <v>Bindoy</v>
      </c>
      <c r="I369" s="142" t="str">
        <f>IFERROR(__xludf.DUMMYFUNCTION("""COMPUTED_VALUE"""),"City of Canlaon")</f>
        <v>City of Canlaon</v>
      </c>
      <c r="J369" s="142" t="str">
        <f>IFERROR(__xludf.DUMMYFUNCTION("""COMPUTED_VALUE"""),"Dauin")</f>
        <v>Dauin</v>
      </c>
      <c r="K369" s="142" t="str">
        <f>IFERROR(__xludf.DUMMYFUNCTION("""COMPUTED_VALUE"""),"City of Dumaguete")</f>
        <v>City of Dumaguete</v>
      </c>
      <c r="L369" s="142" t="str">
        <f>IFERROR(__xludf.DUMMYFUNCTION("""COMPUTED_VALUE"""),"City of Guihulngan")</f>
        <v>City of Guihulngan</v>
      </c>
      <c r="M369" s="142" t="str">
        <f>IFERROR(__xludf.DUMMYFUNCTION("""COMPUTED_VALUE"""),"Jimalalud")</f>
        <v>Jimalalud</v>
      </c>
      <c r="N369" s="142" t="str">
        <f>IFERROR(__xludf.DUMMYFUNCTION("""COMPUTED_VALUE"""),"La Libertad")</f>
        <v>La Libertad</v>
      </c>
      <c r="O369" s="142" t="str">
        <f>IFERROR(__xludf.DUMMYFUNCTION("""COMPUTED_VALUE"""),"Mabinay")</f>
        <v>Mabinay</v>
      </c>
      <c r="P369" s="142" t="str">
        <f>IFERROR(__xludf.DUMMYFUNCTION("""COMPUTED_VALUE"""),"Manjuyod")</f>
        <v>Manjuyod</v>
      </c>
      <c r="Q369" s="142" t="str">
        <f>IFERROR(__xludf.DUMMYFUNCTION("""COMPUTED_VALUE"""),"Pamplona")</f>
        <v>Pamplona</v>
      </c>
      <c r="R369" s="142" t="str">
        <f>IFERROR(__xludf.DUMMYFUNCTION("""COMPUTED_VALUE"""),"San Jose")</f>
        <v>San Jose</v>
      </c>
      <c r="S369" s="142" t="str">
        <f>IFERROR(__xludf.DUMMYFUNCTION("""COMPUTED_VALUE"""),"Santa Catalina")</f>
        <v>Santa Catalina</v>
      </c>
      <c r="T369" s="142" t="str">
        <f>IFERROR(__xludf.DUMMYFUNCTION("""COMPUTED_VALUE"""),"Siaton")</f>
        <v>Siaton</v>
      </c>
      <c r="U369" s="142" t="str">
        <f>IFERROR(__xludf.DUMMYFUNCTION("""COMPUTED_VALUE"""),"Sibulan")</f>
        <v>Sibulan</v>
      </c>
      <c r="V369" s="142" t="str">
        <f>IFERROR(__xludf.DUMMYFUNCTION("""COMPUTED_VALUE"""),"City of Tanjay")</f>
        <v>City of Tanjay</v>
      </c>
      <c r="W369" s="142" t="str">
        <f>IFERROR(__xludf.DUMMYFUNCTION("""COMPUTED_VALUE"""),"Tayasan")</f>
        <v>Tayasan</v>
      </c>
      <c r="X369" s="142" t="str">
        <f>IFERROR(__xludf.DUMMYFUNCTION("""COMPUTED_VALUE"""),"Valencia")</f>
        <v>Valencia</v>
      </c>
      <c r="Y369" s="142" t="str">
        <f>IFERROR(__xludf.DUMMYFUNCTION("""COMPUTED_VALUE"""),"Vallehermoso")</f>
        <v>Vallehermoso</v>
      </c>
      <c r="Z369" s="142" t="str">
        <f>IFERROR(__xludf.DUMMYFUNCTION("""COMPUTED_VALUE"""),"Zamboanguita")</f>
        <v>Zamboanguita</v>
      </c>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row>
    <row r="370">
      <c r="A370" s="142" t="s">
        <v>632</v>
      </c>
      <c r="B370" s="142" t="str">
        <f>IFERROR(__xludf.DUMMYFUNCTION("""COMPUTED_VALUE"""),"Amlan")</f>
        <v>Amlan</v>
      </c>
      <c r="C370" s="142" t="str">
        <f>IFERROR(__xludf.DUMMYFUNCTION("""COMPUTED_VALUE"""),"Ayungon")</f>
        <v>Ayungon</v>
      </c>
      <c r="D370" s="142" t="str">
        <f>IFERROR(__xludf.DUMMYFUNCTION("""COMPUTED_VALUE"""),"Bacong")</f>
        <v>Bacong</v>
      </c>
      <c r="E370" s="142" t="str">
        <f>IFERROR(__xludf.DUMMYFUNCTION("""COMPUTED_VALUE"""),"City of Bais")</f>
        <v>City of Bais</v>
      </c>
      <c r="F370" s="142" t="str">
        <f>IFERROR(__xludf.DUMMYFUNCTION("""COMPUTED_VALUE"""),"Basay")</f>
        <v>Basay</v>
      </c>
      <c r="G370" s="142" t="str">
        <f>IFERROR(__xludf.DUMMYFUNCTION("""COMPUTED_VALUE"""),"City of Bayawan")</f>
        <v>City of Bayawan</v>
      </c>
      <c r="H370" s="142" t="str">
        <f>IFERROR(__xludf.DUMMYFUNCTION("""COMPUTED_VALUE"""),"Bindoy")</f>
        <v>Bindoy</v>
      </c>
      <c r="I370" s="142" t="str">
        <f>IFERROR(__xludf.DUMMYFUNCTION("""COMPUTED_VALUE"""),"City of Canlaon")</f>
        <v>City of Canlaon</v>
      </c>
      <c r="J370" s="142" t="str">
        <f>IFERROR(__xludf.DUMMYFUNCTION("""COMPUTED_VALUE"""),"Dauin")</f>
        <v>Dauin</v>
      </c>
      <c r="K370" s="142" t="str">
        <f>IFERROR(__xludf.DUMMYFUNCTION("""COMPUTED_VALUE"""),"City of Dumaguete")</f>
        <v>City of Dumaguete</v>
      </c>
      <c r="L370" s="142" t="str">
        <f>IFERROR(__xludf.DUMMYFUNCTION("""COMPUTED_VALUE"""),"City of Guihulngan")</f>
        <v>City of Guihulngan</v>
      </c>
      <c r="M370" s="142" t="str">
        <f>IFERROR(__xludf.DUMMYFUNCTION("""COMPUTED_VALUE"""),"Jimalalud")</f>
        <v>Jimalalud</v>
      </c>
      <c r="N370" s="142" t="str">
        <f>IFERROR(__xludf.DUMMYFUNCTION("""COMPUTED_VALUE"""),"La Libertad")</f>
        <v>La Libertad</v>
      </c>
      <c r="O370" s="142" t="str">
        <f>IFERROR(__xludf.DUMMYFUNCTION("""COMPUTED_VALUE"""),"Mabinay")</f>
        <v>Mabinay</v>
      </c>
      <c r="P370" s="142" t="str">
        <f>IFERROR(__xludf.DUMMYFUNCTION("""COMPUTED_VALUE"""),"Manjuyod")</f>
        <v>Manjuyod</v>
      </c>
      <c r="Q370" s="142" t="str">
        <f>IFERROR(__xludf.DUMMYFUNCTION("""COMPUTED_VALUE"""),"Pamplona")</f>
        <v>Pamplona</v>
      </c>
      <c r="R370" s="142" t="str">
        <f>IFERROR(__xludf.DUMMYFUNCTION("""COMPUTED_VALUE"""),"San Jose")</f>
        <v>San Jose</v>
      </c>
      <c r="S370" s="142" t="str">
        <f>IFERROR(__xludf.DUMMYFUNCTION("""COMPUTED_VALUE"""),"Santa Catalina")</f>
        <v>Santa Catalina</v>
      </c>
      <c r="T370" s="142" t="str">
        <f>IFERROR(__xludf.DUMMYFUNCTION("""COMPUTED_VALUE"""),"Siaton")</f>
        <v>Siaton</v>
      </c>
      <c r="U370" s="142" t="str">
        <f>IFERROR(__xludf.DUMMYFUNCTION("""COMPUTED_VALUE"""),"Sibulan")</f>
        <v>Sibulan</v>
      </c>
      <c r="V370" s="142" t="str">
        <f>IFERROR(__xludf.DUMMYFUNCTION("""COMPUTED_VALUE"""),"City of Tanjay")</f>
        <v>City of Tanjay</v>
      </c>
      <c r="W370" s="142" t="str">
        <f>IFERROR(__xludf.DUMMYFUNCTION("""COMPUTED_VALUE"""),"Tayasan")</f>
        <v>Tayasan</v>
      </c>
      <c r="X370" s="142" t="str">
        <f>IFERROR(__xludf.DUMMYFUNCTION("""COMPUTED_VALUE"""),"Valencia")</f>
        <v>Valencia</v>
      </c>
      <c r="Y370" s="142" t="str">
        <f>IFERROR(__xludf.DUMMYFUNCTION("""COMPUTED_VALUE"""),"Vallehermoso")</f>
        <v>Vallehermoso</v>
      </c>
      <c r="Z370" s="142" t="str">
        <f>IFERROR(__xludf.DUMMYFUNCTION("""COMPUTED_VALUE"""),"Zamboanguita")</f>
        <v>Zamboanguita</v>
      </c>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row>
    <row r="371">
      <c r="A371" s="142" t="s">
        <v>632</v>
      </c>
      <c r="B371" s="142" t="str">
        <f>IFERROR(__xludf.DUMMYFUNCTION("""COMPUTED_VALUE"""),"Amlan")</f>
        <v>Amlan</v>
      </c>
      <c r="C371" s="142" t="str">
        <f>IFERROR(__xludf.DUMMYFUNCTION("""COMPUTED_VALUE"""),"Ayungon")</f>
        <v>Ayungon</v>
      </c>
      <c r="D371" s="142" t="str">
        <f>IFERROR(__xludf.DUMMYFUNCTION("""COMPUTED_VALUE"""),"Bacong")</f>
        <v>Bacong</v>
      </c>
      <c r="E371" s="142" t="str">
        <f>IFERROR(__xludf.DUMMYFUNCTION("""COMPUTED_VALUE"""),"City of Bais")</f>
        <v>City of Bais</v>
      </c>
      <c r="F371" s="142" t="str">
        <f>IFERROR(__xludf.DUMMYFUNCTION("""COMPUTED_VALUE"""),"Basay")</f>
        <v>Basay</v>
      </c>
      <c r="G371" s="142" t="str">
        <f>IFERROR(__xludf.DUMMYFUNCTION("""COMPUTED_VALUE"""),"City of Bayawan")</f>
        <v>City of Bayawan</v>
      </c>
      <c r="H371" s="142" t="str">
        <f>IFERROR(__xludf.DUMMYFUNCTION("""COMPUTED_VALUE"""),"Bindoy")</f>
        <v>Bindoy</v>
      </c>
      <c r="I371" s="142" t="str">
        <f>IFERROR(__xludf.DUMMYFUNCTION("""COMPUTED_VALUE"""),"City of Canlaon")</f>
        <v>City of Canlaon</v>
      </c>
      <c r="J371" s="142" t="str">
        <f>IFERROR(__xludf.DUMMYFUNCTION("""COMPUTED_VALUE"""),"Dauin")</f>
        <v>Dauin</v>
      </c>
      <c r="K371" s="142" t="str">
        <f>IFERROR(__xludf.DUMMYFUNCTION("""COMPUTED_VALUE"""),"City of Dumaguete")</f>
        <v>City of Dumaguete</v>
      </c>
      <c r="L371" s="142" t="str">
        <f>IFERROR(__xludf.DUMMYFUNCTION("""COMPUTED_VALUE"""),"City of Guihulngan")</f>
        <v>City of Guihulngan</v>
      </c>
      <c r="M371" s="142" t="str">
        <f>IFERROR(__xludf.DUMMYFUNCTION("""COMPUTED_VALUE"""),"Jimalalud")</f>
        <v>Jimalalud</v>
      </c>
      <c r="N371" s="142" t="str">
        <f>IFERROR(__xludf.DUMMYFUNCTION("""COMPUTED_VALUE"""),"La Libertad")</f>
        <v>La Libertad</v>
      </c>
      <c r="O371" s="142" t="str">
        <f>IFERROR(__xludf.DUMMYFUNCTION("""COMPUTED_VALUE"""),"Mabinay")</f>
        <v>Mabinay</v>
      </c>
      <c r="P371" s="142" t="str">
        <f>IFERROR(__xludf.DUMMYFUNCTION("""COMPUTED_VALUE"""),"Manjuyod")</f>
        <v>Manjuyod</v>
      </c>
      <c r="Q371" s="142" t="str">
        <f>IFERROR(__xludf.DUMMYFUNCTION("""COMPUTED_VALUE"""),"Pamplona")</f>
        <v>Pamplona</v>
      </c>
      <c r="R371" s="142" t="str">
        <f>IFERROR(__xludf.DUMMYFUNCTION("""COMPUTED_VALUE"""),"San Jose")</f>
        <v>San Jose</v>
      </c>
      <c r="S371" s="142" t="str">
        <f>IFERROR(__xludf.DUMMYFUNCTION("""COMPUTED_VALUE"""),"Santa Catalina")</f>
        <v>Santa Catalina</v>
      </c>
      <c r="T371" s="142" t="str">
        <f>IFERROR(__xludf.DUMMYFUNCTION("""COMPUTED_VALUE"""),"Siaton")</f>
        <v>Siaton</v>
      </c>
      <c r="U371" s="142" t="str">
        <f>IFERROR(__xludf.DUMMYFUNCTION("""COMPUTED_VALUE"""),"Sibulan")</f>
        <v>Sibulan</v>
      </c>
      <c r="V371" s="142" t="str">
        <f>IFERROR(__xludf.DUMMYFUNCTION("""COMPUTED_VALUE"""),"City of Tanjay")</f>
        <v>City of Tanjay</v>
      </c>
      <c r="W371" s="142" t="str">
        <f>IFERROR(__xludf.DUMMYFUNCTION("""COMPUTED_VALUE"""),"Tayasan")</f>
        <v>Tayasan</v>
      </c>
      <c r="X371" s="142" t="str">
        <f>IFERROR(__xludf.DUMMYFUNCTION("""COMPUTED_VALUE"""),"Valencia")</f>
        <v>Valencia</v>
      </c>
      <c r="Y371" s="142" t="str">
        <f>IFERROR(__xludf.DUMMYFUNCTION("""COMPUTED_VALUE"""),"Vallehermoso")</f>
        <v>Vallehermoso</v>
      </c>
      <c r="Z371" s="142" t="str">
        <f>IFERROR(__xludf.DUMMYFUNCTION("""COMPUTED_VALUE"""),"Zamboanguita")</f>
        <v>Zamboanguita</v>
      </c>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row>
    <row r="372">
      <c r="A372" s="142" t="s">
        <v>632</v>
      </c>
      <c r="B372" s="142" t="str">
        <f>IFERROR(__xludf.DUMMYFUNCTION("""COMPUTED_VALUE"""),"Amlan")</f>
        <v>Amlan</v>
      </c>
      <c r="C372" s="142" t="str">
        <f>IFERROR(__xludf.DUMMYFUNCTION("""COMPUTED_VALUE"""),"Ayungon")</f>
        <v>Ayungon</v>
      </c>
      <c r="D372" s="142" t="str">
        <f>IFERROR(__xludf.DUMMYFUNCTION("""COMPUTED_VALUE"""),"Bacong")</f>
        <v>Bacong</v>
      </c>
      <c r="E372" s="142" t="str">
        <f>IFERROR(__xludf.DUMMYFUNCTION("""COMPUTED_VALUE"""),"City of Bais")</f>
        <v>City of Bais</v>
      </c>
      <c r="F372" s="142" t="str">
        <f>IFERROR(__xludf.DUMMYFUNCTION("""COMPUTED_VALUE"""),"Basay")</f>
        <v>Basay</v>
      </c>
      <c r="G372" s="142" t="str">
        <f>IFERROR(__xludf.DUMMYFUNCTION("""COMPUTED_VALUE"""),"City of Bayawan")</f>
        <v>City of Bayawan</v>
      </c>
      <c r="H372" s="142" t="str">
        <f>IFERROR(__xludf.DUMMYFUNCTION("""COMPUTED_VALUE"""),"Bindoy")</f>
        <v>Bindoy</v>
      </c>
      <c r="I372" s="142" t="str">
        <f>IFERROR(__xludf.DUMMYFUNCTION("""COMPUTED_VALUE"""),"City of Canlaon")</f>
        <v>City of Canlaon</v>
      </c>
      <c r="J372" s="142" t="str">
        <f>IFERROR(__xludf.DUMMYFUNCTION("""COMPUTED_VALUE"""),"Dauin")</f>
        <v>Dauin</v>
      </c>
      <c r="K372" s="142" t="str">
        <f>IFERROR(__xludf.DUMMYFUNCTION("""COMPUTED_VALUE"""),"City of Dumaguete")</f>
        <v>City of Dumaguete</v>
      </c>
      <c r="L372" s="142" t="str">
        <f>IFERROR(__xludf.DUMMYFUNCTION("""COMPUTED_VALUE"""),"City of Guihulngan")</f>
        <v>City of Guihulngan</v>
      </c>
      <c r="M372" s="142" t="str">
        <f>IFERROR(__xludf.DUMMYFUNCTION("""COMPUTED_VALUE"""),"Jimalalud")</f>
        <v>Jimalalud</v>
      </c>
      <c r="N372" s="142" t="str">
        <f>IFERROR(__xludf.DUMMYFUNCTION("""COMPUTED_VALUE"""),"La Libertad")</f>
        <v>La Libertad</v>
      </c>
      <c r="O372" s="142" t="str">
        <f>IFERROR(__xludf.DUMMYFUNCTION("""COMPUTED_VALUE"""),"Mabinay")</f>
        <v>Mabinay</v>
      </c>
      <c r="P372" s="142" t="str">
        <f>IFERROR(__xludf.DUMMYFUNCTION("""COMPUTED_VALUE"""),"Manjuyod")</f>
        <v>Manjuyod</v>
      </c>
      <c r="Q372" s="142" t="str">
        <f>IFERROR(__xludf.DUMMYFUNCTION("""COMPUTED_VALUE"""),"Pamplona")</f>
        <v>Pamplona</v>
      </c>
      <c r="R372" s="142" t="str">
        <f>IFERROR(__xludf.DUMMYFUNCTION("""COMPUTED_VALUE"""),"San Jose")</f>
        <v>San Jose</v>
      </c>
      <c r="S372" s="142" t="str">
        <f>IFERROR(__xludf.DUMMYFUNCTION("""COMPUTED_VALUE"""),"Santa Catalina")</f>
        <v>Santa Catalina</v>
      </c>
      <c r="T372" s="142" t="str">
        <f>IFERROR(__xludf.DUMMYFUNCTION("""COMPUTED_VALUE"""),"Siaton")</f>
        <v>Siaton</v>
      </c>
      <c r="U372" s="142" t="str">
        <f>IFERROR(__xludf.DUMMYFUNCTION("""COMPUTED_VALUE"""),"Sibulan")</f>
        <v>Sibulan</v>
      </c>
      <c r="V372" s="142" t="str">
        <f>IFERROR(__xludf.DUMMYFUNCTION("""COMPUTED_VALUE"""),"City of Tanjay")</f>
        <v>City of Tanjay</v>
      </c>
      <c r="W372" s="142" t="str">
        <f>IFERROR(__xludf.DUMMYFUNCTION("""COMPUTED_VALUE"""),"Tayasan")</f>
        <v>Tayasan</v>
      </c>
      <c r="X372" s="142" t="str">
        <f>IFERROR(__xludf.DUMMYFUNCTION("""COMPUTED_VALUE"""),"Valencia")</f>
        <v>Valencia</v>
      </c>
      <c r="Y372" s="142" t="str">
        <f>IFERROR(__xludf.DUMMYFUNCTION("""COMPUTED_VALUE"""),"Vallehermoso")</f>
        <v>Vallehermoso</v>
      </c>
      <c r="Z372" s="142" t="str">
        <f>IFERROR(__xludf.DUMMYFUNCTION("""COMPUTED_VALUE"""),"Zamboanguita")</f>
        <v>Zamboanguita</v>
      </c>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row>
    <row r="373">
      <c r="A373" s="142" t="s">
        <v>632</v>
      </c>
      <c r="B373" s="142" t="str">
        <f>IFERROR(__xludf.DUMMYFUNCTION("""COMPUTED_VALUE"""),"Amlan")</f>
        <v>Amlan</v>
      </c>
      <c r="C373" s="142" t="str">
        <f>IFERROR(__xludf.DUMMYFUNCTION("""COMPUTED_VALUE"""),"Ayungon")</f>
        <v>Ayungon</v>
      </c>
      <c r="D373" s="142" t="str">
        <f>IFERROR(__xludf.DUMMYFUNCTION("""COMPUTED_VALUE"""),"Bacong")</f>
        <v>Bacong</v>
      </c>
      <c r="E373" s="142" t="str">
        <f>IFERROR(__xludf.DUMMYFUNCTION("""COMPUTED_VALUE"""),"City of Bais")</f>
        <v>City of Bais</v>
      </c>
      <c r="F373" s="142" t="str">
        <f>IFERROR(__xludf.DUMMYFUNCTION("""COMPUTED_VALUE"""),"Basay")</f>
        <v>Basay</v>
      </c>
      <c r="G373" s="142" t="str">
        <f>IFERROR(__xludf.DUMMYFUNCTION("""COMPUTED_VALUE"""),"City of Bayawan")</f>
        <v>City of Bayawan</v>
      </c>
      <c r="H373" s="142" t="str">
        <f>IFERROR(__xludf.DUMMYFUNCTION("""COMPUTED_VALUE"""),"Bindoy")</f>
        <v>Bindoy</v>
      </c>
      <c r="I373" s="142" t="str">
        <f>IFERROR(__xludf.DUMMYFUNCTION("""COMPUTED_VALUE"""),"City of Canlaon")</f>
        <v>City of Canlaon</v>
      </c>
      <c r="J373" s="142" t="str">
        <f>IFERROR(__xludf.DUMMYFUNCTION("""COMPUTED_VALUE"""),"Dauin")</f>
        <v>Dauin</v>
      </c>
      <c r="K373" s="142" t="str">
        <f>IFERROR(__xludf.DUMMYFUNCTION("""COMPUTED_VALUE"""),"City of Dumaguete")</f>
        <v>City of Dumaguete</v>
      </c>
      <c r="L373" s="142" t="str">
        <f>IFERROR(__xludf.DUMMYFUNCTION("""COMPUTED_VALUE"""),"City of Guihulngan")</f>
        <v>City of Guihulngan</v>
      </c>
      <c r="M373" s="142" t="str">
        <f>IFERROR(__xludf.DUMMYFUNCTION("""COMPUTED_VALUE"""),"Jimalalud")</f>
        <v>Jimalalud</v>
      </c>
      <c r="N373" s="142" t="str">
        <f>IFERROR(__xludf.DUMMYFUNCTION("""COMPUTED_VALUE"""),"La Libertad")</f>
        <v>La Libertad</v>
      </c>
      <c r="O373" s="142" t="str">
        <f>IFERROR(__xludf.DUMMYFUNCTION("""COMPUTED_VALUE"""),"Mabinay")</f>
        <v>Mabinay</v>
      </c>
      <c r="P373" s="142" t="str">
        <f>IFERROR(__xludf.DUMMYFUNCTION("""COMPUTED_VALUE"""),"Manjuyod")</f>
        <v>Manjuyod</v>
      </c>
      <c r="Q373" s="142" t="str">
        <f>IFERROR(__xludf.DUMMYFUNCTION("""COMPUTED_VALUE"""),"Pamplona")</f>
        <v>Pamplona</v>
      </c>
      <c r="R373" s="142" t="str">
        <f>IFERROR(__xludf.DUMMYFUNCTION("""COMPUTED_VALUE"""),"San Jose")</f>
        <v>San Jose</v>
      </c>
      <c r="S373" s="142" t="str">
        <f>IFERROR(__xludf.DUMMYFUNCTION("""COMPUTED_VALUE"""),"Santa Catalina")</f>
        <v>Santa Catalina</v>
      </c>
      <c r="T373" s="142" t="str">
        <f>IFERROR(__xludf.DUMMYFUNCTION("""COMPUTED_VALUE"""),"Siaton")</f>
        <v>Siaton</v>
      </c>
      <c r="U373" s="142" t="str">
        <f>IFERROR(__xludf.DUMMYFUNCTION("""COMPUTED_VALUE"""),"Sibulan")</f>
        <v>Sibulan</v>
      </c>
      <c r="V373" s="142" t="str">
        <f>IFERROR(__xludf.DUMMYFUNCTION("""COMPUTED_VALUE"""),"City of Tanjay")</f>
        <v>City of Tanjay</v>
      </c>
      <c r="W373" s="142" t="str">
        <f>IFERROR(__xludf.DUMMYFUNCTION("""COMPUTED_VALUE"""),"Tayasan")</f>
        <v>Tayasan</v>
      </c>
      <c r="X373" s="142" t="str">
        <f>IFERROR(__xludf.DUMMYFUNCTION("""COMPUTED_VALUE"""),"Valencia")</f>
        <v>Valencia</v>
      </c>
      <c r="Y373" s="142" t="str">
        <f>IFERROR(__xludf.DUMMYFUNCTION("""COMPUTED_VALUE"""),"Vallehermoso")</f>
        <v>Vallehermoso</v>
      </c>
      <c r="Z373" s="142" t="str">
        <f>IFERROR(__xludf.DUMMYFUNCTION("""COMPUTED_VALUE"""),"Zamboanguita")</f>
        <v>Zamboanguita</v>
      </c>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row>
    <row r="374">
      <c r="A374" s="142" t="s">
        <v>632</v>
      </c>
      <c r="B374" s="142" t="str">
        <f>IFERROR(__xludf.DUMMYFUNCTION("""COMPUTED_VALUE"""),"Amlan")</f>
        <v>Amlan</v>
      </c>
      <c r="C374" s="142" t="str">
        <f>IFERROR(__xludf.DUMMYFUNCTION("""COMPUTED_VALUE"""),"Ayungon")</f>
        <v>Ayungon</v>
      </c>
      <c r="D374" s="142" t="str">
        <f>IFERROR(__xludf.DUMMYFUNCTION("""COMPUTED_VALUE"""),"Bacong")</f>
        <v>Bacong</v>
      </c>
      <c r="E374" s="142" t="str">
        <f>IFERROR(__xludf.DUMMYFUNCTION("""COMPUTED_VALUE"""),"City of Bais")</f>
        <v>City of Bais</v>
      </c>
      <c r="F374" s="142" t="str">
        <f>IFERROR(__xludf.DUMMYFUNCTION("""COMPUTED_VALUE"""),"Basay")</f>
        <v>Basay</v>
      </c>
      <c r="G374" s="142" t="str">
        <f>IFERROR(__xludf.DUMMYFUNCTION("""COMPUTED_VALUE"""),"City of Bayawan")</f>
        <v>City of Bayawan</v>
      </c>
      <c r="H374" s="142" t="str">
        <f>IFERROR(__xludf.DUMMYFUNCTION("""COMPUTED_VALUE"""),"Bindoy")</f>
        <v>Bindoy</v>
      </c>
      <c r="I374" s="142" t="str">
        <f>IFERROR(__xludf.DUMMYFUNCTION("""COMPUTED_VALUE"""),"City of Canlaon")</f>
        <v>City of Canlaon</v>
      </c>
      <c r="J374" s="142" t="str">
        <f>IFERROR(__xludf.DUMMYFUNCTION("""COMPUTED_VALUE"""),"Dauin")</f>
        <v>Dauin</v>
      </c>
      <c r="K374" s="142" t="str">
        <f>IFERROR(__xludf.DUMMYFUNCTION("""COMPUTED_VALUE"""),"City of Dumaguete")</f>
        <v>City of Dumaguete</v>
      </c>
      <c r="L374" s="142" t="str">
        <f>IFERROR(__xludf.DUMMYFUNCTION("""COMPUTED_VALUE"""),"City of Guihulngan")</f>
        <v>City of Guihulngan</v>
      </c>
      <c r="M374" s="142" t="str">
        <f>IFERROR(__xludf.DUMMYFUNCTION("""COMPUTED_VALUE"""),"Jimalalud")</f>
        <v>Jimalalud</v>
      </c>
      <c r="N374" s="142" t="str">
        <f>IFERROR(__xludf.DUMMYFUNCTION("""COMPUTED_VALUE"""),"La Libertad")</f>
        <v>La Libertad</v>
      </c>
      <c r="O374" s="142" t="str">
        <f>IFERROR(__xludf.DUMMYFUNCTION("""COMPUTED_VALUE"""),"Mabinay")</f>
        <v>Mabinay</v>
      </c>
      <c r="P374" s="142" t="str">
        <f>IFERROR(__xludf.DUMMYFUNCTION("""COMPUTED_VALUE"""),"Manjuyod")</f>
        <v>Manjuyod</v>
      </c>
      <c r="Q374" s="142" t="str">
        <f>IFERROR(__xludf.DUMMYFUNCTION("""COMPUTED_VALUE"""),"Pamplona")</f>
        <v>Pamplona</v>
      </c>
      <c r="R374" s="142" t="str">
        <f>IFERROR(__xludf.DUMMYFUNCTION("""COMPUTED_VALUE"""),"San Jose")</f>
        <v>San Jose</v>
      </c>
      <c r="S374" s="142" t="str">
        <f>IFERROR(__xludf.DUMMYFUNCTION("""COMPUTED_VALUE"""),"Santa Catalina")</f>
        <v>Santa Catalina</v>
      </c>
      <c r="T374" s="142" t="str">
        <f>IFERROR(__xludf.DUMMYFUNCTION("""COMPUTED_VALUE"""),"Siaton")</f>
        <v>Siaton</v>
      </c>
      <c r="U374" s="142" t="str">
        <f>IFERROR(__xludf.DUMMYFUNCTION("""COMPUTED_VALUE"""),"Sibulan")</f>
        <v>Sibulan</v>
      </c>
      <c r="V374" s="142" t="str">
        <f>IFERROR(__xludf.DUMMYFUNCTION("""COMPUTED_VALUE"""),"City of Tanjay")</f>
        <v>City of Tanjay</v>
      </c>
      <c r="W374" s="142" t="str">
        <f>IFERROR(__xludf.DUMMYFUNCTION("""COMPUTED_VALUE"""),"Tayasan")</f>
        <v>Tayasan</v>
      </c>
      <c r="X374" s="142" t="str">
        <f>IFERROR(__xludf.DUMMYFUNCTION("""COMPUTED_VALUE"""),"Valencia")</f>
        <v>Valencia</v>
      </c>
      <c r="Y374" s="142" t="str">
        <f>IFERROR(__xludf.DUMMYFUNCTION("""COMPUTED_VALUE"""),"Vallehermoso")</f>
        <v>Vallehermoso</v>
      </c>
      <c r="Z374" s="142" t="str">
        <f>IFERROR(__xludf.DUMMYFUNCTION("""COMPUTED_VALUE"""),"Zamboanguita")</f>
        <v>Zamboanguita</v>
      </c>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row>
    <row r="375">
      <c r="A375" s="142" t="s">
        <v>632</v>
      </c>
      <c r="B375" s="142" t="str">
        <f>IFERROR(__xludf.DUMMYFUNCTION("""COMPUTED_VALUE"""),"Amlan")</f>
        <v>Amlan</v>
      </c>
      <c r="C375" s="142" t="str">
        <f>IFERROR(__xludf.DUMMYFUNCTION("""COMPUTED_VALUE"""),"Ayungon")</f>
        <v>Ayungon</v>
      </c>
      <c r="D375" s="142" t="str">
        <f>IFERROR(__xludf.DUMMYFUNCTION("""COMPUTED_VALUE"""),"Bacong")</f>
        <v>Bacong</v>
      </c>
      <c r="E375" s="142" t="str">
        <f>IFERROR(__xludf.DUMMYFUNCTION("""COMPUTED_VALUE"""),"City of Bais")</f>
        <v>City of Bais</v>
      </c>
      <c r="F375" s="142" t="str">
        <f>IFERROR(__xludf.DUMMYFUNCTION("""COMPUTED_VALUE"""),"Basay")</f>
        <v>Basay</v>
      </c>
      <c r="G375" s="142" t="str">
        <f>IFERROR(__xludf.DUMMYFUNCTION("""COMPUTED_VALUE"""),"City of Bayawan")</f>
        <v>City of Bayawan</v>
      </c>
      <c r="H375" s="142" t="str">
        <f>IFERROR(__xludf.DUMMYFUNCTION("""COMPUTED_VALUE"""),"Bindoy")</f>
        <v>Bindoy</v>
      </c>
      <c r="I375" s="142" t="str">
        <f>IFERROR(__xludf.DUMMYFUNCTION("""COMPUTED_VALUE"""),"City of Canlaon")</f>
        <v>City of Canlaon</v>
      </c>
      <c r="J375" s="142" t="str">
        <f>IFERROR(__xludf.DUMMYFUNCTION("""COMPUTED_VALUE"""),"Dauin")</f>
        <v>Dauin</v>
      </c>
      <c r="K375" s="142" t="str">
        <f>IFERROR(__xludf.DUMMYFUNCTION("""COMPUTED_VALUE"""),"City of Dumaguete")</f>
        <v>City of Dumaguete</v>
      </c>
      <c r="L375" s="142" t="str">
        <f>IFERROR(__xludf.DUMMYFUNCTION("""COMPUTED_VALUE"""),"City of Guihulngan")</f>
        <v>City of Guihulngan</v>
      </c>
      <c r="M375" s="142" t="str">
        <f>IFERROR(__xludf.DUMMYFUNCTION("""COMPUTED_VALUE"""),"Jimalalud")</f>
        <v>Jimalalud</v>
      </c>
      <c r="N375" s="142" t="str">
        <f>IFERROR(__xludf.DUMMYFUNCTION("""COMPUTED_VALUE"""),"La Libertad")</f>
        <v>La Libertad</v>
      </c>
      <c r="O375" s="142" t="str">
        <f>IFERROR(__xludf.DUMMYFUNCTION("""COMPUTED_VALUE"""),"Mabinay")</f>
        <v>Mabinay</v>
      </c>
      <c r="P375" s="142" t="str">
        <f>IFERROR(__xludf.DUMMYFUNCTION("""COMPUTED_VALUE"""),"Manjuyod")</f>
        <v>Manjuyod</v>
      </c>
      <c r="Q375" s="142" t="str">
        <f>IFERROR(__xludf.DUMMYFUNCTION("""COMPUTED_VALUE"""),"Pamplona")</f>
        <v>Pamplona</v>
      </c>
      <c r="R375" s="142" t="str">
        <f>IFERROR(__xludf.DUMMYFUNCTION("""COMPUTED_VALUE"""),"San Jose")</f>
        <v>San Jose</v>
      </c>
      <c r="S375" s="142" t="str">
        <f>IFERROR(__xludf.DUMMYFUNCTION("""COMPUTED_VALUE"""),"Santa Catalina")</f>
        <v>Santa Catalina</v>
      </c>
      <c r="T375" s="142" t="str">
        <f>IFERROR(__xludf.DUMMYFUNCTION("""COMPUTED_VALUE"""),"Siaton")</f>
        <v>Siaton</v>
      </c>
      <c r="U375" s="142" t="str">
        <f>IFERROR(__xludf.DUMMYFUNCTION("""COMPUTED_VALUE"""),"Sibulan")</f>
        <v>Sibulan</v>
      </c>
      <c r="V375" s="142" t="str">
        <f>IFERROR(__xludf.DUMMYFUNCTION("""COMPUTED_VALUE"""),"City of Tanjay")</f>
        <v>City of Tanjay</v>
      </c>
      <c r="W375" s="142" t="str">
        <f>IFERROR(__xludf.DUMMYFUNCTION("""COMPUTED_VALUE"""),"Tayasan")</f>
        <v>Tayasan</v>
      </c>
      <c r="X375" s="142" t="str">
        <f>IFERROR(__xludf.DUMMYFUNCTION("""COMPUTED_VALUE"""),"Valencia")</f>
        <v>Valencia</v>
      </c>
      <c r="Y375" s="142" t="str">
        <f>IFERROR(__xludf.DUMMYFUNCTION("""COMPUTED_VALUE"""),"Vallehermoso")</f>
        <v>Vallehermoso</v>
      </c>
      <c r="Z375" s="142" t="str">
        <f>IFERROR(__xludf.DUMMYFUNCTION("""COMPUTED_VALUE"""),"Zamboanguita")</f>
        <v>Zamboanguita</v>
      </c>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row>
    <row r="376">
      <c r="A376" s="142" t="s">
        <v>632</v>
      </c>
      <c r="B376" s="142" t="str">
        <f>IFERROR(__xludf.DUMMYFUNCTION("""COMPUTED_VALUE"""),"Amlan")</f>
        <v>Amlan</v>
      </c>
      <c r="C376" s="142" t="str">
        <f>IFERROR(__xludf.DUMMYFUNCTION("""COMPUTED_VALUE"""),"Ayungon")</f>
        <v>Ayungon</v>
      </c>
      <c r="D376" s="142" t="str">
        <f>IFERROR(__xludf.DUMMYFUNCTION("""COMPUTED_VALUE"""),"Bacong")</f>
        <v>Bacong</v>
      </c>
      <c r="E376" s="142" t="str">
        <f>IFERROR(__xludf.DUMMYFUNCTION("""COMPUTED_VALUE"""),"City of Bais")</f>
        <v>City of Bais</v>
      </c>
      <c r="F376" s="142" t="str">
        <f>IFERROR(__xludf.DUMMYFUNCTION("""COMPUTED_VALUE"""),"Basay")</f>
        <v>Basay</v>
      </c>
      <c r="G376" s="142" t="str">
        <f>IFERROR(__xludf.DUMMYFUNCTION("""COMPUTED_VALUE"""),"City of Bayawan")</f>
        <v>City of Bayawan</v>
      </c>
      <c r="H376" s="142" t="str">
        <f>IFERROR(__xludf.DUMMYFUNCTION("""COMPUTED_VALUE"""),"Bindoy")</f>
        <v>Bindoy</v>
      </c>
      <c r="I376" s="142" t="str">
        <f>IFERROR(__xludf.DUMMYFUNCTION("""COMPUTED_VALUE"""),"City of Canlaon")</f>
        <v>City of Canlaon</v>
      </c>
      <c r="J376" s="142" t="str">
        <f>IFERROR(__xludf.DUMMYFUNCTION("""COMPUTED_VALUE"""),"Dauin")</f>
        <v>Dauin</v>
      </c>
      <c r="K376" s="142" t="str">
        <f>IFERROR(__xludf.DUMMYFUNCTION("""COMPUTED_VALUE"""),"City of Dumaguete")</f>
        <v>City of Dumaguete</v>
      </c>
      <c r="L376" s="142" t="str">
        <f>IFERROR(__xludf.DUMMYFUNCTION("""COMPUTED_VALUE"""),"City of Guihulngan")</f>
        <v>City of Guihulngan</v>
      </c>
      <c r="M376" s="142" t="str">
        <f>IFERROR(__xludf.DUMMYFUNCTION("""COMPUTED_VALUE"""),"Jimalalud")</f>
        <v>Jimalalud</v>
      </c>
      <c r="N376" s="142" t="str">
        <f>IFERROR(__xludf.DUMMYFUNCTION("""COMPUTED_VALUE"""),"La Libertad")</f>
        <v>La Libertad</v>
      </c>
      <c r="O376" s="142" t="str">
        <f>IFERROR(__xludf.DUMMYFUNCTION("""COMPUTED_VALUE"""),"Mabinay")</f>
        <v>Mabinay</v>
      </c>
      <c r="P376" s="142" t="str">
        <f>IFERROR(__xludf.DUMMYFUNCTION("""COMPUTED_VALUE"""),"Manjuyod")</f>
        <v>Manjuyod</v>
      </c>
      <c r="Q376" s="142" t="str">
        <f>IFERROR(__xludf.DUMMYFUNCTION("""COMPUTED_VALUE"""),"Pamplona")</f>
        <v>Pamplona</v>
      </c>
      <c r="R376" s="142" t="str">
        <f>IFERROR(__xludf.DUMMYFUNCTION("""COMPUTED_VALUE"""),"San Jose")</f>
        <v>San Jose</v>
      </c>
      <c r="S376" s="142" t="str">
        <f>IFERROR(__xludf.DUMMYFUNCTION("""COMPUTED_VALUE"""),"Santa Catalina")</f>
        <v>Santa Catalina</v>
      </c>
      <c r="T376" s="142" t="str">
        <f>IFERROR(__xludf.DUMMYFUNCTION("""COMPUTED_VALUE"""),"Siaton")</f>
        <v>Siaton</v>
      </c>
      <c r="U376" s="142" t="str">
        <f>IFERROR(__xludf.DUMMYFUNCTION("""COMPUTED_VALUE"""),"Sibulan")</f>
        <v>Sibulan</v>
      </c>
      <c r="V376" s="142" t="str">
        <f>IFERROR(__xludf.DUMMYFUNCTION("""COMPUTED_VALUE"""),"City of Tanjay")</f>
        <v>City of Tanjay</v>
      </c>
      <c r="W376" s="142" t="str">
        <f>IFERROR(__xludf.DUMMYFUNCTION("""COMPUTED_VALUE"""),"Tayasan")</f>
        <v>Tayasan</v>
      </c>
      <c r="X376" s="142" t="str">
        <f>IFERROR(__xludf.DUMMYFUNCTION("""COMPUTED_VALUE"""),"Valencia")</f>
        <v>Valencia</v>
      </c>
      <c r="Y376" s="142" t="str">
        <f>IFERROR(__xludf.DUMMYFUNCTION("""COMPUTED_VALUE"""),"Vallehermoso")</f>
        <v>Vallehermoso</v>
      </c>
      <c r="Z376" s="142" t="str">
        <f>IFERROR(__xludf.DUMMYFUNCTION("""COMPUTED_VALUE"""),"Zamboanguita")</f>
        <v>Zamboanguita</v>
      </c>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row>
    <row r="377">
      <c r="A377" s="142" t="s">
        <v>632</v>
      </c>
      <c r="B377" s="142" t="str">
        <f>IFERROR(__xludf.DUMMYFUNCTION("""COMPUTED_VALUE"""),"Amlan")</f>
        <v>Amlan</v>
      </c>
      <c r="C377" s="142" t="str">
        <f>IFERROR(__xludf.DUMMYFUNCTION("""COMPUTED_VALUE"""),"Ayungon")</f>
        <v>Ayungon</v>
      </c>
      <c r="D377" s="142" t="str">
        <f>IFERROR(__xludf.DUMMYFUNCTION("""COMPUTED_VALUE"""),"Bacong")</f>
        <v>Bacong</v>
      </c>
      <c r="E377" s="142" t="str">
        <f>IFERROR(__xludf.DUMMYFUNCTION("""COMPUTED_VALUE"""),"City of Bais")</f>
        <v>City of Bais</v>
      </c>
      <c r="F377" s="142" t="str">
        <f>IFERROR(__xludf.DUMMYFUNCTION("""COMPUTED_VALUE"""),"Basay")</f>
        <v>Basay</v>
      </c>
      <c r="G377" s="142" t="str">
        <f>IFERROR(__xludf.DUMMYFUNCTION("""COMPUTED_VALUE"""),"City of Bayawan")</f>
        <v>City of Bayawan</v>
      </c>
      <c r="H377" s="142" t="str">
        <f>IFERROR(__xludf.DUMMYFUNCTION("""COMPUTED_VALUE"""),"Bindoy")</f>
        <v>Bindoy</v>
      </c>
      <c r="I377" s="142" t="str">
        <f>IFERROR(__xludf.DUMMYFUNCTION("""COMPUTED_VALUE"""),"City of Canlaon")</f>
        <v>City of Canlaon</v>
      </c>
      <c r="J377" s="142" t="str">
        <f>IFERROR(__xludf.DUMMYFUNCTION("""COMPUTED_VALUE"""),"Dauin")</f>
        <v>Dauin</v>
      </c>
      <c r="K377" s="142" t="str">
        <f>IFERROR(__xludf.DUMMYFUNCTION("""COMPUTED_VALUE"""),"City of Dumaguete")</f>
        <v>City of Dumaguete</v>
      </c>
      <c r="L377" s="142" t="str">
        <f>IFERROR(__xludf.DUMMYFUNCTION("""COMPUTED_VALUE"""),"City of Guihulngan")</f>
        <v>City of Guihulngan</v>
      </c>
      <c r="M377" s="142" t="str">
        <f>IFERROR(__xludf.DUMMYFUNCTION("""COMPUTED_VALUE"""),"Jimalalud")</f>
        <v>Jimalalud</v>
      </c>
      <c r="N377" s="142" t="str">
        <f>IFERROR(__xludf.DUMMYFUNCTION("""COMPUTED_VALUE"""),"La Libertad")</f>
        <v>La Libertad</v>
      </c>
      <c r="O377" s="142" t="str">
        <f>IFERROR(__xludf.DUMMYFUNCTION("""COMPUTED_VALUE"""),"Mabinay")</f>
        <v>Mabinay</v>
      </c>
      <c r="P377" s="142" t="str">
        <f>IFERROR(__xludf.DUMMYFUNCTION("""COMPUTED_VALUE"""),"Manjuyod")</f>
        <v>Manjuyod</v>
      </c>
      <c r="Q377" s="142" t="str">
        <f>IFERROR(__xludf.DUMMYFUNCTION("""COMPUTED_VALUE"""),"Pamplona")</f>
        <v>Pamplona</v>
      </c>
      <c r="R377" s="142" t="str">
        <f>IFERROR(__xludf.DUMMYFUNCTION("""COMPUTED_VALUE"""),"San Jose")</f>
        <v>San Jose</v>
      </c>
      <c r="S377" s="142" t="str">
        <f>IFERROR(__xludf.DUMMYFUNCTION("""COMPUTED_VALUE"""),"Santa Catalina")</f>
        <v>Santa Catalina</v>
      </c>
      <c r="T377" s="142" t="str">
        <f>IFERROR(__xludf.DUMMYFUNCTION("""COMPUTED_VALUE"""),"Siaton")</f>
        <v>Siaton</v>
      </c>
      <c r="U377" s="142" t="str">
        <f>IFERROR(__xludf.DUMMYFUNCTION("""COMPUTED_VALUE"""),"Sibulan")</f>
        <v>Sibulan</v>
      </c>
      <c r="V377" s="142" t="str">
        <f>IFERROR(__xludf.DUMMYFUNCTION("""COMPUTED_VALUE"""),"City of Tanjay")</f>
        <v>City of Tanjay</v>
      </c>
      <c r="W377" s="142" t="str">
        <f>IFERROR(__xludf.DUMMYFUNCTION("""COMPUTED_VALUE"""),"Tayasan")</f>
        <v>Tayasan</v>
      </c>
      <c r="X377" s="142" t="str">
        <f>IFERROR(__xludf.DUMMYFUNCTION("""COMPUTED_VALUE"""),"Valencia")</f>
        <v>Valencia</v>
      </c>
      <c r="Y377" s="142" t="str">
        <f>IFERROR(__xludf.DUMMYFUNCTION("""COMPUTED_VALUE"""),"Vallehermoso")</f>
        <v>Vallehermoso</v>
      </c>
      <c r="Z377" s="142" t="str">
        <f>IFERROR(__xludf.DUMMYFUNCTION("""COMPUTED_VALUE"""),"Zamboanguita")</f>
        <v>Zamboanguita</v>
      </c>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row>
    <row r="378">
      <c r="A378" s="142" t="s">
        <v>438</v>
      </c>
      <c r="B378" s="142" t="str">
        <f>IFERROR(__xludf.DUMMYFUNCTION("""COMPUTED_VALUE"""),"Agoo")</f>
        <v>Agoo</v>
      </c>
      <c r="C378" s="142" t="str">
        <f>IFERROR(__xludf.DUMMYFUNCTION("""COMPUTED_VALUE"""),"Aringay")</f>
        <v>Aringay</v>
      </c>
      <c r="D378" s="142" t="str">
        <f>IFERROR(__xludf.DUMMYFUNCTION("""COMPUTED_VALUE"""),"Bacnotan")</f>
        <v>Bacnotan</v>
      </c>
      <c r="E378" s="142" t="str">
        <f>IFERROR(__xludf.DUMMYFUNCTION("""COMPUTED_VALUE"""),"Bagulin")</f>
        <v>Bagulin</v>
      </c>
      <c r="F378" s="142" t="str">
        <f>IFERROR(__xludf.DUMMYFUNCTION("""COMPUTED_VALUE"""),"Balaoan")</f>
        <v>Balaoan</v>
      </c>
      <c r="G378" s="142" t="str">
        <f>IFERROR(__xludf.DUMMYFUNCTION("""COMPUTED_VALUE"""),"Bangar")</f>
        <v>Bangar</v>
      </c>
      <c r="H378" s="142" t="str">
        <f>IFERROR(__xludf.DUMMYFUNCTION("""COMPUTED_VALUE"""),"Bauang")</f>
        <v>Bauang</v>
      </c>
      <c r="I378" s="142" t="str">
        <f>IFERROR(__xludf.DUMMYFUNCTION("""COMPUTED_VALUE"""),"Burgos")</f>
        <v>Burgos</v>
      </c>
      <c r="J378" s="142" t="str">
        <f>IFERROR(__xludf.DUMMYFUNCTION("""COMPUTED_VALUE"""),"Caba")</f>
        <v>Caba</v>
      </c>
      <c r="K378" s="142" t="str">
        <f>IFERROR(__xludf.DUMMYFUNCTION("""COMPUTED_VALUE"""),"Luna")</f>
        <v>Luna</v>
      </c>
      <c r="L378" s="142" t="str">
        <f>IFERROR(__xludf.DUMMYFUNCTION("""COMPUTED_VALUE"""),"Naguilian")</f>
        <v>Naguilian</v>
      </c>
      <c r="M378" s="142" t="str">
        <f>IFERROR(__xludf.DUMMYFUNCTION("""COMPUTED_VALUE"""),"Pugo")</f>
        <v>Pugo</v>
      </c>
      <c r="N378" s="142" t="str">
        <f>IFERROR(__xludf.DUMMYFUNCTION("""COMPUTED_VALUE"""),"Rosario")</f>
        <v>Rosario</v>
      </c>
      <c r="O378" s="142" t="str">
        <f>IFERROR(__xludf.DUMMYFUNCTION("""COMPUTED_VALUE"""),"City of San Fernando")</f>
        <v>City of San Fernando</v>
      </c>
      <c r="P378" s="142" t="str">
        <f>IFERROR(__xludf.DUMMYFUNCTION("""COMPUTED_VALUE"""),"San Gabriel")</f>
        <v>San Gabriel</v>
      </c>
      <c r="Q378" s="142" t="str">
        <f>IFERROR(__xludf.DUMMYFUNCTION("""COMPUTED_VALUE"""),"San Juan")</f>
        <v>San Juan</v>
      </c>
      <c r="R378" s="142" t="str">
        <f>IFERROR(__xludf.DUMMYFUNCTION("""COMPUTED_VALUE"""),"Santo Tomas")</f>
        <v>Santo Tomas</v>
      </c>
      <c r="S378" s="142" t="str">
        <f>IFERROR(__xludf.DUMMYFUNCTION("""COMPUTED_VALUE"""),"Santol")</f>
        <v>Santol</v>
      </c>
      <c r="T378" s="142" t="str">
        <f>IFERROR(__xludf.DUMMYFUNCTION("""COMPUTED_VALUE"""),"Sudipen")</f>
        <v>Sudipen</v>
      </c>
      <c r="U378" s="142" t="str">
        <f>IFERROR(__xludf.DUMMYFUNCTION("""COMPUTED_VALUE"""),"Tubao")</f>
        <v>Tubao</v>
      </c>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row>
    <row r="379">
      <c r="A379" s="142" t="s">
        <v>1283</v>
      </c>
      <c r="B379" s="142" t="str">
        <f>IFERROR(__xludf.DUMMYFUNCTION("""COMPUTED_VALUE"""),"Abucay")</f>
        <v>Abucay</v>
      </c>
      <c r="C379" s="142" t="str">
        <f>IFERROR(__xludf.DUMMYFUNCTION("""COMPUTED_VALUE"""),"Bagac")</f>
        <v>Bagac</v>
      </c>
      <c r="D379" s="142" t="str">
        <f>IFERROR(__xludf.DUMMYFUNCTION("""COMPUTED_VALUE"""),"City of Balanga")</f>
        <v>City of Balanga</v>
      </c>
      <c r="E379" s="142" t="str">
        <f>IFERROR(__xludf.DUMMYFUNCTION("""COMPUTED_VALUE"""),"Dinalupihan")</f>
        <v>Dinalupihan</v>
      </c>
      <c r="F379" s="142" t="str">
        <f>IFERROR(__xludf.DUMMYFUNCTION("""COMPUTED_VALUE"""),"Hermosa")</f>
        <v>Hermosa</v>
      </c>
      <c r="G379" s="142" t="str">
        <f>IFERROR(__xludf.DUMMYFUNCTION("""COMPUTED_VALUE"""),"Limay")</f>
        <v>Limay</v>
      </c>
      <c r="H379" s="142" t="str">
        <f>IFERROR(__xludf.DUMMYFUNCTION("""COMPUTED_VALUE"""),"Mariveles")</f>
        <v>Mariveles</v>
      </c>
      <c r="I379" s="142" t="str">
        <f>IFERROR(__xludf.DUMMYFUNCTION("""COMPUTED_VALUE"""),"Morong")</f>
        <v>Morong</v>
      </c>
      <c r="J379" s="142" t="str">
        <f>IFERROR(__xludf.DUMMYFUNCTION("""COMPUTED_VALUE"""),"Orani")</f>
        <v>Orani</v>
      </c>
      <c r="K379" s="142" t="str">
        <f>IFERROR(__xludf.DUMMYFUNCTION("""COMPUTED_VALUE"""),"Orion")</f>
        <v>Orion</v>
      </c>
      <c r="L379" s="142" t="str">
        <f>IFERROR(__xludf.DUMMYFUNCTION("""COMPUTED_VALUE"""),"Pilar")</f>
        <v>Pilar</v>
      </c>
      <c r="M379" s="142" t="str">
        <f>IFERROR(__xludf.DUMMYFUNCTION("""COMPUTED_VALUE"""),"Samal")</f>
        <v>Samal</v>
      </c>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row>
    <row r="380">
      <c r="A380" s="142" t="s">
        <v>649</v>
      </c>
      <c r="B380" s="142" t="str">
        <f>IFERROR(__xludf.DUMMYFUNCTION("""COMPUTED_VALUE"""),"Buenavista")</f>
        <v>Buenavista</v>
      </c>
      <c r="C380" s="142" t="str">
        <f>IFERROR(__xludf.DUMMYFUNCTION("""COMPUTED_VALUE"""),"City of Butuan")</f>
        <v>City of Butuan</v>
      </c>
      <c r="D380" s="142" t="str">
        <f>IFERROR(__xludf.DUMMYFUNCTION("""COMPUTED_VALUE"""),"City of Cabadbaran")</f>
        <v>City of Cabadbaran</v>
      </c>
      <c r="E380" s="142" t="str">
        <f>IFERROR(__xludf.DUMMYFUNCTION("""COMPUTED_VALUE"""),"Carmen")</f>
        <v>Carmen</v>
      </c>
      <c r="F380" s="142" t="str">
        <f>IFERROR(__xludf.DUMMYFUNCTION("""COMPUTED_VALUE"""),"Jabonga")</f>
        <v>Jabonga</v>
      </c>
      <c r="G380" s="142" t="str">
        <f>IFERROR(__xludf.DUMMYFUNCTION("""COMPUTED_VALUE"""),"Kitcharao")</f>
        <v>Kitcharao</v>
      </c>
      <c r="H380" s="142" t="str">
        <f>IFERROR(__xludf.DUMMYFUNCTION("""COMPUTED_VALUE"""),"Las Nieves")</f>
        <v>Las Nieves</v>
      </c>
      <c r="I380" s="142" t="str">
        <f>IFERROR(__xludf.DUMMYFUNCTION("""COMPUTED_VALUE"""),"Magallanes")</f>
        <v>Magallanes</v>
      </c>
      <c r="J380" s="142" t="str">
        <f>IFERROR(__xludf.DUMMYFUNCTION("""COMPUTED_VALUE"""),"Nasipit")</f>
        <v>Nasipit</v>
      </c>
      <c r="K380" s="142" t="str">
        <f>IFERROR(__xludf.DUMMYFUNCTION("""COMPUTED_VALUE"""),"Santiago")</f>
        <v>Santiago</v>
      </c>
      <c r="L380" s="142" t="str">
        <f>IFERROR(__xludf.DUMMYFUNCTION("""COMPUTED_VALUE"""),"Tubay")</f>
        <v>Tubay</v>
      </c>
      <c r="M380" s="142" t="str">
        <f>IFERROR(__xludf.DUMMYFUNCTION("""COMPUTED_VALUE"""),"Remedios T. Romualdez")</f>
        <v>Remedios T. Romualdez</v>
      </c>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row>
    <row r="381">
      <c r="A381" s="142" t="s">
        <v>144</v>
      </c>
      <c r="B381" s="142" t="str">
        <f>IFERROR(__xludf.DUMMYFUNCTION("""COMPUTED_VALUE"""),"Agno")</f>
        <v>Agno</v>
      </c>
      <c r="C381" s="142" t="str">
        <f>IFERROR(__xludf.DUMMYFUNCTION("""COMPUTED_VALUE"""),"Aguilar")</f>
        <v>Aguilar</v>
      </c>
      <c r="D381" s="142" t="str">
        <f>IFERROR(__xludf.DUMMYFUNCTION("""COMPUTED_VALUE"""),"City of Alaminos")</f>
        <v>City of Alaminos</v>
      </c>
      <c r="E381" s="142" t="str">
        <f>IFERROR(__xludf.DUMMYFUNCTION("""COMPUTED_VALUE"""),"Alcala")</f>
        <v>Alcala</v>
      </c>
      <c r="F381" s="142" t="str">
        <f>IFERROR(__xludf.DUMMYFUNCTION("""COMPUTED_VALUE"""),"Anda")</f>
        <v>Anda</v>
      </c>
      <c r="G381" s="142" t="str">
        <f>IFERROR(__xludf.DUMMYFUNCTION("""COMPUTED_VALUE"""),"Asingan")</f>
        <v>Asingan</v>
      </c>
      <c r="H381" s="142" t="str">
        <f>IFERROR(__xludf.DUMMYFUNCTION("""COMPUTED_VALUE"""),"Balungao")</f>
        <v>Balungao</v>
      </c>
      <c r="I381" s="142" t="str">
        <f>IFERROR(__xludf.DUMMYFUNCTION("""COMPUTED_VALUE"""),"Bani")</f>
        <v>Bani</v>
      </c>
      <c r="J381" s="142" t="str">
        <f>IFERROR(__xludf.DUMMYFUNCTION("""COMPUTED_VALUE"""),"Basista")</f>
        <v>Basista</v>
      </c>
      <c r="K381" s="142" t="str">
        <f>IFERROR(__xludf.DUMMYFUNCTION("""COMPUTED_VALUE"""),"Bautista")</f>
        <v>Bautista</v>
      </c>
      <c r="L381" s="142" t="str">
        <f>IFERROR(__xludf.DUMMYFUNCTION("""COMPUTED_VALUE"""),"Bayambang")</f>
        <v>Bayambang</v>
      </c>
      <c r="M381" s="142" t="str">
        <f>IFERROR(__xludf.DUMMYFUNCTION("""COMPUTED_VALUE"""),"Binalonan")</f>
        <v>Binalonan</v>
      </c>
      <c r="N381" s="142" t="str">
        <f>IFERROR(__xludf.DUMMYFUNCTION("""COMPUTED_VALUE"""),"Binmaley")</f>
        <v>Binmaley</v>
      </c>
      <c r="O381" s="142" t="str">
        <f>IFERROR(__xludf.DUMMYFUNCTION("""COMPUTED_VALUE"""),"Bolinao")</f>
        <v>Bolinao</v>
      </c>
      <c r="P381" s="142" t="str">
        <f>IFERROR(__xludf.DUMMYFUNCTION("""COMPUTED_VALUE"""),"Bugallon")</f>
        <v>Bugallon</v>
      </c>
      <c r="Q381" s="142" t="str">
        <f>IFERROR(__xludf.DUMMYFUNCTION("""COMPUTED_VALUE"""),"Burgos")</f>
        <v>Burgos</v>
      </c>
      <c r="R381" s="142" t="str">
        <f>IFERROR(__xludf.DUMMYFUNCTION("""COMPUTED_VALUE"""),"Calasiao")</f>
        <v>Calasiao</v>
      </c>
      <c r="S381" s="142" t="str">
        <f>IFERROR(__xludf.DUMMYFUNCTION("""COMPUTED_VALUE"""),"City of Dagupan")</f>
        <v>City of Dagupan</v>
      </c>
      <c r="T381" s="142" t="str">
        <f>IFERROR(__xludf.DUMMYFUNCTION("""COMPUTED_VALUE"""),"Dasol")</f>
        <v>Dasol</v>
      </c>
      <c r="U381" s="142" t="str">
        <f>IFERROR(__xludf.DUMMYFUNCTION("""COMPUTED_VALUE"""),"Infanta")</f>
        <v>Infanta</v>
      </c>
      <c r="V381" s="142" t="str">
        <f>IFERROR(__xludf.DUMMYFUNCTION("""COMPUTED_VALUE"""),"Labrador")</f>
        <v>Labrador</v>
      </c>
      <c r="W381" s="142" t="str">
        <f>IFERROR(__xludf.DUMMYFUNCTION("""COMPUTED_VALUE"""),"Lingayen")</f>
        <v>Lingayen</v>
      </c>
      <c r="X381" s="142" t="str">
        <f>IFERROR(__xludf.DUMMYFUNCTION("""COMPUTED_VALUE"""),"Mabini")</f>
        <v>Mabini</v>
      </c>
      <c r="Y381" s="142" t="str">
        <f>IFERROR(__xludf.DUMMYFUNCTION("""COMPUTED_VALUE"""),"Malasiqui")</f>
        <v>Malasiqui</v>
      </c>
      <c r="Z381" s="142" t="str">
        <f>IFERROR(__xludf.DUMMYFUNCTION("""COMPUTED_VALUE"""),"Manaoag")</f>
        <v>Manaoag</v>
      </c>
      <c r="AA381" s="142" t="str">
        <f>IFERROR(__xludf.DUMMYFUNCTION("""COMPUTED_VALUE"""),"Mangaldan")</f>
        <v>Mangaldan</v>
      </c>
      <c r="AB381" s="142" t="str">
        <f>IFERROR(__xludf.DUMMYFUNCTION("""COMPUTED_VALUE"""),"Mangatarem")</f>
        <v>Mangatarem</v>
      </c>
      <c r="AC381" s="142" t="str">
        <f>IFERROR(__xludf.DUMMYFUNCTION("""COMPUTED_VALUE"""),"Mapandan")</f>
        <v>Mapandan</v>
      </c>
      <c r="AD381" s="142" t="str">
        <f>IFERROR(__xludf.DUMMYFUNCTION("""COMPUTED_VALUE"""),"Natividad")</f>
        <v>Natividad</v>
      </c>
      <c r="AE381" s="142" t="str">
        <f>IFERROR(__xludf.DUMMYFUNCTION("""COMPUTED_VALUE"""),"Pozorrubio")</f>
        <v>Pozorrubio</v>
      </c>
      <c r="AF381" s="142" t="str">
        <f>IFERROR(__xludf.DUMMYFUNCTION("""COMPUTED_VALUE"""),"Rosales")</f>
        <v>Rosales</v>
      </c>
      <c r="AG381" s="142" t="str">
        <f>IFERROR(__xludf.DUMMYFUNCTION("""COMPUTED_VALUE"""),"City of San Carlos")</f>
        <v>City of San Carlos</v>
      </c>
      <c r="AH381" s="142" t="str">
        <f>IFERROR(__xludf.DUMMYFUNCTION("""COMPUTED_VALUE"""),"San Fabian")</f>
        <v>San Fabian</v>
      </c>
      <c r="AI381" s="142" t="str">
        <f>IFERROR(__xludf.DUMMYFUNCTION("""COMPUTED_VALUE"""),"San Jacinto")</f>
        <v>San Jacinto</v>
      </c>
      <c r="AJ381" s="142" t="str">
        <f>IFERROR(__xludf.DUMMYFUNCTION("""COMPUTED_VALUE"""),"San Manuel")</f>
        <v>San Manuel</v>
      </c>
      <c r="AK381" s="142" t="str">
        <f>IFERROR(__xludf.DUMMYFUNCTION("""COMPUTED_VALUE"""),"San Nicolas")</f>
        <v>San Nicolas</v>
      </c>
      <c r="AL381" s="142" t="str">
        <f>IFERROR(__xludf.DUMMYFUNCTION("""COMPUTED_VALUE"""),"San Quintin")</f>
        <v>San Quintin</v>
      </c>
      <c r="AM381" s="142" t="str">
        <f>IFERROR(__xludf.DUMMYFUNCTION("""COMPUTED_VALUE"""),"Santa Barbara")</f>
        <v>Santa Barbara</v>
      </c>
      <c r="AN381" s="142" t="str">
        <f>IFERROR(__xludf.DUMMYFUNCTION("""COMPUTED_VALUE"""),"Santa Maria")</f>
        <v>Santa Maria</v>
      </c>
      <c r="AO381" s="142" t="str">
        <f>IFERROR(__xludf.DUMMYFUNCTION("""COMPUTED_VALUE"""),"Santo Tomas")</f>
        <v>Santo Tomas</v>
      </c>
      <c r="AP381" s="142" t="str">
        <f>IFERROR(__xludf.DUMMYFUNCTION("""COMPUTED_VALUE"""),"Sison")</f>
        <v>Sison</v>
      </c>
      <c r="AQ381" s="142" t="str">
        <f>IFERROR(__xludf.DUMMYFUNCTION("""COMPUTED_VALUE"""),"Sual")</f>
        <v>Sual</v>
      </c>
      <c r="AR381" s="142" t="str">
        <f>IFERROR(__xludf.DUMMYFUNCTION("""COMPUTED_VALUE"""),"Tayug")</f>
        <v>Tayug</v>
      </c>
      <c r="AS381" s="142" t="str">
        <f>IFERROR(__xludf.DUMMYFUNCTION("""COMPUTED_VALUE"""),"Umingan")</f>
        <v>Umingan</v>
      </c>
      <c r="AT381" s="142" t="str">
        <f>IFERROR(__xludf.DUMMYFUNCTION("""COMPUTED_VALUE"""),"Urbiztondo")</f>
        <v>Urbiztondo</v>
      </c>
      <c r="AU381" s="142" t="str">
        <f>IFERROR(__xludf.DUMMYFUNCTION("""COMPUTED_VALUE"""),"City of Urdaneta")</f>
        <v>City of Urdaneta</v>
      </c>
      <c r="AV381" s="142" t="str">
        <f>IFERROR(__xludf.DUMMYFUNCTION("""COMPUTED_VALUE"""),"Villasis")</f>
        <v>Villasis</v>
      </c>
      <c r="AW381" s="142" t="str">
        <f>IFERROR(__xludf.DUMMYFUNCTION("""COMPUTED_VALUE"""),"Laoac")</f>
        <v>Laoac</v>
      </c>
      <c r="AX381" s="8"/>
      <c r="AY381" s="8"/>
      <c r="AZ381" s="8"/>
      <c r="BA381" s="8"/>
      <c r="BB381" s="8"/>
      <c r="BC381" s="8"/>
      <c r="BD381" s="8"/>
      <c r="BE381" s="8"/>
    </row>
    <row r="382">
      <c r="A382" s="142" t="s">
        <v>172</v>
      </c>
      <c r="B382" s="142" t="str">
        <f>IFERROR(__xludf.DUMMYFUNCTION("""COMPUTED_VALUE"""),"Alubijid")</f>
        <v>Alubijid</v>
      </c>
      <c r="C382" s="142" t="str">
        <f>IFERROR(__xludf.DUMMYFUNCTION("""COMPUTED_VALUE"""),"Balingasag")</f>
        <v>Balingasag</v>
      </c>
      <c r="D382" s="142" t="str">
        <f>IFERROR(__xludf.DUMMYFUNCTION("""COMPUTED_VALUE"""),"Balingoan")</f>
        <v>Balingoan</v>
      </c>
      <c r="E382" s="142" t="str">
        <f>IFERROR(__xludf.DUMMYFUNCTION("""COMPUTED_VALUE"""),"Binuangan")</f>
        <v>Binuangan</v>
      </c>
      <c r="F382" s="142" t="str">
        <f>IFERROR(__xludf.DUMMYFUNCTION("""COMPUTED_VALUE"""),"City of Cagayan De Oro")</f>
        <v>City of Cagayan De Oro</v>
      </c>
      <c r="G382" s="142" t="str">
        <f>IFERROR(__xludf.DUMMYFUNCTION("""COMPUTED_VALUE"""),"Claveria")</f>
        <v>Claveria</v>
      </c>
      <c r="H382" s="142" t="str">
        <f>IFERROR(__xludf.DUMMYFUNCTION("""COMPUTED_VALUE"""),"City of El Salvador")</f>
        <v>City of El Salvador</v>
      </c>
      <c r="I382" s="142" t="str">
        <f>IFERROR(__xludf.DUMMYFUNCTION("""COMPUTED_VALUE"""),"City of Gingoog")</f>
        <v>City of Gingoog</v>
      </c>
      <c r="J382" s="142" t="str">
        <f>IFERROR(__xludf.DUMMYFUNCTION("""COMPUTED_VALUE"""),"Gitagum")</f>
        <v>Gitagum</v>
      </c>
      <c r="K382" s="142" t="str">
        <f>IFERROR(__xludf.DUMMYFUNCTION("""COMPUTED_VALUE"""),"Initao")</f>
        <v>Initao</v>
      </c>
      <c r="L382" s="142" t="str">
        <f>IFERROR(__xludf.DUMMYFUNCTION("""COMPUTED_VALUE"""),"Jasaan")</f>
        <v>Jasaan</v>
      </c>
      <c r="M382" s="142" t="str">
        <f>IFERROR(__xludf.DUMMYFUNCTION("""COMPUTED_VALUE"""),"Kinoguitan")</f>
        <v>Kinoguitan</v>
      </c>
      <c r="N382" s="142" t="str">
        <f>IFERROR(__xludf.DUMMYFUNCTION("""COMPUTED_VALUE"""),"Lagonglong")</f>
        <v>Lagonglong</v>
      </c>
      <c r="O382" s="142" t="str">
        <f>IFERROR(__xludf.DUMMYFUNCTION("""COMPUTED_VALUE"""),"Laguindingan")</f>
        <v>Laguindingan</v>
      </c>
      <c r="P382" s="142" t="str">
        <f>IFERROR(__xludf.DUMMYFUNCTION("""COMPUTED_VALUE"""),"Libertad")</f>
        <v>Libertad</v>
      </c>
      <c r="Q382" s="142" t="str">
        <f>IFERROR(__xludf.DUMMYFUNCTION("""COMPUTED_VALUE"""),"Lugait")</f>
        <v>Lugait</v>
      </c>
      <c r="R382" s="142" t="str">
        <f>IFERROR(__xludf.DUMMYFUNCTION("""COMPUTED_VALUE"""),"Magsaysay")</f>
        <v>Magsaysay</v>
      </c>
      <c r="S382" s="142" t="str">
        <f>IFERROR(__xludf.DUMMYFUNCTION("""COMPUTED_VALUE"""),"Manticao")</f>
        <v>Manticao</v>
      </c>
      <c r="T382" s="142" t="str">
        <f>IFERROR(__xludf.DUMMYFUNCTION("""COMPUTED_VALUE"""),"Medina")</f>
        <v>Medina</v>
      </c>
      <c r="U382" s="142" t="str">
        <f>IFERROR(__xludf.DUMMYFUNCTION("""COMPUTED_VALUE"""),"Naawan")</f>
        <v>Naawan</v>
      </c>
      <c r="V382" s="142" t="str">
        <f>IFERROR(__xludf.DUMMYFUNCTION("""COMPUTED_VALUE"""),"Opol")</f>
        <v>Opol</v>
      </c>
      <c r="W382" s="142" t="str">
        <f>IFERROR(__xludf.DUMMYFUNCTION("""COMPUTED_VALUE"""),"Salay")</f>
        <v>Salay</v>
      </c>
      <c r="X382" s="142" t="str">
        <f>IFERROR(__xludf.DUMMYFUNCTION("""COMPUTED_VALUE"""),"Sugbongcogon")</f>
        <v>Sugbongcogon</v>
      </c>
      <c r="Y382" s="142" t="str">
        <f>IFERROR(__xludf.DUMMYFUNCTION("""COMPUTED_VALUE"""),"Tagoloan")</f>
        <v>Tagoloan</v>
      </c>
      <c r="Z382" s="142" t="str">
        <f>IFERROR(__xludf.DUMMYFUNCTION("""COMPUTED_VALUE"""),"Talisayan")</f>
        <v>Talisayan</v>
      </c>
      <c r="AA382" s="142" t="str">
        <f>IFERROR(__xludf.DUMMYFUNCTION("""COMPUTED_VALUE"""),"Villanueva")</f>
        <v>Villanueva</v>
      </c>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row>
    <row r="383">
      <c r="A383" s="142" t="s">
        <v>172</v>
      </c>
      <c r="B383" s="142" t="str">
        <f>IFERROR(__xludf.DUMMYFUNCTION("""COMPUTED_VALUE"""),"Alubijid")</f>
        <v>Alubijid</v>
      </c>
      <c r="C383" s="142" t="str">
        <f>IFERROR(__xludf.DUMMYFUNCTION("""COMPUTED_VALUE"""),"Balingasag")</f>
        <v>Balingasag</v>
      </c>
      <c r="D383" s="142" t="str">
        <f>IFERROR(__xludf.DUMMYFUNCTION("""COMPUTED_VALUE"""),"Balingoan")</f>
        <v>Balingoan</v>
      </c>
      <c r="E383" s="142" t="str">
        <f>IFERROR(__xludf.DUMMYFUNCTION("""COMPUTED_VALUE"""),"Binuangan")</f>
        <v>Binuangan</v>
      </c>
      <c r="F383" s="142" t="str">
        <f>IFERROR(__xludf.DUMMYFUNCTION("""COMPUTED_VALUE"""),"City of Cagayan De Oro")</f>
        <v>City of Cagayan De Oro</v>
      </c>
      <c r="G383" s="142" t="str">
        <f>IFERROR(__xludf.DUMMYFUNCTION("""COMPUTED_VALUE"""),"Claveria")</f>
        <v>Claveria</v>
      </c>
      <c r="H383" s="142" t="str">
        <f>IFERROR(__xludf.DUMMYFUNCTION("""COMPUTED_VALUE"""),"City of El Salvador")</f>
        <v>City of El Salvador</v>
      </c>
      <c r="I383" s="142" t="str">
        <f>IFERROR(__xludf.DUMMYFUNCTION("""COMPUTED_VALUE"""),"City of Gingoog")</f>
        <v>City of Gingoog</v>
      </c>
      <c r="J383" s="142" t="str">
        <f>IFERROR(__xludf.DUMMYFUNCTION("""COMPUTED_VALUE"""),"Gitagum")</f>
        <v>Gitagum</v>
      </c>
      <c r="K383" s="142" t="str">
        <f>IFERROR(__xludf.DUMMYFUNCTION("""COMPUTED_VALUE"""),"Initao")</f>
        <v>Initao</v>
      </c>
      <c r="L383" s="142" t="str">
        <f>IFERROR(__xludf.DUMMYFUNCTION("""COMPUTED_VALUE"""),"Jasaan")</f>
        <v>Jasaan</v>
      </c>
      <c r="M383" s="142" t="str">
        <f>IFERROR(__xludf.DUMMYFUNCTION("""COMPUTED_VALUE"""),"Kinoguitan")</f>
        <v>Kinoguitan</v>
      </c>
      <c r="N383" s="142" t="str">
        <f>IFERROR(__xludf.DUMMYFUNCTION("""COMPUTED_VALUE"""),"Lagonglong")</f>
        <v>Lagonglong</v>
      </c>
      <c r="O383" s="142" t="str">
        <f>IFERROR(__xludf.DUMMYFUNCTION("""COMPUTED_VALUE"""),"Laguindingan")</f>
        <v>Laguindingan</v>
      </c>
      <c r="P383" s="142" t="str">
        <f>IFERROR(__xludf.DUMMYFUNCTION("""COMPUTED_VALUE"""),"Libertad")</f>
        <v>Libertad</v>
      </c>
      <c r="Q383" s="142" t="str">
        <f>IFERROR(__xludf.DUMMYFUNCTION("""COMPUTED_VALUE"""),"Lugait")</f>
        <v>Lugait</v>
      </c>
      <c r="R383" s="142" t="str">
        <f>IFERROR(__xludf.DUMMYFUNCTION("""COMPUTED_VALUE"""),"Magsaysay")</f>
        <v>Magsaysay</v>
      </c>
      <c r="S383" s="142" t="str">
        <f>IFERROR(__xludf.DUMMYFUNCTION("""COMPUTED_VALUE"""),"Manticao")</f>
        <v>Manticao</v>
      </c>
      <c r="T383" s="142" t="str">
        <f>IFERROR(__xludf.DUMMYFUNCTION("""COMPUTED_VALUE"""),"Medina")</f>
        <v>Medina</v>
      </c>
      <c r="U383" s="142" t="str">
        <f>IFERROR(__xludf.DUMMYFUNCTION("""COMPUTED_VALUE"""),"Naawan")</f>
        <v>Naawan</v>
      </c>
      <c r="V383" s="142" t="str">
        <f>IFERROR(__xludf.DUMMYFUNCTION("""COMPUTED_VALUE"""),"Opol")</f>
        <v>Opol</v>
      </c>
      <c r="W383" s="142" t="str">
        <f>IFERROR(__xludf.DUMMYFUNCTION("""COMPUTED_VALUE"""),"Salay")</f>
        <v>Salay</v>
      </c>
      <c r="X383" s="142" t="str">
        <f>IFERROR(__xludf.DUMMYFUNCTION("""COMPUTED_VALUE"""),"Sugbongcogon")</f>
        <v>Sugbongcogon</v>
      </c>
      <c r="Y383" s="142" t="str">
        <f>IFERROR(__xludf.DUMMYFUNCTION("""COMPUTED_VALUE"""),"Tagoloan")</f>
        <v>Tagoloan</v>
      </c>
      <c r="Z383" s="142" t="str">
        <f>IFERROR(__xludf.DUMMYFUNCTION("""COMPUTED_VALUE"""),"Talisayan")</f>
        <v>Talisayan</v>
      </c>
      <c r="AA383" s="142" t="str">
        <f>IFERROR(__xludf.DUMMYFUNCTION("""COMPUTED_VALUE"""),"Villanueva")</f>
        <v>Villanueva</v>
      </c>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row>
    <row r="384">
      <c r="A384" s="142" t="s">
        <v>331</v>
      </c>
      <c r="B384" s="142" t="str">
        <f>IFERROR(__xludf.DUMMYFUNCTION("""COMPUTED_VALUE"""),"Asuncion")</f>
        <v>Asuncion</v>
      </c>
      <c r="C384" s="142" t="str">
        <f>IFERROR(__xludf.DUMMYFUNCTION("""COMPUTED_VALUE"""),"Carmen")</f>
        <v>Carmen</v>
      </c>
      <c r="D384" s="142" t="str">
        <f>IFERROR(__xludf.DUMMYFUNCTION("""COMPUTED_VALUE"""),"Kapalong")</f>
        <v>Kapalong</v>
      </c>
      <c r="E384" s="142" t="str">
        <f>IFERROR(__xludf.DUMMYFUNCTION("""COMPUTED_VALUE"""),"New Corella")</f>
        <v>New Corella</v>
      </c>
      <c r="F384" s="142" t="str">
        <f>IFERROR(__xludf.DUMMYFUNCTION("""COMPUTED_VALUE"""),"City of Panabo")</f>
        <v>City of Panabo</v>
      </c>
      <c r="G384" s="142" t="str">
        <f>IFERROR(__xludf.DUMMYFUNCTION("""COMPUTED_VALUE"""),"Island Garden City of Samal")</f>
        <v>Island Garden City of Samal</v>
      </c>
      <c r="H384" s="142" t="str">
        <f>IFERROR(__xludf.DUMMYFUNCTION("""COMPUTED_VALUE"""),"Santo Tomas")</f>
        <v>Santo Tomas</v>
      </c>
      <c r="I384" s="142" t="str">
        <f>IFERROR(__xludf.DUMMYFUNCTION("""COMPUTED_VALUE"""),"City of Tagum")</f>
        <v>City of Tagum</v>
      </c>
      <c r="J384" s="142" t="str">
        <f>IFERROR(__xludf.DUMMYFUNCTION("""COMPUTED_VALUE"""),"Talaingod")</f>
        <v>Talaingod</v>
      </c>
      <c r="K384" s="142" t="str">
        <f>IFERROR(__xludf.DUMMYFUNCTION("""COMPUTED_VALUE"""),"Braulio E. Dujali")</f>
        <v>Braulio E. Dujali</v>
      </c>
      <c r="L384" s="142" t="str">
        <f>IFERROR(__xludf.DUMMYFUNCTION("""COMPUTED_VALUE"""),"San Isidro")</f>
        <v>San Isidro</v>
      </c>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row>
    <row r="385">
      <c r="A385" s="142" t="s">
        <v>2769</v>
      </c>
      <c r="B385" s="142" t="str">
        <f>IFERROR(__xludf.DUMMYFUNCTION("""COMPUTED_VALUE"""),"Indanan")</f>
        <v>Indanan</v>
      </c>
      <c r="C385" s="142" t="str">
        <f>IFERROR(__xludf.DUMMYFUNCTION("""COMPUTED_VALUE"""),"Jolo")</f>
        <v>Jolo</v>
      </c>
      <c r="D385" s="142" t="str">
        <f>IFERROR(__xludf.DUMMYFUNCTION("""COMPUTED_VALUE"""),"Kalingalan Caluang")</f>
        <v>Kalingalan Caluang</v>
      </c>
      <c r="E385" s="142" t="str">
        <f>IFERROR(__xludf.DUMMYFUNCTION("""COMPUTED_VALUE"""),"Luuk")</f>
        <v>Luuk</v>
      </c>
      <c r="F385" s="142" t="str">
        <f>IFERROR(__xludf.DUMMYFUNCTION("""COMPUTED_VALUE"""),"Maimbung")</f>
        <v>Maimbung</v>
      </c>
      <c r="G385" s="142" t="str">
        <f>IFERROR(__xludf.DUMMYFUNCTION("""COMPUTED_VALUE"""),"Hadji Panglima Tahil")</f>
        <v>Hadji Panglima Tahil</v>
      </c>
      <c r="H385" s="142" t="str">
        <f>IFERROR(__xludf.DUMMYFUNCTION("""COMPUTED_VALUE"""),"Old Panamao")</f>
        <v>Old Panamao</v>
      </c>
      <c r="I385" s="142" t="str">
        <f>IFERROR(__xludf.DUMMYFUNCTION("""COMPUTED_VALUE"""),"Pangutaran")</f>
        <v>Pangutaran</v>
      </c>
      <c r="J385" s="142" t="str">
        <f>IFERROR(__xludf.DUMMYFUNCTION("""COMPUTED_VALUE"""),"Parang")</f>
        <v>Parang</v>
      </c>
      <c r="K385" s="142" t="str">
        <f>IFERROR(__xludf.DUMMYFUNCTION("""COMPUTED_VALUE"""),"Pata")</f>
        <v>Pata</v>
      </c>
      <c r="L385" s="142" t="str">
        <f>IFERROR(__xludf.DUMMYFUNCTION("""COMPUTED_VALUE"""),"Patikul")</f>
        <v>Patikul</v>
      </c>
      <c r="M385" s="142" t="str">
        <f>IFERROR(__xludf.DUMMYFUNCTION("""COMPUTED_VALUE"""),"Siasi")</f>
        <v>Siasi</v>
      </c>
      <c r="N385" s="142" t="str">
        <f>IFERROR(__xludf.DUMMYFUNCTION("""COMPUTED_VALUE"""),"Talipao")</f>
        <v>Talipao</v>
      </c>
      <c r="O385" s="142" t="str">
        <f>IFERROR(__xludf.DUMMYFUNCTION("""COMPUTED_VALUE"""),"Tapul")</f>
        <v>Tapul</v>
      </c>
      <c r="P385" s="142" t="str">
        <f>IFERROR(__xludf.DUMMYFUNCTION("""COMPUTED_VALUE"""),"Tongkil")</f>
        <v>Tongkil</v>
      </c>
      <c r="Q385" s="142" t="str">
        <f>IFERROR(__xludf.DUMMYFUNCTION("""COMPUTED_VALUE"""),"Panglima Estino")</f>
        <v>Panglima Estino</v>
      </c>
      <c r="R385" s="142" t="str">
        <f>IFERROR(__xludf.DUMMYFUNCTION("""COMPUTED_VALUE"""),"Lugus")</f>
        <v>Lugus</v>
      </c>
      <c r="S385" s="142" t="str">
        <f>IFERROR(__xludf.DUMMYFUNCTION("""COMPUTED_VALUE"""),"Pandami")</f>
        <v>Pandami</v>
      </c>
      <c r="T385" s="142" t="str">
        <f>IFERROR(__xludf.DUMMYFUNCTION("""COMPUTED_VALUE"""),"Omar")</f>
        <v>Omar</v>
      </c>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row>
    <row r="386">
      <c r="A386" s="142" t="s">
        <v>2769</v>
      </c>
      <c r="B386" s="142" t="str">
        <f>IFERROR(__xludf.DUMMYFUNCTION("""COMPUTED_VALUE"""),"Indanan")</f>
        <v>Indanan</v>
      </c>
      <c r="C386" s="142" t="str">
        <f>IFERROR(__xludf.DUMMYFUNCTION("""COMPUTED_VALUE"""),"Jolo")</f>
        <v>Jolo</v>
      </c>
      <c r="D386" s="142" t="str">
        <f>IFERROR(__xludf.DUMMYFUNCTION("""COMPUTED_VALUE"""),"Kalingalan Caluang")</f>
        <v>Kalingalan Caluang</v>
      </c>
      <c r="E386" s="142" t="str">
        <f>IFERROR(__xludf.DUMMYFUNCTION("""COMPUTED_VALUE"""),"Luuk")</f>
        <v>Luuk</v>
      </c>
      <c r="F386" s="142" t="str">
        <f>IFERROR(__xludf.DUMMYFUNCTION("""COMPUTED_VALUE"""),"Maimbung")</f>
        <v>Maimbung</v>
      </c>
      <c r="G386" s="142" t="str">
        <f>IFERROR(__xludf.DUMMYFUNCTION("""COMPUTED_VALUE"""),"Hadji Panglima Tahil")</f>
        <v>Hadji Panglima Tahil</v>
      </c>
      <c r="H386" s="142" t="str">
        <f>IFERROR(__xludf.DUMMYFUNCTION("""COMPUTED_VALUE"""),"Old Panamao")</f>
        <v>Old Panamao</v>
      </c>
      <c r="I386" s="142" t="str">
        <f>IFERROR(__xludf.DUMMYFUNCTION("""COMPUTED_VALUE"""),"Pangutaran")</f>
        <v>Pangutaran</v>
      </c>
      <c r="J386" s="142" t="str">
        <f>IFERROR(__xludf.DUMMYFUNCTION("""COMPUTED_VALUE"""),"Parang")</f>
        <v>Parang</v>
      </c>
      <c r="K386" s="142" t="str">
        <f>IFERROR(__xludf.DUMMYFUNCTION("""COMPUTED_VALUE"""),"Pata")</f>
        <v>Pata</v>
      </c>
      <c r="L386" s="142" t="str">
        <f>IFERROR(__xludf.DUMMYFUNCTION("""COMPUTED_VALUE"""),"Patikul")</f>
        <v>Patikul</v>
      </c>
      <c r="M386" s="142" t="str">
        <f>IFERROR(__xludf.DUMMYFUNCTION("""COMPUTED_VALUE"""),"Siasi")</f>
        <v>Siasi</v>
      </c>
      <c r="N386" s="142" t="str">
        <f>IFERROR(__xludf.DUMMYFUNCTION("""COMPUTED_VALUE"""),"Talipao")</f>
        <v>Talipao</v>
      </c>
      <c r="O386" s="142" t="str">
        <f>IFERROR(__xludf.DUMMYFUNCTION("""COMPUTED_VALUE"""),"Tapul")</f>
        <v>Tapul</v>
      </c>
      <c r="P386" s="142" t="str">
        <f>IFERROR(__xludf.DUMMYFUNCTION("""COMPUTED_VALUE"""),"Tongkil")</f>
        <v>Tongkil</v>
      </c>
      <c r="Q386" s="142" t="str">
        <f>IFERROR(__xludf.DUMMYFUNCTION("""COMPUTED_VALUE"""),"Panglima Estino")</f>
        <v>Panglima Estino</v>
      </c>
      <c r="R386" s="142" t="str">
        <f>IFERROR(__xludf.DUMMYFUNCTION("""COMPUTED_VALUE"""),"Lugus")</f>
        <v>Lugus</v>
      </c>
      <c r="S386" s="142" t="str">
        <f>IFERROR(__xludf.DUMMYFUNCTION("""COMPUTED_VALUE"""),"Pandami")</f>
        <v>Pandami</v>
      </c>
      <c r="T386" s="142" t="str">
        <f>IFERROR(__xludf.DUMMYFUNCTION("""COMPUTED_VALUE"""),"Omar")</f>
        <v>Omar</v>
      </c>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row>
    <row r="387">
      <c r="A387" s="142" t="s">
        <v>294</v>
      </c>
      <c r="B387" s="142" t="str">
        <f>IFERROR(__xludf.DUMMYFUNCTION("""COMPUTED_VALUE"""),"Botolan")</f>
        <v>Botolan</v>
      </c>
      <c r="C387" s="142" t="str">
        <f>IFERROR(__xludf.DUMMYFUNCTION("""COMPUTED_VALUE"""),"Cabangan")</f>
        <v>Cabangan</v>
      </c>
      <c r="D387" s="142" t="str">
        <f>IFERROR(__xludf.DUMMYFUNCTION("""COMPUTED_VALUE"""),"Candelaria")</f>
        <v>Candelaria</v>
      </c>
      <c r="E387" s="142" t="str">
        <f>IFERROR(__xludf.DUMMYFUNCTION("""COMPUTED_VALUE"""),"Castillejos")</f>
        <v>Castillejos</v>
      </c>
      <c r="F387" s="142" t="str">
        <f>IFERROR(__xludf.DUMMYFUNCTION("""COMPUTED_VALUE"""),"Iba")</f>
        <v>Iba</v>
      </c>
      <c r="G387" s="142" t="str">
        <f>IFERROR(__xludf.DUMMYFUNCTION("""COMPUTED_VALUE"""),"Masinloc")</f>
        <v>Masinloc</v>
      </c>
      <c r="H387" s="142" t="str">
        <f>IFERROR(__xludf.DUMMYFUNCTION("""COMPUTED_VALUE"""),"City of Olongapo")</f>
        <v>City of Olongapo</v>
      </c>
      <c r="I387" s="142" t="str">
        <f>IFERROR(__xludf.DUMMYFUNCTION("""COMPUTED_VALUE"""),"Palauig")</f>
        <v>Palauig</v>
      </c>
      <c r="J387" s="142" t="str">
        <f>IFERROR(__xludf.DUMMYFUNCTION("""COMPUTED_VALUE"""),"San Antonio")</f>
        <v>San Antonio</v>
      </c>
      <c r="K387" s="142" t="str">
        <f>IFERROR(__xludf.DUMMYFUNCTION("""COMPUTED_VALUE"""),"San Felipe")</f>
        <v>San Felipe</v>
      </c>
      <c r="L387" s="142" t="str">
        <f>IFERROR(__xludf.DUMMYFUNCTION("""COMPUTED_VALUE"""),"San Marcelino")</f>
        <v>San Marcelino</v>
      </c>
      <c r="M387" s="142" t="str">
        <f>IFERROR(__xludf.DUMMYFUNCTION("""COMPUTED_VALUE"""),"San Narciso")</f>
        <v>San Narciso</v>
      </c>
      <c r="N387" s="142" t="str">
        <f>IFERROR(__xludf.DUMMYFUNCTION("""COMPUTED_VALUE"""),"Santa Cruz")</f>
        <v>Santa Cruz</v>
      </c>
      <c r="O387" s="142" t="str">
        <f>IFERROR(__xludf.DUMMYFUNCTION("""COMPUTED_VALUE"""),"Subic")</f>
        <v>Subic</v>
      </c>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row>
    <row r="388">
      <c r="A388" s="142" t="s">
        <v>893</v>
      </c>
      <c r="B388" s="142" t="str">
        <f>IFERROR(__xludf.DUMMYFUNCTION("""COMPUTED_VALUE"""),"Bacacay")</f>
        <v>Bacacay</v>
      </c>
      <c r="C388" s="142" t="str">
        <f>IFERROR(__xludf.DUMMYFUNCTION("""COMPUTED_VALUE"""),"Camalig")</f>
        <v>Camalig</v>
      </c>
      <c r="D388" s="142" t="str">
        <f>IFERROR(__xludf.DUMMYFUNCTION("""COMPUTED_VALUE"""),"Daraga")</f>
        <v>Daraga</v>
      </c>
      <c r="E388" s="142" t="str">
        <f>IFERROR(__xludf.DUMMYFUNCTION("""COMPUTED_VALUE"""),"Guinobatan")</f>
        <v>Guinobatan</v>
      </c>
      <c r="F388" s="142" t="str">
        <f>IFERROR(__xludf.DUMMYFUNCTION("""COMPUTED_VALUE"""),"Jovellar")</f>
        <v>Jovellar</v>
      </c>
      <c r="G388" s="142" t="str">
        <f>IFERROR(__xludf.DUMMYFUNCTION("""COMPUTED_VALUE"""),"City of Legazpi")</f>
        <v>City of Legazpi</v>
      </c>
      <c r="H388" s="142" t="str">
        <f>IFERROR(__xludf.DUMMYFUNCTION("""COMPUTED_VALUE"""),"Libon")</f>
        <v>Libon</v>
      </c>
      <c r="I388" s="142" t="str">
        <f>IFERROR(__xludf.DUMMYFUNCTION("""COMPUTED_VALUE"""),"City of Ligao")</f>
        <v>City of Ligao</v>
      </c>
      <c r="J388" s="142" t="str">
        <f>IFERROR(__xludf.DUMMYFUNCTION("""COMPUTED_VALUE"""),"Malilipot")</f>
        <v>Malilipot</v>
      </c>
      <c r="K388" s="142" t="str">
        <f>IFERROR(__xludf.DUMMYFUNCTION("""COMPUTED_VALUE"""),"Malinao")</f>
        <v>Malinao</v>
      </c>
      <c r="L388" s="142" t="str">
        <f>IFERROR(__xludf.DUMMYFUNCTION("""COMPUTED_VALUE"""),"Manito")</f>
        <v>Manito</v>
      </c>
      <c r="M388" s="142" t="str">
        <f>IFERROR(__xludf.DUMMYFUNCTION("""COMPUTED_VALUE"""),"Oas")</f>
        <v>Oas</v>
      </c>
      <c r="N388" s="142" t="str">
        <f>IFERROR(__xludf.DUMMYFUNCTION("""COMPUTED_VALUE"""),"Pio Duran")</f>
        <v>Pio Duran</v>
      </c>
      <c r="O388" s="142" t="str">
        <f>IFERROR(__xludf.DUMMYFUNCTION("""COMPUTED_VALUE"""),"Polangui")</f>
        <v>Polangui</v>
      </c>
      <c r="P388" s="142" t="str">
        <f>IFERROR(__xludf.DUMMYFUNCTION("""COMPUTED_VALUE"""),"Rapu-Rapu")</f>
        <v>Rapu-Rapu</v>
      </c>
      <c r="Q388" s="142" t="str">
        <f>IFERROR(__xludf.DUMMYFUNCTION("""COMPUTED_VALUE"""),"Santo Domingo")</f>
        <v>Santo Domingo</v>
      </c>
      <c r="R388" s="142" t="str">
        <f>IFERROR(__xludf.DUMMYFUNCTION("""COMPUTED_VALUE"""),"City of Tabaco")</f>
        <v>City of Tabaco</v>
      </c>
      <c r="S388" s="142" t="str">
        <f>IFERROR(__xludf.DUMMYFUNCTION("""COMPUTED_VALUE"""),"Tiwi")</f>
        <v>Tiwi</v>
      </c>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row>
    <row r="389">
      <c r="A389" s="142" t="s">
        <v>585</v>
      </c>
      <c r="B389" s="142" t="str">
        <f>IFERROR(__xludf.DUMMYFUNCTION("""COMPUTED_VALUE"""),"Abuyog")</f>
        <v>Abuyog</v>
      </c>
      <c r="C389" s="142" t="str">
        <f>IFERROR(__xludf.DUMMYFUNCTION("""COMPUTED_VALUE"""),"Alangalang")</f>
        <v>Alangalang</v>
      </c>
      <c r="D389" s="142" t="str">
        <f>IFERROR(__xludf.DUMMYFUNCTION("""COMPUTED_VALUE"""),"Albuera")</f>
        <v>Albuera</v>
      </c>
      <c r="E389" s="142" t="str">
        <f>IFERROR(__xludf.DUMMYFUNCTION("""COMPUTED_VALUE"""),"Babatngon")</f>
        <v>Babatngon</v>
      </c>
      <c r="F389" s="142" t="str">
        <f>IFERROR(__xludf.DUMMYFUNCTION("""COMPUTED_VALUE"""),"Barugo")</f>
        <v>Barugo</v>
      </c>
      <c r="G389" s="142" t="str">
        <f>IFERROR(__xludf.DUMMYFUNCTION("""COMPUTED_VALUE"""),"Bato")</f>
        <v>Bato</v>
      </c>
      <c r="H389" s="142" t="str">
        <f>IFERROR(__xludf.DUMMYFUNCTION("""COMPUTED_VALUE"""),"City of Baybay")</f>
        <v>City of Baybay</v>
      </c>
      <c r="I389" s="142" t="str">
        <f>IFERROR(__xludf.DUMMYFUNCTION("""COMPUTED_VALUE"""),"Burauen")</f>
        <v>Burauen</v>
      </c>
      <c r="J389" s="142" t="str">
        <f>IFERROR(__xludf.DUMMYFUNCTION("""COMPUTED_VALUE"""),"Calubian")</f>
        <v>Calubian</v>
      </c>
      <c r="K389" s="142" t="str">
        <f>IFERROR(__xludf.DUMMYFUNCTION("""COMPUTED_VALUE"""),"Capoocan")</f>
        <v>Capoocan</v>
      </c>
      <c r="L389" s="142" t="str">
        <f>IFERROR(__xludf.DUMMYFUNCTION("""COMPUTED_VALUE"""),"Carigara")</f>
        <v>Carigara</v>
      </c>
      <c r="M389" s="142" t="str">
        <f>IFERROR(__xludf.DUMMYFUNCTION("""COMPUTED_VALUE"""),"Dagami")</f>
        <v>Dagami</v>
      </c>
      <c r="N389" s="142" t="str">
        <f>IFERROR(__xludf.DUMMYFUNCTION("""COMPUTED_VALUE"""),"Dulag")</f>
        <v>Dulag</v>
      </c>
      <c r="O389" s="142" t="str">
        <f>IFERROR(__xludf.DUMMYFUNCTION("""COMPUTED_VALUE"""),"Hilongos")</f>
        <v>Hilongos</v>
      </c>
      <c r="P389" s="142" t="str">
        <f>IFERROR(__xludf.DUMMYFUNCTION("""COMPUTED_VALUE"""),"Hindang")</f>
        <v>Hindang</v>
      </c>
      <c r="Q389" s="142" t="str">
        <f>IFERROR(__xludf.DUMMYFUNCTION("""COMPUTED_VALUE"""),"Inopacan")</f>
        <v>Inopacan</v>
      </c>
      <c r="R389" s="142" t="str">
        <f>IFERROR(__xludf.DUMMYFUNCTION("""COMPUTED_VALUE"""),"Isabel")</f>
        <v>Isabel</v>
      </c>
      <c r="S389" s="142" t="str">
        <f>IFERROR(__xludf.DUMMYFUNCTION("""COMPUTED_VALUE"""),"Jaro")</f>
        <v>Jaro</v>
      </c>
      <c r="T389" s="142" t="str">
        <f>IFERROR(__xludf.DUMMYFUNCTION("""COMPUTED_VALUE"""),"Javier")</f>
        <v>Javier</v>
      </c>
      <c r="U389" s="142" t="str">
        <f>IFERROR(__xludf.DUMMYFUNCTION("""COMPUTED_VALUE"""),"Julita")</f>
        <v>Julita</v>
      </c>
      <c r="V389" s="142" t="str">
        <f>IFERROR(__xludf.DUMMYFUNCTION("""COMPUTED_VALUE"""),"Kananga")</f>
        <v>Kananga</v>
      </c>
      <c r="W389" s="142" t="str">
        <f>IFERROR(__xludf.DUMMYFUNCTION("""COMPUTED_VALUE"""),"La Paz")</f>
        <v>La Paz</v>
      </c>
      <c r="X389" s="142" t="str">
        <f>IFERROR(__xludf.DUMMYFUNCTION("""COMPUTED_VALUE"""),"Leyte")</f>
        <v>Leyte</v>
      </c>
      <c r="Y389" s="142" t="str">
        <f>IFERROR(__xludf.DUMMYFUNCTION("""COMPUTED_VALUE"""),"Macarthur")</f>
        <v>Macarthur</v>
      </c>
      <c r="Z389" s="142" t="str">
        <f>IFERROR(__xludf.DUMMYFUNCTION("""COMPUTED_VALUE"""),"Mahaplag")</f>
        <v>Mahaplag</v>
      </c>
      <c r="AA389" s="142" t="str">
        <f>IFERROR(__xludf.DUMMYFUNCTION("""COMPUTED_VALUE"""),"Matag-Ob")</f>
        <v>Matag-Ob</v>
      </c>
      <c r="AB389" s="142" t="str">
        <f>IFERROR(__xludf.DUMMYFUNCTION("""COMPUTED_VALUE"""),"Matalom")</f>
        <v>Matalom</v>
      </c>
      <c r="AC389" s="142" t="str">
        <f>IFERROR(__xludf.DUMMYFUNCTION("""COMPUTED_VALUE"""),"Mayorga")</f>
        <v>Mayorga</v>
      </c>
      <c r="AD389" s="142" t="str">
        <f>IFERROR(__xludf.DUMMYFUNCTION("""COMPUTED_VALUE"""),"Merida")</f>
        <v>Merida</v>
      </c>
      <c r="AE389" s="142" t="str">
        <f>IFERROR(__xludf.DUMMYFUNCTION("""COMPUTED_VALUE"""),"Ormoc City")</f>
        <v>Ormoc City</v>
      </c>
      <c r="AF389" s="142" t="str">
        <f>IFERROR(__xludf.DUMMYFUNCTION("""COMPUTED_VALUE"""),"Palo")</f>
        <v>Palo</v>
      </c>
      <c r="AG389" s="142" t="str">
        <f>IFERROR(__xludf.DUMMYFUNCTION("""COMPUTED_VALUE"""),"Palompon")</f>
        <v>Palompon</v>
      </c>
      <c r="AH389" s="142" t="str">
        <f>IFERROR(__xludf.DUMMYFUNCTION("""COMPUTED_VALUE"""),"Pastrana")</f>
        <v>Pastrana</v>
      </c>
      <c r="AI389" s="142" t="str">
        <f>IFERROR(__xludf.DUMMYFUNCTION("""COMPUTED_VALUE"""),"San Isidro")</f>
        <v>San Isidro</v>
      </c>
      <c r="AJ389" s="142" t="str">
        <f>IFERROR(__xludf.DUMMYFUNCTION("""COMPUTED_VALUE"""),"San Miguel")</f>
        <v>San Miguel</v>
      </c>
      <c r="AK389" s="142" t="str">
        <f>IFERROR(__xludf.DUMMYFUNCTION("""COMPUTED_VALUE"""),"Santa Fe")</f>
        <v>Santa Fe</v>
      </c>
      <c r="AL389" s="142" t="str">
        <f>IFERROR(__xludf.DUMMYFUNCTION("""COMPUTED_VALUE"""),"Tabango")</f>
        <v>Tabango</v>
      </c>
      <c r="AM389" s="142" t="str">
        <f>IFERROR(__xludf.DUMMYFUNCTION("""COMPUTED_VALUE"""),"Tabontabon")</f>
        <v>Tabontabon</v>
      </c>
      <c r="AN389" s="142" t="str">
        <f>IFERROR(__xludf.DUMMYFUNCTION("""COMPUTED_VALUE"""),"City of Tacloban")</f>
        <v>City of Tacloban</v>
      </c>
      <c r="AO389" s="142" t="str">
        <f>IFERROR(__xludf.DUMMYFUNCTION("""COMPUTED_VALUE"""),"Tanauan")</f>
        <v>Tanauan</v>
      </c>
      <c r="AP389" s="142" t="str">
        <f>IFERROR(__xludf.DUMMYFUNCTION("""COMPUTED_VALUE"""),"Tolosa")</f>
        <v>Tolosa</v>
      </c>
      <c r="AQ389" s="142" t="str">
        <f>IFERROR(__xludf.DUMMYFUNCTION("""COMPUTED_VALUE"""),"Tunga")</f>
        <v>Tunga</v>
      </c>
      <c r="AR389" s="142" t="str">
        <f>IFERROR(__xludf.DUMMYFUNCTION("""COMPUTED_VALUE"""),"Villaba")</f>
        <v>Villaba</v>
      </c>
      <c r="AS389" s="8"/>
      <c r="AT389" s="8"/>
      <c r="AU389" s="8"/>
      <c r="AV389" s="8"/>
      <c r="AW389" s="8"/>
      <c r="AX389" s="8"/>
      <c r="AY389" s="8"/>
      <c r="AZ389" s="8"/>
      <c r="BA389" s="8"/>
      <c r="BB389" s="8"/>
      <c r="BC389" s="8"/>
      <c r="BD389" s="8"/>
      <c r="BE389" s="8"/>
    </row>
    <row r="390">
      <c r="A390" s="142" t="s">
        <v>1271</v>
      </c>
      <c r="B390" s="142" t="str">
        <f>IFERROR(__xludf.DUMMYFUNCTION("""COMPUTED_VALUE"""),"Anahawan")</f>
        <v>Anahawan</v>
      </c>
      <c r="C390" s="142" t="str">
        <f>IFERROR(__xludf.DUMMYFUNCTION("""COMPUTED_VALUE"""),"Bontoc")</f>
        <v>Bontoc</v>
      </c>
      <c r="D390" s="142" t="str">
        <f>IFERROR(__xludf.DUMMYFUNCTION("""COMPUTED_VALUE"""),"Hinunangan")</f>
        <v>Hinunangan</v>
      </c>
      <c r="E390" s="142" t="str">
        <f>IFERROR(__xludf.DUMMYFUNCTION("""COMPUTED_VALUE"""),"Hinundayan")</f>
        <v>Hinundayan</v>
      </c>
      <c r="F390" s="142" t="str">
        <f>IFERROR(__xludf.DUMMYFUNCTION("""COMPUTED_VALUE"""),"Libagon")</f>
        <v>Libagon</v>
      </c>
      <c r="G390" s="142" t="str">
        <f>IFERROR(__xludf.DUMMYFUNCTION("""COMPUTED_VALUE"""),"Liloan")</f>
        <v>Liloan</v>
      </c>
      <c r="H390" s="142" t="str">
        <f>IFERROR(__xludf.DUMMYFUNCTION("""COMPUTED_VALUE"""),"City of Maasin")</f>
        <v>City of Maasin</v>
      </c>
      <c r="I390" s="142" t="str">
        <f>IFERROR(__xludf.DUMMYFUNCTION("""COMPUTED_VALUE"""),"Macrohon")</f>
        <v>Macrohon</v>
      </c>
      <c r="J390" s="142" t="str">
        <f>IFERROR(__xludf.DUMMYFUNCTION("""COMPUTED_VALUE"""),"Malitbog")</f>
        <v>Malitbog</v>
      </c>
      <c r="K390" s="142" t="str">
        <f>IFERROR(__xludf.DUMMYFUNCTION("""COMPUTED_VALUE"""),"Padre Burgos")</f>
        <v>Padre Burgos</v>
      </c>
      <c r="L390" s="142" t="str">
        <f>IFERROR(__xludf.DUMMYFUNCTION("""COMPUTED_VALUE"""),"Pintuyan")</f>
        <v>Pintuyan</v>
      </c>
      <c r="M390" s="142" t="str">
        <f>IFERROR(__xludf.DUMMYFUNCTION("""COMPUTED_VALUE"""),"Saint Bernard")</f>
        <v>Saint Bernard</v>
      </c>
      <c r="N390" s="142" t="str">
        <f>IFERROR(__xludf.DUMMYFUNCTION("""COMPUTED_VALUE"""),"San Francisco")</f>
        <v>San Francisco</v>
      </c>
      <c r="O390" s="142" t="str">
        <f>IFERROR(__xludf.DUMMYFUNCTION("""COMPUTED_VALUE"""),"San Juan")</f>
        <v>San Juan</v>
      </c>
      <c r="P390" s="142" t="str">
        <f>IFERROR(__xludf.DUMMYFUNCTION("""COMPUTED_VALUE"""),"San Ricardo")</f>
        <v>San Ricardo</v>
      </c>
      <c r="Q390" s="142" t="str">
        <f>IFERROR(__xludf.DUMMYFUNCTION("""COMPUTED_VALUE"""),"Silago")</f>
        <v>Silago</v>
      </c>
      <c r="R390" s="142" t="str">
        <f>IFERROR(__xludf.DUMMYFUNCTION("""COMPUTED_VALUE"""),"Sogod")</f>
        <v>Sogod</v>
      </c>
      <c r="S390" s="142" t="str">
        <f>IFERROR(__xludf.DUMMYFUNCTION("""COMPUTED_VALUE"""),"Tomas Oppus")</f>
        <v>Tomas Oppus</v>
      </c>
      <c r="T390" s="142" t="str">
        <f>IFERROR(__xludf.DUMMYFUNCTION("""COMPUTED_VALUE"""),"Limasawa")</f>
        <v>Limasawa</v>
      </c>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row>
    <row r="391">
      <c r="A391" s="142" t="s">
        <v>172</v>
      </c>
      <c r="B391" s="142" t="str">
        <f>IFERROR(__xludf.DUMMYFUNCTION("""COMPUTED_VALUE"""),"Alubijid")</f>
        <v>Alubijid</v>
      </c>
      <c r="C391" s="142" t="str">
        <f>IFERROR(__xludf.DUMMYFUNCTION("""COMPUTED_VALUE"""),"Balingasag")</f>
        <v>Balingasag</v>
      </c>
      <c r="D391" s="142" t="str">
        <f>IFERROR(__xludf.DUMMYFUNCTION("""COMPUTED_VALUE"""),"Balingoan")</f>
        <v>Balingoan</v>
      </c>
      <c r="E391" s="142" t="str">
        <f>IFERROR(__xludf.DUMMYFUNCTION("""COMPUTED_VALUE"""),"Binuangan")</f>
        <v>Binuangan</v>
      </c>
      <c r="F391" s="142" t="str">
        <f>IFERROR(__xludf.DUMMYFUNCTION("""COMPUTED_VALUE"""),"City of Cagayan De Oro")</f>
        <v>City of Cagayan De Oro</v>
      </c>
      <c r="G391" s="142" t="str">
        <f>IFERROR(__xludf.DUMMYFUNCTION("""COMPUTED_VALUE"""),"Claveria")</f>
        <v>Claveria</v>
      </c>
      <c r="H391" s="142" t="str">
        <f>IFERROR(__xludf.DUMMYFUNCTION("""COMPUTED_VALUE"""),"City of El Salvador")</f>
        <v>City of El Salvador</v>
      </c>
      <c r="I391" s="142" t="str">
        <f>IFERROR(__xludf.DUMMYFUNCTION("""COMPUTED_VALUE"""),"City of Gingoog")</f>
        <v>City of Gingoog</v>
      </c>
      <c r="J391" s="142" t="str">
        <f>IFERROR(__xludf.DUMMYFUNCTION("""COMPUTED_VALUE"""),"Gitagum")</f>
        <v>Gitagum</v>
      </c>
      <c r="K391" s="142" t="str">
        <f>IFERROR(__xludf.DUMMYFUNCTION("""COMPUTED_VALUE"""),"Initao")</f>
        <v>Initao</v>
      </c>
      <c r="L391" s="142" t="str">
        <f>IFERROR(__xludf.DUMMYFUNCTION("""COMPUTED_VALUE"""),"Jasaan")</f>
        <v>Jasaan</v>
      </c>
      <c r="M391" s="142" t="str">
        <f>IFERROR(__xludf.DUMMYFUNCTION("""COMPUTED_VALUE"""),"Kinoguitan")</f>
        <v>Kinoguitan</v>
      </c>
      <c r="N391" s="142" t="str">
        <f>IFERROR(__xludf.DUMMYFUNCTION("""COMPUTED_VALUE"""),"Lagonglong")</f>
        <v>Lagonglong</v>
      </c>
      <c r="O391" s="142" t="str">
        <f>IFERROR(__xludf.DUMMYFUNCTION("""COMPUTED_VALUE"""),"Laguindingan")</f>
        <v>Laguindingan</v>
      </c>
      <c r="P391" s="142" t="str">
        <f>IFERROR(__xludf.DUMMYFUNCTION("""COMPUTED_VALUE"""),"Libertad")</f>
        <v>Libertad</v>
      </c>
      <c r="Q391" s="142" t="str">
        <f>IFERROR(__xludf.DUMMYFUNCTION("""COMPUTED_VALUE"""),"Lugait")</f>
        <v>Lugait</v>
      </c>
      <c r="R391" s="142" t="str">
        <f>IFERROR(__xludf.DUMMYFUNCTION("""COMPUTED_VALUE"""),"Magsaysay")</f>
        <v>Magsaysay</v>
      </c>
      <c r="S391" s="142" t="str">
        <f>IFERROR(__xludf.DUMMYFUNCTION("""COMPUTED_VALUE"""),"Manticao")</f>
        <v>Manticao</v>
      </c>
      <c r="T391" s="142" t="str">
        <f>IFERROR(__xludf.DUMMYFUNCTION("""COMPUTED_VALUE"""),"Medina")</f>
        <v>Medina</v>
      </c>
      <c r="U391" s="142" t="str">
        <f>IFERROR(__xludf.DUMMYFUNCTION("""COMPUTED_VALUE"""),"Naawan")</f>
        <v>Naawan</v>
      </c>
      <c r="V391" s="142" t="str">
        <f>IFERROR(__xludf.DUMMYFUNCTION("""COMPUTED_VALUE"""),"Opol")</f>
        <v>Opol</v>
      </c>
      <c r="W391" s="142" t="str">
        <f>IFERROR(__xludf.DUMMYFUNCTION("""COMPUTED_VALUE"""),"Salay")</f>
        <v>Salay</v>
      </c>
      <c r="X391" s="142" t="str">
        <f>IFERROR(__xludf.DUMMYFUNCTION("""COMPUTED_VALUE"""),"Sugbongcogon")</f>
        <v>Sugbongcogon</v>
      </c>
      <c r="Y391" s="142" t="str">
        <f>IFERROR(__xludf.DUMMYFUNCTION("""COMPUTED_VALUE"""),"Tagoloan")</f>
        <v>Tagoloan</v>
      </c>
      <c r="Z391" s="142" t="str">
        <f>IFERROR(__xludf.DUMMYFUNCTION("""COMPUTED_VALUE"""),"Talisayan")</f>
        <v>Talisayan</v>
      </c>
      <c r="AA391" s="142" t="str">
        <f>IFERROR(__xludf.DUMMYFUNCTION("""COMPUTED_VALUE"""),"Villanueva")</f>
        <v>Villanueva</v>
      </c>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row>
    <row r="392">
      <c r="A392" s="142" t="s">
        <v>580</v>
      </c>
      <c r="B392" s="142" t="str">
        <f>IFERROR(__xludf.DUMMYFUNCTION("""COMPUTED_VALUE"""),"Arteche")</f>
        <v>Arteche</v>
      </c>
      <c r="C392" s="142" t="str">
        <f>IFERROR(__xludf.DUMMYFUNCTION("""COMPUTED_VALUE"""),"Balangiga")</f>
        <v>Balangiga</v>
      </c>
      <c r="D392" s="142" t="str">
        <f>IFERROR(__xludf.DUMMYFUNCTION("""COMPUTED_VALUE"""),"Balangkayan")</f>
        <v>Balangkayan</v>
      </c>
      <c r="E392" s="142" t="str">
        <f>IFERROR(__xludf.DUMMYFUNCTION("""COMPUTED_VALUE"""),"City of Borongan")</f>
        <v>City of Borongan</v>
      </c>
      <c r="F392" s="142" t="str">
        <f>IFERROR(__xludf.DUMMYFUNCTION("""COMPUTED_VALUE"""),"Can-Avid")</f>
        <v>Can-Avid</v>
      </c>
      <c r="G392" s="142" t="str">
        <f>IFERROR(__xludf.DUMMYFUNCTION("""COMPUTED_VALUE"""),"Dolores")</f>
        <v>Dolores</v>
      </c>
      <c r="H392" s="142" t="str">
        <f>IFERROR(__xludf.DUMMYFUNCTION("""COMPUTED_VALUE"""),"General Macarthur")</f>
        <v>General Macarthur</v>
      </c>
      <c r="I392" s="142" t="str">
        <f>IFERROR(__xludf.DUMMYFUNCTION("""COMPUTED_VALUE"""),"Giporlos")</f>
        <v>Giporlos</v>
      </c>
      <c r="J392" s="142" t="str">
        <f>IFERROR(__xludf.DUMMYFUNCTION("""COMPUTED_VALUE"""),"Guiuan")</f>
        <v>Guiuan</v>
      </c>
      <c r="K392" s="142" t="str">
        <f>IFERROR(__xludf.DUMMYFUNCTION("""COMPUTED_VALUE"""),"Hernani")</f>
        <v>Hernani</v>
      </c>
      <c r="L392" s="142" t="str">
        <f>IFERROR(__xludf.DUMMYFUNCTION("""COMPUTED_VALUE"""),"Jipapad")</f>
        <v>Jipapad</v>
      </c>
      <c r="M392" s="142" t="str">
        <f>IFERROR(__xludf.DUMMYFUNCTION("""COMPUTED_VALUE"""),"Lawaan")</f>
        <v>Lawaan</v>
      </c>
      <c r="N392" s="142" t="str">
        <f>IFERROR(__xludf.DUMMYFUNCTION("""COMPUTED_VALUE"""),"Llorente")</f>
        <v>Llorente</v>
      </c>
      <c r="O392" s="142" t="str">
        <f>IFERROR(__xludf.DUMMYFUNCTION("""COMPUTED_VALUE"""),"Maslog")</f>
        <v>Maslog</v>
      </c>
      <c r="P392" s="142" t="str">
        <f>IFERROR(__xludf.DUMMYFUNCTION("""COMPUTED_VALUE"""),"Maydolong")</f>
        <v>Maydolong</v>
      </c>
      <c r="Q392" s="142" t="str">
        <f>IFERROR(__xludf.DUMMYFUNCTION("""COMPUTED_VALUE"""),"Mercedes")</f>
        <v>Mercedes</v>
      </c>
      <c r="R392" s="142" t="str">
        <f>IFERROR(__xludf.DUMMYFUNCTION("""COMPUTED_VALUE"""),"Oras")</f>
        <v>Oras</v>
      </c>
      <c r="S392" s="142" t="str">
        <f>IFERROR(__xludf.DUMMYFUNCTION("""COMPUTED_VALUE"""),"Quinapondan")</f>
        <v>Quinapondan</v>
      </c>
      <c r="T392" s="142" t="str">
        <f>IFERROR(__xludf.DUMMYFUNCTION("""COMPUTED_VALUE"""),"Salcedo")</f>
        <v>Salcedo</v>
      </c>
      <c r="U392" s="142" t="str">
        <f>IFERROR(__xludf.DUMMYFUNCTION("""COMPUTED_VALUE"""),"San Julian")</f>
        <v>San Julian</v>
      </c>
      <c r="V392" s="142" t="str">
        <f>IFERROR(__xludf.DUMMYFUNCTION("""COMPUTED_VALUE"""),"San Policarpo")</f>
        <v>San Policarpo</v>
      </c>
      <c r="W392" s="142" t="str">
        <f>IFERROR(__xludf.DUMMYFUNCTION("""COMPUTED_VALUE"""),"Sulat")</f>
        <v>Sulat</v>
      </c>
      <c r="X392" s="142" t="str">
        <f>IFERROR(__xludf.DUMMYFUNCTION("""COMPUTED_VALUE"""),"Taft")</f>
        <v>Taft</v>
      </c>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row>
    <row r="393">
      <c r="A393" s="142" t="s">
        <v>1191</v>
      </c>
      <c r="B393" s="142" t="str">
        <f>IFERROR(__xludf.DUMMYFUNCTION("""COMPUTED_VALUE"""),"Aroroy")</f>
        <v>Aroroy</v>
      </c>
      <c r="C393" s="142" t="str">
        <f>IFERROR(__xludf.DUMMYFUNCTION("""COMPUTED_VALUE"""),"Baleno")</f>
        <v>Baleno</v>
      </c>
      <c r="D393" s="142" t="str">
        <f>IFERROR(__xludf.DUMMYFUNCTION("""COMPUTED_VALUE"""),"Balud")</f>
        <v>Balud</v>
      </c>
      <c r="E393" s="142" t="str">
        <f>IFERROR(__xludf.DUMMYFUNCTION("""COMPUTED_VALUE"""),"Batuan")</f>
        <v>Batuan</v>
      </c>
      <c r="F393" s="142" t="str">
        <f>IFERROR(__xludf.DUMMYFUNCTION("""COMPUTED_VALUE"""),"Cataingan")</f>
        <v>Cataingan</v>
      </c>
      <c r="G393" s="142" t="str">
        <f>IFERROR(__xludf.DUMMYFUNCTION("""COMPUTED_VALUE"""),"Cawayan")</f>
        <v>Cawayan</v>
      </c>
      <c r="H393" s="142" t="str">
        <f>IFERROR(__xludf.DUMMYFUNCTION("""COMPUTED_VALUE"""),"Claveria")</f>
        <v>Claveria</v>
      </c>
      <c r="I393" s="142" t="str">
        <f>IFERROR(__xludf.DUMMYFUNCTION("""COMPUTED_VALUE"""),"Dimasalang")</f>
        <v>Dimasalang</v>
      </c>
      <c r="J393" s="142" t="str">
        <f>IFERROR(__xludf.DUMMYFUNCTION("""COMPUTED_VALUE"""),"Esperanza")</f>
        <v>Esperanza</v>
      </c>
      <c r="K393" s="142" t="str">
        <f>IFERROR(__xludf.DUMMYFUNCTION("""COMPUTED_VALUE"""),"Mandaon")</f>
        <v>Mandaon</v>
      </c>
      <c r="L393" s="142" t="str">
        <f>IFERROR(__xludf.DUMMYFUNCTION("""COMPUTED_VALUE"""),"City of Masbate")</f>
        <v>City of Masbate</v>
      </c>
      <c r="M393" s="142" t="str">
        <f>IFERROR(__xludf.DUMMYFUNCTION("""COMPUTED_VALUE"""),"Milagros")</f>
        <v>Milagros</v>
      </c>
      <c r="N393" s="142" t="str">
        <f>IFERROR(__xludf.DUMMYFUNCTION("""COMPUTED_VALUE"""),"Mobo")</f>
        <v>Mobo</v>
      </c>
      <c r="O393" s="142" t="str">
        <f>IFERROR(__xludf.DUMMYFUNCTION("""COMPUTED_VALUE"""),"Monreal")</f>
        <v>Monreal</v>
      </c>
      <c r="P393" s="142" t="str">
        <f>IFERROR(__xludf.DUMMYFUNCTION("""COMPUTED_VALUE"""),"Palanas")</f>
        <v>Palanas</v>
      </c>
      <c r="Q393" s="142" t="str">
        <f>IFERROR(__xludf.DUMMYFUNCTION("""COMPUTED_VALUE"""),"Pio V. Corpus")</f>
        <v>Pio V. Corpus</v>
      </c>
      <c r="R393" s="142" t="str">
        <f>IFERROR(__xludf.DUMMYFUNCTION("""COMPUTED_VALUE"""),"Placer")</f>
        <v>Placer</v>
      </c>
      <c r="S393" s="142" t="str">
        <f>IFERROR(__xludf.DUMMYFUNCTION("""COMPUTED_VALUE"""),"San Fernando")</f>
        <v>San Fernando</v>
      </c>
      <c r="T393" s="142" t="str">
        <f>IFERROR(__xludf.DUMMYFUNCTION("""COMPUTED_VALUE"""),"San Jacinto")</f>
        <v>San Jacinto</v>
      </c>
      <c r="U393" s="142" t="str">
        <f>IFERROR(__xludf.DUMMYFUNCTION("""COMPUTED_VALUE"""),"San Pascual")</f>
        <v>San Pascual</v>
      </c>
      <c r="V393" s="142" t="str">
        <f>IFERROR(__xludf.DUMMYFUNCTION("""COMPUTED_VALUE"""),"Uson")</f>
        <v>Uson</v>
      </c>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row>
    <row r="394">
      <c r="A394" s="142" t="s">
        <v>404</v>
      </c>
      <c r="B394" s="142" t="str">
        <f>IFERROR(__xludf.DUMMYFUNCTION("""COMPUTED_VALUE"""),"Alilem")</f>
        <v>Alilem</v>
      </c>
      <c r="C394" s="142" t="str">
        <f>IFERROR(__xludf.DUMMYFUNCTION("""COMPUTED_VALUE"""),"Banayoyo")</f>
        <v>Banayoyo</v>
      </c>
      <c r="D394" s="142" t="str">
        <f>IFERROR(__xludf.DUMMYFUNCTION("""COMPUTED_VALUE"""),"Bantay")</f>
        <v>Bantay</v>
      </c>
      <c r="E394" s="142" t="str">
        <f>IFERROR(__xludf.DUMMYFUNCTION("""COMPUTED_VALUE"""),"Burgos")</f>
        <v>Burgos</v>
      </c>
      <c r="F394" s="142" t="str">
        <f>IFERROR(__xludf.DUMMYFUNCTION("""COMPUTED_VALUE"""),"Cabugao")</f>
        <v>Cabugao</v>
      </c>
      <c r="G394" s="142" t="str">
        <f>IFERROR(__xludf.DUMMYFUNCTION("""COMPUTED_VALUE"""),"City of Candon")</f>
        <v>City of Candon</v>
      </c>
      <c r="H394" s="142" t="str">
        <f>IFERROR(__xludf.DUMMYFUNCTION("""COMPUTED_VALUE"""),"Caoayan")</f>
        <v>Caoayan</v>
      </c>
      <c r="I394" s="142" t="str">
        <f>IFERROR(__xludf.DUMMYFUNCTION("""COMPUTED_VALUE"""),"Cervantes")</f>
        <v>Cervantes</v>
      </c>
      <c r="J394" s="142" t="str">
        <f>IFERROR(__xludf.DUMMYFUNCTION("""COMPUTED_VALUE"""),"Galimuyod")</f>
        <v>Galimuyod</v>
      </c>
      <c r="K394" s="142" t="str">
        <f>IFERROR(__xludf.DUMMYFUNCTION("""COMPUTED_VALUE"""),"Gregorio del Pilar")</f>
        <v>Gregorio del Pilar</v>
      </c>
      <c r="L394" s="142" t="str">
        <f>IFERROR(__xludf.DUMMYFUNCTION("""COMPUTED_VALUE"""),"Lidlidda")</f>
        <v>Lidlidda</v>
      </c>
      <c r="M394" s="142" t="str">
        <f>IFERROR(__xludf.DUMMYFUNCTION("""COMPUTED_VALUE"""),"Magsingal")</f>
        <v>Magsingal</v>
      </c>
      <c r="N394" s="142" t="str">
        <f>IFERROR(__xludf.DUMMYFUNCTION("""COMPUTED_VALUE"""),"Nagbukel")</f>
        <v>Nagbukel</v>
      </c>
      <c r="O394" s="142" t="str">
        <f>IFERROR(__xludf.DUMMYFUNCTION("""COMPUTED_VALUE"""),"Narvacan")</f>
        <v>Narvacan</v>
      </c>
      <c r="P394" s="142" t="str">
        <f>IFERROR(__xludf.DUMMYFUNCTION("""COMPUTED_VALUE"""),"Quirino")</f>
        <v>Quirino</v>
      </c>
      <c r="Q394" s="142" t="str">
        <f>IFERROR(__xludf.DUMMYFUNCTION("""COMPUTED_VALUE"""),"Salcedo")</f>
        <v>Salcedo</v>
      </c>
      <c r="R394" s="142" t="str">
        <f>IFERROR(__xludf.DUMMYFUNCTION("""COMPUTED_VALUE"""),"San Emilio")</f>
        <v>San Emilio</v>
      </c>
      <c r="S394" s="142" t="str">
        <f>IFERROR(__xludf.DUMMYFUNCTION("""COMPUTED_VALUE"""),"San Esteban")</f>
        <v>San Esteban</v>
      </c>
      <c r="T394" s="142" t="str">
        <f>IFERROR(__xludf.DUMMYFUNCTION("""COMPUTED_VALUE"""),"San Ildefonso")</f>
        <v>San Ildefonso</v>
      </c>
      <c r="U394" s="142" t="str">
        <f>IFERROR(__xludf.DUMMYFUNCTION("""COMPUTED_VALUE"""),"San Juan")</f>
        <v>San Juan</v>
      </c>
      <c r="V394" s="142" t="str">
        <f>IFERROR(__xludf.DUMMYFUNCTION("""COMPUTED_VALUE"""),"San Vicente")</f>
        <v>San Vicente</v>
      </c>
      <c r="W394" s="142" t="str">
        <f>IFERROR(__xludf.DUMMYFUNCTION("""COMPUTED_VALUE"""),"Santa")</f>
        <v>Santa</v>
      </c>
      <c r="X394" s="142" t="str">
        <f>IFERROR(__xludf.DUMMYFUNCTION("""COMPUTED_VALUE"""),"Santa Catalina")</f>
        <v>Santa Catalina</v>
      </c>
      <c r="Y394" s="142" t="str">
        <f>IFERROR(__xludf.DUMMYFUNCTION("""COMPUTED_VALUE"""),"Santa Cruz")</f>
        <v>Santa Cruz</v>
      </c>
      <c r="Z394" s="142" t="str">
        <f>IFERROR(__xludf.DUMMYFUNCTION("""COMPUTED_VALUE"""),"Santa Lucia")</f>
        <v>Santa Lucia</v>
      </c>
      <c r="AA394" s="142" t="str">
        <f>IFERROR(__xludf.DUMMYFUNCTION("""COMPUTED_VALUE"""),"Santa Maria")</f>
        <v>Santa Maria</v>
      </c>
      <c r="AB394" s="142" t="str">
        <f>IFERROR(__xludf.DUMMYFUNCTION("""COMPUTED_VALUE"""),"Santiago")</f>
        <v>Santiago</v>
      </c>
      <c r="AC394" s="142" t="str">
        <f>IFERROR(__xludf.DUMMYFUNCTION("""COMPUTED_VALUE"""),"Santo Domingo")</f>
        <v>Santo Domingo</v>
      </c>
      <c r="AD394" s="142" t="str">
        <f>IFERROR(__xludf.DUMMYFUNCTION("""COMPUTED_VALUE"""),"Sigay")</f>
        <v>Sigay</v>
      </c>
      <c r="AE394" s="142" t="str">
        <f>IFERROR(__xludf.DUMMYFUNCTION("""COMPUTED_VALUE"""),"Sinait")</f>
        <v>Sinait</v>
      </c>
      <c r="AF394" s="142" t="str">
        <f>IFERROR(__xludf.DUMMYFUNCTION("""COMPUTED_VALUE"""),"Sugpon")</f>
        <v>Sugpon</v>
      </c>
      <c r="AG394" s="142" t="str">
        <f>IFERROR(__xludf.DUMMYFUNCTION("""COMPUTED_VALUE"""),"Suyo")</f>
        <v>Suyo</v>
      </c>
      <c r="AH394" s="142" t="str">
        <f>IFERROR(__xludf.DUMMYFUNCTION("""COMPUTED_VALUE"""),"Tagudin")</f>
        <v>Tagudin</v>
      </c>
      <c r="AI394" s="142" t="str">
        <f>IFERROR(__xludf.DUMMYFUNCTION("""COMPUTED_VALUE"""),"City of Vigan")</f>
        <v>City of Vigan</v>
      </c>
      <c r="AJ394" s="8"/>
      <c r="AK394" s="8"/>
      <c r="AL394" s="8"/>
      <c r="AM394" s="8"/>
      <c r="AN394" s="8"/>
      <c r="AO394" s="8"/>
      <c r="AP394" s="8"/>
      <c r="AQ394" s="8"/>
      <c r="AR394" s="8"/>
      <c r="AS394" s="8"/>
      <c r="AT394" s="8"/>
      <c r="AU394" s="8"/>
      <c r="AV394" s="8"/>
      <c r="AW394" s="8"/>
      <c r="AX394" s="8"/>
      <c r="AY394" s="8"/>
      <c r="AZ394" s="8"/>
      <c r="BA394" s="8"/>
      <c r="BB394" s="8"/>
      <c r="BC394" s="8"/>
      <c r="BD394" s="8"/>
      <c r="BE394" s="8"/>
    </row>
    <row r="395">
      <c r="A395" s="142" t="s">
        <v>404</v>
      </c>
      <c r="B395" s="142" t="str">
        <f>IFERROR(__xludf.DUMMYFUNCTION("""COMPUTED_VALUE"""),"Alilem")</f>
        <v>Alilem</v>
      </c>
      <c r="C395" s="142" t="str">
        <f>IFERROR(__xludf.DUMMYFUNCTION("""COMPUTED_VALUE"""),"Banayoyo")</f>
        <v>Banayoyo</v>
      </c>
      <c r="D395" s="142" t="str">
        <f>IFERROR(__xludf.DUMMYFUNCTION("""COMPUTED_VALUE"""),"Bantay")</f>
        <v>Bantay</v>
      </c>
      <c r="E395" s="142" t="str">
        <f>IFERROR(__xludf.DUMMYFUNCTION("""COMPUTED_VALUE"""),"Burgos")</f>
        <v>Burgos</v>
      </c>
      <c r="F395" s="142" t="str">
        <f>IFERROR(__xludf.DUMMYFUNCTION("""COMPUTED_VALUE"""),"Cabugao")</f>
        <v>Cabugao</v>
      </c>
      <c r="G395" s="142" t="str">
        <f>IFERROR(__xludf.DUMMYFUNCTION("""COMPUTED_VALUE"""),"City of Candon")</f>
        <v>City of Candon</v>
      </c>
      <c r="H395" s="142" t="str">
        <f>IFERROR(__xludf.DUMMYFUNCTION("""COMPUTED_VALUE"""),"Caoayan")</f>
        <v>Caoayan</v>
      </c>
      <c r="I395" s="142" t="str">
        <f>IFERROR(__xludf.DUMMYFUNCTION("""COMPUTED_VALUE"""),"Cervantes")</f>
        <v>Cervantes</v>
      </c>
      <c r="J395" s="142" t="str">
        <f>IFERROR(__xludf.DUMMYFUNCTION("""COMPUTED_VALUE"""),"Galimuyod")</f>
        <v>Galimuyod</v>
      </c>
      <c r="K395" s="142" t="str">
        <f>IFERROR(__xludf.DUMMYFUNCTION("""COMPUTED_VALUE"""),"Gregorio del Pilar")</f>
        <v>Gregorio del Pilar</v>
      </c>
      <c r="L395" s="142" t="str">
        <f>IFERROR(__xludf.DUMMYFUNCTION("""COMPUTED_VALUE"""),"Lidlidda")</f>
        <v>Lidlidda</v>
      </c>
      <c r="M395" s="142" t="str">
        <f>IFERROR(__xludf.DUMMYFUNCTION("""COMPUTED_VALUE"""),"Magsingal")</f>
        <v>Magsingal</v>
      </c>
      <c r="N395" s="142" t="str">
        <f>IFERROR(__xludf.DUMMYFUNCTION("""COMPUTED_VALUE"""),"Nagbukel")</f>
        <v>Nagbukel</v>
      </c>
      <c r="O395" s="142" t="str">
        <f>IFERROR(__xludf.DUMMYFUNCTION("""COMPUTED_VALUE"""),"Narvacan")</f>
        <v>Narvacan</v>
      </c>
      <c r="P395" s="142" t="str">
        <f>IFERROR(__xludf.DUMMYFUNCTION("""COMPUTED_VALUE"""),"Quirino")</f>
        <v>Quirino</v>
      </c>
      <c r="Q395" s="142" t="str">
        <f>IFERROR(__xludf.DUMMYFUNCTION("""COMPUTED_VALUE"""),"Salcedo")</f>
        <v>Salcedo</v>
      </c>
      <c r="R395" s="142" t="str">
        <f>IFERROR(__xludf.DUMMYFUNCTION("""COMPUTED_VALUE"""),"San Emilio")</f>
        <v>San Emilio</v>
      </c>
      <c r="S395" s="142" t="str">
        <f>IFERROR(__xludf.DUMMYFUNCTION("""COMPUTED_VALUE"""),"San Esteban")</f>
        <v>San Esteban</v>
      </c>
      <c r="T395" s="142" t="str">
        <f>IFERROR(__xludf.DUMMYFUNCTION("""COMPUTED_VALUE"""),"San Ildefonso")</f>
        <v>San Ildefonso</v>
      </c>
      <c r="U395" s="142" t="str">
        <f>IFERROR(__xludf.DUMMYFUNCTION("""COMPUTED_VALUE"""),"San Juan")</f>
        <v>San Juan</v>
      </c>
      <c r="V395" s="142" t="str">
        <f>IFERROR(__xludf.DUMMYFUNCTION("""COMPUTED_VALUE"""),"San Vicente")</f>
        <v>San Vicente</v>
      </c>
      <c r="W395" s="142" t="str">
        <f>IFERROR(__xludf.DUMMYFUNCTION("""COMPUTED_VALUE"""),"Santa")</f>
        <v>Santa</v>
      </c>
      <c r="X395" s="142" t="str">
        <f>IFERROR(__xludf.DUMMYFUNCTION("""COMPUTED_VALUE"""),"Santa Catalina")</f>
        <v>Santa Catalina</v>
      </c>
      <c r="Y395" s="142" t="str">
        <f>IFERROR(__xludf.DUMMYFUNCTION("""COMPUTED_VALUE"""),"Santa Cruz")</f>
        <v>Santa Cruz</v>
      </c>
      <c r="Z395" s="142" t="str">
        <f>IFERROR(__xludf.DUMMYFUNCTION("""COMPUTED_VALUE"""),"Santa Lucia")</f>
        <v>Santa Lucia</v>
      </c>
      <c r="AA395" s="142" t="str">
        <f>IFERROR(__xludf.DUMMYFUNCTION("""COMPUTED_VALUE"""),"Santa Maria")</f>
        <v>Santa Maria</v>
      </c>
      <c r="AB395" s="142" t="str">
        <f>IFERROR(__xludf.DUMMYFUNCTION("""COMPUTED_VALUE"""),"Santiago")</f>
        <v>Santiago</v>
      </c>
      <c r="AC395" s="142" t="str">
        <f>IFERROR(__xludf.DUMMYFUNCTION("""COMPUTED_VALUE"""),"Santo Domingo")</f>
        <v>Santo Domingo</v>
      </c>
      <c r="AD395" s="142" t="str">
        <f>IFERROR(__xludf.DUMMYFUNCTION("""COMPUTED_VALUE"""),"Sigay")</f>
        <v>Sigay</v>
      </c>
      <c r="AE395" s="142" t="str">
        <f>IFERROR(__xludf.DUMMYFUNCTION("""COMPUTED_VALUE"""),"Sinait")</f>
        <v>Sinait</v>
      </c>
      <c r="AF395" s="142" t="str">
        <f>IFERROR(__xludf.DUMMYFUNCTION("""COMPUTED_VALUE"""),"Sugpon")</f>
        <v>Sugpon</v>
      </c>
      <c r="AG395" s="142" t="str">
        <f>IFERROR(__xludf.DUMMYFUNCTION("""COMPUTED_VALUE"""),"Suyo")</f>
        <v>Suyo</v>
      </c>
      <c r="AH395" s="142" t="str">
        <f>IFERROR(__xludf.DUMMYFUNCTION("""COMPUTED_VALUE"""),"Tagudin")</f>
        <v>Tagudin</v>
      </c>
      <c r="AI395" s="142" t="str">
        <f>IFERROR(__xludf.DUMMYFUNCTION("""COMPUTED_VALUE"""),"City of Vigan")</f>
        <v>City of Vigan</v>
      </c>
      <c r="AJ395" s="8"/>
      <c r="AK395" s="8"/>
      <c r="AL395" s="8"/>
      <c r="AM395" s="8"/>
      <c r="AN395" s="8"/>
      <c r="AO395" s="8"/>
      <c r="AP395" s="8"/>
      <c r="AQ395" s="8"/>
      <c r="AR395" s="8"/>
      <c r="AS395" s="8"/>
      <c r="AT395" s="8"/>
      <c r="AU395" s="8"/>
      <c r="AV395" s="8"/>
      <c r="AW395" s="8"/>
      <c r="AX395" s="8"/>
      <c r="AY395" s="8"/>
      <c r="AZ395" s="8"/>
      <c r="BA395" s="8"/>
      <c r="BB395" s="8"/>
      <c r="BC395" s="8"/>
      <c r="BD395" s="8"/>
      <c r="BE395" s="8"/>
    </row>
    <row r="396">
      <c r="A396" s="142" t="s">
        <v>438</v>
      </c>
      <c r="B396" s="142" t="str">
        <f>IFERROR(__xludf.DUMMYFUNCTION("""COMPUTED_VALUE"""),"Agoo")</f>
        <v>Agoo</v>
      </c>
      <c r="C396" s="142" t="str">
        <f>IFERROR(__xludf.DUMMYFUNCTION("""COMPUTED_VALUE"""),"Aringay")</f>
        <v>Aringay</v>
      </c>
      <c r="D396" s="142" t="str">
        <f>IFERROR(__xludf.DUMMYFUNCTION("""COMPUTED_VALUE"""),"Bacnotan")</f>
        <v>Bacnotan</v>
      </c>
      <c r="E396" s="142" t="str">
        <f>IFERROR(__xludf.DUMMYFUNCTION("""COMPUTED_VALUE"""),"Bagulin")</f>
        <v>Bagulin</v>
      </c>
      <c r="F396" s="142" t="str">
        <f>IFERROR(__xludf.DUMMYFUNCTION("""COMPUTED_VALUE"""),"Balaoan")</f>
        <v>Balaoan</v>
      </c>
      <c r="G396" s="142" t="str">
        <f>IFERROR(__xludf.DUMMYFUNCTION("""COMPUTED_VALUE"""),"Bangar")</f>
        <v>Bangar</v>
      </c>
      <c r="H396" s="142" t="str">
        <f>IFERROR(__xludf.DUMMYFUNCTION("""COMPUTED_VALUE"""),"Bauang")</f>
        <v>Bauang</v>
      </c>
      <c r="I396" s="142" t="str">
        <f>IFERROR(__xludf.DUMMYFUNCTION("""COMPUTED_VALUE"""),"Burgos")</f>
        <v>Burgos</v>
      </c>
      <c r="J396" s="142" t="str">
        <f>IFERROR(__xludf.DUMMYFUNCTION("""COMPUTED_VALUE"""),"Caba")</f>
        <v>Caba</v>
      </c>
      <c r="K396" s="142" t="str">
        <f>IFERROR(__xludf.DUMMYFUNCTION("""COMPUTED_VALUE"""),"Luna")</f>
        <v>Luna</v>
      </c>
      <c r="L396" s="142" t="str">
        <f>IFERROR(__xludf.DUMMYFUNCTION("""COMPUTED_VALUE"""),"Naguilian")</f>
        <v>Naguilian</v>
      </c>
      <c r="M396" s="142" t="str">
        <f>IFERROR(__xludf.DUMMYFUNCTION("""COMPUTED_VALUE"""),"Pugo")</f>
        <v>Pugo</v>
      </c>
      <c r="N396" s="142" t="str">
        <f>IFERROR(__xludf.DUMMYFUNCTION("""COMPUTED_VALUE"""),"Rosario")</f>
        <v>Rosario</v>
      </c>
      <c r="O396" s="142" t="str">
        <f>IFERROR(__xludf.DUMMYFUNCTION("""COMPUTED_VALUE"""),"City of San Fernando")</f>
        <v>City of San Fernando</v>
      </c>
      <c r="P396" s="142" t="str">
        <f>IFERROR(__xludf.DUMMYFUNCTION("""COMPUTED_VALUE"""),"San Gabriel")</f>
        <v>San Gabriel</v>
      </c>
      <c r="Q396" s="142" t="str">
        <f>IFERROR(__xludf.DUMMYFUNCTION("""COMPUTED_VALUE"""),"San Juan")</f>
        <v>San Juan</v>
      </c>
      <c r="R396" s="142" t="str">
        <f>IFERROR(__xludf.DUMMYFUNCTION("""COMPUTED_VALUE"""),"Santo Tomas")</f>
        <v>Santo Tomas</v>
      </c>
      <c r="S396" s="142" t="str">
        <f>IFERROR(__xludf.DUMMYFUNCTION("""COMPUTED_VALUE"""),"Santol")</f>
        <v>Santol</v>
      </c>
      <c r="T396" s="142" t="str">
        <f>IFERROR(__xludf.DUMMYFUNCTION("""COMPUTED_VALUE"""),"Sudipen")</f>
        <v>Sudipen</v>
      </c>
      <c r="U396" s="142" t="str">
        <f>IFERROR(__xludf.DUMMYFUNCTION("""COMPUTED_VALUE"""),"Tubao")</f>
        <v>Tubao</v>
      </c>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row>
    <row r="397">
      <c r="A397" s="142" t="s">
        <v>438</v>
      </c>
      <c r="B397" s="142" t="str">
        <f>IFERROR(__xludf.DUMMYFUNCTION("""COMPUTED_VALUE"""),"Agoo")</f>
        <v>Agoo</v>
      </c>
      <c r="C397" s="142" t="str">
        <f>IFERROR(__xludf.DUMMYFUNCTION("""COMPUTED_VALUE"""),"Aringay")</f>
        <v>Aringay</v>
      </c>
      <c r="D397" s="142" t="str">
        <f>IFERROR(__xludf.DUMMYFUNCTION("""COMPUTED_VALUE"""),"Bacnotan")</f>
        <v>Bacnotan</v>
      </c>
      <c r="E397" s="142" t="str">
        <f>IFERROR(__xludf.DUMMYFUNCTION("""COMPUTED_VALUE"""),"Bagulin")</f>
        <v>Bagulin</v>
      </c>
      <c r="F397" s="142" t="str">
        <f>IFERROR(__xludf.DUMMYFUNCTION("""COMPUTED_VALUE"""),"Balaoan")</f>
        <v>Balaoan</v>
      </c>
      <c r="G397" s="142" t="str">
        <f>IFERROR(__xludf.DUMMYFUNCTION("""COMPUTED_VALUE"""),"Bangar")</f>
        <v>Bangar</v>
      </c>
      <c r="H397" s="142" t="str">
        <f>IFERROR(__xludf.DUMMYFUNCTION("""COMPUTED_VALUE"""),"Bauang")</f>
        <v>Bauang</v>
      </c>
      <c r="I397" s="142" t="str">
        <f>IFERROR(__xludf.DUMMYFUNCTION("""COMPUTED_VALUE"""),"Burgos")</f>
        <v>Burgos</v>
      </c>
      <c r="J397" s="142" t="str">
        <f>IFERROR(__xludf.DUMMYFUNCTION("""COMPUTED_VALUE"""),"Caba")</f>
        <v>Caba</v>
      </c>
      <c r="K397" s="142" t="str">
        <f>IFERROR(__xludf.DUMMYFUNCTION("""COMPUTED_VALUE"""),"Luna")</f>
        <v>Luna</v>
      </c>
      <c r="L397" s="142" t="str">
        <f>IFERROR(__xludf.DUMMYFUNCTION("""COMPUTED_VALUE"""),"Naguilian")</f>
        <v>Naguilian</v>
      </c>
      <c r="M397" s="142" t="str">
        <f>IFERROR(__xludf.DUMMYFUNCTION("""COMPUTED_VALUE"""),"Pugo")</f>
        <v>Pugo</v>
      </c>
      <c r="N397" s="142" t="str">
        <f>IFERROR(__xludf.DUMMYFUNCTION("""COMPUTED_VALUE"""),"Rosario")</f>
        <v>Rosario</v>
      </c>
      <c r="O397" s="142" t="str">
        <f>IFERROR(__xludf.DUMMYFUNCTION("""COMPUTED_VALUE"""),"City of San Fernando")</f>
        <v>City of San Fernando</v>
      </c>
      <c r="P397" s="142" t="str">
        <f>IFERROR(__xludf.DUMMYFUNCTION("""COMPUTED_VALUE"""),"San Gabriel")</f>
        <v>San Gabriel</v>
      </c>
      <c r="Q397" s="142" t="str">
        <f>IFERROR(__xludf.DUMMYFUNCTION("""COMPUTED_VALUE"""),"San Juan")</f>
        <v>San Juan</v>
      </c>
      <c r="R397" s="142" t="str">
        <f>IFERROR(__xludf.DUMMYFUNCTION("""COMPUTED_VALUE"""),"Santo Tomas")</f>
        <v>Santo Tomas</v>
      </c>
      <c r="S397" s="142" t="str">
        <f>IFERROR(__xludf.DUMMYFUNCTION("""COMPUTED_VALUE"""),"Santol")</f>
        <v>Santol</v>
      </c>
      <c r="T397" s="142" t="str">
        <f>IFERROR(__xludf.DUMMYFUNCTION("""COMPUTED_VALUE"""),"Sudipen")</f>
        <v>Sudipen</v>
      </c>
      <c r="U397" s="142" t="str">
        <f>IFERROR(__xludf.DUMMYFUNCTION("""COMPUTED_VALUE"""),"Tubao")</f>
        <v>Tubao</v>
      </c>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row>
    <row r="398">
      <c r="A398" s="142" t="s">
        <v>144</v>
      </c>
      <c r="B398" s="142" t="str">
        <f>IFERROR(__xludf.DUMMYFUNCTION("""COMPUTED_VALUE"""),"Agno")</f>
        <v>Agno</v>
      </c>
      <c r="C398" s="142" t="str">
        <f>IFERROR(__xludf.DUMMYFUNCTION("""COMPUTED_VALUE"""),"Aguilar")</f>
        <v>Aguilar</v>
      </c>
      <c r="D398" s="142" t="str">
        <f>IFERROR(__xludf.DUMMYFUNCTION("""COMPUTED_VALUE"""),"City of Alaminos")</f>
        <v>City of Alaminos</v>
      </c>
      <c r="E398" s="142" t="str">
        <f>IFERROR(__xludf.DUMMYFUNCTION("""COMPUTED_VALUE"""),"Alcala")</f>
        <v>Alcala</v>
      </c>
      <c r="F398" s="142" t="str">
        <f>IFERROR(__xludf.DUMMYFUNCTION("""COMPUTED_VALUE"""),"Anda")</f>
        <v>Anda</v>
      </c>
      <c r="G398" s="142" t="str">
        <f>IFERROR(__xludf.DUMMYFUNCTION("""COMPUTED_VALUE"""),"Asingan")</f>
        <v>Asingan</v>
      </c>
      <c r="H398" s="142" t="str">
        <f>IFERROR(__xludf.DUMMYFUNCTION("""COMPUTED_VALUE"""),"Balungao")</f>
        <v>Balungao</v>
      </c>
      <c r="I398" s="142" t="str">
        <f>IFERROR(__xludf.DUMMYFUNCTION("""COMPUTED_VALUE"""),"Bani")</f>
        <v>Bani</v>
      </c>
      <c r="J398" s="142" t="str">
        <f>IFERROR(__xludf.DUMMYFUNCTION("""COMPUTED_VALUE"""),"Basista")</f>
        <v>Basista</v>
      </c>
      <c r="K398" s="142" t="str">
        <f>IFERROR(__xludf.DUMMYFUNCTION("""COMPUTED_VALUE"""),"Bautista")</f>
        <v>Bautista</v>
      </c>
      <c r="L398" s="142" t="str">
        <f>IFERROR(__xludf.DUMMYFUNCTION("""COMPUTED_VALUE"""),"Bayambang")</f>
        <v>Bayambang</v>
      </c>
      <c r="M398" s="142" t="str">
        <f>IFERROR(__xludf.DUMMYFUNCTION("""COMPUTED_VALUE"""),"Binalonan")</f>
        <v>Binalonan</v>
      </c>
      <c r="N398" s="142" t="str">
        <f>IFERROR(__xludf.DUMMYFUNCTION("""COMPUTED_VALUE"""),"Binmaley")</f>
        <v>Binmaley</v>
      </c>
      <c r="O398" s="142" t="str">
        <f>IFERROR(__xludf.DUMMYFUNCTION("""COMPUTED_VALUE"""),"Bolinao")</f>
        <v>Bolinao</v>
      </c>
      <c r="P398" s="142" t="str">
        <f>IFERROR(__xludf.DUMMYFUNCTION("""COMPUTED_VALUE"""),"Bugallon")</f>
        <v>Bugallon</v>
      </c>
      <c r="Q398" s="142" t="str">
        <f>IFERROR(__xludf.DUMMYFUNCTION("""COMPUTED_VALUE"""),"Burgos")</f>
        <v>Burgos</v>
      </c>
      <c r="R398" s="142" t="str">
        <f>IFERROR(__xludf.DUMMYFUNCTION("""COMPUTED_VALUE"""),"Calasiao")</f>
        <v>Calasiao</v>
      </c>
      <c r="S398" s="142" t="str">
        <f>IFERROR(__xludf.DUMMYFUNCTION("""COMPUTED_VALUE"""),"City of Dagupan")</f>
        <v>City of Dagupan</v>
      </c>
      <c r="T398" s="142" t="str">
        <f>IFERROR(__xludf.DUMMYFUNCTION("""COMPUTED_VALUE"""),"Dasol")</f>
        <v>Dasol</v>
      </c>
      <c r="U398" s="142" t="str">
        <f>IFERROR(__xludf.DUMMYFUNCTION("""COMPUTED_VALUE"""),"Infanta")</f>
        <v>Infanta</v>
      </c>
      <c r="V398" s="142" t="str">
        <f>IFERROR(__xludf.DUMMYFUNCTION("""COMPUTED_VALUE"""),"Labrador")</f>
        <v>Labrador</v>
      </c>
      <c r="W398" s="142" t="str">
        <f>IFERROR(__xludf.DUMMYFUNCTION("""COMPUTED_VALUE"""),"Lingayen")</f>
        <v>Lingayen</v>
      </c>
      <c r="X398" s="142" t="str">
        <f>IFERROR(__xludf.DUMMYFUNCTION("""COMPUTED_VALUE"""),"Mabini")</f>
        <v>Mabini</v>
      </c>
      <c r="Y398" s="142" t="str">
        <f>IFERROR(__xludf.DUMMYFUNCTION("""COMPUTED_VALUE"""),"Malasiqui")</f>
        <v>Malasiqui</v>
      </c>
      <c r="Z398" s="142" t="str">
        <f>IFERROR(__xludf.DUMMYFUNCTION("""COMPUTED_VALUE"""),"Manaoag")</f>
        <v>Manaoag</v>
      </c>
      <c r="AA398" s="142" t="str">
        <f>IFERROR(__xludf.DUMMYFUNCTION("""COMPUTED_VALUE"""),"Mangaldan")</f>
        <v>Mangaldan</v>
      </c>
      <c r="AB398" s="142" t="str">
        <f>IFERROR(__xludf.DUMMYFUNCTION("""COMPUTED_VALUE"""),"Mangatarem")</f>
        <v>Mangatarem</v>
      </c>
      <c r="AC398" s="142" t="str">
        <f>IFERROR(__xludf.DUMMYFUNCTION("""COMPUTED_VALUE"""),"Mapandan")</f>
        <v>Mapandan</v>
      </c>
      <c r="AD398" s="142" t="str">
        <f>IFERROR(__xludf.DUMMYFUNCTION("""COMPUTED_VALUE"""),"Natividad")</f>
        <v>Natividad</v>
      </c>
      <c r="AE398" s="142" t="str">
        <f>IFERROR(__xludf.DUMMYFUNCTION("""COMPUTED_VALUE"""),"Pozorrubio")</f>
        <v>Pozorrubio</v>
      </c>
      <c r="AF398" s="142" t="str">
        <f>IFERROR(__xludf.DUMMYFUNCTION("""COMPUTED_VALUE"""),"Rosales")</f>
        <v>Rosales</v>
      </c>
      <c r="AG398" s="142" t="str">
        <f>IFERROR(__xludf.DUMMYFUNCTION("""COMPUTED_VALUE"""),"City of San Carlos")</f>
        <v>City of San Carlos</v>
      </c>
      <c r="AH398" s="142" t="str">
        <f>IFERROR(__xludf.DUMMYFUNCTION("""COMPUTED_VALUE"""),"San Fabian")</f>
        <v>San Fabian</v>
      </c>
      <c r="AI398" s="142" t="str">
        <f>IFERROR(__xludf.DUMMYFUNCTION("""COMPUTED_VALUE"""),"San Jacinto")</f>
        <v>San Jacinto</v>
      </c>
      <c r="AJ398" s="142" t="str">
        <f>IFERROR(__xludf.DUMMYFUNCTION("""COMPUTED_VALUE"""),"San Manuel")</f>
        <v>San Manuel</v>
      </c>
      <c r="AK398" s="142" t="str">
        <f>IFERROR(__xludf.DUMMYFUNCTION("""COMPUTED_VALUE"""),"San Nicolas")</f>
        <v>San Nicolas</v>
      </c>
      <c r="AL398" s="142" t="str">
        <f>IFERROR(__xludf.DUMMYFUNCTION("""COMPUTED_VALUE"""),"San Quintin")</f>
        <v>San Quintin</v>
      </c>
      <c r="AM398" s="142" t="str">
        <f>IFERROR(__xludf.DUMMYFUNCTION("""COMPUTED_VALUE"""),"Santa Barbara")</f>
        <v>Santa Barbara</v>
      </c>
      <c r="AN398" s="142" t="str">
        <f>IFERROR(__xludf.DUMMYFUNCTION("""COMPUTED_VALUE"""),"Santa Maria")</f>
        <v>Santa Maria</v>
      </c>
      <c r="AO398" s="142" t="str">
        <f>IFERROR(__xludf.DUMMYFUNCTION("""COMPUTED_VALUE"""),"Santo Tomas")</f>
        <v>Santo Tomas</v>
      </c>
      <c r="AP398" s="142" t="str">
        <f>IFERROR(__xludf.DUMMYFUNCTION("""COMPUTED_VALUE"""),"Sison")</f>
        <v>Sison</v>
      </c>
      <c r="AQ398" s="142" t="str">
        <f>IFERROR(__xludf.DUMMYFUNCTION("""COMPUTED_VALUE"""),"Sual")</f>
        <v>Sual</v>
      </c>
      <c r="AR398" s="142" t="str">
        <f>IFERROR(__xludf.DUMMYFUNCTION("""COMPUTED_VALUE"""),"Tayug")</f>
        <v>Tayug</v>
      </c>
      <c r="AS398" s="142" t="str">
        <f>IFERROR(__xludf.DUMMYFUNCTION("""COMPUTED_VALUE"""),"Umingan")</f>
        <v>Umingan</v>
      </c>
      <c r="AT398" s="142" t="str">
        <f>IFERROR(__xludf.DUMMYFUNCTION("""COMPUTED_VALUE"""),"Urbiztondo")</f>
        <v>Urbiztondo</v>
      </c>
      <c r="AU398" s="142" t="str">
        <f>IFERROR(__xludf.DUMMYFUNCTION("""COMPUTED_VALUE"""),"City of Urdaneta")</f>
        <v>City of Urdaneta</v>
      </c>
      <c r="AV398" s="142" t="str">
        <f>IFERROR(__xludf.DUMMYFUNCTION("""COMPUTED_VALUE"""),"Villasis")</f>
        <v>Villasis</v>
      </c>
      <c r="AW398" s="142" t="str">
        <f>IFERROR(__xludf.DUMMYFUNCTION("""COMPUTED_VALUE"""),"Laoac")</f>
        <v>Laoac</v>
      </c>
      <c r="AX398" s="8"/>
      <c r="AY398" s="8"/>
      <c r="AZ398" s="8"/>
      <c r="BA398" s="8"/>
      <c r="BB398" s="8"/>
      <c r="BC398" s="8"/>
      <c r="BD398" s="8"/>
      <c r="BE398" s="8"/>
    </row>
    <row r="399">
      <c r="A399" s="142" t="s">
        <v>144</v>
      </c>
      <c r="B399" s="142" t="str">
        <f>IFERROR(__xludf.DUMMYFUNCTION("""COMPUTED_VALUE"""),"Agno")</f>
        <v>Agno</v>
      </c>
      <c r="C399" s="142" t="str">
        <f>IFERROR(__xludf.DUMMYFUNCTION("""COMPUTED_VALUE"""),"Aguilar")</f>
        <v>Aguilar</v>
      </c>
      <c r="D399" s="142" t="str">
        <f>IFERROR(__xludf.DUMMYFUNCTION("""COMPUTED_VALUE"""),"City of Alaminos")</f>
        <v>City of Alaminos</v>
      </c>
      <c r="E399" s="142" t="str">
        <f>IFERROR(__xludf.DUMMYFUNCTION("""COMPUTED_VALUE"""),"Alcala")</f>
        <v>Alcala</v>
      </c>
      <c r="F399" s="142" t="str">
        <f>IFERROR(__xludf.DUMMYFUNCTION("""COMPUTED_VALUE"""),"Anda")</f>
        <v>Anda</v>
      </c>
      <c r="G399" s="142" t="str">
        <f>IFERROR(__xludf.DUMMYFUNCTION("""COMPUTED_VALUE"""),"Asingan")</f>
        <v>Asingan</v>
      </c>
      <c r="H399" s="142" t="str">
        <f>IFERROR(__xludf.DUMMYFUNCTION("""COMPUTED_VALUE"""),"Balungao")</f>
        <v>Balungao</v>
      </c>
      <c r="I399" s="142" t="str">
        <f>IFERROR(__xludf.DUMMYFUNCTION("""COMPUTED_VALUE"""),"Bani")</f>
        <v>Bani</v>
      </c>
      <c r="J399" s="142" t="str">
        <f>IFERROR(__xludf.DUMMYFUNCTION("""COMPUTED_VALUE"""),"Basista")</f>
        <v>Basista</v>
      </c>
      <c r="K399" s="142" t="str">
        <f>IFERROR(__xludf.DUMMYFUNCTION("""COMPUTED_VALUE"""),"Bautista")</f>
        <v>Bautista</v>
      </c>
      <c r="L399" s="142" t="str">
        <f>IFERROR(__xludf.DUMMYFUNCTION("""COMPUTED_VALUE"""),"Bayambang")</f>
        <v>Bayambang</v>
      </c>
      <c r="M399" s="142" t="str">
        <f>IFERROR(__xludf.DUMMYFUNCTION("""COMPUTED_VALUE"""),"Binalonan")</f>
        <v>Binalonan</v>
      </c>
      <c r="N399" s="142" t="str">
        <f>IFERROR(__xludf.DUMMYFUNCTION("""COMPUTED_VALUE"""),"Binmaley")</f>
        <v>Binmaley</v>
      </c>
      <c r="O399" s="142" t="str">
        <f>IFERROR(__xludf.DUMMYFUNCTION("""COMPUTED_VALUE"""),"Bolinao")</f>
        <v>Bolinao</v>
      </c>
      <c r="P399" s="142" t="str">
        <f>IFERROR(__xludf.DUMMYFUNCTION("""COMPUTED_VALUE"""),"Bugallon")</f>
        <v>Bugallon</v>
      </c>
      <c r="Q399" s="142" t="str">
        <f>IFERROR(__xludf.DUMMYFUNCTION("""COMPUTED_VALUE"""),"Burgos")</f>
        <v>Burgos</v>
      </c>
      <c r="R399" s="142" t="str">
        <f>IFERROR(__xludf.DUMMYFUNCTION("""COMPUTED_VALUE"""),"Calasiao")</f>
        <v>Calasiao</v>
      </c>
      <c r="S399" s="142" t="str">
        <f>IFERROR(__xludf.DUMMYFUNCTION("""COMPUTED_VALUE"""),"City of Dagupan")</f>
        <v>City of Dagupan</v>
      </c>
      <c r="T399" s="142" t="str">
        <f>IFERROR(__xludf.DUMMYFUNCTION("""COMPUTED_VALUE"""),"Dasol")</f>
        <v>Dasol</v>
      </c>
      <c r="U399" s="142" t="str">
        <f>IFERROR(__xludf.DUMMYFUNCTION("""COMPUTED_VALUE"""),"Infanta")</f>
        <v>Infanta</v>
      </c>
      <c r="V399" s="142" t="str">
        <f>IFERROR(__xludf.DUMMYFUNCTION("""COMPUTED_VALUE"""),"Labrador")</f>
        <v>Labrador</v>
      </c>
      <c r="W399" s="142" t="str">
        <f>IFERROR(__xludf.DUMMYFUNCTION("""COMPUTED_VALUE"""),"Lingayen")</f>
        <v>Lingayen</v>
      </c>
      <c r="X399" s="142" t="str">
        <f>IFERROR(__xludf.DUMMYFUNCTION("""COMPUTED_VALUE"""),"Mabini")</f>
        <v>Mabini</v>
      </c>
      <c r="Y399" s="142" t="str">
        <f>IFERROR(__xludf.DUMMYFUNCTION("""COMPUTED_VALUE"""),"Malasiqui")</f>
        <v>Malasiqui</v>
      </c>
      <c r="Z399" s="142" t="str">
        <f>IFERROR(__xludf.DUMMYFUNCTION("""COMPUTED_VALUE"""),"Manaoag")</f>
        <v>Manaoag</v>
      </c>
      <c r="AA399" s="142" t="str">
        <f>IFERROR(__xludf.DUMMYFUNCTION("""COMPUTED_VALUE"""),"Mangaldan")</f>
        <v>Mangaldan</v>
      </c>
      <c r="AB399" s="142" t="str">
        <f>IFERROR(__xludf.DUMMYFUNCTION("""COMPUTED_VALUE"""),"Mangatarem")</f>
        <v>Mangatarem</v>
      </c>
      <c r="AC399" s="142" t="str">
        <f>IFERROR(__xludf.DUMMYFUNCTION("""COMPUTED_VALUE"""),"Mapandan")</f>
        <v>Mapandan</v>
      </c>
      <c r="AD399" s="142" t="str">
        <f>IFERROR(__xludf.DUMMYFUNCTION("""COMPUTED_VALUE"""),"Natividad")</f>
        <v>Natividad</v>
      </c>
      <c r="AE399" s="142" t="str">
        <f>IFERROR(__xludf.DUMMYFUNCTION("""COMPUTED_VALUE"""),"Pozorrubio")</f>
        <v>Pozorrubio</v>
      </c>
      <c r="AF399" s="142" t="str">
        <f>IFERROR(__xludf.DUMMYFUNCTION("""COMPUTED_VALUE"""),"Rosales")</f>
        <v>Rosales</v>
      </c>
      <c r="AG399" s="142" t="str">
        <f>IFERROR(__xludf.DUMMYFUNCTION("""COMPUTED_VALUE"""),"City of San Carlos")</f>
        <v>City of San Carlos</v>
      </c>
      <c r="AH399" s="142" t="str">
        <f>IFERROR(__xludf.DUMMYFUNCTION("""COMPUTED_VALUE"""),"San Fabian")</f>
        <v>San Fabian</v>
      </c>
      <c r="AI399" s="142" t="str">
        <f>IFERROR(__xludf.DUMMYFUNCTION("""COMPUTED_VALUE"""),"San Jacinto")</f>
        <v>San Jacinto</v>
      </c>
      <c r="AJ399" s="142" t="str">
        <f>IFERROR(__xludf.DUMMYFUNCTION("""COMPUTED_VALUE"""),"San Manuel")</f>
        <v>San Manuel</v>
      </c>
      <c r="AK399" s="142" t="str">
        <f>IFERROR(__xludf.DUMMYFUNCTION("""COMPUTED_VALUE"""),"San Nicolas")</f>
        <v>San Nicolas</v>
      </c>
      <c r="AL399" s="142" t="str">
        <f>IFERROR(__xludf.DUMMYFUNCTION("""COMPUTED_VALUE"""),"San Quintin")</f>
        <v>San Quintin</v>
      </c>
      <c r="AM399" s="142" t="str">
        <f>IFERROR(__xludf.DUMMYFUNCTION("""COMPUTED_VALUE"""),"Santa Barbara")</f>
        <v>Santa Barbara</v>
      </c>
      <c r="AN399" s="142" t="str">
        <f>IFERROR(__xludf.DUMMYFUNCTION("""COMPUTED_VALUE"""),"Santa Maria")</f>
        <v>Santa Maria</v>
      </c>
      <c r="AO399" s="142" t="str">
        <f>IFERROR(__xludf.DUMMYFUNCTION("""COMPUTED_VALUE"""),"Santo Tomas")</f>
        <v>Santo Tomas</v>
      </c>
      <c r="AP399" s="142" t="str">
        <f>IFERROR(__xludf.DUMMYFUNCTION("""COMPUTED_VALUE"""),"Sison")</f>
        <v>Sison</v>
      </c>
      <c r="AQ399" s="142" t="str">
        <f>IFERROR(__xludf.DUMMYFUNCTION("""COMPUTED_VALUE"""),"Sual")</f>
        <v>Sual</v>
      </c>
      <c r="AR399" s="142" t="str">
        <f>IFERROR(__xludf.DUMMYFUNCTION("""COMPUTED_VALUE"""),"Tayug")</f>
        <v>Tayug</v>
      </c>
      <c r="AS399" s="142" t="str">
        <f>IFERROR(__xludf.DUMMYFUNCTION("""COMPUTED_VALUE"""),"Umingan")</f>
        <v>Umingan</v>
      </c>
      <c r="AT399" s="142" t="str">
        <f>IFERROR(__xludf.DUMMYFUNCTION("""COMPUTED_VALUE"""),"Urbiztondo")</f>
        <v>Urbiztondo</v>
      </c>
      <c r="AU399" s="142" t="str">
        <f>IFERROR(__xludf.DUMMYFUNCTION("""COMPUTED_VALUE"""),"City of Urdaneta")</f>
        <v>City of Urdaneta</v>
      </c>
      <c r="AV399" s="142" t="str">
        <f>IFERROR(__xludf.DUMMYFUNCTION("""COMPUTED_VALUE"""),"Villasis")</f>
        <v>Villasis</v>
      </c>
      <c r="AW399" s="142" t="str">
        <f>IFERROR(__xludf.DUMMYFUNCTION("""COMPUTED_VALUE"""),"Laoac")</f>
        <v>Laoac</v>
      </c>
      <c r="AX399" s="8"/>
      <c r="AY399" s="8"/>
      <c r="AZ399" s="8"/>
      <c r="BA399" s="8"/>
      <c r="BB399" s="8"/>
      <c r="BC399" s="8"/>
      <c r="BD399" s="8"/>
      <c r="BE399" s="8"/>
    </row>
    <row r="400">
      <c r="A400" s="142" t="s">
        <v>258</v>
      </c>
      <c r="B400" s="142" t="str">
        <f>IFERROR(__xludf.DUMMYFUNCTION("""COMPUTED_VALUE"""),"Agoncillo")</f>
        <v>Agoncillo</v>
      </c>
      <c r="C400" s="142" t="str">
        <f>IFERROR(__xludf.DUMMYFUNCTION("""COMPUTED_VALUE"""),"Alitagtag")</f>
        <v>Alitagtag</v>
      </c>
      <c r="D400" s="142" t="str">
        <f>IFERROR(__xludf.DUMMYFUNCTION("""COMPUTED_VALUE"""),"Balayan")</f>
        <v>Balayan</v>
      </c>
      <c r="E400" s="142" t="str">
        <f>IFERROR(__xludf.DUMMYFUNCTION("""COMPUTED_VALUE"""),"Balete")</f>
        <v>Balete</v>
      </c>
      <c r="F400" s="142" t="str">
        <f>IFERROR(__xludf.DUMMYFUNCTION("""COMPUTED_VALUE"""),"Batangas City")</f>
        <v>Batangas City</v>
      </c>
      <c r="G400" s="142" t="str">
        <f>IFERROR(__xludf.DUMMYFUNCTION("""COMPUTED_VALUE"""),"Bauan")</f>
        <v>Bauan</v>
      </c>
      <c r="H400" s="142" t="str">
        <f>IFERROR(__xludf.DUMMYFUNCTION("""COMPUTED_VALUE"""),"City of Calaca")</f>
        <v>City of Calaca</v>
      </c>
      <c r="I400" s="142" t="str">
        <f>IFERROR(__xludf.DUMMYFUNCTION("""COMPUTED_VALUE"""),"Calatagan")</f>
        <v>Calatagan</v>
      </c>
      <c r="J400" s="142" t="str">
        <f>IFERROR(__xludf.DUMMYFUNCTION("""COMPUTED_VALUE"""),"Cuenca")</f>
        <v>Cuenca</v>
      </c>
      <c r="K400" s="142" t="str">
        <f>IFERROR(__xludf.DUMMYFUNCTION("""COMPUTED_VALUE"""),"Ibaan")</f>
        <v>Ibaan</v>
      </c>
      <c r="L400" s="142" t="str">
        <f>IFERROR(__xludf.DUMMYFUNCTION("""COMPUTED_VALUE"""),"Laurel")</f>
        <v>Laurel</v>
      </c>
      <c r="M400" s="142" t="str">
        <f>IFERROR(__xludf.DUMMYFUNCTION("""COMPUTED_VALUE"""),"Lemery")</f>
        <v>Lemery</v>
      </c>
      <c r="N400" s="142" t="str">
        <f>IFERROR(__xludf.DUMMYFUNCTION("""COMPUTED_VALUE"""),"Lian")</f>
        <v>Lian</v>
      </c>
      <c r="O400" s="142" t="str">
        <f>IFERROR(__xludf.DUMMYFUNCTION("""COMPUTED_VALUE"""),"City of Lipa")</f>
        <v>City of Lipa</v>
      </c>
      <c r="P400" s="142" t="str">
        <f>IFERROR(__xludf.DUMMYFUNCTION("""COMPUTED_VALUE"""),"Lobo")</f>
        <v>Lobo</v>
      </c>
      <c r="Q400" s="142" t="str">
        <f>IFERROR(__xludf.DUMMYFUNCTION("""COMPUTED_VALUE"""),"Mabini")</f>
        <v>Mabini</v>
      </c>
      <c r="R400" s="142" t="str">
        <f>IFERROR(__xludf.DUMMYFUNCTION("""COMPUTED_VALUE"""),"Malvar")</f>
        <v>Malvar</v>
      </c>
      <c r="S400" s="142" t="str">
        <f>IFERROR(__xludf.DUMMYFUNCTION("""COMPUTED_VALUE"""),"Mataasnakahoy")</f>
        <v>Mataasnakahoy</v>
      </c>
      <c r="T400" s="142" t="str">
        <f>IFERROR(__xludf.DUMMYFUNCTION("""COMPUTED_VALUE"""),"Nasugbu")</f>
        <v>Nasugbu</v>
      </c>
      <c r="U400" s="142" t="str">
        <f>IFERROR(__xludf.DUMMYFUNCTION("""COMPUTED_VALUE"""),"Padre Garcia")</f>
        <v>Padre Garcia</v>
      </c>
      <c r="V400" s="142" t="str">
        <f>IFERROR(__xludf.DUMMYFUNCTION("""COMPUTED_VALUE"""),"Rosario")</f>
        <v>Rosario</v>
      </c>
      <c r="W400" s="142" t="str">
        <f>IFERROR(__xludf.DUMMYFUNCTION("""COMPUTED_VALUE"""),"San Jose")</f>
        <v>San Jose</v>
      </c>
      <c r="X400" s="142" t="str">
        <f>IFERROR(__xludf.DUMMYFUNCTION("""COMPUTED_VALUE"""),"San Juan")</f>
        <v>San Juan</v>
      </c>
      <c r="Y400" s="142" t="str">
        <f>IFERROR(__xludf.DUMMYFUNCTION("""COMPUTED_VALUE"""),"San Luis")</f>
        <v>San Luis</v>
      </c>
      <c r="Z400" s="142" t="str">
        <f>IFERROR(__xludf.DUMMYFUNCTION("""COMPUTED_VALUE"""),"San Nicolas")</f>
        <v>San Nicolas</v>
      </c>
      <c r="AA400" s="142" t="str">
        <f>IFERROR(__xludf.DUMMYFUNCTION("""COMPUTED_VALUE"""),"San Pascual")</f>
        <v>San Pascual</v>
      </c>
      <c r="AB400" s="142" t="str">
        <f>IFERROR(__xludf.DUMMYFUNCTION("""COMPUTED_VALUE"""),"Santa Teresita")</f>
        <v>Santa Teresita</v>
      </c>
      <c r="AC400" s="142" t="str">
        <f>IFERROR(__xludf.DUMMYFUNCTION("""COMPUTED_VALUE"""),"City of Sto. Tomas")</f>
        <v>City of Sto. Tomas</v>
      </c>
      <c r="AD400" s="142" t="str">
        <f>IFERROR(__xludf.DUMMYFUNCTION("""COMPUTED_VALUE"""),"Taal")</f>
        <v>Taal</v>
      </c>
      <c r="AE400" s="142" t="str">
        <f>IFERROR(__xludf.DUMMYFUNCTION("""COMPUTED_VALUE"""),"Talisay")</f>
        <v>Talisay</v>
      </c>
      <c r="AF400" s="142" t="str">
        <f>IFERROR(__xludf.DUMMYFUNCTION("""COMPUTED_VALUE"""),"City of Tanauan")</f>
        <v>City of Tanauan</v>
      </c>
      <c r="AG400" s="142" t="str">
        <f>IFERROR(__xludf.DUMMYFUNCTION("""COMPUTED_VALUE"""),"Taysan")</f>
        <v>Taysan</v>
      </c>
      <c r="AH400" s="142" t="str">
        <f>IFERROR(__xludf.DUMMYFUNCTION("""COMPUTED_VALUE"""),"Tingloy")</f>
        <v>Tingloy</v>
      </c>
      <c r="AI400" s="142" t="str">
        <f>IFERROR(__xludf.DUMMYFUNCTION("""COMPUTED_VALUE"""),"Tuy")</f>
        <v>Tuy</v>
      </c>
      <c r="AJ400" s="8"/>
      <c r="AK400" s="8"/>
      <c r="AL400" s="8"/>
      <c r="AM400" s="8"/>
      <c r="AN400" s="8"/>
      <c r="AO400" s="8"/>
      <c r="AP400" s="8"/>
      <c r="AQ400" s="8"/>
      <c r="AR400" s="8"/>
      <c r="AS400" s="8"/>
      <c r="AT400" s="8"/>
      <c r="AU400" s="8"/>
      <c r="AV400" s="8"/>
      <c r="AW400" s="8"/>
      <c r="AX400" s="8"/>
      <c r="AY400" s="8"/>
      <c r="AZ400" s="8"/>
      <c r="BA400" s="8"/>
      <c r="BB400" s="8"/>
      <c r="BC400" s="8"/>
      <c r="BD400" s="8"/>
      <c r="BE400" s="8"/>
    </row>
    <row r="401">
      <c r="A401" s="142" t="s">
        <v>258</v>
      </c>
      <c r="B401" s="142" t="str">
        <f>IFERROR(__xludf.DUMMYFUNCTION("""COMPUTED_VALUE"""),"Agoncillo")</f>
        <v>Agoncillo</v>
      </c>
      <c r="C401" s="142" t="str">
        <f>IFERROR(__xludf.DUMMYFUNCTION("""COMPUTED_VALUE"""),"Alitagtag")</f>
        <v>Alitagtag</v>
      </c>
      <c r="D401" s="142" t="str">
        <f>IFERROR(__xludf.DUMMYFUNCTION("""COMPUTED_VALUE"""),"Balayan")</f>
        <v>Balayan</v>
      </c>
      <c r="E401" s="142" t="str">
        <f>IFERROR(__xludf.DUMMYFUNCTION("""COMPUTED_VALUE"""),"Balete")</f>
        <v>Balete</v>
      </c>
      <c r="F401" s="142" t="str">
        <f>IFERROR(__xludf.DUMMYFUNCTION("""COMPUTED_VALUE"""),"Batangas City")</f>
        <v>Batangas City</v>
      </c>
      <c r="G401" s="142" t="str">
        <f>IFERROR(__xludf.DUMMYFUNCTION("""COMPUTED_VALUE"""),"Bauan")</f>
        <v>Bauan</v>
      </c>
      <c r="H401" s="142" t="str">
        <f>IFERROR(__xludf.DUMMYFUNCTION("""COMPUTED_VALUE"""),"City of Calaca")</f>
        <v>City of Calaca</v>
      </c>
      <c r="I401" s="142" t="str">
        <f>IFERROR(__xludf.DUMMYFUNCTION("""COMPUTED_VALUE"""),"Calatagan")</f>
        <v>Calatagan</v>
      </c>
      <c r="J401" s="142" t="str">
        <f>IFERROR(__xludf.DUMMYFUNCTION("""COMPUTED_VALUE"""),"Cuenca")</f>
        <v>Cuenca</v>
      </c>
      <c r="K401" s="142" t="str">
        <f>IFERROR(__xludf.DUMMYFUNCTION("""COMPUTED_VALUE"""),"Ibaan")</f>
        <v>Ibaan</v>
      </c>
      <c r="L401" s="142" t="str">
        <f>IFERROR(__xludf.DUMMYFUNCTION("""COMPUTED_VALUE"""),"Laurel")</f>
        <v>Laurel</v>
      </c>
      <c r="M401" s="142" t="str">
        <f>IFERROR(__xludf.DUMMYFUNCTION("""COMPUTED_VALUE"""),"Lemery")</f>
        <v>Lemery</v>
      </c>
      <c r="N401" s="142" t="str">
        <f>IFERROR(__xludf.DUMMYFUNCTION("""COMPUTED_VALUE"""),"Lian")</f>
        <v>Lian</v>
      </c>
      <c r="O401" s="142" t="str">
        <f>IFERROR(__xludf.DUMMYFUNCTION("""COMPUTED_VALUE"""),"City of Lipa")</f>
        <v>City of Lipa</v>
      </c>
      <c r="P401" s="142" t="str">
        <f>IFERROR(__xludf.DUMMYFUNCTION("""COMPUTED_VALUE"""),"Lobo")</f>
        <v>Lobo</v>
      </c>
      <c r="Q401" s="142" t="str">
        <f>IFERROR(__xludf.DUMMYFUNCTION("""COMPUTED_VALUE"""),"Mabini")</f>
        <v>Mabini</v>
      </c>
      <c r="R401" s="142" t="str">
        <f>IFERROR(__xludf.DUMMYFUNCTION("""COMPUTED_VALUE"""),"Malvar")</f>
        <v>Malvar</v>
      </c>
      <c r="S401" s="142" t="str">
        <f>IFERROR(__xludf.DUMMYFUNCTION("""COMPUTED_VALUE"""),"Mataasnakahoy")</f>
        <v>Mataasnakahoy</v>
      </c>
      <c r="T401" s="142" t="str">
        <f>IFERROR(__xludf.DUMMYFUNCTION("""COMPUTED_VALUE"""),"Nasugbu")</f>
        <v>Nasugbu</v>
      </c>
      <c r="U401" s="142" t="str">
        <f>IFERROR(__xludf.DUMMYFUNCTION("""COMPUTED_VALUE"""),"Padre Garcia")</f>
        <v>Padre Garcia</v>
      </c>
      <c r="V401" s="142" t="str">
        <f>IFERROR(__xludf.DUMMYFUNCTION("""COMPUTED_VALUE"""),"Rosario")</f>
        <v>Rosario</v>
      </c>
      <c r="W401" s="142" t="str">
        <f>IFERROR(__xludf.DUMMYFUNCTION("""COMPUTED_VALUE"""),"San Jose")</f>
        <v>San Jose</v>
      </c>
      <c r="X401" s="142" t="str">
        <f>IFERROR(__xludf.DUMMYFUNCTION("""COMPUTED_VALUE"""),"San Juan")</f>
        <v>San Juan</v>
      </c>
      <c r="Y401" s="142" t="str">
        <f>IFERROR(__xludf.DUMMYFUNCTION("""COMPUTED_VALUE"""),"San Luis")</f>
        <v>San Luis</v>
      </c>
      <c r="Z401" s="142" t="str">
        <f>IFERROR(__xludf.DUMMYFUNCTION("""COMPUTED_VALUE"""),"San Nicolas")</f>
        <v>San Nicolas</v>
      </c>
      <c r="AA401" s="142" t="str">
        <f>IFERROR(__xludf.DUMMYFUNCTION("""COMPUTED_VALUE"""),"San Pascual")</f>
        <v>San Pascual</v>
      </c>
      <c r="AB401" s="142" t="str">
        <f>IFERROR(__xludf.DUMMYFUNCTION("""COMPUTED_VALUE"""),"Santa Teresita")</f>
        <v>Santa Teresita</v>
      </c>
      <c r="AC401" s="142" t="str">
        <f>IFERROR(__xludf.DUMMYFUNCTION("""COMPUTED_VALUE"""),"City of Sto. Tomas")</f>
        <v>City of Sto. Tomas</v>
      </c>
      <c r="AD401" s="142" t="str">
        <f>IFERROR(__xludf.DUMMYFUNCTION("""COMPUTED_VALUE"""),"Taal")</f>
        <v>Taal</v>
      </c>
      <c r="AE401" s="142" t="str">
        <f>IFERROR(__xludf.DUMMYFUNCTION("""COMPUTED_VALUE"""),"Talisay")</f>
        <v>Talisay</v>
      </c>
      <c r="AF401" s="142" t="str">
        <f>IFERROR(__xludf.DUMMYFUNCTION("""COMPUTED_VALUE"""),"City of Tanauan")</f>
        <v>City of Tanauan</v>
      </c>
      <c r="AG401" s="142" t="str">
        <f>IFERROR(__xludf.DUMMYFUNCTION("""COMPUTED_VALUE"""),"Taysan")</f>
        <v>Taysan</v>
      </c>
      <c r="AH401" s="142" t="str">
        <f>IFERROR(__xludf.DUMMYFUNCTION("""COMPUTED_VALUE"""),"Tingloy")</f>
        <v>Tingloy</v>
      </c>
      <c r="AI401" s="142" t="str">
        <f>IFERROR(__xludf.DUMMYFUNCTION("""COMPUTED_VALUE"""),"Tuy")</f>
        <v>Tuy</v>
      </c>
      <c r="AJ401" s="8"/>
      <c r="AK401" s="8"/>
      <c r="AL401" s="8"/>
      <c r="AM401" s="8"/>
      <c r="AN401" s="8"/>
      <c r="AO401" s="8"/>
      <c r="AP401" s="8"/>
      <c r="AQ401" s="8"/>
      <c r="AR401" s="8"/>
      <c r="AS401" s="8"/>
      <c r="AT401" s="8"/>
      <c r="AU401" s="8"/>
      <c r="AV401" s="8"/>
      <c r="AW401" s="8"/>
      <c r="AX401" s="8"/>
      <c r="AY401" s="8"/>
      <c r="AZ401" s="8"/>
      <c r="BA401" s="8"/>
      <c r="BB401" s="8"/>
      <c r="BC401" s="8"/>
      <c r="BD401" s="8"/>
      <c r="BE401" s="8"/>
    </row>
    <row r="402">
      <c r="A402" s="142" t="s">
        <v>258</v>
      </c>
      <c r="B402" s="142" t="str">
        <f>IFERROR(__xludf.DUMMYFUNCTION("""COMPUTED_VALUE"""),"Agoncillo")</f>
        <v>Agoncillo</v>
      </c>
      <c r="C402" s="142" t="str">
        <f>IFERROR(__xludf.DUMMYFUNCTION("""COMPUTED_VALUE"""),"Alitagtag")</f>
        <v>Alitagtag</v>
      </c>
      <c r="D402" s="142" t="str">
        <f>IFERROR(__xludf.DUMMYFUNCTION("""COMPUTED_VALUE"""),"Balayan")</f>
        <v>Balayan</v>
      </c>
      <c r="E402" s="142" t="str">
        <f>IFERROR(__xludf.DUMMYFUNCTION("""COMPUTED_VALUE"""),"Balete")</f>
        <v>Balete</v>
      </c>
      <c r="F402" s="142" t="str">
        <f>IFERROR(__xludf.DUMMYFUNCTION("""COMPUTED_VALUE"""),"Batangas City")</f>
        <v>Batangas City</v>
      </c>
      <c r="G402" s="142" t="str">
        <f>IFERROR(__xludf.DUMMYFUNCTION("""COMPUTED_VALUE"""),"Bauan")</f>
        <v>Bauan</v>
      </c>
      <c r="H402" s="142" t="str">
        <f>IFERROR(__xludf.DUMMYFUNCTION("""COMPUTED_VALUE"""),"City of Calaca")</f>
        <v>City of Calaca</v>
      </c>
      <c r="I402" s="142" t="str">
        <f>IFERROR(__xludf.DUMMYFUNCTION("""COMPUTED_VALUE"""),"Calatagan")</f>
        <v>Calatagan</v>
      </c>
      <c r="J402" s="142" t="str">
        <f>IFERROR(__xludf.DUMMYFUNCTION("""COMPUTED_VALUE"""),"Cuenca")</f>
        <v>Cuenca</v>
      </c>
      <c r="K402" s="142" t="str">
        <f>IFERROR(__xludf.DUMMYFUNCTION("""COMPUTED_VALUE"""),"Ibaan")</f>
        <v>Ibaan</v>
      </c>
      <c r="L402" s="142" t="str">
        <f>IFERROR(__xludf.DUMMYFUNCTION("""COMPUTED_VALUE"""),"Laurel")</f>
        <v>Laurel</v>
      </c>
      <c r="M402" s="142" t="str">
        <f>IFERROR(__xludf.DUMMYFUNCTION("""COMPUTED_VALUE"""),"Lemery")</f>
        <v>Lemery</v>
      </c>
      <c r="N402" s="142" t="str">
        <f>IFERROR(__xludf.DUMMYFUNCTION("""COMPUTED_VALUE"""),"Lian")</f>
        <v>Lian</v>
      </c>
      <c r="O402" s="142" t="str">
        <f>IFERROR(__xludf.DUMMYFUNCTION("""COMPUTED_VALUE"""),"City of Lipa")</f>
        <v>City of Lipa</v>
      </c>
      <c r="P402" s="142" t="str">
        <f>IFERROR(__xludf.DUMMYFUNCTION("""COMPUTED_VALUE"""),"Lobo")</f>
        <v>Lobo</v>
      </c>
      <c r="Q402" s="142" t="str">
        <f>IFERROR(__xludf.DUMMYFUNCTION("""COMPUTED_VALUE"""),"Mabini")</f>
        <v>Mabini</v>
      </c>
      <c r="R402" s="142" t="str">
        <f>IFERROR(__xludf.DUMMYFUNCTION("""COMPUTED_VALUE"""),"Malvar")</f>
        <v>Malvar</v>
      </c>
      <c r="S402" s="142" t="str">
        <f>IFERROR(__xludf.DUMMYFUNCTION("""COMPUTED_VALUE"""),"Mataasnakahoy")</f>
        <v>Mataasnakahoy</v>
      </c>
      <c r="T402" s="142" t="str">
        <f>IFERROR(__xludf.DUMMYFUNCTION("""COMPUTED_VALUE"""),"Nasugbu")</f>
        <v>Nasugbu</v>
      </c>
      <c r="U402" s="142" t="str">
        <f>IFERROR(__xludf.DUMMYFUNCTION("""COMPUTED_VALUE"""),"Padre Garcia")</f>
        <v>Padre Garcia</v>
      </c>
      <c r="V402" s="142" t="str">
        <f>IFERROR(__xludf.DUMMYFUNCTION("""COMPUTED_VALUE"""),"Rosario")</f>
        <v>Rosario</v>
      </c>
      <c r="W402" s="142" t="str">
        <f>IFERROR(__xludf.DUMMYFUNCTION("""COMPUTED_VALUE"""),"San Jose")</f>
        <v>San Jose</v>
      </c>
      <c r="X402" s="142" t="str">
        <f>IFERROR(__xludf.DUMMYFUNCTION("""COMPUTED_VALUE"""),"San Juan")</f>
        <v>San Juan</v>
      </c>
      <c r="Y402" s="142" t="str">
        <f>IFERROR(__xludf.DUMMYFUNCTION("""COMPUTED_VALUE"""),"San Luis")</f>
        <v>San Luis</v>
      </c>
      <c r="Z402" s="142" t="str">
        <f>IFERROR(__xludf.DUMMYFUNCTION("""COMPUTED_VALUE"""),"San Nicolas")</f>
        <v>San Nicolas</v>
      </c>
      <c r="AA402" s="142" t="str">
        <f>IFERROR(__xludf.DUMMYFUNCTION("""COMPUTED_VALUE"""),"San Pascual")</f>
        <v>San Pascual</v>
      </c>
      <c r="AB402" s="142" t="str">
        <f>IFERROR(__xludf.DUMMYFUNCTION("""COMPUTED_VALUE"""),"Santa Teresita")</f>
        <v>Santa Teresita</v>
      </c>
      <c r="AC402" s="142" t="str">
        <f>IFERROR(__xludf.DUMMYFUNCTION("""COMPUTED_VALUE"""),"City of Sto. Tomas")</f>
        <v>City of Sto. Tomas</v>
      </c>
      <c r="AD402" s="142" t="str">
        <f>IFERROR(__xludf.DUMMYFUNCTION("""COMPUTED_VALUE"""),"Taal")</f>
        <v>Taal</v>
      </c>
      <c r="AE402" s="142" t="str">
        <f>IFERROR(__xludf.DUMMYFUNCTION("""COMPUTED_VALUE"""),"Talisay")</f>
        <v>Talisay</v>
      </c>
      <c r="AF402" s="142" t="str">
        <f>IFERROR(__xludf.DUMMYFUNCTION("""COMPUTED_VALUE"""),"City of Tanauan")</f>
        <v>City of Tanauan</v>
      </c>
      <c r="AG402" s="142" t="str">
        <f>IFERROR(__xludf.DUMMYFUNCTION("""COMPUTED_VALUE"""),"Taysan")</f>
        <v>Taysan</v>
      </c>
      <c r="AH402" s="142" t="str">
        <f>IFERROR(__xludf.DUMMYFUNCTION("""COMPUTED_VALUE"""),"Tingloy")</f>
        <v>Tingloy</v>
      </c>
      <c r="AI402" s="142" t="str">
        <f>IFERROR(__xludf.DUMMYFUNCTION("""COMPUTED_VALUE"""),"Tuy")</f>
        <v>Tuy</v>
      </c>
      <c r="AJ402" s="8"/>
      <c r="AK402" s="8"/>
      <c r="AL402" s="8"/>
      <c r="AM402" s="8"/>
      <c r="AN402" s="8"/>
      <c r="AO402" s="8"/>
      <c r="AP402" s="8"/>
      <c r="AQ402" s="8"/>
      <c r="AR402" s="8"/>
      <c r="AS402" s="8"/>
      <c r="AT402" s="8"/>
      <c r="AU402" s="8"/>
      <c r="AV402" s="8"/>
      <c r="AW402" s="8"/>
      <c r="AX402" s="8"/>
      <c r="AY402" s="8"/>
      <c r="AZ402" s="8"/>
      <c r="BA402" s="8"/>
      <c r="BB402" s="8"/>
      <c r="BC402" s="8"/>
      <c r="BD402" s="8"/>
      <c r="BE402" s="8"/>
    </row>
    <row r="403">
      <c r="A403" s="142" t="s">
        <v>893</v>
      </c>
      <c r="B403" s="142" t="str">
        <f>IFERROR(__xludf.DUMMYFUNCTION("""COMPUTED_VALUE"""),"Bacacay")</f>
        <v>Bacacay</v>
      </c>
      <c r="C403" s="142" t="str">
        <f>IFERROR(__xludf.DUMMYFUNCTION("""COMPUTED_VALUE"""),"Camalig")</f>
        <v>Camalig</v>
      </c>
      <c r="D403" s="142" t="str">
        <f>IFERROR(__xludf.DUMMYFUNCTION("""COMPUTED_VALUE"""),"Daraga")</f>
        <v>Daraga</v>
      </c>
      <c r="E403" s="142" t="str">
        <f>IFERROR(__xludf.DUMMYFUNCTION("""COMPUTED_VALUE"""),"Guinobatan")</f>
        <v>Guinobatan</v>
      </c>
      <c r="F403" s="142" t="str">
        <f>IFERROR(__xludf.DUMMYFUNCTION("""COMPUTED_VALUE"""),"Jovellar")</f>
        <v>Jovellar</v>
      </c>
      <c r="G403" s="142" t="str">
        <f>IFERROR(__xludf.DUMMYFUNCTION("""COMPUTED_VALUE"""),"City of Legazpi")</f>
        <v>City of Legazpi</v>
      </c>
      <c r="H403" s="142" t="str">
        <f>IFERROR(__xludf.DUMMYFUNCTION("""COMPUTED_VALUE"""),"Libon")</f>
        <v>Libon</v>
      </c>
      <c r="I403" s="142" t="str">
        <f>IFERROR(__xludf.DUMMYFUNCTION("""COMPUTED_VALUE"""),"City of Ligao")</f>
        <v>City of Ligao</v>
      </c>
      <c r="J403" s="142" t="str">
        <f>IFERROR(__xludf.DUMMYFUNCTION("""COMPUTED_VALUE"""),"Malilipot")</f>
        <v>Malilipot</v>
      </c>
      <c r="K403" s="142" t="str">
        <f>IFERROR(__xludf.DUMMYFUNCTION("""COMPUTED_VALUE"""),"Malinao")</f>
        <v>Malinao</v>
      </c>
      <c r="L403" s="142" t="str">
        <f>IFERROR(__xludf.DUMMYFUNCTION("""COMPUTED_VALUE"""),"Manito")</f>
        <v>Manito</v>
      </c>
      <c r="M403" s="142" t="str">
        <f>IFERROR(__xludf.DUMMYFUNCTION("""COMPUTED_VALUE"""),"Oas")</f>
        <v>Oas</v>
      </c>
      <c r="N403" s="142" t="str">
        <f>IFERROR(__xludf.DUMMYFUNCTION("""COMPUTED_VALUE"""),"Pio Duran")</f>
        <v>Pio Duran</v>
      </c>
      <c r="O403" s="142" t="str">
        <f>IFERROR(__xludf.DUMMYFUNCTION("""COMPUTED_VALUE"""),"Polangui")</f>
        <v>Polangui</v>
      </c>
      <c r="P403" s="142" t="str">
        <f>IFERROR(__xludf.DUMMYFUNCTION("""COMPUTED_VALUE"""),"Rapu-Rapu")</f>
        <v>Rapu-Rapu</v>
      </c>
      <c r="Q403" s="142" t="str">
        <f>IFERROR(__xludf.DUMMYFUNCTION("""COMPUTED_VALUE"""),"Santo Domingo")</f>
        <v>Santo Domingo</v>
      </c>
      <c r="R403" s="142" t="str">
        <f>IFERROR(__xludf.DUMMYFUNCTION("""COMPUTED_VALUE"""),"City of Tabaco")</f>
        <v>City of Tabaco</v>
      </c>
      <c r="S403" s="142" t="str">
        <f>IFERROR(__xludf.DUMMYFUNCTION("""COMPUTED_VALUE"""),"Tiwi")</f>
        <v>Tiwi</v>
      </c>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row>
    <row r="404">
      <c r="A404" s="142" t="s">
        <v>1191</v>
      </c>
      <c r="B404" s="142" t="str">
        <f>IFERROR(__xludf.DUMMYFUNCTION("""COMPUTED_VALUE"""),"Aroroy")</f>
        <v>Aroroy</v>
      </c>
      <c r="C404" s="142" t="str">
        <f>IFERROR(__xludf.DUMMYFUNCTION("""COMPUTED_VALUE"""),"Baleno")</f>
        <v>Baleno</v>
      </c>
      <c r="D404" s="142" t="str">
        <f>IFERROR(__xludf.DUMMYFUNCTION("""COMPUTED_VALUE"""),"Balud")</f>
        <v>Balud</v>
      </c>
      <c r="E404" s="142" t="str">
        <f>IFERROR(__xludf.DUMMYFUNCTION("""COMPUTED_VALUE"""),"Batuan")</f>
        <v>Batuan</v>
      </c>
      <c r="F404" s="142" t="str">
        <f>IFERROR(__xludf.DUMMYFUNCTION("""COMPUTED_VALUE"""),"Cataingan")</f>
        <v>Cataingan</v>
      </c>
      <c r="G404" s="142" t="str">
        <f>IFERROR(__xludf.DUMMYFUNCTION("""COMPUTED_VALUE"""),"Cawayan")</f>
        <v>Cawayan</v>
      </c>
      <c r="H404" s="142" t="str">
        <f>IFERROR(__xludf.DUMMYFUNCTION("""COMPUTED_VALUE"""),"Claveria")</f>
        <v>Claveria</v>
      </c>
      <c r="I404" s="142" t="str">
        <f>IFERROR(__xludf.DUMMYFUNCTION("""COMPUTED_VALUE"""),"Dimasalang")</f>
        <v>Dimasalang</v>
      </c>
      <c r="J404" s="142" t="str">
        <f>IFERROR(__xludf.DUMMYFUNCTION("""COMPUTED_VALUE"""),"Esperanza")</f>
        <v>Esperanza</v>
      </c>
      <c r="K404" s="142" t="str">
        <f>IFERROR(__xludf.DUMMYFUNCTION("""COMPUTED_VALUE"""),"Mandaon")</f>
        <v>Mandaon</v>
      </c>
      <c r="L404" s="142" t="str">
        <f>IFERROR(__xludf.DUMMYFUNCTION("""COMPUTED_VALUE"""),"City of Masbate")</f>
        <v>City of Masbate</v>
      </c>
      <c r="M404" s="142" t="str">
        <f>IFERROR(__xludf.DUMMYFUNCTION("""COMPUTED_VALUE"""),"Milagros")</f>
        <v>Milagros</v>
      </c>
      <c r="N404" s="142" t="str">
        <f>IFERROR(__xludf.DUMMYFUNCTION("""COMPUTED_VALUE"""),"Mobo")</f>
        <v>Mobo</v>
      </c>
      <c r="O404" s="142" t="str">
        <f>IFERROR(__xludf.DUMMYFUNCTION("""COMPUTED_VALUE"""),"Monreal")</f>
        <v>Monreal</v>
      </c>
      <c r="P404" s="142" t="str">
        <f>IFERROR(__xludf.DUMMYFUNCTION("""COMPUTED_VALUE"""),"Palanas")</f>
        <v>Palanas</v>
      </c>
      <c r="Q404" s="142" t="str">
        <f>IFERROR(__xludf.DUMMYFUNCTION("""COMPUTED_VALUE"""),"Pio V. Corpus")</f>
        <v>Pio V. Corpus</v>
      </c>
      <c r="R404" s="142" t="str">
        <f>IFERROR(__xludf.DUMMYFUNCTION("""COMPUTED_VALUE"""),"Placer")</f>
        <v>Placer</v>
      </c>
      <c r="S404" s="142" t="str">
        <f>IFERROR(__xludf.DUMMYFUNCTION("""COMPUTED_VALUE"""),"San Fernando")</f>
        <v>San Fernando</v>
      </c>
      <c r="T404" s="142" t="str">
        <f>IFERROR(__xludf.DUMMYFUNCTION("""COMPUTED_VALUE"""),"San Jacinto")</f>
        <v>San Jacinto</v>
      </c>
      <c r="U404" s="142" t="str">
        <f>IFERROR(__xludf.DUMMYFUNCTION("""COMPUTED_VALUE"""),"San Pascual")</f>
        <v>San Pascual</v>
      </c>
      <c r="V404" s="142" t="str">
        <f>IFERROR(__xludf.DUMMYFUNCTION("""COMPUTED_VALUE"""),"Uson")</f>
        <v>Uson</v>
      </c>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row>
    <row r="405">
      <c r="A405" s="142" t="s">
        <v>563</v>
      </c>
      <c r="B405" s="142" t="str">
        <f>IFERROR(__xludf.DUMMYFUNCTION("""COMPUTED_VALUE"""),"Alburquerque")</f>
        <v>Alburquerque</v>
      </c>
      <c r="C405" s="142" t="str">
        <f>IFERROR(__xludf.DUMMYFUNCTION("""COMPUTED_VALUE"""),"Alicia")</f>
        <v>Alicia</v>
      </c>
      <c r="D405" s="142" t="str">
        <f>IFERROR(__xludf.DUMMYFUNCTION("""COMPUTED_VALUE"""),"Anda")</f>
        <v>Anda</v>
      </c>
      <c r="E405" s="142" t="str">
        <f>IFERROR(__xludf.DUMMYFUNCTION("""COMPUTED_VALUE"""),"Antequera")</f>
        <v>Antequera</v>
      </c>
      <c r="F405" s="142" t="str">
        <f>IFERROR(__xludf.DUMMYFUNCTION("""COMPUTED_VALUE"""),"Baclayon")</f>
        <v>Baclayon</v>
      </c>
      <c r="G405" s="142" t="str">
        <f>IFERROR(__xludf.DUMMYFUNCTION("""COMPUTED_VALUE"""),"Balilihan")</f>
        <v>Balilihan</v>
      </c>
      <c r="H405" s="142" t="str">
        <f>IFERROR(__xludf.DUMMYFUNCTION("""COMPUTED_VALUE"""),"Batuan")</f>
        <v>Batuan</v>
      </c>
      <c r="I405" s="142" t="str">
        <f>IFERROR(__xludf.DUMMYFUNCTION("""COMPUTED_VALUE"""),"Bilar")</f>
        <v>Bilar</v>
      </c>
      <c r="J405" s="142" t="str">
        <f>IFERROR(__xludf.DUMMYFUNCTION("""COMPUTED_VALUE"""),"Buenavista")</f>
        <v>Buenavista</v>
      </c>
      <c r="K405" s="142" t="str">
        <f>IFERROR(__xludf.DUMMYFUNCTION("""COMPUTED_VALUE"""),"Calape")</f>
        <v>Calape</v>
      </c>
      <c r="L405" s="142" t="str">
        <f>IFERROR(__xludf.DUMMYFUNCTION("""COMPUTED_VALUE"""),"Candijay")</f>
        <v>Candijay</v>
      </c>
      <c r="M405" s="142" t="str">
        <f>IFERROR(__xludf.DUMMYFUNCTION("""COMPUTED_VALUE"""),"Carmen")</f>
        <v>Carmen</v>
      </c>
      <c r="N405" s="142" t="str">
        <f>IFERROR(__xludf.DUMMYFUNCTION("""COMPUTED_VALUE"""),"Catigbian")</f>
        <v>Catigbian</v>
      </c>
      <c r="O405" s="142" t="str">
        <f>IFERROR(__xludf.DUMMYFUNCTION("""COMPUTED_VALUE"""),"Clarin")</f>
        <v>Clarin</v>
      </c>
      <c r="P405" s="142" t="str">
        <f>IFERROR(__xludf.DUMMYFUNCTION("""COMPUTED_VALUE"""),"Corella")</f>
        <v>Corella</v>
      </c>
      <c r="Q405" s="142" t="str">
        <f>IFERROR(__xludf.DUMMYFUNCTION("""COMPUTED_VALUE"""),"Cortes")</f>
        <v>Cortes</v>
      </c>
      <c r="R405" s="142" t="str">
        <f>IFERROR(__xludf.DUMMYFUNCTION("""COMPUTED_VALUE"""),"Dagohoy")</f>
        <v>Dagohoy</v>
      </c>
      <c r="S405" s="142" t="str">
        <f>IFERROR(__xludf.DUMMYFUNCTION("""COMPUTED_VALUE"""),"Danao")</f>
        <v>Danao</v>
      </c>
      <c r="T405" s="142" t="str">
        <f>IFERROR(__xludf.DUMMYFUNCTION("""COMPUTED_VALUE"""),"Dauis")</f>
        <v>Dauis</v>
      </c>
      <c r="U405" s="142" t="str">
        <f>IFERROR(__xludf.DUMMYFUNCTION("""COMPUTED_VALUE"""),"Dimiao")</f>
        <v>Dimiao</v>
      </c>
      <c r="V405" s="142" t="str">
        <f>IFERROR(__xludf.DUMMYFUNCTION("""COMPUTED_VALUE"""),"Duero")</f>
        <v>Duero</v>
      </c>
      <c r="W405" s="142" t="str">
        <f>IFERROR(__xludf.DUMMYFUNCTION("""COMPUTED_VALUE"""),"Garcia Hernandez")</f>
        <v>Garcia Hernandez</v>
      </c>
      <c r="X405" s="142" t="str">
        <f>IFERROR(__xludf.DUMMYFUNCTION("""COMPUTED_VALUE"""),"Guindulman")</f>
        <v>Guindulman</v>
      </c>
      <c r="Y405" s="142" t="str">
        <f>IFERROR(__xludf.DUMMYFUNCTION("""COMPUTED_VALUE"""),"Inabanga")</f>
        <v>Inabanga</v>
      </c>
      <c r="Z405" s="142" t="str">
        <f>IFERROR(__xludf.DUMMYFUNCTION("""COMPUTED_VALUE"""),"Jagna")</f>
        <v>Jagna</v>
      </c>
      <c r="AA405" s="142" t="str">
        <f>IFERROR(__xludf.DUMMYFUNCTION("""COMPUTED_VALUE"""),"Getafe")</f>
        <v>Getafe</v>
      </c>
      <c r="AB405" s="142" t="str">
        <f>IFERROR(__xludf.DUMMYFUNCTION("""COMPUTED_VALUE"""),"Lila")</f>
        <v>Lila</v>
      </c>
      <c r="AC405" s="142" t="str">
        <f>IFERROR(__xludf.DUMMYFUNCTION("""COMPUTED_VALUE"""),"Loay")</f>
        <v>Loay</v>
      </c>
      <c r="AD405" s="142" t="str">
        <f>IFERROR(__xludf.DUMMYFUNCTION("""COMPUTED_VALUE"""),"Loboc")</f>
        <v>Loboc</v>
      </c>
      <c r="AE405" s="142" t="str">
        <f>IFERROR(__xludf.DUMMYFUNCTION("""COMPUTED_VALUE"""),"Loon")</f>
        <v>Loon</v>
      </c>
      <c r="AF405" s="142" t="str">
        <f>IFERROR(__xludf.DUMMYFUNCTION("""COMPUTED_VALUE"""),"Mabini")</f>
        <v>Mabini</v>
      </c>
      <c r="AG405" s="142" t="str">
        <f>IFERROR(__xludf.DUMMYFUNCTION("""COMPUTED_VALUE"""),"Maribojoc")</f>
        <v>Maribojoc</v>
      </c>
      <c r="AH405" s="142" t="str">
        <f>IFERROR(__xludf.DUMMYFUNCTION("""COMPUTED_VALUE"""),"Panglao")</f>
        <v>Panglao</v>
      </c>
      <c r="AI405" s="142" t="str">
        <f>IFERROR(__xludf.DUMMYFUNCTION("""COMPUTED_VALUE"""),"Pilar")</f>
        <v>Pilar</v>
      </c>
      <c r="AJ405" s="142" t="str">
        <f>IFERROR(__xludf.DUMMYFUNCTION("""COMPUTED_VALUE"""),"President Carlos P. Garcia")</f>
        <v>President Carlos P. Garcia</v>
      </c>
      <c r="AK405" s="142" t="str">
        <f>IFERROR(__xludf.DUMMYFUNCTION("""COMPUTED_VALUE"""),"Sagbayan")</f>
        <v>Sagbayan</v>
      </c>
      <c r="AL405" s="142" t="str">
        <f>IFERROR(__xludf.DUMMYFUNCTION("""COMPUTED_VALUE"""),"San Isidro")</f>
        <v>San Isidro</v>
      </c>
      <c r="AM405" s="142" t="str">
        <f>IFERROR(__xludf.DUMMYFUNCTION("""COMPUTED_VALUE"""),"San Miguel")</f>
        <v>San Miguel</v>
      </c>
      <c r="AN405" s="142" t="str">
        <f>IFERROR(__xludf.DUMMYFUNCTION("""COMPUTED_VALUE"""),"Sevilla")</f>
        <v>Sevilla</v>
      </c>
      <c r="AO405" s="142" t="str">
        <f>IFERROR(__xludf.DUMMYFUNCTION("""COMPUTED_VALUE"""),"Sierra Bullones")</f>
        <v>Sierra Bullones</v>
      </c>
      <c r="AP405" s="142" t="str">
        <f>IFERROR(__xludf.DUMMYFUNCTION("""COMPUTED_VALUE"""),"Sikatuna")</f>
        <v>Sikatuna</v>
      </c>
      <c r="AQ405" s="142" t="str">
        <f>IFERROR(__xludf.DUMMYFUNCTION("""COMPUTED_VALUE"""),"City of Tagbilaran")</f>
        <v>City of Tagbilaran</v>
      </c>
      <c r="AR405" s="142" t="str">
        <f>IFERROR(__xludf.DUMMYFUNCTION("""COMPUTED_VALUE"""),"Talibon")</f>
        <v>Talibon</v>
      </c>
      <c r="AS405" s="142" t="str">
        <f>IFERROR(__xludf.DUMMYFUNCTION("""COMPUTED_VALUE"""),"Trinidad")</f>
        <v>Trinidad</v>
      </c>
      <c r="AT405" s="142" t="str">
        <f>IFERROR(__xludf.DUMMYFUNCTION("""COMPUTED_VALUE"""),"Tubigon")</f>
        <v>Tubigon</v>
      </c>
      <c r="AU405" s="142" t="str">
        <f>IFERROR(__xludf.DUMMYFUNCTION("""COMPUTED_VALUE"""),"Ubay")</f>
        <v>Ubay</v>
      </c>
      <c r="AV405" s="142" t="str">
        <f>IFERROR(__xludf.DUMMYFUNCTION("""COMPUTED_VALUE"""),"Valencia")</f>
        <v>Valencia</v>
      </c>
      <c r="AW405" s="142" t="str">
        <f>IFERROR(__xludf.DUMMYFUNCTION("""COMPUTED_VALUE"""),"Bien Unido")</f>
        <v>Bien Unido</v>
      </c>
      <c r="AX405" s="8"/>
      <c r="AY405" s="8"/>
      <c r="AZ405" s="8"/>
      <c r="BA405" s="8"/>
      <c r="BB405" s="8"/>
      <c r="BC405" s="8"/>
      <c r="BD405" s="8"/>
      <c r="BE405" s="8"/>
    </row>
    <row r="406">
      <c r="A406" s="142" t="s">
        <v>194</v>
      </c>
      <c r="B406" s="142" t="str">
        <f>IFERROR(__xludf.DUMMYFUNCTION("""COMPUTED_VALUE"""),"Alcantara")</f>
        <v>Alcantara</v>
      </c>
      <c r="C406" s="142" t="str">
        <f>IFERROR(__xludf.DUMMYFUNCTION("""COMPUTED_VALUE"""),"Alcoy")</f>
        <v>Alcoy</v>
      </c>
      <c r="D406" s="142" t="str">
        <f>IFERROR(__xludf.DUMMYFUNCTION("""COMPUTED_VALUE"""),"Alegria")</f>
        <v>Alegria</v>
      </c>
      <c r="E406" s="142" t="str">
        <f>IFERROR(__xludf.DUMMYFUNCTION("""COMPUTED_VALUE"""),"Aloguinsan")</f>
        <v>Aloguinsan</v>
      </c>
      <c r="F406" s="142" t="str">
        <f>IFERROR(__xludf.DUMMYFUNCTION("""COMPUTED_VALUE"""),"Argao")</f>
        <v>Argao</v>
      </c>
      <c r="G406" s="142" t="str">
        <f>IFERROR(__xludf.DUMMYFUNCTION("""COMPUTED_VALUE"""),"Asturias")</f>
        <v>Asturias</v>
      </c>
      <c r="H406" s="142" t="str">
        <f>IFERROR(__xludf.DUMMYFUNCTION("""COMPUTED_VALUE"""),"Badian")</f>
        <v>Badian</v>
      </c>
      <c r="I406" s="142" t="str">
        <f>IFERROR(__xludf.DUMMYFUNCTION("""COMPUTED_VALUE"""),"Balamban")</f>
        <v>Balamban</v>
      </c>
      <c r="J406" s="142" t="str">
        <f>IFERROR(__xludf.DUMMYFUNCTION("""COMPUTED_VALUE"""),"Bantayan")</f>
        <v>Bantayan</v>
      </c>
      <c r="K406" s="142" t="str">
        <f>IFERROR(__xludf.DUMMYFUNCTION("""COMPUTED_VALUE"""),"Barili")</f>
        <v>Barili</v>
      </c>
      <c r="L406" s="142" t="str">
        <f>IFERROR(__xludf.DUMMYFUNCTION("""COMPUTED_VALUE"""),"City of Bogo")</f>
        <v>City of Bogo</v>
      </c>
      <c r="M406" s="142" t="str">
        <f>IFERROR(__xludf.DUMMYFUNCTION("""COMPUTED_VALUE"""),"Boljoon")</f>
        <v>Boljoon</v>
      </c>
      <c r="N406" s="142" t="str">
        <f>IFERROR(__xludf.DUMMYFUNCTION("""COMPUTED_VALUE"""),"Borbon")</f>
        <v>Borbon</v>
      </c>
      <c r="O406" s="142" t="str">
        <f>IFERROR(__xludf.DUMMYFUNCTION("""COMPUTED_VALUE"""),"City of Carcar")</f>
        <v>City of Carcar</v>
      </c>
      <c r="P406" s="142" t="str">
        <f>IFERROR(__xludf.DUMMYFUNCTION("""COMPUTED_VALUE"""),"Carmen")</f>
        <v>Carmen</v>
      </c>
      <c r="Q406" s="142" t="str">
        <f>IFERROR(__xludf.DUMMYFUNCTION("""COMPUTED_VALUE"""),"Catmon")</f>
        <v>Catmon</v>
      </c>
      <c r="R406" s="142" t="str">
        <f>IFERROR(__xludf.DUMMYFUNCTION("""COMPUTED_VALUE"""),"Compostela")</f>
        <v>Compostela</v>
      </c>
      <c r="S406" s="142" t="str">
        <f>IFERROR(__xludf.DUMMYFUNCTION("""COMPUTED_VALUE"""),"Consolacion")</f>
        <v>Consolacion</v>
      </c>
      <c r="T406" s="142" t="str">
        <f>IFERROR(__xludf.DUMMYFUNCTION("""COMPUTED_VALUE"""),"Cordova")</f>
        <v>Cordova</v>
      </c>
      <c r="U406" s="142" t="str">
        <f>IFERROR(__xludf.DUMMYFUNCTION("""COMPUTED_VALUE"""),"Daanbantayan")</f>
        <v>Daanbantayan</v>
      </c>
      <c r="V406" s="142" t="str">
        <f>IFERROR(__xludf.DUMMYFUNCTION("""COMPUTED_VALUE"""),"Dalaguete")</f>
        <v>Dalaguete</v>
      </c>
      <c r="W406" s="142" t="str">
        <f>IFERROR(__xludf.DUMMYFUNCTION("""COMPUTED_VALUE"""),"Danao City")</f>
        <v>Danao City</v>
      </c>
      <c r="X406" s="142" t="str">
        <f>IFERROR(__xludf.DUMMYFUNCTION("""COMPUTED_VALUE"""),"Dumanjug")</f>
        <v>Dumanjug</v>
      </c>
      <c r="Y406" s="142" t="str">
        <f>IFERROR(__xludf.DUMMYFUNCTION("""COMPUTED_VALUE"""),"Ginatilan")</f>
        <v>Ginatilan</v>
      </c>
      <c r="Z406" s="142" t="str">
        <f>IFERROR(__xludf.DUMMYFUNCTION("""COMPUTED_VALUE"""),"Liloan")</f>
        <v>Liloan</v>
      </c>
      <c r="AA406" s="142" t="str">
        <f>IFERROR(__xludf.DUMMYFUNCTION("""COMPUTED_VALUE"""),"Madridejos")</f>
        <v>Madridejos</v>
      </c>
      <c r="AB406" s="142" t="str">
        <f>IFERROR(__xludf.DUMMYFUNCTION("""COMPUTED_VALUE"""),"Malabuyoc")</f>
        <v>Malabuyoc</v>
      </c>
      <c r="AC406" s="142" t="str">
        <f>IFERROR(__xludf.DUMMYFUNCTION("""COMPUTED_VALUE"""),"Medellin")</f>
        <v>Medellin</v>
      </c>
      <c r="AD406" s="142" t="str">
        <f>IFERROR(__xludf.DUMMYFUNCTION("""COMPUTED_VALUE"""),"Minglanilla")</f>
        <v>Minglanilla</v>
      </c>
      <c r="AE406" s="142" t="str">
        <f>IFERROR(__xludf.DUMMYFUNCTION("""COMPUTED_VALUE"""),"Moalboal")</f>
        <v>Moalboal</v>
      </c>
      <c r="AF406" s="142" t="str">
        <f>IFERROR(__xludf.DUMMYFUNCTION("""COMPUTED_VALUE"""),"City of Naga")</f>
        <v>City of Naga</v>
      </c>
      <c r="AG406" s="142" t="str">
        <f>IFERROR(__xludf.DUMMYFUNCTION("""COMPUTED_VALUE"""),"Oslob")</f>
        <v>Oslob</v>
      </c>
      <c r="AH406" s="142" t="str">
        <f>IFERROR(__xludf.DUMMYFUNCTION("""COMPUTED_VALUE"""),"Pilar")</f>
        <v>Pilar</v>
      </c>
      <c r="AI406" s="142" t="str">
        <f>IFERROR(__xludf.DUMMYFUNCTION("""COMPUTED_VALUE"""),"Pinamungajan")</f>
        <v>Pinamungajan</v>
      </c>
      <c r="AJ406" s="142" t="str">
        <f>IFERROR(__xludf.DUMMYFUNCTION("""COMPUTED_VALUE"""),"Poro")</f>
        <v>Poro</v>
      </c>
      <c r="AK406" s="142" t="str">
        <f>IFERROR(__xludf.DUMMYFUNCTION("""COMPUTED_VALUE"""),"Ronda")</f>
        <v>Ronda</v>
      </c>
      <c r="AL406" s="142" t="str">
        <f>IFERROR(__xludf.DUMMYFUNCTION("""COMPUTED_VALUE"""),"Samboan")</f>
        <v>Samboan</v>
      </c>
      <c r="AM406" s="142" t="str">
        <f>IFERROR(__xludf.DUMMYFUNCTION("""COMPUTED_VALUE"""),"San Fernando")</f>
        <v>San Fernando</v>
      </c>
      <c r="AN406" s="142" t="str">
        <f>IFERROR(__xludf.DUMMYFUNCTION("""COMPUTED_VALUE"""),"San Francisco")</f>
        <v>San Francisco</v>
      </c>
      <c r="AO406" s="142" t="str">
        <f>IFERROR(__xludf.DUMMYFUNCTION("""COMPUTED_VALUE"""),"San Remigio")</f>
        <v>San Remigio</v>
      </c>
      <c r="AP406" s="142" t="str">
        <f>IFERROR(__xludf.DUMMYFUNCTION("""COMPUTED_VALUE"""),"Santa Fe")</f>
        <v>Santa Fe</v>
      </c>
      <c r="AQ406" s="142" t="str">
        <f>IFERROR(__xludf.DUMMYFUNCTION("""COMPUTED_VALUE"""),"Santander")</f>
        <v>Santander</v>
      </c>
      <c r="AR406" s="142" t="str">
        <f>IFERROR(__xludf.DUMMYFUNCTION("""COMPUTED_VALUE"""),"Sibonga")</f>
        <v>Sibonga</v>
      </c>
      <c r="AS406" s="142" t="str">
        <f>IFERROR(__xludf.DUMMYFUNCTION("""COMPUTED_VALUE"""),"Sogod")</f>
        <v>Sogod</v>
      </c>
      <c r="AT406" s="142" t="str">
        <f>IFERROR(__xludf.DUMMYFUNCTION("""COMPUTED_VALUE"""),"Tabogon")</f>
        <v>Tabogon</v>
      </c>
      <c r="AU406" s="142" t="str">
        <f>IFERROR(__xludf.DUMMYFUNCTION("""COMPUTED_VALUE"""),"Tabuelan")</f>
        <v>Tabuelan</v>
      </c>
      <c r="AV406" s="142" t="str">
        <f>IFERROR(__xludf.DUMMYFUNCTION("""COMPUTED_VALUE"""),"City of Talisay")</f>
        <v>City of Talisay</v>
      </c>
      <c r="AW406" s="142" t="str">
        <f>IFERROR(__xludf.DUMMYFUNCTION("""COMPUTED_VALUE"""),"City of Toledo")</f>
        <v>City of Toledo</v>
      </c>
      <c r="AX406" s="142" t="str">
        <f>IFERROR(__xludf.DUMMYFUNCTION("""COMPUTED_VALUE"""),"Tuburan")</f>
        <v>Tuburan</v>
      </c>
      <c r="AY406" s="142" t="str">
        <f>IFERROR(__xludf.DUMMYFUNCTION("""COMPUTED_VALUE"""),"Tudela")</f>
        <v>Tudela</v>
      </c>
      <c r="AZ406" s="142" t="str">
        <f>IFERROR(__xludf.DUMMYFUNCTION("""COMPUTED_VALUE"""),"City of Cebu")</f>
        <v>City of Cebu</v>
      </c>
      <c r="BA406" s="142" t="str">
        <f>IFERROR(__xludf.DUMMYFUNCTION("""COMPUTED_VALUE"""),"City of Lapu-Lapu")</f>
        <v>City of Lapu-Lapu</v>
      </c>
      <c r="BB406" s="142" t="str">
        <f>IFERROR(__xludf.DUMMYFUNCTION("""COMPUTED_VALUE"""),"City of Mandaue")</f>
        <v>City of Mandaue</v>
      </c>
      <c r="BC406" s="8"/>
      <c r="BD406" s="8"/>
      <c r="BE406" s="8"/>
    </row>
    <row r="407">
      <c r="A407" s="142" t="s">
        <v>194</v>
      </c>
      <c r="B407" s="142" t="str">
        <f>IFERROR(__xludf.DUMMYFUNCTION("""COMPUTED_VALUE"""),"Alcantara")</f>
        <v>Alcantara</v>
      </c>
      <c r="C407" s="142" t="str">
        <f>IFERROR(__xludf.DUMMYFUNCTION("""COMPUTED_VALUE"""),"Alcoy")</f>
        <v>Alcoy</v>
      </c>
      <c r="D407" s="142" t="str">
        <f>IFERROR(__xludf.DUMMYFUNCTION("""COMPUTED_VALUE"""),"Alegria")</f>
        <v>Alegria</v>
      </c>
      <c r="E407" s="142" t="str">
        <f>IFERROR(__xludf.DUMMYFUNCTION("""COMPUTED_VALUE"""),"Aloguinsan")</f>
        <v>Aloguinsan</v>
      </c>
      <c r="F407" s="142" t="str">
        <f>IFERROR(__xludf.DUMMYFUNCTION("""COMPUTED_VALUE"""),"Argao")</f>
        <v>Argao</v>
      </c>
      <c r="G407" s="142" t="str">
        <f>IFERROR(__xludf.DUMMYFUNCTION("""COMPUTED_VALUE"""),"Asturias")</f>
        <v>Asturias</v>
      </c>
      <c r="H407" s="142" t="str">
        <f>IFERROR(__xludf.DUMMYFUNCTION("""COMPUTED_VALUE"""),"Badian")</f>
        <v>Badian</v>
      </c>
      <c r="I407" s="142" t="str">
        <f>IFERROR(__xludf.DUMMYFUNCTION("""COMPUTED_VALUE"""),"Balamban")</f>
        <v>Balamban</v>
      </c>
      <c r="J407" s="142" t="str">
        <f>IFERROR(__xludf.DUMMYFUNCTION("""COMPUTED_VALUE"""),"Bantayan")</f>
        <v>Bantayan</v>
      </c>
      <c r="K407" s="142" t="str">
        <f>IFERROR(__xludf.DUMMYFUNCTION("""COMPUTED_VALUE"""),"Barili")</f>
        <v>Barili</v>
      </c>
      <c r="L407" s="142" t="str">
        <f>IFERROR(__xludf.DUMMYFUNCTION("""COMPUTED_VALUE"""),"City of Bogo")</f>
        <v>City of Bogo</v>
      </c>
      <c r="M407" s="142" t="str">
        <f>IFERROR(__xludf.DUMMYFUNCTION("""COMPUTED_VALUE"""),"Boljoon")</f>
        <v>Boljoon</v>
      </c>
      <c r="N407" s="142" t="str">
        <f>IFERROR(__xludf.DUMMYFUNCTION("""COMPUTED_VALUE"""),"Borbon")</f>
        <v>Borbon</v>
      </c>
      <c r="O407" s="142" t="str">
        <f>IFERROR(__xludf.DUMMYFUNCTION("""COMPUTED_VALUE"""),"City of Carcar")</f>
        <v>City of Carcar</v>
      </c>
      <c r="P407" s="142" t="str">
        <f>IFERROR(__xludf.DUMMYFUNCTION("""COMPUTED_VALUE"""),"Carmen")</f>
        <v>Carmen</v>
      </c>
      <c r="Q407" s="142" t="str">
        <f>IFERROR(__xludf.DUMMYFUNCTION("""COMPUTED_VALUE"""),"Catmon")</f>
        <v>Catmon</v>
      </c>
      <c r="R407" s="142" t="str">
        <f>IFERROR(__xludf.DUMMYFUNCTION("""COMPUTED_VALUE"""),"Compostela")</f>
        <v>Compostela</v>
      </c>
      <c r="S407" s="142" t="str">
        <f>IFERROR(__xludf.DUMMYFUNCTION("""COMPUTED_VALUE"""),"Consolacion")</f>
        <v>Consolacion</v>
      </c>
      <c r="T407" s="142" t="str">
        <f>IFERROR(__xludf.DUMMYFUNCTION("""COMPUTED_VALUE"""),"Cordova")</f>
        <v>Cordova</v>
      </c>
      <c r="U407" s="142" t="str">
        <f>IFERROR(__xludf.DUMMYFUNCTION("""COMPUTED_VALUE"""),"Daanbantayan")</f>
        <v>Daanbantayan</v>
      </c>
      <c r="V407" s="142" t="str">
        <f>IFERROR(__xludf.DUMMYFUNCTION("""COMPUTED_VALUE"""),"Dalaguete")</f>
        <v>Dalaguete</v>
      </c>
      <c r="W407" s="142" t="str">
        <f>IFERROR(__xludf.DUMMYFUNCTION("""COMPUTED_VALUE"""),"Danao City")</f>
        <v>Danao City</v>
      </c>
      <c r="X407" s="142" t="str">
        <f>IFERROR(__xludf.DUMMYFUNCTION("""COMPUTED_VALUE"""),"Dumanjug")</f>
        <v>Dumanjug</v>
      </c>
      <c r="Y407" s="142" t="str">
        <f>IFERROR(__xludf.DUMMYFUNCTION("""COMPUTED_VALUE"""),"Ginatilan")</f>
        <v>Ginatilan</v>
      </c>
      <c r="Z407" s="142" t="str">
        <f>IFERROR(__xludf.DUMMYFUNCTION("""COMPUTED_VALUE"""),"Liloan")</f>
        <v>Liloan</v>
      </c>
      <c r="AA407" s="142" t="str">
        <f>IFERROR(__xludf.DUMMYFUNCTION("""COMPUTED_VALUE"""),"Madridejos")</f>
        <v>Madridejos</v>
      </c>
      <c r="AB407" s="142" t="str">
        <f>IFERROR(__xludf.DUMMYFUNCTION("""COMPUTED_VALUE"""),"Malabuyoc")</f>
        <v>Malabuyoc</v>
      </c>
      <c r="AC407" s="142" t="str">
        <f>IFERROR(__xludf.DUMMYFUNCTION("""COMPUTED_VALUE"""),"Medellin")</f>
        <v>Medellin</v>
      </c>
      <c r="AD407" s="142" t="str">
        <f>IFERROR(__xludf.DUMMYFUNCTION("""COMPUTED_VALUE"""),"Minglanilla")</f>
        <v>Minglanilla</v>
      </c>
      <c r="AE407" s="142" t="str">
        <f>IFERROR(__xludf.DUMMYFUNCTION("""COMPUTED_VALUE"""),"Moalboal")</f>
        <v>Moalboal</v>
      </c>
      <c r="AF407" s="142" t="str">
        <f>IFERROR(__xludf.DUMMYFUNCTION("""COMPUTED_VALUE"""),"City of Naga")</f>
        <v>City of Naga</v>
      </c>
      <c r="AG407" s="142" t="str">
        <f>IFERROR(__xludf.DUMMYFUNCTION("""COMPUTED_VALUE"""),"Oslob")</f>
        <v>Oslob</v>
      </c>
      <c r="AH407" s="142" t="str">
        <f>IFERROR(__xludf.DUMMYFUNCTION("""COMPUTED_VALUE"""),"Pilar")</f>
        <v>Pilar</v>
      </c>
      <c r="AI407" s="142" t="str">
        <f>IFERROR(__xludf.DUMMYFUNCTION("""COMPUTED_VALUE"""),"Pinamungajan")</f>
        <v>Pinamungajan</v>
      </c>
      <c r="AJ407" s="142" t="str">
        <f>IFERROR(__xludf.DUMMYFUNCTION("""COMPUTED_VALUE"""),"Poro")</f>
        <v>Poro</v>
      </c>
      <c r="AK407" s="142" t="str">
        <f>IFERROR(__xludf.DUMMYFUNCTION("""COMPUTED_VALUE"""),"Ronda")</f>
        <v>Ronda</v>
      </c>
      <c r="AL407" s="142" t="str">
        <f>IFERROR(__xludf.DUMMYFUNCTION("""COMPUTED_VALUE"""),"Samboan")</f>
        <v>Samboan</v>
      </c>
      <c r="AM407" s="142" t="str">
        <f>IFERROR(__xludf.DUMMYFUNCTION("""COMPUTED_VALUE"""),"San Fernando")</f>
        <v>San Fernando</v>
      </c>
      <c r="AN407" s="142" t="str">
        <f>IFERROR(__xludf.DUMMYFUNCTION("""COMPUTED_VALUE"""),"San Francisco")</f>
        <v>San Francisco</v>
      </c>
      <c r="AO407" s="142" t="str">
        <f>IFERROR(__xludf.DUMMYFUNCTION("""COMPUTED_VALUE"""),"San Remigio")</f>
        <v>San Remigio</v>
      </c>
      <c r="AP407" s="142" t="str">
        <f>IFERROR(__xludf.DUMMYFUNCTION("""COMPUTED_VALUE"""),"Santa Fe")</f>
        <v>Santa Fe</v>
      </c>
      <c r="AQ407" s="142" t="str">
        <f>IFERROR(__xludf.DUMMYFUNCTION("""COMPUTED_VALUE"""),"Santander")</f>
        <v>Santander</v>
      </c>
      <c r="AR407" s="142" t="str">
        <f>IFERROR(__xludf.DUMMYFUNCTION("""COMPUTED_VALUE"""),"Sibonga")</f>
        <v>Sibonga</v>
      </c>
      <c r="AS407" s="142" t="str">
        <f>IFERROR(__xludf.DUMMYFUNCTION("""COMPUTED_VALUE"""),"Sogod")</f>
        <v>Sogod</v>
      </c>
      <c r="AT407" s="142" t="str">
        <f>IFERROR(__xludf.DUMMYFUNCTION("""COMPUTED_VALUE"""),"Tabogon")</f>
        <v>Tabogon</v>
      </c>
      <c r="AU407" s="142" t="str">
        <f>IFERROR(__xludf.DUMMYFUNCTION("""COMPUTED_VALUE"""),"Tabuelan")</f>
        <v>Tabuelan</v>
      </c>
      <c r="AV407" s="142" t="str">
        <f>IFERROR(__xludf.DUMMYFUNCTION("""COMPUTED_VALUE"""),"City of Talisay")</f>
        <v>City of Talisay</v>
      </c>
      <c r="AW407" s="142" t="str">
        <f>IFERROR(__xludf.DUMMYFUNCTION("""COMPUTED_VALUE"""),"City of Toledo")</f>
        <v>City of Toledo</v>
      </c>
      <c r="AX407" s="142" t="str">
        <f>IFERROR(__xludf.DUMMYFUNCTION("""COMPUTED_VALUE"""),"Tuburan")</f>
        <v>Tuburan</v>
      </c>
      <c r="AY407" s="142" t="str">
        <f>IFERROR(__xludf.DUMMYFUNCTION("""COMPUTED_VALUE"""),"Tudela")</f>
        <v>Tudela</v>
      </c>
      <c r="AZ407" s="142" t="str">
        <f>IFERROR(__xludf.DUMMYFUNCTION("""COMPUTED_VALUE"""),"City of Cebu")</f>
        <v>City of Cebu</v>
      </c>
      <c r="BA407" s="142" t="str">
        <f>IFERROR(__xludf.DUMMYFUNCTION("""COMPUTED_VALUE"""),"City of Lapu-Lapu")</f>
        <v>City of Lapu-Lapu</v>
      </c>
      <c r="BB407" s="142" t="str">
        <f>IFERROR(__xludf.DUMMYFUNCTION("""COMPUTED_VALUE"""),"City of Mandaue")</f>
        <v>City of Mandaue</v>
      </c>
      <c r="BC407" s="8"/>
      <c r="BD407" s="8"/>
      <c r="BE407" s="8"/>
    </row>
    <row r="408">
      <c r="A408" s="142" t="s">
        <v>620</v>
      </c>
      <c r="B408" s="142" t="str">
        <f>IFERROR(__xludf.DUMMYFUNCTION("""COMPUTED_VALUE"""),"City of Caloocan")</f>
        <v>City of Caloocan</v>
      </c>
      <c r="C408" s="142" t="str">
        <f>IFERROR(__xludf.DUMMYFUNCTION("""COMPUTED_VALUE"""),"City of Las Piñas")</f>
        <v>City of Las Piñas</v>
      </c>
      <c r="D408" s="142" t="str">
        <f>IFERROR(__xludf.DUMMYFUNCTION("""COMPUTED_VALUE"""),"City of Makati")</f>
        <v>City of Makati</v>
      </c>
      <c r="E408" s="142" t="str">
        <f>IFERROR(__xludf.DUMMYFUNCTION("""COMPUTED_VALUE"""),"City of Malabon")</f>
        <v>City of Malabon</v>
      </c>
      <c r="F408" s="142" t="str">
        <f>IFERROR(__xludf.DUMMYFUNCTION("""COMPUTED_VALUE"""),"City of Mandaluyong")</f>
        <v>City of Mandaluyong</v>
      </c>
      <c r="G408" s="142" t="str">
        <f>IFERROR(__xludf.DUMMYFUNCTION("""COMPUTED_VALUE"""),"City of Manila")</f>
        <v>City of Manila</v>
      </c>
      <c r="H408" s="142" t="str">
        <f>IFERROR(__xludf.DUMMYFUNCTION("""COMPUTED_VALUE"""),"City of Marikina")</f>
        <v>City of Marikina</v>
      </c>
      <c r="I408" s="142" t="str">
        <f>IFERROR(__xludf.DUMMYFUNCTION("""COMPUTED_VALUE"""),"City of Muntinlupa")</f>
        <v>City of Muntinlupa</v>
      </c>
      <c r="J408" s="142" t="str">
        <f>IFERROR(__xludf.DUMMYFUNCTION("""COMPUTED_VALUE"""),"City of Navotas")</f>
        <v>City of Navotas</v>
      </c>
      <c r="K408" s="142" t="str">
        <f>IFERROR(__xludf.DUMMYFUNCTION("""COMPUTED_VALUE"""),"City of Parañaque")</f>
        <v>City of Parañaque</v>
      </c>
      <c r="L408" s="142" t="str">
        <f>IFERROR(__xludf.DUMMYFUNCTION("""COMPUTED_VALUE"""),"Pasay City")</f>
        <v>Pasay City</v>
      </c>
      <c r="M408" s="142" t="str">
        <f>IFERROR(__xludf.DUMMYFUNCTION("""COMPUTED_VALUE"""),"City of Pasig")</f>
        <v>City of Pasig</v>
      </c>
      <c r="N408" s="142" t="str">
        <f>IFERROR(__xludf.DUMMYFUNCTION("""COMPUTED_VALUE"""),"Quezon City")</f>
        <v>Quezon City</v>
      </c>
      <c r="O408" s="142" t="str">
        <f>IFERROR(__xludf.DUMMYFUNCTION("""COMPUTED_VALUE"""),"City of San Juan")</f>
        <v>City of San Juan</v>
      </c>
      <c r="P408" s="142" t="str">
        <f>IFERROR(__xludf.DUMMYFUNCTION("""COMPUTED_VALUE"""),"City of Taguig")</f>
        <v>City of Taguig</v>
      </c>
      <c r="Q408" s="142" t="str">
        <f>IFERROR(__xludf.DUMMYFUNCTION("""COMPUTED_VALUE"""),"City of Valenzuela")</f>
        <v>City of Valenzuela</v>
      </c>
      <c r="R408" s="142" t="str">
        <f>IFERROR(__xludf.DUMMYFUNCTION("""COMPUTED_VALUE"""),"Pateros")</f>
        <v>Pateros</v>
      </c>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row>
    <row r="409">
      <c r="A409" s="142" t="s">
        <v>626</v>
      </c>
      <c r="B409" s="142" t="str">
        <f>IFERROR(__xludf.DUMMYFUNCTION("""COMPUTED_VALUE"""),"City of Bacolod")</f>
        <v>City of Bacolod</v>
      </c>
      <c r="C409" s="142" t="str">
        <f>IFERROR(__xludf.DUMMYFUNCTION("""COMPUTED_VALUE"""),"City of Bago")</f>
        <v>City of Bago</v>
      </c>
      <c r="D409" s="142" t="str">
        <f>IFERROR(__xludf.DUMMYFUNCTION("""COMPUTED_VALUE"""),"Binalbagan")</f>
        <v>Binalbagan</v>
      </c>
      <c r="E409" s="142" t="str">
        <f>IFERROR(__xludf.DUMMYFUNCTION("""COMPUTED_VALUE"""),"City of Cadiz")</f>
        <v>City of Cadiz</v>
      </c>
      <c r="F409" s="142" t="str">
        <f>IFERROR(__xludf.DUMMYFUNCTION("""COMPUTED_VALUE"""),"Calatrava")</f>
        <v>Calatrava</v>
      </c>
      <c r="G409" s="142" t="str">
        <f>IFERROR(__xludf.DUMMYFUNCTION("""COMPUTED_VALUE"""),"Candoni")</f>
        <v>Candoni</v>
      </c>
      <c r="H409" s="142" t="str">
        <f>IFERROR(__xludf.DUMMYFUNCTION("""COMPUTED_VALUE"""),"Cauayan")</f>
        <v>Cauayan</v>
      </c>
      <c r="I409" s="142" t="str">
        <f>IFERROR(__xludf.DUMMYFUNCTION("""COMPUTED_VALUE"""),"Enrique B. Magalona")</f>
        <v>Enrique B. Magalona</v>
      </c>
      <c r="J409" s="142" t="str">
        <f>IFERROR(__xludf.DUMMYFUNCTION("""COMPUTED_VALUE"""),"City of Escalante")</f>
        <v>City of Escalante</v>
      </c>
      <c r="K409" s="142" t="str">
        <f>IFERROR(__xludf.DUMMYFUNCTION("""COMPUTED_VALUE"""),"City of Himamaylan")</f>
        <v>City of Himamaylan</v>
      </c>
      <c r="L409" s="142" t="str">
        <f>IFERROR(__xludf.DUMMYFUNCTION("""COMPUTED_VALUE"""),"Hinigaran")</f>
        <v>Hinigaran</v>
      </c>
      <c r="M409" s="142" t="str">
        <f>IFERROR(__xludf.DUMMYFUNCTION("""COMPUTED_VALUE"""),"Hinoba-an")</f>
        <v>Hinoba-an</v>
      </c>
      <c r="N409" s="142" t="str">
        <f>IFERROR(__xludf.DUMMYFUNCTION("""COMPUTED_VALUE"""),"Ilog")</f>
        <v>Ilog</v>
      </c>
      <c r="O409" s="142" t="str">
        <f>IFERROR(__xludf.DUMMYFUNCTION("""COMPUTED_VALUE"""),"Isabela")</f>
        <v>Isabela</v>
      </c>
      <c r="P409" s="142" t="str">
        <f>IFERROR(__xludf.DUMMYFUNCTION("""COMPUTED_VALUE"""),"City of Kabankalan")</f>
        <v>City of Kabankalan</v>
      </c>
      <c r="Q409" s="142" t="str">
        <f>IFERROR(__xludf.DUMMYFUNCTION("""COMPUTED_VALUE"""),"City of La Carlota")</f>
        <v>City of La Carlota</v>
      </c>
      <c r="R409" s="142" t="str">
        <f>IFERROR(__xludf.DUMMYFUNCTION("""COMPUTED_VALUE"""),"La Castellana")</f>
        <v>La Castellana</v>
      </c>
      <c r="S409" s="142" t="str">
        <f>IFERROR(__xludf.DUMMYFUNCTION("""COMPUTED_VALUE"""),"Manapla")</f>
        <v>Manapla</v>
      </c>
      <c r="T409" s="142" t="str">
        <f>IFERROR(__xludf.DUMMYFUNCTION("""COMPUTED_VALUE"""),"Moises Padilla")</f>
        <v>Moises Padilla</v>
      </c>
      <c r="U409" s="142" t="str">
        <f>IFERROR(__xludf.DUMMYFUNCTION("""COMPUTED_VALUE"""),"Murcia")</f>
        <v>Murcia</v>
      </c>
      <c r="V409" s="142" t="str">
        <f>IFERROR(__xludf.DUMMYFUNCTION("""COMPUTED_VALUE"""),"Pontevedra")</f>
        <v>Pontevedra</v>
      </c>
      <c r="W409" s="142" t="str">
        <f>IFERROR(__xludf.DUMMYFUNCTION("""COMPUTED_VALUE"""),"Pulupandan")</f>
        <v>Pulupandan</v>
      </c>
      <c r="X409" s="142" t="str">
        <f>IFERROR(__xludf.DUMMYFUNCTION("""COMPUTED_VALUE"""),"City of Sagay")</f>
        <v>City of Sagay</v>
      </c>
      <c r="Y409" s="142" t="str">
        <f>IFERROR(__xludf.DUMMYFUNCTION("""COMPUTED_VALUE"""),"City of San Carlos")</f>
        <v>City of San Carlos</v>
      </c>
      <c r="Z409" s="142" t="str">
        <f>IFERROR(__xludf.DUMMYFUNCTION("""COMPUTED_VALUE"""),"San Enrique")</f>
        <v>San Enrique</v>
      </c>
      <c r="AA409" s="142" t="str">
        <f>IFERROR(__xludf.DUMMYFUNCTION("""COMPUTED_VALUE"""),"City of Silay")</f>
        <v>City of Silay</v>
      </c>
      <c r="AB409" s="142" t="str">
        <f>IFERROR(__xludf.DUMMYFUNCTION("""COMPUTED_VALUE"""),"City of Sipalay")</f>
        <v>City of Sipalay</v>
      </c>
      <c r="AC409" s="142" t="str">
        <f>IFERROR(__xludf.DUMMYFUNCTION("""COMPUTED_VALUE"""),"City of Talisay")</f>
        <v>City of Talisay</v>
      </c>
      <c r="AD409" s="142" t="str">
        <f>IFERROR(__xludf.DUMMYFUNCTION("""COMPUTED_VALUE"""),"Toboso")</f>
        <v>Toboso</v>
      </c>
      <c r="AE409" s="142" t="str">
        <f>IFERROR(__xludf.DUMMYFUNCTION("""COMPUTED_VALUE"""),"Valladolid")</f>
        <v>Valladolid</v>
      </c>
      <c r="AF409" s="142" t="str">
        <f>IFERROR(__xludf.DUMMYFUNCTION("""COMPUTED_VALUE"""),"City of Victorias")</f>
        <v>City of Victorias</v>
      </c>
      <c r="AG409" s="142" t="str">
        <f>IFERROR(__xludf.DUMMYFUNCTION("""COMPUTED_VALUE"""),"Salvador Benedicto")</f>
        <v>Salvador Benedicto</v>
      </c>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row>
    <row r="410">
      <c r="A410" s="142" t="s">
        <v>144</v>
      </c>
      <c r="B410" s="142" t="str">
        <f>IFERROR(__xludf.DUMMYFUNCTION("""COMPUTED_VALUE"""),"Agno")</f>
        <v>Agno</v>
      </c>
      <c r="C410" s="142" t="str">
        <f>IFERROR(__xludf.DUMMYFUNCTION("""COMPUTED_VALUE"""),"Aguilar")</f>
        <v>Aguilar</v>
      </c>
      <c r="D410" s="142" t="str">
        <f>IFERROR(__xludf.DUMMYFUNCTION("""COMPUTED_VALUE"""),"City of Alaminos")</f>
        <v>City of Alaminos</v>
      </c>
      <c r="E410" s="142" t="str">
        <f>IFERROR(__xludf.DUMMYFUNCTION("""COMPUTED_VALUE"""),"Alcala")</f>
        <v>Alcala</v>
      </c>
      <c r="F410" s="142" t="str">
        <f>IFERROR(__xludf.DUMMYFUNCTION("""COMPUTED_VALUE"""),"Anda")</f>
        <v>Anda</v>
      </c>
      <c r="G410" s="142" t="str">
        <f>IFERROR(__xludf.DUMMYFUNCTION("""COMPUTED_VALUE"""),"Asingan")</f>
        <v>Asingan</v>
      </c>
      <c r="H410" s="142" t="str">
        <f>IFERROR(__xludf.DUMMYFUNCTION("""COMPUTED_VALUE"""),"Balungao")</f>
        <v>Balungao</v>
      </c>
      <c r="I410" s="142" t="str">
        <f>IFERROR(__xludf.DUMMYFUNCTION("""COMPUTED_VALUE"""),"Bani")</f>
        <v>Bani</v>
      </c>
      <c r="J410" s="142" t="str">
        <f>IFERROR(__xludf.DUMMYFUNCTION("""COMPUTED_VALUE"""),"Basista")</f>
        <v>Basista</v>
      </c>
      <c r="K410" s="142" t="str">
        <f>IFERROR(__xludf.DUMMYFUNCTION("""COMPUTED_VALUE"""),"Bautista")</f>
        <v>Bautista</v>
      </c>
      <c r="L410" s="142" t="str">
        <f>IFERROR(__xludf.DUMMYFUNCTION("""COMPUTED_VALUE"""),"Bayambang")</f>
        <v>Bayambang</v>
      </c>
      <c r="M410" s="142" t="str">
        <f>IFERROR(__xludf.DUMMYFUNCTION("""COMPUTED_VALUE"""),"Binalonan")</f>
        <v>Binalonan</v>
      </c>
      <c r="N410" s="142" t="str">
        <f>IFERROR(__xludf.DUMMYFUNCTION("""COMPUTED_VALUE"""),"Binmaley")</f>
        <v>Binmaley</v>
      </c>
      <c r="O410" s="142" t="str">
        <f>IFERROR(__xludf.DUMMYFUNCTION("""COMPUTED_VALUE"""),"Bolinao")</f>
        <v>Bolinao</v>
      </c>
      <c r="P410" s="142" t="str">
        <f>IFERROR(__xludf.DUMMYFUNCTION("""COMPUTED_VALUE"""),"Bugallon")</f>
        <v>Bugallon</v>
      </c>
      <c r="Q410" s="142" t="str">
        <f>IFERROR(__xludf.DUMMYFUNCTION("""COMPUTED_VALUE"""),"Burgos")</f>
        <v>Burgos</v>
      </c>
      <c r="R410" s="142" t="str">
        <f>IFERROR(__xludf.DUMMYFUNCTION("""COMPUTED_VALUE"""),"Calasiao")</f>
        <v>Calasiao</v>
      </c>
      <c r="S410" s="142" t="str">
        <f>IFERROR(__xludf.DUMMYFUNCTION("""COMPUTED_VALUE"""),"City of Dagupan")</f>
        <v>City of Dagupan</v>
      </c>
      <c r="T410" s="142" t="str">
        <f>IFERROR(__xludf.DUMMYFUNCTION("""COMPUTED_VALUE"""),"Dasol")</f>
        <v>Dasol</v>
      </c>
      <c r="U410" s="142" t="str">
        <f>IFERROR(__xludf.DUMMYFUNCTION("""COMPUTED_VALUE"""),"Infanta")</f>
        <v>Infanta</v>
      </c>
      <c r="V410" s="142" t="str">
        <f>IFERROR(__xludf.DUMMYFUNCTION("""COMPUTED_VALUE"""),"Labrador")</f>
        <v>Labrador</v>
      </c>
      <c r="W410" s="142" t="str">
        <f>IFERROR(__xludf.DUMMYFUNCTION("""COMPUTED_VALUE"""),"Lingayen")</f>
        <v>Lingayen</v>
      </c>
      <c r="X410" s="142" t="str">
        <f>IFERROR(__xludf.DUMMYFUNCTION("""COMPUTED_VALUE"""),"Mabini")</f>
        <v>Mabini</v>
      </c>
      <c r="Y410" s="142" t="str">
        <f>IFERROR(__xludf.DUMMYFUNCTION("""COMPUTED_VALUE"""),"Malasiqui")</f>
        <v>Malasiqui</v>
      </c>
      <c r="Z410" s="142" t="str">
        <f>IFERROR(__xludf.DUMMYFUNCTION("""COMPUTED_VALUE"""),"Manaoag")</f>
        <v>Manaoag</v>
      </c>
      <c r="AA410" s="142" t="str">
        <f>IFERROR(__xludf.DUMMYFUNCTION("""COMPUTED_VALUE"""),"Mangaldan")</f>
        <v>Mangaldan</v>
      </c>
      <c r="AB410" s="142" t="str">
        <f>IFERROR(__xludf.DUMMYFUNCTION("""COMPUTED_VALUE"""),"Mangatarem")</f>
        <v>Mangatarem</v>
      </c>
      <c r="AC410" s="142" t="str">
        <f>IFERROR(__xludf.DUMMYFUNCTION("""COMPUTED_VALUE"""),"Mapandan")</f>
        <v>Mapandan</v>
      </c>
      <c r="AD410" s="142" t="str">
        <f>IFERROR(__xludf.DUMMYFUNCTION("""COMPUTED_VALUE"""),"Natividad")</f>
        <v>Natividad</v>
      </c>
      <c r="AE410" s="142" t="str">
        <f>IFERROR(__xludf.DUMMYFUNCTION("""COMPUTED_VALUE"""),"Pozorrubio")</f>
        <v>Pozorrubio</v>
      </c>
      <c r="AF410" s="142" t="str">
        <f>IFERROR(__xludf.DUMMYFUNCTION("""COMPUTED_VALUE"""),"Rosales")</f>
        <v>Rosales</v>
      </c>
      <c r="AG410" s="142" t="str">
        <f>IFERROR(__xludf.DUMMYFUNCTION("""COMPUTED_VALUE"""),"City of San Carlos")</f>
        <v>City of San Carlos</v>
      </c>
      <c r="AH410" s="142" t="str">
        <f>IFERROR(__xludf.DUMMYFUNCTION("""COMPUTED_VALUE"""),"San Fabian")</f>
        <v>San Fabian</v>
      </c>
      <c r="AI410" s="142" t="str">
        <f>IFERROR(__xludf.DUMMYFUNCTION("""COMPUTED_VALUE"""),"San Jacinto")</f>
        <v>San Jacinto</v>
      </c>
      <c r="AJ410" s="142" t="str">
        <f>IFERROR(__xludf.DUMMYFUNCTION("""COMPUTED_VALUE"""),"San Manuel")</f>
        <v>San Manuel</v>
      </c>
      <c r="AK410" s="142" t="str">
        <f>IFERROR(__xludf.DUMMYFUNCTION("""COMPUTED_VALUE"""),"San Nicolas")</f>
        <v>San Nicolas</v>
      </c>
      <c r="AL410" s="142" t="str">
        <f>IFERROR(__xludf.DUMMYFUNCTION("""COMPUTED_VALUE"""),"San Quintin")</f>
        <v>San Quintin</v>
      </c>
      <c r="AM410" s="142" t="str">
        <f>IFERROR(__xludf.DUMMYFUNCTION("""COMPUTED_VALUE"""),"Santa Barbara")</f>
        <v>Santa Barbara</v>
      </c>
      <c r="AN410" s="142" t="str">
        <f>IFERROR(__xludf.DUMMYFUNCTION("""COMPUTED_VALUE"""),"Santa Maria")</f>
        <v>Santa Maria</v>
      </c>
      <c r="AO410" s="142" t="str">
        <f>IFERROR(__xludf.DUMMYFUNCTION("""COMPUTED_VALUE"""),"Santo Tomas")</f>
        <v>Santo Tomas</v>
      </c>
      <c r="AP410" s="142" t="str">
        <f>IFERROR(__xludf.DUMMYFUNCTION("""COMPUTED_VALUE"""),"Sison")</f>
        <v>Sison</v>
      </c>
      <c r="AQ410" s="142" t="str">
        <f>IFERROR(__xludf.DUMMYFUNCTION("""COMPUTED_VALUE"""),"Sual")</f>
        <v>Sual</v>
      </c>
      <c r="AR410" s="142" t="str">
        <f>IFERROR(__xludf.DUMMYFUNCTION("""COMPUTED_VALUE"""),"Tayug")</f>
        <v>Tayug</v>
      </c>
      <c r="AS410" s="142" t="str">
        <f>IFERROR(__xludf.DUMMYFUNCTION("""COMPUTED_VALUE"""),"Umingan")</f>
        <v>Umingan</v>
      </c>
      <c r="AT410" s="142" t="str">
        <f>IFERROR(__xludf.DUMMYFUNCTION("""COMPUTED_VALUE"""),"Urbiztondo")</f>
        <v>Urbiztondo</v>
      </c>
      <c r="AU410" s="142" t="str">
        <f>IFERROR(__xludf.DUMMYFUNCTION("""COMPUTED_VALUE"""),"City of Urdaneta")</f>
        <v>City of Urdaneta</v>
      </c>
      <c r="AV410" s="142" t="str">
        <f>IFERROR(__xludf.DUMMYFUNCTION("""COMPUTED_VALUE"""),"Villasis")</f>
        <v>Villasis</v>
      </c>
      <c r="AW410" s="142" t="str">
        <f>IFERROR(__xludf.DUMMYFUNCTION("""COMPUTED_VALUE"""),"Laoac")</f>
        <v>Laoac</v>
      </c>
      <c r="AX410" s="8"/>
      <c r="AY410" s="8"/>
      <c r="AZ410" s="8"/>
      <c r="BA410" s="8"/>
      <c r="BB410" s="8"/>
      <c r="BC410" s="8"/>
      <c r="BD410" s="8"/>
      <c r="BE410" s="8"/>
    </row>
    <row r="411">
      <c r="A411" s="142" t="s">
        <v>144</v>
      </c>
      <c r="B411" s="142" t="str">
        <f>IFERROR(__xludf.DUMMYFUNCTION("""COMPUTED_VALUE"""),"Agno")</f>
        <v>Agno</v>
      </c>
      <c r="C411" s="142" t="str">
        <f>IFERROR(__xludf.DUMMYFUNCTION("""COMPUTED_VALUE"""),"Aguilar")</f>
        <v>Aguilar</v>
      </c>
      <c r="D411" s="142" t="str">
        <f>IFERROR(__xludf.DUMMYFUNCTION("""COMPUTED_VALUE"""),"City of Alaminos")</f>
        <v>City of Alaminos</v>
      </c>
      <c r="E411" s="142" t="str">
        <f>IFERROR(__xludf.DUMMYFUNCTION("""COMPUTED_VALUE"""),"Alcala")</f>
        <v>Alcala</v>
      </c>
      <c r="F411" s="142" t="str">
        <f>IFERROR(__xludf.DUMMYFUNCTION("""COMPUTED_VALUE"""),"Anda")</f>
        <v>Anda</v>
      </c>
      <c r="G411" s="142" t="str">
        <f>IFERROR(__xludf.DUMMYFUNCTION("""COMPUTED_VALUE"""),"Asingan")</f>
        <v>Asingan</v>
      </c>
      <c r="H411" s="142" t="str">
        <f>IFERROR(__xludf.DUMMYFUNCTION("""COMPUTED_VALUE"""),"Balungao")</f>
        <v>Balungao</v>
      </c>
      <c r="I411" s="142" t="str">
        <f>IFERROR(__xludf.DUMMYFUNCTION("""COMPUTED_VALUE"""),"Bani")</f>
        <v>Bani</v>
      </c>
      <c r="J411" s="142" t="str">
        <f>IFERROR(__xludf.DUMMYFUNCTION("""COMPUTED_VALUE"""),"Basista")</f>
        <v>Basista</v>
      </c>
      <c r="K411" s="142" t="str">
        <f>IFERROR(__xludf.DUMMYFUNCTION("""COMPUTED_VALUE"""),"Bautista")</f>
        <v>Bautista</v>
      </c>
      <c r="L411" s="142" t="str">
        <f>IFERROR(__xludf.DUMMYFUNCTION("""COMPUTED_VALUE"""),"Bayambang")</f>
        <v>Bayambang</v>
      </c>
      <c r="M411" s="142" t="str">
        <f>IFERROR(__xludf.DUMMYFUNCTION("""COMPUTED_VALUE"""),"Binalonan")</f>
        <v>Binalonan</v>
      </c>
      <c r="N411" s="142" t="str">
        <f>IFERROR(__xludf.DUMMYFUNCTION("""COMPUTED_VALUE"""),"Binmaley")</f>
        <v>Binmaley</v>
      </c>
      <c r="O411" s="142" t="str">
        <f>IFERROR(__xludf.DUMMYFUNCTION("""COMPUTED_VALUE"""),"Bolinao")</f>
        <v>Bolinao</v>
      </c>
      <c r="P411" s="142" t="str">
        <f>IFERROR(__xludf.DUMMYFUNCTION("""COMPUTED_VALUE"""),"Bugallon")</f>
        <v>Bugallon</v>
      </c>
      <c r="Q411" s="142" t="str">
        <f>IFERROR(__xludf.DUMMYFUNCTION("""COMPUTED_VALUE"""),"Burgos")</f>
        <v>Burgos</v>
      </c>
      <c r="R411" s="142" t="str">
        <f>IFERROR(__xludf.DUMMYFUNCTION("""COMPUTED_VALUE"""),"Calasiao")</f>
        <v>Calasiao</v>
      </c>
      <c r="S411" s="142" t="str">
        <f>IFERROR(__xludf.DUMMYFUNCTION("""COMPUTED_VALUE"""),"City of Dagupan")</f>
        <v>City of Dagupan</v>
      </c>
      <c r="T411" s="142" t="str">
        <f>IFERROR(__xludf.DUMMYFUNCTION("""COMPUTED_VALUE"""),"Dasol")</f>
        <v>Dasol</v>
      </c>
      <c r="U411" s="142" t="str">
        <f>IFERROR(__xludf.DUMMYFUNCTION("""COMPUTED_VALUE"""),"Infanta")</f>
        <v>Infanta</v>
      </c>
      <c r="V411" s="142" t="str">
        <f>IFERROR(__xludf.DUMMYFUNCTION("""COMPUTED_VALUE"""),"Labrador")</f>
        <v>Labrador</v>
      </c>
      <c r="W411" s="142" t="str">
        <f>IFERROR(__xludf.DUMMYFUNCTION("""COMPUTED_VALUE"""),"Lingayen")</f>
        <v>Lingayen</v>
      </c>
      <c r="X411" s="142" t="str">
        <f>IFERROR(__xludf.DUMMYFUNCTION("""COMPUTED_VALUE"""),"Mabini")</f>
        <v>Mabini</v>
      </c>
      <c r="Y411" s="142" t="str">
        <f>IFERROR(__xludf.DUMMYFUNCTION("""COMPUTED_VALUE"""),"Malasiqui")</f>
        <v>Malasiqui</v>
      </c>
      <c r="Z411" s="142" t="str">
        <f>IFERROR(__xludf.DUMMYFUNCTION("""COMPUTED_VALUE"""),"Manaoag")</f>
        <v>Manaoag</v>
      </c>
      <c r="AA411" s="142" t="str">
        <f>IFERROR(__xludf.DUMMYFUNCTION("""COMPUTED_VALUE"""),"Mangaldan")</f>
        <v>Mangaldan</v>
      </c>
      <c r="AB411" s="142" t="str">
        <f>IFERROR(__xludf.DUMMYFUNCTION("""COMPUTED_VALUE"""),"Mangatarem")</f>
        <v>Mangatarem</v>
      </c>
      <c r="AC411" s="142" t="str">
        <f>IFERROR(__xludf.DUMMYFUNCTION("""COMPUTED_VALUE"""),"Mapandan")</f>
        <v>Mapandan</v>
      </c>
      <c r="AD411" s="142" t="str">
        <f>IFERROR(__xludf.DUMMYFUNCTION("""COMPUTED_VALUE"""),"Natividad")</f>
        <v>Natividad</v>
      </c>
      <c r="AE411" s="142" t="str">
        <f>IFERROR(__xludf.DUMMYFUNCTION("""COMPUTED_VALUE"""),"Pozorrubio")</f>
        <v>Pozorrubio</v>
      </c>
      <c r="AF411" s="142" t="str">
        <f>IFERROR(__xludf.DUMMYFUNCTION("""COMPUTED_VALUE"""),"Rosales")</f>
        <v>Rosales</v>
      </c>
      <c r="AG411" s="142" t="str">
        <f>IFERROR(__xludf.DUMMYFUNCTION("""COMPUTED_VALUE"""),"City of San Carlos")</f>
        <v>City of San Carlos</v>
      </c>
      <c r="AH411" s="142" t="str">
        <f>IFERROR(__xludf.DUMMYFUNCTION("""COMPUTED_VALUE"""),"San Fabian")</f>
        <v>San Fabian</v>
      </c>
      <c r="AI411" s="142" t="str">
        <f>IFERROR(__xludf.DUMMYFUNCTION("""COMPUTED_VALUE"""),"San Jacinto")</f>
        <v>San Jacinto</v>
      </c>
      <c r="AJ411" s="142" t="str">
        <f>IFERROR(__xludf.DUMMYFUNCTION("""COMPUTED_VALUE"""),"San Manuel")</f>
        <v>San Manuel</v>
      </c>
      <c r="AK411" s="142" t="str">
        <f>IFERROR(__xludf.DUMMYFUNCTION("""COMPUTED_VALUE"""),"San Nicolas")</f>
        <v>San Nicolas</v>
      </c>
      <c r="AL411" s="142" t="str">
        <f>IFERROR(__xludf.DUMMYFUNCTION("""COMPUTED_VALUE"""),"San Quintin")</f>
        <v>San Quintin</v>
      </c>
      <c r="AM411" s="142" t="str">
        <f>IFERROR(__xludf.DUMMYFUNCTION("""COMPUTED_VALUE"""),"Santa Barbara")</f>
        <v>Santa Barbara</v>
      </c>
      <c r="AN411" s="142" t="str">
        <f>IFERROR(__xludf.DUMMYFUNCTION("""COMPUTED_VALUE"""),"Santa Maria")</f>
        <v>Santa Maria</v>
      </c>
      <c r="AO411" s="142" t="str">
        <f>IFERROR(__xludf.DUMMYFUNCTION("""COMPUTED_VALUE"""),"Santo Tomas")</f>
        <v>Santo Tomas</v>
      </c>
      <c r="AP411" s="142" t="str">
        <f>IFERROR(__xludf.DUMMYFUNCTION("""COMPUTED_VALUE"""),"Sison")</f>
        <v>Sison</v>
      </c>
      <c r="AQ411" s="142" t="str">
        <f>IFERROR(__xludf.DUMMYFUNCTION("""COMPUTED_VALUE"""),"Sual")</f>
        <v>Sual</v>
      </c>
      <c r="AR411" s="142" t="str">
        <f>IFERROR(__xludf.DUMMYFUNCTION("""COMPUTED_VALUE"""),"Tayug")</f>
        <v>Tayug</v>
      </c>
      <c r="AS411" s="142" t="str">
        <f>IFERROR(__xludf.DUMMYFUNCTION("""COMPUTED_VALUE"""),"Umingan")</f>
        <v>Umingan</v>
      </c>
      <c r="AT411" s="142" t="str">
        <f>IFERROR(__xludf.DUMMYFUNCTION("""COMPUTED_VALUE"""),"Urbiztondo")</f>
        <v>Urbiztondo</v>
      </c>
      <c r="AU411" s="142" t="str">
        <f>IFERROR(__xludf.DUMMYFUNCTION("""COMPUTED_VALUE"""),"City of Urdaneta")</f>
        <v>City of Urdaneta</v>
      </c>
      <c r="AV411" s="142" t="str">
        <f>IFERROR(__xludf.DUMMYFUNCTION("""COMPUTED_VALUE"""),"Villasis")</f>
        <v>Villasis</v>
      </c>
      <c r="AW411" s="142" t="str">
        <f>IFERROR(__xludf.DUMMYFUNCTION("""COMPUTED_VALUE"""),"Laoac")</f>
        <v>Laoac</v>
      </c>
      <c r="AX411" s="8"/>
      <c r="AY411" s="8"/>
      <c r="AZ411" s="8"/>
      <c r="BA411" s="8"/>
      <c r="BB411" s="8"/>
      <c r="BC411" s="8"/>
      <c r="BD411" s="8"/>
      <c r="BE411" s="8"/>
    </row>
    <row r="412">
      <c r="A412" s="142" t="s">
        <v>144</v>
      </c>
      <c r="B412" s="142" t="str">
        <f>IFERROR(__xludf.DUMMYFUNCTION("""COMPUTED_VALUE"""),"Agno")</f>
        <v>Agno</v>
      </c>
      <c r="C412" s="142" t="str">
        <f>IFERROR(__xludf.DUMMYFUNCTION("""COMPUTED_VALUE"""),"Aguilar")</f>
        <v>Aguilar</v>
      </c>
      <c r="D412" s="142" t="str">
        <f>IFERROR(__xludf.DUMMYFUNCTION("""COMPUTED_VALUE"""),"City of Alaminos")</f>
        <v>City of Alaminos</v>
      </c>
      <c r="E412" s="142" t="str">
        <f>IFERROR(__xludf.DUMMYFUNCTION("""COMPUTED_VALUE"""),"Alcala")</f>
        <v>Alcala</v>
      </c>
      <c r="F412" s="142" t="str">
        <f>IFERROR(__xludf.DUMMYFUNCTION("""COMPUTED_VALUE"""),"Anda")</f>
        <v>Anda</v>
      </c>
      <c r="G412" s="142" t="str">
        <f>IFERROR(__xludf.DUMMYFUNCTION("""COMPUTED_VALUE"""),"Asingan")</f>
        <v>Asingan</v>
      </c>
      <c r="H412" s="142" t="str">
        <f>IFERROR(__xludf.DUMMYFUNCTION("""COMPUTED_VALUE"""),"Balungao")</f>
        <v>Balungao</v>
      </c>
      <c r="I412" s="142" t="str">
        <f>IFERROR(__xludf.DUMMYFUNCTION("""COMPUTED_VALUE"""),"Bani")</f>
        <v>Bani</v>
      </c>
      <c r="J412" s="142" t="str">
        <f>IFERROR(__xludf.DUMMYFUNCTION("""COMPUTED_VALUE"""),"Basista")</f>
        <v>Basista</v>
      </c>
      <c r="K412" s="142" t="str">
        <f>IFERROR(__xludf.DUMMYFUNCTION("""COMPUTED_VALUE"""),"Bautista")</f>
        <v>Bautista</v>
      </c>
      <c r="L412" s="142" t="str">
        <f>IFERROR(__xludf.DUMMYFUNCTION("""COMPUTED_VALUE"""),"Bayambang")</f>
        <v>Bayambang</v>
      </c>
      <c r="M412" s="142" t="str">
        <f>IFERROR(__xludf.DUMMYFUNCTION("""COMPUTED_VALUE"""),"Binalonan")</f>
        <v>Binalonan</v>
      </c>
      <c r="N412" s="142" t="str">
        <f>IFERROR(__xludf.DUMMYFUNCTION("""COMPUTED_VALUE"""),"Binmaley")</f>
        <v>Binmaley</v>
      </c>
      <c r="O412" s="142" t="str">
        <f>IFERROR(__xludf.DUMMYFUNCTION("""COMPUTED_VALUE"""),"Bolinao")</f>
        <v>Bolinao</v>
      </c>
      <c r="P412" s="142" t="str">
        <f>IFERROR(__xludf.DUMMYFUNCTION("""COMPUTED_VALUE"""),"Bugallon")</f>
        <v>Bugallon</v>
      </c>
      <c r="Q412" s="142" t="str">
        <f>IFERROR(__xludf.DUMMYFUNCTION("""COMPUTED_VALUE"""),"Burgos")</f>
        <v>Burgos</v>
      </c>
      <c r="R412" s="142" t="str">
        <f>IFERROR(__xludf.DUMMYFUNCTION("""COMPUTED_VALUE"""),"Calasiao")</f>
        <v>Calasiao</v>
      </c>
      <c r="S412" s="142" t="str">
        <f>IFERROR(__xludf.DUMMYFUNCTION("""COMPUTED_VALUE"""),"City of Dagupan")</f>
        <v>City of Dagupan</v>
      </c>
      <c r="T412" s="142" t="str">
        <f>IFERROR(__xludf.DUMMYFUNCTION("""COMPUTED_VALUE"""),"Dasol")</f>
        <v>Dasol</v>
      </c>
      <c r="U412" s="142" t="str">
        <f>IFERROR(__xludf.DUMMYFUNCTION("""COMPUTED_VALUE"""),"Infanta")</f>
        <v>Infanta</v>
      </c>
      <c r="V412" s="142" t="str">
        <f>IFERROR(__xludf.DUMMYFUNCTION("""COMPUTED_VALUE"""),"Labrador")</f>
        <v>Labrador</v>
      </c>
      <c r="W412" s="142" t="str">
        <f>IFERROR(__xludf.DUMMYFUNCTION("""COMPUTED_VALUE"""),"Lingayen")</f>
        <v>Lingayen</v>
      </c>
      <c r="X412" s="142" t="str">
        <f>IFERROR(__xludf.DUMMYFUNCTION("""COMPUTED_VALUE"""),"Mabini")</f>
        <v>Mabini</v>
      </c>
      <c r="Y412" s="142" t="str">
        <f>IFERROR(__xludf.DUMMYFUNCTION("""COMPUTED_VALUE"""),"Malasiqui")</f>
        <v>Malasiqui</v>
      </c>
      <c r="Z412" s="142" t="str">
        <f>IFERROR(__xludf.DUMMYFUNCTION("""COMPUTED_VALUE"""),"Manaoag")</f>
        <v>Manaoag</v>
      </c>
      <c r="AA412" s="142" t="str">
        <f>IFERROR(__xludf.DUMMYFUNCTION("""COMPUTED_VALUE"""),"Mangaldan")</f>
        <v>Mangaldan</v>
      </c>
      <c r="AB412" s="142" t="str">
        <f>IFERROR(__xludf.DUMMYFUNCTION("""COMPUTED_VALUE"""),"Mangatarem")</f>
        <v>Mangatarem</v>
      </c>
      <c r="AC412" s="142" t="str">
        <f>IFERROR(__xludf.DUMMYFUNCTION("""COMPUTED_VALUE"""),"Mapandan")</f>
        <v>Mapandan</v>
      </c>
      <c r="AD412" s="142" t="str">
        <f>IFERROR(__xludf.DUMMYFUNCTION("""COMPUTED_VALUE"""),"Natividad")</f>
        <v>Natividad</v>
      </c>
      <c r="AE412" s="142" t="str">
        <f>IFERROR(__xludf.DUMMYFUNCTION("""COMPUTED_VALUE"""),"Pozorrubio")</f>
        <v>Pozorrubio</v>
      </c>
      <c r="AF412" s="142" t="str">
        <f>IFERROR(__xludf.DUMMYFUNCTION("""COMPUTED_VALUE"""),"Rosales")</f>
        <v>Rosales</v>
      </c>
      <c r="AG412" s="142" t="str">
        <f>IFERROR(__xludf.DUMMYFUNCTION("""COMPUTED_VALUE"""),"City of San Carlos")</f>
        <v>City of San Carlos</v>
      </c>
      <c r="AH412" s="142" t="str">
        <f>IFERROR(__xludf.DUMMYFUNCTION("""COMPUTED_VALUE"""),"San Fabian")</f>
        <v>San Fabian</v>
      </c>
      <c r="AI412" s="142" t="str">
        <f>IFERROR(__xludf.DUMMYFUNCTION("""COMPUTED_VALUE"""),"San Jacinto")</f>
        <v>San Jacinto</v>
      </c>
      <c r="AJ412" s="142" t="str">
        <f>IFERROR(__xludf.DUMMYFUNCTION("""COMPUTED_VALUE"""),"San Manuel")</f>
        <v>San Manuel</v>
      </c>
      <c r="AK412" s="142" t="str">
        <f>IFERROR(__xludf.DUMMYFUNCTION("""COMPUTED_VALUE"""),"San Nicolas")</f>
        <v>San Nicolas</v>
      </c>
      <c r="AL412" s="142" t="str">
        <f>IFERROR(__xludf.DUMMYFUNCTION("""COMPUTED_VALUE"""),"San Quintin")</f>
        <v>San Quintin</v>
      </c>
      <c r="AM412" s="142" t="str">
        <f>IFERROR(__xludf.DUMMYFUNCTION("""COMPUTED_VALUE"""),"Santa Barbara")</f>
        <v>Santa Barbara</v>
      </c>
      <c r="AN412" s="142" t="str">
        <f>IFERROR(__xludf.DUMMYFUNCTION("""COMPUTED_VALUE"""),"Santa Maria")</f>
        <v>Santa Maria</v>
      </c>
      <c r="AO412" s="142" t="str">
        <f>IFERROR(__xludf.DUMMYFUNCTION("""COMPUTED_VALUE"""),"Santo Tomas")</f>
        <v>Santo Tomas</v>
      </c>
      <c r="AP412" s="142" t="str">
        <f>IFERROR(__xludf.DUMMYFUNCTION("""COMPUTED_VALUE"""),"Sison")</f>
        <v>Sison</v>
      </c>
      <c r="AQ412" s="142" t="str">
        <f>IFERROR(__xludf.DUMMYFUNCTION("""COMPUTED_VALUE"""),"Sual")</f>
        <v>Sual</v>
      </c>
      <c r="AR412" s="142" t="str">
        <f>IFERROR(__xludf.DUMMYFUNCTION("""COMPUTED_VALUE"""),"Tayug")</f>
        <v>Tayug</v>
      </c>
      <c r="AS412" s="142" t="str">
        <f>IFERROR(__xludf.DUMMYFUNCTION("""COMPUTED_VALUE"""),"Umingan")</f>
        <v>Umingan</v>
      </c>
      <c r="AT412" s="142" t="str">
        <f>IFERROR(__xludf.DUMMYFUNCTION("""COMPUTED_VALUE"""),"Urbiztondo")</f>
        <v>Urbiztondo</v>
      </c>
      <c r="AU412" s="142" t="str">
        <f>IFERROR(__xludf.DUMMYFUNCTION("""COMPUTED_VALUE"""),"City of Urdaneta")</f>
        <v>City of Urdaneta</v>
      </c>
      <c r="AV412" s="142" t="str">
        <f>IFERROR(__xludf.DUMMYFUNCTION("""COMPUTED_VALUE"""),"Villasis")</f>
        <v>Villasis</v>
      </c>
      <c r="AW412" s="142" t="str">
        <f>IFERROR(__xludf.DUMMYFUNCTION("""COMPUTED_VALUE"""),"Laoac")</f>
        <v>Laoac</v>
      </c>
      <c r="AX412" s="8"/>
      <c r="AY412" s="8"/>
      <c r="AZ412" s="8"/>
      <c r="BA412" s="8"/>
      <c r="BB412" s="8"/>
      <c r="BC412" s="8"/>
      <c r="BD412" s="8"/>
      <c r="BE412" s="8"/>
    </row>
    <row r="413">
      <c r="A413" s="142" t="s">
        <v>144</v>
      </c>
      <c r="B413" s="142" t="str">
        <f>IFERROR(__xludf.DUMMYFUNCTION("""COMPUTED_VALUE"""),"Agno")</f>
        <v>Agno</v>
      </c>
      <c r="C413" s="142" t="str">
        <f>IFERROR(__xludf.DUMMYFUNCTION("""COMPUTED_VALUE"""),"Aguilar")</f>
        <v>Aguilar</v>
      </c>
      <c r="D413" s="142" t="str">
        <f>IFERROR(__xludf.DUMMYFUNCTION("""COMPUTED_VALUE"""),"City of Alaminos")</f>
        <v>City of Alaminos</v>
      </c>
      <c r="E413" s="142" t="str">
        <f>IFERROR(__xludf.DUMMYFUNCTION("""COMPUTED_VALUE"""),"Alcala")</f>
        <v>Alcala</v>
      </c>
      <c r="F413" s="142" t="str">
        <f>IFERROR(__xludf.DUMMYFUNCTION("""COMPUTED_VALUE"""),"Anda")</f>
        <v>Anda</v>
      </c>
      <c r="G413" s="142" t="str">
        <f>IFERROR(__xludf.DUMMYFUNCTION("""COMPUTED_VALUE"""),"Asingan")</f>
        <v>Asingan</v>
      </c>
      <c r="H413" s="142" t="str">
        <f>IFERROR(__xludf.DUMMYFUNCTION("""COMPUTED_VALUE"""),"Balungao")</f>
        <v>Balungao</v>
      </c>
      <c r="I413" s="142" t="str">
        <f>IFERROR(__xludf.DUMMYFUNCTION("""COMPUTED_VALUE"""),"Bani")</f>
        <v>Bani</v>
      </c>
      <c r="J413" s="142" t="str">
        <f>IFERROR(__xludf.DUMMYFUNCTION("""COMPUTED_VALUE"""),"Basista")</f>
        <v>Basista</v>
      </c>
      <c r="K413" s="142" t="str">
        <f>IFERROR(__xludf.DUMMYFUNCTION("""COMPUTED_VALUE"""),"Bautista")</f>
        <v>Bautista</v>
      </c>
      <c r="L413" s="142" t="str">
        <f>IFERROR(__xludf.DUMMYFUNCTION("""COMPUTED_VALUE"""),"Bayambang")</f>
        <v>Bayambang</v>
      </c>
      <c r="M413" s="142" t="str">
        <f>IFERROR(__xludf.DUMMYFUNCTION("""COMPUTED_VALUE"""),"Binalonan")</f>
        <v>Binalonan</v>
      </c>
      <c r="N413" s="142" t="str">
        <f>IFERROR(__xludf.DUMMYFUNCTION("""COMPUTED_VALUE"""),"Binmaley")</f>
        <v>Binmaley</v>
      </c>
      <c r="O413" s="142" t="str">
        <f>IFERROR(__xludf.DUMMYFUNCTION("""COMPUTED_VALUE"""),"Bolinao")</f>
        <v>Bolinao</v>
      </c>
      <c r="P413" s="142" t="str">
        <f>IFERROR(__xludf.DUMMYFUNCTION("""COMPUTED_VALUE"""),"Bugallon")</f>
        <v>Bugallon</v>
      </c>
      <c r="Q413" s="142" t="str">
        <f>IFERROR(__xludf.DUMMYFUNCTION("""COMPUTED_VALUE"""),"Burgos")</f>
        <v>Burgos</v>
      </c>
      <c r="R413" s="142" t="str">
        <f>IFERROR(__xludf.DUMMYFUNCTION("""COMPUTED_VALUE"""),"Calasiao")</f>
        <v>Calasiao</v>
      </c>
      <c r="S413" s="142" t="str">
        <f>IFERROR(__xludf.DUMMYFUNCTION("""COMPUTED_VALUE"""),"City of Dagupan")</f>
        <v>City of Dagupan</v>
      </c>
      <c r="T413" s="142" t="str">
        <f>IFERROR(__xludf.DUMMYFUNCTION("""COMPUTED_VALUE"""),"Dasol")</f>
        <v>Dasol</v>
      </c>
      <c r="U413" s="142" t="str">
        <f>IFERROR(__xludf.DUMMYFUNCTION("""COMPUTED_VALUE"""),"Infanta")</f>
        <v>Infanta</v>
      </c>
      <c r="V413" s="142" t="str">
        <f>IFERROR(__xludf.DUMMYFUNCTION("""COMPUTED_VALUE"""),"Labrador")</f>
        <v>Labrador</v>
      </c>
      <c r="W413" s="142" t="str">
        <f>IFERROR(__xludf.DUMMYFUNCTION("""COMPUTED_VALUE"""),"Lingayen")</f>
        <v>Lingayen</v>
      </c>
      <c r="X413" s="142" t="str">
        <f>IFERROR(__xludf.DUMMYFUNCTION("""COMPUTED_VALUE"""),"Mabini")</f>
        <v>Mabini</v>
      </c>
      <c r="Y413" s="142" t="str">
        <f>IFERROR(__xludf.DUMMYFUNCTION("""COMPUTED_VALUE"""),"Malasiqui")</f>
        <v>Malasiqui</v>
      </c>
      <c r="Z413" s="142" t="str">
        <f>IFERROR(__xludf.DUMMYFUNCTION("""COMPUTED_VALUE"""),"Manaoag")</f>
        <v>Manaoag</v>
      </c>
      <c r="AA413" s="142" t="str">
        <f>IFERROR(__xludf.DUMMYFUNCTION("""COMPUTED_VALUE"""),"Mangaldan")</f>
        <v>Mangaldan</v>
      </c>
      <c r="AB413" s="142" t="str">
        <f>IFERROR(__xludf.DUMMYFUNCTION("""COMPUTED_VALUE"""),"Mangatarem")</f>
        <v>Mangatarem</v>
      </c>
      <c r="AC413" s="142" t="str">
        <f>IFERROR(__xludf.DUMMYFUNCTION("""COMPUTED_VALUE"""),"Mapandan")</f>
        <v>Mapandan</v>
      </c>
      <c r="AD413" s="142" t="str">
        <f>IFERROR(__xludf.DUMMYFUNCTION("""COMPUTED_VALUE"""),"Natividad")</f>
        <v>Natividad</v>
      </c>
      <c r="AE413" s="142" t="str">
        <f>IFERROR(__xludf.DUMMYFUNCTION("""COMPUTED_VALUE"""),"Pozorrubio")</f>
        <v>Pozorrubio</v>
      </c>
      <c r="AF413" s="142" t="str">
        <f>IFERROR(__xludf.DUMMYFUNCTION("""COMPUTED_VALUE"""),"Rosales")</f>
        <v>Rosales</v>
      </c>
      <c r="AG413" s="142" t="str">
        <f>IFERROR(__xludf.DUMMYFUNCTION("""COMPUTED_VALUE"""),"City of San Carlos")</f>
        <v>City of San Carlos</v>
      </c>
      <c r="AH413" s="142" t="str">
        <f>IFERROR(__xludf.DUMMYFUNCTION("""COMPUTED_VALUE"""),"San Fabian")</f>
        <v>San Fabian</v>
      </c>
      <c r="AI413" s="142" t="str">
        <f>IFERROR(__xludf.DUMMYFUNCTION("""COMPUTED_VALUE"""),"San Jacinto")</f>
        <v>San Jacinto</v>
      </c>
      <c r="AJ413" s="142" t="str">
        <f>IFERROR(__xludf.DUMMYFUNCTION("""COMPUTED_VALUE"""),"San Manuel")</f>
        <v>San Manuel</v>
      </c>
      <c r="AK413" s="142" t="str">
        <f>IFERROR(__xludf.DUMMYFUNCTION("""COMPUTED_VALUE"""),"San Nicolas")</f>
        <v>San Nicolas</v>
      </c>
      <c r="AL413" s="142" t="str">
        <f>IFERROR(__xludf.DUMMYFUNCTION("""COMPUTED_VALUE"""),"San Quintin")</f>
        <v>San Quintin</v>
      </c>
      <c r="AM413" s="142" t="str">
        <f>IFERROR(__xludf.DUMMYFUNCTION("""COMPUTED_VALUE"""),"Santa Barbara")</f>
        <v>Santa Barbara</v>
      </c>
      <c r="AN413" s="142" t="str">
        <f>IFERROR(__xludf.DUMMYFUNCTION("""COMPUTED_VALUE"""),"Santa Maria")</f>
        <v>Santa Maria</v>
      </c>
      <c r="AO413" s="142" t="str">
        <f>IFERROR(__xludf.DUMMYFUNCTION("""COMPUTED_VALUE"""),"Santo Tomas")</f>
        <v>Santo Tomas</v>
      </c>
      <c r="AP413" s="142" t="str">
        <f>IFERROR(__xludf.DUMMYFUNCTION("""COMPUTED_VALUE"""),"Sison")</f>
        <v>Sison</v>
      </c>
      <c r="AQ413" s="142" t="str">
        <f>IFERROR(__xludf.DUMMYFUNCTION("""COMPUTED_VALUE"""),"Sual")</f>
        <v>Sual</v>
      </c>
      <c r="AR413" s="142" t="str">
        <f>IFERROR(__xludf.DUMMYFUNCTION("""COMPUTED_VALUE"""),"Tayug")</f>
        <v>Tayug</v>
      </c>
      <c r="AS413" s="142" t="str">
        <f>IFERROR(__xludf.DUMMYFUNCTION("""COMPUTED_VALUE"""),"Umingan")</f>
        <v>Umingan</v>
      </c>
      <c r="AT413" s="142" t="str">
        <f>IFERROR(__xludf.DUMMYFUNCTION("""COMPUTED_VALUE"""),"Urbiztondo")</f>
        <v>Urbiztondo</v>
      </c>
      <c r="AU413" s="142" t="str">
        <f>IFERROR(__xludf.DUMMYFUNCTION("""COMPUTED_VALUE"""),"City of Urdaneta")</f>
        <v>City of Urdaneta</v>
      </c>
      <c r="AV413" s="142" t="str">
        <f>IFERROR(__xludf.DUMMYFUNCTION("""COMPUTED_VALUE"""),"Villasis")</f>
        <v>Villasis</v>
      </c>
      <c r="AW413" s="142" t="str">
        <f>IFERROR(__xludf.DUMMYFUNCTION("""COMPUTED_VALUE"""),"Laoac")</f>
        <v>Laoac</v>
      </c>
      <c r="AX413" s="8"/>
      <c r="AY413" s="8"/>
      <c r="AZ413" s="8"/>
      <c r="BA413" s="8"/>
      <c r="BB413" s="8"/>
      <c r="BC413" s="8"/>
      <c r="BD413" s="8"/>
      <c r="BE413" s="8"/>
    </row>
    <row r="414">
      <c r="A414" s="142" t="s">
        <v>144</v>
      </c>
      <c r="B414" s="142" t="str">
        <f>IFERROR(__xludf.DUMMYFUNCTION("""COMPUTED_VALUE"""),"Agno")</f>
        <v>Agno</v>
      </c>
      <c r="C414" s="142" t="str">
        <f>IFERROR(__xludf.DUMMYFUNCTION("""COMPUTED_VALUE"""),"Aguilar")</f>
        <v>Aguilar</v>
      </c>
      <c r="D414" s="142" t="str">
        <f>IFERROR(__xludf.DUMMYFUNCTION("""COMPUTED_VALUE"""),"City of Alaminos")</f>
        <v>City of Alaminos</v>
      </c>
      <c r="E414" s="142" t="str">
        <f>IFERROR(__xludf.DUMMYFUNCTION("""COMPUTED_VALUE"""),"Alcala")</f>
        <v>Alcala</v>
      </c>
      <c r="F414" s="142" t="str">
        <f>IFERROR(__xludf.DUMMYFUNCTION("""COMPUTED_VALUE"""),"Anda")</f>
        <v>Anda</v>
      </c>
      <c r="G414" s="142" t="str">
        <f>IFERROR(__xludf.DUMMYFUNCTION("""COMPUTED_VALUE"""),"Asingan")</f>
        <v>Asingan</v>
      </c>
      <c r="H414" s="142" t="str">
        <f>IFERROR(__xludf.DUMMYFUNCTION("""COMPUTED_VALUE"""),"Balungao")</f>
        <v>Balungao</v>
      </c>
      <c r="I414" s="142" t="str">
        <f>IFERROR(__xludf.DUMMYFUNCTION("""COMPUTED_VALUE"""),"Bani")</f>
        <v>Bani</v>
      </c>
      <c r="J414" s="142" t="str">
        <f>IFERROR(__xludf.DUMMYFUNCTION("""COMPUTED_VALUE"""),"Basista")</f>
        <v>Basista</v>
      </c>
      <c r="K414" s="142" t="str">
        <f>IFERROR(__xludf.DUMMYFUNCTION("""COMPUTED_VALUE"""),"Bautista")</f>
        <v>Bautista</v>
      </c>
      <c r="L414" s="142" t="str">
        <f>IFERROR(__xludf.DUMMYFUNCTION("""COMPUTED_VALUE"""),"Bayambang")</f>
        <v>Bayambang</v>
      </c>
      <c r="M414" s="142" t="str">
        <f>IFERROR(__xludf.DUMMYFUNCTION("""COMPUTED_VALUE"""),"Binalonan")</f>
        <v>Binalonan</v>
      </c>
      <c r="N414" s="142" t="str">
        <f>IFERROR(__xludf.DUMMYFUNCTION("""COMPUTED_VALUE"""),"Binmaley")</f>
        <v>Binmaley</v>
      </c>
      <c r="O414" s="142" t="str">
        <f>IFERROR(__xludf.DUMMYFUNCTION("""COMPUTED_VALUE"""),"Bolinao")</f>
        <v>Bolinao</v>
      </c>
      <c r="P414" s="142" t="str">
        <f>IFERROR(__xludf.DUMMYFUNCTION("""COMPUTED_VALUE"""),"Bugallon")</f>
        <v>Bugallon</v>
      </c>
      <c r="Q414" s="142" t="str">
        <f>IFERROR(__xludf.DUMMYFUNCTION("""COMPUTED_VALUE"""),"Burgos")</f>
        <v>Burgos</v>
      </c>
      <c r="R414" s="142" t="str">
        <f>IFERROR(__xludf.DUMMYFUNCTION("""COMPUTED_VALUE"""),"Calasiao")</f>
        <v>Calasiao</v>
      </c>
      <c r="S414" s="142" t="str">
        <f>IFERROR(__xludf.DUMMYFUNCTION("""COMPUTED_VALUE"""),"City of Dagupan")</f>
        <v>City of Dagupan</v>
      </c>
      <c r="T414" s="142" t="str">
        <f>IFERROR(__xludf.DUMMYFUNCTION("""COMPUTED_VALUE"""),"Dasol")</f>
        <v>Dasol</v>
      </c>
      <c r="U414" s="142" t="str">
        <f>IFERROR(__xludf.DUMMYFUNCTION("""COMPUTED_VALUE"""),"Infanta")</f>
        <v>Infanta</v>
      </c>
      <c r="V414" s="142" t="str">
        <f>IFERROR(__xludf.DUMMYFUNCTION("""COMPUTED_VALUE"""),"Labrador")</f>
        <v>Labrador</v>
      </c>
      <c r="W414" s="142" t="str">
        <f>IFERROR(__xludf.DUMMYFUNCTION("""COMPUTED_VALUE"""),"Lingayen")</f>
        <v>Lingayen</v>
      </c>
      <c r="X414" s="142" t="str">
        <f>IFERROR(__xludf.DUMMYFUNCTION("""COMPUTED_VALUE"""),"Mabini")</f>
        <v>Mabini</v>
      </c>
      <c r="Y414" s="142" t="str">
        <f>IFERROR(__xludf.DUMMYFUNCTION("""COMPUTED_VALUE"""),"Malasiqui")</f>
        <v>Malasiqui</v>
      </c>
      <c r="Z414" s="142" t="str">
        <f>IFERROR(__xludf.DUMMYFUNCTION("""COMPUTED_VALUE"""),"Manaoag")</f>
        <v>Manaoag</v>
      </c>
      <c r="AA414" s="142" t="str">
        <f>IFERROR(__xludf.DUMMYFUNCTION("""COMPUTED_VALUE"""),"Mangaldan")</f>
        <v>Mangaldan</v>
      </c>
      <c r="AB414" s="142" t="str">
        <f>IFERROR(__xludf.DUMMYFUNCTION("""COMPUTED_VALUE"""),"Mangatarem")</f>
        <v>Mangatarem</v>
      </c>
      <c r="AC414" s="142" t="str">
        <f>IFERROR(__xludf.DUMMYFUNCTION("""COMPUTED_VALUE"""),"Mapandan")</f>
        <v>Mapandan</v>
      </c>
      <c r="AD414" s="142" t="str">
        <f>IFERROR(__xludf.DUMMYFUNCTION("""COMPUTED_VALUE"""),"Natividad")</f>
        <v>Natividad</v>
      </c>
      <c r="AE414" s="142" t="str">
        <f>IFERROR(__xludf.DUMMYFUNCTION("""COMPUTED_VALUE"""),"Pozorrubio")</f>
        <v>Pozorrubio</v>
      </c>
      <c r="AF414" s="142" t="str">
        <f>IFERROR(__xludf.DUMMYFUNCTION("""COMPUTED_VALUE"""),"Rosales")</f>
        <v>Rosales</v>
      </c>
      <c r="AG414" s="142" t="str">
        <f>IFERROR(__xludf.DUMMYFUNCTION("""COMPUTED_VALUE"""),"City of San Carlos")</f>
        <v>City of San Carlos</v>
      </c>
      <c r="AH414" s="142" t="str">
        <f>IFERROR(__xludf.DUMMYFUNCTION("""COMPUTED_VALUE"""),"San Fabian")</f>
        <v>San Fabian</v>
      </c>
      <c r="AI414" s="142" t="str">
        <f>IFERROR(__xludf.DUMMYFUNCTION("""COMPUTED_VALUE"""),"San Jacinto")</f>
        <v>San Jacinto</v>
      </c>
      <c r="AJ414" s="142" t="str">
        <f>IFERROR(__xludf.DUMMYFUNCTION("""COMPUTED_VALUE"""),"San Manuel")</f>
        <v>San Manuel</v>
      </c>
      <c r="AK414" s="142" t="str">
        <f>IFERROR(__xludf.DUMMYFUNCTION("""COMPUTED_VALUE"""),"San Nicolas")</f>
        <v>San Nicolas</v>
      </c>
      <c r="AL414" s="142" t="str">
        <f>IFERROR(__xludf.DUMMYFUNCTION("""COMPUTED_VALUE"""),"San Quintin")</f>
        <v>San Quintin</v>
      </c>
      <c r="AM414" s="142" t="str">
        <f>IFERROR(__xludf.DUMMYFUNCTION("""COMPUTED_VALUE"""),"Santa Barbara")</f>
        <v>Santa Barbara</v>
      </c>
      <c r="AN414" s="142" t="str">
        <f>IFERROR(__xludf.DUMMYFUNCTION("""COMPUTED_VALUE"""),"Santa Maria")</f>
        <v>Santa Maria</v>
      </c>
      <c r="AO414" s="142" t="str">
        <f>IFERROR(__xludf.DUMMYFUNCTION("""COMPUTED_VALUE"""),"Santo Tomas")</f>
        <v>Santo Tomas</v>
      </c>
      <c r="AP414" s="142" t="str">
        <f>IFERROR(__xludf.DUMMYFUNCTION("""COMPUTED_VALUE"""),"Sison")</f>
        <v>Sison</v>
      </c>
      <c r="AQ414" s="142" t="str">
        <f>IFERROR(__xludf.DUMMYFUNCTION("""COMPUTED_VALUE"""),"Sual")</f>
        <v>Sual</v>
      </c>
      <c r="AR414" s="142" t="str">
        <f>IFERROR(__xludf.DUMMYFUNCTION("""COMPUTED_VALUE"""),"Tayug")</f>
        <v>Tayug</v>
      </c>
      <c r="AS414" s="142" t="str">
        <f>IFERROR(__xludf.DUMMYFUNCTION("""COMPUTED_VALUE"""),"Umingan")</f>
        <v>Umingan</v>
      </c>
      <c r="AT414" s="142" t="str">
        <f>IFERROR(__xludf.DUMMYFUNCTION("""COMPUTED_VALUE"""),"Urbiztondo")</f>
        <v>Urbiztondo</v>
      </c>
      <c r="AU414" s="142" t="str">
        <f>IFERROR(__xludf.DUMMYFUNCTION("""COMPUTED_VALUE"""),"City of Urdaneta")</f>
        <v>City of Urdaneta</v>
      </c>
      <c r="AV414" s="142" t="str">
        <f>IFERROR(__xludf.DUMMYFUNCTION("""COMPUTED_VALUE"""),"Villasis")</f>
        <v>Villasis</v>
      </c>
      <c r="AW414" s="142" t="str">
        <f>IFERROR(__xludf.DUMMYFUNCTION("""COMPUTED_VALUE"""),"Laoac")</f>
        <v>Laoac</v>
      </c>
      <c r="AX414" s="8"/>
      <c r="AY414" s="8"/>
      <c r="AZ414" s="8"/>
      <c r="BA414" s="8"/>
      <c r="BB414" s="8"/>
      <c r="BC414" s="8"/>
      <c r="BD414" s="8"/>
      <c r="BE414" s="8"/>
    </row>
    <row r="415">
      <c r="A415" s="142" t="s">
        <v>144</v>
      </c>
      <c r="B415" s="142" t="str">
        <f>IFERROR(__xludf.DUMMYFUNCTION("""COMPUTED_VALUE"""),"Agno")</f>
        <v>Agno</v>
      </c>
      <c r="C415" s="142" t="str">
        <f>IFERROR(__xludf.DUMMYFUNCTION("""COMPUTED_VALUE"""),"Aguilar")</f>
        <v>Aguilar</v>
      </c>
      <c r="D415" s="142" t="str">
        <f>IFERROR(__xludf.DUMMYFUNCTION("""COMPUTED_VALUE"""),"City of Alaminos")</f>
        <v>City of Alaminos</v>
      </c>
      <c r="E415" s="142" t="str">
        <f>IFERROR(__xludf.DUMMYFUNCTION("""COMPUTED_VALUE"""),"Alcala")</f>
        <v>Alcala</v>
      </c>
      <c r="F415" s="142" t="str">
        <f>IFERROR(__xludf.DUMMYFUNCTION("""COMPUTED_VALUE"""),"Anda")</f>
        <v>Anda</v>
      </c>
      <c r="G415" s="142" t="str">
        <f>IFERROR(__xludf.DUMMYFUNCTION("""COMPUTED_VALUE"""),"Asingan")</f>
        <v>Asingan</v>
      </c>
      <c r="H415" s="142" t="str">
        <f>IFERROR(__xludf.DUMMYFUNCTION("""COMPUTED_VALUE"""),"Balungao")</f>
        <v>Balungao</v>
      </c>
      <c r="I415" s="142" t="str">
        <f>IFERROR(__xludf.DUMMYFUNCTION("""COMPUTED_VALUE"""),"Bani")</f>
        <v>Bani</v>
      </c>
      <c r="J415" s="142" t="str">
        <f>IFERROR(__xludf.DUMMYFUNCTION("""COMPUTED_VALUE"""),"Basista")</f>
        <v>Basista</v>
      </c>
      <c r="K415" s="142" t="str">
        <f>IFERROR(__xludf.DUMMYFUNCTION("""COMPUTED_VALUE"""),"Bautista")</f>
        <v>Bautista</v>
      </c>
      <c r="L415" s="142" t="str">
        <f>IFERROR(__xludf.DUMMYFUNCTION("""COMPUTED_VALUE"""),"Bayambang")</f>
        <v>Bayambang</v>
      </c>
      <c r="M415" s="142" t="str">
        <f>IFERROR(__xludf.DUMMYFUNCTION("""COMPUTED_VALUE"""),"Binalonan")</f>
        <v>Binalonan</v>
      </c>
      <c r="N415" s="142" t="str">
        <f>IFERROR(__xludf.DUMMYFUNCTION("""COMPUTED_VALUE"""),"Binmaley")</f>
        <v>Binmaley</v>
      </c>
      <c r="O415" s="142" t="str">
        <f>IFERROR(__xludf.DUMMYFUNCTION("""COMPUTED_VALUE"""),"Bolinao")</f>
        <v>Bolinao</v>
      </c>
      <c r="P415" s="142" t="str">
        <f>IFERROR(__xludf.DUMMYFUNCTION("""COMPUTED_VALUE"""),"Bugallon")</f>
        <v>Bugallon</v>
      </c>
      <c r="Q415" s="142" t="str">
        <f>IFERROR(__xludf.DUMMYFUNCTION("""COMPUTED_VALUE"""),"Burgos")</f>
        <v>Burgos</v>
      </c>
      <c r="R415" s="142" t="str">
        <f>IFERROR(__xludf.DUMMYFUNCTION("""COMPUTED_VALUE"""),"Calasiao")</f>
        <v>Calasiao</v>
      </c>
      <c r="S415" s="142" t="str">
        <f>IFERROR(__xludf.DUMMYFUNCTION("""COMPUTED_VALUE"""),"City of Dagupan")</f>
        <v>City of Dagupan</v>
      </c>
      <c r="T415" s="142" t="str">
        <f>IFERROR(__xludf.DUMMYFUNCTION("""COMPUTED_VALUE"""),"Dasol")</f>
        <v>Dasol</v>
      </c>
      <c r="U415" s="142" t="str">
        <f>IFERROR(__xludf.DUMMYFUNCTION("""COMPUTED_VALUE"""),"Infanta")</f>
        <v>Infanta</v>
      </c>
      <c r="V415" s="142" t="str">
        <f>IFERROR(__xludf.DUMMYFUNCTION("""COMPUTED_VALUE"""),"Labrador")</f>
        <v>Labrador</v>
      </c>
      <c r="W415" s="142" t="str">
        <f>IFERROR(__xludf.DUMMYFUNCTION("""COMPUTED_VALUE"""),"Lingayen")</f>
        <v>Lingayen</v>
      </c>
      <c r="X415" s="142" t="str">
        <f>IFERROR(__xludf.DUMMYFUNCTION("""COMPUTED_VALUE"""),"Mabini")</f>
        <v>Mabini</v>
      </c>
      <c r="Y415" s="142" t="str">
        <f>IFERROR(__xludf.DUMMYFUNCTION("""COMPUTED_VALUE"""),"Malasiqui")</f>
        <v>Malasiqui</v>
      </c>
      <c r="Z415" s="142" t="str">
        <f>IFERROR(__xludf.DUMMYFUNCTION("""COMPUTED_VALUE"""),"Manaoag")</f>
        <v>Manaoag</v>
      </c>
      <c r="AA415" s="142" t="str">
        <f>IFERROR(__xludf.DUMMYFUNCTION("""COMPUTED_VALUE"""),"Mangaldan")</f>
        <v>Mangaldan</v>
      </c>
      <c r="AB415" s="142" t="str">
        <f>IFERROR(__xludf.DUMMYFUNCTION("""COMPUTED_VALUE"""),"Mangatarem")</f>
        <v>Mangatarem</v>
      </c>
      <c r="AC415" s="142" t="str">
        <f>IFERROR(__xludf.DUMMYFUNCTION("""COMPUTED_VALUE"""),"Mapandan")</f>
        <v>Mapandan</v>
      </c>
      <c r="AD415" s="142" t="str">
        <f>IFERROR(__xludf.DUMMYFUNCTION("""COMPUTED_VALUE"""),"Natividad")</f>
        <v>Natividad</v>
      </c>
      <c r="AE415" s="142" t="str">
        <f>IFERROR(__xludf.DUMMYFUNCTION("""COMPUTED_VALUE"""),"Pozorrubio")</f>
        <v>Pozorrubio</v>
      </c>
      <c r="AF415" s="142" t="str">
        <f>IFERROR(__xludf.DUMMYFUNCTION("""COMPUTED_VALUE"""),"Rosales")</f>
        <v>Rosales</v>
      </c>
      <c r="AG415" s="142" t="str">
        <f>IFERROR(__xludf.DUMMYFUNCTION("""COMPUTED_VALUE"""),"City of San Carlos")</f>
        <v>City of San Carlos</v>
      </c>
      <c r="AH415" s="142" t="str">
        <f>IFERROR(__xludf.DUMMYFUNCTION("""COMPUTED_VALUE"""),"San Fabian")</f>
        <v>San Fabian</v>
      </c>
      <c r="AI415" s="142" t="str">
        <f>IFERROR(__xludf.DUMMYFUNCTION("""COMPUTED_VALUE"""),"San Jacinto")</f>
        <v>San Jacinto</v>
      </c>
      <c r="AJ415" s="142" t="str">
        <f>IFERROR(__xludf.DUMMYFUNCTION("""COMPUTED_VALUE"""),"San Manuel")</f>
        <v>San Manuel</v>
      </c>
      <c r="AK415" s="142" t="str">
        <f>IFERROR(__xludf.DUMMYFUNCTION("""COMPUTED_VALUE"""),"San Nicolas")</f>
        <v>San Nicolas</v>
      </c>
      <c r="AL415" s="142" t="str">
        <f>IFERROR(__xludf.DUMMYFUNCTION("""COMPUTED_VALUE"""),"San Quintin")</f>
        <v>San Quintin</v>
      </c>
      <c r="AM415" s="142" t="str">
        <f>IFERROR(__xludf.DUMMYFUNCTION("""COMPUTED_VALUE"""),"Santa Barbara")</f>
        <v>Santa Barbara</v>
      </c>
      <c r="AN415" s="142" t="str">
        <f>IFERROR(__xludf.DUMMYFUNCTION("""COMPUTED_VALUE"""),"Santa Maria")</f>
        <v>Santa Maria</v>
      </c>
      <c r="AO415" s="142" t="str">
        <f>IFERROR(__xludf.DUMMYFUNCTION("""COMPUTED_VALUE"""),"Santo Tomas")</f>
        <v>Santo Tomas</v>
      </c>
      <c r="AP415" s="142" t="str">
        <f>IFERROR(__xludf.DUMMYFUNCTION("""COMPUTED_VALUE"""),"Sison")</f>
        <v>Sison</v>
      </c>
      <c r="AQ415" s="142" t="str">
        <f>IFERROR(__xludf.DUMMYFUNCTION("""COMPUTED_VALUE"""),"Sual")</f>
        <v>Sual</v>
      </c>
      <c r="AR415" s="142" t="str">
        <f>IFERROR(__xludf.DUMMYFUNCTION("""COMPUTED_VALUE"""),"Tayug")</f>
        <v>Tayug</v>
      </c>
      <c r="AS415" s="142" t="str">
        <f>IFERROR(__xludf.DUMMYFUNCTION("""COMPUTED_VALUE"""),"Umingan")</f>
        <v>Umingan</v>
      </c>
      <c r="AT415" s="142" t="str">
        <f>IFERROR(__xludf.DUMMYFUNCTION("""COMPUTED_VALUE"""),"Urbiztondo")</f>
        <v>Urbiztondo</v>
      </c>
      <c r="AU415" s="142" t="str">
        <f>IFERROR(__xludf.DUMMYFUNCTION("""COMPUTED_VALUE"""),"City of Urdaneta")</f>
        <v>City of Urdaneta</v>
      </c>
      <c r="AV415" s="142" t="str">
        <f>IFERROR(__xludf.DUMMYFUNCTION("""COMPUTED_VALUE"""),"Villasis")</f>
        <v>Villasis</v>
      </c>
      <c r="AW415" s="142" t="str">
        <f>IFERROR(__xludf.DUMMYFUNCTION("""COMPUTED_VALUE"""),"Laoac")</f>
        <v>Laoac</v>
      </c>
      <c r="AX415" s="8"/>
      <c r="AY415" s="8"/>
      <c r="AZ415" s="8"/>
      <c r="BA415" s="8"/>
      <c r="BB415" s="8"/>
      <c r="BC415" s="8"/>
      <c r="BD415" s="8"/>
      <c r="BE415" s="8"/>
    </row>
    <row r="416">
      <c r="A416" s="142" t="s">
        <v>144</v>
      </c>
      <c r="B416" s="142" t="str">
        <f>IFERROR(__xludf.DUMMYFUNCTION("""COMPUTED_VALUE"""),"Agno")</f>
        <v>Agno</v>
      </c>
      <c r="C416" s="142" t="str">
        <f>IFERROR(__xludf.DUMMYFUNCTION("""COMPUTED_VALUE"""),"Aguilar")</f>
        <v>Aguilar</v>
      </c>
      <c r="D416" s="142" t="str">
        <f>IFERROR(__xludf.DUMMYFUNCTION("""COMPUTED_VALUE"""),"City of Alaminos")</f>
        <v>City of Alaminos</v>
      </c>
      <c r="E416" s="142" t="str">
        <f>IFERROR(__xludf.DUMMYFUNCTION("""COMPUTED_VALUE"""),"Alcala")</f>
        <v>Alcala</v>
      </c>
      <c r="F416" s="142" t="str">
        <f>IFERROR(__xludf.DUMMYFUNCTION("""COMPUTED_VALUE"""),"Anda")</f>
        <v>Anda</v>
      </c>
      <c r="G416" s="142" t="str">
        <f>IFERROR(__xludf.DUMMYFUNCTION("""COMPUTED_VALUE"""),"Asingan")</f>
        <v>Asingan</v>
      </c>
      <c r="H416" s="142" t="str">
        <f>IFERROR(__xludf.DUMMYFUNCTION("""COMPUTED_VALUE"""),"Balungao")</f>
        <v>Balungao</v>
      </c>
      <c r="I416" s="142" t="str">
        <f>IFERROR(__xludf.DUMMYFUNCTION("""COMPUTED_VALUE"""),"Bani")</f>
        <v>Bani</v>
      </c>
      <c r="J416" s="142" t="str">
        <f>IFERROR(__xludf.DUMMYFUNCTION("""COMPUTED_VALUE"""),"Basista")</f>
        <v>Basista</v>
      </c>
      <c r="K416" s="142" t="str">
        <f>IFERROR(__xludf.DUMMYFUNCTION("""COMPUTED_VALUE"""),"Bautista")</f>
        <v>Bautista</v>
      </c>
      <c r="L416" s="142" t="str">
        <f>IFERROR(__xludf.DUMMYFUNCTION("""COMPUTED_VALUE"""),"Bayambang")</f>
        <v>Bayambang</v>
      </c>
      <c r="M416" s="142" t="str">
        <f>IFERROR(__xludf.DUMMYFUNCTION("""COMPUTED_VALUE"""),"Binalonan")</f>
        <v>Binalonan</v>
      </c>
      <c r="N416" s="142" t="str">
        <f>IFERROR(__xludf.DUMMYFUNCTION("""COMPUTED_VALUE"""),"Binmaley")</f>
        <v>Binmaley</v>
      </c>
      <c r="O416" s="142" t="str">
        <f>IFERROR(__xludf.DUMMYFUNCTION("""COMPUTED_VALUE"""),"Bolinao")</f>
        <v>Bolinao</v>
      </c>
      <c r="P416" s="142" t="str">
        <f>IFERROR(__xludf.DUMMYFUNCTION("""COMPUTED_VALUE"""),"Bugallon")</f>
        <v>Bugallon</v>
      </c>
      <c r="Q416" s="142" t="str">
        <f>IFERROR(__xludf.DUMMYFUNCTION("""COMPUTED_VALUE"""),"Burgos")</f>
        <v>Burgos</v>
      </c>
      <c r="R416" s="142" t="str">
        <f>IFERROR(__xludf.DUMMYFUNCTION("""COMPUTED_VALUE"""),"Calasiao")</f>
        <v>Calasiao</v>
      </c>
      <c r="S416" s="142" t="str">
        <f>IFERROR(__xludf.DUMMYFUNCTION("""COMPUTED_VALUE"""),"City of Dagupan")</f>
        <v>City of Dagupan</v>
      </c>
      <c r="T416" s="142" t="str">
        <f>IFERROR(__xludf.DUMMYFUNCTION("""COMPUTED_VALUE"""),"Dasol")</f>
        <v>Dasol</v>
      </c>
      <c r="U416" s="142" t="str">
        <f>IFERROR(__xludf.DUMMYFUNCTION("""COMPUTED_VALUE"""),"Infanta")</f>
        <v>Infanta</v>
      </c>
      <c r="V416" s="142" t="str">
        <f>IFERROR(__xludf.DUMMYFUNCTION("""COMPUTED_VALUE"""),"Labrador")</f>
        <v>Labrador</v>
      </c>
      <c r="W416" s="142" t="str">
        <f>IFERROR(__xludf.DUMMYFUNCTION("""COMPUTED_VALUE"""),"Lingayen")</f>
        <v>Lingayen</v>
      </c>
      <c r="X416" s="142" t="str">
        <f>IFERROR(__xludf.DUMMYFUNCTION("""COMPUTED_VALUE"""),"Mabini")</f>
        <v>Mabini</v>
      </c>
      <c r="Y416" s="142" t="str">
        <f>IFERROR(__xludf.DUMMYFUNCTION("""COMPUTED_VALUE"""),"Malasiqui")</f>
        <v>Malasiqui</v>
      </c>
      <c r="Z416" s="142" t="str">
        <f>IFERROR(__xludf.DUMMYFUNCTION("""COMPUTED_VALUE"""),"Manaoag")</f>
        <v>Manaoag</v>
      </c>
      <c r="AA416" s="142" t="str">
        <f>IFERROR(__xludf.DUMMYFUNCTION("""COMPUTED_VALUE"""),"Mangaldan")</f>
        <v>Mangaldan</v>
      </c>
      <c r="AB416" s="142" t="str">
        <f>IFERROR(__xludf.DUMMYFUNCTION("""COMPUTED_VALUE"""),"Mangatarem")</f>
        <v>Mangatarem</v>
      </c>
      <c r="AC416" s="142" t="str">
        <f>IFERROR(__xludf.DUMMYFUNCTION("""COMPUTED_VALUE"""),"Mapandan")</f>
        <v>Mapandan</v>
      </c>
      <c r="AD416" s="142" t="str">
        <f>IFERROR(__xludf.DUMMYFUNCTION("""COMPUTED_VALUE"""),"Natividad")</f>
        <v>Natividad</v>
      </c>
      <c r="AE416" s="142" t="str">
        <f>IFERROR(__xludf.DUMMYFUNCTION("""COMPUTED_VALUE"""),"Pozorrubio")</f>
        <v>Pozorrubio</v>
      </c>
      <c r="AF416" s="142" t="str">
        <f>IFERROR(__xludf.DUMMYFUNCTION("""COMPUTED_VALUE"""),"Rosales")</f>
        <v>Rosales</v>
      </c>
      <c r="AG416" s="142" t="str">
        <f>IFERROR(__xludf.DUMMYFUNCTION("""COMPUTED_VALUE"""),"City of San Carlos")</f>
        <v>City of San Carlos</v>
      </c>
      <c r="AH416" s="142" t="str">
        <f>IFERROR(__xludf.DUMMYFUNCTION("""COMPUTED_VALUE"""),"San Fabian")</f>
        <v>San Fabian</v>
      </c>
      <c r="AI416" s="142" t="str">
        <f>IFERROR(__xludf.DUMMYFUNCTION("""COMPUTED_VALUE"""),"San Jacinto")</f>
        <v>San Jacinto</v>
      </c>
      <c r="AJ416" s="142" t="str">
        <f>IFERROR(__xludf.DUMMYFUNCTION("""COMPUTED_VALUE"""),"San Manuel")</f>
        <v>San Manuel</v>
      </c>
      <c r="AK416" s="142" t="str">
        <f>IFERROR(__xludf.DUMMYFUNCTION("""COMPUTED_VALUE"""),"San Nicolas")</f>
        <v>San Nicolas</v>
      </c>
      <c r="AL416" s="142" t="str">
        <f>IFERROR(__xludf.DUMMYFUNCTION("""COMPUTED_VALUE"""),"San Quintin")</f>
        <v>San Quintin</v>
      </c>
      <c r="AM416" s="142" t="str">
        <f>IFERROR(__xludf.DUMMYFUNCTION("""COMPUTED_VALUE"""),"Santa Barbara")</f>
        <v>Santa Barbara</v>
      </c>
      <c r="AN416" s="142" t="str">
        <f>IFERROR(__xludf.DUMMYFUNCTION("""COMPUTED_VALUE"""),"Santa Maria")</f>
        <v>Santa Maria</v>
      </c>
      <c r="AO416" s="142" t="str">
        <f>IFERROR(__xludf.DUMMYFUNCTION("""COMPUTED_VALUE"""),"Santo Tomas")</f>
        <v>Santo Tomas</v>
      </c>
      <c r="AP416" s="142" t="str">
        <f>IFERROR(__xludf.DUMMYFUNCTION("""COMPUTED_VALUE"""),"Sison")</f>
        <v>Sison</v>
      </c>
      <c r="AQ416" s="142" t="str">
        <f>IFERROR(__xludf.DUMMYFUNCTION("""COMPUTED_VALUE"""),"Sual")</f>
        <v>Sual</v>
      </c>
      <c r="AR416" s="142" t="str">
        <f>IFERROR(__xludf.DUMMYFUNCTION("""COMPUTED_VALUE"""),"Tayug")</f>
        <v>Tayug</v>
      </c>
      <c r="AS416" s="142" t="str">
        <f>IFERROR(__xludf.DUMMYFUNCTION("""COMPUTED_VALUE"""),"Umingan")</f>
        <v>Umingan</v>
      </c>
      <c r="AT416" s="142" t="str">
        <f>IFERROR(__xludf.DUMMYFUNCTION("""COMPUTED_VALUE"""),"Urbiztondo")</f>
        <v>Urbiztondo</v>
      </c>
      <c r="AU416" s="142" t="str">
        <f>IFERROR(__xludf.DUMMYFUNCTION("""COMPUTED_VALUE"""),"City of Urdaneta")</f>
        <v>City of Urdaneta</v>
      </c>
      <c r="AV416" s="142" t="str">
        <f>IFERROR(__xludf.DUMMYFUNCTION("""COMPUTED_VALUE"""),"Villasis")</f>
        <v>Villasis</v>
      </c>
      <c r="AW416" s="142" t="str">
        <f>IFERROR(__xludf.DUMMYFUNCTION("""COMPUTED_VALUE"""),"Laoac")</f>
        <v>Laoac</v>
      </c>
      <c r="AX416" s="8"/>
      <c r="AY416" s="8"/>
      <c r="AZ416" s="8"/>
      <c r="BA416" s="8"/>
      <c r="BB416" s="8"/>
      <c r="BC416" s="8"/>
      <c r="BD416" s="8"/>
      <c r="BE416" s="8"/>
    </row>
    <row r="417">
      <c r="A417" s="142" t="s">
        <v>144</v>
      </c>
      <c r="B417" s="142" t="str">
        <f>IFERROR(__xludf.DUMMYFUNCTION("""COMPUTED_VALUE"""),"Agno")</f>
        <v>Agno</v>
      </c>
      <c r="C417" s="142" t="str">
        <f>IFERROR(__xludf.DUMMYFUNCTION("""COMPUTED_VALUE"""),"Aguilar")</f>
        <v>Aguilar</v>
      </c>
      <c r="D417" s="142" t="str">
        <f>IFERROR(__xludf.DUMMYFUNCTION("""COMPUTED_VALUE"""),"City of Alaminos")</f>
        <v>City of Alaminos</v>
      </c>
      <c r="E417" s="142" t="str">
        <f>IFERROR(__xludf.DUMMYFUNCTION("""COMPUTED_VALUE"""),"Alcala")</f>
        <v>Alcala</v>
      </c>
      <c r="F417" s="142" t="str">
        <f>IFERROR(__xludf.DUMMYFUNCTION("""COMPUTED_VALUE"""),"Anda")</f>
        <v>Anda</v>
      </c>
      <c r="G417" s="142" t="str">
        <f>IFERROR(__xludf.DUMMYFUNCTION("""COMPUTED_VALUE"""),"Asingan")</f>
        <v>Asingan</v>
      </c>
      <c r="H417" s="142" t="str">
        <f>IFERROR(__xludf.DUMMYFUNCTION("""COMPUTED_VALUE"""),"Balungao")</f>
        <v>Balungao</v>
      </c>
      <c r="I417" s="142" t="str">
        <f>IFERROR(__xludf.DUMMYFUNCTION("""COMPUTED_VALUE"""),"Bani")</f>
        <v>Bani</v>
      </c>
      <c r="J417" s="142" t="str">
        <f>IFERROR(__xludf.DUMMYFUNCTION("""COMPUTED_VALUE"""),"Basista")</f>
        <v>Basista</v>
      </c>
      <c r="K417" s="142" t="str">
        <f>IFERROR(__xludf.DUMMYFUNCTION("""COMPUTED_VALUE"""),"Bautista")</f>
        <v>Bautista</v>
      </c>
      <c r="L417" s="142" t="str">
        <f>IFERROR(__xludf.DUMMYFUNCTION("""COMPUTED_VALUE"""),"Bayambang")</f>
        <v>Bayambang</v>
      </c>
      <c r="M417" s="142" t="str">
        <f>IFERROR(__xludf.DUMMYFUNCTION("""COMPUTED_VALUE"""),"Binalonan")</f>
        <v>Binalonan</v>
      </c>
      <c r="N417" s="142" t="str">
        <f>IFERROR(__xludf.DUMMYFUNCTION("""COMPUTED_VALUE"""),"Binmaley")</f>
        <v>Binmaley</v>
      </c>
      <c r="O417" s="142" t="str">
        <f>IFERROR(__xludf.DUMMYFUNCTION("""COMPUTED_VALUE"""),"Bolinao")</f>
        <v>Bolinao</v>
      </c>
      <c r="P417" s="142" t="str">
        <f>IFERROR(__xludf.DUMMYFUNCTION("""COMPUTED_VALUE"""),"Bugallon")</f>
        <v>Bugallon</v>
      </c>
      <c r="Q417" s="142" t="str">
        <f>IFERROR(__xludf.DUMMYFUNCTION("""COMPUTED_VALUE"""),"Burgos")</f>
        <v>Burgos</v>
      </c>
      <c r="R417" s="142" t="str">
        <f>IFERROR(__xludf.DUMMYFUNCTION("""COMPUTED_VALUE"""),"Calasiao")</f>
        <v>Calasiao</v>
      </c>
      <c r="S417" s="142" t="str">
        <f>IFERROR(__xludf.DUMMYFUNCTION("""COMPUTED_VALUE"""),"City of Dagupan")</f>
        <v>City of Dagupan</v>
      </c>
      <c r="T417" s="142" t="str">
        <f>IFERROR(__xludf.DUMMYFUNCTION("""COMPUTED_VALUE"""),"Dasol")</f>
        <v>Dasol</v>
      </c>
      <c r="U417" s="142" t="str">
        <f>IFERROR(__xludf.DUMMYFUNCTION("""COMPUTED_VALUE"""),"Infanta")</f>
        <v>Infanta</v>
      </c>
      <c r="V417" s="142" t="str">
        <f>IFERROR(__xludf.DUMMYFUNCTION("""COMPUTED_VALUE"""),"Labrador")</f>
        <v>Labrador</v>
      </c>
      <c r="W417" s="142" t="str">
        <f>IFERROR(__xludf.DUMMYFUNCTION("""COMPUTED_VALUE"""),"Lingayen")</f>
        <v>Lingayen</v>
      </c>
      <c r="X417" s="142" t="str">
        <f>IFERROR(__xludf.DUMMYFUNCTION("""COMPUTED_VALUE"""),"Mabini")</f>
        <v>Mabini</v>
      </c>
      <c r="Y417" s="142" t="str">
        <f>IFERROR(__xludf.DUMMYFUNCTION("""COMPUTED_VALUE"""),"Malasiqui")</f>
        <v>Malasiqui</v>
      </c>
      <c r="Z417" s="142" t="str">
        <f>IFERROR(__xludf.DUMMYFUNCTION("""COMPUTED_VALUE"""),"Manaoag")</f>
        <v>Manaoag</v>
      </c>
      <c r="AA417" s="142" t="str">
        <f>IFERROR(__xludf.DUMMYFUNCTION("""COMPUTED_VALUE"""),"Mangaldan")</f>
        <v>Mangaldan</v>
      </c>
      <c r="AB417" s="142" t="str">
        <f>IFERROR(__xludf.DUMMYFUNCTION("""COMPUTED_VALUE"""),"Mangatarem")</f>
        <v>Mangatarem</v>
      </c>
      <c r="AC417" s="142" t="str">
        <f>IFERROR(__xludf.DUMMYFUNCTION("""COMPUTED_VALUE"""),"Mapandan")</f>
        <v>Mapandan</v>
      </c>
      <c r="AD417" s="142" t="str">
        <f>IFERROR(__xludf.DUMMYFUNCTION("""COMPUTED_VALUE"""),"Natividad")</f>
        <v>Natividad</v>
      </c>
      <c r="AE417" s="142" t="str">
        <f>IFERROR(__xludf.DUMMYFUNCTION("""COMPUTED_VALUE"""),"Pozorrubio")</f>
        <v>Pozorrubio</v>
      </c>
      <c r="AF417" s="142" t="str">
        <f>IFERROR(__xludf.DUMMYFUNCTION("""COMPUTED_VALUE"""),"Rosales")</f>
        <v>Rosales</v>
      </c>
      <c r="AG417" s="142" t="str">
        <f>IFERROR(__xludf.DUMMYFUNCTION("""COMPUTED_VALUE"""),"City of San Carlos")</f>
        <v>City of San Carlos</v>
      </c>
      <c r="AH417" s="142" t="str">
        <f>IFERROR(__xludf.DUMMYFUNCTION("""COMPUTED_VALUE"""),"San Fabian")</f>
        <v>San Fabian</v>
      </c>
      <c r="AI417" s="142" t="str">
        <f>IFERROR(__xludf.DUMMYFUNCTION("""COMPUTED_VALUE"""),"San Jacinto")</f>
        <v>San Jacinto</v>
      </c>
      <c r="AJ417" s="142" t="str">
        <f>IFERROR(__xludf.DUMMYFUNCTION("""COMPUTED_VALUE"""),"San Manuel")</f>
        <v>San Manuel</v>
      </c>
      <c r="AK417" s="142" t="str">
        <f>IFERROR(__xludf.DUMMYFUNCTION("""COMPUTED_VALUE"""),"San Nicolas")</f>
        <v>San Nicolas</v>
      </c>
      <c r="AL417" s="142" t="str">
        <f>IFERROR(__xludf.DUMMYFUNCTION("""COMPUTED_VALUE"""),"San Quintin")</f>
        <v>San Quintin</v>
      </c>
      <c r="AM417" s="142" t="str">
        <f>IFERROR(__xludf.DUMMYFUNCTION("""COMPUTED_VALUE"""),"Santa Barbara")</f>
        <v>Santa Barbara</v>
      </c>
      <c r="AN417" s="142" t="str">
        <f>IFERROR(__xludf.DUMMYFUNCTION("""COMPUTED_VALUE"""),"Santa Maria")</f>
        <v>Santa Maria</v>
      </c>
      <c r="AO417" s="142" t="str">
        <f>IFERROR(__xludf.DUMMYFUNCTION("""COMPUTED_VALUE"""),"Santo Tomas")</f>
        <v>Santo Tomas</v>
      </c>
      <c r="AP417" s="142" t="str">
        <f>IFERROR(__xludf.DUMMYFUNCTION("""COMPUTED_VALUE"""),"Sison")</f>
        <v>Sison</v>
      </c>
      <c r="AQ417" s="142" t="str">
        <f>IFERROR(__xludf.DUMMYFUNCTION("""COMPUTED_VALUE"""),"Sual")</f>
        <v>Sual</v>
      </c>
      <c r="AR417" s="142" t="str">
        <f>IFERROR(__xludf.DUMMYFUNCTION("""COMPUTED_VALUE"""),"Tayug")</f>
        <v>Tayug</v>
      </c>
      <c r="AS417" s="142" t="str">
        <f>IFERROR(__xludf.DUMMYFUNCTION("""COMPUTED_VALUE"""),"Umingan")</f>
        <v>Umingan</v>
      </c>
      <c r="AT417" s="142" t="str">
        <f>IFERROR(__xludf.DUMMYFUNCTION("""COMPUTED_VALUE"""),"Urbiztondo")</f>
        <v>Urbiztondo</v>
      </c>
      <c r="AU417" s="142" t="str">
        <f>IFERROR(__xludf.DUMMYFUNCTION("""COMPUTED_VALUE"""),"City of Urdaneta")</f>
        <v>City of Urdaneta</v>
      </c>
      <c r="AV417" s="142" t="str">
        <f>IFERROR(__xludf.DUMMYFUNCTION("""COMPUTED_VALUE"""),"Villasis")</f>
        <v>Villasis</v>
      </c>
      <c r="AW417" s="142" t="str">
        <f>IFERROR(__xludf.DUMMYFUNCTION("""COMPUTED_VALUE"""),"Laoac")</f>
        <v>Laoac</v>
      </c>
      <c r="AX417" s="8"/>
      <c r="AY417" s="8"/>
      <c r="AZ417" s="8"/>
      <c r="BA417" s="8"/>
      <c r="BB417" s="8"/>
      <c r="BC417" s="8"/>
      <c r="BD417" s="8"/>
      <c r="BE417" s="8"/>
    </row>
    <row r="418">
      <c r="A418" s="142" t="s">
        <v>144</v>
      </c>
      <c r="B418" s="142" t="str">
        <f>IFERROR(__xludf.DUMMYFUNCTION("""COMPUTED_VALUE"""),"Agno")</f>
        <v>Agno</v>
      </c>
      <c r="C418" s="142" t="str">
        <f>IFERROR(__xludf.DUMMYFUNCTION("""COMPUTED_VALUE"""),"Aguilar")</f>
        <v>Aguilar</v>
      </c>
      <c r="D418" s="142" t="str">
        <f>IFERROR(__xludf.DUMMYFUNCTION("""COMPUTED_VALUE"""),"City of Alaminos")</f>
        <v>City of Alaminos</v>
      </c>
      <c r="E418" s="142" t="str">
        <f>IFERROR(__xludf.DUMMYFUNCTION("""COMPUTED_VALUE"""),"Alcala")</f>
        <v>Alcala</v>
      </c>
      <c r="F418" s="142" t="str">
        <f>IFERROR(__xludf.DUMMYFUNCTION("""COMPUTED_VALUE"""),"Anda")</f>
        <v>Anda</v>
      </c>
      <c r="G418" s="142" t="str">
        <f>IFERROR(__xludf.DUMMYFUNCTION("""COMPUTED_VALUE"""),"Asingan")</f>
        <v>Asingan</v>
      </c>
      <c r="H418" s="142" t="str">
        <f>IFERROR(__xludf.DUMMYFUNCTION("""COMPUTED_VALUE"""),"Balungao")</f>
        <v>Balungao</v>
      </c>
      <c r="I418" s="142" t="str">
        <f>IFERROR(__xludf.DUMMYFUNCTION("""COMPUTED_VALUE"""),"Bani")</f>
        <v>Bani</v>
      </c>
      <c r="J418" s="142" t="str">
        <f>IFERROR(__xludf.DUMMYFUNCTION("""COMPUTED_VALUE"""),"Basista")</f>
        <v>Basista</v>
      </c>
      <c r="K418" s="142" t="str">
        <f>IFERROR(__xludf.DUMMYFUNCTION("""COMPUTED_VALUE"""),"Bautista")</f>
        <v>Bautista</v>
      </c>
      <c r="L418" s="142" t="str">
        <f>IFERROR(__xludf.DUMMYFUNCTION("""COMPUTED_VALUE"""),"Bayambang")</f>
        <v>Bayambang</v>
      </c>
      <c r="M418" s="142" t="str">
        <f>IFERROR(__xludf.DUMMYFUNCTION("""COMPUTED_VALUE"""),"Binalonan")</f>
        <v>Binalonan</v>
      </c>
      <c r="N418" s="142" t="str">
        <f>IFERROR(__xludf.DUMMYFUNCTION("""COMPUTED_VALUE"""),"Binmaley")</f>
        <v>Binmaley</v>
      </c>
      <c r="O418" s="142" t="str">
        <f>IFERROR(__xludf.DUMMYFUNCTION("""COMPUTED_VALUE"""),"Bolinao")</f>
        <v>Bolinao</v>
      </c>
      <c r="P418" s="142" t="str">
        <f>IFERROR(__xludf.DUMMYFUNCTION("""COMPUTED_VALUE"""),"Bugallon")</f>
        <v>Bugallon</v>
      </c>
      <c r="Q418" s="142" t="str">
        <f>IFERROR(__xludf.DUMMYFUNCTION("""COMPUTED_VALUE"""),"Burgos")</f>
        <v>Burgos</v>
      </c>
      <c r="R418" s="142" t="str">
        <f>IFERROR(__xludf.DUMMYFUNCTION("""COMPUTED_VALUE"""),"Calasiao")</f>
        <v>Calasiao</v>
      </c>
      <c r="S418" s="142" t="str">
        <f>IFERROR(__xludf.DUMMYFUNCTION("""COMPUTED_VALUE"""),"City of Dagupan")</f>
        <v>City of Dagupan</v>
      </c>
      <c r="T418" s="142" t="str">
        <f>IFERROR(__xludf.DUMMYFUNCTION("""COMPUTED_VALUE"""),"Dasol")</f>
        <v>Dasol</v>
      </c>
      <c r="U418" s="142" t="str">
        <f>IFERROR(__xludf.DUMMYFUNCTION("""COMPUTED_VALUE"""),"Infanta")</f>
        <v>Infanta</v>
      </c>
      <c r="V418" s="142" t="str">
        <f>IFERROR(__xludf.DUMMYFUNCTION("""COMPUTED_VALUE"""),"Labrador")</f>
        <v>Labrador</v>
      </c>
      <c r="W418" s="142" t="str">
        <f>IFERROR(__xludf.DUMMYFUNCTION("""COMPUTED_VALUE"""),"Lingayen")</f>
        <v>Lingayen</v>
      </c>
      <c r="X418" s="142" t="str">
        <f>IFERROR(__xludf.DUMMYFUNCTION("""COMPUTED_VALUE"""),"Mabini")</f>
        <v>Mabini</v>
      </c>
      <c r="Y418" s="142" t="str">
        <f>IFERROR(__xludf.DUMMYFUNCTION("""COMPUTED_VALUE"""),"Malasiqui")</f>
        <v>Malasiqui</v>
      </c>
      <c r="Z418" s="142" t="str">
        <f>IFERROR(__xludf.DUMMYFUNCTION("""COMPUTED_VALUE"""),"Manaoag")</f>
        <v>Manaoag</v>
      </c>
      <c r="AA418" s="142" t="str">
        <f>IFERROR(__xludf.DUMMYFUNCTION("""COMPUTED_VALUE"""),"Mangaldan")</f>
        <v>Mangaldan</v>
      </c>
      <c r="AB418" s="142" t="str">
        <f>IFERROR(__xludf.DUMMYFUNCTION("""COMPUTED_VALUE"""),"Mangatarem")</f>
        <v>Mangatarem</v>
      </c>
      <c r="AC418" s="142" t="str">
        <f>IFERROR(__xludf.DUMMYFUNCTION("""COMPUTED_VALUE"""),"Mapandan")</f>
        <v>Mapandan</v>
      </c>
      <c r="AD418" s="142" t="str">
        <f>IFERROR(__xludf.DUMMYFUNCTION("""COMPUTED_VALUE"""),"Natividad")</f>
        <v>Natividad</v>
      </c>
      <c r="AE418" s="142" t="str">
        <f>IFERROR(__xludf.DUMMYFUNCTION("""COMPUTED_VALUE"""),"Pozorrubio")</f>
        <v>Pozorrubio</v>
      </c>
      <c r="AF418" s="142" t="str">
        <f>IFERROR(__xludf.DUMMYFUNCTION("""COMPUTED_VALUE"""),"Rosales")</f>
        <v>Rosales</v>
      </c>
      <c r="AG418" s="142" t="str">
        <f>IFERROR(__xludf.DUMMYFUNCTION("""COMPUTED_VALUE"""),"City of San Carlos")</f>
        <v>City of San Carlos</v>
      </c>
      <c r="AH418" s="142" t="str">
        <f>IFERROR(__xludf.DUMMYFUNCTION("""COMPUTED_VALUE"""),"San Fabian")</f>
        <v>San Fabian</v>
      </c>
      <c r="AI418" s="142" t="str">
        <f>IFERROR(__xludf.DUMMYFUNCTION("""COMPUTED_VALUE"""),"San Jacinto")</f>
        <v>San Jacinto</v>
      </c>
      <c r="AJ418" s="142" t="str">
        <f>IFERROR(__xludf.DUMMYFUNCTION("""COMPUTED_VALUE"""),"San Manuel")</f>
        <v>San Manuel</v>
      </c>
      <c r="AK418" s="142" t="str">
        <f>IFERROR(__xludf.DUMMYFUNCTION("""COMPUTED_VALUE"""),"San Nicolas")</f>
        <v>San Nicolas</v>
      </c>
      <c r="AL418" s="142" t="str">
        <f>IFERROR(__xludf.DUMMYFUNCTION("""COMPUTED_VALUE"""),"San Quintin")</f>
        <v>San Quintin</v>
      </c>
      <c r="AM418" s="142" t="str">
        <f>IFERROR(__xludf.DUMMYFUNCTION("""COMPUTED_VALUE"""),"Santa Barbara")</f>
        <v>Santa Barbara</v>
      </c>
      <c r="AN418" s="142" t="str">
        <f>IFERROR(__xludf.DUMMYFUNCTION("""COMPUTED_VALUE"""),"Santa Maria")</f>
        <v>Santa Maria</v>
      </c>
      <c r="AO418" s="142" t="str">
        <f>IFERROR(__xludf.DUMMYFUNCTION("""COMPUTED_VALUE"""),"Santo Tomas")</f>
        <v>Santo Tomas</v>
      </c>
      <c r="AP418" s="142" t="str">
        <f>IFERROR(__xludf.DUMMYFUNCTION("""COMPUTED_VALUE"""),"Sison")</f>
        <v>Sison</v>
      </c>
      <c r="AQ418" s="142" t="str">
        <f>IFERROR(__xludf.DUMMYFUNCTION("""COMPUTED_VALUE"""),"Sual")</f>
        <v>Sual</v>
      </c>
      <c r="AR418" s="142" t="str">
        <f>IFERROR(__xludf.DUMMYFUNCTION("""COMPUTED_VALUE"""),"Tayug")</f>
        <v>Tayug</v>
      </c>
      <c r="AS418" s="142" t="str">
        <f>IFERROR(__xludf.DUMMYFUNCTION("""COMPUTED_VALUE"""),"Umingan")</f>
        <v>Umingan</v>
      </c>
      <c r="AT418" s="142" t="str">
        <f>IFERROR(__xludf.DUMMYFUNCTION("""COMPUTED_VALUE"""),"Urbiztondo")</f>
        <v>Urbiztondo</v>
      </c>
      <c r="AU418" s="142" t="str">
        <f>IFERROR(__xludf.DUMMYFUNCTION("""COMPUTED_VALUE"""),"City of Urdaneta")</f>
        <v>City of Urdaneta</v>
      </c>
      <c r="AV418" s="142" t="str">
        <f>IFERROR(__xludf.DUMMYFUNCTION("""COMPUTED_VALUE"""),"Villasis")</f>
        <v>Villasis</v>
      </c>
      <c r="AW418" s="142" t="str">
        <f>IFERROR(__xludf.DUMMYFUNCTION("""COMPUTED_VALUE"""),"Laoac")</f>
        <v>Laoac</v>
      </c>
      <c r="AX418" s="8"/>
      <c r="AY418" s="8"/>
      <c r="AZ418" s="8"/>
      <c r="BA418" s="8"/>
      <c r="BB418" s="8"/>
      <c r="BC418" s="8"/>
      <c r="BD418" s="8"/>
      <c r="BE418" s="8"/>
    </row>
    <row r="419">
      <c r="A419" s="142" t="s">
        <v>144</v>
      </c>
      <c r="B419" s="142" t="str">
        <f>IFERROR(__xludf.DUMMYFUNCTION("""COMPUTED_VALUE"""),"Agno")</f>
        <v>Agno</v>
      </c>
      <c r="C419" s="142" t="str">
        <f>IFERROR(__xludf.DUMMYFUNCTION("""COMPUTED_VALUE"""),"Aguilar")</f>
        <v>Aguilar</v>
      </c>
      <c r="D419" s="142" t="str">
        <f>IFERROR(__xludf.DUMMYFUNCTION("""COMPUTED_VALUE"""),"City of Alaminos")</f>
        <v>City of Alaminos</v>
      </c>
      <c r="E419" s="142" t="str">
        <f>IFERROR(__xludf.DUMMYFUNCTION("""COMPUTED_VALUE"""),"Alcala")</f>
        <v>Alcala</v>
      </c>
      <c r="F419" s="142" t="str">
        <f>IFERROR(__xludf.DUMMYFUNCTION("""COMPUTED_VALUE"""),"Anda")</f>
        <v>Anda</v>
      </c>
      <c r="G419" s="142" t="str">
        <f>IFERROR(__xludf.DUMMYFUNCTION("""COMPUTED_VALUE"""),"Asingan")</f>
        <v>Asingan</v>
      </c>
      <c r="H419" s="142" t="str">
        <f>IFERROR(__xludf.DUMMYFUNCTION("""COMPUTED_VALUE"""),"Balungao")</f>
        <v>Balungao</v>
      </c>
      <c r="I419" s="142" t="str">
        <f>IFERROR(__xludf.DUMMYFUNCTION("""COMPUTED_VALUE"""),"Bani")</f>
        <v>Bani</v>
      </c>
      <c r="J419" s="142" t="str">
        <f>IFERROR(__xludf.DUMMYFUNCTION("""COMPUTED_VALUE"""),"Basista")</f>
        <v>Basista</v>
      </c>
      <c r="K419" s="142" t="str">
        <f>IFERROR(__xludf.DUMMYFUNCTION("""COMPUTED_VALUE"""),"Bautista")</f>
        <v>Bautista</v>
      </c>
      <c r="L419" s="142" t="str">
        <f>IFERROR(__xludf.DUMMYFUNCTION("""COMPUTED_VALUE"""),"Bayambang")</f>
        <v>Bayambang</v>
      </c>
      <c r="M419" s="142" t="str">
        <f>IFERROR(__xludf.DUMMYFUNCTION("""COMPUTED_VALUE"""),"Binalonan")</f>
        <v>Binalonan</v>
      </c>
      <c r="N419" s="142" t="str">
        <f>IFERROR(__xludf.DUMMYFUNCTION("""COMPUTED_VALUE"""),"Binmaley")</f>
        <v>Binmaley</v>
      </c>
      <c r="O419" s="142" t="str">
        <f>IFERROR(__xludf.DUMMYFUNCTION("""COMPUTED_VALUE"""),"Bolinao")</f>
        <v>Bolinao</v>
      </c>
      <c r="P419" s="142" t="str">
        <f>IFERROR(__xludf.DUMMYFUNCTION("""COMPUTED_VALUE"""),"Bugallon")</f>
        <v>Bugallon</v>
      </c>
      <c r="Q419" s="142" t="str">
        <f>IFERROR(__xludf.DUMMYFUNCTION("""COMPUTED_VALUE"""),"Burgos")</f>
        <v>Burgos</v>
      </c>
      <c r="R419" s="142" t="str">
        <f>IFERROR(__xludf.DUMMYFUNCTION("""COMPUTED_VALUE"""),"Calasiao")</f>
        <v>Calasiao</v>
      </c>
      <c r="S419" s="142" t="str">
        <f>IFERROR(__xludf.DUMMYFUNCTION("""COMPUTED_VALUE"""),"City of Dagupan")</f>
        <v>City of Dagupan</v>
      </c>
      <c r="T419" s="142" t="str">
        <f>IFERROR(__xludf.DUMMYFUNCTION("""COMPUTED_VALUE"""),"Dasol")</f>
        <v>Dasol</v>
      </c>
      <c r="U419" s="142" t="str">
        <f>IFERROR(__xludf.DUMMYFUNCTION("""COMPUTED_VALUE"""),"Infanta")</f>
        <v>Infanta</v>
      </c>
      <c r="V419" s="142" t="str">
        <f>IFERROR(__xludf.DUMMYFUNCTION("""COMPUTED_VALUE"""),"Labrador")</f>
        <v>Labrador</v>
      </c>
      <c r="W419" s="142" t="str">
        <f>IFERROR(__xludf.DUMMYFUNCTION("""COMPUTED_VALUE"""),"Lingayen")</f>
        <v>Lingayen</v>
      </c>
      <c r="X419" s="142" t="str">
        <f>IFERROR(__xludf.DUMMYFUNCTION("""COMPUTED_VALUE"""),"Mabini")</f>
        <v>Mabini</v>
      </c>
      <c r="Y419" s="142" t="str">
        <f>IFERROR(__xludf.DUMMYFUNCTION("""COMPUTED_VALUE"""),"Malasiqui")</f>
        <v>Malasiqui</v>
      </c>
      <c r="Z419" s="142" t="str">
        <f>IFERROR(__xludf.DUMMYFUNCTION("""COMPUTED_VALUE"""),"Manaoag")</f>
        <v>Manaoag</v>
      </c>
      <c r="AA419" s="142" t="str">
        <f>IFERROR(__xludf.DUMMYFUNCTION("""COMPUTED_VALUE"""),"Mangaldan")</f>
        <v>Mangaldan</v>
      </c>
      <c r="AB419" s="142" t="str">
        <f>IFERROR(__xludf.DUMMYFUNCTION("""COMPUTED_VALUE"""),"Mangatarem")</f>
        <v>Mangatarem</v>
      </c>
      <c r="AC419" s="142" t="str">
        <f>IFERROR(__xludf.DUMMYFUNCTION("""COMPUTED_VALUE"""),"Mapandan")</f>
        <v>Mapandan</v>
      </c>
      <c r="AD419" s="142" t="str">
        <f>IFERROR(__xludf.DUMMYFUNCTION("""COMPUTED_VALUE"""),"Natividad")</f>
        <v>Natividad</v>
      </c>
      <c r="AE419" s="142" t="str">
        <f>IFERROR(__xludf.DUMMYFUNCTION("""COMPUTED_VALUE"""),"Pozorrubio")</f>
        <v>Pozorrubio</v>
      </c>
      <c r="AF419" s="142" t="str">
        <f>IFERROR(__xludf.DUMMYFUNCTION("""COMPUTED_VALUE"""),"Rosales")</f>
        <v>Rosales</v>
      </c>
      <c r="AG419" s="142" t="str">
        <f>IFERROR(__xludf.DUMMYFUNCTION("""COMPUTED_VALUE"""),"City of San Carlos")</f>
        <v>City of San Carlos</v>
      </c>
      <c r="AH419" s="142" t="str">
        <f>IFERROR(__xludf.DUMMYFUNCTION("""COMPUTED_VALUE"""),"San Fabian")</f>
        <v>San Fabian</v>
      </c>
      <c r="AI419" s="142" t="str">
        <f>IFERROR(__xludf.DUMMYFUNCTION("""COMPUTED_VALUE"""),"San Jacinto")</f>
        <v>San Jacinto</v>
      </c>
      <c r="AJ419" s="142" t="str">
        <f>IFERROR(__xludf.DUMMYFUNCTION("""COMPUTED_VALUE"""),"San Manuel")</f>
        <v>San Manuel</v>
      </c>
      <c r="AK419" s="142" t="str">
        <f>IFERROR(__xludf.DUMMYFUNCTION("""COMPUTED_VALUE"""),"San Nicolas")</f>
        <v>San Nicolas</v>
      </c>
      <c r="AL419" s="142" t="str">
        <f>IFERROR(__xludf.DUMMYFUNCTION("""COMPUTED_VALUE"""),"San Quintin")</f>
        <v>San Quintin</v>
      </c>
      <c r="AM419" s="142" t="str">
        <f>IFERROR(__xludf.DUMMYFUNCTION("""COMPUTED_VALUE"""),"Santa Barbara")</f>
        <v>Santa Barbara</v>
      </c>
      <c r="AN419" s="142" t="str">
        <f>IFERROR(__xludf.DUMMYFUNCTION("""COMPUTED_VALUE"""),"Santa Maria")</f>
        <v>Santa Maria</v>
      </c>
      <c r="AO419" s="142" t="str">
        <f>IFERROR(__xludf.DUMMYFUNCTION("""COMPUTED_VALUE"""),"Santo Tomas")</f>
        <v>Santo Tomas</v>
      </c>
      <c r="AP419" s="142" t="str">
        <f>IFERROR(__xludf.DUMMYFUNCTION("""COMPUTED_VALUE"""),"Sison")</f>
        <v>Sison</v>
      </c>
      <c r="AQ419" s="142" t="str">
        <f>IFERROR(__xludf.DUMMYFUNCTION("""COMPUTED_VALUE"""),"Sual")</f>
        <v>Sual</v>
      </c>
      <c r="AR419" s="142" t="str">
        <f>IFERROR(__xludf.DUMMYFUNCTION("""COMPUTED_VALUE"""),"Tayug")</f>
        <v>Tayug</v>
      </c>
      <c r="AS419" s="142" t="str">
        <f>IFERROR(__xludf.DUMMYFUNCTION("""COMPUTED_VALUE"""),"Umingan")</f>
        <v>Umingan</v>
      </c>
      <c r="AT419" s="142" t="str">
        <f>IFERROR(__xludf.DUMMYFUNCTION("""COMPUTED_VALUE"""),"Urbiztondo")</f>
        <v>Urbiztondo</v>
      </c>
      <c r="AU419" s="142" t="str">
        <f>IFERROR(__xludf.DUMMYFUNCTION("""COMPUTED_VALUE"""),"City of Urdaneta")</f>
        <v>City of Urdaneta</v>
      </c>
      <c r="AV419" s="142" t="str">
        <f>IFERROR(__xludf.DUMMYFUNCTION("""COMPUTED_VALUE"""),"Villasis")</f>
        <v>Villasis</v>
      </c>
      <c r="AW419" s="142" t="str">
        <f>IFERROR(__xludf.DUMMYFUNCTION("""COMPUTED_VALUE"""),"Laoac")</f>
        <v>Laoac</v>
      </c>
      <c r="AX419" s="8"/>
      <c r="AY419" s="8"/>
      <c r="AZ419" s="8"/>
      <c r="BA419" s="8"/>
      <c r="BB419" s="8"/>
      <c r="BC419" s="8"/>
      <c r="BD419" s="8"/>
      <c r="BE419" s="8"/>
    </row>
    <row r="420">
      <c r="A420" s="142" t="s">
        <v>144</v>
      </c>
      <c r="B420" s="142" t="str">
        <f>IFERROR(__xludf.DUMMYFUNCTION("""COMPUTED_VALUE"""),"Agno")</f>
        <v>Agno</v>
      </c>
      <c r="C420" s="142" t="str">
        <f>IFERROR(__xludf.DUMMYFUNCTION("""COMPUTED_VALUE"""),"Aguilar")</f>
        <v>Aguilar</v>
      </c>
      <c r="D420" s="142" t="str">
        <f>IFERROR(__xludf.DUMMYFUNCTION("""COMPUTED_VALUE"""),"City of Alaminos")</f>
        <v>City of Alaminos</v>
      </c>
      <c r="E420" s="142" t="str">
        <f>IFERROR(__xludf.DUMMYFUNCTION("""COMPUTED_VALUE"""),"Alcala")</f>
        <v>Alcala</v>
      </c>
      <c r="F420" s="142" t="str">
        <f>IFERROR(__xludf.DUMMYFUNCTION("""COMPUTED_VALUE"""),"Anda")</f>
        <v>Anda</v>
      </c>
      <c r="G420" s="142" t="str">
        <f>IFERROR(__xludf.DUMMYFUNCTION("""COMPUTED_VALUE"""),"Asingan")</f>
        <v>Asingan</v>
      </c>
      <c r="H420" s="142" t="str">
        <f>IFERROR(__xludf.DUMMYFUNCTION("""COMPUTED_VALUE"""),"Balungao")</f>
        <v>Balungao</v>
      </c>
      <c r="I420" s="142" t="str">
        <f>IFERROR(__xludf.DUMMYFUNCTION("""COMPUTED_VALUE"""),"Bani")</f>
        <v>Bani</v>
      </c>
      <c r="J420" s="142" t="str">
        <f>IFERROR(__xludf.DUMMYFUNCTION("""COMPUTED_VALUE"""),"Basista")</f>
        <v>Basista</v>
      </c>
      <c r="K420" s="142" t="str">
        <f>IFERROR(__xludf.DUMMYFUNCTION("""COMPUTED_VALUE"""),"Bautista")</f>
        <v>Bautista</v>
      </c>
      <c r="L420" s="142" t="str">
        <f>IFERROR(__xludf.DUMMYFUNCTION("""COMPUTED_VALUE"""),"Bayambang")</f>
        <v>Bayambang</v>
      </c>
      <c r="M420" s="142" t="str">
        <f>IFERROR(__xludf.DUMMYFUNCTION("""COMPUTED_VALUE"""),"Binalonan")</f>
        <v>Binalonan</v>
      </c>
      <c r="N420" s="142" t="str">
        <f>IFERROR(__xludf.DUMMYFUNCTION("""COMPUTED_VALUE"""),"Binmaley")</f>
        <v>Binmaley</v>
      </c>
      <c r="O420" s="142" t="str">
        <f>IFERROR(__xludf.DUMMYFUNCTION("""COMPUTED_VALUE"""),"Bolinao")</f>
        <v>Bolinao</v>
      </c>
      <c r="P420" s="142" t="str">
        <f>IFERROR(__xludf.DUMMYFUNCTION("""COMPUTED_VALUE"""),"Bugallon")</f>
        <v>Bugallon</v>
      </c>
      <c r="Q420" s="142" t="str">
        <f>IFERROR(__xludf.DUMMYFUNCTION("""COMPUTED_VALUE"""),"Burgos")</f>
        <v>Burgos</v>
      </c>
      <c r="R420" s="142" t="str">
        <f>IFERROR(__xludf.DUMMYFUNCTION("""COMPUTED_VALUE"""),"Calasiao")</f>
        <v>Calasiao</v>
      </c>
      <c r="S420" s="142" t="str">
        <f>IFERROR(__xludf.DUMMYFUNCTION("""COMPUTED_VALUE"""),"City of Dagupan")</f>
        <v>City of Dagupan</v>
      </c>
      <c r="T420" s="142" t="str">
        <f>IFERROR(__xludf.DUMMYFUNCTION("""COMPUTED_VALUE"""),"Dasol")</f>
        <v>Dasol</v>
      </c>
      <c r="U420" s="142" t="str">
        <f>IFERROR(__xludf.DUMMYFUNCTION("""COMPUTED_VALUE"""),"Infanta")</f>
        <v>Infanta</v>
      </c>
      <c r="V420" s="142" t="str">
        <f>IFERROR(__xludf.DUMMYFUNCTION("""COMPUTED_VALUE"""),"Labrador")</f>
        <v>Labrador</v>
      </c>
      <c r="W420" s="142" t="str">
        <f>IFERROR(__xludf.DUMMYFUNCTION("""COMPUTED_VALUE"""),"Lingayen")</f>
        <v>Lingayen</v>
      </c>
      <c r="X420" s="142" t="str">
        <f>IFERROR(__xludf.DUMMYFUNCTION("""COMPUTED_VALUE"""),"Mabini")</f>
        <v>Mabini</v>
      </c>
      <c r="Y420" s="142" t="str">
        <f>IFERROR(__xludf.DUMMYFUNCTION("""COMPUTED_VALUE"""),"Malasiqui")</f>
        <v>Malasiqui</v>
      </c>
      <c r="Z420" s="142" t="str">
        <f>IFERROR(__xludf.DUMMYFUNCTION("""COMPUTED_VALUE"""),"Manaoag")</f>
        <v>Manaoag</v>
      </c>
      <c r="AA420" s="142" t="str">
        <f>IFERROR(__xludf.DUMMYFUNCTION("""COMPUTED_VALUE"""),"Mangaldan")</f>
        <v>Mangaldan</v>
      </c>
      <c r="AB420" s="142" t="str">
        <f>IFERROR(__xludf.DUMMYFUNCTION("""COMPUTED_VALUE"""),"Mangatarem")</f>
        <v>Mangatarem</v>
      </c>
      <c r="AC420" s="142" t="str">
        <f>IFERROR(__xludf.DUMMYFUNCTION("""COMPUTED_VALUE"""),"Mapandan")</f>
        <v>Mapandan</v>
      </c>
      <c r="AD420" s="142" t="str">
        <f>IFERROR(__xludf.DUMMYFUNCTION("""COMPUTED_VALUE"""),"Natividad")</f>
        <v>Natividad</v>
      </c>
      <c r="AE420" s="142" t="str">
        <f>IFERROR(__xludf.DUMMYFUNCTION("""COMPUTED_VALUE"""),"Pozorrubio")</f>
        <v>Pozorrubio</v>
      </c>
      <c r="AF420" s="142" t="str">
        <f>IFERROR(__xludf.DUMMYFUNCTION("""COMPUTED_VALUE"""),"Rosales")</f>
        <v>Rosales</v>
      </c>
      <c r="AG420" s="142" t="str">
        <f>IFERROR(__xludf.DUMMYFUNCTION("""COMPUTED_VALUE"""),"City of San Carlos")</f>
        <v>City of San Carlos</v>
      </c>
      <c r="AH420" s="142" t="str">
        <f>IFERROR(__xludf.DUMMYFUNCTION("""COMPUTED_VALUE"""),"San Fabian")</f>
        <v>San Fabian</v>
      </c>
      <c r="AI420" s="142" t="str">
        <f>IFERROR(__xludf.DUMMYFUNCTION("""COMPUTED_VALUE"""),"San Jacinto")</f>
        <v>San Jacinto</v>
      </c>
      <c r="AJ420" s="142" t="str">
        <f>IFERROR(__xludf.DUMMYFUNCTION("""COMPUTED_VALUE"""),"San Manuel")</f>
        <v>San Manuel</v>
      </c>
      <c r="AK420" s="142" t="str">
        <f>IFERROR(__xludf.DUMMYFUNCTION("""COMPUTED_VALUE"""),"San Nicolas")</f>
        <v>San Nicolas</v>
      </c>
      <c r="AL420" s="142" t="str">
        <f>IFERROR(__xludf.DUMMYFUNCTION("""COMPUTED_VALUE"""),"San Quintin")</f>
        <v>San Quintin</v>
      </c>
      <c r="AM420" s="142" t="str">
        <f>IFERROR(__xludf.DUMMYFUNCTION("""COMPUTED_VALUE"""),"Santa Barbara")</f>
        <v>Santa Barbara</v>
      </c>
      <c r="AN420" s="142" t="str">
        <f>IFERROR(__xludf.DUMMYFUNCTION("""COMPUTED_VALUE"""),"Santa Maria")</f>
        <v>Santa Maria</v>
      </c>
      <c r="AO420" s="142" t="str">
        <f>IFERROR(__xludf.DUMMYFUNCTION("""COMPUTED_VALUE"""),"Santo Tomas")</f>
        <v>Santo Tomas</v>
      </c>
      <c r="AP420" s="142" t="str">
        <f>IFERROR(__xludf.DUMMYFUNCTION("""COMPUTED_VALUE"""),"Sison")</f>
        <v>Sison</v>
      </c>
      <c r="AQ420" s="142" t="str">
        <f>IFERROR(__xludf.DUMMYFUNCTION("""COMPUTED_VALUE"""),"Sual")</f>
        <v>Sual</v>
      </c>
      <c r="AR420" s="142" t="str">
        <f>IFERROR(__xludf.DUMMYFUNCTION("""COMPUTED_VALUE"""),"Tayug")</f>
        <v>Tayug</v>
      </c>
      <c r="AS420" s="142" t="str">
        <f>IFERROR(__xludf.DUMMYFUNCTION("""COMPUTED_VALUE"""),"Umingan")</f>
        <v>Umingan</v>
      </c>
      <c r="AT420" s="142" t="str">
        <f>IFERROR(__xludf.DUMMYFUNCTION("""COMPUTED_VALUE"""),"Urbiztondo")</f>
        <v>Urbiztondo</v>
      </c>
      <c r="AU420" s="142" t="str">
        <f>IFERROR(__xludf.DUMMYFUNCTION("""COMPUTED_VALUE"""),"City of Urdaneta")</f>
        <v>City of Urdaneta</v>
      </c>
      <c r="AV420" s="142" t="str">
        <f>IFERROR(__xludf.DUMMYFUNCTION("""COMPUTED_VALUE"""),"Villasis")</f>
        <v>Villasis</v>
      </c>
      <c r="AW420" s="142" t="str">
        <f>IFERROR(__xludf.DUMMYFUNCTION("""COMPUTED_VALUE"""),"Laoac")</f>
        <v>Laoac</v>
      </c>
      <c r="AX420" s="8"/>
      <c r="AY420" s="8"/>
      <c r="AZ420" s="8"/>
      <c r="BA420" s="8"/>
      <c r="BB420" s="8"/>
      <c r="BC420" s="8"/>
      <c r="BD420" s="8"/>
      <c r="BE420" s="8"/>
    </row>
    <row r="421">
      <c r="A421" s="142" t="s">
        <v>144</v>
      </c>
      <c r="B421" s="142" t="str">
        <f>IFERROR(__xludf.DUMMYFUNCTION("""COMPUTED_VALUE"""),"Agno")</f>
        <v>Agno</v>
      </c>
      <c r="C421" s="142" t="str">
        <f>IFERROR(__xludf.DUMMYFUNCTION("""COMPUTED_VALUE"""),"Aguilar")</f>
        <v>Aguilar</v>
      </c>
      <c r="D421" s="142" t="str">
        <f>IFERROR(__xludf.DUMMYFUNCTION("""COMPUTED_VALUE"""),"City of Alaminos")</f>
        <v>City of Alaminos</v>
      </c>
      <c r="E421" s="142" t="str">
        <f>IFERROR(__xludf.DUMMYFUNCTION("""COMPUTED_VALUE"""),"Alcala")</f>
        <v>Alcala</v>
      </c>
      <c r="F421" s="142" t="str">
        <f>IFERROR(__xludf.DUMMYFUNCTION("""COMPUTED_VALUE"""),"Anda")</f>
        <v>Anda</v>
      </c>
      <c r="G421" s="142" t="str">
        <f>IFERROR(__xludf.DUMMYFUNCTION("""COMPUTED_VALUE"""),"Asingan")</f>
        <v>Asingan</v>
      </c>
      <c r="H421" s="142" t="str">
        <f>IFERROR(__xludf.DUMMYFUNCTION("""COMPUTED_VALUE"""),"Balungao")</f>
        <v>Balungao</v>
      </c>
      <c r="I421" s="142" t="str">
        <f>IFERROR(__xludf.DUMMYFUNCTION("""COMPUTED_VALUE"""),"Bani")</f>
        <v>Bani</v>
      </c>
      <c r="J421" s="142" t="str">
        <f>IFERROR(__xludf.DUMMYFUNCTION("""COMPUTED_VALUE"""),"Basista")</f>
        <v>Basista</v>
      </c>
      <c r="K421" s="142" t="str">
        <f>IFERROR(__xludf.DUMMYFUNCTION("""COMPUTED_VALUE"""),"Bautista")</f>
        <v>Bautista</v>
      </c>
      <c r="L421" s="142" t="str">
        <f>IFERROR(__xludf.DUMMYFUNCTION("""COMPUTED_VALUE"""),"Bayambang")</f>
        <v>Bayambang</v>
      </c>
      <c r="M421" s="142" t="str">
        <f>IFERROR(__xludf.DUMMYFUNCTION("""COMPUTED_VALUE"""),"Binalonan")</f>
        <v>Binalonan</v>
      </c>
      <c r="N421" s="142" t="str">
        <f>IFERROR(__xludf.DUMMYFUNCTION("""COMPUTED_VALUE"""),"Binmaley")</f>
        <v>Binmaley</v>
      </c>
      <c r="O421" s="142" t="str">
        <f>IFERROR(__xludf.DUMMYFUNCTION("""COMPUTED_VALUE"""),"Bolinao")</f>
        <v>Bolinao</v>
      </c>
      <c r="P421" s="142" t="str">
        <f>IFERROR(__xludf.DUMMYFUNCTION("""COMPUTED_VALUE"""),"Bugallon")</f>
        <v>Bugallon</v>
      </c>
      <c r="Q421" s="142" t="str">
        <f>IFERROR(__xludf.DUMMYFUNCTION("""COMPUTED_VALUE"""),"Burgos")</f>
        <v>Burgos</v>
      </c>
      <c r="R421" s="142" t="str">
        <f>IFERROR(__xludf.DUMMYFUNCTION("""COMPUTED_VALUE"""),"Calasiao")</f>
        <v>Calasiao</v>
      </c>
      <c r="S421" s="142" t="str">
        <f>IFERROR(__xludf.DUMMYFUNCTION("""COMPUTED_VALUE"""),"City of Dagupan")</f>
        <v>City of Dagupan</v>
      </c>
      <c r="T421" s="142" t="str">
        <f>IFERROR(__xludf.DUMMYFUNCTION("""COMPUTED_VALUE"""),"Dasol")</f>
        <v>Dasol</v>
      </c>
      <c r="U421" s="142" t="str">
        <f>IFERROR(__xludf.DUMMYFUNCTION("""COMPUTED_VALUE"""),"Infanta")</f>
        <v>Infanta</v>
      </c>
      <c r="V421" s="142" t="str">
        <f>IFERROR(__xludf.DUMMYFUNCTION("""COMPUTED_VALUE"""),"Labrador")</f>
        <v>Labrador</v>
      </c>
      <c r="W421" s="142" t="str">
        <f>IFERROR(__xludf.DUMMYFUNCTION("""COMPUTED_VALUE"""),"Lingayen")</f>
        <v>Lingayen</v>
      </c>
      <c r="X421" s="142" t="str">
        <f>IFERROR(__xludf.DUMMYFUNCTION("""COMPUTED_VALUE"""),"Mabini")</f>
        <v>Mabini</v>
      </c>
      <c r="Y421" s="142" t="str">
        <f>IFERROR(__xludf.DUMMYFUNCTION("""COMPUTED_VALUE"""),"Malasiqui")</f>
        <v>Malasiqui</v>
      </c>
      <c r="Z421" s="142" t="str">
        <f>IFERROR(__xludf.DUMMYFUNCTION("""COMPUTED_VALUE"""),"Manaoag")</f>
        <v>Manaoag</v>
      </c>
      <c r="AA421" s="142" t="str">
        <f>IFERROR(__xludf.DUMMYFUNCTION("""COMPUTED_VALUE"""),"Mangaldan")</f>
        <v>Mangaldan</v>
      </c>
      <c r="AB421" s="142" t="str">
        <f>IFERROR(__xludf.DUMMYFUNCTION("""COMPUTED_VALUE"""),"Mangatarem")</f>
        <v>Mangatarem</v>
      </c>
      <c r="AC421" s="142" t="str">
        <f>IFERROR(__xludf.DUMMYFUNCTION("""COMPUTED_VALUE"""),"Mapandan")</f>
        <v>Mapandan</v>
      </c>
      <c r="AD421" s="142" t="str">
        <f>IFERROR(__xludf.DUMMYFUNCTION("""COMPUTED_VALUE"""),"Natividad")</f>
        <v>Natividad</v>
      </c>
      <c r="AE421" s="142" t="str">
        <f>IFERROR(__xludf.DUMMYFUNCTION("""COMPUTED_VALUE"""),"Pozorrubio")</f>
        <v>Pozorrubio</v>
      </c>
      <c r="AF421" s="142" t="str">
        <f>IFERROR(__xludf.DUMMYFUNCTION("""COMPUTED_VALUE"""),"Rosales")</f>
        <v>Rosales</v>
      </c>
      <c r="AG421" s="142" t="str">
        <f>IFERROR(__xludf.DUMMYFUNCTION("""COMPUTED_VALUE"""),"City of San Carlos")</f>
        <v>City of San Carlos</v>
      </c>
      <c r="AH421" s="142" t="str">
        <f>IFERROR(__xludf.DUMMYFUNCTION("""COMPUTED_VALUE"""),"San Fabian")</f>
        <v>San Fabian</v>
      </c>
      <c r="AI421" s="142" t="str">
        <f>IFERROR(__xludf.DUMMYFUNCTION("""COMPUTED_VALUE"""),"San Jacinto")</f>
        <v>San Jacinto</v>
      </c>
      <c r="AJ421" s="142" t="str">
        <f>IFERROR(__xludf.DUMMYFUNCTION("""COMPUTED_VALUE"""),"San Manuel")</f>
        <v>San Manuel</v>
      </c>
      <c r="AK421" s="142" t="str">
        <f>IFERROR(__xludf.DUMMYFUNCTION("""COMPUTED_VALUE"""),"San Nicolas")</f>
        <v>San Nicolas</v>
      </c>
      <c r="AL421" s="142" t="str">
        <f>IFERROR(__xludf.DUMMYFUNCTION("""COMPUTED_VALUE"""),"San Quintin")</f>
        <v>San Quintin</v>
      </c>
      <c r="AM421" s="142" t="str">
        <f>IFERROR(__xludf.DUMMYFUNCTION("""COMPUTED_VALUE"""),"Santa Barbara")</f>
        <v>Santa Barbara</v>
      </c>
      <c r="AN421" s="142" t="str">
        <f>IFERROR(__xludf.DUMMYFUNCTION("""COMPUTED_VALUE"""),"Santa Maria")</f>
        <v>Santa Maria</v>
      </c>
      <c r="AO421" s="142" t="str">
        <f>IFERROR(__xludf.DUMMYFUNCTION("""COMPUTED_VALUE"""),"Santo Tomas")</f>
        <v>Santo Tomas</v>
      </c>
      <c r="AP421" s="142" t="str">
        <f>IFERROR(__xludf.DUMMYFUNCTION("""COMPUTED_VALUE"""),"Sison")</f>
        <v>Sison</v>
      </c>
      <c r="AQ421" s="142" t="str">
        <f>IFERROR(__xludf.DUMMYFUNCTION("""COMPUTED_VALUE"""),"Sual")</f>
        <v>Sual</v>
      </c>
      <c r="AR421" s="142" t="str">
        <f>IFERROR(__xludf.DUMMYFUNCTION("""COMPUTED_VALUE"""),"Tayug")</f>
        <v>Tayug</v>
      </c>
      <c r="AS421" s="142" t="str">
        <f>IFERROR(__xludf.DUMMYFUNCTION("""COMPUTED_VALUE"""),"Umingan")</f>
        <v>Umingan</v>
      </c>
      <c r="AT421" s="142" t="str">
        <f>IFERROR(__xludf.DUMMYFUNCTION("""COMPUTED_VALUE"""),"Urbiztondo")</f>
        <v>Urbiztondo</v>
      </c>
      <c r="AU421" s="142" t="str">
        <f>IFERROR(__xludf.DUMMYFUNCTION("""COMPUTED_VALUE"""),"City of Urdaneta")</f>
        <v>City of Urdaneta</v>
      </c>
      <c r="AV421" s="142" t="str">
        <f>IFERROR(__xludf.DUMMYFUNCTION("""COMPUTED_VALUE"""),"Villasis")</f>
        <v>Villasis</v>
      </c>
      <c r="AW421" s="142" t="str">
        <f>IFERROR(__xludf.DUMMYFUNCTION("""COMPUTED_VALUE"""),"Laoac")</f>
        <v>Laoac</v>
      </c>
      <c r="AX421" s="8"/>
      <c r="AY421" s="8"/>
      <c r="AZ421" s="8"/>
      <c r="BA421" s="8"/>
      <c r="BB421" s="8"/>
      <c r="BC421" s="8"/>
      <c r="BD421" s="8"/>
      <c r="BE421" s="8"/>
    </row>
    <row r="422">
      <c r="A422" s="142" t="s">
        <v>144</v>
      </c>
      <c r="B422" s="142" t="str">
        <f>IFERROR(__xludf.DUMMYFUNCTION("""COMPUTED_VALUE"""),"Agno")</f>
        <v>Agno</v>
      </c>
      <c r="C422" s="142" t="str">
        <f>IFERROR(__xludf.DUMMYFUNCTION("""COMPUTED_VALUE"""),"Aguilar")</f>
        <v>Aguilar</v>
      </c>
      <c r="D422" s="142" t="str">
        <f>IFERROR(__xludf.DUMMYFUNCTION("""COMPUTED_VALUE"""),"City of Alaminos")</f>
        <v>City of Alaminos</v>
      </c>
      <c r="E422" s="142" t="str">
        <f>IFERROR(__xludf.DUMMYFUNCTION("""COMPUTED_VALUE"""),"Alcala")</f>
        <v>Alcala</v>
      </c>
      <c r="F422" s="142" t="str">
        <f>IFERROR(__xludf.DUMMYFUNCTION("""COMPUTED_VALUE"""),"Anda")</f>
        <v>Anda</v>
      </c>
      <c r="G422" s="142" t="str">
        <f>IFERROR(__xludf.DUMMYFUNCTION("""COMPUTED_VALUE"""),"Asingan")</f>
        <v>Asingan</v>
      </c>
      <c r="H422" s="142" t="str">
        <f>IFERROR(__xludf.DUMMYFUNCTION("""COMPUTED_VALUE"""),"Balungao")</f>
        <v>Balungao</v>
      </c>
      <c r="I422" s="142" t="str">
        <f>IFERROR(__xludf.DUMMYFUNCTION("""COMPUTED_VALUE"""),"Bani")</f>
        <v>Bani</v>
      </c>
      <c r="J422" s="142" t="str">
        <f>IFERROR(__xludf.DUMMYFUNCTION("""COMPUTED_VALUE"""),"Basista")</f>
        <v>Basista</v>
      </c>
      <c r="K422" s="142" t="str">
        <f>IFERROR(__xludf.DUMMYFUNCTION("""COMPUTED_VALUE"""),"Bautista")</f>
        <v>Bautista</v>
      </c>
      <c r="L422" s="142" t="str">
        <f>IFERROR(__xludf.DUMMYFUNCTION("""COMPUTED_VALUE"""),"Bayambang")</f>
        <v>Bayambang</v>
      </c>
      <c r="M422" s="142" t="str">
        <f>IFERROR(__xludf.DUMMYFUNCTION("""COMPUTED_VALUE"""),"Binalonan")</f>
        <v>Binalonan</v>
      </c>
      <c r="N422" s="142" t="str">
        <f>IFERROR(__xludf.DUMMYFUNCTION("""COMPUTED_VALUE"""),"Binmaley")</f>
        <v>Binmaley</v>
      </c>
      <c r="O422" s="142" t="str">
        <f>IFERROR(__xludf.DUMMYFUNCTION("""COMPUTED_VALUE"""),"Bolinao")</f>
        <v>Bolinao</v>
      </c>
      <c r="P422" s="142" t="str">
        <f>IFERROR(__xludf.DUMMYFUNCTION("""COMPUTED_VALUE"""),"Bugallon")</f>
        <v>Bugallon</v>
      </c>
      <c r="Q422" s="142" t="str">
        <f>IFERROR(__xludf.DUMMYFUNCTION("""COMPUTED_VALUE"""),"Burgos")</f>
        <v>Burgos</v>
      </c>
      <c r="R422" s="142" t="str">
        <f>IFERROR(__xludf.DUMMYFUNCTION("""COMPUTED_VALUE"""),"Calasiao")</f>
        <v>Calasiao</v>
      </c>
      <c r="S422" s="142" t="str">
        <f>IFERROR(__xludf.DUMMYFUNCTION("""COMPUTED_VALUE"""),"City of Dagupan")</f>
        <v>City of Dagupan</v>
      </c>
      <c r="T422" s="142" t="str">
        <f>IFERROR(__xludf.DUMMYFUNCTION("""COMPUTED_VALUE"""),"Dasol")</f>
        <v>Dasol</v>
      </c>
      <c r="U422" s="142" t="str">
        <f>IFERROR(__xludf.DUMMYFUNCTION("""COMPUTED_VALUE"""),"Infanta")</f>
        <v>Infanta</v>
      </c>
      <c r="V422" s="142" t="str">
        <f>IFERROR(__xludf.DUMMYFUNCTION("""COMPUTED_VALUE"""),"Labrador")</f>
        <v>Labrador</v>
      </c>
      <c r="W422" s="142" t="str">
        <f>IFERROR(__xludf.DUMMYFUNCTION("""COMPUTED_VALUE"""),"Lingayen")</f>
        <v>Lingayen</v>
      </c>
      <c r="X422" s="142" t="str">
        <f>IFERROR(__xludf.DUMMYFUNCTION("""COMPUTED_VALUE"""),"Mabini")</f>
        <v>Mabini</v>
      </c>
      <c r="Y422" s="142" t="str">
        <f>IFERROR(__xludf.DUMMYFUNCTION("""COMPUTED_VALUE"""),"Malasiqui")</f>
        <v>Malasiqui</v>
      </c>
      <c r="Z422" s="142" t="str">
        <f>IFERROR(__xludf.DUMMYFUNCTION("""COMPUTED_VALUE"""),"Manaoag")</f>
        <v>Manaoag</v>
      </c>
      <c r="AA422" s="142" t="str">
        <f>IFERROR(__xludf.DUMMYFUNCTION("""COMPUTED_VALUE"""),"Mangaldan")</f>
        <v>Mangaldan</v>
      </c>
      <c r="AB422" s="142" t="str">
        <f>IFERROR(__xludf.DUMMYFUNCTION("""COMPUTED_VALUE"""),"Mangatarem")</f>
        <v>Mangatarem</v>
      </c>
      <c r="AC422" s="142" t="str">
        <f>IFERROR(__xludf.DUMMYFUNCTION("""COMPUTED_VALUE"""),"Mapandan")</f>
        <v>Mapandan</v>
      </c>
      <c r="AD422" s="142" t="str">
        <f>IFERROR(__xludf.DUMMYFUNCTION("""COMPUTED_VALUE"""),"Natividad")</f>
        <v>Natividad</v>
      </c>
      <c r="AE422" s="142" t="str">
        <f>IFERROR(__xludf.DUMMYFUNCTION("""COMPUTED_VALUE"""),"Pozorrubio")</f>
        <v>Pozorrubio</v>
      </c>
      <c r="AF422" s="142" t="str">
        <f>IFERROR(__xludf.DUMMYFUNCTION("""COMPUTED_VALUE"""),"Rosales")</f>
        <v>Rosales</v>
      </c>
      <c r="AG422" s="142" t="str">
        <f>IFERROR(__xludf.DUMMYFUNCTION("""COMPUTED_VALUE"""),"City of San Carlos")</f>
        <v>City of San Carlos</v>
      </c>
      <c r="AH422" s="142" t="str">
        <f>IFERROR(__xludf.DUMMYFUNCTION("""COMPUTED_VALUE"""),"San Fabian")</f>
        <v>San Fabian</v>
      </c>
      <c r="AI422" s="142" t="str">
        <f>IFERROR(__xludf.DUMMYFUNCTION("""COMPUTED_VALUE"""),"San Jacinto")</f>
        <v>San Jacinto</v>
      </c>
      <c r="AJ422" s="142" t="str">
        <f>IFERROR(__xludf.DUMMYFUNCTION("""COMPUTED_VALUE"""),"San Manuel")</f>
        <v>San Manuel</v>
      </c>
      <c r="AK422" s="142" t="str">
        <f>IFERROR(__xludf.DUMMYFUNCTION("""COMPUTED_VALUE"""),"San Nicolas")</f>
        <v>San Nicolas</v>
      </c>
      <c r="AL422" s="142" t="str">
        <f>IFERROR(__xludf.DUMMYFUNCTION("""COMPUTED_VALUE"""),"San Quintin")</f>
        <v>San Quintin</v>
      </c>
      <c r="AM422" s="142" t="str">
        <f>IFERROR(__xludf.DUMMYFUNCTION("""COMPUTED_VALUE"""),"Santa Barbara")</f>
        <v>Santa Barbara</v>
      </c>
      <c r="AN422" s="142" t="str">
        <f>IFERROR(__xludf.DUMMYFUNCTION("""COMPUTED_VALUE"""),"Santa Maria")</f>
        <v>Santa Maria</v>
      </c>
      <c r="AO422" s="142" t="str">
        <f>IFERROR(__xludf.DUMMYFUNCTION("""COMPUTED_VALUE"""),"Santo Tomas")</f>
        <v>Santo Tomas</v>
      </c>
      <c r="AP422" s="142" t="str">
        <f>IFERROR(__xludf.DUMMYFUNCTION("""COMPUTED_VALUE"""),"Sison")</f>
        <v>Sison</v>
      </c>
      <c r="AQ422" s="142" t="str">
        <f>IFERROR(__xludf.DUMMYFUNCTION("""COMPUTED_VALUE"""),"Sual")</f>
        <v>Sual</v>
      </c>
      <c r="AR422" s="142" t="str">
        <f>IFERROR(__xludf.DUMMYFUNCTION("""COMPUTED_VALUE"""),"Tayug")</f>
        <v>Tayug</v>
      </c>
      <c r="AS422" s="142" t="str">
        <f>IFERROR(__xludf.DUMMYFUNCTION("""COMPUTED_VALUE"""),"Umingan")</f>
        <v>Umingan</v>
      </c>
      <c r="AT422" s="142" t="str">
        <f>IFERROR(__xludf.DUMMYFUNCTION("""COMPUTED_VALUE"""),"Urbiztondo")</f>
        <v>Urbiztondo</v>
      </c>
      <c r="AU422" s="142" t="str">
        <f>IFERROR(__xludf.DUMMYFUNCTION("""COMPUTED_VALUE"""),"City of Urdaneta")</f>
        <v>City of Urdaneta</v>
      </c>
      <c r="AV422" s="142" t="str">
        <f>IFERROR(__xludf.DUMMYFUNCTION("""COMPUTED_VALUE"""),"Villasis")</f>
        <v>Villasis</v>
      </c>
      <c r="AW422" s="142" t="str">
        <f>IFERROR(__xludf.DUMMYFUNCTION("""COMPUTED_VALUE"""),"Laoac")</f>
        <v>Laoac</v>
      </c>
      <c r="AX422" s="8"/>
      <c r="AY422" s="8"/>
      <c r="AZ422" s="8"/>
      <c r="BA422" s="8"/>
      <c r="BB422" s="8"/>
      <c r="BC422" s="8"/>
      <c r="BD422" s="8"/>
      <c r="BE422" s="8"/>
    </row>
    <row r="423">
      <c r="A423" s="142" t="s">
        <v>144</v>
      </c>
      <c r="B423" s="142" t="str">
        <f>IFERROR(__xludf.DUMMYFUNCTION("""COMPUTED_VALUE"""),"Agno")</f>
        <v>Agno</v>
      </c>
      <c r="C423" s="142" t="str">
        <f>IFERROR(__xludf.DUMMYFUNCTION("""COMPUTED_VALUE"""),"Aguilar")</f>
        <v>Aguilar</v>
      </c>
      <c r="D423" s="142" t="str">
        <f>IFERROR(__xludf.DUMMYFUNCTION("""COMPUTED_VALUE"""),"City of Alaminos")</f>
        <v>City of Alaminos</v>
      </c>
      <c r="E423" s="142" t="str">
        <f>IFERROR(__xludf.DUMMYFUNCTION("""COMPUTED_VALUE"""),"Alcala")</f>
        <v>Alcala</v>
      </c>
      <c r="F423" s="142" t="str">
        <f>IFERROR(__xludf.DUMMYFUNCTION("""COMPUTED_VALUE"""),"Anda")</f>
        <v>Anda</v>
      </c>
      <c r="G423" s="142" t="str">
        <f>IFERROR(__xludf.DUMMYFUNCTION("""COMPUTED_VALUE"""),"Asingan")</f>
        <v>Asingan</v>
      </c>
      <c r="H423" s="142" t="str">
        <f>IFERROR(__xludf.DUMMYFUNCTION("""COMPUTED_VALUE"""),"Balungao")</f>
        <v>Balungao</v>
      </c>
      <c r="I423" s="142" t="str">
        <f>IFERROR(__xludf.DUMMYFUNCTION("""COMPUTED_VALUE"""),"Bani")</f>
        <v>Bani</v>
      </c>
      <c r="J423" s="142" t="str">
        <f>IFERROR(__xludf.DUMMYFUNCTION("""COMPUTED_VALUE"""),"Basista")</f>
        <v>Basista</v>
      </c>
      <c r="K423" s="142" t="str">
        <f>IFERROR(__xludf.DUMMYFUNCTION("""COMPUTED_VALUE"""),"Bautista")</f>
        <v>Bautista</v>
      </c>
      <c r="L423" s="142" t="str">
        <f>IFERROR(__xludf.DUMMYFUNCTION("""COMPUTED_VALUE"""),"Bayambang")</f>
        <v>Bayambang</v>
      </c>
      <c r="M423" s="142" t="str">
        <f>IFERROR(__xludf.DUMMYFUNCTION("""COMPUTED_VALUE"""),"Binalonan")</f>
        <v>Binalonan</v>
      </c>
      <c r="N423" s="142" t="str">
        <f>IFERROR(__xludf.DUMMYFUNCTION("""COMPUTED_VALUE"""),"Binmaley")</f>
        <v>Binmaley</v>
      </c>
      <c r="O423" s="142" t="str">
        <f>IFERROR(__xludf.DUMMYFUNCTION("""COMPUTED_VALUE"""),"Bolinao")</f>
        <v>Bolinao</v>
      </c>
      <c r="P423" s="142" t="str">
        <f>IFERROR(__xludf.DUMMYFUNCTION("""COMPUTED_VALUE"""),"Bugallon")</f>
        <v>Bugallon</v>
      </c>
      <c r="Q423" s="142" t="str">
        <f>IFERROR(__xludf.DUMMYFUNCTION("""COMPUTED_VALUE"""),"Burgos")</f>
        <v>Burgos</v>
      </c>
      <c r="R423" s="142" t="str">
        <f>IFERROR(__xludf.DUMMYFUNCTION("""COMPUTED_VALUE"""),"Calasiao")</f>
        <v>Calasiao</v>
      </c>
      <c r="S423" s="142" t="str">
        <f>IFERROR(__xludf.DUMMYFUNCTION("""COMPUTED_VALUE"""),"City of Dagupan")</f>
        <v>City of Dagupan</v>
      </c>
      <c r="T423" s="142" t="str">
        <f>IFERROR(__xludf.DUMMYFUNCTION("""COMPUTED_VALUE"""),"Dasol")</f>
        <v>Dasol</v>
      </c>
      <c r="U423" s="142" t="str">
        <f>IFERROR(__xludf.DUMMYFUNCTION("""COMPUTED_VALUE"""),"Infanta")</f>
        <v>Infanta</v>
      </c>
      <c r="V423" s="142" t="str">
        <f>IFERROR(__xludf.DUMMYFUNCTION("""COMPUTED_VALUE"""),"Labrador")</f>
        <v>Labrador</v>
      </c>
      <c r="W423" s="142" t="str">
        <f>IFERROR(__xludf.DUMMYFUNCTION("""COMPUTED_VALUE"""),"Lingayen")</f>
        <v>Lingayen</v>
      </c>
      <c r="X423" s="142" t="str">
        <f>IFERROR(__xludf.DUMMYFUNCTION("""COMPUTED_VALUE"""),"Mabini")</f>
        <v>Mabini</v>
      </c>
      <c r="Y423" s="142" t="str">
        <f>IFERROR(__xludf.DUMMYFUNCTION("""COMPUTED_VALUE"""),"Malasiqui")</f>
        <v>Malasiqui</v>
      </c>
      <c r="Z423" s="142" t="str">
        <f>IFERROR(__xludf.DUMMYFUNCTION("""COMPUTED_VALUE"""),"Manaoag")</f>
        <v>Manaoag</v>
      </c>
      <c r="AA423" s="142" t="str">
        <f>IFERROR(__xludf.DUMMYFUNCTION("""COMPUTED_VALUE"""),"Mangaldan")</f>
        <v>Mangaldan</v>
      </c>
      <c r="AB423" s="142" t="str">
        <f>IFERROR(__xludf.DUMMYFUNCTION("""COMPUTED_VALUE"""),"Mangatarem")</f>
        <v>Mangatarem</v>
      </c>
      <c r="AC423" s="142" t="str">
        <f>IFERROR(__xludf.DUMMYFUNCTION("""COMPUTED_VALUE"""),"Mapandan")</f>
        <v>Mapandan</v>
      </c>
      <c r="AD423" s="142" t="str">
        <f>IFERROR(__xludf.DUMMYFUNCTION("""COMPUTED_VALUE"""),"Natividad")</f>
        <v>Natividad</v>
      </c>
      <c r="AE423" s="142" t="str">
        <f>IFERROR(__xludf.DUMMYFUNCTION("""COMPUTED_VALUE"""),"Pozorrubio")</f>
        <v>Pozorrubio</v>
      </c>
      <c r="AF423" s="142" t="str">
        <f>IFERROR(__xludf.DUMMYFUNCTION("""COMPUTED_VALUE"""),"Rosales")</f>
        <v>Rosales</v>
      </c>
      <c r="AG423" s="142" t="str">
        <f>IFERROR(__xludf.DUMMYFUNCTION("""COMPUTED_VALUE"""),"City of San Carlos")</f>
        <v>City of San Carlos</v>
      </c>
      <c r="AH423" s="142" t="str">
        <f>IFERROR(__xludf.DUMMYFUNCTION("""COMPUTED_VALUE"""),"San Fabian")</f>
        <v>San Fabian</v>
      </c>
      <c r="AI423" s="142" t="str">
        <f>IFERROR(__xludf.DUMMYFUNCTION("""COMPUTED_VALUE"""),"San Jacinto")</f>
        <v>San Jacinto</v>
      </c>
      <c r="AJ423" s="142" t="str">
        <f>IFERROR(__xludf.DUMMYFUNCTION("""COMPUTED_VALUE"""),"San Manuel")</f>
        <v>San Manuel</v>
      </c>
      <c r="AK423" s="142" t="str">
        <f>IFERROR(__xludf.DUMMYFUNCTION("""COMPUTED_VALUE"""),"San Nicolas")</f>
        <v>San Nicolas</v>
      </c>
      <c r="AL423" s="142" t="str">
        <f>IFERROR(__xludf.DUMMYFUNCTION("""COMPUTED_VALUE"""),"San Quintin")</f>
        <v>San Quintin</v>
      </c>
      <c r="AM423" s="142" t="str">
        <f>IFERROR(__xludf.DUMMYFUNCTION("""COMPUTED_VALUE"""),"Santa Barbara")</f>
        <v>Santa Barbara</v>
      </c>
      <c r="AN423" s="142" t="str">
        <f>IFERROR(__xludf.DUMMYFUNCTION("""COMPUTED_VALUE"""),"Santa Maria")</f>
        <v>Santa Maria</v>
      </c>
      <c r="AO423" s="142" t="str">
        <f>IFERROR(__xludf.DUMMYFUNCTION("""COMPUTED_VALUE"""),"Santo Tomas")</f>
        <v>Santo Tomas</v>
      </c>
      <c r="AP423" s="142" t="str">
        <f>IFERROR(__xludf.DUMMYFUNCTION("""COMPUTED_VALUE"""),"Sison")</f>
        <v>Sison</v>
      </c>
      <c r="AQ423" s="142" t="str">
        <f>IFERROR(__xludf.DUMMYFUNCTION("""COMPUTED_VALUE"""),"Sual")</f>
        <v>Sual</v>
      </c>
      <c r="AR423" s="142" t="str">
        <f>IFERROR(__xludf.DUMMYFUNCTION("""COMPUTED_VALUE"""),"Tayug")</f>
        <v>Tayug</v>
      </c>
      <c r="AS423" s="142" t="str">
        <f>IFERROR(__xludf.DUMMYFUNCTION("""COMPUTED_VALUE"""),"Umingan")</f>
        <v>Umingan</v>
      </c>
      <c r="AT423" s="142" t="str">
        <f>IFERROR(__xludf.DUMMYFUNCTION("""COMPUTED_VALUE"""),"Urbiztondo")</f>
        <v>Urbiztondo</v>
      </c>
      <c r="AU423" s="142" t="str">
        <f>IFERROR(__xludf.DUMMYFUNCTION("""COMPUTED_VALUE"""),"City of Urdaneta")</f>
        <v>City of Urdaneta</v>
      </c>
      <c r="AV423" s="142" t="str">
        <f>IFERROR(__xludf.DUMMYFUNCTION("""COMPUTED_VALUE"""),"Villasis")</f>
        <v>Villasis</v>
      </c>
      <c r="AW423" s="142" t="str">
        <f>IFERROR(__xludf.DUMMYFUNCTION("""COMPUTED_VALUE"""),"Laoac")</f>
        <v>Laoac</v>
      </c>
      <c r="AX423" s="8"/>
      <c r="AY423" s="8"/>
      <c r="AZ423" s="8"/>
      <c r="BA423" s="8"/>
      <c r="BB423" s="8"/>
      <c r="BC423" s="8"/>
      <c r="BD423" s="8"/>
      <c r="BE423" s="8"/>
    </row>
    <row r="424">
      <c r="A424" s="142" t="s">
        <v>144</v>
      </c>
      <c r="B424" s="142" t="str">
        <f>IFERROR(__xludf.DUMMYFUNCTION("""COMPUTED_VALUE"""),"Agno")</f>
        <v>Agno</v>
      </c>
      <c r="C424" s="142" t="str">
        <f>IFERROR(__xludf.DUMMYFUNCTION("""COMPUTED_VALUE"""),"Aguilar")</f>
        <v>Aguilar</v>
      </c>
      <c r="D424" s="142" t="str">
        <f>IFERROR(__xludf.DUMMYFUNCTION("""COMPUTED_VALUE"""),"City of Alaminos")</f>
        <v>City of Alaminos</v>
      </c>
      <c r="E424" s="142" t="str">
        <f>IFERROR(__xludf.DUMMYFUNCTION("""COMPUTED_VALUE"""),"Alcala")</f>
        <v>Alcala</v>
      </c>
      <c r="F424" s="142" t="str">
        <f>IFERROR(__xludf.DUMMYFUNCTION("""COMPUTED_VALUE"""),"Anda")</f>
        <v>Anda</v>
      </c>
      <c r="G424" s="142" t="str">
        <f>IFERROR(__xludf.DUMMYFUNCTION("""COMPUTED_VALUE"""),"Asingan")</f>
        <v>Asingan</v>
      </c>
      <c r="H424" s="142" t="str">
        <f>IFERROR(__xludf.DUMMYFUNCTION("""COMPUTED_VALUE"""),"Balungao")</f>
        <v>Balungao</v>
      </c>
      <c r="I424" s="142" t="str">
        <f>IFERROR(__xludf.DUMMYFUNCTION("""COMPUTED_VALUE"""),"Bani")</f>
        <v>Bani</v>
      </c>
      <c r="J424" s="142" t="str">
        <f>IFERROR(__xludf.DUMMYFUNCTION("""COMPUTED_VALUE"""),"Basista")</f>
        <v>Basista</v>
      </c>
      <c r="K424" s="142" t="str">
        <f>IFERROR(__xludf.DUMMYFUNCTION("""COMPUTED_VALUE"""),"Bautista")</f>
        <v>Bautista</v>
      </c>
      <c r="L424" s="142" t="str">
        <f>IFERROR(__xludf.DUMMYFUNCTION("""COMPUTED_VALUE"""),"Bayambang")</f>
        <v>Bayambang</v>
      </c>
      <c r="M424" s="142" t="str">
        <f>IFERROR(__xludf.DUMMYFUNCTION("""COMPUTED_VALUE"""),"Binalonan")</f>
        <v>Binalonan</v>
      </c>
      <c r="N424" s="142" t="str">
        <f>IFERROR(__xludf.DUMMYFUNCTION("""COMPUTED_VALUE"""),"Binmaley")</f>
        <v>Binmaley</v>
      </c>
      <c r="O424" s="142" t="str">
        <f>IFERROR(__xludf.DUMMYFUNCTION("""COMPUTED_VALUE"""),"Bolinao")</f>
        <v>Bolinao</v>
      </c>
      <c r="P424" s="142" t="str">
        <f>IFERROR(__xludf.DUMMYFUNCTION("""COMPUTED_VALUE"""),"Bugallon")</f>
        <v>Bugallon</v>
      </c>
      <c r="Q424" s="142" t="str">
        <f>IFERROR(__xludf.DUMMYFUNCTION("""COMPUTED_VALUE"""),"Burgos")</f>
        <v>Burgos</v>
      </c>
      <c r="R424" s="142" t="str">
        <f>IFERROR(__xludf.DUMMYFUNCTION("""COMPUTED_VALUE"""),"Calasiao")</f>
        <v>Calasiao</v>
      </c>
      <c r="S424" s="142" t="str">
        <f>IFERROR(__xludf.DUMMYFUNCTION("""COMPUTED_VALUE"""),"City of Dagupan")</f>
        <v>City of Dagupan</v>
      </c>
      <c r="T424" s="142" t="str">
        <f>IFERROR(__xludf.DUMMYFUNCTION("""COMPUTED_VALUE"""),"Dasol")</f>
        <v>Dasol</v>
      </c>
      <c r="U424" s="142" t="str">
        <f>IFERROR(__xludf.DUMMYFUNCTION("""COMPUTED_VALUE"""),"Infanta")</f>
        <v>Infanta</v>
      </c>
      <c r="V424" s="142" t="str">
        <f>IFERROR(__xludf.DUMMYFUNCTION("""COMPUTED_VALUE"""),"Labrador")</f>
        <v>Labrador</v>
      </c>
      <c r="W424" s="142" t="str">
        <f>IFERROR(__xludf.DUMMYFUNCTION("""COMPUTED_VALUE"""),"Lingayen")</f>
        <v>Lingayen</v>
      </c>
      <c r="X424" s="142" t="str">
        <f>IFERROR(__xludf.DUMMYFUNCTION("""COMPUTED_VALUE"""),"Mabini")</f>
        <v>Mabini</v>
      </c>
      <c r="Y424" s="142" t="str">
        <f>IFERROR(__xludf.DUMMYFUNCTION("""COMPUTED_VALUE"""),"Malasiqui")</f>
        <v>Malasiqui</v>
      </c>
      <c r="Z424" s="142" t="str">
        <f>IFERROR(__xludf.DUMMYFUNCTION("""COMPUTED_VALUE"""),"Manaoag")</f>
        <v>Manaoag</v>
      </c>
      <c r="AA424" s="142" t="str">
        <f>IFERROR(__xludf.DUMMYFUNCTION("""COMPUTED_VALUE"""),"Mangaldan")</f>
        <v>Mangaldan</v>
      </c>
      <c r="AB424" s="142" t="str">
        <f>IFERROR(__xludf.DUMMYFUNCTION("""COMPUTED_VALUE"""),"Mangatarem")</f>
        <v>Mangatarem</v>
      </c>
      <c r="AC424" s="142" t="str">
        <f>IFERROR(__xludf.DUMMYFUNCTION("""COMPUTED_VALUE"""),"Mapandan")</f>
        <v>Mapandan</v>
      </c>
      <c r="AD424" s="142" t="str">
        <f>IFERROR(__xludf.DUMMYFUNCTION("""COMPUTED_VALUE"""),"Natividad")</f>
        <v>Natividad</v>
      </c>
      <c r="AE424" s="142" t="str">
        <f>IFERROR(__xludf.DUMMYFUNCTION("""COMPUTED_VALUE"""),"Pozorrubio")</f>
        <v>Pozorrubio</v>
      </c>
      <c r="AF424" s="142" t="str">
        <f>IFERROR(__xludf.DUMMYFUNCTION("""COMPUTED_VALUE"""),"Rosales")</f>
        <v>Rosales</v>
      </c>
      <c r="AG424" s="142" t="str">
        <f>IFERROR(__xludf.DUMMYFUNCTION("""COMPUTED_VALUE"""),"City of San Carlos")</f>
        <v>City of San Carlos</v>
      </c>
      <c r="AH424" s="142" t="str">
        <f>IFERROR(__xludf.DUMMYFUNCTION("""COMPUTED_VALUE"""),"San Fabian")</f>
        <v>San Fabian</v>
      </c>
      <c r="AI424" s="142" t="str">
        <f>IFERROR(__xludf.DUMMYFUNCTION("""COMPUTED_VALUE"""),"San Jacinto")</f>
        <v>San Jacinto</v>
      </c>
      <c r="AJ424" s="142" t="str">
        <f>IFERROR(__xludf.DUMMYFUNCTION("""COMPUTED_VALUE"""),"San Manuel")</f>
        <v>San Manuel</v>
      </c>
      <c r="AK424" s="142" t="str">
        <f>IFERROR(__xludf.DUMMYFUNCTION("""COMPUTED_VALUE"""),"San Nicolas")</f>
        <v>San Nicolas</v>
      </c>
      <c r="AL424" s="142" t="str">
        <f>IFERROR(__xludf.DUMMYFUNCTION("""COMPUTED_VALUE"""),"San Quintin")</f>
        <v>San Quintin</v>
      </c>
      <c r="AM424" s="142" t="str">
        <f>IFERROR(__xludf.DUMMYFUNCTION("""COMPUTED_VALUE"""),"Santa Barbara")</f>
        <v>Santa Barbara</v>
      </c>
      <c r="AN424" s="142" t="str">
        <f>IFERROR(__xludf.DUMMYFUNCTION("""COMPUTED_VALUE"""),"Santa Maria")</f>
        <v>Santa Maria</v>
      </c>
      <c r="AO424" s="142" t="str">
        <f>IFERROR(__xludf.DUMMYFUNCTION("""COMPUTED_VALUE"""),"Santo Tomas")</f>
        <v>Santo Tomas</v>
      </c>
      <c r="AP424" s="142" t="str">
        <f>IFERROR(__xludf.DUMMYFUNCTION("""COMPUTED_VALUE"""),"Sison")</f>
        <v>Sison</v>
      </c>
      <c r="AQ424" s="142" t="str">
        <f>IFERROR(__xludf.DUMMYFUNCTION("""COMPUTED_VALUE"""),"Sual")</f>
        <v>Sual</v>
      </c>
      <c r="AR424" s="142" t="str">
        <f>IFERROR(__xludf.DUMMYFUNCTION("""COMPUTED_VALUE"""),"Tayug")</f>
        <v>Tayug</v>
      </c>
      <c r="AS424" s="142" t="str">
        <f>IFERROR(__xludf.DUMMYFUNCTION("""COMPUTED_VALUE"""),"Umingan")</f>
        <v>Umingan</v>
      </c>
      <c r="AT424" s="142" t="str">
        <f>IFERROR(__xludf.DUMMYFUNCTION("""COMPUTED_VALUE"""),"Urbiztondo")</f>
        <v>Urbiztondo</v>
      </c>
      <c r="AU424" s="142" t="str">
        <f>IFERROR(__xludf.DUMMYFUNCTION("""COMPUTED_VALUE"""),"City of Urdaneta")</f>
        <v>City of Urdaneta</v>
      </c>
      <c r="AV424" s="142" t="str">
        <f>IFERROR(__xludf.DUMMYFUNCTION("""COMPUTED_VALUE"""),"Villasis")</f>
        <v>Villasis</v>
      </c>
      <c r="AW424" s="142" t="str">
        <f>IFERROR(__xludf.DUMMYFUNCTION("""COMPUTED_VALUE"""),"Laoac")</f>
        <v>Laoac</v>
      </c>
      <c r="AX424" s="8"/>
      <c r="AY424" s="8"/>
      <c r="AZ424" s="8"/>
      <c r="BA424" s="8"/>
      <c r="BB424" s="8"/>
      <c r="BC424" s="8"/>
      <c r="BD424" s="8"/>
      <c r="BE424" s="8"/>
    </row>
    <row r="425">
      <c r="A425" s="142" t="s">
        <v>144</v>
      </c>
      <c r="B425" s="142" t="str">
        <f>IFERROR(__xludf.DUMMYFUNCTION("""COMPUTED_VALUE"""),"Agno")</f>
        <v>Agno</v>
      </c>
      <c r="C425" s="142" t="str">
        <f>IFERROR(__xludf.DUMMYFUNCTION("""COMPUTED_VALUE"""),"Aguilar")</f>
        <v>Aguilar</v>
      </c>
      <c r="D425" s="142" t="str">
        <f>IFERROR(__xludf.DUMMYFUNCTION("""COMPUTED_VALUE"""),"City of Alaminos")</f>
        <v>City of Alaminos</v>
      </c>
      <c r="E425" s="142" t="str">
        <f>IFERROR(__xludf.DUMMYFUNCTION("""COMPUTED_VALUE"""),"Alcala")</f>
        <v>Alcala</v>
      </c>
      <c r="F425" s="142" t="str">
        <f>IFERROR(__xludf.DUMMYFUNCTION("""COMPUTED_VALUE"""),"Anda")</f>
        <v>Anda</v>
      </c>
      <c r="G425" s="142" t="str">
        <f>IFERROR(__xludf.DUMMYFUNCTION("""COMPUTED_VALUE"""),"Asingan")</f>
        <v>Asingan</v>
      </c>
      <c r="H425" s="142" t="str">
        <f>IFERROR(__xludf.DUMMYFUNCTION("""COMPUTED_VALUE"""),"Balungao")</f>
        <v>Balungao</v>
      </c>
      <c r="I425" s="142" t="str">
        <f>IFERROR(__xludf.DUMMYFUNCTION("""COMPUTED_VALUE"""),"Bani")</f>
        <v>Bani</v>
      </c>
      <c r="J425" s="142" t="str">
        <f>IFERROR(__xludf.DUMMYFUNCTION("""COMPUTED_VALUE"""),"Basista")</f>
        <v>Basista</v>
      </c>
      <c r="K425" s="142" t="str">
        <f>IFERROR(__xludf.DUMMYFUNCTION("""COMPUTED_VALUE"""),"Bautista")</f>
        <v>Bautista</v>
      </c>
      <c r="L425" s="142" t="str">
        <f>IFERROR(__xludf.DUMMYFUNCTION("""COMPUTED_VALUE"""),"Bayambang")</f>
        <v>Bayambang</v>
      </c>
      <c r="M425" s="142" t="str">
        <f>IFERROR(__xludf.DUMMYFUNCTION("""COMPUTED_VALUE"""),"Binalonan")</f>
        <v>Binalonan</v>
      </c>
      <c r="N425" s="142" t="str">
        <f>IFERROR(__xludf.DUMMYFUNCTION("""COMPUTED_VALUE"""),"Binmaley")</f>
        <v>Binmaley</v>
      </c>
      <c r="O425" s="142" t="str">
        <f>IFERROR(__xludf.DUMMYFUNCTION("""COMPUTED_VALUE"""),"Bolinao")</f>
        <v>Bolinao</v>
      </c>
      <c r="P425" s="142" t="str">
        <f>IFERROR(__xludf.DUMMYFUNCTION("""COMPUTED_VALUE"""),"Bugallon")</f>
        <v>Bugallon</v>
      </c>
      <c r="Q425" s="142" t="str">
        <f>IFERROR(__xludf.DUMMYFUNCTION("""COMPUTED_VALUE"""),"Burgos")</f>
        <v>Burgos</v>
      </c>
      <c r="R425" s="142" t="str">
        <f>IFERROR(__xludf.DUMMYFUNCTION("""COMPUTED_VALUE"""),"Calasiao")</f>
        <v>Calasiao</v>
      </c>
      <c r="S425" s="142" t="str">
        <f>IFERROR(__xludf.DUMMYFUNCTION("""COMPUTED_VALUE"""),"City of Dagupan")</f>
        <v>City of Dagupan</v>
      </c>
      <c r="T425" s="142" t="str">
        <f>IFERROR(__xludf.DUMMYFUNCTION("""COMPUTED_VALUE"""),"Dasol")</f>
        <v>Dasol</v>
      </c>
      <c r="U425" s="142" t="str">
        <f>IFERROR(__xludf.DUMMYFUNCTION("""COMPUTED_VALUE"""),"Infanta")</f>
        <v>Infanta</v>
      </c>
      <c r="V425" s="142" t="str">
        <f>IFERROR(__xludf.DUMMYFUNCTION("""COMPUTED_VALUE"""),"Labrador")</f>
        <v>Labrador</v>
      </c>
      <c r="W425" s="142" t="str">
        <f>IFERROR(__xludf.DUMMYFUNCTION("""COMPUTED_VALUE"""),"Lingayen")</f>
        <v>Lingayen</v>
      </c>
      <c r="X425" s="142" t="str">
        <f>IFERROR(__xludf.DUMMYFUNCTION("""COMPUTED_VALUE"""),"Mabini")</f>
        <v>Mabini</v>
      </c>
      <c r="Y425" s="142" t="str">
        <f>IFERROR(__xludf.DUMMYFUNCTION("""COMPUTED_VALUE"""),"Malasiqui")</f>
        <v>Malasiqui</v>
      </c>
      <c r="Z425" s="142" t="str">
        <f>IFERROR(__xludf.DUMMYFUNCTION("""COMPUTED_VALUE"""),"Manaoag")</f>
        <v>Manaoag</v>
      </c>
      <c r="AA425" s="142" t="str">
        <f>IFERROR(__xludf.DUMMYFUNCTION("""COMPUTED_VALUE"""),"Mangaldan")</f>
        <v>Mangaldan</v>
      </c>
      <c r="AB425" s="142" t="str">
        <f>IFERROR(__xludf.DUMMYFUNCTION("""COMPUTED_VALUE"""),"Mangatarem")</f>
        <v>Mangatarem</v>
      </c>
      <c r="AC425" s="142" t="str">
        <f>IFERROR(__xludf.DUMMYFUNCTION("""COMPUTED_VALUE"""),"Mapandan")</f>
        <v>Mapandan</v>
      </c>
      <c r="AD425" s="142" t="str">
        <f>IFERROR(__xludf.DUMMYFUNCTION("""COMPUTED_VALUE"""),"Natividad")</f>
        <v>Natividad</v>
      </c>
      <c r="AE425" s="142" t="str">
        <f>IFERROR(__xludf.DUMMYFUNCTION("""COMPUTED_VALUE"""),"Pozorrubio")</f>
        <v>Pozorrubio</v>
      </c>
      <c r="AF425" s="142" t="str">
        <f>IFERROR(__xludf.DUMMYFUNCTION("""COMPUTED_VALUE"""),"Rosales")</f>
        <v>Rosales</v>
      </c>
      <c r="AG425" s="142" t="str">
        <f>IFERROR(__xludf.DUMMYFUNCTION("""COMPUTED_VALUE"""),"City of San Carlos")</f>
        <v>City of San Carlos</v>
      </c>
      <c r="AH425" s="142" t="str">
        <f>IFERROR(__xludf.DUMMYFUNCTION("""COMPUTED_VALUE"""),"San Fabian")</f>
        <v>San Fabian</v>
      </c>
      <c r="AI425" s="142" t="str">
        <f>IFERROR(__xludf.DUMMYFUNCTION("""COMPUTED_VALUE"""),"San Jacinto")</f>
        <v>San Jacinto</v>
      </c>
      <c r="AJ425" s="142" t="str">
        <f>IFERROR(__xludf.DUMMYFUNCTION("""COMPUTED_VALUE"""),"San Manuel")</f>
        <v>San Manuel</v>
      </c>
      <c r="AK425" s="142" t="str">
        <f>IFERROR(__xludf.DUMMYFUNCTION("""COMPUTED_VALUE"""),"San Nicolas")</f>
        <v>San Nicolas</v>
      </c>
      <c r="AL425" s="142" t="str">
        <f>IFERROR(__xludf.DUMMYFUNCTION("""COMPUTED_VALUE"""),"San Quintin")</f>
        <v>San Quintin</v>
      </c>
      <c r="AM425" s="142" t="str">
        <f>IFERROR(__xludf.DUMMYFUNCTION("""COMPUTED_VALUE"""),"Santa Barbara")</f>
        <v>Santa Barbara</v>
      </c>
      <c r="AN425" s="142" t="str">
        <f>IFERROR(__xludf.DUMMYFUNCTION("""COMPUTED_VALUE"""),"Santa Maria")</f>
        <v>Santa Maria</v>
      </c>
      <c r="AO425" s="142" t="str">
        <f>IFERROR(__xludf.DUMMYFUNCTION("""COMPUTED_VALUE"""),"Santo Tomas")</f>
        <v>Santo Tomas</v>
      </c>
      <c r="AP425" s="142" t="str">
        <f>IFERROR(__xludf.DUMMYFUNCTION("""COMPUTED_VALUE"""),"Sison")</f>
        <v>Sison</v>
      </c>
      <c r="AQ425" s="142" t="str">
        <f>IFERROR(__xludf.DUMMYFUNCTION("""COMPUTED_VALUE"""),"Sual")</f>
        <v>Sual</v>
      </c>
      <c r="AR425" s="142" t="str">
        <f>IFERROR(__xludf.DUMMYFUNCTION("""COMPUTED_VALUE"""),"Tayug")</f>
        <v>Tayug</v>
      </c>
      <c r="AS425" s="142" t="str">
        <f>IFERROR(__xludf.DUMMYFUNCTION("""COMPUTED_VALUE"""),"Umingan")</f>
        <v>Umingan</v>
      </c>
      <c r="AT425" s="142" t="str">
        <f>IFERROR(__xludf.DUMMYFUNCTION("""COMPUTED_VALUE"""),"Urbiztondo")</f>
        <v>Urbiztondo</v>
      </c>
      <c r="AU425" s="142" t="str">
        <f>IFERROR(__xludf.DUMMYFUNCTION("""COMPUTED_VALUE"""),"City of Urdaneta")</f>
        <v>City of Urdaneta</v>
      </c>
      <c r="AV425" s="142" t="str">
        <f>IFERROR(__xludf.DUMMYFUNCTION("""COMPUTED_VALUE"""),"Villasis")</f>
        <v>Villasis</v>
      </c>
      <c r="AW425" s="142" t="str">
        <f>IFERROR(__xludf.DUMMYFUNCTION("""COMPUTED_VALUE"""),"Laoac")</f>
        <v>Laoac</v>
      </c>
      <c r="AX425" s="8"/>
      <c r="AY425" s="8"/>
      <c r="AZ425" s="8"/>
      <c r="BA425" s="8"/>
      <c r="BB425" s="8"/>
      <c r="BC425" s="8"/>
      <c r="BD425" s="8"/>
      <c r="BE425" s="8"/>
    </row>
    <row r="426">
      <c r="A426" s="142" t="s">
        <v>258</v>
      </c>
      <c r="B426" s="142" t="str">
        <f>IFERROR(__xludf.DUMMYFUNCTION("""COMPUTED_VALUE"""),"Agoncillo")</f>
        <v>Agoncillo</v>
      </c>
      <c r="C426" s="142" t="str">
        <f>IFERROR(__xludf.DUMMYFUNCTION("""COMPUTED_VALUE"""),"Alitagtag")</f>
        <v>Alitagtag</v>
      </c>
      <c r="D426" s="142" t="str">
        <f>IFERROR(__xludf.DUMMYFUNCTION("""COMPUTED_VALUE"""),"Balayan")</f>
        <v>Balayan</v>
      </c>
      <c r="E426" s="142" t="str">
        <f>IFERROR(__xludf.DUMMYFUNCTION("""COMPUTED_VALUE"""),"Balete")</f>
        <v>Balete</v>
      </c>
      <c r="F426" s="142" t="str">
        <f>IFERROR(__xludf.DUMMYFUNCTION("""COMPUTED_VALUE"""),"Batangas City")</f>
        <v>Batangas City</v>
      </c>
      <c r="G426" s="142" t="str">
        <f>IFERROR(__xludf.DUMMYFUNCTION("""COMPUTED_VALUE"""),"Bauan")</f>
        <v>Bauan</v>
      </c>
      <c r="H426" s="142" t="str">
        <f>IFERROR(__xludf.DUMMYFUNCTION("""COMPUTED_VALUE"""),"City of Calaca")</f>
        <v>City of Calaca</v>
      </c>
      <c r="I426" s="142" t="str">
        <f>IFERROR(__xludf.DUMMYFUNCTION("""COMPUTED_VALUE"""),"Calatagan")</f>
        <v>Calatagan</v>
      </c>
      <c r="J426" s="142" t="str">
        <f>IFERROR(__xludf.DUMMYFUNCTION("""COMPUTED_VALUE"""),"Cuenca")</f>
        <v>Cuenca</v>
      </c>
      <c r="K426" s="142" t="str">
        <f>IFERROR(__xludf.DUMMYFUNCTION("""COMPUTED_VALUE"""),"Ibaan")</f>
        <v>Ibaan</v>
      </c>
      <c r="L426" s="142" t="str">
        <f>IFERROR(__xludf.DUMMYFUNCTION("""COMPUTED_VALUE"""),"Laurel")</f>
        <v>Laurel</v>
      </c>
      <c r="M426" s="142" t="str">
        <f>IFERROR(__xludf.DUMMYFUNCTION("""COMPUTED_VALUE"""),"Lemery")</f>
        <v>Lemery</v>
      </c>
      <c r="N426" s="142" t="str">
        <f>IFERROR(__xludf.DUMMYFUNCTION("""COMPUTED_VALUE"""),"Lian")</f>
        <v>Lian</v>
      </c>
      <c r="O426" s="142" t="str">
        <f>IFERROR(__xludf.DUMMYFUNCTION("""COMPUTED_VALUE"""),"City of Lipa")</f>
        <v>City of Lipa</v>
      </c>
      <c r="P426" s="142" t="str">
        <f>IFERROR(__xludf.DUMMYFUNCTION("""COMPUTED_VALUE"""),"Lobo")</f>
        <v>Lobo</v>
      </c>
      <c r="Q426" s="142" t="str">
        <f>IFERROR(__xludf.DUMMYFUNCTION("""COMPUTED_VALUE"""),"Mabini")</f>
        <v>Mabini</v>
      </c>
      <c r="R426" s="142" t="str">
        <f>IFERROR(__xludf.DUMMYFUNCTION("""COMPUTED_VALUE"""),"Malvar")</f>
        <v>Malvar</v>
      </c>
      <c r="S426" s="142" t="str">
        <f>IFERROR(__xludf.DUMMYFUNCTION("""COMPUTED_VALUE"""),"Mataasnakahoy")</f>
        <v>Mataasnakahoy</v>
      </c>
      <c r="T426" s="142" t="str">
        <f>IFERROR(__xludf.DUMMYFUNCTION("""COMPUTED_VALUE"""),"Nasugbu")</f>
        <v>Nasugbu</v>
      </c>
      <c r="U426" s="142" t="str">
        <f>IFERROR(__xludf.DUMMYFUNCTION("""COMPUTED_VALUE"""),"Padre Garcia")</f>
        <v>Padre Garcia</v>
      </c>
      <c r="V426" s="142" t="str">
        <f>IFERROR(__xludf.DUMMYFUNCTION("""COMPUTED_VALUE"""),"Rosario")</f>
        <v>Rosario</v>
      </c>
      <c r="W426" s="142" t="str">
        <f>IFERROR(__xludf.DUMMYFUNCTION("""COMPUTED_VALUE"""),"San Jose")</f>
        <v>San Jose</v>
      </c>
      <c r="X426" s="142" t="str">
        <f>IFERROR(__xludf.DUMMYFUNCTION("""COMPUTED_VALUE"""),"San Juan")</f>
        <v>San Juan</v>
      </c>
      <c r="Y426" s="142" t="str">
        <f>IFERROR(__xludf.DUMMYFUNCTION("""COMPUTED_VALUE"""),"San Luis")</f>
        <v>San Luis</v>
      </c>
      <c r="Z426" s="142" t="str">
        <f>IFERROR(__xludf.DUMMYFUNCTION("""COMPUTED_VALUE"""),"San Nicolas")</f>
        <v>San Nicolas</v>
      </c>
      <c r="AA426" s="142" t="str">
        <f>IFERROR(__xludf.DUMMYFUNCTION("""COMPUTED_VALUE"""),"San Pascual")</f>
        <v>San Pascual</v>
      </c>
      <c r="AB426" s="142" t="str">
        <f>IFERROR(__xludf.DUMMYFUNCTION("""COMPUTED_VALUE"""),"Santa Teresita")</f>
        <v>Santa Teresita</v>
      </c>
      <c r="AC426" s="142" t="str">
        <f>IFERROR(__xludf.DUMMYFUNCTION("""COMPUTED_VALUE"""),"City of Sto. Tomas")</f>
        <v>City of Sto. Tomas</v>
      </c>
      <c r="AD426" s="142" t="str">
        <f>IFERROR(__xludf.DUMMYFUNCTION("""COMPUTED_VALUE"""),"Taal")</f>
        <v>Taal</v>
      </c>
      <c r="AE426" s="142" t="str">
        <f>IFERROR(__xludf.DUMMYFUNCTION("""COMPUTED_VALUE"""),"Talisay")</f>
        <v>Talisay</v>
      </c>
      <c r="AF426" s="142" t="str">
        <f>IFERROR(__xludf.DUMMYFUNCTION("""COMPUTED_VALUE"""),"City of Tanauan")</f>
        <v>City of Tanauan</v>
      </c>
      <c r="AG426" s="142" t="str">
        <f>IFERROR(__xludf.DUMMYFUNCTION("""COMPUTED_VALUE"""),"Taysan")</f>
        <v>Taysan</v>
      </c>
      <c r="AH426" s="142" t="str">
        <f>IFERROR(__xludf.DUMMYFUNCTION("""COMPUTED_VALUE"""),"Tingloy")</f>
        <v>Tingloy</v>
      </c>
      <c r="AI426" s="142" t="str">
        <f>IFERROR(__xludf.DUMMYFUNCTION("""COMPUTED_VALUE"""),"Tuy")</f>
        <v>Tuy</v>
      </c>
      <c r="AJ426" s="8"/>
      <c r="AK426" s="8"/>
      <c r="AL426" s="8"/>
      <c r="AM426" s="8"/>
      <c r="AN426" s="8"/>
      <c r="AO426" s="8"/>
      <c r="AP426" s="8"/>
      <c r="AQ426" s="8"/>
      <c r="AR426" s="8"/>
      <c r="AS426" s="8"/>
      <c r="AT426" s="8"/>
      <c r="AU426" s="8"/>
      <c r="AV426" s="8"/>
      <c r="AW426" s="8"/>
      <c r="AX426" s="8"/>
      <c r="AY426" s="8"/>
      <c r="AZ426" s="8"/>
      <c r="BA426" s="8"/>
      <c r="BB426" s="8"/>
      <c r="BC426" s="8"/>
      <c r="BD426" s="8"/>
      <c r="BE426" s="8"/>
    </row>
    <row r="427">
      <c r="A427" s="142" t="s">
        <v>1089</v>
      </c>
      <c r="B427" s="142" t="str">
        <f>IFERROR(__xludf.DUMMYFUNCTION("""COMPUTED_VALUE"""),"Baao")</f>
        <v>Baao</v>
      </c>
      <c r="C427" s="142" t="str">
        <f>IFERROR(__xludf.DUMMYFUNCTION("""COMPUTED_VALUE"""),"Balatan")</f>
        <v>Balatan</v>
      </c>
      <c r="D427" s="142" t="str">
        <f>IFERROR(__xludf.DUMMYFUNCTION("""COMPUTED_VALUE"""),"Bato")</f>
        <v>Bato</v>
      </c>
      <c r="E427" s="142" t="str">
        <f>IFERROR(__xludf.DUMMYFUNCTION("""COMPUTED_VALUE"""),"Bombon")</f>
        <v>Bombon</v>
      </c>
      <c r="F427" s="142" t="str">
        <f>IFERROR(__xludf.DUMMYFUNCTION("""COMPUTED_VALUE"""),"Buhi")</f>
        <v>Buhi</v>
      </c>
      <c r="G427" s="142" t="str">
        <f>IFERROR(__xludf.DUMMYFUNCTION("""COMPUTED_VALUE"""),"Bula")</f>
        <v>Bula</v>
      </c>
      <c r="H427" s="142" t="str">
        <f>IFERROR(__xludf.DUMMYFUNCTION("""COMPUTED_VALUE"""),"Cabusao")</f>
        <v>Cabusao</v>
      </c>
      <c r="I427" s="142" t="str">
        <f>IFERROR(__xludf.DUMMYFUNCTION("""COMPUTED_VALUE"""),"Calabanga")</f>
        <v>Calabanga</v>
      </c>
      <c r="J427" s="142" t="str">
        <f>IFERROR(__xludf.DUMMYFUNCTION("""COMPUTED_VALUE"""),"Camaligan")</f>
        <v>Camaligan</v>
      </c>
      <c r="K427" s="142" t="str">
        <f>IFERROR(__xludf.DUMMYFUNCTION("""COMPUTED_VALUE"""),"Canaman")</f>
        <v>Canaman</v>
      </c>
      <c r="L427" s="142" t="str">
        <f>IFERROR(__xludf.DUMMYFUNCTION("""COMPUTED_VALUE"""),"Caramoan")</f>
        <v>Caramoan</v>
      </c>
      <c r="M427" s="142" t="str">
        <f>IFERROR(__xludf.DUMMYFUNCTION("""COMPUTED_VALUE"""),"Del Gallego")</f>
        <v>Del Gallego</v>
      </c>
      <c r="N427" s="142" t="str">
        <f>IFERROR(__xludf.DUMMYFUNCTION("""COMPUTED_VALUE"""),"Gainza")</f>
        <v>Gainza</v>
      </c>
      <c r="O427" s="142" t="str">
        <f>IFERROR(__xludf.DUMMYFUNCTION("""COMPUTED_VALUE"""),"Garchitorena")</f>
        <v>Garchitorena</v>
      </c>
      <c r="P427" s="142" t="str">
        <f>IFERROR(__xludf.DUMMYFUNCTION("""COMPUTED_VALUE"""),"Goa")</f>
        <v>Goa</v>
      </c>
      <c r="Q427" s="142" t="str">
        <f>IFERROR(__xludf.DUMMYFUNCTION("""COMPUTED_VALUE"""),"City of Iriga")</f>
        <v>City of Iriga</v>
      </c>
      <c r="R427" s="142" t="str">
        <f>IFERROR(__xludf.DUMMYFUNCTION("""COMPUTED_VALUE"""),"Lagonoy")</f>
        <v>Lagonoy</v>
      </c>
      <c r="S427" s="142" t="str">
        <f>IFERROR(__xludf.DUMMYFUNCTION("""COMPUTED_VALUE"""),"Libmanan")</f>
        <v>Libmanan</v>
      </c>
      <c r="T427" s="142" t="str">
        <f>IFERROR(__xludf.DUMMYFUNCTION("""COMPUTED_VALUE"""),"Lupi")</f>
        <v>Lupi</v>
      </c>
      <c r="U427" s="142" t="str">
        <f>IFERROR(__xludf.DUMMYFUNCTION("""COMPUTED_VALUE"""),"Magarao")</f>
        <v>Magarao</v>
      </c>
      <c r="V427" s="142" t="str">
        <f>IFERROR(__xludf.DUMMYFUNCTION("""COMPUTED_VALUE"""),"Milaor")</f>
        <v>Milaor</v>
      </c>
      <c r="W427" s="142" t="str">
        <f>IFERROR(__xludf.DUMMYFUNCTION("""COMPUTED_VALUE"""),"Minalabac")</f>
        <v>Minalabac</v>
      </c>
      <c r="X427" s="142" t="str">
        <f>IFERROR(__xludf.DUMMYFUNCTION("""COMPUTED_VALUE"""),"Nabua")</f>
        <v>Nabua</v>
      </c>
      <c r="Y427" s="142" t="str">
        <f>IFERROR(__xludf.DUMMYFUNCTION("""COMPUTED_VALUE"""),"City of Naga")</f>
        <v>City of Naga</v>
      </c>
      <c r="Z427" s="142" t="str">
        <f>IFERROR(__xludf.DUMMYFUNCTION("""COMPUTED_VALUE"""),"Ocampo")</f>
        <v>Ocampo</v>
      </c>
      <c r="AA427" s="142" t="str">
        <f>IFERROR(__xludf.DUMMYFUNCTION("""COMPUTED_VALUE"""),"Pamplona")</f>
        <v>Pamplona</v>
      </c>
      <c r="AB427" s="142" t="str">
        <f>IFERROR(__xludf.DUMMYFUNCTION("""COMPUTED_VALUE"""),"Pasacao")</f>
        <v>Pasacao</v>
      </c>
      <c r="AC427" s="142" t="str">
        <f>IFERROR(__xludf.DUMMYFUNCTION("""COMPUTED_VALUE"""),"Pili")</f>
        <v>Pili</v>
      </c>
      <c r="AD427" s="142" t="str">
        <f>IFERROR(__xludf.DUMMYFUNCTION("""COMPUTED_VALUE"""),"Presentacion")</f>
        <v>Presentacion</v>
      </c>
      <c r="AE427" s="142" t="str">
        <f>IFERROR(__xludf.DUMMYFUNCTION("""COMPUTED_VALUE"""),"Ragay")</f>
        <v>Ragay</v>
      </c>
      <c r="AF427" s="142" t="str">
        <f>IFERROR(__xludf.DUMMYFUNCTION("""COMPUTED_VALUE"""),"Sagñay")</f>
        <v>Sagñay</v>
      </c>
      <c r="AG427" s="142" t="str">
        <f>IFERROR(__xludf.DUMMYFUNCTION("""COMPUTED_VALUE"""),"San Fernando")</f>
        <v>San Fernando</v>
      </c>
      <c r="AH427" s="142" t="str">
        <f>IFERROR(__xludf.DUMMYFUNCTION("""COMPUTED_VALUE"""),"San Jose")</f>
        <v>San Jose</v>
      </c>
      <c r="AI427" s="142" t="str">
        <f>IFERROR(__xludf.DUMMYFUNCTION("""COMPUTED_VALUE"""),"Sipocot")</f>
        <v>Sipocot</v>
      </c>
      <c r="AJ427" s="142" t="str">
        <f>IFERROR(__xludf.DUMMYFUNCTION("""COMPUTED_VALUE"""),"Siruma")</f>
        <v>Siruma</v>
      </c>
      <c r="AK427" s="142" t="str">
        <f>IFERROR(__xludf.DUMMYFUNCTION("""COMPUTED_VALUE"""),"Tigaon")</f>
        <v>Tigaon</v>
      </c>
      <c r="AL427" s="142" t="str">
        <f>IFERROR(__xludf.DUMMYFUNCTION("""COMPUTED_VALUE"""),"Tinambac")</f>
        <v>Tinambac</v>
      </c>
      <c r="AM427" s="8"/>
      <c r="AN427" s="8"/>
      <c r="AO427" s="8"/>
      <c r="AP427" s="8"/>
      <c r="AQ427" s="8"/>
      <c r="AR427" s="8"/>
      <c r="AS427" s="8"/>
      <c r="AT427" s="8"/>
      <c r="AU427" s="8"/>
      <c r="AV427" s="8"/>
      <c r="AW427" s="8"/>
      <c r="AX427" s="8"/>
      <c r="AY427" s="8"/>
      <c r="AZ427" s="8"/>
      <c r="BA427" s="8"/>
      <c r="BB427" s="8"/>
      <c r="BC427" s="8"/>
      <c r="BD427" s="8"/>
      <c r="BE427" s="8"/>
    </row>
    <row r="428">
      <c r="A428" s="142" t="s">
        <v>580</v>
      </c>
      <c r="B428" s="142" t="str">
        <f>IFERROR(__xludf.DUMMYFUNCTION("""COMPUTED_VALUE"""),"Arteche")</f>
        <v>Arteche</v>
      </c>
      <c r="C428" s="142" t="str">
        <f>IFERROR(__xludf.DUMMYFUNCTION("""COMPUTED_VALUE"""),"Balangiga")</f>
        <v>Balangiga</v>
      </c>
      <c r="D428" s="142" t="str">
        <f>IFERROR(__xludf.DUMMYFUNCTION("""COMPUTED_VALUE"""),"Balangkayan")</f>
        <v>Balangkayan</v>
      </c>
      <c r="E428" s="142" t="str">
        <f>IFERROR(__xludf.DUMMYFUNCTION("""COMPUTED_VALUE"""),"City of Borongan")</f>
        <v>City of Borongan</v>
      </c>
      <c r="F428" s="142" t="str">
        <f>IFERROR(__xludf.DUMMYFUNCTION("""COMPUTED_VALUE"""),"Can-Avid")</f>
        <v>Can-Avid</v>
      </c>
      <c r="G428" s="142" t="str">
        <f>IFERROR(__xludf.DUMMYFUNCTION("""COMPUTED_VALUE"""),"Dolores")</f>
        <v>Dolores</v>
      </c>
      <c r="H428" s="142" t="str">
        <f>IFERROR(__xludf.DUMMYFUNCTION("""COMPUTED_VALUE"""),"General Macarthur")</f>
        <v>General Macarthur</v>
      </c>
      <c r="I428" s="142" t="str">
        <f>IFERROR(__xludf.DUMMYFUNCTION("""COMPUTED_VALUE"""),"Giporlos")</f>
        <v>Giporlos</v>
      </c>
      <c r="J428" s="142" t="str">
        <f>IFERROR(__xludf.DUMMYFUNCTION("""COMPUTED_VALUE"""),"Guiuan")</f>
        <v>Guiuan</v>
      </c>
      <c r="K428" s="142" t="str">
        <f>IFERROR(__xludf.DUMMYFUNCTION("""COMPUTED_VALUE"""),"Hernani")</f>
        <v>Hernani</v>
      </c>
      <c r="L428" s="142" t="str">
        <f>IFERROR(__xludf.DUMMYFUNCTION("""COMPUTED_VALUE"""),"Jipapad")</f>
        <v>Jipapad</v>
      </c>
      <c r="M428" s="142" t="str">
        <f>IFERROR(__xludf.DUMMYFUNCTION("""COMPUTED_VALUE"""),"Lawaan")</f>
        <v>Lawaan</v>
      </c>
      <c r="N428" s="142" t="str">
        <f>IFERROR(__xludf.DUMMYFUNCTION("""COMPUTED_VALUE"""),"Llorente")</f>
        <v>Llorente</v>
      </c>
      <c r="O428" s="142" t="str">
        <f>IFERROR(__xludf.DUMMYFUNCTION("""COMPUTED_VALUE"""),"Maslog")</f>
        <v>Maslog</v>
      </c>
      <c r="P428" s="142" t="str">
        <f>IFERROR(__xludf.DUMMYFUNCTION("""COMPUTED_VALUE"""),"Maydolong")</f>
        <v>Maydolong</v>
      </c>
      <c r="Q428" s="142" t="str">
        <f>IFERROR(__xludf.DUMMYFUNCTION("""COMPUTED_VALUE"""),"Mercedes")</f>
        <v>Mercedes</v>
      </c>
      <c r="R428" s="142" t="str">
        <f>IFERROR(__xludf.DUMMYFUNCTION("""COMPUTED_VALUE"""),"Oras")</f>
        <v>Oras</v>
      </c>
      <c r="S428" s="142" t="str">
        <f>IFERROR(__xludf.DUMMYFUNCTION("""COMPUTED_VALUE"""),"Quinapondan")</f>
        <v>Quinapondan</v>
      </c>
      <c r="T428" s="142" t="str">
        <f>IFERROR(__xludf.DUMMYFUNCTION("""COMPUTED_VALUE"""),"Salcedo")</f>
        <v>Salcedo</v>
      </c>
      <c r="U428" s="142" t="str">
        <f>IFERROR(__xludf.DUMMYFUNCTION("""COMPUTED_VALUE"""),"San Julian")</f>
        <v>San Julian</v>
      </c>
      <c r="V428" s="142" t="str">
        <f>IFERROR(__xludf.DUMMYFUNCTION("""COMPUTED_VALUE"""),"San Policarpo")</f>
        <v>San Policarpo</v>
      </c>
      <c r="W428" s="142" t="str">
        <f>IFERROR(__xludf.DUMMYFUNCTION("""COMPUTED_VALUE"""),"Sulat")</f>
        <v>Sulat</v>
      </c>
      <c r="X428" s="142" t="str">
        <f>IFERROR(__xludf.DUMMYFUNCTION("""COMPUTED_VALUE"""),"Taft")</f>
        <v>Taft</v>
      </c>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row>
    <row r="429">
      <c r="A429" s="142" t="s">
        <v>580</v>
      </c>
      <c r="B429" s="142" t="str">
        <f>IFERROR(__xludf.DUMMYFUNCTION("""COMPUTED_VALUE"""),"Arteche")</f>
        <v>Arteche</v>
      </c>
      <c r="C429" s="142" t="str">
        <f>IFERROR(__xludf.DUMMYFUNCTION("""COMPUTED_VALUE"""),"Balangiga")</f>
        <v>Balangiga</v>
      </c>
      <c r="D429" s="142" t="str">
        <f>IFERROR(__xludf.DUMMYFUNCTION("""COMPUTED_VALUE"""),"Balangkayan")</f>
        <v>Balangkayan</v>
      </c>
      <c r="E429" s="142" t="str">
        <f>IFERROR(__xludf.DUMMYFUNCTION("""COMPUTED_VALUE"""),"City of Borongan")</f>
        <v>City of Borongan</v>
      </c>
      <c r="F429" s="142" t="str">
        <f>IFERROR(__xludf.DUMMYFUNCTION("""COMPUTED_VALUE"""),"Can-Avid")</f>
        <v>Can-Avid</v>
      </c>
      <c r="G429" s="142" t="str">
        <f>IFERROR(__xludf.DUMMYFUNCTION("""COMPUTED_VALUE"""),"Dolores")</f>
        <v>Dolores</v>
      </c>
      <c r="H429" s="142" t="str">
        <f>IFERROR(__xludf.DUMMYFUNCTION("""COMPUTED_VALUE"""),"General Macarthur")</f>
        <v>General Macarthur</v>
      </c>
      <c r="I429" s="142" t="str">
        <f>IFERROR(__xludf.DUMMYFUNCTION("""COMPUTED_VALUE"""),"Giporlos")</f>
        <v>Giporlos</v>
      </c>
      <c r="J429" s="142" t="str">
        <f>IFERROR(__xludf.DUMMYFUNCTION("""COMPUTED_VALUE"""),"Guiuan")</f>
        <v>Guiuan</v>
      </c>
      <c r="K429" s="142" t="str">
        <f>IFERROR(__xludf.DUMMYFUNCTION("""COMPUTED_VALUE"""),"Hernani")</f>
        <v>Hernani</v>
      </c>
      <c r="L429" s="142" t="str">
        <f>IFERROR(__xludf.DUMMYFUNCTION("""COMPUTED_VALUE"""),"Jipapad")</f>
        <v>Jipapad</v>
      </c>
      <c r="M429" s="142" t="str">
        <f>IFERROR(__xludf.DUMMYFUNCTION("""COMPUTED_VALUE"""),"Lawaan")</f>
        <v>Lawaan</v>
      </c>
      <c r="N429" s="142" t="str">
        <f>IFERROR(__xludf.DUMMYFUNCTION("""COMPUTED_VALUE"""),"Llorente")</f>
        <v>Llorente</v>
      </c>
      <c r="O429" s="142" t="str">
        <f>IFERROR(__xludf.DUMMYFUNCTION("""COMPUTED_VALUE"""),"Maslog")</f>
        <v>Maslog</v>
      </c>
      <c r="P429" s="142" t="str">
        <f>IFERROR(__xludf.DUMMYFUNCTION("""COMPUTED_VALUE"""),"Maydolong")</f>
        <v>Maydolong</v>
      </c>
      <c r="Q429" s="142" t="str">
        <f>IFERROR(__xludf.DUMMYFUNCTION("""COMPUTED_VALUE"""),"Mercedes")</f>
        <v>Mercedes</v>
      </c>
      <c r="R429" s="142" t="str">
        <f>IFERROR(__xludf.DUMMYFUNCTION("""COMPUTED_VALUE"""),"Oras")</f>
        <v>Oras</v>
      </c>
      <c r="S429" s="142" t="str">
        <f>IFERROR(__xludf.DUMMYFUNCTION("""COMPUTED_VALUE"""),"Quinapondan")</f>
        <v>Quinapondan</v>
      </c>
      <c r="T429" s="142" t="str">
        <f>IFERROR(__xludf.DUMMYFUNCTION("""COMPUTED_VALUE"""),"Salcedo")</f>
        <v>Salcedo</v>
      </c>
      <c r="U429" s="142" t="str">
        <f>IFERROR(__xludf.DUMMYFUNCTION("""COMPUTED_VALUE"""),"San Julian")</f>
        <v>San Julian</v>
      </c>
      <c r="V429" s="142" t="str">
        <f>IFERROR(__xludf.DUMMYFUNCTION("""COMPUTED_VALUE"""),"San Policarpo")</f>
        <v>San Policarpo</v>
      </c>
      <c r="W429" s="142" t="str">
        <f>IFERROR(__xludf.DUMMYFUNCTION("""COMPUTED_VALUE"""),"Sulat")</f>
        <v>Sulat</v>
      </c>
      <c r="X429" s="142" t="str">
        <f>IFERROR(__xludf.DUMMYFUNCTION("""COMPUTED_VALUE"""),"Taft")</f>
        <v>Taft</v>
      </c>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row>
    <row r="430">
      <c r="A430" s="142" t="s">
        <v>580</v>
      </c>
      <c r="B430" s="142" t="str">
        <f>IFERROR(__xludf.DUMMYFUNCTION("""COMPUTED_VALUE"""),"Arteche")</f>
        <v>Arteche</v>
      </c>
      <c r="C430" s="142" t="str">
        <f>IFERROR(__xludf.DUMMYFUNCTION("""COMPUTED_VALUE"""),"Balangiga")</f>
        <v>Balangiga</v>
      </c>
      <c r="D430" s="142" t="str">
        <f>IFERROR(__xludf.DUMMYFUNCTION("""COMPUTED_VALUE"""),"Balangkayan")</f>
        <v>Balangkayan</v>
      </c>
      <c r="E430" s="142" t="str">
        <f>IFERROR(__xludf.DUMMYFUNCTION("""COMPUTED_VALUE"""),"City of Borongan")</f>
        <v>City of Borongan</v>
      </c>
      <c r="F430" s="142" t="str">
        <f>IFERROR(__xludf.DUMMYFUNCTION("""COMPUTED_VALUE"""),"Can-Avid")</f>
        <v>Can-Avid</v>
      </c>
      <c r="G430" s="142" t="str">
        <f>IFERROR(__xludf.DUMMYFUNCTION("""COMPUTED_VALUE"""),"Dolores")</f>
        <v>Dolores</v>
      </c>
      <c r="H430" s="142" t="str">
        <f>IFERROR(__xludf.DUMMYFUNCTION("""COMPUTED_VALUE"""),"General Macarthur")</f>
        <v>General Macarthur</v>
      </c>
      <c r="I430" s="142" t="str">
        <f>IFERROR(__xludf.DUMMYFUNCTION("""COMPUTED_VALUE"""),"Giporlos")</f>
        <v>Giporlos</v>
      </c>
      <c r="J430" s="142" t="str">
        <f>IFERROR(__xludf.DUMMYFUNCTION("""COMPUTED_VALUE"""),"Guiuan")</f>
        <v>Guiuan</v>
      </c>
      <c r="K430" s="142" t="str">
        <f>IFERROR(__xludf.DUMMYFUNCTION("""COMPUTED_VALUE"""),"Hernani")</f>
        <v>Hernani</v>
      </c>
      <c r="L430" s="142" t="str">
        <f>IFERROR(__xludf.DUMMYFUNCTION("""COMPUTED_VALUE"""),"Jipapad")</f>
        <v>Jipapad</v>
      </c>
      <c r="M430" s="142" t="str">
        <f>IFERROR(__xludf.DUMMYFUNCTION("""COMPUTED_VALUE"""),"Lawaan")</f>
        <v>Lawaan</v>
      </c>
      <c r="N430" s="142" t="str">
        <f>IFERROR(__xludf.DUMMYFUNCTION("""COMPUTED_VALUE"""),"Llorente")</f>
        <v>Llorente</v>
      </c>
      <c r="O430" s="142" t="str">
        <f>IFERROR(__xludf.DUMMYFUNCTION("""COMPUTED_VALUE"""),"Maslog")</f>
        <v>Maslog</v>
      </c>
      <c r="P430" s="142" t="str">
        <f>IFERROR(__xludf.DUMMYFUNCTION("""COMPUTED_VALUE"""),"Maydolong")</f>
        <v>Maydolong</v>
      </c>
      <c r="Q430" s="142" t="str">
        <f>IFERROR(__xludf.DUMMYFUNCTION("""COMPUTED_VALUE"""),"Mercedes")</f>
        <v>Mercedes</v>
      </c>
      <c r="R430" s="142" t="str">
        <f>IFERROR(__xludf.DUMMYFUNCTION("""COMPUTED_VALUE"""),"Oras")</f>
        <v>Oras</v>
      </c>
      <c r="S430" s="142" t="str">
        <f>IFERROR(__xludf.DUMMYFUNCTION("""COMPUTED_VALUE"""),"Quinapondan")</f>
        <v>Quinapondan</v>
      </c>
      <c r="T430" s="142" t="str">
        <f>IFERROR(__xludf.DUMMYFUNCTION("""COMPUTED_VALUE"""),"Salcedo")</f>
        <v>Salcedo</v>
      </c>
      <c r="U430" s="142" t="str">
        <f>IFERROR(__xludf.DUMMYFUNCTION("""COMPUTED_VALUE"""),"San Julian")</f>
        <v>San Julian</v>
      </c>
      <c r="V430" s="142" t="str">
        <f>IFERROR(__xludf.DUMMYFUNCTION("""COMPUTED_VALUE"""),"San Policarpo")</f>
        <v>San Policarpo</v>
      </c>
      <c r="W430" s="142" t="str">
        <f>IFERROR(__xludf.DUMMYFUNCTION("""COMPUTED_VALUE"""),"Sulat")</f>
        <v>Sulat</v>
      </c>
      <c r="X430" s="142" t="str">
        <f>IFERROR(__xludf.DUMMYFUNCTION("""COMPUTED_VALUE"""),"Taft")</f>
        <v>Taft</v>
      </c>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row>
    <row r="431">
      <c r="A431" s="142" t="s">
        <v>357</v>
      </c>
      <c r="B431" s="142" t="str">
        <f>IFERROR(__xludf.DUMMYFUNCTION("""COMPUTED_VALUE"""),"Alabel")</f>
        <v>Alabel</v>
      </c>
      <c r="C431" s="142" t="str">
        <f>IFERROR(__xludf.DUMMYFUNCTION("""COMPUTED_VALUE"""),"Glan")</f>
        <v>Glan</v>
      </c>
      <c r="D431" s="142" t="str">
        <f>IFERROR(__xludf.DUMMYFUNCTION("""COMPUTED_VALUE"""),"Kiamba")</f>
        <v>Kiamba</v>
      </c>
      <c r="E431" s="142" t="str">
        <f>IFERROR(__xludf.DUMMYFUNCTION("""COMPUTED_VALUE"""),"Maasim")</f>
        <v>Maasim</v>
      </c>
      <c r="F431" s="142" t="str">
        <f>IFERROR(__xludf.DUMMYFUNCTION("""COMPUTED_VALUE"""),"Maitum")</f>
        <v>Maitum</v>
      </c>
      <c r="G431" s="142" t="str">
        <f>IFERROR(__xludf.DUMMYFUNCTION("""COMPUTED_VALUE"""),"Malapatan")</f>
        <v>Malapatan</v>
      </c>
      <c r="H431" s="142" t="str">
        <f>IFERROR(__xludf.DUMMYFUNCTION("""COMPUTED_VALUE"""),"Malungon")</f>
        <v>Malungon</v>
      </c>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row>
    <row r="432">
      <c r="A432" s="142" t="s">
        <v>632</v>
      </c>
      <c r="B432" s="142" t="str">
        <f>IFERROR(__xludf.DUMMYFUNCTION("""COMPUTED_VALUE"""),"Amlan")</f>
        <v>Amlan</v>
      </c>
      <c r="C432" s="142" t="str">
        <f>IFERROR(__xludf.DUMMYFUNCTION("""COMPUTED_VALUE"""),"Ayungon")</f>
        <v>Ayungon</v>
      </c>
      <c r="D432" s="142" t="str">
        <f>IFERROR(__xludf.DUMMYFUNCTION("""COMPUTED_VALUE"""),"Bacong")</f>
        <v>Bacong</v>
      </c>
      <c r="E432" s="142" t="str">
        <f>IFERROR(__xludf.DUMMYFUNCTION("""COMPUTED_VALUE"""),"City of Bais")</f>
        <v>City of Bais</v>
      </c>
      <c r="F432" s="142" t="str">
        <f>IFERROR(__xludf.DUMMYFUNCTION("""COMPUTED_VALUE"""),"Basay")</f>
        <v>Basay</v>
      </c>
      <c r="G432" s="142" t="str">
        <f>IFERROR(__xludf.DUMMYFUNCTION("""COMPUTED_VALUE"""),"City of Bayawan")</f>
        <v>City of Bayawan</v>
      </c>
      <c r="H432" s="142" t="str">
        <f>IFERROR(__xludf.DUMMYFUNCTION("""COMPUTED_VALUE"""),"Bindoy")</f>
        <v>Bindoy</v>
      </c>
      <c r="I432" s="142" t="str">
        <f>IFERROR(__xludf.DUMMYFUNCTION("""COMPUTED_VALUE"""),"City of Canlaon")</f>
        <v>City of Canlaon</v>
      </c>
      <c r="J432" s="142" t="str">
        <f>IFERROR(__xludf.DUMMYFUNCTION("""COMPUTED_VALUE"""),"Dauin")</f>
        <v>Dauin</v>
      </c>
      <c r="K432" s="142" t="str">
        <f>IFERROR(__xludf.DUMMYFUNCTION("""COMPUTED_VALUE"""),"City of Dumaguete")</f>
        <v>City of Dumaguete</v>
      </c>
      <c r="L432" s="142" t="str">
        <f>IFERROR(__xludf.DUMMYFUNCTION("""COMPUTED_VALUE"""),"City of Guihulngan")</f>
        <v>City of Guihulngan</v>
      </c>
      <c r="M432" s="142" t="str">
        <f>IFERROR(__xludf.DUMMYFUNCTION("""COMPUTED_VALUE"""),"Jimalalud")</f>
        <v>Jimalalud</v>
      </c>
      <c r="N432" s="142" t="str">
        <f>IFERROR(__xludf.DUMMYFUNCTION("""COMPUTED_VALUE"""),"La Libertad")</f>
        <v>La Libertad</v>
      </c>
      <c r="O432" s="142" t="str">
        <f>IFERROR(__xludf.DUMMYFUNCTION("""COMPUTED_VALUE"""),"Mabinay")</f>
        <v>Mabinay</v>
      </c>
      <c r="P432" s="142" t="str">
        <f>IFERROR(__xludf.DUMMYFUNCTION("""COMPUTED_VALUE"""),"Manjuyod")</f>
        <v>Manjuyod</v>
      </c>
      <c r="Q432" s="142" t="str">
        <f>IFERROR(__xludf.DUMMYFUNCTION("""COMPUTED_VALUE"""),"Pamplona")</f>
        <v>Pamplona</v>
      </c>
      <c r="R432" s="142" t="str">
        <f>IFERROR(__xludf.DUMMYFUNCTION("""COMPUTED_VALUE"""),"San Jose")</f>
        <v>San Jose</v>
      </c>
      <c r="S432" s="142" t="str">
        <f>IFERROR(__xludf.DUMMYFUNCTION("""COMPUTED_VALUE"""),"Santa Catalina")</f>
        <v>Santa Catalina</v>
      </c>
      <c r="T432" s="142" t="str">
        <f>IFERROR(__xludf.DUMMYFUNCTION("""COMPUTED_VALUE"""),"Siaton")</f>
        <v>Siaton</v>
      </c>
      <c r="U432" s="142" t="str">
        <f>IFERROR(__xludf.DUMMYFUNCTION("""COMPUTED_VALUE"""),"Sibulan")</f>
        <v>Sibulan</v>
      </c>
      <c r="V432" s="142" t="str">
        <f>IFERROR(__xludf.DUMMYFUNCTION("""COMPUTED_VALUE"""),"City of Tanjay")</f>
        <v>City of Tanjay</v>
      </c>
      <c r="W432" s="142" t="str">
        <f>IFERROR(__xludf.DUMMYFUNCTION("""COMPUTED_VALUE"""),"Tayasan")</f>
        <v>Tayasan</v>
      </c>
      <c r="X432" s="142" t="str">
        <f>IFERROR(__xludf.DUMMYFUNCTION("""COMPUTED_VALUE"""),"Valencia")</f>
        <v>Valencia</v>
      </c>
      <c r="Y432" s="142" t="str">
        <f>IFERROR(__xludf.DUMMYFUNCTION("""COMPUTED_VALUE"""),"Vallehermoso")</f>
        <v>Vallehermoso</v>
      </c>
      <c r="Z432" s="142" t="str">
        <f>IFERROR(__xludf.DUMMYFUNCTION("""COMPUTED_VALUE"""),"Zamboanguita")</f>
        <v>Zamboanguita</v>
      </c>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row>
    <row r="433">
      <c r="A433" s="142" t="s">
        <v>258</v>
      </c>
      <c r="B433" s="142" t="str">
        <f>IFERROR(__xludf.DUMMYFUNCTION("""COMPUTED_VALUE"""),"Agoncillo")</f>
        <v>Agoncillo</v>
      </c>
      <c r="C433" s="142" t="str">
        <f>IFERROR(__xludf.DUMMYFUNCTION("""COMPUTED_VALUE"""),"Alitagtag")</f>
        <v>Alitagtag</v>
      </c>
      <c r="D433" s="142" t="str">
        <f>IFERROR(__xludf.DUMMYFUNCTION("""COMPUTED_VALUE"""),"Balayan")</f>
        <v>Balayan</v>
      </c>
      <c r="E433" s="142" t="str">
        <f>IFERROR(__xludf.DUMMYFUNCTION("""COMPUTED_VALUE"""),"Balete")</f>
        <v>Balete</v>
      </c>
      <c r="F433" s="142" t="str">
        <f>IFERROR(__xludf.DUMMYFUNCTION("""COMPUTED_VALUE"""),"Batangas City")</f>
        <v>Batangas City</v>
      </c>
      <c r="G433" s="142" t="str">
        <f>IFERROR(__xludf.DUMMYFUNCTION("""COMPUTED_VALUE"""),"Bauan")</f>
        <v>Bauan</v>
      </c>
      <c r="H433" s="142" t="str">
        <f>IFERROR(__xludf.DUMMYFUNCTION("""COMPUTED_VALUE"""),"City of Calaca")</f>
        <v>City of Calaca</v>
      </c>
      <c r="I433" s="142" t="str">
        <f>IFERROR(__xludf.DUMMYFUNCTION("""COMPUTED_VALUE"""),"Calatagan")</f>
        <v>Calatagan</v>
      </c>
      <c r="J433" s="142" t="str">
        <f>IFERROR(__xludf.DUMMYFUNCTION("""COMPUTED_VALUE"""),"Cuenca")</f>
        <v>Cuenca</v>
      </c>
      <c r="K433" s="142" t="str">
        <f>IFERROR(__xludf.DUMMYFUNCTION("""COMPUTED_VALUE"""),"Ibaan")</f>
        <v>Ibaan</v>
      </c>
      <c r="L433" s="142" t="str">
        <f>IFERROR(__xludf.DUMMYFUNCTION("""COMPUTED_VALUE"""),"Laurel")</f>
        <v>Laurel</v>
      </c>
      <c r="M433" s="142" t="str">
        <f>IFERROR(__xludf.DUMMYFUNCTION("""COMPUTED_VALUE"""),"Lemery")</f>
        <v>Lemery</v>
      </c>
      <c r="N433" s="142" t="str">
        <f>IFERROR(__xludf.DUMMYFUNCTION("""COMPUTED_VALUE"""),"Lian")</f>
        <v>Lian</v>
      </c>
      <c r="O433" s="142" t="str">
        <f>IFERROR(__xludf.DUMMYFUNCTION("""COMPUTED_VALUE"""),"City of Lipa")</f>
        <v>City of Lipa</v>
      </c>
      <c r="P433" s="142" t="str">
        <f>IFERROR(__xludf.DUMMYFUNCTION("""COMPUTED_VALUE"""),"Lobo")</f>
        <v>Lobo</v>
      </c>
      <c r="Q433" s="142" t="str">
        <f>IFERROR(__xludf.DUMMYFUNCTION("""COMPUTED_VALUE"""),"Mabini")</f>
        <v>Mabini</v>
      </c>
      <c r="R433" s="142" t="str">
        <f>IFERROR(__xludf.DUMMYFUNCTION("""COMPUTED_VALUE"""),"Malvar")</f>
        <v>Malvar</v>
      </c>
      <c r="S433" s="142" t="str">
        <f>IFERROR(__xludf.DUMMYFUNCTION("""COMPUTED_VALUE"""),"Mataasnakahoy")</f>
        <v>Mataasnakahoy</v>
      </c>
      <c r="T433" s="142" t="str">
        <f>IFERROR(__xludf.DUMMYFUNCTION("""COMPUTED_VALUE"""),"Nasugbu")</f>
        <v>Nasugbu</v>
      </c>
      <c r="U433" s="142" t="str">
        <f>IFERROR(__xludf.DUMMYFUNCTION("""COMPUTED_VALUE"""),"Padre Garcia")</f>
        <v>Padre Garcia</v>
      </c>
      <c r="V433" s="142" t="str">
        <f>IFERROR(__xludf.DUMMYFUNCTION("""COMPUTED_VALUE"""),"Rosario")</f>
        <v>Rosario</v>
      </c>
      <c r="W433" s="142" t="str">
        <f>IFERROR(__xludf.DUMMYFUNCTION("""COMPUTED_VALUE"""),"San Jose")</f>
        <v>San Jose</v>
      </c>
      <c r="X433" s="142" t="str">
        <f>IFERROR(__xludf.DUMMYFUNCTION("""COMPUTED_VALUE"""),"San Juan")</f>
        <v>San Juan</v>
      </c>
      <c r="Y433" s="142" t="str">
        <f>IFERROR(__xludf.DUMMYFUNCTION("""COMPUTED_VALUE"""),"San Luis")</f>
        <v>San Luis</v>
      </c>
      <c r="Z433" s="142" t="str">
        <f>IFERROR(__xludf.DUMMYFUNCTION("""COMPUTED_VALUE"""),"San Nicolas")</f>
        <v>San Nicolas</v>
      </c>
      <c r="AA433" s="142" t="str">
        <f>IFERROR(__xludf.DUMMYFUNCTION("""COMPUTED_VALUE"""),"San Pascual")</f>
        <v>San Pascual</v>
      </c>
      <c r="AB433" s="142" t="str">
        <f>IFERROR(__xludf.DUMMYFUNCTION("""COMPUTED_VALUE"""),"Santa Teresita")</f>
        <v>Santa Teresita</v>
      </c>
      <c r="AC433" s="142" t="str">
        <f>IFERROR(__xludf.DUMMYFUNCTION("""COMPUTED_VALUE"""),"City of Sto. Tomas")</f>
        <v>City of Sto. Tomas</v>
      </c>
      <c r="AD433" s="142" t="str">
        <f>IFERROR(__xludf.DUMMYFUNCTION("""COMPUTED_VALUE"""),"Taal")</f>
        <v>Taal</v>
      </c>
      <c r="AE433" s="142" t="str">
        <f>IFERROR(__xludf.DUMMYFUNCTION("""COMPUTED_VALUE"""),"Talisay")</f>
        <v>Talisay</v>
      </c>
      <c r="AF433" s="142" t="str">
        <f>IFERROR(__xludf.DUMMYFUNCTION("""COMPUTED_VALUE"""),"City of Tanauan")</f>
        <v>City of Tanauan</v>
      </c>
      <c r="AG433" s="142" t="str">
        <f>IFERROR(__xludf.DUMMYFUNCTION("""COMPUTED_VALUE"""),"Taysan")</f>
        <v>Taysan</v>
      </c>
      <c r="AH433" s="142" t="str">
        <f>IFERROR(__xludf.DUMMYFUNCTION("""COMPUTED_VALUE"""),"Tingloy")</f>
        <v>Tingloy</v>
      </c>
      <c r="AI433" s="142" t="str">
        <f>IFERROR(__xludf.DUMMYFUNCTION("""COMPUTED_VALUE"""),"Tuy")</f>
        <v>Tuy</v>
      </c>
      <c r="AJ433" s="8"/>
      <c r="AK433" s="8"/>
      <c r="AL433" s="8"/>
      <c r="AM433" s="8"/>
      <c r="AN433" s="8"/>
      <c r="AO433" s="8"/>
      <c r="AP433" s="8"/>
      <c r="AQ433" s="8"/>
      <c r="AR433" s="8"/>
      <c r="AS433" s="8"/>
      <c r="AT433" s="8"/>
      <c r="AU433" s="8"/>
      <c r="AV433" s="8"/>
      <c r="AW433" s="8"/>
      <c r="AX433" s="8"/>
      <c r="AY433" s="8"/>
      <c r="AZ433" s="8"/>
      <c r="BA433" s="8"/>
      <c r="BB433" s="8"/>
      <c r="BC433" s="8"/>
      <c r="BD433" s="8"/>
      <c r="BE433" s="8"/>
    </row>
    <row r="434">
      <c r="A434" s="142" t="s">
        <v>404</v>
      </c>
      <c r="B434" s="142" t="str">
        <f>IFERROR(__xludf.DUMMYFUNCTION("""COMPUTED_VALUE"""),"Alilem")</f>
        <v>Alilem</v>
      </c>
      <c r="C434" s="142" t="str">
        <f>IFERROR(__xludf.DUMMYFUNCTION("""COMPUTED_VALUE"""),"Banayoyo")</f>
        <v>Banayoyo</v>
      </c>
      <c r="D434" s="142" t="str">
        <f>IFERROR(__xludf.DUMMYFUNCTION("""COMPUTED_VALUE"""),"Bantay")</f>
        <v>Bantay</v>
      </c>
      <c r="E434" s="142" t="str">
        <f>IFERROR(__xludf.DUMMYFUNCTION("""COMPUTED_VALUE"""),"Burgos")</f>
        <v>Burgos</v>
      </c>
      <c r="F434" s="142" t="str">
        <f>IFERROR(__xludf.DUMMYFUNCTION("""COMPUTED_VALUE"""),"Cabugao")</f>
        <v>Cabugao</v>
      </c>
      <c r="G434" s="142" t="str">
        <f>IFERROR(__xludf.DUMMYFUNCTION("""COMPUTED_VALUE"""),"City of Candon")</f>
        <v>City of Candon</v>
      </c>
      <c r="H434" s="142" t="str">
        <f>IFERROR(__xludf.DUMMYFUNCTION("""COMPUTED_VALUE"""),"Caoayan")</f>
        <v>Caoayan</v>
      </c>
      <c r="I434" s="142" t="str">
        <f>IFERROR(__xludf.DUMMYFUNCTION("""COMPUTED_VALUE"""),"Cervantes")</f>
        <v>Cervantes</v>
      </c>
      <c r="J434" s="142" t="str">
        <f>IFERROR(__xludf.DUMMYFUNCTION("""COMPUTED_VALUE"""),"Galimuyod")</f>
        <v>Galimuyod</v>
      </c>
      <c r="K434" s="142" t="str">
        <f>IFERROR(__xludf.DUMMYFUNCTION("""COMPUTED_VALUE"""),"Gregorio del Pilar")</f>
        <v>Gregorio del Pilar</v>
      </c>
      <c r="L434" s="142" t="str">
        <f>IFERROR(__xludf.DUMMYFUNCTION("""COMPUTED_VALUE"""),"Lidlidda")</f>
        <v>Lidlidda</v>
      </c>
      <c r="M434" s="142" t="str">
        <f>IFERROR(__xludf.DUMMYFUNCTION("""COMPUTED_VALUE"""),"Magsingal")</f>
        <v>Magsingal</v>
      </c>
      <c r="N434" s="142" t="str">
        <f>IFERROR(__xludf.DUMMYFUNCTION("""COMPUTED_VALUE"""),"Nagbukel")</f>
        <v>Nagbukel</v>
      </c>
      <c r="O434" s="142" t="str">
        <f>IFERROR(__xludf.DUMMYFUNCTION("""COMPUTED_VALUE"""),"Narvacan")</f>
        <v>Narvacan</v>
      </c>
      <c r="P434" s="142" t="str">
        <f>IFERROR(__xludf.DUMMYFUNCTION("""COMPUTED_VALUE"""),"Quirino")</f>
        <v>Quirino</v>
      </c>
      <c r="Q434" s="142" t="str">
        <f>IFERROR(__xludf.DUMMYFUNCTION("""COMPUTED_VALUE"""),"Salcedo")</f>
        <v>Salcedo</v>
      </c>
      <c r="R434" s="142" t="str">
        <f>IFERROR(__xludf.DUMMYFUNCTION("""COMPUTED_VALUE"""),"San Emilio")</f>
        <v>San Emilio</v>
      </c>
      <c r="S434" s="142" t="str">
        <f>IFERROR(__xludf.DUMMYFUNCTION("""COMPUTED_VALUE"""),"San Esteban")</f>
        <v>San Esteban</v>
      </c>
      <c r="T434" s="142" t="str">
        <f>IFERROR(__xludf.DUMMYFUNCTION("""COMPUTED_VALUE"""),"San Ildefonso")</f>
        <v>San Ildefonso</v>
      </c>
      <c r="U434" s="142" t="str">
        <f>IFERROR(__xludf.DUMMYFUNCTION("""COMPUTED_VALUE"""),"San Juan")</f>
        <v>San Juan</v>
      </c>
      <c r="V434" s="142" t="str">
        <f>IFERROR(__xludf.DUMMYFUNCTION("""COMPUTED_VALUE"""),"San Vicente")</f>
        <v>San Vicente</v>
      </c>
      <c r="W434" s="142" t="str">
        <f>IFERROR(__xludf.DUMMYFUNCTION("""COMPUTED_VALUE"""),"Santa")</f>
        <v>Santa</v>
      </c>
      <c r="X434" s="142" t="str">
        <f>IFERROR(__xludf.DUMMYFUNCTION("""COMPUTED_VALUE"""),"Santa Catalina")</f>
        <v>Santa Catalina</v>
      </c>
      <c r="Y434" s="142" t="str">
        <f>IFERROR(__xludf.DUMMYFUNCTION("""COMPUTED_VALUE"""),"Santa Cruz")</f>
        <v>Santa Cruz</v>
      </c>
      <c r="Z434" s="142" t="str">
        <f>IFERROR(__xludf.DUMMYFUNCTION("""COMPUTED_VALUE"""),"Santa Lucia")</f>
        <v>Santa Lucia</v>
      </c>
      <c r="AA434" s="142" t="str">
        <f>IFERROR(__xludf.DUMMYFUNCTION("""COMPUTED_VALUE"""),"Santa Maria")</f>
        <v>Santa Maria</v>
      </c>
      <c r="AB434" s="142" t="str">
        <f>IFERROR(__xludf.DUMMYFUNCTION("""COMPUTED_VALUE"""),"Santiago")</f>
        <v>Santiago</v>
      </c>
      <c r="AC434" s="142" t="str">
        <f>IFERROR(__xludf.DUMMYFUNCTION("""COMPUTED_VALUE"""),"Santo Domingo")</f>
        <v>Santo Domingo</v>
      </c>
      <c r="AD434" s="142" t="str">
        <f>IFERROR(__xludf.DUMMYFUNCTION("""COMPUTED_VALUE"""),"Sigay")</f>
        <v>Sigay</v>
      </c>
      <c r="AE434" s="142" t="str">
        <f>IFERROR(__xludf.DUMMYFUNCTION("""COMPUTED_VALUE"""),"Sinait")</f>
        <v>Sinait</v>
      </c>
      <c r="AF434" s="142" t="str">
        <f>IFERROR(__xludf.DUMMYFUNCTION("""COMPUTED_VALUE"""),"Sugpon")</f>
        <v>Sugpon</v>
      </c>
      <c r="AG434" s="142" t="str">
        <f>IFERROR(__xludf.DUMMYFUNCTION("""COMPUTED_VALUE"""),"Suyo")</f>
        <v>Suyo</v>
      </c>
      <c r="AH434" s="142" t="str">
        <f>IFERROR(__xludf.DUMMYFUNCTION("""COMPUTED_VALUE"""),"Tagudin")</f>
        <v>Tagudin</v>
      </c>
      <c r="AI434" s="142" t="str">
        <f>IFERROR(__xludf.DUMMYFUNCTION("""COMPUTED_VALUE"""),"City of Vigan")</f>
        <v>City of Vigan</v>
      </c>
      <c r="AJ434" s="8"/>
      <c r="AK434" s="8"/>
      <c r="AL434" s="8"/>
      <c r="AM434" s="8"/>
      <c r="AN434" s="8"/>
      <c r="AO434" s="8"/>
      <c r="AP434" s="8"/>
      <c r="AQ434" s="8"/>
      <c r="AR434" s="8"/>
      <c r="AS434" s="8"/>
      <c r="AT434" s="8"/>
      <c r="AU434" s="8"/>
      <c r="AV434" s="8"/>
      <c r="AW434" s="8"/>
      <c r="AX434" s="8"/>
      <c r="AY434" s="8"/>
      <c r="AZ434" s="8"/>
      <c r="BA434" s="8"/>
      <c r="BB434" s="8"/>
      <c r="BC434" s="8"/>
      <c r="BD434" s="8"/>
      <c r="BE434" s="8"/>
    </row>
    <row r="435">
      <c r="A435" s="142" t="s">
        <v>404</v>
      </c>
      <c r="B435" s="142" t="str">
        <f>IFERROR(__xludf.DUMMYFUNCTION("""COMPUTED_VALUE"""),"Alilem")</f>
        <v>Alilem</v>
      </c>
      <c r="C435" s="142" t="str">
        <f>IFERROR(__xludf.DUMMYFUNCTION("""COMPUTED_VALUE"""),"Banayoyo")</f>
        <v>Banayoyo</v>
      </c>
      <c r="D435" s="142" t="str">
        <f>IFERROR(__xludf.DUMMYFUNCTION("""COMPUTED_VALUE"""),"Bantay")</f>
        <v>Bantay</v>
      </c>
      <c r="E435" s="142" t="str">
        <f>IFERROR(__xludf.DUMMYFUNCTION("""COMPUTED_VALUE"""),"Burgos")</f>
        <v>Burgos</v>
      </c>
      <c r="F435" s="142" t="str">
        <f>IFERROR(__xludf.DUMMYFUNCTION("""COMPUTED_VALUE"""),"Cabugao")</f>
        <v>Cabugao</v>
      </c>
      <c r="G435" s="142" t="str">
        <f>IFERROR(__xludf.DUMMYFUNCTION("""COMPUTED_VALUE"""),"City of Candon")</f>
        <v>City of Candon</v>
      </c>
      <c r="H435" s="142" t="str">
        <f>IFERROR(__xludf.DUMMYFUNCTION("""COMPUTED_VALUE"""),"Caoayan")</f>
        <v>Caoayan</v>
      </c>
      <c r="I435" s="142" t="str">
        <f>IFERROR(__xludf.DUMMYFUNCTION("""COMPUTED_VALUE"""),"Cervantes")</f>
        <v>Cervantes</v>
      </c>
      <c r="J435" s="142" t="str">
        <f>IFERROR(__xludf.DUMMYFUNCTION("""COMPUTED_VALUE"""),"Galimuyod")</f>
        <v>Galimuyod</v>
      </c>
      <c r="K435" s="142" t="str">
        <f>IFERROR(__xludf.DUMMYFUNCTION("""COMPUTED_VALUE"""),"Gregorio del Pilar")</f>
        <v>Gregorio del Pilar</v>
      </c>
      <c r="L435" s="142" t="str">
        <f>IFERROR(__xludf.DUMMYFUNCTION("""COMPUTED_VALUE"""),"Lidlidda")</f>
        <v>Lidlidda</v>
      </c>
      <c r="M435" s="142" t="str">
        <f>IFERROR(__xludf.DUMMYFUNCTION("""COMPUTED_VALUE"""),"Magsingal")</f>
        <v>Magsingal</v>
      </c>
      <c r="N435" s="142" t="str">
        <f>IFERROR(__xludf.DUMMYFUNCTION("""COMPUTED_VALUE"""),"Nagbukel")</f>
        <v>Nagbukel</v>
      </c>
      <c r="O435" s="142" t="str">
        <f>IFERROR(__xludf.DUMMYFUNCTION("""COMPUTED_VALUE"""),"Narvacan")</f>
        <v>Narvacan</v>
      </c>
      <c r="P435" s="142" t="str">
        <f>IFERROR(__xludf.DUMMYFUNCTION("""COMPUTED_VALUE"""),"Quirino")</f>
        <v>Quirino</v>
      </c>
      <c r="Q435" s="142" t="str">
        <f>IFERROR(__xludf.DUMMYFUNCTION("""COMPUTED_VALUE"""),"Salcedo")</f>
        <v>Salcedo</v>
      </c>
      <c r="R435" s="142" t="str">
        <f>IFERROR(__xludf.DUMMYFUNCTION("""COMPUTED_VALUE"""),"San Emilio")</f>
        <v>San Emilio</v>
      </c>
      <c r="S435" s="142" t="str">
        <f>IFERROR(__xludf.DUMMYFUNCTION("""COMPUTED_VALUE"""),"San Esteban")</f>
        <v>San Esteban</v>
      </c>
      <c r="T435" s="142" t="str">
        <f>IFERROR(__xludf.DUMMYFUNCTION("""COMPUTED_VALUE"""),"San Ildefonso")</f>
        <v>San Ildefonso</v>
      </c>
      <c r="U435" s="142" t="str">
        <f>IFERROR(__xludf.DUMMYFUNCTION("""COMPUTED_VALUE"""),"San Juan")</f>
        <v>San Juan</v>
      </c>
      <c r="V435" s="142" t="str">
        <f>IFERROR(__xludf.DUMMYFUNCTION("""COMPUTED_VALUE"""),"San Vicente")</f>
        <v>San Vicente</v>
      </c>
      <c r="W435" s="142" t="str">
        <f>IFERROR(__xludf.DUMMYFUNCTION("""COMPUTED_VALUE"""),"Santa")</f>
        <v>Santa</v>
      </c>
      <c r="X435" s="142" t="str">
        <f>IFERROR(__xludf.DUMMYFUNCTION("""COMPUTED_VALUE"""),"Santa Catalina")</f>
        <v>Santa Catalina</v>
      </c>
      <c r="Y435" s="142" t="str">
        <f>IFERROR(__xludf.DUMMYFUNCTION("""COMPUTED_VALUE"""),"Santa Cruz")</f>
        <v>Santa Cruz</v>
      </c>
      <c r="Z435" s="142" t="str">
        <f>IFERROR(__xludf.DUMMYFUNCTION("""COMPUTED_VALUE"""),"Santa Lucia")</f>
        <v>Santa Lucia</v>
      </c>
      <c r="AA435" s="142" t="str">
        <f>IFERROR(__xludf.DUMMYFUNCTION("""COMPUTED_VALUE"""),"Santa Maria")</f>
        <v>Santa Maria</v>
      </c>
      <c r="AB435" s="142" t="str">
        <f>IFERROR(__xludf.DUMMYFUNCTION("""COMPUTED_VALUE"""),"Santiago")</f>
        <v>Santiago</v>
      </c>
      <c r="AC435" s="142" t="str">
        <f>IFERROR(__xludf.DUMMYFUNCTION("""COMPUTED_VALUE"""),"Santo Domingo")</f>
        <v>Santo Domingo</v>
      </c>
      <c r="AD435" s="142" t="str">
        <f>IFERROR(__xludf.DUMMYFUNCTION("""COMPUTED_VALUE"""),"Sigay")</f>
        <v>Sigay</v>
      </c>
      <c r="AE435" s="142" t="str">
        <f>IFERROR(__xludf.DUMMYFUNCTION("""COMPUTED_VALUE"""),"Sinait")</f>
        <v>Sinait</v>
      </c>
      <c r="AF435" s="142" t="str">
        <f>IFERROR(__xludf.DUMMYFUNCTION("""COMPUTED_VALUE"""),"Sugpon")</f>
        <v>Sugpon</v>
      </c>
      <c r="AG435" s="142" t="str">
        <f>IFERROR(__xludf.DUMMYFUNCTION("""COMPUTED_VALUE"""),"Suyo")</f>
        <v>Suyo</v>
      </c>
      <c r="AH435" s="142" t="str">
        <f>IFERROR(__xludf.DUMMYFUNCTION("""COMPUTED_VALUE"""),"Tagudin")</f>
        <v>Tagudin</v>
      </c>
      <c r="AI435" s="142" t="str">
        <f>IFERROR(__xludf.DUMMYFUNCTION("""COMPUTED_VALUE"""),"City of Vigan")</f>
        <v>City of Vigan</v>
      </c>
      <c r="AJ435" s="8"/>
      <c r="AK435" s="8"/>
      <c r="AL435" s="8"/>
      <c r="AM435" s="8"/>
      <c r="AN435" s="8"/>
      <c r="AO435" s="8"/>
      <c r="AP435" s="8"/>
      <c r="AQ435" s="8"/>
      <c r="AR435" s="8"/>
      <c r="AS435" s="8"/>
      <c r="AT435" s="8"/>
      <c r="AU435" s="8"/>
      <c r="AV435" s="8"/>
      <c r="AW435" s="8"/>
      <c r="AX435" s="8"/>
      <c r="AY435" s="8"/>
      <c r="AZ435" s="8"/>
      <c r="BA435" s="8"/>
      <c r="BB435" s="8"/>
      <c r="BC435" s="8"/>
      <c r="BD435" s="8"/>
      <c r="BE435" s="8"/>
    </row>
    <row r="436">
      <c r="A436" s="142" t="s">
        <v>1283</v>
      </c>
      <c r="B436" s="142" t="str">
        <f>IFERROR(__xludf.DUMMYFUNCTION("""COMPUTED_VALUE"""),"Abucay")</f>
        <v>Abucay</v>
      </c>
      <c r="C436" s="142" t="str">
        <f>IFERROR(__xludf.DUMMYFUNCTION("""COMPUTED_VALUE"""),"Bagac")</f>
        <v>Bagac</v>
      </c>
      <c r="D436" s="142" t="str">
        <f>IFERROR(__xludf.DUMMYFUNCTION("""COMPUTED_VALUE"""),"City of Balanga")</f>
        <v>City of Balanga</v>
      </c>
      <c r="E436" s="142" t="str">
        <f>IFERROR(__xludf.DUMMYFUNCTION("""COMPUTED_VALUE"""),"Dinalupihan")</f>
        <v>Dinalupihan</v>
      </c>
      <c r="F436" s="142" t="str">
        <f>IFERROR(__xludf.DUMMYFUNCTION("""COMPUTED_VALUE"""),"Hermosa")</f>
        <v>Hermosa</v>
      </c>
      <c r="G436" s="142" t="str">
        <f>IFERROR(__xludf.DUMMYFUNCTION("""COMPUTED_VALUE"""),"Limay")</f>
        <v>Limay</v>
      </c>
      <c r="H436" s="142" t="str">
        <f>IFERROR(__xludf.DUMMYFUNCTION("""COMPUTED_VALUE"""),"Mariveles")</f>
        <v>Mariveles</v>
      </c>
      <c r="I436" s="142" t="str">
        <f>IFERROR(__xludf.DUMMYFUNCTION("""COMPUTED_VALUE"""),"Morong")</f>
        <v>Morong</v>
      </c>
      <c r="J436" s="142" t="str">
        <f>IFERROR(__xludf.DUMMYFUNCTION("""COMPUTED_VALUE"""),"Orani")</f>
        <v>Orani</v>
      </c>
      <c r="K436" s="142" t="str">
        <f>IFERROR(__xludf.DUMMYFUNCTION("""COMPUTED_VALUE"""),"Orion")</f>
        <v>Orion</v>
      </c>
      <c r="L436" s="142" t="str">
        <f>IFERROR(__xludf.DUMMYFUNCTION("""COMPUTED_VALUE"""),"Pilar")</f>
        <v>Pilar</v>
      </c>
      <c r="M436" s="142" t="str">
        <f>IFERROR(__xludf.DUMMYFUNCTION("""COMPUTED_VALUE"""),"Samal")</f>
        <v>Samal</v>
      </c>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row>
    <row r="437">
      <c r="A437" s="142" t="s">
        <v>1283</v>
      </c>
      <c r="B437" s="142" t="str">
        <f>IFERROR(__xludf.DUMMYFUNCTION("""COMPUTED_VALUE"""),"Abucay")</f>
        <v>Abucay</v>
      </c>
      <c r="C437" s="142" t="str">
        <f>IFERROR(__xludf.DUMMYFUNCTION("""COMPUTED_VALUE"""),"Bagac")</f>
        <v>Bagac</v>
      </c>
      <c r="D437" s="142" t="str">
        <f>IFERROR(__xludf.DUMMYFUNCTION("""COMPUTED_VALUE"""),"City of Balanga")</f>
        <v>City of Balanga</v>
      </c>
      <c r="E437" s="142" t="str">
        <f>IFERROR(__xludf.DUMMYFUNCTION("""COMPUTED_VALUE"""),"Dinalupihan")</f>
        <v>Dinalupihan</v>
      </c>
      <c r="F437" s="142" t="str">
        <f>IFERROR(__xludf.DUMMYFUNCTION("""COMPUTED_VALUE"""),"Hermosa")</f>
        <v>Hermosa</v>
      </c>
      <c r="G437" s="142" t="str">
        <f>IFERROR(__xludf.DUMMYFUNCTION("""COMPUTED_VALUE"""),"Limay")</f>
        <v>Limay</v>
      </c>
      <c r="H437" s="142" t="str">
        <f>IFERROR(__xludf.DUMMYFUNCTION("""COMPUTED_VALUE"""),"Mariveles")</f>
        <v>Mariveles</v>
      </c>
      <c r="I437" s="142" t="str">
        <f>IFERROR(__xludf.DUMMYFUNCTION("""COMPUTED_VALUE"""),"Morong")</f>
        <v>Morong</v>
      </c>
      <c r="J437" s="142" t="str">
        <f>IFERROR(__xludf.DUMMYFUNCTION("""COMPUTED_VALUE"""),"Orani")</f>
        <v>Orani</v>
      </c>
      <c r="K437" s="142" t="str">
        <f>IFERROR(__xludf.DUMMYFUNCTION("""COMPUTED_VALUE"""),"Orion")</f>
        <v>Orion</v>
      </c>
      <c r="L437" s="142" t="str">
        <f>IFERROR(__xludf.DUMMYFUNCTION("""COMPUTED_VALUE"""),"Pilar")</f>
        <v>Pilar</v>
      </c>
      <c r="M437" s="142" t="str">
        <f>IFERROR(__xludf.DUMMYFUNCTION("""COMPUTED_VALUE"""),"Samal")</f>
        <v>Samal</v>
      </c>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row>
    <row r="438">
      <c r="A438" s="142" t="s">
        <v>1283</v>
      </c>
      <c r="B438" s="142" t="str">
        <f>IFERROR(__xludf.DUMMYFUNCTION("""COMPUTED_VALUE"""),"Abucay")</f>
        <v>Abucay</v>
      </c>
      <c r="C438" s="142" t="str">
        <f>IFERROR(__xludf.DUMMYFUNCTION("""COMPUTED_VALUE"""),"Bagac")</f>
        <v>Bagac</v>
      </c>
      <c r="D438" s="142" t="str">
        <f>IFERROR(__xludf.DUMMYFUNCTION("""COMPUTED_VALUE"""),"City of Balanga")</f>
        <v>City of Balanga</v>
      </c>
      <c r="E438" s="142" t="str">
        <f>IFERROR(__xludf.DUMMYFUNCTION("""COMPUTED_VALUE"""),"Dinalupihan")</f>
        <v>Dinalupihan</v>
      </c>
      <c r="F438" s="142" t="str">
        <f>IFERROR(__xludf.DUMMYFUNCTION("""COMPUTED_VALUE"""),"Hermosa")</f>
        <v>Hermosa</v>
      </c>
      <c r="G438" s="142" t="str">
        <f>IFERROR(__xludf.DUMMYFUNCTION("""COMPUTED_VALUE"""),"Limay")</f>
        <v>Limay</v>
      </c>
      <c r="H438" s="142" t="str">
        <f>IFERROR(__xludf.DUMMYFUNCTION("""COMPUTED_VALUE"""),"Mariveles")</f>
        <v>Mariveles</v>
      </c>
      <c r="I438" s="142" t="str">
        <f>IFERROR(__xludf.DUMMYFUNCTION("""COMPUTED_VALUE"""),"Morong")</f>
        <v>Morong</v>
      </c>
      <c r="J438" s="142" t="str">
        <f>IFERROR(__xludf.DUMMYFUNCTION("""COMPUTED_VALUE"""),"Orani")</f>
        <v>Orani</v>
      </c>
      <c r="K438" s="142" t="str">
        <f>IFERROR(__xludf.DUMMYFUNCTION("""COMPUTED_VALUE"""),"Orion")</f>
        <v>Orion</v>
      </c>
      <c r="L438" s="142" t="str">
        <f>IFERROR(__xludf.DUMMYFUNCTION("""COMPUTED_VALUE"""),"Pilar")</f>
        <v>Pilar</v>
      </c>
      <c r="M438" s="142" t="str">
        <f>IFERROR(__xludf.DUMMYFUNCTION("""COMPUTED_VALUE"""),"Samal")</f>
        <v>Samal</v>
      </c>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row>
    <row r="439">
      <c r="A439" s="142" t="s">
        <v>294</v>
      </c>
      <c r="B439" s="142" t="str">
        <f>IFERROR(__xludf.DUMMYFUNCTION("""COMPUTED_VALUE"""),"Botolan")</f>
        <v>Botolan</v>
      </c>
      <c r="C439" s="142" t="str">
        <f>IFERROR(__xludf.DUMMYFUNCTION("""COMPUTED_VALUE"""),"Cabangan")</f>
        <v>Cabangan</v>
      </c>
      <c r="D439" s="142" t="str">
        <f>IFERROR(__xludf.DUMMYFUNCTION("""COMPUTED_VALUE"""),"Candelaria")</f>
        <v>Candelaria</v>
      </c>
      <c r="E439" s="142" t="str">
        <f>IFERROR(__xludf.DUMMYFUNCTION("""COMPUTED_VALUE"""),"Castillejos")</f>
        <v>Castillejos</v>
      </c>
      <c r="F439" s="142" t="str">
        <f>IFERROR(__xludf.DUMMYFUNCTION("""COMPUTED_VALUE"""),"Iba")</f>
        <v>Iba</v>
      </c>
      <c r="G439" s="142" t="str">
        <f>IFERROR(__xludf.DUMMYFUNCTION("""COMPUTED_VALUE"""),"Masinloc")</f>
        <v>Masinloc</v>
      </c>
      <c r="H439" s="142" t="str">
        <f>IFERROR(__xludf.DUMMYFUNCTION("""COMPUTED_VALUE"""),"City of Olongapo")</f>
        <v>City of Olongapo</v>
      </c>
      <c r="I439" s="142" t="str">
        <f>IFERROR(__xludf.DUMMYFUNCTION("""COMPUTED_VALUE"""),"Palauig")</f>
        <v>Palauig</v>
      </c>
      <c r="J439" s="142" t="str">
        <f>IFERROR(__xludf.DUMMYFUNCTION("""COMPUTED_VALUE"""),"San Antonio")</f>
        <v>San Antonio</v>
      </c>
      <c r="K439" s="142" t="str">
        <f>IFERROR(__xludf.DUMMYFUNCTION("""COMPUTED_VALUE"""),"San Felipe")</f>
        <v>San Felipe</v>
      </c>
      <c r="L439" s="142" t="str">
        <f>IFERROR(__xludf.DUMMYFUNCTION("""COMPUTED_VALUE"""),"San Marcelino")</f>
        <v>San Marcelino</v>
      </c>
      <c r="M439" s="142" t="str">
        <f>IFERROR(__xludf.DUMMYFUNCTION("""COMPUTED_VALUE"""),"San Narciso")</f>
        <v>San Narciso</v>
      </c>
      <c r="N439" s="142" t="str">
        <f>IFERROR(__xludf.DUMMYFUNCTION("""COMPUTED_VALUE"""),"Santa Cruz")</f>
        <v>Santa Cruz</v>
      </c>
      <c r="O439" s="142" t="str">
        <f>IFERROR(__xludf.DUMMYFUNCTION("""COMPUTED_VALUE"""),"Subic")</f>
        <v>Subic</v>
      </c>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row>
    <row r="440">
      <c r="A440" s="142" t="s">
        <v>258</v>
      </c>
      <c r="B440" s="142" t="str">
        <f>IFERROR(__xludf.DUMMYFUNCTION("""COMPUTED_VALUE"""),"Agoncillo")</f>
        <v>Agoncillo</v>
      </c>
      <c r="C440" s="142" t="str">
        <f>IFERROR(__xludf.DUMMYFUNCTION("""COMPUTED_VALUE"""),"Alitagtag")</f>
        <v>Alitagtag</v>
      </c>
      <c r="D440" s="142" t="str">
        <f>IFERROR(__xludf.DUMMYFUNCTION("""COMPUTED_VALUE"""),"Balayan")</f>
        <v>Balayan</v>
      </c>
      <c r="E440" s="142" t="str">
        <f>IFERROR(__xludf.DUMMYFUNCTION("""COMPUTED_VALUE"""),"Balete")</f>
        <v>Balete</v>
      </c>
      <c r="F440" s="142" t="str">
        <f>IFERROR(__xludf.DUMMYFUNCTION("""COMPUTED_VALUE"""),"Batangas City")</f>
        <v>Batangas City</v>
      </c>
      <c r="G440" s="142" t="str">
        <f>IFERROR(__xludf.DUMMYFUNCTION("""COMPUTED_VALUE"""),"Bauan")</f>
        <v>Bauan</v>
      </c>
      <c r="H440" s="142" t="str">
        <f>IFERROR(__xludf.DUMMYFUNCTION("""COMPUTED_VALUE"""),"City of Calaca")</f>
        <v>City of Calaca</v>
      </c>
      <c r="I440" s="142" t="str">
        <f>IFERROR(__xludf.DUMMYFUNCTION("""COMPUTED_VALUE"""),"Calatagan")</f>
        <v>Calatagan</v>
      </c>
      <c r="J440" s="142" t="str">
        <f>IFERROR(__xludf.DUMMYFUNCTION("""COMPUTED_VALUE"""),"Cuenca")</f>
        <v>Cuenca</v>
      </c>
      <c r="K440" s="142" t="str">
        <f>IFERROR(__xludf.DUMMYFUNCTION("""COMPUTED_VALUE"""),"Ibaan")</f>
        <v>Ibaan</v>
      </c>
      <c r="L440" s="142" t="str">
        <f>IFERROR(__xludf.DUMMYFUNCTION("""COMPUTED_VALUE"""),"Laurel")</f>
        <v>Laurel</v>
      </c>
      <c r="M440" s="142" t="str">
        <f>IFERROR(__xludf.DUMMYFUNCTION("""COMPUTED_VALUE"""),"Lemery")</f>
        <v>Lemery</v>
      </c>
      <c r="N440" s="142" t="str">
        <f>IFERROR(__xludf.DUMMYFUNCTION("""COMPUTED_VALUE"""),"Lian")</f>
        <v>Lian</v>
      </c>
      <c r="O440" s="142" t="str">
        <f>IFERROR(__xludf.DUMMYFUNCTION("""COMPUTED_VALUE"""),"City of Lipa")</f>
        <v>City of Lipa</v>
      </c>
      <c r="P440" s="142" t="str">
        <f>IFERROR(__xludf.DUMMYFUNCTION("""COMPUTED_VALUE"""),"Lobo")</f>
        <v>Lobo</v>
      </c>
      <c r="Q440" s="142" t="str">
        <f>IFERROR(__xludf.DUMMYFUNCTION("""COMPUTED_VALUE"""),"Mabini")</f>
        <v>Mabini</v>
      </c>
      <c r="R440" s="142" t="str">
        <f>IFERROR(__xludf.DUMMYFUNCTION("""COMPUTED_VALUE"""),"Malvar")</f>
        <v>Malvar</v>
      </c>
      <c r="S440" s="142" t="str">
        <f>IFERROR(__xludf.DUMMYFUNCTION("""COMPUTED_VALUE"""),"Mataasnakahoy")</f>
        <v>Mataasnakahoy</v>
      </c>
      <c r="T440" s="142" t="str">
        <f>IFERROR(__xludf.DUMMYFUNCTION("""COMPUTED_VALUE"""),"Nasugbu")</f>
        <v>Nasugbu</v>
      </c>
      <c r="U440" s="142" t="str">
        <f>IFERROR(__xludf.DUMMYFUNCTION("""COMPUTED_VALUE"""),"Padre Garcia")</f>
        <v>Padre Garcia</v>
      </c>
      <c r="V440" s="142" t="str">
        <f>IFERROR(__xludf.DUMMYFUNCTION("""COMPUTED_VALUE"""),"Rosario")</f>
        <v>Rosario</v>
      </c>
      <c r="W440" s="142" t="str">
        <f>IFERROR(__xludf.DUMMYFUNCTION("""COMPUTED_VALUE"""),"San Jose")</f>
        <v>San Jose</v>
      </c>
      <c r="X440" s="142" t="str">
        <f>IFERROR(__xludf.DUMMYFUNCTION("""COMPUTED_VALUE"""),"San Juan")</f>
        <v>San Juan</v>
      </c>
      <c r="Y440" s="142" t="str">
        <f>IFERROR(__xludf.DUMMYFUNCTION("""COMPUTED_VALUE"""),"San Luis")</f>
        <v>San Luis</v>
      </c>
      <c r="Z440" s="142" t="str">
        <f>IFERROR(__xludf.DUMMYFUNCTION("""COMPUTED_VALUE"""),"San Nicolas")</f>
        <v>San Nicolas</v>
      </c>
      <c r="AA440" s="142" t="str">
        <f>IFERROR(__xludf.DUMMYFUNCTION("""COMPUTED_VALUE"""),"San Pascual")</f>
        <v>San Pascual</v>
      </c>
      <c r="AB440" s="142" t="str">
        <f>IFERROR(__xludf.DUMMYFUNCTION("""COMPUTED_VALUE"""),"Santa Teresita")</f>
        <v>Santa Teresita</v>
      </c>
      <c r="AC440" s="142" t="str">
        <f>IFERROR(__xludf.DUMMYFUNCTION("""COMPUTED_VALUE"""),"City of Sto. Tomas")</f>
        <v>City of Sto. Tomas</v>
      </c>
      <c r="AD440" s="142" t="str">
        <f>IFERROR(__xludf.DUMMYFUNCTION("""COMPUTED_VALUE"""),"Taal")</f>
        <v>Taal</v>
      </c>
      <c r="AE440" s="142" t="str">
        <f>IFERROR(__xludf.DUMMYFUNCTION("""COMPUTED_VALUE"""),"Talisay")</f>
        <v>Talisay</v>
      </c>
      <c r="AF440" s="142" t="str">
        <f>IFERROR(__xludf.DUMMYFUNCTION("""COMPUTED_VALUE"""),"City of Tanauan")</f>
        <v>City of Tanauan</v>
      </c>
      <c r="AG440" s="142" t="str">
        <f>IFERROR(__xludf.DUMMYFUNCTION("""COMPUTED_VALUE"""),"Taysan")</f>
        <v>Taysan</v>
      </c>
      <c r="AH440" s="142" t="str">
        <f>IFERROR(__xludf.DUMMYFUNCTION("""COMPUTED_VALUE"""),"Tingloy")</f>
        <v>Tingloy</v>
      </c>
      <c r="AI440" s="142" t="str">
        <f>IFERROR(__xludf.DUMMYFUNCTION("""COMPUTED_VALUE"""),"Tuy")</f>
        <v>Tuy</v>
      </c>
      <c r="AJ440" s="8"/>
      <c r="AK440" s="8"/>
      <c r="AL440" s="8"/>
      <c r="AM440" s="8"/>
      <c r="AN440" s="8"/>
      <c r="AO440" s="8"/>
      <c r="AP440" s="8"/>
      <c r="AQ440" s="8"/>
      <c r="AR440" s="8"/>
      <c r="AS440" s="8"/>
      <c r="AT440" s="8"/>
      <c r="AU440" s="8"/>
      <c r="AV440" s="8"/>
      <c r="AW440" s="8"/>
      <c r="AX440" s="8"/>
      <c r="AY440" s="8"/>
      <c r="AZ440" s="8"/>
      <c r="BA440" s="8"/>
      <c r="BB440" s="8"/>
      <c r="BC440" s="8"/>
      <c r="BD440" s="8"/>
      <c r="BE440" s="8"/>
    </row>
    <row r="441">
      <c r="A441" s="142" t="s">
        <v>1089</v>
      </c>
      <c r="B441" s="142" t="str">
        <f>IFERROR(__xludf.DUMMYFUNCTION("""COMPUTED_VALUE"""),"Baao")</f>
        <v>Baao</v>
      </c>
      <c r="C441" s="142" t="str">
        <f>IFERROR(__xludf.DUMMYFUNCTION("""COMPUTED_VALUE"""),"Balatan")</f>
        <v>Balatan</v>
      </c>
      <c r="D441" s="142" t="str">
        <f>IFERROR(__xludf.DUMMYFUNCTION("""COMPUTED_VALUE"""),"Bato")</f>
        <v>Bato</v>
      </c>
      <c r="E441" s="142" t="str">
        <f>IFERROR(__xludf.DUMMYFUNCTION("""COMPUTED_VALUE"""),"Bombon")</f>
        <v>Bombon</v>
      </c>
      <c r="F441" s="142" t="str">
        <f>IFERROR(__xludf.DUMMYFUNCTION("""COMPUTED_VALUE"""),"Buhi")</f>
        <v>Buhi</v>
      </c>
      <c r="G441" s="142" t="str">
        <f>IFERROR(__xludf.DUMMYFUNCTION("""COMPUTED_VALUE"""),"Bula")</f>
        <v>Bula</v>
      </c>
      <c r="H441" s="142" t="str">
        <f>IFERROR(__xludf.DUMMYFUNCTION("""COMPUTED_VALUE"""),"Cabusao")</f>
        <v>Cabusao</v>
      </c>
      <c r="I441" s="142" t="str">
        <f>IFERROR(__xludf.DUMMYFUNCTION("""COMPUTED_VALUE"""),"Calabanga")</f>
        <v>Calabanga</v>
      </c>
      <c r="J441" s="142" t="str">
        <f>IFERROR(__xludf.DUMMYFUNCTION("""COMPUTED_VALUE"""),"Camaligan")</f>
        <v>Camaligan</v>
      </c>
      <c r="K441" s="142" t="str">
        <f>IFERROR(__xludf.DUMMYFUNCTION("""COMPUTED_VALUE"""),"Canaman")</f>
        <v>Canaman</v>
      </c>
      <c r="L441" s="142" t="str">
        <f>IFERROR(__xludf.DUMMYFUNCTION("""COMPUTED_VALUE"""),"Caramoan")</f>
        <v>Caramoan</v>
      </c>
      <c r="M441" s="142" t="str">
        <f>IFERROR(__xludf.DUMMYFUNCTION("""COMPUTED_VALUE"""),"Del Gallego")</f>
        <v>Del Gallego</v>
      </c>
      <c r="N441" s="142" t="str">
        <f>IFERROR(__xludf.DUMMYFUNCTION("""COMPUTED_VALUE"""),"Gainza")</f>
        <v>Gainza</v>
      </c>
      <c r="O441" s="142" t="str">
        <f>IFERROR(__xludf.DUMMYFUNCTION("""COMPUTED_VALUE"""),"Garchitorena")</f>
        <v>Garchitorena</v>
      </c>
      <c r="P441" s="142" t="str">
        <f>IFERROR(__xludf.DUMMYFUNCTION("""COMPUTED_VALUE"""),"Goa")</f>
        <v>Goa</v>
      </c>
      <c r="Q441" s="142" t="str">
        <f>IFERROR(__xludf.DUMMYFUNCTION("""COMPUTED_VALUE"""),"City of Iriga")</f>
        <v>City of Iriga</v>
      </c>
      <c r="R441" s="142" t="str">
        <f>IFERROR(__xludf.DUMMYFUNCTION("""COMPUTED_VALUE"""),"Lagonoy")</f>
        <v>Lagonoy</v>
      </c>
      <c r="S441" s="142" t="str">
        <f>IFERROR(__xludf.DUMMYFUNCTION("""COMPUTED_VALUE"""),"Libmanan")</f>
        <v>Libmanan</v>
      </c>
      <c r="T441" s="142" t="str">
        <f>IFERROR(__xludf.DUMMYFUNCTION("""COMPUTED_VALUE"""),"Lupi")</f>
        <v>Lupi</v>
      </c>
      <c r="U441" s="142" t="str">
        <f>IFERROR(__xludf.DUMMYFUNCTION("""COMPUTED_VALUE"""),"Magarao")</f>
        <v>Magarao</v>
      </c>
      <c r="V441" s="142" t="str">
        <f>IFERROR(__xludf.DUMMYFUNCTION("""COMPUTED_VALUE"""),"Milaor")</f>
        <v>Milaor</v>
      </c>
      <c r="W441" s="142" t="str">
        <f>IFERROR(__xludf.DUMMYFUNCTION("""COMPUTED_VALUE"""),"Minalabac")</f>
        <v>Minalabac</v>
      </c>
      <c r="X441" s="142" t="str">
        <f>IFERROR(__xludf.DUMMYFUNCTION("""COMPUTED_VALUE"""),"Nabua")</f>
        <v>Nabua</v>
      </c>
      <c r="Y441" s="142" t="str">
        <f>IFERROR(__xludf.DUMMYFUNCTION("""COMPUTED_VALUE"""),"City of Naga")</f>
        <v>City of Naga</v>
      </c>
      <c r="Z441" s="142" t="str">
        <f>IFERROR(__xludf.DUMMYFUNCTION("""COMPUTED_VALUE"""),"Ocampo")</f>
        <v>Ocampo</v>
      </c>
      <c r="AA441" s="142" t="str">
        <f>IFERROR(__xludf.DUMMYFUNCTION("""COMPUTED_VALUE"""),"Pamplona")</f>
        <v>Pamplona</v>
      </c>
      <c r="AB441" s="142" t="str">
        <f>IFERROR(__xludf.DUMMYFUNCTION("""COMPUTED_VALUE"""),"Pasacao")</f>
        <v>Pasacao</v>
      </c>
      <c r="AC441" s="142" t="str">
        <f>IFERROR(__xludf.DUMMYFUNCTION("""COMPUTED_VALUE"""),"Pili")</f>
        <v>Pili</v>
      </c>
      <c r="AD441" s="142" t="str">
        <f>IFERROR(__xludf.DUMMYFUNCTION("""COMPUTED_VALUE"""),"Presentacion")</f>
        <v>Presentacion</v>
      </c>
      <c r="AE441" s="142" t="str">
        <f>IFERROR(__xludf.DUMMYFUNCTION("""COMPUTED_VALUE"""),"Ragay")</f>
        <v>Ragay</v>
      </c>
      <c r="AF441" s="142" t="str">
        <f>IFERROR(__xludf.DUMMYFUNCTION("""COMPUTED_VALUE"""),"Sagñay")</f>
        <v>Sagñay</v>
      </c>
      <c r="AG441" s="142" t="str">
        <f>IFERROR(__xludf.DUMMYFUNCTION("""COMPUTED_VALUE"""),"San Fernando")</f>
        <v>San Fernando</v>
      </c>
      <c r="AH441" s="142" t="str">
        <f>IFERROR(__xludf.DUMMYFUNCTION("""COMPUTED_VALUE"""),"San Jose")</f>
        <v>San Jose</v>
      </c>
      <c r="AI441" s="142" t="str">
        <f>IFERROR(__xludf.DUMMYFUNCTION("""COMPUTED_VALUE"""),"Sipocot")</f>
        <v>Sipocot</v>
      </c>
      <c r="AJ441" s="142" t="str">
        <f>IFERROR(__xludf.DUMMYFUNCTION("""COMPUTED_VALUE"""),"Siruma")</f>
        <v>Siruma</v>
      </c>
      <c r="AK441" s="142" t="str">
        <f>IFERROR(__xludf.DUMMYFUNCTION("""COMPUTED_VALUE"""),"Tigaon")</f>
        <v>Tigaon</v>
      </c>
      <c r="AL441" s="142" t="str">
        <f>IFERROR(__xludf.DUMMYFUNCTION("""COMPUTED_VALUE"""),"Tinambac")</f>
        <v>Tinambac</v>
      </c>
      <c r="AM441" s="8"/>
      <c r="AN441" s="8"/>
      <c r="AO441" s="8"/>
      <c r="AP441" s="8"/>
      <c r="AQ441" s="8"/>
      <c r="AR441" s="8"/>
      <c r="AS441" s="8"/>
      <c r="AT441" s="8"/>
      <c r="AU441" s="8"/>
      <c r="AV441" s="8"/>
      <c r="AW441" s="8"/>
      <c r="AX441" s="8"/>
      <c r="AY441" s="8"/>
      <c r="AZ441" s="8"/>
      <c r="BA441" s="8"/>
      <c r="BB441" s="8"/>
      <c r="BC441" s="8"/>
      <c r="BD441" s="8"/>
      <c r="BE441" s="8"/>
    </row>
    <row r="442">
      <c r="A442" s="142" t="s">
        <v>315</v>
      </c>
      <c r="B442" s="142" t="str">
        <f>IFERROR(__xludf.DUMMYFUNCTION("""COMPUTED_VALUE"""),"Altavas")</f>
        <v>Altavas</v>
      </c>
      <c r="C442" s="142" t="str">
        <f>IFERROR(__xludf.DUMMYFUNCTION("""COMPUTED_VALUE"""),"Balete")</f>
        <v>Balete</v>
      </c>
      <c r="D442" s="142" t="str">
        <f>IFERROR(__xludf.DUMMYFUNCTION("""COMPUTED_VALUE"""),"Banga")</f>
        <v>Banga</v>
      </c>
      <c r="E442" s="142" t="str">
        <f>IFERROR(__xludf.DUMMYFUNCTION("""COMPUTED_VALUE"""),"Batan")</f>
        <v>Batan</v>
      </c>
      <c r="F442" s="142" t="str">
        <f>IFERROR(__xludf.DUMMYFUNCTION("""COMPUTED_VALUE"""),"Buruanga")</f>
        <v>Buruanga</v>
      </c>
      <c r="G442" s="142" t="str">
        <f>IFERROR(__xludf.DUMMYFUNCTION("""COMPUTED_VALUE"""),"Ibajay")</f>
        <v>Ibajay</v>
      </c>
      <c r="H442" s="142" t="str">
        <f>IFERROR(__xludf.DUMMYFUNCTION("""COMPUTED_VALUE"""),"Kalibo")</f>
        <v>Kalibo</v>
      </c>
      <c r="I442" s="142" t="str">
        <f>IFERROR(__xludf.DUMMYFUNCTION("""COMPUTED_VALUE"""),"Lezo")</f>
        <v>Lezo</v>
      </c>
      <c r="J442" s="142" t="str">
        <f>IFERROR(__xludf.DUMMYFUNCTION("""COMPUTED_VALUE"""),"Libacao")</f>
        <v>Libacao</v>
      </c>
      <c r="K442" s="142" t="str">
        <f>IFERROR(__xludf.DUMMYFUNCTION("""COMPUTED_VALUE"""),"Madalag")</f>
        <v>Madalag</v>
      </c>
      <c r="L442" s="142" t="str">
        <f>IFERROR(__xludf.DUMMYFUNCTION("""COMPUTED_VALUE"""),"Makato")</f>
        <v>Makato</v>
      </c>
      <c r="M442" s="142" t="str">
        <f>IFERROR(__xludf.DUMMYFUNCTION("""COMPUTED_VALUE"""),"Malay")</f>
        <v>Malay</v>
      </c>
      <c r="N442" s="142" t="str">
        <f>IFERROR(__xludf.DUMMYFUNCTION("""COMPUTED_VALUE"""),"Malinao")</f>
        <v>Malinao</v>
      </c>
      <c r="O442" s="142" t="str">
        <f>IFERROR(__xludf.DUMMYFUNCTION("""COMPUTED_VALUE"""),"Nabas")</f>
        <v>Nabas</v>
      </c>
      <c r="P442" s="142" t="str">
        <f>IFERROR(__xludf.DUMMYFUNCTION("""COMPUTED_VALUE"""),"New Washington")</f>
        <v>New Washington</v>
      </c>
      <c r="Q442" s="142" t="str">
        <f>IFERROR(__xludf.DUMMYFUNCTION("""COMPUTED_VALUE"""),"Numancia")</f>
        <v>Numancia</v>
      </c>
      <c r="R442" s="142" t="str">
        <f>IFERROR(__xludf.DUMMYFUNCTION("""COMPUTED_VALUE"""),"Tangalan")</f>
        <v>Tangalan</v>
      </c>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row>
    <row r="443">
      <c r="A443" s="142" t="s">
        <v>315</v>
      </c>
      <c r="B443" s="142" t="str">
        <f>IFERROR(__xludf.DUMMYFUNCTION("""COMPUTED_VALUE"""),"Altavas")</f>
        <v>Altavas</v>
      </c>
      <c r="C443" s="142" t="str">
        <f>IFERROR(__xludf.DUMMYFUNCTION("""COMPUTED_VALUE"""),"Balete")</f>
        <v>Balete</v>
      </c>
      <c r="D443" s="142" t="str">
        <f>IFERROR(__xludf.DUMMYFUNCTION("""COMPUTED_VALUE"""),"Banga")</f>
        <v>Banga</v>
      </c>
      <c r="E443" s="142" t="str">
        <f>IFERROR(__xludf.DUMMYFUNCTION("""COMPUTED_VALUE"""),"Batan")</f>
        <v>Batan</v>
      </c>
      <c r="F443" s="142" t="str">
        <f>IFERROR(__xludf.DUMMYFUNCTION("""COMPUTED_VALUE"""),"Buruanga")</f>
        <v>Buruanga</v>
      </c>
      <c r="G443" s="142" t="str">
        <f>IFERROR(__xludf.DUMMYFUNCTION("""COMPUTED_VALUE"""),"Ibajay")</f>
        <v>Ibajay</v>
      </c>
      <c r="H443" s="142" t="str">
        <f>IFERROR(__xludf.DUMMYFUNCTION("""COMPUTED_VALUE"""),"Kalibo")</f>
        <v>Kalibo</v>
      </c>
      <c r="I443" s="142" t="str">
        <f>IFERROR(__xludf.DUMMYFUNCTION("""COMPUTED_VALUE"""),"Lezo")</f>
        <v>Lezo</v>
      </c>
      <c r="J443" s="142" t="str">
        <f>IFERROR(__xludf.DUMMYFUNCTION("""COMPUTED_VALUE"""),"Libacao")</f>
        <v>Libacao</v>
      </c>
      <c r="K443" s="142" t="str">
        <f>IFERROR(__xludf.DUMMYFUNCTION("""COMPUTED_VALUE"""),"Madalag")</f>
        <v>Madalag</v>
      </c>
      <c r="L443" s="142" t="str">
        <f>IFERROR(__xludf.DUMMYFUNCTION("""COMPUTED_VALUE"""),"Makato")</f>
        <v>Makato</v>
      </c>
      <c r="M443" s="142" t="str">
        <f>IFERROR(__xludf.DUMMYFUNCTION("""COMPUTED_VALUE"""),"Malay")</f>
        <v>Malay</v>
      </c>
      <c r="N443" s="142" t="str">
        <f>IFERROR(__xludf.DUMMYFUNCTION("""COMPUTED_VALUE"""),"Malinao")</f>
        <v>Malinao</v>
      </c>
      <c r="O443" s="142" t="str">
        <f>IFERROR(__xludf.DUMMYFUNCTION("""COMPUTED_VALUE"""),"Nabas")</f>
        <v>Nabas</v>
      </c>
      <c r="P443" s="142" t="str">
        <f>IFERROR(__xludf.DUMMYFUNCTION("""COMPUTED_VALUE"""),"New Washington")</f>
        <v>New Washington</v>
      </c>
      <c r="Q443" s="142" t="str">
        <f>IFERROR(__xludf.DUMMYFUNCTION("""COMPUTED_VALUE"""),"Numancia")</f>
        <v>Numancia</v>
      </c>
      <c r="R443" s="142" t="str">
        <f>IFERROR(__xludf.DUMMYFUNCTION("""COMPUTED_VALUE"""),"Tangalan")</f>
        <v>Tangalan</v>
      </c>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row>
    <row r="444">
      <c r="A444" s="142" t="s">
        <v>315</v>
      </c>
      <c r="B444" s="142" t="str">
        <f>IFERROR(__xludf.DUMMYFUNCTION("""COMPUTED_VALUE"""),"Altavas")</f>
        <v>Altavas</v>
      </c>
      <c r="C444" s="142" t="str">
        <f>IFERROR(__xludf.DUMMYFUNCTION("""COMPUTED_VALUE"""),"Balete")</f>
        <v>Balete</v>
      </c>
      <c r="D444" s="142" t="str">
        <f>IFERROR(__xludf.DUMMYFUNCTION("""COMPUTED_VALUE"""),"Banga")</f>
        <v>Banga</v>
      </c>
      <c r="E444" s="142" t="str">
        <f>IFERROR(__xludf.DUMMYFUNCTION("""COMPUTED_VALUE"""),"Batan")</f>
        <v>Batan</v>
      </c>
      <c r="F444" s="142" t="str">
        <f>IFERROR(__xludf.DUMMYFUNCTION("""COMPUTED_VALUE"""),"Buruanga")</f>
        <v>Buruanga</v>
      </c>
      <c r="G444" s="142" t="str">
        <f>IFERROR(__xludf.DUMMYFUNCTION("""COMPUTED_VALUE"""),"Ibajay")</f>
        <v>Ibajay</v>
      </c>
      <c r="H444" s="142" t="str">
        <f>IFERROR(__xludf.DUMMYFUNCTION("""COMPUTED_VALUE"""),"Kalibo")</f>
        <v>Kalibo</v>
      </c>
      <c r="I444" s="142" t="str">
        <f>IFERROR(__xludf.DUMMYFUNCTION("""COMPUTED_VALUE"""),"Lezo")</f>
        <v>Lezo</v>
      </c>
      <c r="J444" s="142" t="str">
        <f>IFERROR(__xludf.DUMMYFUNCTION("""COMPUTED_VALUE"""),"Libacao")</f>
        <v>Libacao</v>
      </c>
      <c r="K444" s="142" t="str">
        <f>IFERROR(__xludf.DUMMYFUNCTION("""COMPUTED_VALUE"""),"Madalag")</f>
        <v>Madalag</v>
      </c>
      <c r="L444" s="142" t="str">
        <f>IFERROR(__xludf.DUMMYFUNCTION("""COMPUTED_VALUE"""),"Makato")</f>
        <v>Makato</v>
      </c>
      <c r="M444" s="142" t="str">
        <f>IFERROR(__xludf.DUMMYFUNCTION("""COMPUTED_VALUE"""),"Malay")</f>
        <v>Malay</v>
      </c>
      <c r="N444" s="142" t="str">
        <f>IFERROR(__xludf.DUMMYFUNCTION("""COMPUTED_VALUE"""),"Malinao")</f>
        <v>Malinao</v>
      </c>
      <c r="O444" s="142" t="str">
        <f>IFERROR(__xludf.DUMMYFUNCTION("""COMPUTED_VALUE"""),"Nabas")</f>
        <v>Nabas</v>
      </c>
      <c r="P444" s="142" t="str">
        <f>IFERROR(__xludf.DUMMYFUNCTION("""COMPUTED_VALUE"""),"New Washington")</f>
        <v>New Washington</v>
      </c>
      <c r="Q444" s="142" t="str">
        <f>IFERROR(__xludf.DUMMYFUNCTION("""COMPUTED_VALUE"""),"Numancia")</f>
        <v>Numancia</v>
      </c>
      <c r="R444" s="142" t="str">
        <f>IFERROR(__xludf.DUMMYFUNCTION("""COMPUTED_VALUE"""),"Tangalan")</f>
        <v>Tangalan</v>
      </c>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row>
    <row r="445">
      <c r="A445" s="142" t="s">
        <v>315</v>
      </c>
      <c r="B445" s="142" t="str">
        <f>IFERROR(__xludf.DUMMYFUNCTION("""COMPUTED_VALUE"""),"Altavas")</f>
        <v>Altavas</v>
      </c>
      <c r="C445" s="142" t="str">
        <f>IFERROR(__xludf.DUMMYFUNCTION("""COMPUTED_VALUE"""),"Balete")</f>
        <v>Balete</v>
      </c>
      <c r="D445" s="142" t="str">
        <f>IFERROR(__xludf.DUMMYFUNCTION("""COMPUTED_VALUE"""),"Banga")</f>
        <v>Banga</v>
      </c>
      <c r="E445" s="142" t="str">
        <f>IFERROR(__xludf.DUMMYFUNCTION("""COMPUTED_VALUE"""),"Batan")</f>
        <v>Batan</v>
      </c>
      <c r="F445" s="142" t="str">
        <f>IFERROR(__xludf.DUMMYFUNCTION("""COMPUTED_VALUE"""),"Buruanga")</f>
        <v>Buruanga</v>
      </c>
      <c r="G445" s="142" t="str">
        <f>IFERROR(__xludf.DUMMYFUNCTION("""COMPUTED_VALUE"""),"Ibajay")</f>
        <v>Ibajay</v>
      </c>
      <c r="H445" s="142" t="str">
        <f>IFERROR(__xludf.DUMMYFUNCTION("""COMPUTED_VALUE"""),"Kalibo")</f>
        <v>Kalibo</v>
      </c>
      <c r="I445" s="142" t="str">
        <f>IFERROR(__xludf.DUMMYFUNCTION("""COMPUTED_VALUE"""),"Lezo")</f>
        <v>Lezo</v>
      </c>
      <c r="J445" s="142" t="str">
        <f>IFERROR(__xludf.DUMMYFUNCTION("""COMPUTED_VALUE"""),"Libacao")</f>
        <v>Libacao</v>
      </c>
      <c r="K445" s="142" t="str">
        <f>IFERROR(__xludf.DUMMYFUNCTION("""COMPUTED_VALUE"""),"Madalag")</f>
        <v>Madalag</v>
      </c>
      <c r="L445" s="142" t="str">
        <f>IFERROR(__xludf.DUMMYFUNCTION("""COMPUTED_VALUE"""),"Makato")</f>
        <v>Makato</v>
      </c>
      <c r="M445" s="142" t="str">
        <f>IFERROR(__xludf.DUMMYFUNCTION("""COMPUTED_VALUE"""),"Malay")</f>
        <v>Malay</v>
      </c>
      <c r="N445" s="142" t="str">
        <f>IFERROR(__xludf.DUMMYFUNCTION("""COMPUTED_VALUE"""),"Malinao")</f>
        <v>Malinao</v>
      </c>
      <c r="O445" s="142" t="str">
        <f>IFERROR(__xludf.DUMMYFUNCTION("""COMPUTED_VALUE"""),"Nabas")</f>
        <v>Nabas</v>
      </c>
      <c r="P445" s="142" t="str">
        <f>IFERROR(__xludf.DUMMYFUNCTION("""COMPUTED_VALUE"""),"New Washington")</f>
        <v>New Washington</v>
      </c>
      <c r="Q445" s="142" t="str">
        <f>IFERROR(__xludf.DUMMYFUNCTION("""COMPUTED_VALUE"""),"Numancia")</f>
        <v>Numancia</v>
      </c>
      <c r="R445" s="142" t="str">
        <f>IFERROR(__xludf.DUMMYFUNCTION("""COMPUTED_VALUE"""),"Tangalan")</f>
        <v>Tangalan</v>
      </c>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row>
    <row r="446">
      <c r="A446" s="142" t="s">
        <v>315</v>
      </c>
      <c r="B446" s="142" t="str">
        <f>IFERROR(__xludf.DUMMYFUNCTION("""COMPUTED_VALUE"""),"Altavas")</f>
        <v>Altavas</v>
      </c>
      <c r="C446" s="142" t="str">
        <f>IFERROR(__xludf.DUMMYFUNCTION("""COMPUTED_VALUE"""),"Balete")</f>
        <v>Balete</v>
      </c>
      <c r="D446" s="142" t="str">
        <f>IFERROR(__xludf.DUMMYFUNCTION("""COMPUTED_VALUE"""),"Banga")</f>
        <v>Banga</v>
      </c>
      <c r="E446" s="142" t="str">
        <f>IFERROR(__xludf.DUMMYFUNCTION("""COMPUTED_VALUE"""),"Batan")</f>
        <v>Batan</v>
      </c>
      <c r="F446" s="142" t="str">
        <f>IFERROR(__xludf.DUMMYFUNCTION("""COMPUTED_VALUE"""),"Buruanga")</f>
        <v>Buruanga</v>
      </c>
      <c r="G446" s="142" t="str">
        <f>IFERROR(__xludf.DUMMYFUNCTION("""COMPUTED_VALUE"""),"Ibajay")</f>
        <v>Ibajay</v>
      </c>
      <c r="H446" s="142" t="str">
        <f>IFERROR(__xludf.DUMMYFUNCTION("""COMPUTED_VALUE"""),"Kalibo")</f>
        <v>Kalibo</v>
      </c>
      <c r="I446" s="142" t="str">
        <f>IFERROR(__xludf.DUMMYFUNCTION("""COMPUTED_VALUE"""),"Lezo")</f>
        <v>Lezo</v>
      </c>
      <c r="J446" s="142" t="str">
        <f>IFERROR(__xludf.DUMMYFUNCTION("""COMPUTED_VALUE"""),"Libacao")</f>
        <v>Libacao</v>
      </c>
      <c r="K446" s="142" t="str">
        <f>IFERROR(__xludf.DUMMYFUNCTION("""COMPUTED_VALUE"""),"Madalag")</f>
        <v>Madalag</v>
      </c>
      <c r="L446" s="142" t="str">
        <f>IFERROR(__xludf.DUMMYFUNCTION("""COMPUTED_VALUE"""),"Makato")</f>
        <v>Makato</v>
      </c>
      <c r="M446" s="142" t="str">
        <f>IFERROR(__xludf.DUMMYFUNCTION("""COMPUTED_VALUE"""),"Malay")</f>
        <v>Malay</v>
      </c>
      <c r="N446" s="142" t="str">
        <f>IFERROR(__xludf.DUMMYFUNCTION("""COMPUTED_VALUE"""),"Malinao")</f>
        <v>Malinao</v>
      </c>
      <c r="O446" s="142" t="str">
        <f>IFERROR(__xludf.DUMMYFUNCTION("""COMPUTED_VALUE"""),"Nabas")</f>
        <v>Nabas</v>
      </c>
      <c r="P446" s="142" t="str">
        <f>IFERROR(__xludf.DUMMYFUNCTION("""COMPUTED_VALUE"""),"New Washington")</f>
        <v>New Washington</v>
      </c>
      <c r="Q446" s="142" t="str">
        <f>IFERROR(__xludf.DUMMYFUNCTION("""COMPUTED_VALUE"""),"Numancia")</f>
        <v>Numancia</v>
      </c>
      <c r="R446" s="142" t="str">
        <f>IFERROR(__xludf.DUMMYFUNCTION("""COMPUTED_VALUE"""),"Tangalan")</f>
        <v>Tangalan</v>
      </c>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row>
    <row r="447">
      <c r="A447" s="142" t="s">
        <v>315</v>
      </c>
      <c r="B447" s="142" t="str">
        <f>IFERROR(__xludf.DUMMYFUNCTION("""COMPUTED_VALUE"""),"Altavas")</f>
        <v>Altavas</v>
      </c>
      <c r="C447" s="142" t="str">
        <f>IFERROR(__xludf.DUMMYFUNCTION("""COMPUTED_VALUE"""),"Balete")</f>
        <v>Balete</v>
      </c>
      <c r="D447" s="142" t="str">
        <f>IFERROR(__xludf.DUMMYFUNCTION("""COMPUTED_VALUE"""),"Banga")</f>
        <v>Banga</v>
      </c>
      <c r="E447" s="142" t="str">
        <f>IFERROR(__xludf.DUMMYFUNCTION("""COMPUTED_VALUE"""),"Batan")</f>
        <v>Batan</v>
      </c>
      <c r="F447" s="142" t="str">
        <f>IFERROR(__xludf.DUMMYFUNCTION("""COMPUTED_VALUE"""),"Buruanga")</f>
        <v>Buruanga</v>
      </c>
      <c r="G447" s="142" t="str">
        <f>IFERROR(__xludf.DUMMYFUNCTION("""COMPUTED_VALUE"""),"Ibajay")</f>
        <v>Ibajay</v>
      </c>
      <c r="H447" s="142" t="str">
        <f>IFERROR(__xludf.DUMMYFUNCTION("""COMPUTED_VALUE"""),"Kalibo")</f>
        <v>Kalibo</v>
      </c>
      <c r="I447" s="142" t="str">
        <f>IFERROR(__xludf.DUMMYFUNCTION("""COMPUTED_VALUE"""),"Lezo")</f>
        <v>Lezo</v>
      </c>
      <c r="J447" s="142" t="str">
        <f>IFERROR(__xludf.DUMMYFUNCTION("""COMPUTED_VALUE"""),"Libacao")</f>
        <v>Libacao</v>
      </c>
      <c r="K447" s="142" t="str">
        <f>IFERROR(__xludf.DUMMYFUNCTION("""COMPUTED_VALUE"""),"Madalag")</f>
        <v>Madalag</v>
      </c>
      <c r="L447" s="142" t="str">
        <f>IFERROR(__xludf.DUMMYFUNCTION("""COMPUTED_VALUE"""),"Makato")</f>
        <v>Makato</v>
      </c>
      <c r="M447" s="142" t="str">
        <f>IFERROR(__xludf.DUMMYFUNCTION("""COMPUTED_VALUE"""),"Malay")</f>
        <v>Malay</v>
      </c>
      <c r="N447" s="142" t="str">
        <f>IFERROR(__xludf.DUMMYFUNCTION("""COMPUTED_VALUE"""),"Malinao")</f>
        <v>Malinao</v>
      </c>
      <c r="O447" s="142" t="str">
        <f>IFERROR(__xludf.DUMMYFUNCTION("""COMPUTED_VALUE"""),"Nabas")</f>
        <v>Nabas</v>
      </c>
      <c r="P447" s="142" t="str">
        <f>IFERROR(__xludf.DUMMYFUNCTION("""COMPUTED_VALUE"""),"New Washington")</f>
        <v>New Washington</v>
      </c>
      <c r="Q447" s="142" t="str">
        <f>IFERROR(__xludf.DUMMYFUNCTION("""COMPUTED_VALUE"""),"Numancia")</f>
        <v>Numancia</v>
      </c>
      <c r="R447" s="142" t="str">
        <f>IFERROR(__xludf.DUMMYFUNCTION("""COMPUTED_VALUE"""),"Tangalan")</f>
        <v>Tangalan</v>
      </c>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row>
    <row r="448">
      <c r="A448" s="142" t="s">
        <v>315</v>
      </c>
      <c r="B448" s="142" t="str">
        <f>IFERROR(__xludf.DUMMYFUNCTION("""COMPUTED_VALUE"""),"Altavas")</f>
        <v>Altavas</v>
      </c>
      <c r="C448" s="142" t="str">
        <f>IFERROR(__xludf.DUMMYFUNCTION("""COMPUTED_VALUE"""),"Balete")</f>
        <v>Balete</v>
      </c>
      <c r="D448" s="142" t="str">
        <f>IFERROR(__xludf.DUMMYFUNCTION("""COMPUTED_VALUE"""),"Banga")</f>
        <v>Banga</v>
      </c>
      <c r="E448" s="142" t="str">
        <f>IFERROR(__xludf.DUMMYFUNCTION("""COMPUTED_VALUE"""),"Batan")</f>
        <v>Batan</v>
      </c>
      <c r="F448" s="142" t="str">
        <f>IFERROR(__xludf.DUMMYFUNCTION("""COMPUTED_VALUE"""),"Buruanga")</f>
        <v>Buruanga</v>
      </c>
      <c r="G448" s="142" t="str">
        <f>IFERROR(__xludf.DUMMYFUNCTION("""COMPUTED_VALUE"""),"Ibajay")</f>
        <v>Ibajay</v>
      </c>
      <c r="H448" s="142" t="str">
        <f>IFERROR(__xludf.DUMMYFUNCTION("""COMPUTED_VALUE"""),"Kalibo")</f>
        <v>Kalibo</v>
      </c>
      <c r="I448" s="142" t="str">
        <f>IFERROR(__xludf.DUMMYFUNCTION("""COMPUTED_VALUE"""),"Lezo")</f>
        <v>Lezo</v>
      </c>
      <c r="J448" s="142" t="str">
        <f>IFERROR(__xludf.DUMMYFUNCTION("""COMPUTED_VALUE"""),"Libacao")</f>
        <v>Libacao</v>
      </c>
      <c r="K448" s="142" t="str">
        <f>IFERROR(__xludf.DUMMYFUNCTION("""COMPUTED_VALUE"""),"Madalag")</f>
        <v>Madalag</v>
      </c>
      <c r="L448" s="142" t="str">
        <f>IFERROR(__xludf.DUMMYFUNCTION("""COMPUTED_VALUE"""),"Makato")</f>
        <v>Makato</v>
      </c>
      <c r="M448" s="142" t="str">
        <f>IFERROR(__xludf.DUMMYFUNCTION("""COMPUTED_VALUE"""),"Malay")</f>
        <v>Malay</v>
      </c>
      <c r="N448" s="142" t="str">
        <f>IFERROR(__xludf.DUMMYFUNCTION("""COMPUTED_VALUE"""),"Malinao")</f>
        <v>Malinao</v>
      </c>
      <c r="O448" s="142" t="str">
        <f>IFERROR(__xludf.DUMMYFUNCTION("""COMPUTED_VALUE"""),"Nabas")</f>
        <v>Nabas</v>
      </c>
      <c r="P448" s="142" t="str">
        <f>IFERROR(__xludf.DUMMYFUNCTION("""COMPUTED_VALUE"""),"New Washington")</f>
        <v>New Washington</v>
      </c>
      <c r="Q448" s="142" t="str">
        <f>IFERROR(__xludf.DUMMYFUNCTION("""COMPUTED_VALUE"""),"Numancia")</f>
        <v>Numancia</v>
      </c>
      <c r="R448" s="142" t="str">
        <f>IFERROR(__xludf.DUMMYFUNCTION("""COMPUTED_VALUE"""),"Tangalan")</f>
        <v>Tangalan</v>
      </c>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row>
    <row r="449">
      <c r="A449" s="142" t="s">
        <v>315</v>
      </c>
      <c r="B449" s="142" t="str">
        <f>IFERROR(__xludf.DUMMYFUNCTION("""COMPUTED_VALUE"""),"Altavas")</f>
        <v>Altavas</v>
      </c>
      <c r="C449" s="142" t="str">
        <f>IFERROR(__xludf.DUMMYFUNCTION("""COMPUTED_VALUE"""),"Balete")</f>
        <v>Balete</v>
      </c>
      <c r="D449" s="142" t="str">
        <f>IFERROR(__xludf.DUMMYFUNCTION("""COMPUTED_VALUE"""),"Banga")</f>
        <v>Banga</v>
      </c>
      <c r="E449" s="142" t="str">
        <f>IFERROR(__xludf.DUMMYFUNCTION("""COMPUTED_VALUE"""),"Batan")</f>
        <v>Batan</v>
      </c>
      <c r="F449" s="142" t="str">
        <f>IFERROR(__xludf.DUMMYFUNCTION("""COMPUTED_VALUE"""),"Buruanga")</f>
        <v>Buruanga</v>
      </c>
      <c r="G449" s="142" t="str">
        <f>IFERROR(__xludf.DUMMYFUNCTION("""COMPUTED_VALUE"""),"Ibajay")</f>
        <v>Ibajay</v>
      </c>
      <c r="H449" s="142" t="str">
        <f>IFERROR(__xludf.DUMMYFUNCTION("""COMPUTED_VALUE"""),"Kalibo")</f>
        <v>Kalibo</v>
      </c>
      <c r="I449" s="142" t="str">
        <f>IFERROR(__xludf.DUMMYFUNCTION("""COMPUTED_VALUE"""),"Lezo")</f>
        <v>Lezo</v>
      </c>
      <c r="J449" s="142" t="str">
        <f>IFERROR(__xludf.DUMMYFUNCTION("""COMPUTED_VALUE"""),"Libacao")</f>
        <v>Libacao</v>
      </c>
      <c r="K449" s="142" t="str">
        <f>IFERROR(__xludf.DUMMYFUNCTION("""COMPUTED_VALUE"""),"Madalag")</f>
        <v>Madalag</v>
      </c>
      <c r="L449" s="142" t="str">
        <f>IFERROR(__xludf.DUMMYFUNCTION("""COMPUTED_VALUE"""),"Makato")</f>
        <v>Makato</v>
      </c>
      <c r="M449" s="142" t="str">
        <f>IFERROR(__xludf.DUMMYFUNCTION("""COMPUTED_VALUE"""),"Malay")</f>
        <v>Malay</v>
      </c>
      <c r="N449" s="142" t="str">
        <f>IFERROR(__xludf.DUMMYFUNCTION("""COMPUTED_VALUE"""),"Malinao")</f>
        <v>Malinao</v>
      </c>
      <c r="O449" s="142" t="str">
        <f>IFERROR(__xludf.DUMMYFUNCTION("""COMPUTED_VALUE"""),"Nabas")</f>
        <v>Nabas</v>
      </c>
      <c r="P449" s="142" t="str">
        <f>IFERROR(__xludf.DUMMYFUNCTION("""COMPUTED_VALUE"""),"New Washington")</f>
        <v>New Washington</v>
      </c>
      <c r="Q449" s="142" t="str">
        <f>IFERROR(__xludf.DUMMYFUNCTION("""COMPUTED_VALUE"""),"Numancia")</f>
        <v>Numancia</v>
      </c>
      <c r="R449" s="142" t="str">
        <f>IFERROR(__xludf.DUMMYFUNCTION("""COMPUTED_VALUE"""),"Tangalan")</f>
        <v>Tangalan</v>
      </c>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row>
    <row r="450">
      <c r="A450" s="142" t="s">
        <v>315</v>
      </c>
      <c r="B450" s="142" t="str">
        <f>IFERROR(__xludf.DUMMYFUNCTION("""COMPUTED_VALUE"""),"Altavas")</f>
        <v>Altavas</v>
      </c>
      <c r="C450" s="142" t="str">
        <f>IFERROR(__xludf.DUMMYFUNCTION("""COMPUTED_VALUE"""),"Balete")</f>
        <v>Balete</v>
      </c>
      <c r="D450" s="142" t="str">
        <f>IFERROR(__xludf.DUMMYFUNCTION("""COMPUTED_VALUE"""),"Banga")</f>
        <v>Banga</v>
      </c>
      <c r="E450" s="142" t="str">
        <f>IFERROR(__xludf.DUMMYFUNCTION("""COMPUTED_VALUE"""),"Batan")</f>
        <v>Batan</v>
      </c>
      <c r="F450" s="142" t="str">
        <f>IFERROR(__xludf.DUMMYFUNCTION("""COMPUTED_VALUE"""),"Buruanga")</f>
        <v>Buruanga</v>
      </c>
      <c r="G450" s="142" t="str">
        <f>IFERROR(__xludf.DUMMYFUNCTION("""COMPUTED_VALUE"""),"Ibajay")</f>
        <v>Ibajay</v>
      </c>
      <c r="H450" s="142" t="str">
        <f>IFERROR(__xludf.DUMMYFUNCTION("""COMPUTED_VALUE"""),"Kalibo")</f>
        <v>Kalibo</v>
      </c>
      <c r="I450" s="142" t="str">
        <f>IFERROR(__xludf.DUMMYFUNCTION("""COMPUTED_VALUE"""),"Lezo")</f>
        <v>Lezo</v>
      </c>
      <c r="J450" s="142" t="str">
        <f>IFERROR(__xludf.DUMMYFUNCTION("""COMPUTED_VALUE"""),"Libacao")</f>
        <v>Libacao</v>
      </c>
      <c r="K450" s="142" t="str">
        <f>IFERROR(__xludf.DUMMYFUNCTION("""COMPUTED_VALUE"""),"Madalag")</f>
        <v>Madalag</v>
      </c>
      <c r="L450" s="142" t="str">
        <f>IFERROR(__xludf.DUMMYFUNCTION("""COMPUTED_VALUE"""),"Makato")</f>
        <v>Makato</v>
      </c>
      <c r="M450" s="142" t="str">
        <f>IFERROR(__xludf.DUMMYFUNCTION("""COMPUTED_VALUE"""),"Malay")</f>
        <v>Malay</v>
      </c>
      <c r="N450" s="142" t="str">
        <f>IFERROR(__xludf.DUMMYFUNCTION("""COMPUTED_VALUE"""),"Malinao")</f>
        <v>Malinao</v>
      </c>
      <c r="O450" s="142" t="str">
        <f>IFERROR(__xludf.DUMMYFUNCTION("""COMPUTED_VALUE"""),"Nabas")</f>
        <v>Nabas</v>
      </c>
      <c r="P450" s="142" t="str">
        <f>IFERROR(__xludf.DUMMYFUNCTION("""COMPUTED_VALUE"""),"New Washington")</f>
        <v>New Washington</v>
      </c>
      <c r="Q450" s="142" t="str">
        <f>IFERROR(__xludf.DUMMYFUNCTION("""COMPUTED_VALUE"""),"Numancia")</f>
        <v>Numancia</v>
      </c>
      <c r="R450" s="142" t="str">
        <f>IFERROR(__xludf.DUMMYFUNCTION("""COMPUTED_VALUE"""),"Tangalan")</f>
        <v>Tangalan</v>
      </c>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row>
    <row r="451">
      <c r="A451" s="142" t="s">
        <v>858</v>
      </c>
      <c r="B451" s="142" t="str">
        <f>IFERROR(__xludf.DUMMYFUNCTION("""COMPUTED_VALUE"""),"Anini-Y")</f>
        <v>Anini-Y</v>
      </c>
      <c r="C451" s="142" t="str">
        <f>IFERROR(__xludf.DUMMYFUNCTION("""COMPUTED_VALUE"""),"Barbaza")</f>
        <v>Barbaza</v>
      </c>
      <c r="D451" s="142" t="str">
        <f>IFERROR(__xludf.DUMMYFUNCTION("""COMPUTED_VALUE"""),"Belison")</f>
        <v>Belison</v>
      </c>
      <c r="E451" s="142" t="str">
        <f>IFERROR(__xludf.DUMMYFUNCTION("""COMPUTED_VALUE"""),"Bugasong")</f>
        <v>Bugasong</v>
      </c>
      <c r="F451" s="142" t="str">
        <f>IFERROR(__xludf.DUMMYFUNCTION("""COMPUTED_VALUE"""),"Caluya")</f>
        <v>Caluya</v>
      </c>
      <c r="G451" s="142" t="str">
        <f>IFERROR(__xludf.DUMMYFUNCTION("""COMPUTED_VALUE"""),"Culasi")</f>
        <v>Culasi</v>
      </c>
      <c r="H451" s="142" t="str">
        <f>IFERROR(__xludf.DUMMYFUNCTION("""COMPUTED_VALUE"""),"Tobias Fornier")</f>
        <v>Tobias Fornier</v>
      </c>
      <c r="I451" s="142" t="str">
        <f>IFERROR(__xludf.DUMMYFUNCTION("""COMPUTED_VALUE"""),"Hamtic")</f>
        <v>Hamtic</v>
      </c>
      <c r="J451" s="142" t="str">
        <f>IFERROR(__xludf.DUMMYFUNCTION("""COMPUTED_VALUE"""),"Laua-An")</f>
        <v>Laua-An</v>
      </c>
      <c r="K451" s="142" t="str">
        <f>IFERROR(__xludf.DUMMYFUNCTION("""COMPUTED_VALUE"""),"Libertad")</f>
        <v>Libertad</v>
      </c>
      <c r="L451" s="142" t="str">
        <f>IFERROR(__xludf.DUMMYFUNCTION("""COMPUTED_VALUE"""),"Pandan")</f>
        <v>Pandan</v>
      </c>
      <c r="M451" s="142" t="str">
        <f>IFERROR(__xludf.DUMMYFUNCTION("""COMPUTED_VALUE"""),"Patnongon")</f>
        <v>Patnongon</v>
      </c>
      <c r="N451" s="142" t="str">
        <f>IFERROR(__xludf.DUMMYFUNCTION("""COMPUTED_VALUE"""),"San Jose")</f>
        <v>San Jose</v>
      </c>
      <c r="O451" s="142" t="str">
        <f>IFERROR(__xludf.DUMMYFUNCTION("""COMPUTED_VALUE"""),"San Remigio")</f>
        <v>San Remigio</v>
      </c>
      <c r="P451" s="142" t="str">
        <f>IFERROR(__xludf.DUMMYFUNCTION("""COMPUTED_VALUE"""),"Sebaste")</f>
        <v>Sebaste</v>
      </c>
      <c r="Q451" s="142" t="str">
        <f>IFERROR(__xludf.DUMMYFUNCTION("""COMPUTED_VALUE"""),"Sibalom")</f>
        <v>Sibalom</v>
      </c>
      <c r="R451" s="142" t="str">
        <f>IFERROR(__xludf.DUMMYFUNCTION("""COMPUTED_VALUE"""),"Tibiao")</f>
        <v>Tibiao</v>
      </c>
      <c r="S451" s="142" t="str">
        <f>IFERROR(__xludf.DUMMYFUNCTION("""COMPUTED_VALUE"""),"Valderrama")</f>
        <v>Valderrama</v>
      </c>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row>
    <row r="452">
      <c r="A452" s="142" t="s">
        <v>1364</v>
      </c>
      <c r="B452" s="142" t="str">
        <f>IFERROR(__xludf.DUMMYFUNCTION("""COMPUTED_VALUE"""),"Cuartero")</f>
        <v>Cuartero</v>
      </c>
      <c r="C452" s="142" t="str">
        <f>IFERROR(__xludf.DUMMYFUNCTION("""COMPUTED_VALUE"""),"Dao")</f>
        <v>Dao</v>
      </c>
      <c r="D452" s="142" t="str">
        <f>IFERROR(__xludf.DUMMYFUNCTION("""COMPUTED_VALUE"""),"Dumalag")</f>
        <v>Dumalag</v>
      </c>
      <c r="E452" s="142" t="str">
        <f>IFERROR(__xludf.DUMMYFUNCTION("""COMPUTED_VALUE"""),"Dumarao")</f>
        <v>Dumarao</v>
      </c>
      <c r="F452" s="142" t="str">
        <f>IFERROR(__xludf.DUMMYFUNCTION("""COMPUTED_VALUE"""),"Ivisan")</f>
        <v>Ivisan</v>
      </c>
      <c r="G452" s="142" t="str">
        <f>IFERROR(__xludf.DUMMYFUNCTION("""COMPUTED_VALUE"""),"Jamindan")</f>
        <v>Jamindan</v>
      </c>
      <c r="H452" s="142" t="str">
        <f>IFERROR(__xludf.DUMMYFUNCTION("""COMPUTED_VALUE"""),"Ma-Ayon")</f>
        <v>Ma-Ayon</v>
      </c>
      <c r="I452" s="142" t="str">
        <f>IFERROR(__xludf.DUMMYFUNCTION("""COMPUTED_VALUE"""),"Mambusao")</f>
        <v>Mambusao</v>
      </c>
      <c r="J452" s="142" t="str">
        <f>IFERROR(__xludf.DUMMYFUNCTION("""COMPUTED_VALUE"""),"Panay")</f>
        <v>Panay</v>
      </c>
      <c r="K452" s="142" t="str">
        <f>IFERROR(__xludf.DUMMYFUNCTION("""COMPUTED_VALUE"""),"Panitan")</f>
        <v>Panitan</v>
      </c>
      <c r="L452" s="142" t="str">
        <f>IFERROR(__xludf.DUMMYFUNCTION("""COMPUTED_VALUE"""),"Pilar")</f>
        <v>Pilar</v>
      </c>
      <c r="M452" s="142" t="str">
        <f>IFERROR(__xludf.DUMMYFUNCTION("""COMPUTED_VALUE"""),"Pontevedra")</f>
        <v>Pontevedra</v>
      </c>
      <c r="N452" s="142" t="str">
        <f>IFERROR(__xludf.DUMMYFUNCTION("""COMPUTED_VALUE"""),"President Roxas")</f>
        <v>President Roxas</v>
      </c>
      <c r="O452" s="142" t="str">
        <f>IFERROR(__xludf.DUMMYFUNCTION("""COMPUTED_VALUE"""),"City of Roxas")</f>
        <v>City of Roxas</v>
      </c>
      <c r="P452" s="142" t="str">
        <f>IFERROR(__xludf.DUMMYFUNCTION("""COMPUTED_VALUE"""),"Sapi-An")</f>
        <v>Sapi-An</v>
      </c>
      <c r="Q452" s="142" t="str">
        <f>IFERROR(__xludf.DUMMYFUNCTION("""COMPUTED_VALUE"""),"Sigma")</f>
        <v>Sigma</v>
      </c>
      <c r="R452" s="142" t="str">
        <f>IFERROR(__xludf.DUMMYFUNCTION("""COMPUTED_VALUE"""),"Tapaz")</f>
        <v>Tapaz</v>
      </c>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row>
    <row r="453">
      <c r="A453" s="142" t="s">
        <v>558</v>
      </c>
      <c r="B453" s="142" t="str">
        <f>IFERROR(__xludf.DUMMYFUNCTION("""COMPUTED_VALUE"""),"Ajuy")</f>
        <v>Ajuy</v>
      </c>
      <c r="C453" s="142" t="str">
        <f>IFERROR(__xludf.DUMMYFUNCTION("""COMPUTED_VALUE"""),"Alimodian")</f>
        <v>Alimodian</v>
      </c>
      <c r="D453" s="142" t="str">
        <f>IFERROR(__xludf.DUMMYFUNCTION("""COMPUTED_VALUE"""),"Anilao")</f>
        <v>Anilao</v>
      </c>
      <c r="E453" s="142" t="str">
        <f>IFERROR(__xludf.DUMMYFUNCTION("""COMPUTED_VALUE"""),"Badiangan")</f>
        <v>Badiangan</v>
      </c>
      <c r="F453" s="142" t="str">
        <f>IFERROR(__xludf.DUMMYFUNCTION("""COMPUTED_VALUE"""),"Balasan")</f>
        <v>Balasan</v>
      </c>
      <c r="G453" s="142" t="str">
        <f>IFERROR(__xludf.DUMMYFUNCTION("""COMPUTED_VALUE"""),"Banate")</f>
        <v>Banate</v>
      </c>
      <c r="H453" s="142" t="str">
        <f>IFERROR(__xludf.DUMMYFUNCTION("""COMPUTED_VALUE"""),"Barotac Nuevo")</f>
        <v>Barotac Nuevo</v>
      </c>
      <c r="I453" s="142" t="str">
        <f>IFERROR(__xludf.DUMMYFUNCTION("""COMPUTED_VALUE"""),"Barotac Viejo")</f>
        <v>Barotac Viejo</v>
      </c>
      <c r="J453" s="142" t="str">
        <f>IFERROR(__xludf.DUMMYFUNCTION("""COMPUTED_VALUE"""),"Batad")</f>
        <v>Batad</v>
      </c>
      <c r="K453" s="142" t="str">
        <f>IFERROR(__xludf.DUMMYFUNCTION("""COMPUTED_VALUE"""),"Bingawan")</f>
        <v>Bingawan</v>
      </c>
      <c r="L453" s="142" t="str">
        <f>IFERROR(__xludf.DUMMYFUNCTION("""COMPUTED_VALUE"""),"Cabatuan")</f>
        <v>Cabatuan</v>
      </c>
      <c r="M453" s="142" t="str">
        <f>IFERROR(__xludf.DUMMYFUNCTION("""COMPUTED_VALUE"""),"Calinog")</f>
        <v>Calinog</v>
      </c>
      <c r="N453" s="142" t="str">
        <f>IFERROR(__xludf.DUMMYFUNCTION("""COMPUTED_VALUE"""),"Carles")</f>
        <v>Carles</v>
      </c>
      <c r="O453" s="142" t="str">
        <f>IFERROR(__xludf.DUMMYFUNCTION("""COMPUTED_VALUE"""),"Concepcion")</f>
        <v>Concepcion</v>
      </c>
      <c r="P453" s="142" t="str">
        <f>IFERROR(__xludf.DUMMYFUNCTION("""COMPUTED_VALUE"""),"Dingle")</f>
        <v>Dingle</v>
      </c>
      <c r="Q453" s="142" t="str">
        <f>IFERROR(__xludf.DUMMYFUNCTION("""COMPUTED_VALUE"""),"Dueñas")</f>
        <v>Dueñas</v>
      </c>
      <c r="R453" s="142" t="str">
        <f>IFERROR(__xludf.DUMMYFUNCTION("""COMPUTED_VALUE"""),"Dumangas")</f>
        <v>Dumangas</v>
      </c>
      <c r="S453" s="142" t="str">
        <f>IFERROR(__xludf.DUMMYFUNCTION("""COMPUTED_VALUE"""),"Estancia")</f>
        <v>Estancia</v>
      </c>
      <c r="T453" s="142" t="str">
        <f>IFERROR(__xludf.DUMMYFUNCTION("""COMPUTED_VALUE"""),"Guimbal")</f>
        <v>Guimbal</v>
      </c>
      <c r="U453" s="142" t="str">
        <f>IFERROR(__xludf.DUMMYFUNCTION("""COMPUTED_VALUE"""),"Igbaras")</f>
        <v>Igbaras</v>
      </c>
      <c r="V453" s="142" t="str">
        <f>IFERROR(__xludf.DUMMYFUNCTION("""COMPUTED_VALUE"""),"City of Iloilo")</f>
        <v>City of Iloilo</v>
      </c>
      <c r="W453" s="142" t="str">
        <f>IFERROR(__xludf.DUMMYFUNCTION("""COMPUTED_VALUE"""),"Janiuay")</f>
        <v>Janiuay</v>
      </c>
      <c r="X453" s="142" t="str">
        <f>IFERROR(__xludf.DUMMYFUNCTION("""COMPUTED_VALUE"""),"Lambunao")</f>
        <v>Lambunao</v>
      </c>
      <c r="Y453" s="142" t="str">
        <f>IFERROR(__xludf.DUMMYFUNCTION("""COMPUTED_VALUE"""),"Leganes")</f>
        <v>Leganes</v>
      </c>
      <c r="Z453" s="142" t="str">
        <f>IFERROR(__xludf.DUMMYFUNCTION("""COMPUTED_VALUE"""),"Lemery")</f>
        <v>Lemery</v>
      </c>
      <c r="AA453" s="142" t="str">
        <f>IFERROR(__xludf.DUMMYFUNCTION("""COMPUTED_VALUE"""),"Leon")</f>
        <v>Leon</v>
      </c>
      <c r="AB453" s="142" t="str">
        <f>IFERROR(__xludf.DUMMYFUNCTION("""COMPUTED_VALUE"""),"Maasin")</f>
        <v>Maasin</v>
      </c>
      <c r="AC453" s="142" t="str">
        <f>IFERROR(__xludf.DUMMYFUNCTION("""COMPUTED_VALUE"""),"Miagao")</f>
        <v>Miagao</v>
      </c>
      <c r="AD453" s="142" t="str">
        <f>IFERROR(__xludf.DUMMYFUNCTION("""COMPUTED_VALUE"""),"Mina")</f>
        <v>Mina</v>
      </c>
      <c r="AE453" s="142" t="str">
        <f>IFERROR(__xludf.DUMMYFUNCTION("""COMPUTED_VALUE"""),"New Lucena")</f>
        <v>New Lucena</v>
      </c>
      <c r="AF453" s="142" t="str">
        <f>IFERROR(__xludf.DUMMYFUNCTION("""COMPUTED_VALUE"""),"Oton")</f>
        <v>Oton</v>
      </c>
      <c r="AG453" s="142" t="str">
        <f>IFERROR(__xludf.DUMMYFUNCTION("""COMPUTED_VALUE"""),"City of Passi")</f>
        <v>City of Passi</v>
      </c>
      <c r="AH453" s="142" t="str">
        <f>IFERROR(__xludf.DUMMYFUNCTION("""COMPUTED_VALUE"""),"Pavia")</f>
        <v>Pavia</v>
      </c>
      <c r="AI453" s="142" t="str">
        <f>IFERROR(__xludf.DUMMYFUNCTION("""COMPUTED_VALUE"""),"Pototan")</f>
        <v>Pototan</v>
      </c>
      <c r="AJ453" s="142" t="str">
        <f>IFERROR(__xludf.DUMMYFUNCTION("""COMPUTED_VALUE"""),"San Dionisio")</f>
        <v>San Dionisio</v>
      </c>
      <c r="AK453" s="142" t="str">
        <f>IFERROR(__xludf.DUMMYFUNCTION("""COMPUTED_VALUE"""),"San Enrique")</f>
        <v>San Enrique</v>
      </c>
      <c r="AL453" s="142" t="str">
        <f>IFERROR(__xludf.DUMMYFUNCTION("""COMPUTED_VALUE"""),"San Joaquin")</f>
        <v>San Joaquin</v>
      </c>
      <c r="AM453" s="142" t="str">
        <f>IFERROR(__xludf.DUMMYFUNCTION("""COMPUTED_VALUE"""),"San Miguel")</f>
        <v>San Miguel</v>
      </c>
      <c r="AN453" s="142" t="str">
        <f>IFERROR(__xludf.DUMMYFUNCTION("""COMPUTED_VALUE"""),"San Rafael")</f>
        <v>San Rafael</v>
      </c>
      <c r="AO453" s="142" t="str">
        <f>IFERROR(__xludf.DUMMYFUNCTION("""COMPUTED_VALUE"""),"Santa Barbara")</f>
        <v>Santa Barbara</v>
      </c>
      <c r="AP453" s="142" t="str">
        <f>IFERROR(__xludf.DUMMYFUNCTION("""COMPUTED_VALUE"""),"Sara")</f>
        <v>Sara</v>
      </c>
      <c r="AQ453" s="142" t="str">
        <f>IFERROR(__xludf.DUMMYFUNCTION("""COMPUTED_VALUE"""),"Tigbauan")</f>
        <v>Tigbauan</v>
      </c>
      <c r="AR453" s="142" t="str">
        <f>IFERROR(__xludf.DUMMYFUNCTION("""COMPUTED_VALUE"""),"Tubungan")</f>
        <v>Tubungan</v>
      </c>
      <c r="AS453" s="142" t="str">
        <f>IFERROR(__xludf.DUMMYFUNCTION("""COMPUTED_VALUE"""),"Zarraga")</f>
        <v>Zarraga</v>
      </c>
      <c r="AT453" s="8"/>
      <c r="AU453" s="8"/>
      <c r="AV453" s="8"/>
      <c r="AW453" s="8"/>
      <c r="AX453" s="8"/>
      <c r="AY453" s="8"/>
      <c r="AZ453" s="8"/>
      <c r="BA453" s="8"/>
      <c r="BB453" s="8"/>
      <c r="BC453" s="8"/>
      <c r="BD453" s="8"/>
      <c r="BE453" s="8"/>
    </row>
    <row r="454">
      <c r="A454" s="142" t="s">
        <v>558</v>
      </c>
      <c r="B454" s="142" t="str">
        <f>IFERROR(__xludf.DUMMYFUNCTION("""COMPUTED_VALUE"""),"Ajuy")</f>
        <v>Ajuy</v>
      </c>
      <c r="C454" s="142" t="str">
        <f>IFERROR(__xludf.DUMMYFUNCTION("""COMPUTED_VALUE"""),"Alimodian")</f>
        <v>Alimodian</v>
      </c>
      <c r="D454" s="142" t="str">
        <f>IFERROR(__xludf.DUMMYFUNCTION("""COMPUTED_VALUE"""),"Anilao")</f>
        <v>Anilao</v>
      </c>
      <c r="E454" s="142" t="str">
        <f>IFERROR(__xludf.DUMMYFUNCTION("""COMPUTED_VALUE"""),"Badiangan")</f>
        <v>Badiangan</v>
      </c>
      <c r="F454" s="142" t="str">
        <f>IFERROR(__xludf.DUMMYFUNCTION("""COMPUTED_VALUE"""),"Balasan")</f>
        <v>Balasan</v>
      </c>
      <c r="G454" s="142" t="str">
        <f>IFERROR(__xludf.DUMMYFUNCTION("""COMPUTED_VALUE"""),"Banate")</f>
        <v>Banate</v>
      </c>
      <c r="H454" s="142" t="str">
        <f>IFERROR(__xludf.DUMMYFUNCTION("""COMPUTED_VALUE"""),"Barotac Nuevo")</f>
        <v>Barotac Nuevo</v>
      </c>
      <c r="I454" s="142" t="str">
        <f>IFERROR(__xludf.DUMMYFUNCTION("""COMPUTED_VALUE"""),"Barotac Viejo")</f>
        <v>Barotac Viejo</v>
      </c>
      <c r="J454" s="142" t="str">
        <f>IFERROR(__xludf.DUMMYFUNCTION("""COMPUTED_VALUE"""),"Batad")</f>
        <v>Batad</v>
      </c>
      <c r="K454" s="142" t="str">
        <f>IFERROR(__xludf.DUMMYFUNCTION("""COMPUTED_VALUE"""),"Bingawan")</f>
        <v>Bingawan</v>
      </c>
      <c r="L454" s="142" t="str">
        <f>IFERROR(__xludf.DUMMYFUNCTION("""COMPUTED_VALUE"""),"Cabatuan")</f>
        <v>Cabatuan</v>
      </c>
      <c r="M454" s="142" t="str">
        <f>IFERROR(__xludf.DUMMYFUNCTION("""COMPUTED_VALUE"""),"Calinog")</f>
        <v>Calinog</v>
      </c>
      <c r="N454" s="142" t="str">
        <f>IFERROR(__xludf.DUMMYFUNCTION("""COMPUTED_VALUE"""),"Carles")</f>
        <v>Carles</v>
      </c>
      <c r="O454" s="142" t="str">
        <f>IFERROR(__xludf.DUMMYFUNCTION("""COMPUTED_VALUE"""),"Concepcion")</f>
        <v>Concepcion</v>
      </c>
      <c r="P454" s="142" t="str">
        <f>IFERROR(__xludf.DUMMYFUNCTION("""COMPUTED_VALUE"""),"Dingle")</f>
        <v>Dingle</v>
      </c>
      <c r="Q454" s="142" t="str">
        <f>IFERROR(__xludf.DUMMYFUNCTION("""COMPUTED_VALUE"""),"Dueñas")</f>
        <v>Dueñas</v>
      </c>
      <c r="R454" s="142" t="str">
        <f>IFERROR(__xludf.DUMMYFUNCTION("""COMPUTED_VALUE"""),"Dumangas")</f>
        <v>Dumangas</v>
      </c>
      <c r="S454" s="142" t="str">
        <f>IFERROR(__xludf.DUMMYFUNCTION("""COMPUTED_VALUE"""),"Estancia")</f>
        <v>Estancia</v>
      </c>
      <c r="T454" s="142" t="str">
        <f>IFERROR(__xludf.DUMMYFUNCTION("""COMPUTED_VALUE"""),"Guimbal")</f>
        <v>Guimbal</v>
      </c>
      <c r="U454" s="142" t="str">
        <f>IFERROR(__xludf.DUMMYFUNCTION("""COMPUTED_VALUE"""),"Igbaras")</f>
        <v>Igbaras</v>
      </c>
      <c r="V454" s="142" t="str">
        <f>IFERROR(__xludf.DUMMYFUNCTION("""COMPUTED_VALUE"""),"City of Iloilo")</f>
        <v>City of Iloilo</v>
      </c>
      <c r="W454" s="142" t="str">
        <f>IFERROR(__xludf.DUMMYFUNCTION("""COMPUTED_VALUE"""),"Janiuay")</f>
        <v>Janiuay</v>
      </c>
      <c r="X454" s="142" t="str">
        <f>IFERROR(__xludf.DUMMYFUNCTION("""COMPUTED_VALUE"""),"Lambunao")</f>
        <v>Lambunao</v>
      </c>
      <c r="Y454" s="142" t="str">
        <f>IFERROR(__xludf.DUMMYFUNCTION("""COMPUTED_VALUE"""),"Leganes")</f>
        <v>Leganes</v>
      </c>
      <c r="Z454" s="142" t="str">
        <f>IFERROR(__xludf.DUMMYFUNCTION("""COMPUTED_VALUE"""),"Lemery")</f>
        <v>Lemery</v>
      </c>
      <c r="AA454" s="142" t="str">
        <f>IFERROR(__xludf.DUMMYFUNCTION("""COMPUTED_VALUE"""),"Leon")</f>
        <v>Leon</v>
      </c>
      <c r="AB454" s="142" t="str">
        <f>IFERROR(__xludf.DUMMYFUNCTION("""COMPUTED_VALUE"""),"Maasin")</f>
        <v>Maasin</v>
      </c>
      <c r="AC454" s="142" t="str">
        <f>IFERROR(__xludf.DUMMYFUNCTION("""COMPUTED_VALUE"""),"Miagao")</f>
        <v>Miagao</v>
      </c>
      <c r="AD454" s="142" t="str">
        <f>IFERROR(__xludf.DUMMYFUNCTION("""COMPUTED_VALUE"""),"Mina")</f>
        <v>Mina</v>
      </c>
      <c r="AE454" s="142" t="str">
        <f>IFERROR(__xludf.DUMMYFUNCTION("""COMPUTED_VALUE"""),"New Lucena")</f>
        <v>New Lucena</v>
      </c>
      <c r="AF454" s="142" t="str">
        <f>IFERROR(__xludf.DUMMYFUNCTION("""COMPUTED_VALUE"""),"Oton")</f>
        <v>Oton</v>
      </c>
      <c r="AG454" s="142" t="str">
        <f>IFERROR(__xludf.DUMMYFUNCTION("""COMPUTED_VALUE"""),"City of Passi")</f>
        <v>City of Passi</v>
      </c>
      <c r="AH454" s="142" t="str">
        <f>IFERROR(__xludf.DUMMYFUNCTION("""COMPUTED_VALUE"""),"Pavia")</f>
        <v>Pavia</v>
      </c>
      <c r="AI454" s="142" t="str">
        <f>IFERROR(__xludf.DUMMYFUNCTION("""COMPUTED_VALUE"""),"Pototan")</f>
        <v>Pototan</v>
      </c>
      <c r="AJ454" s="142" t="str">
        <f>IFERROR(__xludf.DUMMYFUNCTION("""COMPUTED_VALUE"""),"San Dionisio")</f>
        <v>San Dionisio</v>
      </c>
      <c r="AK454" s="142" t="str">
        <f>IFERROR(__xludf.DUMMYFUNCTION("""COMPUTED_VALUE"""),"San Enrique")</f>
        <v>San Enrique</v>
      </c>
      <c r="AL454" s="142" t="str">
        <f>IFERROR(__xludf.DUMMYFUNCTION("""COMPUTED_VALUE"""),"San Joaquin")</f>
        <v>San Joaquin</v>
      </c>
      <c r="AM454" s="142" t="str">
        <f>IFERROR(__xludf.DUMMYFUNCTION("""COMPUTED_VALUE"""),"San Miguel")</f>
        <v>San Miguel</v>
      </c>
      <c r="AN454" s="142" t="str">
        <f>IFERROR(__xludf.DUMMYFUNCTION("""COMPUTED_VALUE"""),"San Rafael")</f>
        <v>San Rafael</v>
      </c>
      <c r="AO454" s="142" t="str">
        <f>IFERROR(__xludf.DUMMYFUNCTION("""COMPUTED_VALUE"""),"Santa Barbara")</f>
        <v>Santa Barbara</v>
      </c>
      <c r="AP454" s="142" t="str">
        <f>IFERROR(__xludf.DUMMYFUNCTION("""COMPUTED_VALUE"""),"Sara")</f>
        <v>Sara</v>
      </c>
      <c r="AQ454" s="142" t="str">
        <f>IFERROR(__xludf.DUMMYFUNCTION("""COMPUTED_VALUE"""),"Tigbauan")</f>
        <v>Tigbauan</v>
      </c>
      <c r="AR454" s="142" t="str">
        <f>IFERROR(__xludf.DUMMYFUNCTION("""COMPUTED_VALUE"""),"Tubungan")</f>
        <v>Tubungan</v>
      </c>
      <c r="AS454" s="142" t="str">
        <f>IFERROR(__xludf.DUMMYFUNCTION("""COMPUTED_VALUE"""),"Zarraga")</f>
        <v>Zarraga</v>
      </c>
      <c r="AT454" s="8"/>
      <c r="AU454" s="8"/>
      <c r="AV454" s="8"/>
      <c r="AW454" s="8"/>
      <c r="AX454" s="8"/>
      <c r="AY454" s="8"/>
      <c r="AZ454" s="8"/>
      <c r="BA454" s="8"/>
      <c r="BB454" s="8"/>
      <c r="BC454" s="8"/>
      <c r="BD454" s="8"/>
      <c r="BE454" s="8"/>
    </row>
    <row r="455">
      <c r="A455" s="142" t="s">
        <v>194</v>
      </c>
      <c r="B455" s="142" t="str">
        <f>IFERROR(__xludf.DUMMYFUNCTION("""COMPUTED_VALUE"""),"Alcantara")</f>
        <v>Alcantara</v>
      </c>
      <c r="C455" s="142" t="str">
        <f>IFERROR(__xludf.DUMMYFUNCTION("""COMPUTED_VALUE"""),"Alcoy")</f>
        <v>Alcoy</v>
      </c>
      <c r="D455" s="142" t="str">
        <f>IFERROR(__xludf.DUMMYFUNCTION("""COMPUTED_VALUE"""),"Alegria")</f>
        <v>Alegria</v>
      </c>
      <c r="E455" s="142" t="str">
        <f>IFERROR(__xludf.DUMMYFUNCTION("""COMPUTED_VALUE"""),"Aloguinsan")</f>
        <v>Aloguinsan</v>
      </c>
      <c r="F455" s="142" t="str">
        <f>IFERROR(__xludf.DUMMYFUNCTION("""COMPUTED_VALUE"""),"Argao")</f>
        <v>Argao</v>
      </c>
      <c r="G455" s="142" t="str">
        <f>IFERROR(__xludf.DUMMYFUNCTION("""COMPUTED_VALUE"""),"Asturias")</f>
        <v>Asturias</v>
      </c>
      <c r="H455" s="142" t="str">
        <f>IFERROR(__xludf.DUMMYFUNCTION("""COMPUTED_VALUE"""),"Badian")</f>
        <v>Badian</v>
      </c>
      <c r="I455" s="142" t="str">
        <f>IFERROR(__xludf.DUMMYFUNCTION("""COMPUTED_VALUE"""),"Balamban")</f>
        <v>Balamban</v>
      </c>
      <c r="J455" s="142" t="str">
        <f>IFERROR(__xludf.DUMMYFUNCTION("""COMPUTED_VALUE"""),"Bantayan")</f>
        <v>Bantayan</v>
      </c>
      <c r="K455" s="142" t="str">
        <f>IFERROR(__xludf.DUMMYFUNCTION("""COMPUTED_VALUE"""),"Barili")</f>
        <v>Barili</v>
      </c>
      <c r="L455" s="142" t="str">
        <f>IFERROR(__xludf.DUMMYFUNCTION("""COMPUTED_VALUE"""),"City of Bogo")</f>
        <v>City of Bogo</v>
      </c>
      <c r="M455" s="142" t="str">
        <f>IFERROR(__xludf.DUMMYFUNCTION("""COMPUTED_VALUE"""),"Boljoon")</f>
        <v>Boljoon</v>
      </c>
      <c r="N455" s="142" t="str">
        <f>IFERROR(__xludf.DUMMYFUNCTION("""COMPUTED_VALUE"""),"Borbon")</f>
        <v>Borbon</v>
      </c>
      <c r="O455" s="142" t="str">
        <f>IFERROR(__xludf.DUMMYFUNCTION("""COMPUTED_VALUE"""),"City of Carcar")</f>
        <v>City of Carcar</v>
      </c>
      <c r="P455" s="142" t="str">
        <f>IFERROR(__xludf.DUMMYFUNCTION("""COMPUTED_VALUE"""),"Carmen")</f>
        <v>Carmen</v>
      </c>
      <c r="Q455" s="142" t="str">
        <f>IFERROR(__xludf.DUMMYFUNCTION("""COMPUTED_VALUE"""),"Catmon")</f>
        <v>Catmon</v>
      </c>
      <c r="R455" s="142" t="str">
        <f>IFERROR(__xludf.DUMMYFUNCTION("""COMPUTED_VALUE"""),"Compostela")</f>
        <v>Compostela</v>
      </c>
      <c r="S455" s="142" t="str">
        <f>IFERROR(__xludf.DUMMYFUNCTION("""COMPUTED_VALUE"""),"Consolacion")</f>
        <v>Consolacion</v>
      </c>
      <c r="T455" s="142" t="str">
        <f>IFERROR(__xludf.DUMMYFUNCTION("""COMPUTED_VALUE"""),"Cordova")</f>
        <v>Cordova</v>
      </c>
      <c r="U455" s="142" t="str">
        <f>IFERROR(__xludf.DUMMYFUNCTION("""COMPUTED_VALUE"""),"Daanbantayan")</f>
        <v>Daanbantayan</v>
      </c>
      <c r="V455" s="142" t="str">
        <f>IFERROR(__xludf.DUMMYFUNCTION("""COMPUTED_VALUE"""),"Dalaguete")</f>
        <v>Dalaguete</v>
      </c>
      <c r="W455" s="142" t="str">
        <f>IFERROR(__xludf.DUMMYFUNCTION("""COMPUTED_VALUE"""),"Danao City")</f>
        <v>Danao City</v>
      </c>
      <c r="X455" s="142" t="str">
        <f>IFERROR(__xludf.DUMMYFUNCTION("""COMPUTED_VALUE"""),"Dumanjug")</f>
        <v>Dumanjug</v>
      </c>
      <c r="Y455" s="142" t="str">
        <f>IFERROR(__xludf.DUMMYFUNCTION("""COMPUTED_VALUE"""),"Ginatilan")</f>
        <v>Ginatilan</v>
      </c>
      <c r="Z455" s="142" t="str">
        <f>IFERROR(__xludf.DUMMYFUNCTION("""COMPUTED_VALUE"""),"Liloan")</f>
        <v>Liloan</v>
      </c>
      <c r="AA455" s="142" t="str">
        <f>IFERROR(__xludf.DUMMYFUNCTION("""COMPUTED_VALUE"""),"Madridejos")</f>
        <v>Madridejos</v>
      </c>
      <c r="AB455" s="142" t="str">
        <f>IFERROR(__xludf.DUMMYFUNCTION("""COMPUTED_VALUE"""),"Malabuyoc")</f>
        <v>Malabuyoc</v>
      </c>
      <c r="AC455" s="142" t="str">
        <f>IFERROR(__xludf.DUMMYFUNCTION("""COMPUTED_VALUE"""),"Medellin")</f>
        <v>Medellin</v>
      </c>
      <c r="AD455" s="142" t="str">
        <f>IFERROR(__xludf.DUMMYFUNCTION("""COMPUTED_VALUE"""),"Minglanilla")</f>
        <v>Minglanilla</v>
      </c>
      <c r="AE455" s="142" t="str">
        <f>IFERROR(__xludf.DUMMYFUNCTION("""COMPUTED_VALUE"""),"Moalboal")</f>
        <v>Moalboal</v>
      </c>
      <c r="AF455" s="142" t="str">
        <f>IFERROR(__xludf.DUMMYFUNCTION("""COMPUTED_VALUE"""),"City of Naga")</f>
        <v>City of Naga</v>
      </c>
      <c r="AG455" s="142" t="str">
        <f>IFERROR(__xludf.DUMMYFUNCTION("""COMPUTED_VALUE"""),"Oslob")</f>
        <v>Oslob</v>
      </c>
      <c r="AH455" s="142" t="str">
        <f>IFERROR(__xludf.DUMMYFUNCTION("""COMPUTED_VALUE"""),"Pilar")</f>
        <v>Pilar</v>
      </c>
      <c r="AI455" s="142" t="str">
        <f>IFERROR(__xludf.DUMMYFUNCTION("""COMPUTED_VALUE"""),"Pinamungajan")</f>
        <v>Pinamungajan</v>
      </c>
      <c r="AJ455" s="142" t="str">
        <f>IFERROR(__xludf.DUMMYFUNCTION("""COMPUTED_VALUE"""),"Poro")</f>
        <v>Poro</v>
      </c>
      <c r="AK455" s="142" t="str">
        <f>IFERROR(__xludf.DUMMYFUNCTION("""COMPUTED_VALUE"""),"Ronda")</f>
        <v>Ronda</v>
      </c>
      <c r="AL455" s="142" t="str">
        <f>IFERROR(__xludf.DUMMYFUNCTION("""COMPUTED_VALUE"""),"Samboan")</f>
        <v>Samboan</v>
      </c>
      <c r="AM455" s="142" t="str">
        <f>IFERROR(__xludf.DUMMYFUNCTION("""COMPUTED_VALUE"""),"San Fernando")</f>
        <v>San Fernando</v>
      </c>
      <c r="AN455" s="142" t="str">
        <f>IFERROR(__xludf.DUMMYFUNCTION("""COMPUTED_VALUE"""),"San Francisco")</f>
        <v>San Francisco</v>
      </c>
      <c r="AO455" s="142" t="str">
        <f>IFERROR(__xludf.DUMMYFUNCTION("""COMPUTED_VALUE"""),"San Remigio")</f>
        <v>San Remigio</v>
      </c>
      <c r="AP455" s="142" t="str">
        <f>IFERROR(__xludf.DUMMYFUNCTION("""COMPUTED_VALUE"""),"Santa Fe")</f>
        <v>Santa Fe</v>
      </c>
      <c r="AQ455" s="142" t="str">
        <f>IFERROR(__xludf.DUMMYFUNCTION("""COMPUTED_VALUE"""),"Santander")</f>
        <v>Santander</v>
      </c>
      <c r="AR455" s="142" t="str">
        <f>IFERROR(__xludf.DUMMYFUNCTION("""COMPUTED_VALUE"""),"Sibonga")</f>
        <v>Sibonga</v>
      </c>
      <c r="AS455" s="142" t="str">
        <f>IFERROR(__xludf.DUMMYFUNCTION("""COMPUTED_VALUE"""),"Sogod")</f>
        <v>Sogod</v>
      </c>
      <c r="AT455" s="142" t="str">
        <f>IFERROR(__xludf.DUMMYFUNCTION("""COMPUTED_VALUE"""),"Tabogon")</f>
        <v>Tabogon</v>
      </c>
      <c r="AU455" s="142" t="str">
        <f>IFERROR(__xludf.DUMMYFUNCTION("""COMPUTED_VALUE"""),"Tabuelan")</f>
        <v>Tabuelan</v>
      </c>
      <c r="AV455" s="142" t="str">
        <f>IFERROR(__xludf.DUMMYFUNCTION("""COMPUTED_VALUE"""),"City of Talisay")</f>
        <v>City of Talisay</v>
      </c>
      <c r="AW455" s="142" t="str">
        <f>IFERROR(__xludf.DUMMYFUNCTION("""COMPUTED_VALUE"""),"City of Toledo")</f>
        <v>City of Toledo</v>
      </c>
      <c r="AX455" s="142" t="str">
        <f>IFERROR(__xludf.DUMMYFUNCTION("""COMPUTED_VALUE"""),"Tuburan")</f>
        <v>Tuburan</v>
      </c>
      <c r="AY455" s="142" t="str">
        <f>IFERROR(__xludf.DUMMYFUNCTION("""COMPUTED_VALUE"""),"Tudela")</f>
        <v>Tudela</v>
      </c>
      <c r="AZ455" s="142" t="str">
        <f>IFERROR(__xludf.DUMMYFUNCTION("""COMPUTED_VALUE"""),"City of Cebu")</f>
        <v>City of Cebu</v>
      </c>
      <c r="BA455" s="142" t="str">
        <f>IFERROR(__xludf.DUMMYFUNCTION("""COMPUTED_VALUE"""),"City of Lapu-Lapu")</f>
        <v>City of Lapu-Lapu</v>
      </c>
      <c r="BB455" s="142" t="str">
        <f>IFERROR(__xludf.DUMMYFUNCTION("""COMPUTED_VALUE"""),"City of Mandaue")</f>
        <v>City of Mandaue</v>
      </c>
      <c r="BC455" s="8"/>
      <c r="BD455" s="8"/>
      <c r="BE455" s="8"/>
    </row>
    <row r="456">
      <c r="A456" s="142" t="s">
        <v>194</v>
      </c>
      <c r="B456" s="142" t="str">
        <f>IFERROR(__xludf.DUMMYFUNCTION("""COMPUTED_VALUE"""),"Alcantara")</f>
        <v>Alcantara</v>
      </c>
      <c r="C456" s="142" t="str">
        <f>IFERROR(__xludf.DUMMYFUNCTION("""COMPUTED_VALUE"""),"Alcoy")</f>
        <v>Alcoy</v>
      </c>
      <c r="D456" s="142" t="str">
        <f>IFERROR(__xludf.DUMMYFUNCTION("""COMPUTED_VALUE"""),"Alegria")</f>
        <v>Alegria</v>
      </c>
      <c r="E456" s="142" t="str">
        <f>IFERROR(__xludf.DUMMYFUNCTION("""COMPUTED_VALUE"""),"Aloguinsan")</f>
        <v>Aloguinsan</v>
      </c>
      <c r="F456" s="142" t="str">
        <f>IFERROR(__xludf.DUMMYFUNCTION("""COMPUTED_VALUE"""),"Argao")</f>
        <v>Argao</v>
      </c>
      <c r="G456" s="142" t="str">
        <f>IFERROR(__xludf.DUMMYFUNCTION("""COMPUTED_VALUE"""),"Asturias")</f>
        <v>Asturias</v>
      </c>
      <c r="H456" s="142" t="str">
        <f>IFERROR(__xludf.DUMMYFUNCTION("""COMPUTED_VALUE"""),"Badian")</f>
        <v>Badian</v>
      </c>
      <c r="I456" s="142" t="str">
        <f>IFERROR(__xludf.DUMMYFUNCTION("""COMPUTED_VALUE"""),"Balamban")</f>
        <v>Balamban</v>
      </c>
      <c r="J456" s="142" t="str">
        <f>IFERROR(__xludf.DUMMYFUNCTION("""COMPUTED_VALUE"""),"Bantayan")</f>
        <v>Bantayan</v>
      </c>
      <c r="K456" s="142" t="str">
        <f>IFERROR(__xludf.DUMMYFUNCTION("""COMPUTED_VALUE"""),"Barili")</f>
        <v>Barili</v>
      </c>
      <c r="L456" s="142" t="str">
        <f>IFERROR(__xludf.DUMMYFUNCTION("""COMPUTED_VALUE"""),"City of Bogo")</f>
        <v>City of Bogo</v>
      </c>
      <c r="M456" s="142" t="str">
        <f>IFERROR(__xludf.DUMMYFUNCTION("""COMPUTED_VALUE"""),"Boljoon")</f>
        <v>Boljoon</v>
      </c>
      <c r="N456" s="142" t="str">
        <f>IFERROR(__xludf.DUMMYFUNCTION("""COMPUTED_VALUE"""),"Borbon")</f>
        <v>Borbon</v>
      </c>
      <c r="O456" s="142" t="str">
        <f>IFERROR(__xludf.DUMMYFUNCTION("""COMPUTED_VALUE"""),"City of Carcar")</f>
        <v>City of Carcar</v>
      </c>
      <c r="P456" s="142" t="str">
        <f>IFERROR(__xludf.DUMMYFUNCTION("""COMPUTED_VALUE"""),"Carmen")</f>
        <v>Carmen</v>
      </c>
      <c r="Q456" s="142" t="str">
        <f>IFERROR(__xludf.DUMMYFUNCTION("""COMPUTED_VALUE"""),"Catmon")</f>
        <v>Catmon</v>
      </c>
      <c r="R456" s="142" t="str">
        <f>IFERROR(__xludf.DUMMYFUNCTION("""COMPUTED_VALUE"""),"Compostela")</f>
        <v>Compostela</v>
      </c>
      <c r="S456" s="142" t="str">
        <f>IFERROR(__xludf.DUMMYFUNCTION("""COMPUTED_VALUE"""),"Consolacion")</f>
        <v>Consolacion</v>
      </c>
      <c r="T456" s="142" t="str">
        <f>IFERROR(__xludf.DUMMYFUNCTION("""COMPUTED_VALUE"""),"Cordova")</f>
        <v>Cordova</v>
      </c>
      <c r="U456" s="142" t="str">
        <f>IFERROR(__xludf.DUMMYFUNCTION("""COMPUTED_VALUE"""),"Daanbantayan")</f>
        <v>Daanbantayan</v>
      </c>
      <c r="V456" s="142" t="str">
        <f>IFERROR(__xludf.DUMMYFUNCTION("""COMPUTED_VALUE"""),"Dalaguete")</f>
        <v>Dalaguete</v>
      </c>
      <c r="W456" s="142" t="str">
        <f>IFERROR(__xludf.DUMMYFUNCTION("""COMPUTED_VALUE"""),"Danao City")</f>
        <v>Danao City</v>
      </c>
      <c r="X456" s="142" t="str">
        <f>IFERROR(__xludf.DUMMYFUNCTION("""COMPUTED_VALUE"""),"Dumanjug")</f>
        <v>Dumanjug</v>
      </c>
      <c r="Y456" s="142" t="str">
        <f>IFERROR(__xludf.DUMMYFUNCTION("""COMPUTED_VALUE"""),"Ginatilan")</f>
        <v>Ginatilan</v>
      </c>
      <c r="Z456" s="142" t="str">
        <f>IFERROR(__xludf.DUMMYFUNCTION("""COMPUTED_VALUE"""),"Liloan")</f>
        <v>Liloan</v>
      </c>
      <c r="AA456" s="142" t="str">
        <f>IFERROR(__xludf.DUMMYFUNCTION("""COMPUTED_VALUE"""),"Madridejos")</f>
        <v>Madridejos</v>
      </c>
      <c r="AB456" s="142" t="str">
        <f>IFERROR(__xludf.DUMMYFUNCTION("""COMPUTED_VALUE"""),"Malabuyoc")</f>
        <v>Malabuyoc</v>
      </c>
      <c r="AC456" s="142" t="str">
        <f>IFERROR(__xludf.DUMMYFUNCTION("""COMPUTED_VALUE"""),"Medellin")</f>
        <v>Medellin</v>
      </c>
      <c r="AD456" s="142" t="str">
        <f>IFERROR(__xludf.DUMMYFUNCTION("""COMPUTED_VALUE"""),"Minglanilla")</f>
        <v>Minglanilla</v>
      </c>
      <c r="AE456" s="142" t="str">
        <f>IFERROR(__xludf.DUMMYFUNCTION("""COMPUTED_VALUE"""),"Moalboal")</f>
        <v>Moalboal</v>
      </c>
      <c r="AF456" s="142" t="str">
        <f>IFERROR(__xludf.DUMMYFUNCTION("""COMPUTED_VALUE"""),"City of Naga")</f>
        <v>City of Naga</v>
      </c>
      <c r="AG456" s="142" t="str">
        <f>IFERROR(__xludf.DUMMYFUNCTION("""COMPUTED_VALUE"""),"Oslob")</f>
        <v>Oslob</v>
      </c>
      <c r="AH456" s="142" t="str">
        <f>IFERROR(__xludf.DUMMYFUNCTION("""COMPUTED_VALUE"""),"Pilar")</f>
        <v>Pilar</v>
      </c>
      <c r="AI456" s="142" t="str">
        <f>IFERROR(__xludf.DUMMYFUNCTION("""COMPUTED_VALUE"""),"Pinamungajan")</f>
        <v>Pinamungajan</v>
      </c>
      <c r="AJ456" s="142" t="str">
        <f>IFERROR(__xludf.DUMMYFUNCTION("""COMPUTED_VALUE"""),"Poro")</f>
        <v>Poro</v>
      </c>
      <c r="AK456" s="142" t="str">
        <f>IFERROR(__xludf.DUMMYFUNCTION("""COMPUTED_VALUE"""),"Ronda")</f>
        <v>Ronda</v>
      </c>
      <c r="AL456" s="142" t="str">
        <f>IFERROR(__xludf.DUMMYFUNCTION("""COMPUTED_VALUE"""),"Samboan")</f>
        <v>Samboan</v>
      </c>
      <c r="AM456" s="142" t="str">
        <f>IFERROR(__xludf.DUMMYFUNCTION("""COMPUTED_VALUE"""),"San Fernando")</f>
        <v>San Fernando</v>
      </c>
      <c r="AN456" s="142" t="str">
        <f>IFERROR(__xludf.DUMMYFUNCTION("""COMPUTED_VALUE"""),"San Francisco")</f>
        <v>San Francisco</v>
      </c>
      <c r="AO456" s="142" t="str">
        <f>IFERROR(__xludf.DUMMYFUNCTION("""COMPUTED_VALUE"""),"San Remigio")</f>
        <v>San Remigio</v>
      </c>
      <c r="AP456" s="142" t="str">
        <f>IFERROR(__xludf.DUMMYFUNCTION("""COMPUTED_VALUE"""),"Santa Fe")</f>
        <v>Santa Fe</v>
      </c>
      <c r="AQ456" s="142" t="str">
        <f>IFERROR(__xludf.DUMMYFUNCTION("""COMPUTED_VALUE"""),"Santander")</f>
        <v>Santander</v>
      </c>
      <c r="AR456" s="142" t="str">
        <f>IFERROR(__xludf.DUMMYFUNCTION("""COMPUTED_VALUE"""),"Sibonga")</f>
        <v>Sibonga</v>
      </c>
      <c r="AS456" s="142" t="str">
        <f>IFERROR(__xludf.DUMMYFUNCTION("""COMPUTED_VALUE"""),"Sogod")</f>
        <v>Sogod</v>
      </c>
      <c r="AT456" s="142" t="str">
        <f>IFERROR(__xludf.DUMMYFUNCTION("""COMPUTED_VALUE"""),"Tabogon")</f>
        <v>Tabogon</v>
      </c>
      <c r="AU456" s="142" t="str">
        <f>IFERROR(__xludf.DUMMYFUNCTION("""COMPUTED_VALUE"""),"Tabuelan")</f>
        <v>Tabuelan</v>
      </c>
      <c r="AV456" s="142" t="str">
        <f>IFERROR(__xludf.DUMMYFUNCTION("""COMPUTED_VALUE"""),"City of Talisay")</f>
        <v>City of Talisay</v>
      </c>
      <c r="AW456" s="142" t="str">
        <f>IFERROR(__xludf.DUMMYFUNCTION("""COMPUTED_VALUE"""),"City of Toledo")</f>
        <v>City of Toledo</v>
      </c>
      <c r="AX456" s="142" t="str">
        <f>IFERROR(__xludf.DUMMYFUNCTION("""COMPUTED_VALUE"""),"Tuburan")</f>
        <v>Tuburan</v>
      </c>
      <c r="AY456" s="142" t="str">
        <f>IFERROR(__xludf.DUMMYFUNCTION("""COMPUTED_VALUE"""),"Tudela")</f>
        <v>Tudela</v>
      </c>
      <c r="AZ456" s="142" t="str">
        <f>IFERROR(__xludf.DUMMYFUNCTION("""COMPUTED_VALUE"""),"City of Cebu")</f>
        <v>City of Cebu</v>
      </c>
      <c r="BA456" s="142" t="str">
        <f>IFERROR(__xludf.DUMMYFUNCTION("""COMPUTED_VALUE"""),"City of Lapu-Lapu")</f>
        <v>City of Lapu-Lapu</v>
      </c>
      <c r="BB456" s="142" t="str">
        <f>IFERROR(__xludf.DUMMYFUNCTION("""COMPUTED_VALUE"""),"City of Mandaue")</f>
        <v>City of Mandaue</v>
      </c>
      <c r="BC456" s="8"/>
      <c r="BD456" s="8"/>
      <c r="BE456" s="8"/>
    </row>
    <row r="457">
      <c r="A457" s="142" t="s">
        <v>194</v>
      </c>
      <c r="B457" s="142" t="str">
        <f>IFERROR(__xludf.DUMMYFUNCTION("""COMPUTED_VALUE"""),"Alcantara")</f>
        <v>Alcantara</v>
      </c>
      <c r="C457" s="142" t="str">
        <f>IFERROR(__xludf.DUMMYFUNCTION("""COMPUTED_VALUE"""),"Alcoy")</f>
        <v>Alcoy</v>
      </c>
      <c r="D457" s="142" t="str">
        <f>IFERROR(__xludf.DUMMYFUNCTION("""COMPUTED_VALUE"""),"Alegria")</f>
        <v>Alegria</v>
      </c>
      <c r="E457" s="142" t="str">
        <f>IFERROR(__xludf.DUMMYFUNCTION("""COMPUTED_VALUE"""),"Aloguinsan")</f>
        <v>Aloguinsan</v>
      </c>
      <c r="F457" s="142" t="str">
        <f>IFERROR(__xludf.DUMMYFUNCTION("""COMPUTED_VALUE"""),"Argao")</f>
        <v>Argao</v>
      </c>
      <c r="G457" s="142" t="str">
        <f>IFERROR(__xludf.DUMMYFUNCTION("""COMPUTED_VALUE"""),"Asturias")</f>
        <v>Asturias</v>
      </c>
      <c r="H457" s="142" t="str">
        <f>IFERROR(__xludf.DUMMYFUNCTION("""COMPUTED_VALUE"""),"Badian")</f>
        <v>Badian</v>
      </c>
      <c r="I457" s="142" t="str">
        <f>IFERROR(__xludf.DUMMYFUNCTION("""COMPUTED_VALUE"""),"Balamban")</f>
        <v>Balamban</v>
      </c>
      <c r="J457" s="142" t="str">
        <f>IFERROR(__xludf.DUMMYFUNCTION("""COMPUTED_VALUE"""),"Bantayan")</f>
        <v>Bantayan</v>
      </c>
      <c r="K457" s="142" t="str">
        <f>IFERROR(__xludf.DUMMYFUNCTION("""COMPUTED_VALUE"""),"Barili")</f>
        <v>Barili</v>
      </c>
      <c r="L457" s="142" t="str">
        <f>IFERROR(__xludf.DUMMYFUNCTION("""COMPUTED_VALUE"""),"City of Bogo")</f>
        <v>City of Bogo</v>
      </c>
      <c r="M457" s="142" t="str">
        <f>IFERROR(__xludf.DUMMYFUNCTION("""COMPUTED_VALUE"""),"Boljoon")</f>
        <v>Boljoon</v>
      </c>
      <c r="N457" s="142" t="str">
        <f>IFERROR(__xludf.DUMMYFUNCTION("""COMPUTED_VALUE"""),"Borbon")</f>
        <v>Borbon</v>
      </c>
      <c r="O457" s="142" t="str">
        <f>IFERROR(__xludf.DUMMYFUNCTION("""COMPUTED_VALUE"""),"City of Carcar")</f>
        <v>City of Carcar</v>
      </c>
      <c r="P457" s="142" t="str">
        <f>IFERROR(__xludf.DUMMYFUNCTION("""COMPUTED_VALUE"""),"Carmen")</f>
        <v>Carmen</v>
      </c>
      <c r="Q457" s="142" t="str">
        <f>IFERROR(__xludf.DUMMYFUNCTION("""COMPUTED_VALUE"""),"Catmon")</f>
        <v>Catmon</v>
      </c>
      <c r="R457" s="142" t="str">
        <f>IFERROR(__xludf.DUMMYFUNCTION("""COMPUTED_VALUE"""),"Compostela")</f>
        <v>Compostela</v>
      </c>
      <c r="S457" s="142" t="str">
        <f>IFERROR(__xludf.DUMMYFUNCTION("""COMPUTED_VALUE"""),"Consolacion")</f>
        <v>Consolacion</v>
      </c>
      <c r="T457" s="142" t="str">
        <f>IFERROR(__xludf.DUMMYFUNCTION("""COMPUTED_VALUE"""),"Cordova")</f>
        <v>Cordova</v>
      </c>
      <c r="U457" s="142" t="str">
        <f>IFERROR(__xludf.DUMMYFUNCTION("""COMPUTED_VALUE"""),"Daanbantayan")</f>
        <v>Daanbantayan</v>
      </c>
      <c r="V457" s="142" t="str">
        <f>IFERROR(__xludf.DUMMYFUNCTION("""COMPUTED_VALUE"""),"Dalaguete")</f>
        <v>Dalaguete</v>
      </c>
      <c r="W457" s="142" t="str">
        <f>IFERROR(__xludf.DUMMYFUNCTION("""COMPUTED_VALUE"""),"Danao City")</f>
        <v>Danao City</v>
      </c>
      <c r="X457" s="142" t="str">
        <f>IFERROR(__xludf.DUMMYFUNCTION("""COMPUTED_VALUE"""),"Dumanjug")</f>
        <v>Dumanjug</v>
      </c>
      <c r="Y457" s="142" t="str">
        <f>IFERROR(__xludf.DUMMYFUNCTION("""COMPUTED_VALUE"""),"Ginatilan")</f>
        <v>Ginatilan</v>
      </c>
      <c r="Z457" s="142" t="str">
        <f>IFERROR(__xludf.DUMMYFUNCTION("""COMPUTED_VALUE"""),"Liloan")</f>
        <v>Liloan</v>
      </c>
      <c r="AA457" s="142" t="str">
        <f>IFERROR(__xludf.DUMMYFUNCTION("""COMPUTED_VALUE"""),"Madridejos")</f>
        <v>Madridejos</v>
      </c>
      <c r="AB457" s="142" t="str">
        <f>IFERROR(__xludf.DUMMYFUNCTION("""COMPUTED_VALUE"""),"Malabuyoc")</f>
        <v>Malabuyoc</v>
      </c>
      <c r="AC457" s="142" t="str">
        <f>IFERROR(__xludf.DUMMYFUNCTION("""COMPUTED_VALUE"""),"Medellin")</f>
        <v>Medellin</v>
      </c>
      <c r="AD457" s="142" t="str">
        <f>IFERROR(__xludf.DUMMYFUNCTION("""COMPUTED_VALUE"""),"Minglanilla")</f>
        <v>Minglanilla</v>
      </c>
      <c r="AE457" s="142" t="str">
        <f>IFERROR(__xludf.DUMMYFUNCTION("""COMPUTED_VALUE"""),"Moalboal")</f>
        <v>Moalboal</v>
      </c>
      <c r="AF457" s="142" t="str">
        <f>IFERROR(__xludf.DUMMYFUNCTION("""COMPUTED_VALUE"""),"City of Naga")</f>
        <v>City of Naga</v>
      </c>
      <c r="AG457" s="142" t="str">
        <f>IFERROR(__xludf.DUMMYFUNCTION("""COMPUTED_VALUE"""),"Oslob")</f>
        <v>Oslob</v>
      </c>
      <c r="AH457" s="142" t="str">
        <f>IFERROR(__xludf.DUMMYFUNCTION("""COMPUTED_VALUE"""),"Pilar")</f>
        <v>Pilar</v>
      </c>
      <c r="AI457" s="142" t="str">
        <f>IFERROR(__xludf.DUMMYFUNCTION("""COMPUTED_VALUE"""),"Pinamungajan")</f>
        <v>Pinamungajan</v>
      </c>
      <c r="AJ457" s="142" t="str">
        <f>IFERROR(__xludf.DUMMYFUNCTION("""COMPUTED_VALUE"""),"Poro")</f>
        <v>Poro</v>
      </c>
      <c r="AK457" s="142" t="str">
        <f>IFERROR(__xludf.DUMMYFUNCTION("""COMPUTED_VALUE"""),"Ronda")</f>
        <v>Ronda</v>
      </c>
      <c r="AL457" s="142" t="str">
        <f>IFERROR(__xludf.DUMMYFUNCTION("""COMPUTED_VALUE"""),"Samboan")</f>
        <v>Samboan</v>
      </c>
      <c r="AM457" s="142" t="str">
        <f>IFERROR(__xludf.DUMMYFUNCTION("""COMPUTED_VALUE"""),"San Fernando")</f>
        <v>San Fernando</v>
      </c>
      <c r="AN457" s="142" t="str">
        <f>IFERROR(__xludf.DUMMYFUNCTION("""COMPUTED_VALUE"""),"San Francisco")</f>
        <v>San Francisco</v>
      </c>
      <c r="AO457" s="142" t="str">
        <f>IFERROR(__xludf.DUMMYFUNCTION("""COMPUTED_VALUE"""),"San Remigio")</f>
        <v>San Remigio</v>
      </c>
      <c r="AP457" s="142" t="str">
        <f>IFERROR(__xludf.DUMMYFUNCTION("""COMPUTED_VALUE"""),"Santa Fe")</f>
        <v>Santa Fe</v>
      </c>
      <c r="AQ457" s="142" t="str">
        <f>IFERROR(__xludf.DUMMYFUNCTION("""COMPUTED_VALUE"""),"Santander")</f>
        <v>Santander</v>
      </c>
      <c r="AR457" s="142" t="str">
        <f>IFERROR(__xludf.DUMMYFUNCTION("""COMPUTED_VALUE"""),"Sibonga")</f>
        <v>Sibonga</v>
      </c>
      <c r="AS457" s="142" t="str">
        <f>IFERROR(__xludf.DUMMYFUNCTION("""COMPUTED_VALUE"""),"Sogod")</f>
        <v>Sogod</v>
      </c>
      <c r="AT457" s="142" t="str">
        <f>IFERROR(__xludf.DUMMYFUNCTION("""COMPUTED_VALUE"""),"Tabogon")</f>
        <v>Tabogon</v>
      </c>
      <c r="AU457" s="142" t="str">
        <f>IFERROR(__xludf.DUMMYFUNCTION("""COMPUTED_VALUE"""),"Tabuelan")</f>
        <v>Tabuelan</v>
      </c>
      <c r="AV457" s="142" t="str">
        <f>IFERROR(__xludf.DUMMYFUNCTION("""COMPUTED_VALUE"""),"City of Talisay")</f>
        <v>City of Talisay</v>
      </c>
      <c r="AW457" s="142" t="str">
        <f>IFERROR(__xludf.DUMMYFUNCTION("""COMPUTED_VALUE"""),"City of Toledo")</f>
        <v>City of Toledo</v>
      </c>
      <c r="AX457" s="142" t="str">
        <f>IFERROR(__xludf.DUMMYFUNCTION("""COMPUTED_VALUE"""),"Tuburan")</f>
        <v>Tuburan</v>
      </c>
      <c r="AY457" s="142" t="str">
        <f>IFERROR(__xludf.DUMMYFUNCTION("""COMPUTED_VALUE"""),"Tudela")</f>
        <v>Tudela</v>
      </c>
      <c r="AZ457" s="142" t="str">
        <f>IFERROR(__xludf.DUMMYFUNCTION("""COMPUTED_VALUE"""),"City of Cebu")</f>
        <v>City of Cebu</v>
      </c>
      <c r="BA457" s="142" t="str">
        <f>IFERROR(__xludf.DUMMYFUNCTION("""COMPUTED_VALUE"""),"City of Lapu-Lapu")</f>
        <v>City of Lapu-Lapu</v>
      </c>
      <c r="BB457" s="142" t="str">
        <f>IFERROR(__xludf.DUMMYFUNCTION("""COMPUTED_VALUE"""),"City of Mandaue")</f>
        <v>City of Mandaue</v>
      </c>
      <c r="BC457" s="8"/>
      <c r="BD457" s="8"/>
      <c r="BE457" s="8"/>
    </row>
    <row r="458">
      <c r="A458" s="142" t="s">
        <v>580</v>
      </c>
      <c r="B458" s="142" t="str">
        <f>IFERROR(__xludf.DUMMYFUNCTION("""COMPUTED_VALUE"""),"Arteche")</f>
        <v>Arteche</v>
      </c>
      <c r="C458" s="142" t="str">
        <f>IFERROR(__xludf.DUMMYFUNCTION("""COMPUTED_VALUE"""),"Balangiga")</f>
        <v>Balangiga</v>
      </c>
      <c r="D458" s="142" t="str">
        <f>IFERROR(__xludf.DUMMYFUNCTION("""COMPUTED_VALUE"""),"Balangkayan")</f>
        <v>Balangkayan</v>
      </c>
      <c r="E458" s="142" t="str">
        <f>IFERROR(__xludf.DUMMYFUNCTION("""COMPUTED_VALUE"""),"City of Borongan")</f>
        <v>City of Borongan</v>
      </c>
      <c r="F458" s="142" t="str">
        <f>IFERROR(__xludf.DUMMYFUNCTION("""COMPUTED_VALUE"""),"Can-Avid")</f>
        <v>Can-Avid</v>
      </c>
      <c r="G458" s="142" t="str">
        <f>IFERROR(__xludf.DUMMYFUNCTION("""COMPUTED_VALUE"""),"Dolores")</f>
        <v>Dolores</v>
      </c>
      <c r="H458" s="142" t="str">
        <f>IFERROR(__xludf.DUMMYFUNCTION("""COMPUTED_VALUE"""),"General Macarthur")</f>
        <v>General Macarthur</v>
      </c>
      <c r="I458" s="142" t="str">
        <f>IFERROR(__xludf.DUMMYFUNCTION("""COMPUTED_VALUE"""),"Giporlos")</f>
        <v>Giporlos</v>
      </c>
      <c r="J458" s="142" t="str">
        <f>IFERROR(__xludf.DUMMYFUNCTION("""COMPUTED_VALUE"""),"Guiuan")</f>
        <v>Guiuan</v>
      </c>
      <c r="K458" s="142" t="str">
        <f>IFERROR(__xludf.DUMMYFUNCTION("""COMPUTED_VALUE"""),"Hernani")</f>
        <v>Hernani</v>
      </c>
      <c r="L458" s="142" t="str">
        <f>IFERROR(__xludf.DUMMYFUNCTION("""COMPUTED_VALUE"""),"Jipapad")</f>
        <v>Jipapad</v>
      </c>
      <c r="M458" s="142" t="str">
        <f>IFERROR(__xludf.DUMMYFUNCTION("""COMPUTED_VALUE"""),"Lawaan")</f>
        <v>Lawaan</v>
      </c>
      <c r="N458" s="142" t="str">
        <f>IFERROR(__xludf.DUMMYFUNCTION("""COMPUTED_VALUE"""),"Llorente")</f>
        <v>Llorente</v>
      </c>
      <c r="O458" s="142" t="str">
        <f>IFERROR(__xludf.DUMMYFUNCTION("""COMPUTED_VALUE"""),"Maslog")</f>
        <v>Maslog</v>
      </c>
      <c r="P458" s="142" t="str">
        <f>IFERROR(__xludf.DUMMYFUNCTION("""COMPUTED_VALUE"""),"Maydolong")</f>
        <v>Maydolong</v>
      </c>
      <c r="Q458" s="142" t="str">
        <f>IFERROR(__xludf.DUMMYFUNCTION("""COMPUTED_VALUE"""),"Mercedes")</f>
        <v>Mercedes</v>
      </c>
      <c r="R458" s="142" t="str">
        <f>IFERROR(__xludf.DUMMYFUNCTION("""COMPUTED_VALUE"""),"Oras")</f>
        <v>Oras</v>
      </c>
      <c r="S458" s="142" t="str">
        <f>IFERROR(__xludf.DUMMYFUNCTION("""COMPUTED_VALUE"""),"Quinapondan")</f>
        <v>Quinapondan</v>
      </c>
      <c r="T458" s="142" t="str">
        <f>IFERROR(__xludf.DUMMYFUNCTION("""COMPUTED_VALUE"""),"Salcedo")</f>
        <v>Salcedo</v>
      </c>
      <c r="U458" s="142" t="str">
        <f>IFERROR(__xludf.DUMMYFUNCTION("""COMPUTED_VALUE"""),"San Julian")</f>
        <v>San Julian</v>
      </c>
      <c r="V458" s="142" t="str">
        <f>IFERROR(__xludf.DUMMYFUNCTION("""COMPUTED_VALUE"""),"San Policarpo")</f>
        <v>San Policarpo</v>
      </c>
      <c r="W458" s="142" t="str">
        <f>IFERROR(__xludf.DUMMYFUNCTION("""COMPUTED_VALUE"""),"Sulat")</f>
        <v>Sulat</v>
      </c>
      <c r="X458" s="142" t="str">
        <f>IFERROR(__xludf.DUMMYFUNCTION("""COMPUTED_VALUE"""),"Taft")</f>
        <v>Taft</v>
      </c>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row>
    <row r="459">
      <c r="A459" s="142" t="s">
        <v>1271</v>
      </c>
      <c r="B459" s="142" t="str">
        <f>IFERROR(__xludf.DUMMYFUNCTION("""COMPUTED_VALUE"""),"Anahawan")</f>
        <v>Anahawan</v>
      </c>
      <c r="C459" s="142" t="str">
        <f>IFERROR(__xludf.DUMMYFUNCTION("""COMPUTED_VALUE"""),"Bontoc")</f>
        <v>Bontoc</v>
      </c>
      <c r="D459" s="142" t="str">
        <f>IFERROR(__xludf.DUMMYFUNCTION("""COMPUTED_VALUE"""),"Hinunangan")</f>
        <v>Hinunangan</v>
      </c>
      <c r="E459" s="142" t="str">
        <f>IFERROR(__xludf.DUMMYFUNCTION("""COMPUTED_VALUE"""),"Hinundayan")</f>
        <v>Hinundayan</v>
      </c>
      <c r="F459" s="142" t="str">
        <f>IFERROR(__xludf.DUMMYFUNCTION("""COMPUTED_VALUE"""),"Libagon")</f>
        <v>Libagon</v>
      </c>
      <c r="G459" s="142" t="str">
        <f>IFERROR(__xludf.DUMMYFUNCTION("""COMPUTED_VALUE"""),"Liloan")</f>
        <v>Liloan</v>
      </c>
      <c r="H459" s="142" t="str">
        <f>IFERROR(__xludf.DUMMYFUNCTION("""COMPUTED_VALUE"""),"City of Maasin")</f>
        <v>City of Maasin</v>
      </c>
      <c r="I459" s="142" t="str">
        <f>IFERROR(__xludf.DUMMYFUNCTION("""COMPUTED_VALUE"""),"Macrohon")</f>
        <v>Macrohon</v>
      </c>
      <c r="J459" s="142" t="str">
        <f>IFERROR(__xludf.DUMMYFUNCTION("""COMPUTED_VALUE"""),"Malitbog")</f>
        <v>Malitbog</v>
      </c>
      <c r="K459" s="142" t="str">
        <f>IFERROR(__xludf.DUMMYFUNCTION("""COMPUTED_VALUE"""),"Padre Burgos")</f>
        <v>Padre Burgos</v>
      </c>
      <c r="L459" s="142" t="str">
        <f>IFERROR(__xludf.DUMMYFUNCTION("""COMPUTED_VALUE"""),"Pintuyan")</f>
        <v>Pintuyan</v>
      </c>
      <c r="M459" s="142" t="str">
        <f>IFERROR(__xludf.DUMMYFUNCTION("""COMPUTED_VALUE"""),"Saint Bernard")</f>
        <v>Saint Bernard</v>
      </c>
      <c r="N459" s="142" t="str">
        <f>IFERROR(__xludf.DUMMYFUNCTION("""COMPUTED_VALUE"""),"San Francisco")</f>
        <v>San Francisco</v>
      </c>
      <c r="O459" s="142" t="str">
        <f>IFERROR(__xludf.DUMMYFUNCTION("""COMPUTED_VALUE"""),"San Juan")</f>
        <v>San Juan</v>
      </c>
      <c r="P459" s="142" t="str">
        <f>IFERROR(__xludf.DUMMYFUNCTION("""COMPUTED_VALUE"""),"San Ricardo")</f>
        <v>San Ricardo</v>
      </c>
      <c r="Q459" s="142" t="str">
        <f>IFERROR(__xludf.DUMMYFUNCTION("""COMPUTED_VALUE"""),"Silago")</f>
        <v>Silago</v>
      </c>
      <c r="R459" s="142" t="str">
        <f>IFERROR(__xludf.DUMMYFUNCTION("""COMPUTED_VALUE"""),"Sogod")</f>
        <v>Sogod</v>
      </c>
      <c r="S459" s="142" t="str">
        <f>IFERROR(__xludf.DUMMYFUNCTION("""COMPUTED_VALUE"""),"Tomas Oppus")</f>
        <v>Tomas Oppus</v>
      </c>
      <c r="T459" s="142" t="str">
        <f>IFERROR(__xludf.DUMMYFUNCTION("""COMPUTED_VALUE"""),"Limasawa")</f>
        <v>Limasawa</v>
      </c>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row>
    <row r="460">
      <c r="A460" s="142" t="s">
        <v>769</v>
      </c>
      <c r="B460" s="142" t="str">
        <f>IFERROR(__xludf.DUMMYFUNCTION("""COMPUTED_VALUE"""),"Aurora")</f>
        <v>Aurora</v>
      </c>
      <c r="C460" s="142" t="str">
        <f>IFERROR(__xludf.DUMMYFUNCTION("""COMPUTED_VALUE"""),"Bayog")</f>
        <v>Bayog</v>
      </c>
      <c r="D460" s="142" t="str">
        <f>IFERROR(__xludf.DUMMYFUNCTION("""COMPUTED_VALUE"""),"Dimataling")</f>
        <v>Dimataling</v>
      </c>
      <c r="E460" s="142" t="str">
        <f>IFERROR(__xludf.DUMMYFUNCTION("""COMPUTED_VALUE"""),"Dinas")</f>
        <v>Dinas</v>
      </c>
      <c r="F460" s="142" t="str">
        <f>IFERROR(__xludf.DUMMYFUNCTION("""COMPUTED_VALUE"""),"Dumalinao")</f>
        <v>Dumalinao</v>
      </c>
      <c r="G460" s="142" t="str">
        <f>IFERROR(__xludf.DUMMYFUNCTION("""COMPUTED_VALUE"""),"Dumingag")</f>
        <v>Dumingag</v>
      </c>
      <c r="H460" s="142" t="str">
        <f>IFERROR(__xludf.DUMMYFUNCTION("""COMPUTED_VALUE"""),"Kumalarang")</f>
        <v>Kumalarang</v>
      </c>
      <c r="I460" s="142" t="str">
        <f>IFERROR(__xludf.DUMMYFUNCTION("""COMPUTED_VALUE"""),"Labangan")</f>
        <v>Labangan</v>
      </c>
      <c r="J460" s="142" t="str">
        <f>IFERROR(__xludf.DUMMYFUNCTION("""COMPUTED_VALUE"""),"Lapuyan")</f>
        <v>Lapuyan</v>
      </c>
      <c r="K460" s="142" t="str">
        <f>IFERROR(__xludf.DUMMYFUNCTION("""COMPUTED_VALUE"""),"Mahayag")</f>
        <v>Mahayag</v>
      </c>
      <c r="L460" s="142" t="str">
        <f>IFERROR(__xludf.DUMMYFUNCTION("""COMPUTED_VALUE"""),"Margosatubig")</f>
        <v>Margosatubig</v>
      </c>
      <c r="M460" s="142" t="str">
        <f>IFERROR(__xludf.DUMMYFUNCTION("""COMPUTED_VALUE"""),"Midsalip")</f>
        <v>Midsalip</v>
      </c>
      <c r="N460" s="142" t="str">
        <f>IFERROR(__xludf.DUMMYFUNCTION("""COMPUTED_VALUE"""),"Molave")</f>
        <v>Molave</v>
      </c>
      <c r="O460" s="142" t="str">
        <f>IFERROR(__xludf.DUMMYFUNCTION("""COMPUTED_VALUE"""),"City of Pagadian")</f>
        <v>City of Pagadian</v>
      </c>
      <c r="P460" s="142" t="str">
        <f>IFERROR(__xludf.DUMMYFUNCTION("""COMPUTED_VALUE"""),"Ramon Magsaysay")</f>
        <v>Ramon Magsaysay</v>
      </c>
      <c r="Q460" s="142" t="str">
        <f>IFERROR(__xludf.DUMMYFUNCTION("""COMPUTED_VALUE"""),"San Miguel")</f>
        <v>San Miguel</v>
      </c>
      <c r="R460" s="142" t="str">
        <f>IFERROR(__xludf.DUMMYFUNCTION("""COMPUTED_VALUE"""),"San Pablo")</f>
        <v>San Pablo</v>
      </c>
      <c r="S460" s="142" t="str">
        <f>IFERROR(__xludf.DUMMYFUNCTION("""COMPUTED_VALUE"""),"Tabina")</f>
        <v>Tabina</v>
      </c>
      <c r="T460" s="142" t="str">
        <f>IFERROR(__xludf.DUMMYFUNCTION("""COMPUTED_VALUE"""),"Tambulig")</f>
        <v>Tambulig</v>
      </c>
      <c r="U460" s="142" t="str">
        <f>IFERROR(__xludf.DUMMYFUNCTION("""COMPUTED_VALUE"""),"Tukuran")</f>
        <v>Tukuran</v>
      </c>
      <c r="V460" s="142" t="str">
        <f>IFERROR(__xludf.DUMMYFUNCTION("""COMPUTED_VALUE"""),"City of Zamboanga")</f>
        <v>City of Zamboanga</v>
      </c>
      <c r="W460" s="142" t="str">
        <f>IFERROR(__xludf.DUMMYFUNCTION("""COMPUTED_VALUE"""),"Lakewood")</f>
        <v>Lakewood</v>
      </c>
      <c r="X460" s="142" t="str">
        <f>IFERROR(__xludf.DUMMYFUNCTION("""COMPUTED_VALUE"""),"Josefina")</f>
        <v>Josefina</v>
      </c>
      <c r="Y460" s="142" t="str">
        <f>IFERROR(__xludf.DUMMYFUNCTION("""COMPUTED_VALUE"""),"Pitogo")</f>
        <v>Pitogo</v>
      </c>
      <c r="Z460" s="142" t="str">
        <f>IFERROR(__xludf.DUMMYFUNCTION("""COMPUTED_VALUE"""),"Sominot")</f>
        <v>Sominot</v>
      </c>
      <c r="AA460" s="142" t="str">
        <f>IFERROR(__xludf.DUMMYFUNCTION("""COMPUTED_VALUE"""),"Vincenzo A. Sagun")</f>
        <v>Vincenzo A. Sagun</v>
      </c>
      <c r="AB460" s="142" t="str">
        <f>IFERROR(__xludf.DUMMYFUNCTION("""COMPUTED_VALUE"""),"Guipos")</f>
        <v>Guipos</v>
      </c>
      <c r="AC460" s="142" t="str">
        <f>IFERROR(__xludf.DUMMYFUNCTION("""COMPUTED_VALUE"""),"Tigbao")</f>
        <v>Tigbao</v>
      </c>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row>
    <row r="461">
      <c r="A461" s="142" t="s">
        <v>172</v>
      </c>
      <c r="B461" s="142" t="str">
        <f>IFERROR(__xludf.DUMMYFUNCTION("""COMPUTED_VALUE"""),"Alubijid")</f>
        <v>Alubijid</v>
      </c>
      <c r="C461" s="142" t="str">
        <f>IFERROR(__xludf.DUMMYFUNCTION("""COMPUTED_VALUE"""),"Balingasag")</f>
        <v>Balingasag</v>
      </c>
      <c r="D461" s="142" t="str">
        <f>IFERROR(__xludf.DUMMYFUNCTION("""COMPUTED_VALUE"""),"Balingoan")</f>
        <v>Balingoan</v>
      </c>
      <c r="E461" s="142" t="str">
        <f>IFERROR(__xludf.DUMMYFUNCTION("""COMPUTED_VALUE"""),"Binuangan")</f>
        <v>Binuangan</v>
      </c>
      <c r="F461" s="142" t="str">
        <f>IFERROR(__xludf.DUMMYFUNCTION("""COMPUTED_VALUE"""),"City of Cagayan De Oro")</f>
        <v>City of Cagayan De Oro</v>
      </c>
      <c r="G461" s="142" t="str">
        <f>IFERROR(__xludf.DUMMYFUNCTION("""COMPUTED_VALUE"""),"Claveria")</f>
        <v>Claveria</v>
      </c>
      <c r="H461" s="142" t="str">
        <f>IFERROR(__xludf.DUMMYFUNCTION("""COMPUTED_VALUE"""),"City of El Salvador")</f>
        <v>City of El Salvador</v>
      </c>
      <c r="I461" s="142" t="str">
        <f>IFERROR(__xludf.DUMMYFUNCTION("""COMPUTED_VALUE"""),"City of Gingoog")</f>
        <v>City of Gingoog</v>
      </c>
      <c r="J461" s="142" t="str">
        <f>IFERROR(__xludf.DUMMYFUNCTION("""COMPUTED_VALUE"""),"Gitagum")</f>
        <v>Gitagum</v>
      </c>
      <c r="K461" s="142" t="str">
        <f>IFERROR(__xludf.DUMMYFUNCTION("""COMPUTED_VALUE"""),"Initao")</f>
        <v>Initao</v>
      </c>
      <c r="L461" s="142" t="str">
        <f>IFERROR(__xludf.DUMMYFUNCTION("""COMPUTED_VALUE"""),"Jasaan")</f>
        <v>Jasaan</v>
      </c>
      <c r="M461" s="142" t="str">
        <f>IFERROR(__xludf.DUMMYFUNCTION("""COMPUTED_VALUE"""),"Kinoguitan")</f>
        <v>Kinoguitan</v>
      </c>
      <c r="N461" s="142" t="str">
        <f>IFERROR(__xludf.DUMMYFUNCTION("""COMPUTED_VALUE"""),"Lagonglong")</f>
        <v>Lagonglong</v>
      </c>
      <c r="O461" s="142" t="str">
        <f>IFERROR(__xludf.DUMMYFUNCTION("""COMPUTED_VALUE"""),"Laguindingan")</f>
        <v>Laguindingan</v>
      </c>
      <c r="P461" s="142" t="str">
        <f>IFERROR(__xludf.DUMMYFUNCTION("""COMPUTED_VALUE"""),"Libertad")</f>
        <v>Libertad</v>
      </c>
      <c r="Q461" s="142" t="str">
        <f>IFERROR(__xludf.DUMMYFUNCTION("""COMPUTED_VALUE"""),"Lugait")</f>
        <v>Lugait</v>
      </c>
      <c r="R461" s="142" t="str">
        <f>IFERROR(__xludf.DUMMYFUNCTION("""COMPUTED_VALUE"""),"Magsaysay")</f>
        <v>Magsaysay</v>
      </c>
      <c r="S461" s="142" t="str">
        <f>IFERROR(__xludf.DUMMYFUNCTION("""COMPUTED_VALUE"""),"Manticao")</f>
        <v>Manticao</v>
      </c>
      <c r="T461" s="142" t="str">
        <f>IFERROR(__xludf.DUMMYFUNCTION("""COMPUTED_VALUE"""),"Medina")</f>
        <v>Medina</v>
      </c>
      <c r="U461" s="142" t="str">
        <f>IFERROR(__xludf.DUMMYFUNCTION("""COMPUTED_VALUE"""),"Naawan")</f>
        <v>Naawan</v>
      </c>
      <c r="V461" s="142" t="str">
        <f>IFERROR(__xludf.DUMMYFUNCTION("""COMPUTED_VALUE"""),"Opol")</f>
        <v>Opol</v>
      </c>
      <c r="W461" s="142" t="str">
        <f>IFERROR(__xludf.DUMMYFUNCTION("""COMPUTED_VALUE"""),"Salay")</f>
        <v>Salay</v>
      </c>
      <c r="X461" s="142" t="str">
        <f>IFERROR(__xludf.DUMMYFUNCTION("""COMPUTED_VALUE"""),"Sugbongcogon")</f>
        <v>Sugbongcogon</v>
      </c>
      <c r="Y461" s="142" t="str">
        <f>IFERROR(__xludf.DUMMYFUNCTION("""COMPUTED_VALUE"""),"Tagoloan")</f>
        <v>Tagoloan</v>
      </c>
      <c r="Z461" s="142" t="str">
        <f>IFERROR(__xludf.DUMMYFUNCTION("""COMPUTED_VALUE"""),"Talisayan")</f>
        <v>Talisayan</v>
      </c>
      <c r="AA461" s="142" t="str">
        <f>IFERROR(__xludf.DUMMYFUNCTION("""COMPUTED_VALUE"""),"Villanueva")</f>
        <v>Villanueva</v>
      </c>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row>
    <row r="462">
      <c r="A462" s="142" t="s">
        <v>999</v>
      </c>
      <c r="B462" s="142" t="str">
        <f>IFERROR(__xludf.DUMMYFUNCTION("""COMPUTED_VALUE"""),"Baganga")</f>
        <v>Baganga</v>
      </c>
      <c r="C462" s="142" t="str">
        <f>IFERROR(__xludf.DUMMYFUNCTION("""COMPUTED_VALUE"""),"Banaybanay")</f>
        <v>Banaybanay</v>
      </c>
      <c r="D462" s="142" t="str">
        <f>IFERROR(__xludf.DUMMYFUNCTION("""COMPUTED_VALUE"""),"Boston")</f>
        <v>Boston</v>
      </c>
      <c r="E462" s="142" t="str">
        <f>IFERROR(__xludf.DUMMYFUNCTION("""COMPUTED_VALUE"""),"Caraga")</f>
        <v>Caraga</v>
      </c>
      <c r="F462" s="142" t="str">
        <f>IFERROR(__xludf.DUMMYFUNCTION("""COMPUTED_VALUE"""),"Cateel")</f>
        <v>Cateel</v>
      </c>
      <c r="G462" s="142" t="str">
        <f>IFERROR(__xludf.DUMMYFUNCTION("""COMPUTED_VALUE"""),"Governor Generoso")</f>
        <v>Governor Generoso</v>
      </c>
      <c r="H462" s="142" t="str">
        <f>IFERROR(__xludf.DUMMYFUNCTION("""COMPUTED_VALUE"""),"Lupon")</f>
        <v>Lupon</v>
      </c>
      <c r="I462" s="142" t="str">
        <f>IFERROR(__xludf.DUMMYFUNCTION("""COMPUTED_VALUE"""),"Manay")</f>
        <v>Manay</v>
      </c>
      <c r="J462" s="142" t="str">
        <f>IFERROR(__xludf.DUMMYFUNCTION("""COMPUTED_VALUE"""),"City of Mati")</f>
        <v>City of Mati</v>
      </c>
      <c r="K462" s="142" t="str">
        <f>IFERROR(__xludf.DUMMYFUNCTION("""COMPUTED_VALUE"""),"San Isidro")</f>
        <v>San Isidro</v>
      </c>
      <c r="L462" s="142" t="str">
        <f>IFERROR(__xludf.DUMMYFUNCTION("""COMPUTED_VALUE"""),"Tarragona")</f>
        <v>Tarragona</v>
      </c>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row>
    <row r="463">
      <c r="A463" s="142" t="s">
        <v>1997</v>
      </c>
      <c r="B463" s="142" t="str">
        <f>IFERROR(__xludf.DUMMYFUNCTION("""COMPUTED_VALUE"""),"Banga")</f>
        <v>Banga</v>
      </c>
      <c r="C463" s="142" t="str">
        <f>IFERROR(__xludf.DUMMYFUNCTION("""COMPUTED_VALUE"""),"City of General Santos")</f>
        <v>City of General Santos</v>
      </c>
      <c r="D463" s="142" t="str">
        <f>IFERROR(__xludf.DUMMYFUNCTION("""COMPUTED_VALUE"""),"City of Koronadal")</f>
        <v>City of Koronadal</v>
      </c>
      <c r="E463" s="142" t="str">
        <f>IFERROR(__xludf.DUMMYFUNCTION("""COMPUTED_VALUE"""),"Norala")</f>
        <v>Norala</v>
      </c>
      <c r="F463" s="142" t="str">
        <f>IFERROR(__xludf.DUMMYFUNCTION("""COMPUTED_VALUE"""),"Polomolok")</f>
        <v>Polomolok</v>
      </c>
      <c r="G463" s="142" t="str">
        <f>IFERROR(__xludf.DUMMYFUNCTION("""COMPUTED_VALUE"""),"Surallah")</f>
        <v>Surallah</v>
      </c>
      <c r="H463" s="142" t="str">
        <f>IFERROR(__xludf.DUMMYFUNCTION("""COMPUTED_VALUE"""),"Tampakan")</f>
        <v>Tampakan</v>
      </c>
      <c r="I463" s="142" t="str">
        <f>IFERROR(__xludf.DUMMYFUNCTION("""COMPUTED_VALUE"""),"Tantangan")</f>
        <v>Tantangan</v>
      </c>
      <c r="J463" s="142" t="str">
        <f>IFERROR(__xludf.DUMMYFUNCTION("""COMPUTED_VALUE"""),"T'Boli")</f>
        <v>T'Boli</v>
      </c>
      <c r="K463" s="142" t="str">
        <f>IFERROR(__xludf.DUMMYFUNCTION("""COMPUTED_VALUE"""),"Tupi")</f>
        <v>Tupi</v>
      </c>
      <c r="L463" s="142" t="str">
        <f>IFERROR(__xludf.DUMMYFUNCTION("""COMPUTED_VALUE"""),"Santo Niño")</f>
        <v>Santo Niño</v>
      </c>
      <c r="M463" s="142" t="str">
        <f>IFERROR(__xludf.DUMMYFUNCTION("""COMPUTED_VALUE"""),"Lake Sebu")</f>
        <v>Lake Sebu</v>
      </c>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row>
    <row r="464">
      <c r="A464" s="142" t="s">
        <v>357</v>
      </c>
      <c r="B464" s="142" t="str">
        <f>IFERROR(__xludf.DUMMYFUNCTION("""COMPUTED_VALUE"""),"Alabel")</f>
        <v>Alabel</v>
      </c>
      <c r="C464" s="142" t="str">
        <f>IFERROR(__xludf.DUMMYFUNCTION("""COMPUTED_VALUE"""),"Glan")</f>
        <v>Glan</v>
      </c>
      <c r="D464" s="142" t="str">
        <f>IFERROR(__xludf.DUMMYFUNCTION("""COMPUTED_VALUE"""),"Kiamba")</f>
        <v>Kiamba</v>
      </c>
      <c r="E464" s="142" t="str">
        <f>IFERROR(__xludf.DUMMYFUNCTION("""COMPUTED_VALUE"""),"Maasim")</f>
        <v>Maasim</v>
      </c>
      <c r="F464" s="142" t="str">
        <f>IFERROR(__xludf.DUMMYFUNCTION("""COMPUTED_VALUE"""),"Maitum")</f>
        <v>Maitum</v>
      </c>
      <c r="G464" s="142" t="str">
        <f>IFERROR(__xludf.DUMMYFUNCTION("""COMPUTED_VALUE"""),"Malapatan")</f>
        <v>Malapatan</v>
      </c>
      <c r="H464" s="142" t="str">
        <f>IFERROR(__xludf.DUMMYFUNCTION("""COMPUTED_VALUE"""),"Malungon")</f>
        <v>Malungon</v>
      </c>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row>
    <row r="465">
      <c r="A465" s="142" t="s">
        <v>346</v>
      </c>
      <c r="B465" s="142" t="str">
        <f>IFERROR(__xludf.DUMMYFUNCTION("""COMPUTED_VALUE"""),"Alegria")</f>
        <v>Alegria</v>
      </c>
      <c r="C465" s="142" t="str">
        <f>IFERROR(__xludf.DUMMYFUNCTION("""COMPUTED_VALUE"""),"Bacuag")</f>
        <v>Bacuag</v>
      </c>
      <c r="D465" s="142" t="str">
        <f>IFERROR(__xludf.DUMMYFUNCTION("""COMPUTED_VALUE"""),"Burgos")</f>
        <v>Burgos</v>
      </c>
      <c r="E465" s="142" t="str">
        <f>IFERROR(__xludf.DUMMYFUNCTION("""COMPUTED_VALUE"""),"Claver")</f>
        <v>Claver</v>
      </c>
      <c r="F465" s="142" t="str">
        <f>IFERROR(__xludf.DUMMYFUNCTION("""COMPUTED_VALUE"""),"Dapa")</f>
        <v>Dapa</v>
      </c>
      <c r="G465" s="142" t="str">
        <f>IFERROR(__xludf.DUMMYFUNCTION("""COMPUTED_VALUE"""),"Del Carmen")</f>
        <v>Del Carmen</v>
      </c>
      <c r="H465" s="142" t="str">
        <f>IFERROR(__xludf.DUMMYFUNCTION("""COMPUTED_VALUE"""),"General Luna")</f>
        <v>General Luna</v>
      </c>
      <c r="I465" s="142" t="str">
        <f>IFERROR(__xludf.DUMMYFUNCTION("""COMPUTED_VALUE"""),"Gigaquit")</f>
        <v>Gigaquit</v>
      </c>
      <c r="J465" s="142" t="str">
        <f>IFERROR(__xludf.DUMMYFUNCTION("""COMPUTED_VALUE"""),"Mainit")</f>
        <v>Mainit</v>
      </c>
      <c r="K465" s="142" t="str">
        <f>IFERROR(__xludf.DUMMYFUNCTION("""COMPUTED_VALUE"""),"Malimono")</f>
        <v>Malimono</v>
      </c>
      <c r="L465" s="142" t="str">
        <f>IFERROR(__xludf.DUMMYFUNCTION("""COMPUTED_VALUE"""),"Pilar")</f>
        <v>Pilar</v>
      </c>
      <c r="M465" s="142" t="str">
        <f>IFERROR(__xludf.DUMMYFUNCTION("""COMPUTED_VALUE"""),"Placer")</f>
        <v>Placer</v>
      </c>
      <c r="N465" s="142" t="str">
        <f>IFERROR(__xludf.DUMMYFUNCTION("""COMPUTED_VALUE"""),"San Benito")</f>
        <v>San Benito</v>
      </c>
      <c r="O465" s="142" t="str">
        <f>IFERROR(__xludf.DUMMYFUNCTION("""COMPUTED_VALUE"""),"San Francisco")</f>
        <v>San Francisco</v>
      </c>
      <c r="P465" s="142" t="str">
        <f>IFERROR(__xludf.DUMMYFUNCTION("""COMPUTED_VALUE"""),"San Isidro")</f>
        <v>San Isidro</v>
      </c>
      <c r="Q465" s="142" t="str">
        <f>IFERROR(__xludf.DUMMYFUNCTION("""COMPUTED_VALUE"""),"Santa Monica")</f>
        <v>Santa Monica</v>
      </c>
      <c r="R465" s="142" t="str">
        <f>IFERROR(__xludf.DUMMYFUNCTION("""COMPUTED_VALUE"""),"Sison")</f>
        <v>Sison</v>
      </c>
      <c r="S465" s="142" t="str">
        <f>IFERROR(__xludf.DUMMYFUNCTION("""COMPUTED_VALUE"""),"Socorro")</f>
        <v>Socorro</v>
      </c>
      <c r="T465" s="142" t="str">
        <f>IFERROR(__xludf.DUMMYFUNCTION("""COMPUTED_VALUE"""),"City of Surigao")</f>
        <v>City of Surigao</v>
      </c>
      <c r="U465" s="142" t="str">
        <f>IFERROR(__xludf.DUMMYFUNCTION("""COMPUTED_VALUE"""),"Tagana-An")</f>
        <v>Tagana-An</v>
      </c>
      <c r="V465" s="142" t="str">
        <f>IFERROR(__xludf.DUMMYFUNCTION("""COMPUTED_VALUE"""),"Tubod")</f>
        <v>Tubod</v>
      </c>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row>
    <row r="466">
      <c r="A466" s="142" t="s">
        <v>346</v>
      </c>
      <c r="B466" s="142" t="str">
        <f>IFERROR(__xludf.DUMMYFUNCTION("""COMPUTED_VALUE"""),"Alegria")</f>
        <v>Alegria</v>
      </c>
      <c r="C466" s="142" t="str">
        <f>IFERROR(__xludf.DUMMYFUNCTION("""COMPUTED_VALUE"""),"Bacuag")</f>
        <v>Bacuag</v>
      </c>
      <c r="D466" s="142" t="str">
        <f>IFERROR(__xludf.DUMMYFUNCTION("""COMPUTED_VALUE"""),"Burgos")</f>
        <v>Burgos</v>
      </c>
      <c r="E466" s="142" t="str">
        <f>IFERROR(__xludf.DUMMYFUNCTION("""COMPUTED_VALUE"""),"Claver")</f>
        <v>Claver</v>
      </c>
      <c r="F466" s="142" t="str">
        <f>IFERROR(__xludf.DUMMYFUNCTION("""COMPUTED_VALUE"""),"Dapa")</f>
        <v>Dapa</v>
      </c>
      <c r="G466" s="142" t="str">
        <f>IFERROR(__xludf.DUMMYFUNCTION("""COMPUTED_VALUE"""),"Del Carmen")</f>
        <v>Del Carmen</v>
      </c>
      <c r="H466" s="142" t="str">
        <f>IFERROR(__xludf.DUMMYFUNCTION("""COMPUTED_VALUE"""),"General Luna")</f>
        <v>General Luna</v>
      </c>
      <c r="I466" s="142" t="str">
        <f>IFERROR(__xludf.DUMMYFUNCTION("""COMPUTED_VALUE"""),"Gigaquit")</f>
        <v>Gigaquit</v>
      </c>
      <c r="J466" s="142" t="str">
        <f>IFERROR(__xludf.DUMMYFUNCTION("""COMPUTED_VALUE"""),"Mainit")</f>
        <v>Mainit</v>
      </c>
      <c r="K466" s="142" t="str">
        <f>IFERROR(__xludf.DUMMYFUNCTION("""COMPUTED_VALUE"""),"Malimono")</f>
        <v>Malimono</v>
      </c>
      <c r="L466" s="142" t="str">
        <f>IFERROR(__xludf.DUMMYFUNCTION("""COMPUTED_VALUE"""),"Pilar")</f>
        <v>Pilar</v>
      </c>
      <c r="M466" s="142" t="str">
        <f>IFERROR(__xludf.DUMMYFUNCTION("""COMPUTED_VALUE"""),"Placer")</f>
        <v>Placer</v>
      </c>
      <c r="N466" s="142" t="str">
        <f>IFERROR(__xludf.DUMMYFUNCTION("""COMPUTED_VALUE"""),"San Benito")</f>
        <v>San Benito</v>
      </c>
      <c r="O466" s="142" t="str">
        <f>IFERROR(__xludf.DUMMYFUNCTION("""COMPUTED_VALUE"""),"San Francisco")</f>
        <v>San Francisco</v>
      </c>
      <c r="P466" s="142" t="str">
        <f>IFERROR(__xludf.DUMMYFUNCTION("""COMPUTED_VALUE"""),"San Isidro")</f>
        <v>San Isidro</v>
      </c>
      <c r="Q466" s="142" t="str">
        <f>IFERROR(__xludf.DUMMYFUNCTION("""COMPUTED_VALUE"""),"Santa Monica")</f>
        <v>Santa Monica</v>
      </c>
      <c r="R466" s="142" t="str">
        <f>IFERROR(__xludf.DUMMYFUNCTION("""COMPUTED_VALUE"""),"Sison")</f>
        <v>Sison</v>
      </c>
      <c r="S466" s="142" t="str">
        <f>IFERROR(__xludf.DUMMYFUNCTION("""COMPUTED_VALUE"""),"Socorro")</f>
        <v>Socorro</v>
      </c>
      <c r="T466" s="142" t="str">
        <f>IFERROR(__xludf.DUMMYFUNCTION("""COMPUTED_VALUE"""),"City of Surigao")</f>
        <v>City of Surigao</v>
      </c>
      <c r="U466" s="142" t="str">
        <f>IFERROR(__xludf.DUMMYFUNCTION("""COMPUTED_VALUE"""),"Tagana-An")</f>
        <v>Tagana-An</v>
      </c>
      <c r="V466" s="142" t="str">
        <f>IFERROR(__xludf.DUMMYFUNCTION("""COMPUTED_VALUE"""),"Tubod")</f>
        <v>Tubod</v>
      </c>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row>
    <row r="467">
      <c r="A467" s="142" t="s">
        <v>3204</v>
      </c>
      <c r="B467" s="142" t="str">
        <f>IFERROR(__xludf.DUMMYFUNCTION("""COMPUTED_VALUE"""),"Barobo")</f>
        <v>Barobo</v>
      </c>
      <c r="C467" s="142" t="str">
        <f>IFERROR(__xludf.DUMMYFUNCTION("""COMPUTED_VALUE"""),"Bayabas")</f>
        <v>Bayabas</v>
      </c>
      <c r="D467" s="142" t="str">
        <f>IFERROR(__xludf.DUMMYFUNCTION("""COMPUTED_VALUE"""),"City of Bislig")</f>
        <v>City of Bislig</v>
      </c>
      <c r="E467" s="142" t="str">
        <f>IFERROR(__xludf.DUMMYFUNCTION("""COMPUTED_VALUE"""),"Cagwait")</f>
        <v>Cagwait</v>
      </c>
      <c r="F467" s="142" t="str">
        <f>IFERROR(__xludf.DUMMYFUNCTION("""COMPUTED_VALUE"""),"Cantilan")</f>
        <v>Cantilan</v>
      </c>
      <c r="G467" s="142" t="str">
        <f>IFERROR(__xludf.DUMMYFUNCTION("""COMPUTED_VALUE"""),"Carmen")</f>
        <v>Carmen</v>
      </c>
      <c r="H467" s="142" t="str">
        <f>IFERROR(__xludf.DUMMYFUNCTION("""COMPUTED_VALUE"""),"Carrascal")</f>
        <v>Carrascal</v>
      </c>
      <c r="I467" s="142" t="str">
        <f>IFERROR(__xludf.DUMMYFUNCTION("""COMPUTED_VALUE"""),"Cortes")</f>
        <v>Cortes</v>
      </c>
      <c r="J467" s="142" t="str">
        <f>IFERROR(__xludf.DUMMYFUNCTION("""COMPUTED_VALUE"""),"Hinatuan")</f>
        <v>Hinatuan</v>
      </c>
      <c r="K467" s="142" t="str">
        <f>IFERROR(__xludf.DUMMYFUNCTION("""COMPUTED_VALUE"""),"Lanuza")</f>
        <v>Lanuza</v>
      </c>
      <c r="L467" s="142" t="str">
        <f>IFERROR(__xludf.DUMMYFUNCTION("""COMPUTED_VALUE"""),"Lianga")</f>
        <v>Lianga</v>
      </c>
      <c r="M467" s="142" t="str">
        <f>IFERROR(__xludf.DUMMYFUNCTION("""COMPUTED_VALUE"""),"Lingig")</f>
        <v>Lingig</v>
      </c>
      <c r="N467" s="142" t="str">
        <f>IFERROR(__xludf.DUMMYFUNCTION("""COMPUTED_VALUE"""),"Madrid")</f>
        <v>Madrid</v>
      </c>
      <c r="O467" s="142" t="str">
        <f>IFERROR(__xludf.DUMMYFUNCTION("""COMPUTED_VALUE"""),"Marihatag")</f>
        <v>Marihatag</v>
      </c>
      <c r="P467" s="142" t="str">
        <f>IFERROR(__xludf.DUMMYFUNCTION("""COMPUTED_VALUE"""),"San Agustin")</f>
        <v>San Agustin</v>
      </c>
      <c r="Q467" s="142" t="str">
        <f>IFERROR(__xludf.DUMMYFUNCTION("""COMPUTED_VALUE"""),"San Miguel")</f>
        <v>San Miguel</v>
      </c>
      <c r="R467" s="142" t="str">
        <f>IFERROR(__xludf.DUMMYFUNCTION("""COMPUTED_VALUE"""),"Tagbina")</f>
        <v>Tagbina</v>
      </c>
      <c r="S467" s="142" t="str">
        <f>IFERROR(__xludf.DUMMYFUNCTION("""COMPUTED_VALUE"""),"Tago")</f>
        <v>Tago</v>
      </c>
      <c r="T467" s="142" t="str">
        <f>IFERROR(__xludf.DUMMYFUNCTION("""COMPUTED_VALUE"""),"City of Tandag")</f>
        <v>City of Tandag</v>
      </c>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row>
    <row r="468">
      <c r="A468" s="142" t="s">
        <v>632</v>
      </c>
      <c r="B468" s="142" t="str">
        <f>IFERROR(__xludf.DUMMYFUNCTION("""COMPUTED_VALUE"""),"Amlan")</f>
        <v>Amlan</v>
      </c>
      <c r="C468" s="142" t="str">
        <f>IFERROR(__xludf.DUMMYFUNCTION("""COMPUTED_VALUE"""),"Ayungon")</f>
        <v>Ayungon</v>
      </c>
      <c r="D468" s="142" t="str">
        <f>IFERROR(__xludf.DUMMYFUNCTION("""COMPUTED_VALUE"""),"Bacong")</f>
        <v>Bacong</v>
      </c>
      <c r="E468" s="142" t="str">
        <f>IFERROR(__xludf.DUMMYFUNCTION("""COMPUTED_VALUE"""),"City of Bais")</f>
        <v>City of Bais</v>
      </c>
      <c r="F468" s="142" t="str">
        <f>IFERROR(__xludf.DUMMYFUNCTION("""COMPUTED_VALUE"""),"Basay")</f>
        <v>Basay</v>
      </c>
      <c r="G468" s="142" t="str">
        <f>IFERROR(__xludf.DUMMYFUNCTION("""COMPUTED_VALUE"""),"City of Bayawan")</f>
        <v>City of Bayawan</v>
      </c>
      <c r="H468" s="142" t="str">
        <f>IFERROR(__xludf.DUMMYFUNCTION("""COMPUTED_VALUE"""),"Bindoy")</f>
        <v>Bindoy</v>
      </c>
      <c r="I468" s="142" t="str">
        <f>IFERROR(__xludf.DUMMYFUNCTION("""COMPUTED_VALUE"""),"City of Canlaon")</f>
        <v>City of Canlaon</v>
      </c>
      <c r="J468" s="142" t="str">
        <f>IFERROR(__xludf.DUMMYFUNCTION("""COMPUTED_VALUE"""),"Dauin")</f>
        <v>Dauin</v>
      </c>
      <c r="K468" s="142" t="str">
        <f>IFERROR(__xludf.DUMMYFUNCTION("""COMPUTED_VALUE"""),"City of Dumaguete")</f>
        <v>City of Dumaguete</v>
      </c>
      <c r="L468" s="142" t="str">
        <f>IFERROR(__xludf.DUMMYFUNCTION("""COMPUTED_VALUE"""),"City of Guihulngan")</f>
        <v>City of Guihulngan</v>
      </c>
      <c r="M468" s="142" t="str">
        <f>IFERROR(__xludf.DUMMYFUNCTION("""COMPUTED_VALUE"""),"Jimalalud")</f>
        <v>Jimalalud</v>
      </c>
      <c r="N468" s="142" t="str">
        <f>IFERROR(__xludf.DUMMYFUNCTION("""COMPUTED_VALUE"""),"La Libertad")</f>
        <v>La Libertad</v>
      </c>
      <c r="O468" s="142" t="str">
        <f>IFERROR(__xludf.DUMMYFUNCTION("""COMPUTED_VALUE"""),"Mabinay")</f>
        <v>Mabinay</v>
      </c>
      <c r="P468" s="142" t="str">
        <f>IFERROR(__xludf.DUMMYFUNCTION("""COMPUTED_VALUE"""),"Manjuyod")</f>
        <v>Manjuyod</v>
      </c>
      <c r="Q468" s="142" t="str">
        <f>IFERROR(__xludf.DUMMYFUNCTION("""COMPUTED_VALUE"""),"Pamplona")</f>
        <v>Pamplona</v>
      </c>
      <c r="R468" s="142" t="str">
        <f>IFERROR(__xludf.DUMMYFUNCTION("""COMPUTED_VALUE"""),"San Jose")</f>
        <v>San Jose</v>
      </c>
      <c r="S468" s="142" t="str">
        <f>IFERROR(__xludf.DUMMYFUNCTION("""COMPUTED_VALUE"""),"Santa Catalina")</f>
        <v>Santa Catalina</v>
      </c>
      <c r="T468" s="142" t="str">
        <f>IFERROR(__xludf.DUMMYFUNCTION("""COMPUTED_VALUE"""),"Siaton")</f>
        <v>Siaton</v>
      </c>
      <c r="U468" s="142" t="str">
        <f>IFERROR(__xludf.DUMMYFUNCTION("""COMPUTED_VALUE"""),"Sibulan")</f>
        <v>Sibulan</v>
      </c>
      <c r="V468" s="142" t="str">
        <f>IFERROR(__xludf.DUMMYFUNCTION("""COMPUTED_VALUE"""),"City of Tanjay")</f>
        <v>City of Tanjay</v>
      </c>
      <c r="W468" s="142" t="str">
        <f>IFERROR(__xludf.DUMMYFUNCTION("""COMPUTED_VALUE"""),"Tayasan")</f>
        <v>Tayasan</v>
      </c>
      <c r="X468" s="142" t="str">
        <f>IFERROR(__xludf.DUMMYFUNCTION("""COMPUTED_VALUE"""),"Valencia")</f>
        <v>Valencia</v>
      </c>
      <c r="Y468" s="142" t="str">
        <f>IFERROR(__xludf.DUMMYFUNCTION("""COMPUTED_VALUE"""),"Vallehermoso")</f>
        <v>Vallehermoso</v>
      </c>
      <c r="Z468" s="142" t="str">
        <f>IFERROR(__xludf.DUMMYFUNCTION("""COMPUTED_VALUE"""),"Zamboanguita")</f>
        <v>Zamboanguita</v>
      </c>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row>
    <row r="469">
      <c r="A469" s="142" t="s">
        <v>632</v>
      </c>
      <c r="B469" s="142" t="str">
        <f>IFERROR(__xludf.DUMMYFUNCTION("""COMPUTED_VALUE"""),"Amlan")</f>
        <v>Amlan</v>
      </c>
      <c r="C469" s="142" t="str">
        <f>IFERROR(__xludf.DUMMYFUNCTION("""COMPUTED_VALUE"""),"Ayungon")</f>
        <v>Ayungon</v>
      </c>
      <c r="D469" s="142" t="str">
        <f>IFERROR(__xludf.DUMMYFUNCTION("""COMPUTED_VALUE"""),"Bacong")</f>
        <v>Bacong</v>
      </c>
      <c r="E469" s="142" t="str">
        <f>IFERROR(__xludf.DUMMYFUNCTION("""COMPUTED_VALUE"""),"City of Bais")</f>
        <v>City of Bais</v>
      </c>
      <c r="F469" s="142" t="str">
        <f>IFERROR(__xludf.DUMMYFUNCTION("""COMPUTED_VALUE"""),"Basay")</f>
        <v>Basay</v>
      </c>
      <c r="G469" s="142" t="str">
        <f>IFERROR(__xludf.DUMMYFUNCTION("""COMPUTED_VALUE"""),"City of Bayawan")</f>
        <v>City of Bayawan</v>
      </c>
      <c r="H469" s="142" t="str">
        <f>IFERROR(__xludf.DUMMYFUNCTION("""COMPUTED_VALUE"""),"Bindoy")</f>
        <v>Bindoy</v>
      </c>
      <c r="I469" s="142" t="str">
        <f>IFERROR(__xludf.DUMMYFUNCTION("""COMPUTED_VALUE"""),"City of Canlaon")</f>
        <v>City of Canlaon</v>
      </c>
      <c r="J469" s="142" t="str">
        <f>IFERROR(__xludf.DUMMYFUNCTION("""COMPUTED_VALUE"""),"Dauin")</f>
        <v>Dauin</v>
      </c>
      <c r="K469" s="142" t="str">
        <f>IFERROR(__xludf.DUMMYFUNCTION("""COMPUTED_VALUE"""),"City of Dumaguete")</f>
        <v>City of Dumaguete</v>
      </c>
      <c r="L469" s="142" t="str">
        <f>IFERROR(__xludf.DUMMYFUNCTION("""COMPUTED_VALUE"""),"City of Guihulngan")</f>
        <v>City of Guihulngan</v>
      </c>
      <c r="M469" s="142" t="str">
        <f>IFERROR(__xludf.DUMMYFUNCTION("""COMPUTED_VALUE"""),"Jimalalud")</f>
        <v>Jimalalud</v>
      </c>
      <c r="N469" s="142" t="str">
        <f>IFERROR(__xludf.DUMMYFUNCTION("""COMPUTED_VALUE"""),"La Libertad")</f>
        <v>La Libertad</v>
      </c>
      <c r="O469" s="142" t="str">
        <f>IFERROR(__xludf.DUMMYFUNCTION("""COMPUTED_VALUE"""),"Mabinay")</f>
        <v>Mabinay</v>
      </c>
      <c r="P469" s="142" t="str">
        <f>IFERROR(__xludf.DUMMYFUNCTION("""COMPUTED_VALUE"""),"Manjuyod")</f>
        <v>Manjuyod</v>
      </c>
      <c r="Q469" s="142" t="str">
        <f>IFERROR(__xludf.DUMMYFUNCTION("""COMPUTED_VALUE"""),"Pamplona")</f>
        <v>Pamplona</v>
      </c>
      <c r="R469" s="142" t="str">
        <f>IFERROR(__xludf.DUMMYFUNCTION("""COMPUTED_VALUE"""),"San Jose")</f>
        <v>San Jose</v>
      </c>
      <c r="S469" s="142" t="str">
        <f>IFERROR(__xludf.DUMMYFUNCTION("""COMPUTED_VALUE"""),"Santa Catalina")</f>
        <v>Santa Catalina</v>
      </c>
      <c r="T469" s="142" t="str">
        <f>IFERROR(__xludf.DUMMYFUNCTION("""COMPUTED_VALUE"""),"Siaton")</f>
        <v>Siaton</v>
      </c>
      <c r="U469" s="142" t="str">
        <f>IFERROR(__xludf.DUMMYFUNCTION("""COMPUTED_VALUE"""),"Sibulan")</f>
        <v>Sibulan</v>
      </c>
      <c r="V469" s="142" t="str">
        <f>IFERROR(__xludf.DUMMYFUNCTION("""COMPUTED_VALUE"""),"City of Tanjay")</f>
        <v>City of Tanjay</v>
      </c>
      <c r="W469" s="142" t="str">
        <f>IFERROR(__xludf.DUMMYFUNCTION("""COMPUTED_VALUE"""),"Tayasan")</f>
        <v>Tayasan</v>
      </c>
      <c r="X469" s="142" t="str">
        <f>IFERROR(__xludf.DUMMYFUNCTION("""COMPUTED_VALUE"""),"Valencia")</f>
        <v>Valencia</v>
      </c>
      <c r="Y469" s="142" t="str">
        <f>IFERROR(__xludf.DUMMYFUNCTION("""COMPUTED_VALUE"""),"Vallehermoso")</f>
        <v>Vallehermoso</v>
      </c>
      <c r="Z469" s="142" t="str">
        <f>IFERROR(__xludf.DUMMYFUNCTION("""COMPUTED_VALUE"""),"Zamboanguita")</f>
        <v>Zamboanguita</v>
      </c>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row>
    <row r="470">
      <c r="A470" s="142" t="s">
        <v>1217</v>
      </c>
      <c r="B470" s="142" t="str">
        <f>IFERROR(__xludf.DUMMYFUNCTION("""COMPUTED_VALUE"""),"Panglima Sugala")</f>
        <v>Panglima Sugala</v>
      </c>
      <c r="C470" s="142" t="str">
        <f>IFERROR(__xludf.DUMMYFUNCTION("""COMPUTED_VALUE"""),"Bongao")</f>
        <v>Bongao</v>
      </c>
      <c r="D470" s="142" t="str">
        <f>IFERROR(__xludf.DUMMYFUNCTION("""COMPUTED_VALUE"""),"Mapun")</f>
        <v>Mapun</v>
      </c>
      <c r="E470" s="142" t="str">
        <f>IFERROR(__xludf.DUMMYFUNCTION("""COMPUTED_VALUE"""),"Simunul")</f>
        <v>Simunul</v>
      </c>
      <c r="F470" s="142" t="str">
        <f>IFERROR(__xludf.DUMMYFUNCTION("""COMPUTED_VALUE"""),"Sitangkai")</f>
        <v>Sitangkai</v>
      </c>
      <c r="G470" s="142" t="str">
        <f>IFERROR(__xludf.DUMMYFUNCTION("""COMPUTED_VALUE"""),"South Ubian")</f>
        <v>South Ubian</v>
      </c>
      <c r="H470" s="142" t="str">
        <f>IFERROR(__xludf.DUMMYFUNCTION("""COMPUTED_VALUE"""),"Tandubas")</f>
        <v>Tandubas</v>
      </c>
      <c r="I470" s="142" t="str">
        <f>IFERROR(__xludf.DUMMYFUNCTION("""COMPUTED_VALUE"""),"Turtle Islands")</f>
        <v>Turtle Islands</v>
      </c>
      <c r="J470" s="142" t="str">
        <f>IFERROR(__xludf.DUMMYFUNCTION("""COMPUTED_VALUE"""),"Languyan")</f>
        <v>Languyan</v>
      </c>
      <c r="K470" s="142" t="str">
        <f>IFERROR(__xludf.DUMMYFUNCTION("""COMPUTED_VALUE"""),"Sapa-Sapa")</f>
        <v>Sapa-Sapa</v>
      </c>
      <c r="L470" s="142" t="str">
        <f>IFERROR(__xludf.DUMMYFUNCTION("""COMPUTED_VALUE"""),"Sibutu")</f>
        <v>Sibutu</v>
      </c>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row>
    <row r="471">
      <c r="B471" s="142"/>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row>
    <row r="472">
      <c r="B472" s="142"/>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row>
    <row r="473">
      <c r="B473" s="142"/>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row>
    <row r="474">
      <c r="B474" s="142"/>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row>
    <row r="475">
      <c r="B475" s="142"/>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row>
    <row r="476">
      <c r="B476" s="142"/>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row>
    <row r="477">
      <c r="B477" s="142"/>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row>
    <row r="478">
      <c r="B478" s="142"/>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row>
    <row r="479">
      <c r="B479" s="142"/>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row>
    <row r="480">
      <c r="B480" s="142"/>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row>
    <row r="481">
      <c r="B481" s="142"/>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row>
    <row r="482">
      <c r="B482" s="142"/>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row>
    <row r="483">
      <c r="B483" s="142"/>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row>
    <row r="484">
      <c r="B484" s="142"/>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row>
    <row r="485">
      <c r="B485" s="142"/>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row>
    <row r="486">
      <c r="B486" s="142"/>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row>
    <row r="487">
      <c r="B487" s="142"/>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row>
    <row r="488">
      <c r="B488" s="142"/>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row>
    <row r="489">
      <c r="B489" s="142"/>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row>
    <row r="490">
      <c r="B490" s="142"/>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row>
    <row r="491">
      <c r="B491" s="142"/>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row>
    <row r="492">
      <c r="B492" s="142"/>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row>
    <row r="493">
      <c r="B493" s="142"/>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row>
    <row r="494">
      <c r="B494" s="142"/>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row>
    <row r="495">
      <c r="B495" s="142"/>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row>
    <row r="496">
      <c r="B496" s="142"/>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row>
    <row r="497">
      <c r="B497" s="142"/>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row>
    <row r="498">
      <c r="B498" s="142"/>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row>
    <row r="499">
      <c r="B499" s="142"/>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row>
    <row r="500">
      <c r="B500" s="142"/>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row>
    <row r="501">
      <c r="B501" s="142"/>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row>
    <row r="502">
      <c r="B502" s="142"/>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row>
    <row r="503">
      <c r="B503" s="142"/>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row>
    <row r="504">
      <c r="B504" s="142"/>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row>
    <row r="505">
      <c r="B505" s="142"/>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row>
    <row r="506">
      <c r="B506" s="142"/>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row>
    <row r="507">
      <c r="B507" s="142"/>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row>
    <row r="508">
      <c r="B508" s="142"/>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row>
    <row r="509">
      <c r="B509" s="142"/>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row>
    <row r="510">
      <c r="B510" s="142"/>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row>
    <row r="511">
      <c r="B511" s="142"/>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row>
    <row r="512">
      <c r="B512" s="142"/>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row>
    <row r="513">
      <c r="B513" s="142"/>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row>
    <row r="514">
      <c r="B514" s="142"/>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row>
    <row r="515">
      <c r="B515" s="142"/>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row>
    <row r="516">
      <c r="B516" s="142"/>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row>
    <row r="517">
      <c r="B517" s="142"/>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row>
    <row r="518">
      <c r="B518" s="142"/>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row>
    <row r="519">
      <c r="B519" s="142"/>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row>
    <row r="520">
      <c r="B520" s="142"/>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row>
    <row r="521">
      <c r="B521" s="142"/>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row>
    <row r="522">
      <c r="B522" s="142"/>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row>
    <row r="523">
      <c r="B523" s="142"/>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row>
    <row r="524">
      <c r="B524" s="142"/>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row>
    <row r="525">
      <c r="B525" s="142"/>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row>
    <row r="526">
      <c r="B526" s="142"/>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row>
    <row r="527">
      <c r="B527" s="142"/>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row>
    <row r="528">
      <c r="B528" s="142"/>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row>
    <row r="529">
      <c r="B529" s="142"/>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row>
    <row r="530">
      <c r="B530" s="142"/>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row>
    <row r="531">
      <c r="B531" s="142"/>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row>
    <row r="532">
      <c r="B532" s="142"/>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row>
    <row r="533">
      <c r="B533" s="142"/>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row>
    <row r="534">
      <c r="B534" s="142"/>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row>
    <row r="535">
      <c r="B535" s="142"/>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row>
    <row r="536">
      <c r="B536" s="142"/>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row>
    <row r="537">
      <c r="B537" s="142"/>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row>
    <row r="538">
      <c r="B538" s="142"/>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row>
    <row r="539">
      <c r="B539" s="142"/>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row>
    <row r="540">
      <c r="B540" s="142"/>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row>
    <row r="541">
      <c r="B541" s="142"/>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row>
    <row r="542">
      <c r="B542" s="142"/>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row>
    <row r="543">
      <c r="B543" s="142"/>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row>
    <row r="544">
      <c r="B544" s="142"/>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row>
    <row r="545">
      <c r="B545" s="142"/>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row>
    <row r="546">
      <c r="B546" s="142"/>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row>
    <row r="547">
      <c r="B547" s="142"/>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row>
    <row r="548">
      <c r="B548" s="142"/>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row>
    <row r="549">
      <c r="B549" s="142"/>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row>
    <row r="550">
      <c r="B550" s="142"/>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row>
    <row r="551">
      <c r="B551" s="142"/>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row>
    <row r="552">
      <c r="B552" s="142"/>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row>
    <row r="553">
      <c r="B553" s="142"/>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row>
    <row r="554">
      <c r="B554" s="142"/>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row>
    <row r="555">
      <c r="B555" s="142"/>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row>
    <row r="556">
      <c r="B556" s="142"/>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row>
    <row r="557">
      <c r="B557" s="142"/>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row>
    <row r="558">
      <c r="B558" s="142"/>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row>
    <row r="559">
      <c r="B559" s="142"/>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row>
    <row r="560">
      <c r="B560" s="142"/>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row>
    <row r="561">
      <c r="B561" s="142"/>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row>
    <row r="562">
      <c r="B562" s="142"/>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row>
    <row r="563">
      <c r="B563" s="142"/>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row>
    <row r="564">
      <c r="B564" s="142"/>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row>
    <row r="565">
      <c r="B565" s="142"/>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row>
    <row r="566">
      <c r="B566" s="142"/>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row>
    <row r="567">
      <c r="B567" s="142"/>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row>
    <row r="568">
      <c r="B568" s="142"/>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row>
    <row r="569">
      <c r="B569" s="142"/>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row>
    <row r="570">
      <c r="B570" s="142"/>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row>
    <row r="571">
      <c r="B571" s="142"/>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row>
    <row r="572">
      <c r="B572" s="142"/>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row>
    <row r="573">
      <c r="B573" s="142"/>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row>
    <row r="574">
      <c r="B574" s="142"/>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row>
    <row r="575">
      <c r="B575" s="142"/>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row>
    <row r="576">
      <c r="B576" s="142"/>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row>
    <row r="577">
      <c r="B577" s="142"/>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row>
    <row r="578">
      <c r="B578" s="142"/>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row>
    <row r="579">
      <c r="B579" s="142"/>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row>
    <row r="580">
      <c r="B580" s="142"/>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row>
    <row r="581">
      <c r="B581" s="142"/>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row>
    <row r="582">
      <c r="B582" s="142"/>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row>
    <row r="583">
      <c r="B583" s="142"/>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row>
    <row r="584">
      <c r="B584" s="142"/>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row>
    <row r="585">
      <c r="B585" s="142"/>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row>
    <row r="586">
      <c r="B586" s="142"/>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row>
    <row r="587">
      <c r="B587" s="142"/>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row>
    <row r="588">
      <c r="B588" s="142"/>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row>
    <row r="589">
      <c r="B589" s="142"/>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row>
    <row r="590">
      <c r="B590" s="142"/>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row>
    <row r="591">
      <c r="B591" s="142"/>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row>
    <row r="592">
      <c r="B592" s="142"/>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row>
    <row r="593">
      <c r="B593" s="142"/>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row>
    <row r="594">
      <c r="B594" s="142"/>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row>
    <row r="595">
      <c r="B595" s="142"/>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row>
    <row r="596">
      <c r="B596" s="142"/>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row>
    <row r="597">
      <c r="B597" s="142"/>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row>
    <row r="598">
      <c r="B598" s="142"/>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row>
    <row r="599">
      <c r="B599" s="142"/>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row>
    <row r="600">
      <c r="B600" s="142"/>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row>
    <row r="601">
      <c r="B601" s="142"/>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row>
    <row r="602">
      <c r="B602" s="142"/>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row>
    <row r="603">
      <c r="B603" s="142"/>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row>
    <row r="604">
      <c r="B604" s="142"/>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row>
    <row r="605">
      <c r="B605" s="142"/>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row>
    <row r="606">
      <c r="B606" s="142"/>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row>
    <row r="607">
      <c r="B607" s="142"/>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row>
    <row r="608">
      <c r="B608" s="142"/>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row>
    <row r="609">
      <c r="B609" s="142"/>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row>
    <row r="610">
      <c r="B610" s="142"/>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row>
    <row r="611">
      <c r="B611" s="142"/>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row>
    <row r="612">
      <c r="B612" s="142"/>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row>
    <row r="613">
      <c r="B613" s="142"/>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row>
    <row r="614">
      <c r="B614" s="142"/>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row>
    <row r="615">
      <c r="B615" s="142"/>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row>
    <row r="616">
      <c r="B616" s="142"/>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row>
    <row r="617">
      <c r="B617" s="142"/>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row>
    <row r="618">
      <c r="B618" s="142"/>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row>
    <row r="619">
      <c r="B619" s="142"/>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row>
    <row r="620">
      <c r="B620" s="142"/>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row>
    <row r="621">
      <c r="B621" s="142"/>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row>
    <row r="622">
      <c r="B622" s="142"/>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row>
    <row r="623">
      <c r="B623" s="142"/>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row>
    <row r="624">
      <c r="B624" s="142"/>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row>
    <row r="625">
      <c r="B625" s="142"/>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row>
    <row r="626">
      <c r="B626" s="142"/>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row>
    <row r="627">
      <c r="B627" s="142"/>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row>
    <row r="628">
      <c r="B628" s="142"/>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row>
    <row r="629">
      <c r="B629" s="142"/>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row>
    <row r="630">
      <c r="B630" s="142"/>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row>
    <row r="631">
      <c r="B631" s="142"/>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row>
    <row r="632">
      <c r="B632" s="142"/>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row>
    <row r="633">
      <c r="B633" s="142"/>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row>
    <row r="634">
      <c r="B634" s="142"/>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row>
    <row r="635">
      <c r="B635" s="142"/>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row>
    <row r="636">
      <c r="B636" s="142"/>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row>
    <row r="637">
      <c r="B637" s="142"/>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row>
    <row r="638">
      <c r="B638" s="142"/>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row>
    <row r="639">
      <c r="B639" s="142"/>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row>
    <row r="640">
      <c r="B640" s="142"/>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row>
    <row r="641">
      <c r="B641" s="142"/>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row>
    <row r="642">
      <c r="B642" s="142"/>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row>
    <row r="643">
      <c r="B643" s="142"/>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row>
    <row r="644">
      <c r="B644" s="142"/>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row>
    <row r="645">
      <c r="B645" s="142"/>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row>
    <row r="646">
      <c r="B646" s="142"/>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row>
    <row r="647">
      <c r="B647" s="142"/>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row>
    <row r="648">
      <c r="B648" s="142"/>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row>
    <row r="649">
      <c r="B649" s="142"/>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row>
    <row r="650">
      <c r="B650" s="142"/>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row>
    <row r="651">
      <c r="B651" s="142"/>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row>
    <row r="652">
      <c r="B652" s="142"/>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row>
    <row r="653">
      <c r="B653" s="142"/>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row>
    <row r="654">
      <c r="B654" s="142"/>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row>
    <row r="655">
      <c r="B655" s="142"/>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row>
    <row r="656">
      <c r="B656" s="142"/>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row>
    <row r="657">
      <c r="B657" s="142"/>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row>
    <row r="658">
      <c r="B658" s="142"/>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row>
    <row r="659">
      <c r="B659" s="142"/>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row>
    <row r="660">
      <c r="B660" s="142"/>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row>
    <row r="661">
      <c r="B661" s="142"/>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row>
    <row r="662">
      <c r="B662" s="142"/>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row>
    <row r="663">
      <c r="B663" s="142"/>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row>
    <row r="664">
      <c r="B664" s="142"/>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row>
    <row r="665">
      <c r="B665" s="142"/>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row>
    <row r="666">
      <c r="B666" s="142"/>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row>
    <row r="667">
      <c r="B667" s="142"/>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row>
    <row r="668">
      <c r="B668" s="142"/>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row>
    <row r="669">
      <c r="B669" s="142"/>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row>
    <row r="670">
      <c r="B670" s="142"/>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row>
    <row r="671">
      <c r="B671" s="142"/>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row>
    <row r="672">
      <c r="B672" s="142"/>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row>
    <row r="673">
      <c r="B673" s="142"/>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row>
    <row r="674">
      <c r="B674" s="142"/>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row>
    <row r="675">
      <c r="B675" s="142"/>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row>
    <row r="676">
      <c r="B676" s="142"/>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row>
    <row r="677">
      <c r="B677" s="142"/>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row>
    <row r="678">
      <c r="B678" s="142"/>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row>
    <row r="679">
      <c r="B679" s="142"/>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row>
    <row r="680">
      <c r="B680" s="142"/>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row>
    <row r="681">
      <c r="B681" s="142"/>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row>
    <row r="682">
      <c r="B682" s="142"/>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row>
    <row r="683">
      <c r="B683" s="142"/>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row>
    <row r="684">
      <c r="B684" s="142"/>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row>
    <row r="685">
      <c r="B685" s="142"/>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row>
    <row r="686">
      <c r="B686" s="142"/>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row>
    <row r="687">
      <c r="B687" s="142"/>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row>
    <row r="688">
      <c r="B688" s="142"/>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row>
    <row r="689">
      <c r="B689" s="142"/>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row>
    <row r="690">
      <c r="B690" s="142"/>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row>
    <row r="691">
      <c r="B691" s="142"/>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row>
    <row r="692">
      <c r="B692" s="142"/>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row>
    <row r="693">
      <c r="B693" s="142"/>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row>
    <row r="694">
      <c r="B694" s="142"/>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row>
    <row r="695">
      <c r="B695" s="142"/>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row>
    <row r="696">
      <c r="B696" s="142"/>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row>
    <row r="697">
      <c r="B697" s="142"/>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row>
    <row r="698">
      <c r="B698" s="142"/>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row>
    <row r="699">
      <c r="B699" s="142"/>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row>
    <row r="700">
      <c r="B700" s="142"/>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row>
    <row r="701">
      <c r="B701" s="142"/>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row>
    <row r="702">
      <c r="B702" s="142"/>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row>
    <row r="703">
      <c r="B703" s="142"/>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row>
    <row r="704">
      <c r="B704" s="142"/>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row>
    <row r="705">
      <c r="B705" s="142"/>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row>
    <row r="706">
      <c r="B706" s="142"/>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row>
    <row r="707">
      <c r="B707" s="142"/>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row>
    <row r="708">
      <c r="B708" s="142"/>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row>
    <row r="709">
      <c r="B709" s="142"/>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row>
    <row r="710">
      <c r="B710" s="142"/>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row>
    <row r="711">
      <c r="B711" s="142"/>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row>
    <row r="712">
      <c r="B712" s="142"/>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row>
    <row r="713">
      <c r="B713" s="142"/>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row>
    <row r="714">
      <c r="B714" s="142"/>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row>
    <row r="715">
      <c r="B715" s="142"/>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row>
    <row r="716">
      <c r="B716" s="142"/>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row>
    <row r="717">
      <c r="B717" s="142"/>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row>
    <row r="718">
      <c r="B718" s="142"/>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row>
    <row r="719">
      <c r="B719" s="142"/>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row>
    <row r="720">
      <c r="B720" s="142"/>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row>
    <row r="721">
      <c r="B721" s="142"/>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row>
    <row r="722">
      <c r="B722" s="142"/>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row>
    <row r="723">
      <c r="B723" s="142"/>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row>
    <row r="724">
      <c r="B724" s="142"/>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row>
    <row r="725">
      <c r="B725" s="142"/>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row>
    <row r="726">
      <c r="B726" s="142"/>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row>
    <row r="727">
      <c r="B727" s="142"/>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row>
    <row r="728">
      <c r="B728" s="142"/>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row>
    <row r="729">
      <c r="B729" s="142"/>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row>
    <row r="730">
      <c r="B730" s="142"/>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row>
    <row r="731">
      <c r="B731" s="142"/>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row>
    <row r="732">
      <c r="B732" s="142"/>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row>
    <row r="733">
      <c r="B733" s="142"/>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row>
    <row r="734">
      <c r="B734" s="142"/>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row>
    <row r="735">
      <c r="B735" s="142"/>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row>
    <row r="736">
      <c r="B736" s="142"/>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row>
    <row r="737">
      <c r="B737" s="142"/>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row>
    <row r="738">
      <c r="B738" s="142"/>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row>
    <row r="739">
      <c r="B739" s="142"/>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row>
    <row r="740">
      <c r="B740" s="142"/>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row>
    <row r="741">
      <c r="B741" s="142"/>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row>
    <row r="742">
      <c r="B742" s="142"/>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row>
    <row r="743">
      <c r="B743" s="142"/>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row>
    <row r="744">
      <c r="B744" s="142"/>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row>
    <row r="745">
      <c r="B745" s="142"/>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row>
    <row r="746">
      <c r="B746" s="142"/>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row>
    <row r="747">
      <c r="B747" s="142"/>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row>
    <row r="748">
      <c r="B748" s="142"/>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row>
    <row r="749">
      <c r="B749" s="142"/>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row>
    <row r="750">
      <c r="B750" s="142"/>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row>
    <row r="751">
      <c r="B751" s="142"/>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row>
    <row r="752">
      <c r="B752" s="142"/>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row>
    <row r="753">
      <c r="B753" s="142"/>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row>
    <row r="754">
      <c r="B754" s="142"/>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row>
    <row r="755">
      <c r="B755" s="142"/>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row>
    <row r="756">
      <c r="B756" s="142"/>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row>
    <row r="757">
      <c r="B757" s="142"/>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row>
    <row r="758">
      <c r="B758" s="142"/>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row>
    <row r="759">
      <c r="B759" s="142"/>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row>
    <row r="760">
      <c r="B760" s="142"/>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row>
    <row r="761">
      <c r="B761" s="142"/>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row>
    <row r="762">
      <c r="B762" s="142"/>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row>
    <row r="763">
      <c r="B763" s="142"/>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row>
    <row r="764">
      <c r="B764" s="142"/>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row>
    <row r="765">
      <c r="B765" s="142"/>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row>
    <row r="766">
      <c r="B766" s="142"/>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row>
    <row r="767">
      <c r="B767" s="142"/>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row>
    <row r="768">
      <c r="B768" s="142"/>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row>
    <row r="769">
      <c r="B769" s="142"/>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row>
    <row r="770">
      <c r="B770" s="142"/>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row>
    <row r="771">
      <c r="B771" s="142"/>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row>
    <row r="772">
      <c r="B772" s="142"/>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row>
    <row r="773">
      <c r="B773" s="142"/>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row>
    <row r="774">
      <c r="B774" s="142"/>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row>
    <row r="775">
      <c r="B775" s="142"/>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row>
    <row r="776">
      <c r="B776" s="142"/>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row>
    <row r="777">
      <c r="B777" s="142"/>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row>
    <row r="778">
      <c r="B778" s="142"/>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row>
    <row r="779">
      <c r="B779" s="142"/>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row>
    <row r="780">
      <c r="B780" s="142"/>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row>
    <row r="781">
      <c r="B781" s="142"/>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row>
    <row r="782">
      <c r="B782" s="142"/>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row>
    <row r="783">
      <c r="B783" s="142"/>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row>
    <row r="784">
      <c r="B784" s="142"/>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row>
    <row r="785">
      <c r="B785" s="142"/>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row>
    <row r="786">
      <c r="B786" s="142"/>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row>
    <row r="787">
      <c r="B787" s="142"/>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row>
    <row r="788">
      <c r="B788" s="142"/>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row>
    <row r="789">
      <c r="B789" s="142"/>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row>
    <row r="790">
      <c r="B790" s="142"/>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row>
    <row r="791">
      <c r="B791" s="142"/>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row>
    <row r="792">
      <c r="B792" s="142"/>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row>
    <row r="793">
      <c r="B793" s="142"/>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row>
    <row r="794">
      <c r="B794" s="142"/>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row>
    <row r="795">
      <c r="B795" s="142"/>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row>
    <row r="796">
      <c r="B796" s="142"/>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row>
    <row r="797">
      <c r="B797" s="142"/>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row>
    <row r="798">
      <c r="B798" s="142"/>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row>
    <row r="799">
      <c r="B799" s="142"/>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row>
    <row r="800">
      <c r="B800" s="142"/>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row>
    <row r="801">
      <c r="B801" s="142"/>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row>
    <row r="802">
      <c r="B802" s="142"/>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row>
    <row r="803">
      <c r="B803" s="142"/>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row>
    <row r="804">
      <c r="B804" s="142"/>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row>
    <row r="805">
      <c r="B805" s="142"/>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row>
    <row r="806">
      <c r="B806" s="142"/>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row>
    <row r="807">
      <c r="B807" s="142"/>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row>
    <row r="808">
      <c r="B808" s="142"/>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row>
    <row r="809">
      <c r="B809" s="142"/>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row>
    <row r="810">
      <c r="B810" s="142"/>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row>
    <row r="811">
      <c r="B811" s="142"/>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row>
    <row r="812">
      <c r="B812" s="142"/>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row>
    <row r="813">
      <c r="B813" s="142"/>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row>
    <row r="814">
      <c r="B814" s="142"/>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row>
    <row r="815">
      <c r="B815" s="142"/>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row>
    <row r="816">
      <c r="B816" s="142"/>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row>
    <row r="817">
      <c r="B817" s="142"/>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row>
    <row r="818">
      <c r="B818" s="142"/>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row>
    <row r="819">
      <c r="B819" s="142"/>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row>
    <row r="820">
      <c r="B820" s="142"/>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row>
    <row r="821">
      <c r="B821" s="142"/>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row>
    <row r="822">
      <c r="B822" s="142"/>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row>
    <row r="823">
      <c r="B823" s="142"/>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row>
    <row r="824">
      <c r="B824" s="142"/>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row>
    <row r="825">
      <c r="B825" s="142"/>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row>
    <row r="826">
      <c r="B826" s="142"/>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row>
    <row r="827">
      <c r="B827" s="142"/>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row>
    <row r="828">
      <c r="B828" s="142"/>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row>
    <row r="829">
      <c r="B829" s="142"/>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row>
    <row r="830">
      <c r="B830" s="142"/>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row>
    <row r="831">
      <c r="B831" s="142"/>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row>
    <row r="832">
      <c r="B832" s="142"/>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row>
    <row r="833">
      <c r="B833" s="142"/>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row>
    <row r="834">
      <c r="B834" s="142"/>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row>
    <row r="835">
      <c r="B835" s="142"/>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row>
    <row r="836">
      <c r="B836" s="142"/>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row>
    <row r="837">
      <c r="B837" s="142"/>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row>
    <row r="838">
      <c r="B838" s="142"/>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row>
    <row r="839">
      <c r="B839" s="142"/>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row>
    <row r="840">
      <c r="B840" s="142"/>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row>
    <row r="841">
      <c r="B841" s="142"/>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row>
    <row r="842">
      <c r="B842" s="142"/>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row>
    <row r="843">
      <c r="B843" s="142"/>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row>
    <row r="844">
      <c r="B844" s="142"/>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row>
    <row r="845">
      <c r="B845" s="142"/>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row>
    <row r="846">
      <c r="B846" s="142"/>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row>
    <row r="847">
      <c r="B847" s="142"/>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row>
    <row r="848">
      <c r="B848" s="142"/>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row>
    <row r="849">
      <c r="B849" s="142"/>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row>
    <row r="850">
      <c r="B850" s="142"/>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row>
    <row r="851">
      <c r="B851" s="142"/>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row>
    <row r="852">
      <c r="B852" s="142"/>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row>
    <row r="853">
      <c r="B853" s="142"/>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row>
    <row r="854">
      <c r="B854" s="142"/>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row>
    <row r="855">
      <c r="B855" s="142"/>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row>
    <row r="856">
      <c r="B856" s="142"/>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row>
    <row r="857">
      <c r="B857" s="142"/>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row>
    <row r="858">
      <c r="B858" s="142"/>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row>
    <row r="859">
      <c r="B859" s="142"/>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row>
    <row r="860">
      <c r="B860" s="142"/>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row>
    <row r="861">
      <c r="B861" s="142"/>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row>
    <row r="862">
      <c r="B862" s="142"/>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row>
    <row r="863">
      <c r="B863" s="142"/>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row>
    <row r="864">
      <c r="B864" s="142"/>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row>
    <row r="865">
      <c r="B865" s="142"/>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row>
    <row r="866">
      <c r="B866" s="142"/>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row>
    <row r="867">
      <c r="B867" s="142"/>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row>
    <row r="868">
      <c r="B868" s="142"/>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row>
    <row r="869">
      <c r="B869" s="142"/>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row>
    <row r="870">
      <c r="B870" s="142"/>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row>
    <row r="871">
      <c r="B871" s="142"/>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row>
    <row r="872">
      <c r="B872" s="142"/>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row>
    <row r="873">
      <c r="B873" s="142"/>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row>
    <row r="874">
      <c r="B874" s="142"/>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row>
    <row r="875">
      <c r="B875" s="142"/>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row>
    <row r="876">
      <c r="B876" s="142"/>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row>
    <row r="877">
      <c r="B877" s="142"/>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row>
    <row r="878">
      <c r="B878" s="142"/>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row>
    <row r="879">
      <c r="B879" s="142"/>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row>
    <row r="880">
      <c r="B880" s="142"/>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row>
    <row r="881">
      <c r="B881" s="142"/>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row>
    <row r="882">
      <c r="B882" s="142"/>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row>
    <row r="883">
      <c r="B883" s="142"/>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row>
    <row r="884">
      <c r="B884" s="142"/>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row>
    <row r="885">
      <c r="B885" s="142"/>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row>
    <row r="886">
      <c r="B886" s="142"/>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row>
    <row r="887">
      <c r="B887" s="142"/>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row>
    <row r="888">
      <c r="B888" s="142"/>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row>
    <row r="889">
      <c r="B889" s="142"/>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row>
    <row r="890">
      <c r="B890" s="142"/>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row>
    <row r="891">
      <c r="B891" s="142"/>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row>
    <row r="892">
      <c r="B892" s="142"/>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row>
    <row r="893">
      <c r="B893" s="142"/>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row>
    <row r="894">
      <c r="B894" s="142"/>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row>
    <row r="895">
      <c r="B895" s="142"/>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row>
    <row r="896">
      <c r="B896" s="142"/>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row>
    <row r="897">
      <c r="B897" s="142"/>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row>
    <row r="898">
      <c r="B898" s="142"/>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row>
    <row r="899">
      <c r="B899" s="142"/>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row>
    <row r="900">
      <c r="B900" s="142"/>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row>
    <row r="901">
      <c r="B901" s="142"/>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row>
    <row r="902">
      <c r="B902" s="142"/>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row>
    <row r="903">
      <c r="B903" s="142"/>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row>
    <row r="904">
      <c r="B904" s="142"/>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row>
    <row r="905">
      <c r="B905" s="142"/>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row>
    <row r="906">
      <c r="B906" s="142"/>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row>
    <row r="907">
      <c r="B907" s="142"/>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row>
    <row r="908">
      <c r="B908" s="142"/>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row>
    <row r="909">
      <c r="B909" s="142"/>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row>
    <row r="910">
      <c r="B910" s="142"/>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row>
    <row r="911">
      <c r="B911" s="142"/>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row>
    <row r="912">
      <c r="B912" s="142"/>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row>
    <row r="913">
      <c r="B913" s="142"/>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row>
    <row r="914">
      <c r="B914" s="142"/>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row>
    <row r="915">
      <c r="B915" s="142"/>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row>
    <row r="916">
      <c r="B916" s="142"/>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row>
    <row r="917">
      <c r="B917" s="142"/>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row>
    <row r="918">
      <c r="B918" s="142"/>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row>
    <row r="919">
      <c r="B919" s="142"/>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row>
    <row r="920">
      <c r="B920" s="142"/>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row>
    <row r="921">
      <c r="B921" s="142"/>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row>
    <row r="922">
      <c r="B922" s="142"/>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row>
    <row r="923">
      <c r="B923" s="142"/>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row>
    <row r="924">
      <c r="B924" s="142"/>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row>
    <row r="925">
      <c r="B925" s="142"/>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row>
    <row r="926">
      <c r="B926" s="142"/>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row>
    <row r="927">
      <c r="B927" s="142"/>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row>
    <row r="928">
      <c r="B928" s="142"/>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row>
    <row r="929">
      <c r="B929" s="142"/>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row>
    <row r="930">
      <c r="B930" s="142"/>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row>
    <row r="931">
      <c r="B931" s="142"/>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row>
    <row r="932">
      <c r="B932" s="142"/>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row>
    <row r="933">
      <c r="B933" s="142"/>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row>
    <row r="934">
      <c r="B934" s="142"/>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row>
    <row r="935">
      <c r="B935" s="142"/>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row>
    <row r="936">
      <c r="B936" s="142"/>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row>
    <row r="937">
      <c r="B937" s="142"/>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row>
    <row r="938">
      <c r="B938" s="142"/>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row>
    <row r="939">
      <c r="B939" s="142"/>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row>
    <row r="940">
      <c r="B940" s="142"/>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row>
    <row r="941">
      <c r="B941" s="142"/>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row>
    <row r="942">
      <c r="B942" s="142"/>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row>
    <row r="943">
      <c r="B943" s="142"/>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row>
    <row r="944">
      <c r="B944" s="142"/>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row>
    <row r="945">
      <c r="B945" s="142"/>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row>
    <row r="946">
      <c r="B946" s="142"/>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row>
    <row r="947">
      <c r="B947" s="142"/>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row>
    <row r="948">
      <c r="B948" s="142"/>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row>
    <row r="949">
      <c r="B949" s="142"/>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row>
    <row r="950">
      <c r="B950" s="142"/>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row>
    <row r="951">
      <c r="B951" s="142"/>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row>
    <row r="952">
      <c r="B952" s="142"/>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row>
    <row r="953">
      <c r="B953" s="142"/>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row>
    <row r="954">
      <c r="B954" s="142"/>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row>
    <row r="955">
      <c r="B955" s="142"/>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row>
    <row r="956">
      <c r="B956" s="142"/>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row>
    <row r="957">
      <c r="B957" s="142"/>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row>
    <row r="958">
      <c r="B958" s="142"/>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row>
    <row r="959">
      <c r="B959" s="142"/>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row>
    <row r="960">
      <c r="B960" s="142"/>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row>
    <row r="961">
      <c r="B961" s="142"/>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row>
    <row r="962">
      <c r="B962" s="142"/>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row>
    <row r="963">
      <c r="B963" s="142"/>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row>
    <row r="964">
      <c r="B964" s="142"/>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row>
    <row r="965">
      <c r="B965" s="142"/>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row>
    <row r="966">
      <c r="B966" s="142"/>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row>
    <row r="967">
      <c r="B967" s="142"/>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row>
    <row r="968">
      <c r="B968" s="142"/>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row>
    <row r="969">
      <c r="B969" s="142"/>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row>
    <row r="970">
      <c r="B970" s="142"/>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row>
    <row r="971">
      <c r="B971" s="142"/>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row>
    <row r="972">
      <c r="B972" s="142"/>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row>
    <row r="973">
      <c r="B973" s="142"/>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row>
    <row r="974">
      <c r="B974" s="142"/>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row>
    <row r="975">
      <c r="B975" s="142"/>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row>
    <row r="976">
      <c r="B976" s="142"/>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row>
    <row r="977">
      <c r="B977" s="142"/>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row>
    <row r="978">
      <c r="B978" s="142"/>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row>
    <row r="979">
      <c r="B979" s="142"/>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row>
    <row r="980">
      <c r="B980" s="142"/>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row>
    <row r="981">
      <c r="B981" s="142"/>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row>
    <row r="982">
      <c r="B982" s="142"/>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row>
    <row r="983">
      <c r="B983" s="142"/>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row>
    <row r="984">
      <c r="B984" s="142"/>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row>
    <row r="985">
      <c r="B985" s="142"/>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row>
    <row r="986">
      <c r="B986" s="142"/>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row>
    <row r="987">
      <c r="B987" s="142"/>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row>
    <row r="988">
      <c r="B988" s="142"/>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row>
    <row r="989">
      <c r="B989" s="142"/>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row>
    <row r="990">
      <c r="B990" s="142"/>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row>
    <row r="991">
      <c r="B991" s="142"/>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row>
    <row r="992">
      <c r="B992" s="142"/>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row>
    <row r="993">
      <c r="B993" s="142"/>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row>
    <row r="994">
      <c r="B994" s="142"/>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row>
    <row r="995">
      <c r="B995" s="142"/>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row>
    <row r="996">
      <c r="B996" s="142"/>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row>
    <row r="997">
      <c r="B997" s="142"/>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row>
    <row r="998">
      <c r="B998" s="142"/>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row>
    <row r="999">
      <c r="B999" s="142"/>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row>
    <row r="1000">
      <c r="B1000" s="142"/>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8.67"/>
  </cols>
  <sheetData>
    <row r="1">
      <c r="A1" s="142" t="str">
        <f t="array" ref="A1:A470">'CRR 2025'!I2:I1000</f>
        <v>Agno</v>
      </c>
      <c r="B1" s="142" t="str">
        <f>IFERROR(__xludf.DUMMYFUNCTION("byrow(A1:A1000, lambda(A, transpose(UNIQUE(FILTER(Municipality!D2:D1000,Municipality!C2:C1000=A)))))"),"PH015501000")</f>
        <v>PH015501000</v>
      </c>
      <c r="C1" s="8"/>
      <c r="D1" s="8"/>
      <c r="E1" s="8"/>
      <c r="F1" s="8"/>
      <c r="G1" s="8"/>
      <c r="H1" s="8"/>
      <c r="I1" s="8"/>
      <c r="J1" s="8"/>
    </row>
    <row r="2">
      <c r="A2" s="142" t="s">
        <v>173</v>
      </c>
      <c r="B2" s="142" t="str">
        <f>IFERROR(__xludf.DUMMYFUNCTION("""COMPUTED_VALUE"""),"PH104319000")</f>
        <v>PH104319000</v>
      </c>
      <c r="C2" s="8"/>
      <c r="D2" s="8"/>
      <c r="E2" s="8"/>
      <c r="F2" s="8"/>
      <c r="G2" s="8"/>
      <c r="H2" s="8"/>
      <c r="I2" s="8"/>
      <c r="J2" s="8"/>
    </row>
    <row r="3">
      <c r="A3" s="142" t="s">
        <v>195</v>
      </c>
      <c r="B3" s="142" t="str">
        <f>IFERROR(__xludf.DUMMYFUNCTION("""COMPUTED_VALUE"""),"PH072220000")</f>
        <v>PH072220000</v>
      </c>
      <c r="C3" s="8"/>
      <c r="D3" s="8"/>
      <c r="E3" s="8"/>
      <c r="F3" s="8"/>
      <c r="G3" s="8"/>
      <c r="H3" s="8"/>
      <c r="I3" s="8"/>
      <c r="J3" s="8"/>
    </row>
    <row r="4">
      <c r="A4" s="142" t="s">
        <v>216</v>
      </c>
      <c r="B4" s="142" t="str">
        <f>IFERROR(__xludf.DUMMYFUNCTION("""COMPUTED_VALUE"""),"PH072226000")</f>
        <v>PH072226000</v>
      </c>
      <c r="C4" s="8"/>
      <c r="D4" s="8"/>
      <c r="E4" s="8"/>
      <c r="F4" s="8"/>
      <c r="G4" s="8"/>
      <c r="H4" s="8"/>
      <c r="I4" s="8"/>
      <c r="J4" s="8"/>
    </row>
    <row r="5">
      <c r="A5" s="142" t="s">
        <v>221</v>
      </c>
      <c r="B5" s="142" t="str">
        <f>IFERROR(__xludf.DUMMYFUNCTION("""COMPUTED_VALUE"""),"PH015503000")</f>
        <v>PH015503000</v>
      </c>
      <c r="C5" s="8"/>
      <c r="D5" s="8"/>
      <c r="E5" s="8"/>
      <c r="F5" s="8"/>
      <c r="G5" s="8"/>
      <c r="H5" s="8"/>
      <c r="I5" s="8"/>
      <c r="J5" s="8"/>
    </row>
    <row r="6">
      <c r="A6" s="142" t="s">
        <v>230</v>
      </c>
      <c r="B6" s="142" t="str">
        <f>IFERROR(__xludf.DUMMYFUNCTION("""COMPUTED_VALUE"""),"PH015505000")</f>
        <v>PH015505000</v>
      </c>
      <c r="C6" s="142" t="str">
        <f>IFERROR(__xludf.DUMMYFUNCTION("""COMPUTED_VALUE"""),"PH071203000")</f>
        <v>PH071203000</v>
      </c>
      <c r="D6" s="8"/>
      <c r="E6" s="8"/>
      <c r="F6" s="8"/>
      <c r="G6" s="8"/>
      <c r="H6" s="8"/>
      <c r="I6" s="8"/>
      <c r="J6" s="8"/>
    </row>
    <row r="7">
      <c r="A7" s="142" t="s">
        <v>230</v>
      </c>
      <c r="B7" s="142" t="str">
        <f>IFERROR(__xludf.DUMMYFUNCTION("""COMPUTED_VALUE"""),"PH015505000")</f>
        <v>PH015505000</v>
      </c>
      <c r="C7" s="142" t="str">
        <f>IFERROR(__xludf.DUMMYFUNCTION("""COMPUTED_VALUE"""),"PH071203000")</f>
        <v>PH071203000</v>
      </c>
      <c r="D7" s="8"/>
      <c r="E7" s="8"/>
      <c r="F7" s="8"/>
      <c r="G7" s="8"/>
      <c r="H7" s="8"/>
      <c r="I7" s="8"/>
      <c r="J7" s="8"/>
    </row>
    <row r="8">
      <c r="A8" s="142" t="s">
        <v>230</v>
      </c>
      <c r="B8" s="142" t="str">
        <f>IFERROR(__xludf.DUMMYFUNCTION("""COMPUTED_VALUE"""),"PH015505000")</f>
        <v>PH015505000</v>
      </c>
      <c r="C8" s="142" t="str">
        <f>IFERROR(__xludf.DUMMYFUNCTION("""COMPUTED_VALUE"""),"PH071203000")</f>
        <v>PH071203000</v>
      </c>
      <c r="D8" s="8"/>
      <c r="E8" s="8"/>
      <c r="F8" s="8"/>
      <c r="G8" s="8"/>
      <c r="H8" s="8"/>
      <c r="I8" s="8"/>
      <c r="J8" s="8"/>
    </row>
    <row r="9">
      <c r="A9" s="142" t="s">
        <v>230</v>
      </c>
      <c r="B9" s="142" t="str">
        <f>IFERROR(__xludf.DUMMYFUNCTION("""COMPUTED_VALUE"""),"PH015505000")</f>
        <v>PH015505000</v>
      </c>
      <c r="C9" s="142" t="str">
        <f>IFERROR(__xludf.DUMMYFUNCTION("""COMPUTED_VALUE"""),"PH071203000")</f>
        <v>PH071203000</v>
      </c>
      <c r="D9" s="8"/>
      <c r="E9" s="8"/>
      <c r="F9" s="8"/>
      <c r="G9" s="8"/>
      <c r="H9" s="8"/>
      <c r="I9" s="8"/>
      <c r="J9" s="8"/>
    </row>
    <row r="10">
      <c r="A10" s="142" t="s">
        <v>259</v>
      </c>
      <c r="B10" s="142" t="str">
        <f>IFERROR(__xludf.DUMMYFUNCTION("""COMPUTED_VALUE"""),"PH041019000")</f>
        <v>PH041019000</v>
      </c>
      <c r="C10" s="8"/>
      <c r="D10" s="8"/>
      <c r="E10" s="8"/>
      <c r="F10" s="8"/>
      <c r="G10" s="8"/>
      <c r="H10" s="8"/>
      <c r="I10" s="8"/>
      <c r="J10" s="8"/>
    </row>
    <row r="11">
      <c r="A11" s="142" t="s">
        <v>277</v>
      </c>
      <c r="B11" s="142" t="str">
        <f>IFERROR(__xludf.DUMMYFUNCTION("""COMPUTED_VALUE"""),"PH104311000")</f>
        <v>PH104311000</v>
      </c>
      <c r="C11" s="8"/>
      <c r="D11" s="8"/>
      <c r="E11" s="8"/>
      <c r="F11" s="8"/>
      <c r="G11" s="8"/>
      <c r="H11" s="8"/>
      <c r="I11" s="8"/>
      <c r="J11" s="8"/>
    </row>
    <row r="12">
      <c r="A12" s="142" t="s">
        <v>295</v>
      </c>
      <c r="B12" s="142" t="str">
        <f>IFERROR(__xludf.DUMMYFUNCTION("""COMPUTED_VALUE"""),"PH037105000")</f>
        <v>PH037105000</v>
      </c>
      <c r="C12" s="8"/>
      <c r="D12" s="8"/>
      <c r="E12" s="8"/>
      <c r="F12" s="8"/>
      <c r="G12" s="8"/>
      <c r="H12" s="8"/>
      <c r="I12" s="8"/>
      <c r="J12" s="8"/>
    </row>
    <row r="13">
      <c r="A13" s="142" t="s">
        <v>316</v>
      </c>
      <c r="B13" s="142" t="str">
        <f>IFERROR(__xludf.DUMMYFUNCTION("""COMPUTED_VALUE"""),"PH060412000")</f>
        <v>PH060412000</v>
      </c>
      <c r="C13" s="8"/>
      <c r="D13" s="8"/>
      <c r="E13" s="8"/>
      <c r="F13" s="8"/>
      <c r="G13" s="8"/>
      <c r="H13" s="8"/>
      <c r="I13" s="8"/>
      <c r="J13" s="8"/>
    </row>
    <row r="14">
      <c r="A14" s="142" t="s">
        <v>332</v>
      </c>
      <c r="B14" s="142" t="str">
        <f>IFERROR(__xludf.DUMMYFUNCTION("""COMPUTED_VALUE"""),"PH112319000")</f>
        <v>PH112319000</v>
      </c>
      <c r="C14" s="8"/>
      <c r="D14" s="8"/>
      <c r="E14" s="8"/>
      <c r="F14" s="8"/>
      <c r="G14" s="8"/>
      <c r="H14" s="8"/>
      <c r="I14" s="8"/>
      <c r="J14" s="8"/>
    </row>
    <row r="15">
      <c r="A15" s="142" t="s">
        <v>347</v>
      </c>
      <c r="B15" s="142" t="str">
        <f>IFERROR(__xludf.DUMMYFUNCTION("""COMPUTED_VALUE"""),"PH166724000")</f>
        <v>PH166724000</v>
      </c>
      <c r="C15" s="8"/>
      <c r="D15" s="8"/>
      <c r="E15" s="8"/>
      <c r="F15" s="8"/>
      <c r="G15" s="8"/>
      <c r="H15" s="8"/>
      <c r="I15" s="8"/>
      <c r="J15" s="8"/>
    </row>
    <row r="16">
      <c r="A16" s="142" t="s">
        <v>358</v>
      </c>
      <c r="B16" s="142" t="str">
        <f>IFERROR(__xludf.DUMMYFUNCTION("""COMPUTED_VALUE"""),"PH128004000")</f>
        <v>PH128004000</v>
      </c>
      <c r="C16" s="8"/>
      <c r="D16" s="8"/>
      <c r="E16" s="8"/>
      <c r="F16" s="8"/>
      <c r="G16" s="8"/>
      <c r="H16" s="8"/>
      <c r="I16" s="8"/>
      <c r="J16" s="8"/>
    </row>
    <row r="17">
      <c r="A17" s="142" t="s">
        <v>375</v>
      </c>
      <c r="B17" s="142" t="str">
        <f>IFERROR(__xludf.DUMMYFUNCTION("""COMPUTED_VALUE"""),"PH128006000")</f>
        <v>PH128006000</v>
      </c>
      <c r="C17" s="8"/>
      <c r="D17" s="8"/>
      <c r="E17" s="8"/>
      <c r="F17" s="8"/>
      <c r="G17" s="8"/>
      <c r="H17" s="8"/>
      <c r="I17" s="8"/>
      <c r="J17" s="8"/>
    </row>
    <row r="18">
      <c r="A18" s="142" t="s">
        <v>382</v>
      </c>
      <c r="B18" s="142" t="str">
        <f>IFERROR(__xludf.DUMMYFUNCTION("""COMPUTED_VALUE"""),"PH012812000")</f>
        <v>PH012812000</v>
      </c>
      <c r="C18" s="8"/>
      <c r="D18" s="8"/>
      <c r="E18" s="8"/>
      <c r="F18" s="8"/>
      <c r="G18" s="8"/>
      <c r="H18" s="8"/>
      <c r="I18" s="8"/>
      <c r="J18" s="8"/>
    </row>
    <row r="19">
      <c r="A19" s="142" t="s">
        <v>400</v>
      </c>
      <c r="B19" s="142" t="str">
        <f>IFERROR(__xludf.DUMMYFUNCTION("""COMPUTED_VALUE"""),"PH012817000")</f>
        <v>PH012817000</v>
      </c>
      <c r="C19" s="8"/>
      <c r="D19" s="8"/>
      <c r="E19" s="8"/>
      <c r="F19" s="8"/>
      <c r="G19" s="8"/>
      <c r="H19" s="8"/>
      <c r="I19" s="8"/>
      <c r="J19" s="8"/>
    </row>
    <row r="20">
      <c r="A20" s="142" t="s">
        <v>405</v>
      </c>
      <c r="B20" s="142" t="str">
        <f>IFERROR(__xludf.DUMMYFUNCTION("""COMPUTED_VALUE"""),"PH012905000")</f>
        <v>PH012905000</v>
      </c>
      <c r="C20" s="8"/>
      <c r="D20" s="8"/>
      <c r="E20" s="8"/>
      <c r="F20" s="8"/>
      <c r="G20" s="8"/>
      <c r="H20" s="8"/>
      <c r="I20" s="8"/>
      <c r="J20" s="8"/>
    </row>
    <row r="21">
      <c r="A21" s="142" t="s">
        <v>405</v>
      </c>
      <c r="B21" s="142" t="str">
        <f>IFERROR(__xludf.DUMMYFUNCTION("""COMPUTED_VALUE"""),"PH012905000")</f>
        <v>PH012905000</v>
      </c>
      <c r="C21" s="8"/>
      <c r="D21" s="8"/>
      <c r="E21" s="8"/>
      <c r="F21" s="8"/>
      <c r="G21" s="8"/>
      <c r="H21" s="8"/>
      <c r="I21" s="8"/>
      <c r="J21" s="8"/>
    </row>
    <row r="22">
      <c r="A22" s="142" t="s">
        <v>3678</v>
      </c>
      <c r="B22" s="142" t="str">
        <f>IFERROR(__xludf.DUMMYFUNCTION("""COMPUTED_VALUE"""),"PH012906000")</f>
        <v>PH012906000</v>
      </c>
      <c r="C22" s="8"/>
      <c r="D22" s="8"/>
      <c r="E22" s="8"/>
      <c r="F22" s="8"/>
      <c r="G22" s="8"/>
      <c r="H22" s="8"/>
      <c r="I22" s="8"/>
      <c r="J22" s="8"/>
    </row>
    <row r="23">
      <c r="A23" s="142" t="s">
        <v>416</v>
      </c>
      <c r="B23" s="142" t="str">
        <f>IFERROR(__xludf.DUMMYFUNCTION("""COMPUTED_VALUE"""),"PH012914000")</f>
        <v>PH012914000</v>
      </c>
      <c r="C23" s="8"/>
      <c r="D23" s="8"/>
      <c r="E23" s="8"/>
      <c r="F23" s="8"/>
      <c r="G23" s="8"/>
      <c r="H23" s="8"/>
      <c r="I23" s="8"/>
      <c r="J23" s="8"/>
    </row>
    <row r="24">
      <c r="A24" s="142" t="s">
        <v>420</v>
      </c>
      <c r="B24" s="142" t="str">
        <f>IFERROR(__xludf.DUMMYFUNCTION("""COMPUTED_VALUE"""),"PH012924000")</f>
        <v>PH012924000</v>
      </c>
      <c r="C24" s="142" t="str">
        <f>IFERROR(__xludf.DUMMYFUNCTION("""COMPUTED_VALUE"""),"PH037113000")</f>
        <v>PH037113000</v>
      </c>
      <c r="D24" s="142" t="str">
        <f>IFERROR(__xludf.DUMMYFUNCTION("""COMPUTED_VALUE"""),"PH043426000")</f>
        <v>PH043426000</v>
      </c>
      <c r="E24" s="142" t="str">
        <f>IFERROR(__xludf.DUMMYFUNCTION("""COMPUTED_VALUE"""),"PH174005000")</f>
        <v>PH174005000</v>
      </c>
      <c r="F24" s="142" t="str">
        <f>IFERROR(__xludf.DUMMYFUNCTION("""COMPUTED_VALUE"""),"PH175111000")</f>
        <v>PH175111000</v>
      </c>
      <c r="G24" s="142" t="str">
        <f>IFERROR(__xludf.DUMMYFUNCTION("""COMPUTED_VALUE"""),"PH112412000")</f>
        <v>PH112412000</v>
      </c>
      <c r="H24" s="8"/>
      <c r="I24" s="8"/>
      <c r="J24" s="8"/>
    </row>
    <row r="25">
      <c r="A25" s="142" t="s">
        <v>424</v>
      </c>
      <c r="B25" s="142" t="str">
        <f>IFERROR(__xludf.DUMMYFUNCTION("""COMPUTED_VALUE"""),"PH012930000")</f>
        <v>PH012930000</v>
      </c>
      <c r="C25" s="8"/>
      <c r="D25" s="8"/>
      <c r="E25" s="8"/>
      <c r="F25" s="8"/>
      <c r="G25" s="8"/>
      <c r="H25" s="8"/>
      <c r="I25" s="8"/>
      <c r="J25" s="8"/>
    </row>
    <row r="26">
      <c r="A26" s="142" t="s">
        <v>428</v>
      </c>
      <c r="B26" s="142" t="str">
        <f>IFERROR(__xludf.DUMMYFUNCTION("""COMPUTED_VALUE"""),"PH012933000")</f>
        <v>PH012933000</v>
      </c>
      <c r="C26" s="8"/>
      <c r="D26" s="8"/>
      <c r="E26" s="8"/>
      <c r="F26" s="8"/>
      <c r="G26" s="8"/>
      <c r="H26" s="8"/>
      <c r="I26" s="8"/>
      <c r="J26" s="8"/>
    </row>
    <row r="27">
      <c r="A27" s="142" t="s">
        <v>433</v>
      </c>
      <c r="B27" s="142" t="str">
        <f>IFERROR(__xludf.DUMMYFUNCTION("""COMPUTED_VALUE"""),"PH012934000")</f>
        <v>PH012934000</v>
      </c>
      <c r="C27" s="8"/>
      <c r="D27" s="8"/>
      <c r="E27" s="8"/>
      <c r="F27" s="8"/>
      <c r="G27" s="8"/>
      <c r="H27" s="8"/>
      <c r="I27" s="8"/>
      <c r="J27" s="8"/>
    </row>
    <row r="28">
      <c r="A28" s="142" t="s">
        <v>439</v>
      </c>
      <c r="B28" s="142" t="str">
        <f>IFERROR(__xludf.DUMMYFUNCTION("""COMPUTED_VALUE"""),"PH013302000")</f>
        <v>PH013302000</v>
      </c>
      <c r="C28" s="8"/>
      <c r="D28" s="8"/>
      <c r="E28" s="8"/>
      <c r="F28" s="8"/>
      <c r="G28" s="8"/>
      <c r="H28" s="8"/>
      <c r="I28" s="8"/>
      <c r="J28" s="8"/>
    </row>
    <row r="29">
      <c r="A29" s="142" t="s">
        <v>443</v>
      </c>
      <c r="B29" s="142" t="str">
        <f>IFERROR(__xludf.DUMMYFUNCTION("""COMPUTED_VALUE"""),"PH013306000")</f>
        <v>PH013306000</v>
      </c>
      <c r="C29" s="8"/>
      <c r="D29" s="8"/>
      <c r="E29" s="8"/>
      <c r="F29" s="8"/>
      <c r="G29" s="8"/>
      <c r="H29" s="8"/>
      <c r="I29" s="8"/>
      <c r="J29" s="8"/>
    </row>
    <row r="30">
      <c r="A30" s="142" t="s">
        <v>447</v>
      </c>
      <c r="B30" s="142" t="str">
        <f>IFERROR(__xludf.DUMMYFUNCTION("""COMPUTED_VALUE"""),"PH013313000")</f>
        <v>PH013313000</v>
      </c>
      <c r="C30" s="142" t="str">
        <f>IFERROR(__xludf.DUMMYFUNCTION("""COMPUTED_VALUE"""),"PH041021000")</f>
        <v>PH041021000</v>
      </c>
      <c r="D30" s="142" t="str">
        <f>IFERROR(__xludf.DUMMYFUNCTION("""COMPUTED_VALUE"""),"PH042117000")</f>
        <v>PH042117000</v>
      </c>
      <c r="E30" s="142" t="str">
        <f>IFERROR(__xludf.DUMMYFUNCTION("""COMPUTED_VALUE"""),"PH084816000")</f>
        <v>PH084816000</v>
      </c>
      <c r="F30" s="142" t="str">
        <f>IFERROR(__xludf.DUMMYFUNCTION("""COMPUTED_VALUE"""),"PH160307000")</f>
        <v>PH160307000</v>
      </c>
      <c r="G30" s="8"/>
      <c r="H30" s="8"/>
      <c r="I30" s="8"/>
      <c r="J30" s="8"/>
    </row>
    <row r="31">
      <c r="A31" s="142" t="s">
        <v>145</v>
      </c>
      <c r="B31" s="142" t="str">
        <f>IFERROR(__xludf.DUMMYFUNCTION("""COMPUTED_VALUE"""),"PH015501000")</f>
        <v>PH015501000</v>
      </c>
      <c r="C31" s="8"/>
      <c r="D31" s="8"/>
      <c r="E31" s="8"/>
      <c r="F31" s="8"/>
      <c r="G31" s="8"/>
      <c r="H31" s="8"/>
      <c r="I31" s="8"/>
      <c r="J31" s="8"/>
    </row>
    <row r="32">
      <c r="A32" s="142" t="s">
        <v>221</v>
      </c>
      <c r="B32" s="142" t="str">
        <f>IFERROR(__xludf.DUMMYFUNCTION("""COMPUTED_VALUE"""),"PH015503000")</f>
        <v>PH015503000</v>
      </c>
      <c r="C32" s="8"/>
      <c r="D32" s="8"/>
      <c r="E32" s="8"/>
      <c r="F32" s="8"/>
      <c r="G32" s="8"/>
      <c r="H32" s="8"/>
      <c r="I32" s="8"/>
      <c r="J32" s="8"/>
    </row>
    <row r="33">
      <c r="A33" s="142" t="s">
        <v>221</v>
      </c>
      <c r="B33" s="142" t="str">
        <f>IFERROR(__xludf.DUMMYFUNCTION("""COMPUTED_VALUE"""),"PH015503000")</f>
        <v>PH015503000</v>
      </c>
      <c r="C33" s="8"/>
      <c r="D33" s="8"/>
      <c r="E33" s="8"/>
      <c r="F33" s="8"/>
      <c r="G33" s="8"/>
      <c r="H33" s="8"/>
      <c r="I33" s="8"/>
      <c r="J33" s="8"/>
    </row>
    <row r="34">
      <c r="A34" s="142" t="s">
        <v>230</v>
      </c>
      <c r="B34" s="142" t="str">
        <f>IFERROR(__xludf.DUMMYFUNCTION("""COMPUTED_VALUE"""),"PH015505000")</f>
        <v>PH015505000</v>
      </c>
      <c r="C34" s="142" t="str">
        <f>IFERROR(__xludf.DUMMYFUNCTION("""COMPUTED_VALUE"""),"PH071203000")</f>
        <v>PH071203000</v>
      </c>
      <c r="D34" s="8"/>
      <c r="E34" s="8"/>
      <c r="F34" s="8"/>
      <c r="G34" s="8"/>
      <c r="H34" s="8"/>
      <c r="I34" s="8"/>
      <c r="J34" s="8"/>
    </row>
    <row r="35">
      <c r="A35" s="142" t="s">
        <v>230</v>
      </c>
      <c r="B35" s="142" t="str">
        <f>IFERROR(__xludf.DUMMYFUNCTION("""COMPUTED_VALUE"""),"PH015505000")</f>
        <v>PH015505000</v>
      </c>
      <c r="C35" s="142" t="str">
        <f>IFERROR(__xludf.DUMMYFUNCTION("""COMPUTED_VALUE"""),"PH071203000")</f>
        <v>PH071203000</v>
      </c>
      <c r="D35" s="8"/>
      <c r="E35" s="8"/>
      <c r="F35" s="8"/>
      <c r="G35" s="8"/>
      <c r="H35" s="8"/>
      <c r="I35" s="8"/>
      <c r="J35" s="8"/>
    </row>
    <row r="36">
      <c r="A36" s="142" t="s">
        <v>463</v>
      </c>
      <c r="B36" s="142" t="str">
        <f>IFERROR(__xludf.DUMMYFUNCTION("""COMPUTED_VALUE"""),"PH015508000")</f>
        <v>PH015508000</v>
      </c>
      <c r="C36" s="8"/>
      <c r="D36" s="8"/>
      <c r="E36" s="8"/>
      <c r="F36" s="8"/>
      <c r="G36" s="8"/>
      <c r="H36" s="8"/>
      <c r="I36" s="8"/>
      <c r="J36" s="8"/>
    </row>
    <row r="37">
      <c r="A37" s="142" t="s">
        <v>463</v>
      </c>
      <c r="B37" s="142" t="str">
        <f>IFERROR(__xludf.DUMMYFUNCTION("""COMPUTED_VALUE"""),"PH015508000")</f>
        <v>PH015508000</v>
      </c>
      <c r="C37" s="8"/>
      <c r="D37" s="8"/>
      <c r="E37" s="8"/>
      <c r="F37" s="8"/>
      <c r="G37" s="8"/>
      <c r="H37" s="8"/>
      <c r="I37" s="8"/>
      <c r="J37" s="8"/>
    </row>
    <row r="38">
      <c r="A38" s="142" t="s">
        <v>472</v>
      </c>
      <c r="B38" s="142" t="str">
        <f>IFERROR(__xludf.DUMMYFUNCTION("""COMPUTED_VALUE"""),"PH015520000")</f>
        <v>PH015520000</v>
      </c>
      <c r="C38" s="142" t="str">
        <f>IFERROR(__xludf.DUMMYFUNCTION("""COMPUTED_VALUE"""),"PH045620000")</f>
        <v>PH045620000</v>
      </c>
      <c r="D38" s="8"/>
      <c r="E38" s="8"/>
      <c r="F38" s="8"/>
      <c r="G38" s="8"/>
      <c r="H38" s="8"/>
      <c r="I38" s="8"/>
      <c r="J38" s="8"/>
    </row>
    <row r="39">
      <c r="A39" s="142" t="s">
        <v>477</v>
      </c>
      <c r="B39" s="142" t="str">
        <f>IFERROR(__xludf.DUMMYFUNCTION("""COMPUTED_VALUE"""),"PH015542000")</f>
        <v>PH015542000</v>
      </c>
      <c r="C39" s="8"/>
      <c r="D39" s="8"/>
      <c r="E39" s="8"/>
      <c r="F39" s="8"/>
      <c r="G39" s="8"/>
      <c r="H39" s="8"/>
      <c r="I39" s="8"/>
      <c r="J39" s="8"/>
    </row>
    <row r="40">
      <c r="A40" s="142" t="s">
        <v>483</v>
      </c>
      <c r="B40" s="142" t="str">
        <f>IFERROR(__xludf.DUMMYFUNCTION("""COMPUTED_VALUE"""),"PH021523000")</f>
        <v>PH021523000</v>
      </c>
      <c r="C40" s="142" t="str">
        <f>IFERROR(__xludf.DUMMYFUNCTION("""COMPUTED_VALUE"""),"PH035419000")</f>
        <v>PH035419000</v>
      </c>
      <c r="D40" s="8"/>
      <c r="E40" s="8"/>
      <c r="F40" s="8"/>
      <c r="G40" s="8"/>
      <c r="H40" s="8"/>
      <c r="I40" s="8"/>
      <c r="J40" s="8"/>
    </row>
    <row r="41">
      <c r="A41" s="142" t="s">
        <v>486</v>
      </c>
      <c r="B41" s="142" t="str">
        <f>IFERROR(__xludf.DUMMYFUNCTION("""COMPUTED_VALUE"""),"PH037103000")</f>
        <v>PH037103000</v>
      </c>
      <c r="C41" s="142" t="str">
        <f>IFERROR(__xludf.DUMMYFUNCTION("""COMPUTED_VALUE"""),"PH045608000")</f>
        <v>PH045608000</v>
      </c>
      <c r="D41" s="8"/>
      <c r="E41" s="8"/>
      <c r="F41" s="8"/>
      <c r="G41" s="8"/>
      <c r="H41" s="8"/>
      <c r="I41" s="8"/>
      <c r="J41" s="8"/>
    </row>
    <row r="42">
      <c r="A42" s="142" t="s">
        <v>491</v>
      </c>
      <c r="B42" s="142" t="str">
        <f>IFERROR(__xludf.DUMMYFUNCTION("""COMPUTED_VALUE"""),"PH012920000")</f>
        <v>PH012920000</v>
      </c>
      <c r="C42" s="142" t="str">
        <f>IFERROR(__xludf.DUMMYFUNCTION("""COMPUTED_VALUE"""),"PH013316000")</f>
        <v>PH013316000</v>
      </c>
      <c r="D42" s="142" t="str">
        <f>IFERROR(__xludf.DUMMYFUNCTION("""COMPUTED_VALUE"""),"PH041023000")</f>
        <v>PH041023000</v>
      </c>
      <c r="E42" s="142" t="str">
        <f>IFERROR(__xludf.DUMMYFUNCTION("""COMPUTED_VALUE"""),"PH076105000")</f>
        <v>PH076105000</v>
      </c>
      <c r="F42" s="142" t="str">
        <f>IFERROR(__xludf.DUMMYFUNCTION("""COMPUTED_VALUE"""),"PH086414000")</f>
        <v>PH086414000</v>
      </c>
      <c r="G42" s="142" t="str">
        <f>IFERROR(__xludf.DUMMYFUNCTION("""COMPUTED_VALUE"""),"PH140122000")</f>
        <v>PH140122000</v>
      </c>
      <c r="H42" s="8"/>
      <c r="I42" s="8"/>
      <c r="J42" s="8"/>
    </row>
    <row r="43">
      <c r="A43" s="142" t="s">
        <v>498</v>
      </c>
      <c r="B43" s="142" t="str">
        <f>IFERROR(__xludf.DUMMYFUNCTION("""COMPUTED_VALUE"""),"PH045603000")</f>
        <v>PH045603000</v>
      </c>
      <c r="C43" s="8"/>
      <c r="D43" s="8"/>
      <c r="E43" s="8"/>
      <c r="F43" s="8"/>
      <c r="G43" s="8"/>
      <c r="H43" s="8"/>
      <c r="I43" s="8"/>
      <c r="J43" s="8"/>
    </row>
    <row r="44">
      <c r="A44" s="142" t="s">
        <v>498</v>
      </c>
      <c r="B44" s="142" t="str">
        <f>IFERROR(__xludf.DUMMYFUNCTION("""COMPUTED_VALUE"""),"PH045603000")</f>
        <v>PH045603000</v>
      </c>
      <c r="C44" s="8"/>
      <c r="D44" s="8"/>
      <c r="E44" s="8"/>
      <c r="F44" s="8"/>
      <c r="G44" s="8"/>
      <c r="H44" s="8"/>
      <c r="I44" s="8"/>
      <c r="J44" s="8"/>
    </row>
    <row r="45">
      <c r="A45" s="142" t="s">
        <v>505</v>
      </c>
      <c r="B45" s="142" t="str">
        <f>IFERROR(__xludf.DUMMYFUNCTION("""COMPUTED_VALUE"""),"PH045607000")</f>
        <v>PH045607000</v>
      </c>
      <c r="C45" s="8"/>
      <c r="D45" s="8"/>
      <c r="E45" s="8"/>
      <c r="F45" s="8"/>
      <c r="G45" s="8"/>
      <c r="H45" s="8"/>
      <c r="I45" s="8"/>
      <c r="J45" s="8"/>
    </row>
    <row r="46">
      <c r="A46" s="142" t="s">
        <v>510</v>
      </c>
      <c r="B46" s="142" t="str">
        <f>IFERROR(__xludf.DUMMYFUNCTION("""COMPUTED_VALUE"""),"PH045619000")</f>
        <v>PH045619000</v>
      </c>
      <c r="C46" s="8"/>
      <c r="D46" s="8"/>
      <c r="E46" s="8"/>
      <c r="F46" s="8"/>
      <c r="G46" s="8"/>
      <c r="H46" s="8"/>
      <c r="I46" s="8"/>
      <c r="J46" s="8"/>
    </row>
    <row r="47">
      <c r="A47" s="142" t="s">
        <v>514</v>
      </c>
      <c r="B47" s="142" t="str">
        <f>IFERROR(__xludf.DUMMYFUNCTION("""COMPUTED_VALUE"""),"PH045622000")</f>
        <v>PH045622000</v>
      </c>
      <c r="C47" s="8"/>
      <c r="D47" s="8"/>
      <c r="E47" s="8"/>
      <c r="F47" s="8"/>
      <c r="G47" s="8"/>
      <c r="H47" s="8"/>
      <c r="I47" s="8"/>
      <c r="J47" s="8"/>
    </row>
    <row r="48">
      <c r="A48" s="142" t="s">
        <v>518</v>
      </c>
      <c r="B48" s="142" t="str">
        <f>IFERROR(__xludf.DUMMYFUNCTION("""COMPUTED_VALUE"""),"PH031417000")</f>
        <v>PH031417000</v>
      </c>
      <c r="C48" s="142" t="str">
        <f>IFERROR(__xludf.DUMMYFUNCTION("""COMPUTED_VALUE"""),"PH045635000")</f>
        <v>PH045635000</v>
      </c>
      <c r="D48" s="142" t="str">
        <f>IFERROR(__xludf.DUMMYFUNCTION("""COMPUTED_VALUE"""),"PH104212000")</f>
        <v>PH104212000</v>
      </c>
      <c r="E48" s="8"/>
      <c r="F48" s="8"/>
      <c r="G48" s="8"/>
      <c r="H48" s="8"/>
      <c r="I48" s="8"/>
      <c r="J48" s="8"/>
    </row>
    <row r="49">
      <c r="A49" s="142" t="s">
        <v>524</v>
      </c>
      <c r="B49" s="142" t="str">
        <f>IFERROR(__xludf.DUMMYFUNCTION("""COMPUTED_VALUE"""),"PH175316000")</f>
        <v>PH175316000</v>
      </c>
      <c r="C49" s="8"/>
      <c r="D49" s="8"/>
      <c r="E49" s="8"/>
      <c r="F49" s="8"/>
      <c r="G49" s="8"/>
      <c r="H49" s="8"/>
      <c r="I49" s="8"/>
      <c r="J49" s="8"/>
    </row>
    <row r="50">
      <c r="A50" s="142" t="s">
        <v>530</v>
      </c>
      <c r="B50" s="142" t="str">
        <f>IFERROR(__xludf.DUMMYFUNCTION("""COMPUTED_VALUE"""),"PH175909000")</f>
        <v>PH175909000</v>
      </c>
      <c r="C50" s="8"/>
      <c r="D50" s="8"/>
      <c r="E50" s="8"/>
      <c r="F50" s="8"/>
      <c r="G50" s="8"/>
      <c r="H50" s="8"/>
      <c r="I50" s="8"/>
      <c r="J50" s="8"/>
    </row>
    <row r="51">
      <c r="A51" s="142" t="s">
        <v>537</v>
      </c>
      <c r="B51" s="142" t="str">
        <f>IFERROR(__xludf.DUMMYFUNCTION("""COMPUTED_VALUE"""),"PH056216000")</f>
        <v>PH056216000</v>
      </c>
      <c r="C51" s="8"/>
      <c r="D51" s="8"/>
      <c r="E51" s="8"/>
      <c r="F51" s="8"/>
      <c r="G51" s="8"/>
      <c r="H51" s="8"/>
      <c r="I51" s="8"/>
      <c r="J51" s="8"/>
    </row>
    <row r="52">
      <c r="A52" s="142" t="s">
        <v>537</v>
      </c>
      <c r="B52" s="142" t="str">
        <f>IFERROR(__xludf.DUMMYFUNCTION("""COMPUTED_VALUE"""),"PH056216000")</f>
        <v>PH056216000</v>
      </c>
      <c r="C52" s="8"/>
      <c r="D52" s="8"/>
      <c r="E52" s="8"/>
      <c r="F52" s="8"/>
      <c r="G52" s="8"/>
      <c r="H52" s="8"/>
      <c r="I52" s="8"/>
      <c r="J52" s="8"/>
    </row>
    <row r="53">
      <c r="A53" s="142" t="s">
        <v>537</v>
      </c>
      <c r="B53" s="142" t="str">
        <f>IFERROR(__xludf.DUMMYFUNCTION("""COMPUTED_VALUE"""),"PH056216000")</f>
        <v>PH056216000</v>
      </c>
      <c r="C53" s="8"/>
      <c r="D53" s="8"/>
      <c r="E53" s="8"/>
      <c r="F53" s="8"/>
      <c r="G53" s="8"/>
      <c r="H53" s="8"/>
      <c r="I53" s="8"/>
      <c r="J53" s="8"/>
    </row>
    <row r="54">
      <c r="A54" s="142" t="s">
        <v>537</v>
      </c>
      <c r="B54" s="142" t="str">
        <f>IFERROR(__xludf.DUMMYFUNCTION("""COMPUTED_VALUE"""),"PH056216000")</f>
        <v>PH056216000</v>
      </c>
      <c r="C54" s="8"/>
      <c r="D54" s="8"/>
      <c r="E54" s="8"/>
      <c r="F54" s="8"/>
      <c r="G54" s="8"/>
      <c r="H54" s="8"/>
      <c r="I54" s="8"/>
      <c r="J54" s="8"/>
    </row>
    <row r="55">
      <c r="A55" s="142" t="s">
        <v>537</v>
      </c>
      <c r="B55" s="142" t="str">
        <f>IFERROR(__xludf.DUMMYFUNCTION("""COMPUTED_VALUE"""),"PH056216000")</f>
        <v>PH056216000</v>
      </c>
      <c r="C55" s="8"/>
      <c r="D55" s="8"/>
      <c r="E55" s="8"/>
      <c r="F55" s="8"/>
      <c r="G55" s="8"/>
      <c r="H55" s="8"/>
      <c r="I55" s="8"/>
      <c r="J55" s="8"/>
    </row>
    <row r="56">
      <c r="A56" s="142" t="s">
        <v>537</v>
      </c>
      <c r="B56" s="142" t="str">
        <f>IFERROR(__xludf.DUMMYFUNCTION("""COMPUTED_VALUE"""),"PH056216000")</f>
        <v>PH056216000</v>
      </c>
      <c r="C56" s="8"/>
      <c r="D56" s="8"/>
      <c r="E56" s="8"/>
      <c r="F56" s="8"/>
      <c r="G56" s="8"/>
      <c r="H56" s="8"/>
      <c r="I56" s="8"/>
      <c r="J56" s="8"/>
    </row>
    <row r="57">
      <c r="A57" s="142" t="s">
        <v>554</v>
      </c>
      <c r="B57" s="142" t="str">
        <f>IFERROR(__xludf.DUMMYFUNCTION("""COMPUTED_VALUE"""),"PH037702000")</f>
        <v>PH037702000</v>
      </c>
      <c r="C57" s="142" t="str">
        <f>IFERROR(__xludf.DUMMYFUNCTION("""COMPUTED_VALUE"""),"PH056205000")</f>
        <v>PH056205000</v>
      </c>
      <c r="D57" s="8"/>
      <c r="E57" s="8"/>
      <c r="F57" s="8"/>
      <c r="G57" s="8"/>
      <c r="H57" s="8"/>
      <c r="I57" s="8"/>
      <c r="J57" s="8"/>
    </row>
    <row r="58">
      <c r="A58" s="142" t="s">
        <v>559</v>
      </c>
      <c r="B58" s="142" t="str">
        <f>IFERROR(__xludf.DUMMYFUNCTION("""COMPUTED_VALUE"""),"PH063020000")</f>
        <v>PH063020000</v>
      </c>
      <c r="C58" s="8"/>
      <c r="D58" s="8"/>
      <c r="E58" s="8"/>
      <c r="F58" s="8"/>
      <c r="G58" s="8"/>
      <c r="H58" s="8"/>
      <c r="I58" s="8"/>
      <c r="J58" s="8"/>
    </row>
    <row r="59">
      <c r="A59" s="142" t="s">
        <v>564</v>
      </c>
      <c r="B59" s="142" t="str">
        <f>IFERROR(__xludf.DUMMYFUNCTION("""COMPUTED_VALUE"""),"PH071211000")</f>
        <v>PH071211000</v>
      </c>
      <c r="C59" s="8"/>
      <c r="D59" s="8"/>
      <c r="E59" s="8"/>
      <c r="F59" s="8"/>
      <c r="G59" s="8"/>
      <c r="H59" s="8"/>
      <c r="I59" s="8"/>
      <c r="J59" s="8"/>
    </row>
    <row r="60">
      <c r="A60" s="142" t="s">
        <v>568</v>
      </c>
      <c r="B60" s="142" t="str">
        <f>IFERROR(__xludf.DUMMYFUNCTION("""COMPUTED_VALUE"""),"PH072232000")</f>
        <v>PH072232000</v>
      </c>
      <c r="C60" s="8"/>
      <c r="D60" s="8"/>
      <c r="E60" s="8"/>
      <c r="F60" s="8"/>
      <c r="G60" s="8"/>
      <c r="H60" s="8"/>
      <c r="I60" s="8"/>
      <c r="J60" s="8"/>
    </row>
    <row r="61">
      <c r="A61" s="142" t="s">
        <v>573</v>
      </c>
      <c r="B61" s="142" t="str">
        <f>IFERROR(__xludf.DUMMYFUNCTION("""COMPUTED_VALUE"""),"PH072249000")</f>
        <v>PH072249000</v>
      </c>
      <c r="C61" s="8"/>
      <c r="D61" s="8"/>
      <c r="E61" s="8"/>
      <c r="F61" s="8"/>
      <c r="G61" s="8"/>
      <c r="H61" s="8"/>
      <c r="I61" s="8"/>
      <c r="J61" s="8"/>
    </row>
    <row r="62">
      <c r="A62" s="142" t="s">
        <v>573</v>
      </c>
      <c r="B62" s="142" t="str">
        <f>IFERROR(__xludf.DUMMYFUNCTION("""COMPUTED_VALUE"""),"PH072249000")</f>
        <v>PH072249000</v>
      </c>
      <c r="C62" s="8"/>
      <c r="D62" s="8"/>
      <c r="E62" s="8"/>
      <c r="F62" s="8"/>
      <c r="G62" s="8"/>
      <c r="H62" s="8"/>
      <c r="I62" s="8"/>
      <c r="J62" s="8"/>
    </row>
    <row r="63">
      <c r="A63" s="142" t="s">
        <v>581</v>
      </c>
      <c r="B63" s="142" t="str">
        <f>IFERROR(__xludf.DUMMYFUNCTION("""COMPUTED_VALUE"""),"PH082604000")</f>
        <v>PH082604000</v>
      </c>
      <c r="C63" s="8"/>
      <c r="D63" s="8"/>
      <c r="E63" s="8"/>
      <c r="F63" s="8"/>
      <c r="G63" s="8"/>
      <c r="H63" s="8"/>
      <c r="I63" s="8"/>
      <c r="J63" s="8"/>
    </row>
    <row r="64">
      <c r="A64" s="142" t="s">
        <v>586</v>
      </c>
      <c r="B64" s="142" t="str">
        <f>IFERROR(__xludf.DUMMYFUNCTION("""COMPUTED_VALUE"""),"PH083715000")</f>
        <v>PH083715000</v>
      </c>
      <c r="C64" s="8"/>
      <c r="D64" s="8"/>
      <c r="E64" s="8"/>
      <c r="F64" s="8"/>
      <c r="G64" s="8"/>
      <c r="H64" s="8"/>
      <c r="I64" s="8"/>
      <c r="J64" s="8"/>
    </row>
    <row r="65">
      <c r="A65" s="142" t="s">
        <v>592</v>
      </c>
      <c r="B65" s="142" t="str">
        <f>IFERROR(__xludf.DUMMYFUNCTION("""COMPUTED_VALUE"""),"PH097201000")</f>
        <v>PH097201000</v>
      </c>
      <c r="C65" s="8"/>
      <c r="D65" s="8"/>
      <c r="E65" s="8"/>
      <c r="F65" s="8"/>
      <c r="G65" s="8"/>
      <c r="H65" s="8"/>
      <c r="I65" s="8"/>
      <c r="J65" s="8"/>
    </row>
    <row r="66">
      <c r="A66" s="142" t="s">
        <v>592</v>
      </c>
      <c r="B66" s="142" t="str">
        <f>IFERROR(__xludf.DUMMYFUNCTION("""COMPUTED_VALUE"""),"PH097201000")</f>
        <v>PH097201000</v>
      </c>
      <c r="C66" s="8"/>
      <c r="D66" s="8"/>
      <c r="E66" s="8"/>
      <c r="F66" s="8"/>
      <c r="G66" s="8"/>
      <c r="H66" s="8"/>
      <c r="I66" s="8"/>
      <c r="J66" s="8"/>
    </row>
    <row r="67">
      <c r="A67" s="142" t="s">
        <v>592</v>
      </c>
      <c r="B67" s="142" t="str">
        <f>IFERROR(__xludf.DUMMYFUNCTION("""COMPUTED_VALUE"""),"PH097201000")</f>
        <v>PH097201000</v>
      </c>
      <c r="C67" s="8"/>
      <c r="D67" s="8"/>
      <c r="E67" s="8"/>
      <c r="F67" s="8"/>
      <c r="G67" s="8"/>
      <c r="H67" s="8"/>
      <c r="I67" s="8"/>
      <c r="J67" s="8"/>
    </row>
    <row r="68">
      <c r="A68" s="142" t="s">
        <v>601</v>
      </c>
      <c r="B68" s="142" t="str">
        <f>IFERROR(__xludf.DUMMYFUNCTION("""COMPUTED_VALUE"""),"PH103507000")</f>
        <v>PH103507000</v>
      </c>
      <c r="C68" s="8"/>
      <c r="D68" s="8"/>
      <c r="E68" s="8"/>
      <c r="F68" s="8"/>
      <c r="G68" s="8"/>
      <c r="H68" s="8"/>
      <c r="I68" s="8"/>
      <c r="J68" s="8"/>
    </row>
    <row r="69">
      <c r="A69" s="142" t="s">
        <v>601</v>
      </c>
      <c r="B69" s="142" t="str">
        <f>IFERROR(__xludf.DUMMYFUNCTION("""COMPUTED_VALUE"""),"PH103507000")</f>
        <v>PH103507000</v>
      </c>
      <c r="C69" s="8"/>
      <c r="D69" s="8"/>
      <c r="E69" s="8"/>
      <c r="F69" s="8"/>
      <c r="G69" s="8"/>
      <c r="H69" s="8"/>
      <c r="I69" s="8"/>
      <c r="J69" s="8"/>
    </row>
    <row r="70">
      <c r="A70" s="142" t="s">
        <v>611</v>
      </c>
      <c r="B70" s="142" t="str">
        <f>IFERROR(__xludf.DUMMYFUNCTION("""COMPUTED_VALUE"""),"PH104310000")</f>
        <v>PH104310000</v>
      </c>
      <c r="C70" s="8"/>
      <c r="D70" s="8"/>
      <c r="E70" s="8"/>
      <c r="F70" s="8"/>
      <c r="G70" s="8"/>
      <c r="H70" s="8"/>
      <c r="I70" s="8"/>
      <c r="J70" s="8"/>
    </row>
    <row r="71">
      <c r="A71" s="142" t="s">
        <v>616</v>
      </c>
      <c r="B71" s="142" t="str">
        <f>IFERROR(__xludf.DUMMYFUNCTION("""COMPUTED_VALUE"""),"PH112402000")</f>
        <v>PH112402000</v>
      </c>
      <c r="C71" s="8"/>
      <c r="D71" s="8"/>
      <c r="E71" s="8"/>
      <c r="F71" s="8"/>
      <c r="G71" s="8"/>
      <c r="H71" s="8"/>
      <c r="I71" s="8"/>
      <c r="J71" s="8"/>
    </row>
    <row r="72">
      <c r="A72" s="142" t="s">
        <v>621</v>
      </c>
      <c r="B72" s="142" t="str">
        <f>IFERROR(__xludf.DUMMYFUNCTION("""COMPUTED_VALUE"""),"PH133900000")</f>
        <v>PH133900000</v>
      </c>
      <c r="C72" s="8"/>
      <c r="D72" s="8"/>
      <c r="E72" s="8"/>
      <c r="F72" s="8"/>
      <c r="G72" s="8"/>
      <c r="H72" s="8"/>
      <c r="I72" s="8"/>
      <c r="J72" s="8"/>
    </row>
    <row r="73">
      <c r="A73" s="142" t="s">
        <v>627</v>
      </c>
      <c r="B73" s="142" t="str">
        <f>IFERROR(__xludf.DUMMYFUNCTION("""COMPUTED_VALUE"""),"PH064501000")</f>
        <v>PH064501000</v>
      </c>
      <c r="C73" s="8"/>
      <c r="D73" s="8"/>
      <c r="E73" s="8"/>
      <c r="F73" s="8"/>
      <c r="G73" s="8"/>
      <c r="H73" s="8"/>
      <c r="I73" s="8"/>
      <c r="J73" s="8"/>
    </row>
    <row r="74">
      <c r="A74" s="142" t="s">
        <v>633</v>
      </c>
      <c r="B74" s="142" t="str">
        <f>IFERROR(__xludf.DUMMYFUNCTION("""COMPUTED_VALUE"""),"PH074619000")</f>
        <v>PH074619000</v>
      </c>
      <c r="C74" s="8"/>
      <c r="D74" s="8"/>
      <c r="E74" s="8"/>
      <c r="F74" s="8"/>
      <c r="G74" s="8"/>
      <c r="H74" s="8"/>
      <c r="I74" s="8"/>
      <c r="J74" s="8"/>
    </row>
    <row r="75">
      <c r="A75" s="142" t="s">
        <v>637</v>
      </c>
      <c r="B75" s="142" t="str">
        <f>IFERROR(__xludf.DUMMYFUNCTION("""COMPUTED_VALUE"""),"PH074625000")</f>
        <v>PH074625000</v>
      </c>
      <c r="C75" s="8"/>
      <c r="D75" s="8"/>
      <c r="E75" s="8"/>
      <c r="F75" s="8"/>
      <c r="G75" s="8"/>
      <c r="H75" s="8"/>
      <c r="I75" s="8"/>
      <c r="J75" s="8"/>
    </row>
    <row r="76">
      <c r="A76" s="142" t="s">
        <v>644</v>
      </c>
      <c r="B76" s="142" t="str">
        <f>IFERROR(__xludf.DUMMYFUNCTION("""COMPUTED_VALUE"""),"PH153809000")</f>
        <v>PH153809000</v>
      </c>
      <c r="C76" s="8"/>
      <c r="D76" s="8"/>
      <c r="E76" s="8"/>
      <c r="F76" s="8"/>
      <c r="G76" s="8"/>
      <c r="H76" s="8"/>
      <c r="I76" s="8"/>
      <c r="J76" s="8"/>
    </row>
    <row r="77">
      <c r="A77" s="142" t="s">
        <v>650</v>
      </c>
      <c r="B77" s="142" t="str">
        <f>IFERROR(__xludf.DUMMYFUNCTION("""COMPUTED_VALUE"""),"PH160203000")</f>
        <v>PH160203000</v>
      </c>
      <c r="C77" s="8"/>
      <c r="D77" s="8"/>
      <c r="E77" s="8"/>
      <c r="F77" s="8"/>
      <c r="G77" s="8"/>
      <c r="H77" s="8"/>
      <c r="I77" s="8"/>
      <c r="J77" s="8"/>
    </row>
    <row r="78">
      <c r="A78" s="142" t="s">
        <v>616</v>
      </c>
      <c r="B78" s="142" t="str">
        <f>IFERROR(__xludf.DUMMYFUNCTION("""COMPUTED_VALUE"""),"PH112402000")</f>
        <v>PH112402000</v>
      </c>
      <c r="C78" s="8"/>
      <c r="D78" s="8"/>
      <c r="E78" s="8"/>
      <c r="F78" s="8"/>
      <c r="G78" s="8"/>
      <c r="H78" s="8"/>
      <c r="I78" s="8"/>
      <c r="J78" s="8"/>
    </row>
    <row r="79">
      <c r="A79" s="142" t="s">
        <v>616</v>
      </c>
      <c r="B79" s="142" t="str">
        <f>IFERROR(__xludf.DUMMYFUNCTION("""COMPUTED_VALUE"""),"PH112402000")</f>
        <v>PH112402000</v>
      </c>
      <c r="C79" s="8"/>
      <c r="D79" s="8"/>
      <c r="E79" s="8"/>
      <c r="F79" s="8"/>
      <c r="G79" s="8"/>
      <c r="H79" s="8"/>
      <c r="I79" s="8"/>
      <c r="J79" s="8"/>
    </row>
    <row r="80">
      <c r="A80" s="142" t="s">
        <v>693</v>
      </c>
      <c r="B80" s="142" t="str">
        <f>IFERROR(__xludf.DUMMYFUNCTION("""COMPUTED_VALUE"""),"PH015514000")</f>
        <v>PH015514000</v>
      </c>
      <c r="C80" s="8"/>
      <c r="D80" s="8"/>
      <c r="E80" s="8"/>
      <c r="F80" s="8"/>
      <c r="G80" s="8"/>
      <c r="H80" s="8"/>
      <c r="I80" s="8"/>
      <c r="J80" s="8"/>
    </row>
    <row r="81">
      <c r="A81" s="142" t="s">
        <v>693</v>
      </c>
      <c r="B81" s="142" t="str">
        <f>IFERROR(__xludf.DUMMYFUNCTION("""COMPUTED_VALUE"""),"PH015514000")</f>
        <v>PH015514000</v>
      </c>
      <c r="C81" s="8"/>
      <c r="D81" s="8"/>
      <c r="E81" s="8"/>
      <c r="F81" s="8"/>
      <c r="G81" s="8"/>
      <c r="H81" s="8"/>
      <c r="I81" s="8"/>
      <c r="J81" s="8"/>
    </row>
    <row r="82">
      <c r="A82" s="142" t="s">
        <v>420</v>
      </c>
      <c r="B82" s="142" t="str">
        <f>IFERROR(__xludf.DUMMYFUNCTION("""COMPUTED_VALUE"""),"PH012924000")</f>
        <v>PH012924000</v>
      </c>
      <c r="C82" s="142" t="str">
        <f>IFERROR(__xludf.DUMMYFUNCTION("""COMPUTED_VALUE"""),"PH037113000")</f>
        <v>PH037113000</v>
      </c>
      <c r="D82" s="142" t="str">
        <f>IFERROR(__xludf.DUMMYFUNCTION("""COMPUTED_VALUE"""),"PH043426000")</f>
        <v>PH043426000</v>
      </c>
      <c r="E82" s="142" t="str">
        <f>IFERROR(__xludf.DUMMYFUNCTION("""COMPUTED_VALUE"""),"PH174005000")</f>
        <v>PH174005000</v>
      </c>
      <c r="F82" s="142" t="str">
        <f>IFERROR(__xludf.DUMMYFUNCTION("""COMPUTED_VALUE"""),"PH175111000")</f>
        <v>PH175111000</v>
      </c>
      <c r="G82" s="142" t="str">
        <f>IFERROR(__xludf.DUMMYFUNCTION("""COMPUTED_VALUE"""),"PH112412000")</f>
        <v>PH112412000</v>
      </c>
      <c r="H82" s="8"/>
      <c r="I82" s="8"/>
      <c r="J82" s="8"/>
    </row>
    <row r="83">
      <c r="A83" s="142" t="s">
        <v>715</v>
      </c>
      <c r="B83" s="142" t="str">
        <f>IFERROR(__xludf.DUMMYFUNCTION("""COMPUTED_VALUE"""),"PH084802000")</f>
        <v>PH084802000</v>
      </c>
      <c r="C83" s="8"/>
      <c r="D83" s="8"/>
      <c r="E83" s="8"/>
      <c r="F83" s="8"/>
      <c r="G83" s="8"/>
      <c r="H83" s="8"/>
      <c r="I83" s="8"/>
      <c r="J83" s="8"/>
    </row>
    <row r="84">
      <c r="A84" s="142" t="s">
        <v>693</v>
      </c>
      <c r="B84" s="142" t="str">
        <f>IFERROR(__xludf.DUMMYFUNCTION("""COMPUTED_VALUE"""),"PH015514000")</f>
        <v>PH015514000</v>
      </c>
      <c r="C84" s="8"/>
      <c r="D84" s="8"/>
      <c r="E84" s="8"/>
      <c r="F84" s="8"/>
      <c r="G84" s="8"/>
      <c r="H84" s="8"/>
      <c r="I84" s="8"/>
      <c r="J84" s="8"/>
    </row>
    <row r="85">
      <c r="A85" s="142" t="s">
        <v>316</v>
      </c>
      <c r="B85" s="142" t="str">
        <f>IFERROR(__xludf.DUMMYFUNCTION("""COMPUTED_VALUE"""),"PH060412000")</f>
        <v>PH060412000</v>
      </c>
      <c r="C85" s="8"/>
      <c r="D85" s="8"/>
      <c r="E85" s="8"/>
      <c r="F85" s="8"/>
      <c r="G85" s="8"/>
      <c r="H85" s="8"/>
      <c r="I85" s="8"/>
      <c r="J85" s="8"/>
    </row>
    <row r="86">
      <c r="A86" s="142" t="s">
        <v>316</v>
      </c>
      <c r="B86" s="142" t="str">
        <f>IFERROR(__xludf.DUMMYFUNCTION("""COMPUTED_VALUE"""),"PH060412000")</f>
        <v>PH060412000</v>
      </c>
      <c r="C86" s="8"/>
      <c r="D86" s="8"/>
      <c r="E86" s="8"/>
      <c r="F86" s="8"/>
      <c r="G86" s="8"/>
      <c r="H86" s="8"/>
      <c r="I86" s="8"/>
      <c r="J86" s="8"/>
    </row>
    <row r="87">
      <c r="A87" s="142" t="s">
        <v>747</v>
      </c>
      <c r="B87" s="142" t="str">
        <f>IFERROR(__xludf.DUMMYFUNCTION("""COMPUTED_VALUE"""),"PH060406000")</f>
        <v>PH060406000</v>
      </c>
      <c r="C87" s="8"/>
      <c r="D87" s="8"/>
      <c r="E87" s="8"/>
      <c r="F87" s="8"/>
      <c r="G87" s="8"/>
      <c r="H87" s="8"/>
      <c r="I87" s="8"/>
      <c r="J87" s="8"/>
    </row>
    <row r="88">
      <c r="A88" s="142" t="s">
        <v>637</v>
      </c>
      <c r="B88" s="142" t="str">
        <f>IFERROR(__xludf.DUMMYFUNCTION("""COMPUTED_VALUE"""),"PH074625000")</f>
        <v>PH074625000</v>
      </c>
      <c r="C88" s="8"/>
      <c r="D88" s="8"/>
      <c r="E88" s="8"/>
      <c r="F88" s="8"/>
      <c r="G88" s="8"/>
      <c r="H88" s="8"/>
      <c r="I88" s="8"/>
      <c r="J88" s="8"/>
    </row>
    <row r="89">
      <c r="A89" s="142" t="s">
        <v>770</v>
      </c>
      <c r="B89" s="142" t="str">
        <f>IFERROR(__xludf.DUMMYFUNCTION("""COMPUTED_VALUE"""),"PH097322000")</f>
        <v>PH097322000</v>
      </c>
      <c r="C89" s="8"/>
      <c r="D89" s="8"/>
      <c r="E89" s="8"/>
      <c r="F89" s="8"/>
      <c r="G89" s="8"/>
      <c r="H89" s="8"/>
      <c r="I89" s="8"/>
      <c r="J89" s="8"/>
    </row>
    <row r="90">
      <c r="A90" s="142" t="s">
        <v>616</v>
      </c>
      <c r="B90" s="142" t="str">
        <f>IFERROR(__xludf.DUMMYFUNCTION("""COMPUTED_VALUE"""),"PH112402000")</f>
        <v>PH112402000</v>
      </c>
      <c r="C90" s="8"/>
      <c r="D90" s="8"/>
      <c r="E90" s="8"/>
      <c r="F90" s="8"/>
      <c r="G90" s="8"/>
      <c r="H90" s="8"/>
      <c r="I90" s="8"/>
      <c r="J90" s="8"/>
    </row>
    <row r="91">
      <c r="A91" s="142" t="s">
        <v>786</v>
      </c>
      <c r="B91" s="142" t="str">
        <f>IFERROR(__xludf.DUMMYFUNCTION("""COMPUTED_VALUE"""),"PH063014000")</f>
        <v>PH063014000</v>
      </c>
      <c r="C91" s="8"/>
      <c r="D91" s="8"/>
      <c r="E91" s="8"/>
      <c r="F91" s="8"/>
      <c r="G91" s="8"/>
      <c r="H91" s="8"/>
      <c r="I91" s="8"/>
      <c r="J91" s="8"/>
    </row>
    <row r="92">
      <c r="A92" s="142" t="s">
        <v>420</v>
      </c>
      <c r="B92" s="142" t="str">
        <f>IFERROR(__xludf.DUMMYFUNCTION("""COMPUTED_VALUE"""),"PH012924000")</f>
        <v>PH012924000</v>
      </c>
      <c r="C92" s="142" t="str">
        <f>IFERROR(__xludf.DUMMYFUNCTION("""COMPUTED_VALUE"""),"PH037113000")</f>
        <v>PH037113000</v>
      </c>
      <c r="D92" s="142" t="str">
        <f>IFERROR(__xludf.DUMMYFUNCTION("""COMPUTED_VALUE"""),"PH043426000")</f>
        <v>PH043426000</v>
      </c>
      <c r="E92" s="142" t="str">
        <f>IFERROR(__xludf.DUMMYFUNCTION("""COMPUTED_VALUE"""),"PH174005000")</f>
        <v>PH174005000</v>
      </c>
      <c r="F92" s="142" t="str">
        <f>IFERROR(__xludf.DUMMYFUNCTION("""COMPUTED_VALUE"""),"PH175111000")</f>
        <v>PH175111000</v>
      </c>
      <c r="G92" s="142" t="str">
        <f>IFERROR(__xludf.DUMMYFUNCTION("""COMPUTED_VALUE"""),"PH112412000")</f>
        <v>PH112412000</v>
      </c>
      <c r="H92" s="8"/>
      <c r="I92" s="8"/>
      <c r="J92" s="8"/>
    </row>
    <row r="93">
      <c r="A93" s="142" t="s">
        <v>814</v>
      </c>
      <c r="B93" s="142" t="str">
        <f>IFERROR(__xludf.DUMMYFUNCTION("""COMPUTED_VALUE"""),"PH072207000")</f>
        <v>PH072207000</v>
      </c>
      <c r="C93" s="8"/>
      <c r="D93" s="8"/>
      <c r="E93" s="8"/>
      <c r="F93" s="8"/>
      <c r="G93" s="8"/>
      <c r="H93" s="8"/>
      <c r="I93" s="8"/>
      <c r="J93" s="8"/>
    </row>
    <row r="94">
      <c r="A94" s="142" t="s">
        <v>827</v>
      </c>
      <c r="B94" s="142" t="str">
        <f>IFERROR(__xludf.DUMMYFUNCTION("""COMPUTED_VALUE"""),"PH076104000")</f>
        <v>PH076104000</v>
      </c>
      <c r="C94" s="8"/>
      <c r="D94" s="8"/>
      <c r="E94" s="8"/>
      <c r="F94" s="8"/>
      <c r="G94" s="8"/>
      <c r="H94" s="8"/>
      <c r="I94" s="8"/>
      <c r="J94" s="8"/>
    </row>
    <row r="95">
      <c r="A95" s="142" t="s">
        <v>814</v>
      </c>
      <c r="B95" s="142" t="str">
        <f>IFERROR(__xludf.DUMMYFUNCTION("""COMPUTED_VALUE"""),"PH072207000")</f>
        <v>PH072207000</v>
      </c>
      <c r="C95" s="8"/>
      <c r="D95" s="8"/>
      <c r="E95" s="8"/>
      <c r="F95" s="8"/>
      <c r="G95" s="8"/>
      <c r="H95" s="8"/>
      <c r="I95" s="8"/>
      <c r="J95" s="8"/>
    </row>
    <row r="96">
      <c r="A96" s="142" t="s">
        <v>814</v>
      </c>
      <c r="B96" s="142" t="str">
        <f>IFERROR(__xludf.DUMMYFUNCTION("""COMPUTED_VALUE"""),"PH072207000")</f>
        <v>PH072207000</v>
      </c>
      <c r="C96" s="8"/>
      <c r="D96" s="8"/>
      <c r="E96" s="8"/>
      <c r="F96" s="8"/>
      <c r="G96" s="8"/>
      <c r="H96" s="8"/>
      <c r="I96" s="8"/>
      <c r="J96" s="8"/>
    </row>
    <row r="97">
      <c r="A97" s="142" t="s">
        <v>814</v>
      </c>
      <c r="B97" s="142" t="str">
        <f>IFERROR(__xludf.DUMMYFUNCTION("""COMPUTED_VALUE"""),"PH072207000")</f>
        <v>PH072207000</v>
      </c>
      <c r="C97" s="8"/>
      <c r="D97" s="8"/>
      <c r="E97" s="8"/>
      <c r="F97" s="8"/>
      <c r="G97" s="8"/>
      <c r="H97" s="8"/>
      <c r="I97" s="8"/>
      <c r="J97" s="8"/>
    </row>
    <row r="98">
      <c r="A98" s="142" t="s">
        <v>814</v>
      </c>
      <c r="B98" s="142" t="str">
        <f>IFERROR(__xludf.DUMMYFUNCTION("""COMPUTED_VALUE"""),"PH072207000")</f>
        <v>PH072207000</v>
      </c>
      <c r="C98" s="8"/>
      <c r="D98" s="8"/>
      <c r="E98" s="8"/>
      <c r="F98" s="8"/>
      <c r="G98" s="8"/>
      <c r="H98" s="8"/>
      <c r="I98" s="8"/>
      <c r="J98" s="8"/>
    </row>
    <row r="99">
      <c r="A99" s="142" t="s">
        <v>814</v>
      </c>
      <c r="B99" s="142" t="str">
        <f>IFERROR(__xludf.DUMMYFUNCTION("""COMPUTED_VALUE"""),"PH072207000")</f>
        <v>PH072207000</v>
      </c>
      <c r="C99" s="8"/>
      <c r="D99" s="8"/>
      <c r="E99" s="8"/>
      <c r="F99" s="8"/>
      <c r="G99" s="8"/>
      <c r="H99" s="8"/>
      <c r="I99" s="8"/>
      <c r="J99" s="8"/>
    </row>
    <row r="100">
      <c r="A100" s="142" t="s">
        <v>814</v>
      </c>
      <c r="B100" s="142" t="str">
        <f>IFERROR(__xludf.DUMMYFUNCTION("""COMPUTED_VALUE"""),"PH072207000")</f>
        <v>PH072207000</v>
      </c>
      <c r="C100" s="8"/>
      <c r="D100" s="8"/>
      <c r="E100" s="8"/>
      <c r="F100" s="8"/>
      <c r="G100" s="8"/>
      <c r="H100" s="8"/>
      <c r="I100" s="8"/>
      <c r="J100" s="8"/>
    </row>
    <row r="101">
      <c r="A101" s="142" t="s">
        <v>814</v>
      </c>
      <c r="B101" s="142" t="str">
        <f>IFERROR(__xludf.DUMMYFUNCTION("""COMPUTED_VALUE"""),"PH072207000")</f>
        <v>PH072207000</v>
      </c>
      <c r="C101" s="8"/>
      <c r="D101" s="8"/>
      <c r="E101" s="8"/>
      <c r="F101" s="8"/>
      <c r="G101" s="8"/>
      <c r="H101" s="8"/>
      <c r="I101" s="8"/>
      <c r="J101" s="8"/>
    </row>
    <row r="102">
      <c r="A102" s="142" t="s">
        <v>847</v>
      </c>
      <c r="B102" s="142" t="str">
        <f>IFERROR(__xludf.DUMMYFUNCTION("""COMPUTED_VALUE"""),"PH074609000")</f>
        <v>PH074609000</v>
      </c>
      <c r="C102" s="8"/>
      <c r="D102" s="8"/>
      <c r="E102" s="8"/>
      <c r="F102" s="8"/>
      <c r="G102" s="8"/>
      <c r="H102" s="8"/>
      <c r="I102" s="8"/>
      <c r="J102" s="8"/>
    </row>
    <row r="103">
      <c r="A103" s="142" t="s">
        <v>316</v>
      </c>
      <c r="B103" s="142" t="str">
        <f>IFERROR(__xludf.DUMMYFUNCTION("""COMPUTED_VALUE"""),"PH060412000")</f>
        <v>PH060412000</v>
      </c>
      <c r="C103" s="8"/>
      <c r="D103" s="8"/>
      <c r="E103" s="8"/>
      <c r="F103" s="8"/>
      <c r="G103" s="8"/>
      <c r="H103" s="8"/>
      <c r="I103" s="8"/>
      <c r="J103" s="8"/>
    </row>
    <row r="104">
      <c r="A104" s="142" t="s">
        <v>859</v>
      </c>
      <c r="B104" s="142" t="str">
        <f>IFERROR(__xludf.DUMMYFUNCTION("""COMPUTED_VALUE"""),"PH060606000")</f>
        <v>PH060606000</v>
      </c>
      <c r="C104" s="8"/>
      <c r="D104" s="8"/>
      <c r="E104" s="8"/>
      <c r="F104" s="8"/>
      <c r="G104" s="8"/>
      <c r="H104" s="8"/>
      <c r="I104" s="8"/>
      <c r="J104" s="8"/>
    </row>
    <row r="105">
      <c r="A105" s="142" t="s">
        <v>216</v>
      </c>
      <c r="B105" s="142" t="str">
        <f>IFERROR(__xludf.DUMMYFUNCTION("""COMPUTED_VALUE"""),"PH072226000")</f>
        <v>PH072226000</v>
      </c>
      <c r="C105" s="8"/>
      <c r="D105" s="8"/>
      <c r="E105" s="8"/>
      <c r="F105" s="8"/>
      <c r="G105" s="8"/>
      <c r="H105" s="8"/>
      <c r="I105" s="8"/>
      <c r="J105" s="8"/>
    </row>
    <row r="106">
      <c r="A106" s="142" t="s">
        <v>216</v>
      </c>
      <c r="B106" s="142" t="str">
        <f>IFERROR(__xludf.DUMMYFUNCTION("""COMPUTED_VALUE"""),"PH072226000")</f>
        <v>PH072226000</v>
      </c>
      <c r="C106" s="8"/>
      <c r="D106" s="8"/>
      <c r="E106" s="8"/>
      <c r="F106" s="8"/>
      <c r="G106" s="8"/>
      <c r="H106" s="8"/>
      <c r="I106" s="8"/>
      <c r="J106" s="8"/>
    </row>
    <row r="107">
      <c r="A107" s="142" t="s">
        <v>894</v>
      </c>
      <c r="B107" s="142" t="str">
        <f>IFERROR(__xludf.DUMMYFUNCTION("""COMPUTED_VALUE"""),"PH012928000")</f>
        <v>PH012928000</v>
      </c>
      <c r="C107" s="142" t="str">
        <f>IFERROR(__xludf.DUMMYFUNCTION("""COMPUTED_VALUE"""),"PH034929000")</f>
        <v>PH034929000</v>
      </c>
      <c r="D107" s="142" t="str">
        <f>IFERROR(__xludf.DUMMYFUNCTION("""COMPUTED_VALUE"""),"PH050516000")</f>
        <v>PH050516000</v>
      </c>
      <c r="E107" s="8"/>
      <c r="F107" s="8"/>
      <c r="G107" s="8"/>
      <c r="H107" s="8"/>
      <c r="I107" s="8"/>
      <c r="J107" s="8"/>
    </row>
    <row r="108">
      <c r="A108" s="142" t="s">
        <v>347</v>
      </c>
      <c r="B108" s="142" t="str">
        <f>IFERROR(__xludf.DUMMYFUNCTION("""COMPUTED_VALUE"""),"PH166724000")</f>
        <v>PH166724000</v>
      </c>
      <c r="C108" s="8"/>
      <c r="D108" s="8"/>
      <c r="E108" s="8"/>
      <c r="F108" s="8"/>
      <c r="G108" s="8"/>
      <c r="H108" s="8"/>
      <c r="I108" s="8"/>
      <c r="J108" s="8"/>
    </row>
    <row r="109">
      <c r="A109" s="142" t="s">
        <v>922</v>
      </c>
      <c r="B109" s="142" t="str">
        <f>IFERROR(__xludf.DUMMYFUNCTION("""COMPUTED_VALUE"""),"PH175301000")</f>
        <v>PH175301000</v>
      </c>
      <c r="C109" s="8"/>
      <c r="D109" s="8"/>
      <c r="E109" s="8"/>
      <c r="F109" s="8"/>
      <c r="G109" s="8"/>
      <c r="H109" s="8"/>
      <c r="I109" s="8"/>
      <c r="J109" s="8"/>
    </row>
    <row r="110">
      <c r="A110" s="142" t="s">
        <v>221</v>
      </c>
      <c r="B110" s="142" t="str">
        <f>IFERROR(__xludf.DUMMYFUNCTION("""COMPUTED_VALUE"""),"PH015503000")</f>
        <v>PH015503000</v>
      </c>
      <c r="C110" s="8"/>
      <c r="D110" s="8"/>
      <c r="E110" s="8"/>
      <c r="F110" s="8"/>
      <c r="G110" s="8"/>
      <c r="H110" s="8"/>
      <c r="I110" s="8"/>
      <c r="J110" s="8"/>
    </row>
    <row r="111">
      <c r="A111" s="142" t="s">
        <v>230</v>
      </c>
      <c r="B111" s="142" t="str">
        <f>IFERROR(__xludf.DUMMYFUNCTION("""COMPUTED_VALUE"""),"PH015505000")</f>
        <v>PH015505000</v>
      </c>
      <c r="C111" s="142" t="str">
        <f>IFERROR(__xludf.DUMMYFUNCTION("""COMPUTED_VALUE"""),"PH071203000")</f>
        <v>PH071203000</v>
      </c>
      <c r="D111" s="8"/>
      <c r="E111" s="8"/>
      <c r="F111" s="8"/>
      <c r="G111" s="8"/>
      <c r="H111" s="8"/>
      <c r="I111" s="8"/>
      <c r="J111" s="8"/>
    </row>
    <row r="112">
      <c r="A112" s="142" t="s">
        <v>950</v>
      </c>
      <c r="B112" s="142" t="str">
        <f>IFERROR(__xludf.DUMMYFUNCTION("""COMPUTED_VALUE"""),"PH037106000")</f>
        <v>PH037106000</v>
      </c>
      <c r="C112" s="8"/>
      <c r="D112" s="8"/>
      <c r="E112" s="8"/>
      <c r="F112" s="8"/>
      <c r="G112" s="8"/>
      <c r="H112" s="8"/>
      <c r="I112" s="8"/>
      <c r="J112" s="8"/>
    </row>
    <row r="113">
      <c r="A113" s="142" t="s">
        <v>953</v>
      </c>
      <c r="B113" s="142" t="str">
        <f>IFERROR(__xludf.DUMMYFUNCTION("""COMPUTED_VALUE"""),"PH045602000")</f>
        <v>PH045602000</v>
      </c>
      <c r="C113" s="8"/>
      <c r="D113" s="8"/>
      <c r="E113" s="8"/>
      <c r="F113" s="8"/>
      <c r="G113" s="8"/>
      <c r="H113" s="8"/>
      <c r="I113" s="8"/>
      <c r="J113" s="8"/>
    </row>
    <row r="114">
      <c r="A114" s="142" t="s">
        <v>472</v>
      </c>
      <c r="B114" s="142" t="str">
        <f>IFERROR(__xludf.DUMMYFUNCTION("""COMPUTED_VALUE"""),"PH015520000")</f>
        <v>PH015520000</v>
      </c>
      <c r="C114" s="142" t="str">
        <f>IFERROR(__xludf.DUMMYFUNCTION("""COMPUTED_VALUE"""),"PH045620000")</f>
        <v>PH045620000</v>
      </c>
      <c r="D114" s="8"/>
      <c r="E114" s="8"/>
      <c r="F114" s="8"/>
      <c r="G114" s="8"/>
      <c r="H114" s="8"/>
      <c r="I114" s="8"/>
      <c r="J114" s="8"/>
    </row>
    <row r="115">
      <c r="A115" s="142" t="s">
        <v>959</v>
      </c>
      <c r="B115" s="142" t="str">
        <f>IFERROR(__xludf.DUMMYFUNCTION("""COMPUTED_VALUE"""),"PH063045000")</f>
        <v>PH063045000</v>
      </c>
      <c r="C115" s="8"/>
      <c r="D115" s="8"/>
      <c r="E115" s="8"/>
      <c r="F115" s="8"/>
      <c r="G115" s="8"/>
      <c r="H115" s="8"/>
      <c r="I115" s="8"/>
      <c r="J115" s="8"/>
    </row>
    <row r="116">
      <c r="A116" s="142" t="s">
        <v>962</v>
      </c>
      <c r="B116" s="142" t="str">
        <f>IFERROR(__xludf.DUMMYFUNCTION("""COMPUTED_VALUE"""),"PH071210000")</f>
        <v>PH071210000</v>
      </c>
      <c r="C116" s="8"/>
      <c r="D116" s="8"/>
      <c r="E116" s="8"/>
      <c r="F116" s="8"/>
      <c r="G116" s="8"/>
      <c r="H116" s="8"/>
      <c r="I116" s="8"/>
      <c r="J116" s="8"/>
    </row>
    <row r="117">
      <c r="A117" s="142" t="s">
        <v>965</v>
      </c>
      <c r="B117" s="142" t="str">
        <f>IFERROR(__xludf.DUMMYFUNCTION("""COMPUTED_VALUE"""),"PH072202000")</f>
        <v>PH072202000</v>
      </c>
      <c r="C117" s="8"/>
      <c r="D117" s="8"/>
      <c r="E117" s="8"/>
      <c r="F117" s="8"/>
      <c r="G117" s="8"/>
      <c r="H117" s="8"/>
      <c r="I117" s="8"/>
      <c r="J117" s="8"/>
    </row>
    <row r="118">
      <c r="A118" s="142" t="s">
        <v>216</v>
      </c>
      <c r="B118" s="142" t="str">
        <f>IFERROR(__xludf.DUMMYFUNCTION("""COMPUTED_VALUE"""),"PH072226000")</f>
        <v>PH072226000</v>
      </c>
      <c r="C118" s="8"/>
      <c r="D118" s="8"/>
      <c r="E118" s="8"/>
      <c r="F118" s="8"/>
      <c r="G118" s="8"/>
      <c r="H118" s="8"/>
      <c r="I118" s="8"/>
      <c r="J118" s="8"/>
    </row>
    <row r="119">
      <c r="A119" s="142" t="s">
        <v>969</v>
      </c>
      <c r="B119" s="142" t="str">
        <f>IFERROR(__xludf.DUMMYFUNCTION("""COMPUTED_VALUE"""),"PH045642000")</f>
        <v>PH045642000</v>
      </c>
      <c r="C119" s="142" t="str">
        <f>IFERROR(__xludf.DUMMYFUNCTION("""COMPUTED_VALUE"""),"PH072242000")</f>
        <v>PH072242000</v>
      </c>
      <c r="D119" s="142" t="str">
        <f>IFERROR(__xludf.DUMMYFUNCTION("""COMPUTED_VALUE"""),"PH086413000")</f>
        <v>PH086413000</v>
      </c>
      <c r="E119" s="142" t="str">
        <f>IFERROR(__xludf.DUMMYFUNCTION("""COMPUTED_VALUE"""),"PH160308000")</f>
        <v>PH160308000</v>
      </c>
      <c r="F119" s="142" t="str">
        <f>IFERROR(__xludf.DUMMYFUNCTION("""COMPUTED_VALUE"""),"PH166719000")</f>
        <v>PH166719000</v>
      </c>
      <c r="G119" s="8"/>
      <c r="H119" s="8"/>
      <c r="I119" s="8"/>
      <c r="J119" s="8"/>
    </row>
    <row r="120">
      <c r="A120" s="142" t="s">
        <v>973</v>
      </c>
      <c r="B120" s="142" t="str">
        <f>IFERROR(__xludf.DUMMYFUNCTION("""COMPUTED_VALUE"""),"PH082612000")</f>
        <v>PH082612000</v>
      </c>
      <c r="C120" s="8"/>
      <c r="D120" s="8"/>
      <c r="E120" s="8"/>
      <c r="F120" s="8"/>
      <c r="G120" s="8"/>
      <c r="H120" s="8"/>
      <c r="I120" s="8"/>
      <c r="J120" s="8"/>
    </row>
    <row r="121">
      <c r="A121" s="142" t="s">
        <v>977</v>
      </c>
      <c r="B121" s="142" t="str">
        <f>IFERROR(__xludf.DUMMYFUNCTION("""COMPUTED_VALUE"""),"PH104214000")</f>
        <v>PH104214000</v>
      </c>
      <c r="C121" s="8"/>
      <c r="D121" s="8"/>
      <c r="E121" s="8"/>
      <c r="F121" s="8"/>
      <c r="G121" s="8"/>
      <c r="H121" s="8"/>
      <c r="I121" s="8"/>
      <c r="J121" s="8"/>
    </row>
    <row r="122">
      <c r="A122" s="142" t="s">
        <v>980</v>
      </c>
      <c r="B122" s="142" t="str">
        <f>IFERROR(__xludf.DUMMYFUNCTION("""COMPUTED_VALUE"""),"PH112317000")</f>
        <v>PH112317000</v>
      </c>
      <c r="C122" s="8"/>
      <c r="D122" s="8"/>
      <c r="E122" s="8"/>
      <c r="F122" s="8"/>
      <c r="G122" s="8"/>
      <c r="H122" s="8"/>
      <c r="I122" s="8"/>
      <c r="J122" s="8"/>
    </row>
    <row r="123">
      <c r="A123" s="142" t="s">
        <v>983</v>
      </c>
      <c r="B123" s="142" t="str">
        <f>IFERROR(__xludf.DUMMYFUNCTION("""COMPUTED_VALUE"""),"PH064507000")</f>
        <v>PH064507000</v>
      </c>
      <c r="C123" s="8"/>
      <c r="D123" s="8"/>
      <c r="E123" s="8"/>
      <c r="F123" s="8"/>
      <c r="G123" s="8"/>
      <c r="H123" s="8"/>
      <c r="I123" s="8"/>
      <c r="J123" s="8"/>
    </row>
    <row r="124">
      <c r="A124" s="142" t="s">
        <v>986</v>
      </c>
      <c r="B124" s="142" t="str">
        <f>IFERROR(__xludf.DUMMYFUNCTION("""COMPUTED_VALUE"""),"PH074610000")</f>
        <v>PH074610000</v>
      </c>
      <c r="C124" s="8"/>
      <c r="D124" s="8"/>
      <c r="E124" s="8"/>
      <c r="F124" s="8"/>
      <c r="G124" s="8"/>
      <c r="H124" s="8"/>
      <c r="I124" s="8"/>
      <c r="J124" s="8"/>
    </row>
    <row r="125">
      <c r="A125" s="142" t="s">
        <v>980</v>
      </c>
      <c r="B125" s="142" t="str">
        <f>IFERROR(__xludf.DUMMYFUNCTION("""COMPUTED_VALUE"""),"PH112317000")</f>
        <v>PH112317000</v>
      </c>
      <c r="C125" s="8"/>
      <c r="D125" s="8"/>
      <c r="E125" s="8"/>
      <c r="F125" s="8"/>
      <c r="G125" s="8"/>
      <c r="H125" s="8"/>
      <c r="I125" s="8"/>
      <c r="J125" s="8"/>
    </row>
    <row r="126">
      <c r="A126" s="142" t="s">
        <v>1000</v>
      </c>
      <c r="B126" s="142" t="str">
        <f>IFERROR(__xludf.DUMMYFUNCTION("""COMPUTED_VALUE"""),"PH112509000")</f>
        <v>PH112509000</v>
      </c>
      <c r="C126" s="8"/>
      <c r="D126" s="8"/>
      <c r="E126" s="8"/>
      <c r="F126" s="8"/>
      <c r="G126" s="8"/>
      <c r="H126" s="8"/>
      <c r="I126" s="8"/>
      <c r="J126" s="8"/>
    </row>
    <row r="127">
      <c r="A127" s="142" t="s">
        <v>693</v>
      </c>
      <c r="B127" s="142" t="str">
        <f>IFERROR(__xludf.DUMMYFUNCTION("""COMPUTED_VALUE"""),"PH015514000")</f>
        <v>PH015514000</v>
      </c>
      <c r="C127" s="8"/>
      <c r="D127" s="8"/>
      <c r="E127" s="8"/>
      <c r="F127" s="8"/>
      <c r="G127" s="8"/>
      <c r="H127" s="8"/>
      <c r="I127" s="8"/>
      <c r="J127" s="8"/>
    </row>
    <row r="128">
      <c r="A128" s="142" t="s">
        <v>693</v>
      </c>
      <c r="B128" s="142" t="str">
        <f>IFERROR(__xludf.DUMMYFUNCTION("""COMPUTED_VALUE"""),"PH015514000")</f>
        <v>PH015514000</v>
      </c>
      <c r="C128" s="8"/>
      <c r="D128" s="8"/>
      <c r="E128" s="8"/>
      <c r="F128" s="8"/>
      <c r="G128" s="8"/>
      <c r="H128" s="8"/>
      <c r="I128" s="8"/>
      <c r="J128" s="8"/>
    </row>
    <row r="129">
      <c r="A129" s="142" t="s">
        <v>693</v>
      </c>
      <c r="B129" s="142" t="str">
        <f>IFERROR(__xludf.DUMMYFUNCTION("""COMPUTED_VALUE"""),"PH015514000")</f>
        <v>PH015514000</v>
      </c>
      <c r="C129" s="8"/>
      <c r="D129" s="8"/>
      <c r="E129" s="8"/>
      <c r="F129" s="8"/>
      <c r="G129" s="8"/>
      <c r="H129" s="8"/>
      <c r="I129" s="8"/>
      <c r="J129" s="8"/>
    </row>
    <row r="130">
      <c r="A130" s="142" t="s">
        <v>693</v>
      </c>
      <c r="B130" s="142" t="str">
        <f>IFERROR(__xludf.DUMMYFUNCTION("""COMPUTED_VALUE"""),"PH015514000")</f>
        <v>PH015514000</v>
      </c>
      <c r="C130" s="8"/>
      <c r="D130" s="8"/>
      <c r="E130" s="8"/>
      <c r="F130" s="8"/>
      <c r="G130" s="8"/>
      <c r="H130" s="8"/>
      <c r="I130" s="8"/>
      <c r="J130" s="8"/>
    </row>
    <row r="131">
      <c r="A131" s="142" t="s">
        <v>693</v>
      </c>
      <c r="B131" s="142" t="str">
        <f>IFERROR(__xludf.DUMMYFUNCTION("""COMPUTED_VALUE"""),"PH015514000")</f>
        <v>PH015514000</v>
      </c>
      <c r="C131" s="8"/>
      <c r="D131" s="8"/>
      <c r="E131" s="8"/>
      <c r="F131" s="8"/>
      <c r="G131" s="8"/>
      <c r="H131" s="8"/>
      <c r="I131" s="8"/>
      <c r="J131" s="8"/>
    </row>
    <row r="132">
      <c r="A132" s="142" t="s">
        <v>693</v>
      </c>
      <c r="B132" s="142" t="str">
        <f>IFERROR(__xludf.DUMMYFUNCTION("""COMPUTED_VALUE"""),"PH015514000")</f>
        <v>PH015514000</v>
      </c>
      <c r="C132" s="8"/>
      <c r="D132" s="8"/>
      <c r="E132" s="8"/>
      <c r="F132" s="8"/>
      <c r="G132" s="8"/>
      <c r="H132" s="8"/>
      <c r="I132" s="8"/>
      <c r="J132" s="8"/>
    </row>
    <row r="133">
      <c r="A133" s="142" t="s">
        <v>693</v>
      </c>
      <c r="B133" s="142" t="str">
        <f>IFERROR(__xludf.DUMMYFUNCTION("""COMPUTED_VALUE"""),"PH015514000")</f>
        <v>PH015514000</v>
      </c>
      <c r="C133" s="8"/>
      <c r="D133" s="8"/>
      <c r="E133" s="8"/>
      <c r="F133" s="8"/>
      <c r="G133" s="8"/>
      <c r="H133" s="8"/>
      <c r="I133" s="8"/>
      <c r="J133" s="8"/>
    </row>
    <row r="134">
      <c r="A134" s="142" t="s">
        <v>316</v>
      </c>
      <c r="B134" s="142" t="str">
        <f>IFERROR(__xludf.DUMMYFUNCTION("""COMPUTED_VALUE"""),"PH060412000")</f>
        <v>PH060412000</v>
      </c>
      <c r="C134" s="8"/>
      <c r="D134" s="8"/>
      <c r="E134" s="8"/>
      <c r="F134" s="8"/>
      <c r="G134" s="8"/>
      <c r="H134" s="8"/>
      <c r="I134" s="8"/>
      <c r="J134" s="8"/>
    </row>
    <row r="135">
      <c r="A135" s="142" t="s">
        <v>1090</v>
      </c>
      <c r="B135" s="142" t="str">
        <f>IFERROR(__xludf.DUMMYFUNCTION("""COMPUTED_VALUE"""),"PH051712000")</f>
        <v>PH051712000</v>
      </c>
      <c r="C135" s="8"/>
      <c r="D135" s="8"/>
      <c r="E135" s="8"/>
      <c r="F135" s="8"/>
      <c r="G135" s="8"/>
      <c r="H135" s="8"/>
      <c r="I135" s="8"/>
      <c r="J135" s="8"/>
    </row>
    <row r="136">
      <c r="A136" s="142" t="s">
        <v>847</v>
      </c>
      <c r="B136" s="142" t="str">
        <f>IFERROR(__xludf.DUMMYFUNCTION("""COMPUTED_VALUE"""),"PH074609000")</f>
        <v>PH074609000</v>
      </c>
      <c r="C136" s="8"/>
      <c r="D136" s="8"/>
      <c r="E136" s="8"/>
      <c r="F136" s="8"/>
      <c r="G136" s="8"/>
      <c r="H136" s="8"/>
      <c r="I136" s="8"/>
      <c r="J136" s="8"/>
    </row>
    <row r="137">
      <c r="A137" s="142" t="s">
        <v>1108</v>
      </c>
      <c r="B137" s="142" t="str">
        <f>IFERROR(__xludf.DUMMYFUNCTION("""COMPUTED_VALUE"""),"PH071233000")</f>
        <v>PH071233000</v>
      </c>
      <c r="C137" s="8"/>
      <c r="D137" s="8"/>
      <c r="E137" s="8"/>
      <c r="F137" s="8"/>
      <c r="G137" s="8"/>
      <c r="H137" s="8"/>
      <c r="I137" s="8"/>
      <c r="J137" s="8"/>
    </row>
    <row r="138">
      <c r="A138" s="142" t="s">
        <v>1120</v>
      </c>
      <c r="B138" s="142" t="str">
        <f>IFERROR(__xludf.DUMMYFUNCTION("""COMPUTED_VALUE"""),"PH175913000")</f>
        <v>PH175913000</v>
      </c>
      <c r="C138" s="142" t="str">
        <f>IFERROR(__xludf.DUMMYFUNCTION("""COMPUTED_VALUE"""),"PH051732000")</f>
        <v>PH051732000</v>
      </c>
      <c r="D138" s="142" t="str">
        <f>IFERROR(__xludf.DUMMYFUNCTION("""COMPUTED_VALUE"""),"PH054118000")</f>
        <v>PH054118000</v>
      </c>
      <c r="E138" s="142" t="str">
        <f>IFERROR(__xludf.DUMMYFUNCTION("""COMPUTED_VALUE"""),"PH072241000")</f>
        <v>PH072241000</v>
      </c>
      <c r="F138" s="142" t="str">
        <f>IFERROR(__xludf.DUMMYFUNCTION("""COMPUTED_VALUE"""),"PH101318000")</f>
        <v>PH101318000</v>
      </c>
      <c r="G138" s="8"/>
      <c r="H138" s="8"/>
      <c r="I138" s="8"/>
      <c r="J138" s="8"/>
    </row>
    <row r="139">
      <c r="A139" s="142" t="s">
        <v>173</v>
      </c>
      <c r="B139" s="142" t="str">
        <f>IFERROR(__xludf.DUMMYFUNCTION("""COMPUTED_VALUE"""),"PH104319000")</f>
        <v>PH104319000</v>
      </c>
      <c r="C139" s="8"/>
      <c r="D139" s="8"/>
      <c r="E139" s="8"/>
      <c r="F139" s="8"/>
      <c r="G139" s="8"/>
      <c r="H139" s="8"/>
      <c r="I139" s="8"/>
      <c r="J139" s="8"/>
    </row>
    <row r="140">
      <c r="A140" s="142" t="s">
        <v>1142</v>
      </c>
      <c r="B140" s="142" t="str">
        <f>IFERROR(__xludf.DUMMYFUNCTION("""COMPUTED_VALUE"""),"PH013309000")</f>
        <v>PH013309000</v>
      </c>
      <c r="C140" s="8"/>
      <c r="D140" s="8"/>
      <c r="E140" s="8"/>
      <c r="F140" s="8"/>
      <c r="G140" s="8"/>
      <c r="H140" s="8"/>
      <c r="I140" s="8"/>
      <c r="J140" s="8"/>
    </row>
    <row r="141">
      <c r="A141" s="142" t="s">
        <v>1151</v>
      </c>
      <c r="B141" s="142" t="str">
        <f>IFERROR(__xludf.DUMMYFUNCTION("""COMPUTED_VALUE"""),"PH050517000")</f>
        <v>PH050517000</v>
      </c>
      <c r="C141" s="8"/>
      <c r="D141" s="8"/>
      <c r="E141" s="8"/>
      <c r="F141" s="8"/>
      <c r="G141" s="8"/>
      <c r="H141" s="8"/>
      <c r="I141" s="8"/>
      <c r="J141" s="8"/>
    </row>
    <row r="142">
      <c r="A142" s="142" t="s">
        <v>693</v>
      </c>
      <c r="B142" s="142" t="str">
        <f>IFERROR(__xludf.DUMMYFUNCTION("""COMPUTED_VALUE"""),"PH015514000")</f>
        <v>PH015514000</v>
      </c>
      <c r="C142" s="8"/>
      <c r="D142" s="8"/>
      <c r="E142" s="8"/>
      <c r="F142" s="8"/>
      <c r="G142" s="8"/>
      <c r="H142" s="8"/>
      <c r="I142" s="8"/>
      <c r="J142" s="8"/>
    </row>
    <row r="143">
      <c r="A143" s="142" t="s">
        <v>1172</v>
      </c>
      <c r="B143" s="142" t="str">
        <f>IFERROR(__xludf.DUMMYFUNCTION("""COMPUTED_VALUE"""),"PH045605000")</f>
        <v>PH045605000</v>
      </c>
      <c r="C143" s="142" t="str">
        <f>IFERROR(__xludf.DUMMYFUNCTION("""COMPUTED_VALUE"""),"PH174002000")</f>
        <v>PH174002000</v>
      </c>
      <c r="D143" s="142" t="str">
        <f>IFERROR(__xludf.DUMMYFUNCTION("""COMPUTED_VALUE"""),"PH067901000")</f>
        <v>PH067901000</v>
      </c>
      <c r="E143" s="142" t="str">
        <f>IFERROR(__xludf.DUMMYFUNCTION("""COMPUTED_VALUE"""),"PH071209000")</f>
        <v>PH071209000</v>
      </c>
      <c r="F143" s="142" t="str">
        <f>IFERROR(__xludf.DUMMYFUNCTION("""COMPUTED_VALUE"""),"PH160201000")</f>
        <v>PH160201000</v>
      </c>
      <c r="G143" s="8"/>
      <c r="H143" s="8"/>
      <c r="I143" s="8"/>
      <c r="J143" s="8"/>
    </row>
    <row r="144">
      <c r="A144" s="142" t="s">
        <v>1187</v>
      </c>
      <c r="B144" s="142" t="str">
        <f>IFERROR(__xludf.DUMMYFUNCTION("""COMPUTED_VALUE"""),"PH174006000")</f>
        <v>PH174006000</v>
      </c>
      <c r="C144" s="8"/>
      <c r="D144" s="8"/>
      <c r="E144" s="8"/>
      <c r="F144" s="8"/>
      <c r="G144" s="8"/>
      <c r="H144" s="8"/>
      <c r="I144" s="8"/>
      <c r="J144" s="8"/>
    </row>
    <row r="145">
      <c r="A145" s="142" t="s">
        <v>1120</v>
      </c>
      <c r="B145" s="142" t="str">
        <f>IFERROR(__xludf.DUMMYFUNCTION("""COMPUTED_VALUE"""),"PH175913000")</f>
        <v>PH175913000</v>
      </c>
      <c r="C145" s="142" t="str">
        <f>IFERROR(__xludf.DUMMYFUNCTION("""COMPUTED_VALUE"""),"PH051732000")</f>
        <v>PH051732000</v>
      </c>
      <c r="D145" s="142" t="str">
        <f>IFERROR(__xludf.DUMMYFUNCTION("""COMPUTED_VALUE"""),"PH054118000")</f>
        <v>PH054118000</v>
      </c>
      <c r="E145" s="142" t="str">
        <f>IFERROR(__xludf.DUMMYFUNCTION("""COMPUTED_VALUE"""),"PH072241000")</f>
        <v>PH072241000</v>
      </c>
      <c r="F145" s="142" t="str">
        <f>IFERROR(__xludf.DUMMYFUNCTION("""COMPUTED_VALUE"""),"PH101318000")</f>
        <v>PH101318000</v>
      </c>
      <c r="G145" s="8"/>
      <c r="H145" s="8"/>
      <c r="I145" s="8"/>
      <c r="J145" s="8"/>
    </row>
    <row r="146">
      <c r="A146" s="142" t="s">
        <v>1199</v>
      </c>
      <c r="B146" s="142" t="str">
        <f>IFERROR(__xludf.DUMMYFUNCTION("""COMPUTED_VALUE"""),"PH060417000")</f>
        <v>PH060417000</v>
      </c>
      <c r="C146" s="8"/>
      <c r="D146" s="8"/>
      <c r="E146" s="8"/>
      <c r="F146" s="8"/>
      <c r="G146" s="8"/>
      <c r="H146" s="8"/>
      <c r="I146" s="8"/>
      <c r="J146" s="8"/>
    </row>
    <row r="147">
      <c r="A147" s="142" t="s">
        <v>1209</v>
      </c>
      <c r="B147" s="142" t="str">
        <f>IFERROR(__xludf.DUMMYFUNCTION("""COMPUTED_VALUE"""),"PH037701000")</f>
        <v>PH037701000</v>
      </c>
      <c r="C147" s="8"/>
      <c r="D147" s="8"/>
      <c r="E147" s="8"/>
      <c r="F147" s="8"/>
      <c r="G147" s="8"/>
      <c r="H147" s="8"/>
      <c r="I147" s="8"/>
      <c r="J147" s="8"/>
    </row>
    <row r="148">
      <c r="A148" s="142" t="s">
        <v>1218</v>
      </c>
      <c r="B148" s="142" t="str">
        <f>IFERROR(__xludf.DUMMYFUNCTION("""COMPUTED_VALUE"""),"PH157002000")</f>
        <v>PH157002000</v>
      </c>
      <c r="C148" s="8"/>
      <c r="D148" s="8"/>
      <c r="E148" s="8"/>
      <c r="F148" s="8"/>
      <c r="G148" s="8"/>
      <c r="H148" s="8"/>
      <c r="I148" s="8"/>
      <c r="J148" s="8"/>
    </row>
    <row r="149">
      <c r="A149" s="142" t="s">
        <v>1230</v>
      </c>
      <c r="B149" s="142" t="str">
        <f>IFERROR(__xludf.DUMMYFUNCTION("""COMPUTED_VALUE"""),"PH157001000")</f>
        <v>PH157001000</v>
      </c>
      <c r="C149" s="8"/>
      <c r="D149" s="8"/>
      <c r="E149" s="8"/>
      <c r="F149" s="8"/>
      <c r="G149" s="8"/>
      <c r="H149" s="8"/>
      <c r="I149" s="8"/>
      <c r="J149" s="8"/>
    </row>
    <row r="150">
      <c r="A150" s="142" t="s">
        <v>1236</v>
      </c>
      <c r="B150" s="142" t="str">
        <f>IFERROR(__xludf.DUMMYFUNCTION("""COMPUTED_VALUE"""),"PH157011000")</f>
        <v>PH157011000</v>
      </c>
      <c r="C150" s="8"/>
      <c r="D150" s="8"/>
      <c r="E150" s="8"/>
      <c r="F150" s="8"/>
      <c r="G150" s="8"/>
      <c r="H150" s="8"/>
      <c r="I150" s="8"/>
      <c r="J150" s="8"/>
    </row>
    <row r="151">
      <c r="A151" s="142" t="s">
        <v>1242</v>
      </c>
      <c r="B151" s="142" t="str">
        <f>IFERROR(__xludf.DUMMYFUNCTION("""COMPUTED_VALUE"""),"PH157004000")</f>
        <v>PH157004000</v>
      </c>
      <c r="C151" s="8"/>
      <c r="D151" s="8"/>
      <c r="E151" s="8"/>
      <c r="F151" s="8"/>
      <c r="G151" s="8"/>
      <c r="H151" s="8"/>
      <c r="I151" s="8"/>
      <c r="J151" s="8"/>
    </row>
    <row r="152">
      <c r="A152" s="142" t="s">
        <v>1248</v>
      </c>
      <c r="B152" s="142" t="str">
        <f>IFERROR(__xludf.DUMMYFUNCTION("""COMPUTED_VALUE"""),"PH157005000")</f>
        <v>PH157005000</v>
      </c>
      <c r="C152" s="8"/>
      <c r="D152" s="8"/>
      <c r="E152" s="8"/>
      <c r="F152" s="8"/>
      <c r="G152" s="8"/>
      <c r="H152" s="8"/>
      <c r="I152" s="8"/>
      <c r="J152" s="8"/>
    </row>
    <row r="153">
      <c r="A153" s="142" t="s">
        <v>1255</v>
      </c>
      <c r="B153" s="142" t="str">
        <f>IFERROR(__xludf.DUMMYFUNCTION("""COMPUTED_VALUE"""),"PH015523000")</f>
        <v>PH015523000</v>
      </c>
      <c r="C153" s="142" t="str">
        <f>IFERROR(__xludf.DUMMYFUNCTION("""COMPUTED_VALUE"""),"PH041016000")</f>
        <v>PH041016000</v>
      </c>
      <c r="D153" s="142" t="str">
        <f>IFERROR(__xludf.DUMMYFUNCTION("""COMPUTED_VALUE"""),"PH071231000")</f>
        <v>PH071231000</v>
      </c>
      <c r="E153" s="142" t="str">
        <f>IFERROR(__xludf.DUMMYFUNCTION("""COMPUTED_VALUE"""),"PH118203000")</f>
        <v>PH118203000</v>
      </c>
      <c r="F153" s="8"/>
      <c r="G153" s="8"/>
      <c r="H153" s="8"/>
      <c r="I153" s="8"/>
      <c r="J153" s="8"/>
    </row>
    <row r="154">
      <c r="A154" s="142" t="s">
        <v>491</v>
      </c>
      <c r="B154" s="142" t="str">
        <f>IFERROR(__xludf.DUMMYFUNCTION("""COMPUTED_VALUE"""),"PH012920000")</f>
        <v>PH012920000</v>
      </c>
      <c r="C154" s="142" t="str">
        <f>IFERROR(__xludf.DUMMYFUNCTION("""COMPUTED_VALUE"""),"PH013316000")</f>
        <v>PH013316000</v>
      </c>
      <c r="D154" s="142" t="str">
        <f>IFERROR(__xludf.DUMMYFUNCTION("""COMPUTED_VALUE"""),"PH041023000")</f>
        <v>PH041023000</v>
      </c>
      <c r="E154" s="142" t="str">
        <f>IFERROR(__xludf.DUMMYFUNCTION("""COMPUTED_VALUE"""),"PH076105000")</f>
        <v>PH076105000</v>
      </c>
      <c r="F154" s="142" t="str">
        <f>IFERROR(__xludf.DUMMYFUNCTION("""COMPUTED_VALUE"""),"PH086414000")</f>
        <v>PH086414000</v>
      </c>
      <c r="G154" s="142" t="str">
        <f>IFERROR(__xludf.DUMMYFUNCTION("""COMPUTED_VALUE"""),"PH140122000")</f>
        <v>PH140122000</v>
      </c>
      <c r="H154" s="8"/>
      <c r="I154" s="8"/>
      <c r="J154" s="8"/>
    </row>
    <row r="155">
      <c r="A155" s="142" t="s">
        <v>316</v>
      </c>
      <c r="B155" s="142" t="str">
        <f>IFERROR(__xludf.DUMMYFUNCTION("""COMPUTED_VALUE"""),"PH060412000")</f>
        <v>PH060412000</v>
      </c>
      <c r="C155" s="8"/>
      <c r="D155" s="8"/>
      <c r="E155" s="8"/>
      <c r="F155" s="8"/>
      <c r="G155" s="8"/>
      <c r="H155" s="8"/>
      <c r="I155" s="8"/>
      <c r="J155" s="8"/>
    </row>
    <row r="156">
      <c r="A156" s="142" t="s">
        <v>1272</v>
      </c>
      <c r="B156" s="142" t="str">
        <f>IFERROR(__xludf.DUMMYFUNCTION("""COMPUTED_VALUE"""),"PH045629000")</f>
        <v>PH045629000</v>
      </c>
      <c r="C156" s="142" t="str">
        <f>IFERROR(__xludf.DUMMYFUNCTION("""COMPUTED_VALUE"""),"PH086410000")</f>
        <v>PH086410000</v>
      </c>
      <c r="D156" s="8"/>
      <c r="E156" s="8"/>
      <c r="F156" s="8"/>
      <c r="G156" s="8"/>
      <c r="H156" s="8"/>
      <c r="I156" s="8"/>
      <c r="J156" s="8"/>
    </row>
    <row r="157">
      <c r="A157" s="142" t="s">
        <v>1284</v>
      </c>
      <c r="B157" s="142" t="str">
        <f>IFERROR(__xludf.DUMMYFUNCTION("""COMPUTED_VALUE"""),"PH030802000")</f>
        <v>PH030802000</v>
      </c>
      <c r="C157" s="8"/>
      <c r="D157" s="8"/>
      <c r="E157" s="8"/>
      <c r="F157" s="8"/>
      <c r="G157" s="8"/>
      <c r="H157" s="8"/>
      <c r="I157" s="8"/>
      <c r="J157" s="8"/>
    </row>
    <row r="158">
      <c r="A158" s="142" t="s">
        <v>1291</v>
      </c>
      <c r="B158" s="142" t="str">
        <f>IFERROR(__xludf.DUMMYFUNCTION("""COMPUTED_VALUE"""),"PH037114000")</f>
        <v>PH037114000</v>
      </c>
      <c r="C158" s="8"/>
      <c r="D158" s="8"/>
      <c r="E158" s="8"/>
      <c r="F158" s="8"/>
      <c r="G158" s="8"/>
      <c r="H158" s="8"/>
      <c r="I158" s="8"/>
      <c r="J158" s="8"/>
    </row>
    <row r="159">
      <c r="A159" s="142" t="s">
        <v>1296</v>
      </c>
      <c r="B159" s="142" t="str">
        <f>IFERROR(__xludf.DUMMYFUNCTION("""COMPUTED_VALUE"""),"PH060601000")</f>
        <v>PH060601000</v>
      </c>
      <c r="C159" s="8"/>
      <c r="D159" s="8"/>
      <c r="E159" s="8"/>
      <c r="F159" s="8"/>
      <c r="G159" s="8"/>
      <c r="H159" s="8"/>
      <c r="I159" s="8"/>
      <c r="J159" s="8"/>
    </row>
    <row r="160">
      <c r="A160" s="142" t="s">
        <v>1108</v>
      </c>
      <c r="B160" s="142" t="str">
        <f>IFERROR(__xludf.DUMMYFUNCTION("""COMPUTED_VALUE"""),"PH071233000")</f>
        <v>PH071233000</v>
      </c>
      <c r="C160" s="8"/>
      <c r="D160" s="8"/>
      <c r="E160" s="8"/>
      <c r="F160" s="8"/>
      <c r="G160" s="8"/>
      <c r="H160" s="8"/>
      <c r="I160" s="8"/>
      <c r="J160" s="8"/>
    </row>
    <row r="161">
      <c r="A161" s="142" t="s">
        <v>1307</v>
      </c>
      <c r="B161" s="142" t="str">
        <f>IFERROR(__xludf.DUMMYFUNCTION("""COMPUTED_VALUE"""),"PH153830000")</f>
        <v>PH153830000</v>
      </c>
      <c r="C161" s="8"/>
      <c r="D161" s="8"/>
      <c r="E161" s="8"/>
      <c r="F161" s="8"/>
      <c r="G161" s="8"/>
      <c r="H161" s="8"/>
      <c r="I161" s="8"/>
      <c r="J161" s="8"/>
    </row>
    <row r="162">
      <c r="A162" s="142" t="s">
        <v>1307</v>
      </c>
      <c r="B162" s="142" t="str">
        <f>IFERROR(__xludf.DUMMYFUNCTION("""COMPUTED_VALUE"""),"PH153830000")</f>
        <v>PH153830000</v>
      </c>
      <c r="C162" s="8"/>
      <c r="D162" s="8"/>
      <c r="E162" s="8"/>
      <c r="F162" s="8"/>
      <c r="G162" s="8"/>
      <c r="H162" s="8"/>
      <c r="I162" s="8"/>
      <c r="J162" s="8"/>
    </row>
    <row r="163">
      <c r="A163" s="142" t="s">
        <v>1307</v>
      </c>
      <c r="B163" s="142" t="str">
        <f>IFERROR(__xludf.DUMMYFUNCTION("""COMPUTED_VALUE"""),"PH153830000")</f>
        <v>PH153830000</v>
      </c>
      <c r="C163" s="8"/>
      <c r="D163" s="8"/>
      <c r="E163" s="8"/>
      <c r="F163" s="8"/>
      <c r="G163" s="8"/>
      <c r="H163" s="8"/>
      <c r="I163" s="8"/>
      <c r="J163" s="8"/>
    </row>
    <row r="164">
      <c r="A164" s="142" t="s">
        <v>1324</v>
      </c>
      <c r="B164" s="142" t="str">
        <f>IFERROR(__xludf.DUMMYFUNCTION("""COMPUTED_VALUE"""),"PH051727000")</f>
        <v>PH051727000</v>
      </c>
      <c r="C164" s="8"/>
      <c r="D164" s="8"/>
      <c r="E164" s="8"/>
      <c r="F164" s="8"/>
      <c r="G164" s="8"/>
      <c r="H164" s="8"/>
      <c r="I164" s="8"/>
      <c r="J164" s="8"/>
    </row>
    <row r="165">
      <c r="A165" s="142" t="s">
        <v>1334</v>
      </c>
      <c r="B165" s="142" t="str">
        <f>IFERROR(__xludf.DUMMYFUNCTION("""COMPUTED_VALUE"""),"PH150712000")</f>
        <v>PH150712000</v>
      </c>
      <c r="C165" s="8"/>
      <c r="D165" s="8"/>
      <c r="E165" s="8"/>
      <c r="F165" s="8"/>
      <c r="G165" s="8"/>
      <c r="H165" s="8"/>
      <c r="I165" s="8"/>
      <c r="J165" s="8"/>
    </row>
    <row r="166">
      <c r="A166" s="142" t="s">
        <v>1338</v>
      </c>
      <c r="B166" s="142" t="str">
        <f>IFERROR(__xludf.DUMMYFUNCTION("""COMPUTED_VALUE"""),"PH150703000")</f>
        <v>PH150703000</v>
      </c>
      <c r="C166" s="8"/>
      <c r="D166" s="8"/>
      <c r="E166" s="8"/>
      <c r="F166" s="8"/>
      <c r="G166" s="8"/>
      <c r="H166" s="8"/>
      <c r="I166" s="8"/>
      <c r="J166" s="8"/>
    </row>
    <row r="167">
      <c r="A167" s="142" t="s">
        <v>1338</v>
      </c>
      <c r="B167" s="142" t="str">
        <f>IFERROR(__xludf.DUMMYFUNCTION("""COMPUTED_VALUE"""),"PH150703000")</f>
        <v>PH150703000</v>
      </c>
      <c r="C167" s="8"/>
      <c r="D167" s="8"/>
      <c r="E167" s="8"/>
      <c r="F167" s="8"/>
      <c r="G167" s="8"/>
      <c r="H167" s="8"/>
      <c r="I167" s="8"/>
      <c r="J167" s="8"/>
    </row>
    <row r="168">
      <c r="A168" s="142" t="s">
        <v>1347</v>
      </c>
      <c r="B168" s="142" t="str">
        <f>IFERROR(__xludf.DUMMYFUNCTION("""COMPUTED_VALUE"""),"PH150713000")</f>
        <v>PH150713000</v>
      </c>
      <c r="C168" s="8"/>
      <c r="D168" s="8"/>
      <c r="E168" s="8"/>
      <c r="F168" s="8"/>
      <c r="G168" s="8"/>
      <c r="H168" s="8"/>
      <c r="I168" s="8"/>
      <c r="J168" s="8"/>
    </row>
    <row r="169">
      <c r="A169" s="142" t="s">
        <v>644</v>
      </c>
      <c r="B169" s="142" t="str">
        <f>IFERROR(__xludf.DUMMYFUNCTION("""COMPUTED_VALUE"""),"PH153809000")</f>
        <v>PH153809000</v>
      </c>
      <c r="C169" s="8"/>
      <c r="D169" s="8"/>
      <c r="E169" s="8"/>
      <c r="F169" s="8"/>
      <c r="G169" s="8"/>
      <c r="H169" s="8"/>
      <c r="I169" s="8"/>
      <c r="J169" s="8"/>
    </row>
    <row r="170">
      <c r="A170" s="142" t="s">
        <v>1355</v>
      </c>
      <c r="B170" s="142" t="str">
        <f>IFERROR(__xludf.DUMMYFUNCTION("""COMPUTED_VALUE"""),"PH156609000")</f>
        <v>PH156609000</v>
      </c>
      <c r="C170" s="142" t="str">
        <f>IFERROR(__xludf.DUMMYFUNCTION("""COMPUTED_VALUE"""),"PH153811000")</f>
        <v>PH153811000</v>
      </c>
      <c r="D170" s="8"/>
      <c r="E170" s="8"/>
      <c r="F170" s="8"/>
      <c r="G170" s="8"/>
      <c r="H170" s="8"/>
      <c r="I170" s="8"/>
      <c r="J170" s="8"/>
    </row>
    <row r="171">
      <c r="A171" s="142" t="s">
        <v>1338</v>
      </c>
      <c r="B171" s="142" t="str">
        <f>IFERROR(__xludf.DUMMYFUNCTION("""COMPUTED_VALUE"""),"PH150703000")</f>
        <v>PH150703000</v>
      </c>
      <c r="C171" s="8"/>
      <c r="D171" s="8"/>
      <c r="E171" s="8"/>
      <c r="F171" s="8"/>
      <c r="G171" s="8"/>
      <c r="H171" s="8"/>
      <c r="I171" s="8"/>
      <c r="J171" s="8"/>
    </row>
    <row r="172">
      <c r="A172" s="142" t="s">
        <v>1365</v>
      </c>
      <c r="B172" s="142" t="str">
        <f>IFERROR(__xludf.DUMMYFUNCTION("""COMPUTED_VALUE"""),"PH061915000")</f>
        <v>PH061915000</v>
      </c>
      <c r="C172" s="8"/>
      <c r="D172" s="8"/>
      <c r="E172" s="8"/>
      <c r="F172" s="8"/>
      <c r="G172" s="8"/>
      <c r="H172" s="8"/>
      <c r="I172" s="8"/>
      <c r="J172" s="8"/>
    </row>
    <row r="173">
      <c r="A173" s="142" t="s">
        <v>1375</v>
      </c>
      <c r="B173" s="142" t="str">
        <f>IFERROR(__xludf.DUMMYFUNCTION("""COMPUTED_VALUE"""),"PH030807000")</f>
        <v>PH030807000</v>
      </c>
      <c r="C173" s="8"/>
      <c r="D173" s="8"/>
      <c r="E173" s="8"/>
      <c r="F173" s="8"/>
      <c r="G173" s="8"/>
      <c r="H173" s="8"/>
      <c r="I173" s="8"/>
      <c r="J173" s="8"/>
    </row>
    <row r="174">
      <c r="A174" s="142" t="s">
        <v>491</v>
      </c>
      <c r="B174" s="142" t="str">
        <f>IFERROR(__xludf.DUMMYFUNCTION("""COMPUTED_VALUE"""),"PH012920000")</f>
        <v>PH012920000</v>
      </c>
      <c r="C174" s="142" t="str">
        <f>IFERROR(__xludf.DUMMYFUNCTION("""COMPUTED_VALUE"""),"PH013316000")</f>
        <v>PH013316000</v>
      </c>
      <c r="D174" s="142" t="str">
        <f>IFERROR(__xludf.DUMMYFUNCTION("""COMPUTED_VALUE"""),"PH041023000")</f>
        <v>PH041023000</v>
      </c>
      <c r="E174" s="142" t="str">
        <f>IFERROR(__xludf.DUMMYFUNCTION("""COMPUTED_VALUE"""),"PH076105000")</f>
        <v>PH076105000</v>
      </c>
      <c r="F174" s="142" t="str">
        <f>IFERROR(__xludf.DUMMYFUNCTION("""COMPUTED_VALUE"""),"PH086414000")</f>
        <v>PH086414000</v>
      </c>
      <c r="G174" s="142" t="str">
        <f>IFERROR(__xludf.DUMMYFUNCTION("""COMPUTED_VALUE"""),"PH140122000")</f>
        <v>PH140122000</v>
      </c>
      <c r="H174" s="8"/>
      <c r="I174" s="8"/>
      <c r="J174" s="8"/>
    </row>
    <row r="175">
      <c r="A175" s="142" t="s">
        <v>1388</v>
      </c>
      <c r="B175" s="142" t="str">
        <f>IFERROR(__xludf.DUMMYFUNCTION("""COMPUTED_VALUE"""),"PH042113000")</f>
        <v>PH042113000</v>
      </c>
      <c r="C175" s="8"/>
      <c r="D175" s="8"/>
      <c r="E175" s="8"/>
      <c r="F175" s="8"/>
      <c r="G175" s="8"/>
      <c r="H175" s="8"/>
      <c r="I175" s="8"/>
      <c r="J175" s="8"/>
    </row>
    <row r="176">
      <c r="A176" s="142" t="s">
        <v>1391</v>
      </c>
      <c r="B176" s="142" t="str">
        <f>IFERROR(__xludf.DUMMYFUNCTION("""COMPUTED_VALUE"""),"PH045601000")</f>
        <v>PH045601000</v>
      </c>
      <c r="C176" s="8"/>
      <c r="D176" s="8"/>
      <c r="E176" s="8"/>
      <c r="F176" s="8"/>
      <c r="G176" s="8"/>
      <c r="H176" s="8"/>
      <c r="I176" s="8"/>
      <c r="J176" s="8"/>
    </row>
    <row r="177">
      <c r="A177" s="142" t="s">
        <v>505</v>
      </c>
      <c r="B177" s="142" t="str">
        <f>IFERROR(__xludf.DUMMYFUNCTION("""COMPUTED_VALUE"""),"PH045607000")</f>
        <v>PH045607000</v>
      </c>
      <c r="C177" s="8"/>
      <c r="D177" s="8"/>
      <c r="E177" s="8"/>
      <c r="F177" s="8"/>
      <c r="G177" s="8"/>
      <c r="H177" s="8"/>
      <c r="I177" s="8"/>
      <c r="J177" s="8"/>
    </row>
    <row r="178">
      <c r="A178" s="142" t="s">
        <v>505</v>
      </c>
      <c r="B178" s="142" t="str">
        <f>IFERROR(__xludf.DUMMYFUNCTION("""COMPUTED_VALUE"""),"PH045607000")</f>
        <v>PH045607000</v>
      </c>
      <c r="C178" s="8"/>
      <c r="D178" s="8"/>
      <c r="E178" s="8"/>
      <c r="F178" s="8"/>
      <c r="G178" s="8"/>
      <c r="H178" s="8"/>
      <c r="I178" s="8"/>
      <c r="J178" s="8"/>
    </row>
    <row r="179">
      <c r="A179" s="142" t="s">
        <v>505</v>
      </c>
      <c r="B179" s="142" t="str">
        <f>IFERROR(__xludf.DUMMYFUNCTION("""COMPUTED_VALUE"""),"PH045607000")</f>
        <v>PH045607000</v>
      </c>
      <c r="C179" s="8"/>
      <c r="D179" s="8"/>
      <c r="E179" s="8"/>
      <c r="F179" s="8"/>
      <c r="G179" s="8"/>
      <c r="H179" s="8"/>
      <c r="I179" s="8"/>
      <c r="J179" s="8"/>
    </row>
    <row r="180">
      <c r="A180" s="142" t="s">
        <v>505</v>
      </c>
      <c r="B180" s="142" t="str">
        <f>IFERROR(__xludf.DUMMYFUNCTION("""COMPUTED_VALUE"""),"PH045607000")</f>
        <v>PH045607000</v>
      </c>
      <c r="C180" s="8"/>
      <c r="D180" s="8"/>
      <c r="E180" s="8"/>
      <c r="F180" s="8"/>
      <c r="G180" s="8"/>
      <c r="H180" s="8"/>
      <c r="I180" s="8"/>
      <c r="J180" s="8"/>
    </row>
    <row r="181">
      <c r="A181" s="142" t="s">
        <v>505</v>
      </c>
      <c r="B181" s="142" t="str">
        <f>IFERROR(__xludf.DUMMYFUNCTION("""COMPUTED_VALUE"""),"PH045607000")</f>
        <v>PH045607000</v>
      </c>
      <c r="C181" s="8"/>
      <c r="D181" s="8"/>
      <c r="E181" s="8"/>
      <c r="F181" s="8"/>
      <c r="G181" s="8"/>
      <c r="H181" s="8"/>
      <c r="I181" s="8"/>
      <c r="J181" s="8"/>
    </row>
    <row r="182">
      <c r="A182" s="142" t="s">
        <v>505</v>
      </c>
      <c r="B182" s="142" t="str">
        <f>IFERROR(__xludf.DUMMYFUNCTION("""COMPUTED_VALUE"""),"PH045607000")</f>
        <v>PH045607000</v>
      </c>
      <c r="C182" s="8"/>
      <c r="D182" s="8"/>
      <c r="E182" s="8"/>
      <c r="F182" s="8"/>
      <c r="G182" s="8"/>
      <c r="H182" s="8"/>
      <c r="I182" s="8"/>
      <c r="J182" s="8"/>
    </row>
    <row r="183">
      <c r="A183" s="142" t="s">
        <v>1406</v>
      </c>
      <c r="B183" s="142" t="str">
        <f>IFERROR(__xludf.DUMMYFUNCTION("""COMPUTED_VALUE"""),"PH045616000")</f>
        <v>PH045616000</v>
      </c>
      <c r="C183" s="142" t="str">
        <f>IFERROR(__xludf.DUMMYFUNCTION("""COMPUTED_VALUE"""),"PH166710000")</f>
        <v>PH166710000</v>
      </c>
      <c r="D183" s="8"/>
      <c r="E183" s="8"/>
      <c r="F183" s="8"/>
      <c r="G183" s="8"/>
      <c r="H183" s="8"/>
      <c r="I183" s="8"/>
      <c r="J183" s="8"/>
    </row>
    <row r="184">
      <c r="A184" s="142" t="s">
        <v>1409</v>
      </c>
      <c r="B184" s="142" t="str">
        <f>IFERROR(__xludf.DUMMYFUNCTION("""COMPUTED_VALUE"""),"PH045624000")</f>
        <v>PH045624000</v>
      </c>
      <c r="C184" s="8"/>
      <c r="D184" s="8"/>
      <c r="E184" s="8"/>
      <c r="F184" s="8"/>
      <c r="G184" s="8"/>
      <c r="H184" s="8"/>
      <c r="I184" s="8"/>
      <c r="J184" s="8"/>
    </row>
    <row r="185">
      <c r="A185" s="142" t="s">
        <v>1409</v>
      </c>
      <c r="B185" s="142" t="str">
        <f>IFERROR(__xludf.DUMMYFUNCTION("""COMPUTED_VALUE"""),"PH045624000")</f>
        <v>PH045624000</v>
      </c>
      <c r="C185" s="8"/>
      <c r="D185" s="8"/>
      <c r="E185" s="8"/>
      <c r="F185" s="8"/>
      <c r="G185" s="8"/>
      <c r="H185" s="8"/>
      <c r="I185" s="8"/>
      <c r="J185" s="8"/>
    </row>
    <row r="186">
      <c r="A186" s="142" t="s">
        <v>1415</v>
      </c>
      <c r="B186" s="142" t="str">
        <f>IFERROR(__xludf.DUMMYFUNCTION("""COMPUTED_VALUE"""),"PH045625000")</f>
        <v>PH045625000</v>
      </c>
      <c r="C186" s="8"/>
      <c r="D186" s="8"/>
      <c r="E186" s="8"/>
      <c r="F186" s="8"/>
      <c r="G186" s="8"/>
      <c r="H186" s="8"/>
      <c r="I186" s="8"/>
      <c r="J186" s="8"/>
    </row>
    <row r="187">
      <c r="A187" s="142" t="s">
        <v>1418</v>
      </c>
      <c r="B187" s="142" t="str">
        <f>IFERROR(__xludf.DUMMYFUNCTION("""COMPUTED_VALUE"""),"PH045633000")</f>
        <v>PH045633000</v>
      </c>
      <c r="C187" s="8"/>
      <c r="D187" s="8"/>
      <c r="E187" s="8"/>
      <c r="F187" s="8"/>
      <c r="G187" s="8"/>
      <c r="H187" s="8"/>
      <c r="I187" s="8"/>
      <c r="J187" s="8"/>
    </row>
    <row r="188">
      <c r="A188" s="142" t="s">
        <v>1418</v>
      </c>
      <c r="B188" s="142" t="str">
        <f>IFERROR(__xludf.DUMMYFUNCTION("""COMPUTED_VALUE"""),"PH045633000")</f>
        <v>PH045633000</v>
      </c>
      <c r="C188" s="8"/>
      <c r="D188" s="8"/>
      <c r="E188" s="8"/>
      <c r="F188" s="8"/>
      <c r="G188" s="8"/>
      <c r="H188" s="8"/>
      <c r="I188" s="8"/>
      <c r="J188" s="8"/>
    </row>
    <row r="189">
      <c r="A189" s="142" t="s">
        <v>1418</v>
      </c>
      <c r="B189" s="142" t="str">
        <f>IFERROR(__xludf.DUMMYFUNCTION("""COMPUTED_VALUE"""),"PH045633000")</f>
        <v>PH045633000</v>
      </c>
      <c r="C189" s="8"/>
      <c r="D189" s="8"/>
      <c r="E189" s="8"/>
      <c r="F189" s="8"/>
      <c r="G189" s="8"/>
      <c r="H189" s="8"/>
      <c r="I189" s="8"/>
      <c r="J189" s="8"/>
    </row>
    <row r="190">
      <c r="A190" s="142" t="s">
        <v>1418</v>
      </c>
      <c r="B190" s="142" t="str">
        <f>IFERROR(__xludf.DUMMYFUNCTION("""COMPUTED_VALUE"""),"PH045633000")</f>
        <v>PH045633000</v>
      </c>
      <c r="C190" s="8"/>
      <c r="D190" s="8"/>
      <c r="E190" s="8"/>
      <c r="F190" s="8"/>
      <c r="G190" s="8"/>
      <c r="H190" s="8"/>
      <c r="I190" s="8"/>
      <c r="J190" s="8"/>
    </row>
    <row r="191">
      <c r="A191" s="142" t="s">
        <v>1428</v>
      </c>
      <c r="B191" s="142" t="str">
        <f>IFERROR(__xludf.DUMMYFUNCTION("""COMPUTED_VALUE"""),"PH045634000")</f>
        <v>PH045634000</v>
      </c>
      <c r="C191" s="142" t="str">
        <f>IFERROR(__xludf.DUMMYFUNCTION("""COMPUTED_VALUE"""),"PH097338000")</f>
        <v>PH097338000</v>
      </c>
      <c r="D191" s="8"/>
      <c r="E191" s="8"/>
      <c r="F191" s="8"/>
      <c r="G191" s="8"/>
      <c r="H191" s="8"/>
      <c r="I191" s="8"/>
      <c r="J191" s="8"/>
    </row>
    <row r="192">
      <c r="A192" s="142" t="s">
        <v>497</v>
      </c>
      <c r="B192" s="142" t="str">
        <f>IFERROR(__xludf.DUMMYFUNCTION("""COMPUTED_VALUE"""),"PH023122000")</f>
        <v>PH023122000</v>
      </c>
      <c r="C192" s="142" t="str">
        <f>IFERROR(__xludf.DUMMYFUNCTION("""COMPUTED_VALUE"""),"PH025011000")</f>
        <v>PH025011000</v>
      </c>
      <c r="D192" s="142" t="str">
        <f>IFERROR(__xludf.DUMMYFUNCTION("""COMPUTED_VALUE"""),"PH034922000")</f>
        <v>PH034922000</v>
      </c>
      <c r="E192" s="142" t="str">
        <f>IFERROR(__xludf.DUMMYFUNCTION("""COMPUTED_VALUE"""),"PH045637000")</f>
        <v>PH045637000</v>
      </c>
      <c r="F192" s="142" t="str">
        <f>IFERROR(__xludf.DUMMYFUNCTION("""COMPUTED_VALUE"""),"PH175317000")</f>
        <v>PH175317000</v>
      </c>
      <c r="G192" s="142" t="str">
        <f>IFERROR(__xludf.DUMMYFUNCTION("""COMPUTED_VALUE"""),"PH101317000")</f>
        <v>PH101317000</v>
      </c>
      <c r="H192" s="8"/>
      <c r="I192" s="8"/>
      <c r="J192" s="8"/>
    </row>
    <row r="193">
      <c r="A193" s="142" t="s">
        <v>497</v>
      </c>
      <c r="B193" s="142" t="str">
        <f>IFERROR(__xludf.DUMMYFUNCTION("""COMPUTED_VALUE"""),"PH023122000")</f>
        <v>PH023122000</v>
      </c>
      <c r="C193" s="142" t="str">
        <f>IFERROR(__xludf.DUMMYFUNCTION("""COMPUTED_VALUE"""),"PH025011000")</f>
        <v>PH025011000</v>
      </c>
      <c r="D193" s="142" t="str">
        <f>IFERROR(__xludf.DUMMYFUNCTION("""COMPUTED_VALUE"""),"PH034922000")</f>
        <v>PH034922000</v>
      </c>
      <c r="E193" s="142" t="str">
        <f>IFERROR(__xludf.DUMMYFUNCTION("""COMPUTED_VALUE"""),"PH045637000")</f>
        <v>PH045637000</v>
      </c>
      <c r="F193" s="142" t="str">
        <f>IFERROR(__xludf.DUMMYFUNCTION("""COMPUTED_VALUE"""),"PH175317000")</f>
        <v>PH175317000</v>
      </c>
      <c r="G193" s="142" t="str">
        <f>IFERROR(__xludf.DUMMYFUNCTION("""COMPUTED_VALUE"""),"PH101317000")</f>
        <v>PH101317000</v>
      </c>
      <c r="H193" s="8"/>
      <c r="I193" s="8"/>
      <c r="J193" s="8"/>
    </row>
    <row r="194">
      <c r="A194" s="142" t="s">
        <v>1436</v>
      </c>
      <c r="B194" s="142" t="str">
        <f>IFERROR(__xludf.DUMMYFUNCTION("""COMPUTED_VALUE"""),"PH045646000")</f>
        <v>PH045646000</v>
      </c>
      <c r="C194" s="8"/>
      <c r="D194" s="8"/>
      <c r="E194" s="8"/>
      <c r="F194" s="8"/>
      <c r="G194" s="8"/>
      <c r="H194" s="8"/>
      <c r="I194" s="8"/>
      <c r="J194" s="8"/>
    </row>
    <row r="195">
      <c r="A195" s="142" t="s">
        <v>1439</v>
      </c>
      <c r="B195" s="142" t="str">
        <f>IFERROR(__xludf.DUMMYFUNCTION("""COMPUTED_VALUE"""),"PH045649000")</f>
        <v>PH045649000</v>
      </c>
      <c r="C195" s="8"/>
      <c r="D195" s="8"/>
      <c r="E195" s="8"/>
      <c r="F195" s="8"/>
      <c r="G195" s="8"/>
      <c r="H195" s="8"/>
      <c r="I195" s="8"/>
      <c r="J195" s="8"/>
    </row>
    <row r="196">
      <c r="A196" s="142" t="s">
        <v>1442</v>
      </c>
      <c r="B196" s="142" t="str">
        <f>IFERROR(__xludf.DUMMYFUNCTION("""COMPUTED_VALUE"""),"PH050518000")</f>
        <v>PH050518000</v>
      </c>
      <c r="C196" s="8"/>
      <c r="D196" s="8"/>
      <c r="E196" s="8"/>
      <c r="F196" s="8"/>
      <c r="G196" s="8"/>
      <c r="H196" s="8"/>
      <c r="I196" s="8"/>
      <c r="J196" s="8"/>
    </row>
    <row r="197">
      <c r="A197" s="142" t="s">
        <v>1446</v>
      </c>
      <c r="B197" s="142" t="str">
        <f>IFERROR(__xludf.DUMMYFUNCTION("""COMPUTED_VALUE"""),"PH051607000")</f>
        <v>PH051607000</v>
      </c>
      <c r="C197" s="142" t="str">
        <f>IFERROR(__xludf.DUMMYFUNCTION("""COMPUTED_VALUE"""),"PH082616000")</f>
        <v>PH082616000</v>
      </c>
      <c r="D197" s="8"/>
      <c r="E197" s="8"/>
      <c r="F197" s="8"/>
      <c r="G197" s="8"/>
      <c r="H197" s="8"/>
      <c r="I197" s="8"/>
      <c r="J197" s="8"/>
    </row>
    <row r="198">
      <c r="A198" s="142" t="s">
        <v>1324</v>
      </c>
      <c r="B198" s="142" t="str">
        <f>IFERROR(__xludf.DUMMYFUNCTION("""COMPUTED_VALUE"""),"PH051727000")</f>
        <v>PH051727000</v>
      </c>
      <c r="C198" s="8"/>
      <c r="D198" s="8"/>
      <c r="E198" s="8"/>
      <c r="F198" s="8"/>
      <c r="G198" s="8"/>
      <c r="H198" s="8"/>
      <c r="I198" s="8"/>
      <c r="J198" s="8"/>
    </row>
    <row r="199">
      <c r="A199" s="142" t="s">
        <v>1451</v>
      </c>
      <c r="B199" s="142" t="str">
        <f>IFERROR(__xludf.DUMMYFUNCTION("""COMPUTED_VALUE"""),"PH051731000")</f>
        <v>PH051731000</v>
      </c>
      <c r="C199" s="8"/>
      <c r="D199" s="8"/>
      <c r="E199" s="8"/>
      <c r="F199" s="8"/>
      <c r="G199" s="8"/>
      <c r="H199" s="8"/>
      <c r="I199" s="8"/>
      <c r="J199" s="8"/>
    </row>
    <row r="200">
      <c r="A200" s="142" t="s">
        <v>1455</v>
      </c>
      <c r="B200" s="142" t="str">
        <f>IFERROR(__xludf.DUMMYFUNCTION("""COMPUTED_VALUE"""),"PH051735000")</f>
        <v>PH051735000</v>
      </c>
      <c r="C200" s="8"/>
      <c r="D200" s="8"/>
      <c r="E200" s="8"/>
      <c r="F200" s="8"/>
      <c r="G200" s="8"/>
      <c r="H200" s="8"/>
      <c r="I200" s="8"/>
      <c r="J200" s="8"/>
    </row>
    <row r="201">
      <c r="A201" s="142" t="s">
        <v>1460</v>
      </c>
      <c r="B201" s="142" t="str">
        <f>IFERROR(__xludf.DUMMYFUNCTION("""COMPUTED_VALUE"""),"PH045640000")</f>
        <v>PH045640000</v>
      </c>
      <c r="C201" s="142" t="str">
        <f>IFERROR(__xludf.DUMMYFUNCTION("""COMPUTED_VALUE"""),"PH175912000")</f>
        <v>PH175912000</v>
      </c>
      <c r="D201" s="142" t="str">
        <f>IFERROR(__xludf.DUMMYFUNCTION("""COMPUTED_VALUE"""),"PH052008000")</f>
        <v>PH052008000</v>
      </c>
      <c r="E201" s="8"/>
      <c r="F201" s="8"/>
      <c r="G201" s="8"/>
      <c r="H201" s="8"/>
      <c r="I201" s="8"/>
      <c r="J201" s="8"/>
    </row>
    <row r="202">
      <c r="A202" s="142" t="s">
        <v>1464</v>
      </c>
      <c r="B202" s="142" t="str">
        <f>IFERROR(__xludf.DUMMYFUNCTION("""COMPUTED_VALUE"""),"PH083703000")</f>
        <v>PH083703000</v>
      </c>
      <c r="C202" s="8"/>
      <c r="D202" s="8"/>
      <c r="E202" s="8"/>
      <c r="F202" s="8"/>
      <c r="G202" s="8"/>
      <c r="H202" s="8"/>
      <c r="I202" s="8"/>
      <c r="J202" s="8"/>
    </row>
    <row r="203">
      <c r="A203" s="142" t="s">
        <v>1467</v>
      </c>
      <c r="B203" s="142" t="str">
        <f>IFERROR(__xludf.DUMMYFUNCTION("""COMPUTED_VALUE"""),"PH083705000")</f>
        <v>PH083705000</v>
      </c>
      <c r="C203" s="8"/>
      <c r="D203" s="8"/>
      <c r="E203" s="8"/>
      <c r="F203" s="8"/>
      <c r="G203" s="8"/>
      <c r="H203" s="8"/>
      <c r="I203" s="8"/>
      <c r="J203" s="8"/>
    </row>
    <row r="204">
      <c r="A204" s="142" t="s">
        <v>1467</v>
      </c>
      <c r="B204" s="142" t="str">
        <f>IFERROR(__xludf.DUMMYFUNCTION("""COMPUTED_VALUE"""),"PH083705000")</f>
        <v>PH083705000</v>
      </c>
      <c r="C204" s="8"/>
      <c r="D204" s="8"/>
      <c r="E204" s="8"/>
      <c r="F204" s="8"/>
      <c r="G204" s="8"/>
      <c r="H204" s="8"/>
      <c r="I204" s="8"/>
      <c r="J204" s="8"/>
    </row>
    <row r="205">
      <c r="A205" s="142" t="s">
        <v>1472</v>
      </c>
      <c r="B205" s="142" t="str">
        <f>IFERROR(__xludf.DUMMYFUNCTION("""COMPUTED_VALUE"""),"PH083714000")</f>
        <v>PH083714000</v>
      </c>
      <c r="C205" s="8"/>
      <c r="D205" s="8"/>
      <c r="E205" s="8"/>
      <c r="F205" s="8"/>
      <c r="G205" s="8"/>
      <c r="H205" s="8"/>
      <c r="I205" s="8"/>
      <c r="J205" s="8"/>
    </row>
    <row r="206">
      <c r="A206" s="142" t="s">
        <v>586</v>
      </c>
      <c r="B206" s="142" t="str">
        <f>IFERROR(__xludf.DUMMYFUNCTION("""COMPUTED_VALUE"""),"PH083715000")</f>
        <v>PH083715000</v>
      </c>
      <c r="C206" s="8"/>
      <c r="D206" s="8"/>
      <c r="E206" s="8"/>
      <c r="F206" s="8"/>
      <c r="G206" s="8"/>
      <c r="H206" s="8"/>
      <c r="I206" s="8"/>
      <c r="J206" s="8"/>
    </row>
    <row r="207">
      <c r="A207" s="142" t="s">
        <v>586</v>
      </c>
      <c r="B207" s="142" t="str">
        <f>IFERROR(__xludf.DUMMYFUNCTION("""COMPUTED_VALUE"""),"PH083715000")</f>
        <v>PH083715000</v>
      </c>
      <c r="C207" s="8"/>
      <c r="D207" s="8"/>
      <c r="E207" s="8"/>
      <c r="F207" s="8"/>
      <c r="G207" s="8"/>
      <c r="H207" s="8"/>
      <c r="I207" s="8"/>
      <c r="J207" s="8"/>
    </row>
    <row r="208">
      <c r="A208" s="142" t="s">
        <v>585</v>
      </c>
      <c r="B208" s="142" t="str">
        <f>IFERROR(__xludf.DUMMYFUNCTION("""COMPUTED_VALUE"""),"PH083729000")</f>
        <v>PH083729000</v>
      </c>
      <c r="C208" s="8"/>
      <c r="D208" s="8"/>
      <c r="E208" s="8"/>
      <c r="F208" s="8"/>
      <c r="G208" s="8"/>
      <c r="H208" s="8"/>
      <c r="I208" s="8"/>
      <c r="J208" s="8"/>
    </row>
    <row r="209">
      <c r="A209" s="142" t="s">
        <v>1483</v>
      </c>
      <c r="B209" s="142" t="str">
        <f>IFERROR(__xludf.DUMMYFUNCTION("""COMPUTED_VALUE"""),"PH083738000")</f>
        <v>PH083738000</v>
      </c>
      <c r="C209" s="8"/>
      <c r="D209" s="8"/>
      <c r="E209" s="8"/>
      <c r="F209" s="8"/>
      <c r="G209" s="8"/>
      <c r="H209" s="8"/>
      <c r="I209" s="8"/>
      <c r="J209" s="8"/>
    </row>
    <row r="210">
      <c r="A210" s="142" t="s">
        <v>1487</v>
      </c>
      <c r="B210" s="142" t="str">
        <f>IFERROR(__xludf.DUMMYFUNCTION("""COMPUTED_VALUE"""),"PH083739000")</f>
        <v>PH083739000</v>
      </c>
      <c r="C210" s="8"/>
      <c r="D210" s="8"/>
      <c r="E210" s="8"/>
      <c r="F210" s="8"/>
      <c r="G210" s="8"/>
      <c r="H210" s="8"/>
      <c r="I210" s="8"/>
      <c r="J210" s="8"/>
    </row>
    <row r="211">
      <c r="A211" s="142" t="s">
        <v>1491</v>
      </c>
      <c r="B211" s="142" t="str">
        <f>IFERROR(__xludf.DUMMYFUNCTION("""COMPUTED_VALUE"""),"PH083747000")</f>
        <v>PH083747000</v>
      </c>
      <c r="C211" s="8"/>
      <c r="D211" s="8"/>
      <c r="E211" s="8"/>
      <c r="F211" s="8"/>
      <c r="G211" s="8"/>
      <c r="H211" s="8"/>
      <c r="I211" s="8"/>
      <c r="J211" s="8"/>
    </row>
    <row r="212">
      <c r="A212" s="142" t="s">
        <v>1494</v>
      </c>
      <c r="B212" s="142" t="str">
        <f>IFERROR(__xludf.DUMMYFUNCTION("""COMPUTED_VALUE"""),"PH072247000")</f>
        <v>PH072247000</v>
      </c>
      <c r="C212" s="142" t="str">
        <f>IFERROR(__xludf.DUMMYFUNCTION("""COMPUTED_VALUE"""),"PH086417000")</f>
        <v>PH086417000</v>
      </c>
      <c r="D212" s="8"/>
      <c r="E212" s="8"/>
      <c r="F212" s="8"/>
      <c r="G212" s="8"/>
      <c r="H212" s="8"/>
      <c r="I212" s="8"/>
      <c r="J212" s="8"/>
    </row>
    <row r="213">
      <c r="A213" s="142" t="s">
        <v>1497</v>
      </c>
      <c r="B213" s="142" t="str">
        <f>IFERROR(__xludf.DUMMYFUNCTION("""COMPUTED_VALUE"""),"PH103512000")</f>
        <v>PH103512000</v>
      </c>
      <c r="C213" s="8"/>
      <c r="D213" s="8"/>
      <c r="E213" s="8"/>
      <c r="F213" s="8"/>
      <c r="G213" s="8"/>
      <c r="H213" s="8"/>
      <c r="I213" s="8"/>
      <c r="J213" s="8"/>
    </row>
    <row r="214">
      <c r="A214" s="142" t="s">
        <v>1497</v>
      </c>
      <c r="B214" s="142" t="str">
        <f>IFERROR(__xludf.DUMMYFUNCTION("""COMPUTED_VALUE"""),"PH103512000")</f>
        <v>PH103512000</v>
      </c>
      <c r="C214" s="8"/>
      <c r="D214" s="8"/>
      <c r="E214" s="8"/>
      <c r="F214" s="8"/>
      <c r="G214" s="8"/>
      <c r="H214" s="8"/>
      <c r="I214" s="8"/>
      <c r="J214" s="8"/>
    </row>
    <row r="215">
      <c r="A215" s="142" t="s">
        <v>1502</v>
      </c>
      <c r="B215" s="142" t="str">
        <f>IFERROR(__xludf.DUMMYFUNCTION("""COMPUTED_VALUE"""),"PH071214000")</f>
        <v>PH071214000</v>
      </c>
      <c r="C215" s="142" t="str">
        <f>IFERROR(__xludf.DUMMYFUNCTION("""COMPUTED_VALUE"""),"PH104205000")</f>
        <v>PH104205000</v>
      </c>
      <c r="D215" s="8"/>
      <c r="E215" s="8"/>
      <c r="F215" s="8"/>
      <c r="G215" s="8"/>
      <c r="H215" s="8"/>
      <c r="I215" s="8"/>
      <c r="J215" s="8"/>
    </row>
    <row r="216">
      <c r="A216" s="142" t="s">
        <v>1505</v>
      </c>
      <c r="B216" s="142" t="str">
        <f>IFERROR(__xludf.DUMMYFUNCTION("""COMPUTED_VALUE"""),"PH104210000")</f>
        <v>PH104210000</v>
      </c>
      <c r="C216" s="8"/>
      <c r="D216" s="8"/>
      <c r="E216" s="8"/>
      <c r="F216" s="8"/>
      <c r="G216" s="8"/>
      <c r="H216" s="8"/>
      <c r="I216" s="8"/>
      <c r="J216" s="8"/>
    </row>
    <row r="217">
      <c r="A217" s="142" t="s">
        <v>693</v>
      </c>
      <c r="B217" s="142" t="str">
        <f>IFERROR(__xludf.DUMMYFUNCTION("""COMPUTED_VALUE"""),"PH015514000")</f>
        <v>PH015514000</v>
      </c>
      <c r="C217" s="8"/>
      <c r="D217" s="8"/>
      <c r="E217" s="8"/>
      <c r="F217" s="8"/>
      <c r="G217" s="8"/>
      <c r="H217" s="8"/>
      <c r="I217" s="8"/>
      <c r="J217" s="8"/>
    </row>
    <row r="218">
      <c r="A218" s="142" t="s">
        <v>1517</v>
      </c>
      <c r="B218" s="142" t="str">
        <f>IFERROR(__xludf.DUMMYFUNCTION("""COMPUTED_VALUE"""),"PH097332000")</f>
        <v>PH097332000</v>
      </c>
      <c r="C218" s="8"/>
      <c r="D218" s="8"/>
      <c r="E218" s="8"/>
      <c r="F218" s="8"/>
      <c r="G218" s="8"/>
      <c r="H218" s="8"/>
      <c r="I218" s="8"/>
      <c r="J218" s="8"/>
    </row>
    <row r="219">
      <c r="A219" s="142" t="s">
        <v>1530</v>
      </c>
      <c r="B219" s="142" t="str">
        <f>IFERROR(__xludf.DUMMYFUNCTION("""COMPUTED_VALUE"""),"PH072203000")</f>
        <v>PH072203000</v>
      </c>
      <c r="C219" s="142" t="str">
        <f>IFERROR(__xludf.DUMMYFUNCTION("""COMPUTED_VALUE"""),"PH166701000")</f>
        <v>PH166701000</v>
      </c>
      <c r="D219" s="8"/>
      <c r="E219" s="8"/>
      <c r="F219" s="8"/>
      <c r="G219" s="8"/>
      <c r="H219" s="8"/>
      <c r="I219" s="8"/>
      <c r="J219" s="8"/>
    </row>
    <row r="220">
      <c r="A220" s="142" t="s">
        <v>1540</v>
      </c>
      <c r="B220" s="142" t="str">
        <f>IFERROR(__xludf.DUMMYFUNCTION("""COMPUTED_VALUE"""),"PH082609000")</f>
        <v>PH082609000</v>
      </c>
      <c r="C220" s="8"/>
      <c r="D220" s="8"/>
      <c r="E220" s="8"/>
      <c r="F220" s="8"/>
      <c r="G220" s="8"/>
      <c r="H220" s="8"/>
      <c r="I220" s="8"/>
      <c r="J220" s="8"/>
    </row>
    <row r="221">
      <c r="A221" s="142" t="s">
        <v>1551</v>
      </c>
      <c r="B221" s="142" t="str">
        <f>IFERROR(__xludf.DUMMYFUNCTION("""COMPUTED_VALUE"""),"PH104305000")</f>
        <v>PH104305000</v>
      </c>
      <c r="C221" s="8"/>
      <c r="D221" s="8"/>
      <c r="E221" s="8"/>
      <c r="F221" s="8"/>
      <c r="G221" s="8"/>
      <c r="H221" s="8"/>
      <c r="I221" s="8"/>
      <c r="J221" s="8"/>
    </row>
    <row r="222">
      <c r="A222" s="142" t="s">
        <v>1564</v>
      </c>
      <c r="B222" s="142" t="str">
        <f>IFERROR(__xludf.DUMMYFUNCTION("""COMPUTED_VALUE"""),"PH013305000")</f>
        <v>PH013305000</v>
      </c>
      <c r="C222" s="8"/>
      <c r="D222" s="8"/>
      <c r="E222" s="8"/>
      <c r="F222" s="8"/>
      <c r="G222" s="8"/>
      <c r="H222" s="8"/>
      <c r="I222" s="8"/>
      <c r="J222" s="8"/>
    </row>
    <row r="223">
      <c r="A223" s="142" t="s">
        <v>332</v>
      </c>
      <c r="B223" s="142" t="str">
        <f>IFERROR(__xludf.DUMMYFUNCTION("""COMPUTED_VALUE"""),"PH112319000")</f>
        <v>PH112319000</v>
      </c>
      <c r="C223" s="8"/>
      <c r="D223" s="8"/>
      <c r="E223" s="8"/>
      <c r="F223" s="8"/>
      <c r="G223" s="8"/>
      <c r="H223" s="8"/>
      <c r="I223" s="8"/>
      <c r="J223" s="8"/>
    </row>
    <row r="224">
      <c r="A224" s="142" t="s">
        <v>1587</v>
      </c>
      <c r="B224" s="142" t="str">
        <f>IFERROR(__xludf.DUMMYFUNCTION("""COMPUTED_VALUE"""),"PH072235000")</f>
        <v>PH072235000</v>
      </c>
      <c r="C224" s="8"/>
      <c r="D224" s="8"/>
      <c r="E224" s="8"/>
      <c r="F224" s="8"/>
      <c r="G224" s="8"/>
      <c r="H224" s="8"/>
      <c r="I224" s="8"/>
      <c r="J224" s="8"/>
    </row>
    <row r="225">
      <c r="A225" s="142" t="s">
        <v>1604</v>
      </c>
      <c r="B225" s="142" t="str">
        <f>IFERROR(__xludf.DUMMYFUNCTION("""COMPUTED_VALUE"""),"PH063001000")</f>
        <v>PH063001000</v>
      </c>
      <c r="C225" s="8"/>
      <c r="D225" s="8"/>
      <c r="E225" s="8"/>
      <c r="F225" s="8"/>
      <c r="G225" s="8"/>
      <c r="H225" s="8"/>
      <c r="I225" s="8"/>
      <c r="J225" s="8"/>
    </row>
    <row r="226">
      <c r="A226" s="142" t="s">
        <v>747</v>
      </c>
      <c r="B226" s="142" t="str">
        <f>IFERROR(__xludf.DUMMYFUNCTION("""COMPUTED_VALUE"""),"PH060406000")</f>
        <v>PH060406000</v>
      </c>
      <c r="C226" s="8"/>
      <c r="D226" s="8"/>
      <c r="E226" s="8"/>
      <c r="F226" s="8"/>
      <c r="G226" s="8"/>
      <c r="H226" s="8"/>
      <c r="I226" s="8"/>
      <c r="J226" s="8"/>
    </row>
    <row r="227">
      <c r="A227" s="142" t="s">
        <v>1616</v>
      </c>
      <c r="B227" s="142" t="str">
        <f>IFERROR(__xludf.DUMMYFUNCTION("""COMPUTED_VALUE"""),"PH063008000")</f>
        <v>PH063008000</v>
      </c>
      <c r="C227" s="8"/>
      <c r="D227" s="8"/>
      <c r="E227" s="8"/>
      <c r="F227" s="8"/>
      <c r="G227" s="8"/>
      <c r="H227" s="8"/>
      <c r="I227" s="8"/>
      <c r="J227" s="8"/>
    </row>
    <row r="228">
      <c r="A228" s="142" t="s">
        <v>1622</v>
      </c>
      <c r="B228" s="142" t="str">
        <f>IFERROR(__xludf.DUMMYFUNCTION("""COMPUTED_VALUE"""),"PH050501000")</f>
        <v>PH050501000</v>
      </c>
      <c r="C228" s="8"/>
      <c r="D228" s="8"/>
      <c r="E228" s="8"/>
      <c r="F228" s="8"/>
      <c r="G228" s="8"/>
      <c r="H228" s="8"/>
      <c r="I228" s="8"/>
      <c r="J228" s="8"/>
    </row>
    <row r="229">
      <c r="A229" s="142" t="s">
        <v>1633</v>
      </c>
      <c r="B229" s="142" t="str">
        <f>IFERROR(__xludf.DUMMYFUNCTION("""COMPUTED_VALUE"""),"PH013303000")</f>
        <v>PH013303000</v>
      </c>
      <c r="C229" s="8"/>
      <c r="D229" s="8"/>
      <c r="E229" s="8"/>
      <c r="F229" s="8"/>
      <c r="G229" s="8"/>
      <c r="H229" s="8"/>
      <c r="I229" s="8"/>
      <c r="J229" s="8"/>
    </row>
    <row r="230">
      <c r="A230" s="142" t="s">
        <v>1564</v>
      </c>
      <c r="B230" s="142" t="str">
        <f>IFERROR(__xludf.DUMMYFUNCTION("""COMPUTED_VALUE"""),"PH013305000")</f>
        <v>PH013305000</v>
      </c>
      <c r="C230" s="8"/>
      <c r="D230" s="8"/>
      <c r="E230" s="8"/>
      <c r="F230" s="8"/>
      <c r="G230" s="8"/>
      <c r="H230" s="8"/>
      <c r="I230" s="8"/>
      <c r="J230" s="8"/>
    </row>
    <row r="231">
      <c r="A231" s="142" t="s">
        <v>491</v>
      </c>
      <c r="B231" s="142" t="str">
        <f>IFERROR(__xludf.DUMMYFUNCTION("""COMPUTED_VALUE"""),"PH012920000")</f>
        <v>PH012920000</v>
      </c>
      <c r="C231" s="142" t="str">
        <f>IFERROR(__xludf.DUMMYFUNCTION("""COMPUTED_VALUE"""),"PH013316000")</f>
        <v>PH013316000</v>
      </c>
      <c r="D231" s="142" t="str">
        <f>IFERROR(__xludf.DUMMYFUNCTION("""COMPUTED_VALUE"""),"PH041023000")</f>
        <v>PH041023000</v>
      </c>
      <c r="E231" s="142" t="str">
        <f>IFERROR(__xludf.DUMMYFUNCTION("""COMPUTED_VALUE"""),"PH076105000")</f>
        <v>PH076105000</v>
      </c>
      <c r="F231" s="142" t="str">
        <f>IFERROR(__xludf.DUMMYFUNCTION("""COMPUTED_VALUE"""),"PH086414000")</f>
        <v>PH086414000</v>
      </c>
      <c r="G231" s="142" t="str">
        <f>IFERROR(__xludf.DUMMYFUNCTION("""COMPUTED_VALUE"""),"PH140122000")</f>
        <v>PH140122000</v>
      </c>
      <c r="H231" s="8"/>
      <c r="I231" s="8"/>
      <c r="J231" s="8"/>
    </row>
    <row r="232">
      <c r="A232" s="142" t="s">
        <v>1649</v>
      </c>
      <c r="B232" s="142" t="str">
        <f>IFERROR(__xludf.DUMMYFUNCTION("""COMPUTED_VALUE"""),"PH015522000")</f>
        <v>PH015522000</v>
      </c>
      <c r="C232" s="8"/>
      <c r="D232" s="8"/>
      <c r="E232" s="8"/>
      <c r="F232" s="8"/>
      <c r="G232" s="8"/>
      <c r="H232" s="8"/>
      <c r="I232" s="8"/>
      <c r="J232" s="8"/>
    </row>
    <row r="233">
      <c r="A233" s="142" t="s">
        <v>980</v>
      </c>
      <c r="B233" s="142" t="str">
        <f>IFERROR(__xludf.DUMMYFUNCTION("""COMPUTED_VALUE"""),"PH112317000")</f>
        <v>PH112317000</v>
      </c>
      <c r="C233" s="8"/>
      <c r="D233" s="8"/>
      <c r="E233" s="8"/>
      <c r="F233" s="8"/>
      <c r="G233" s="8"/>
      <c r="H233" s="8"/>
      <c r="I233" s="8"/>
      <c r="J233" s="8"/>
    </row>
    <row r="234">
      <c r="A234" s="142" t="s">
        <v>1667</v>
      </c>
      <c r="B234" s="142" t="str">
        <f>IFERROR(__xludf.DUMMYFUNCTION("""COMPUTED_VALUE"""),"PH036918000")</f>
        <v>PH036918000</v>
      </c>
      <c r="C234" s="142" t="str">
        <f>IFERROR(__xludf.DUMMYFUNCTION("""COMPUTED_VALUE"""),"PH041022000")</f>
        <v>PH041022000</v>
      </c>
      <c r="D234" s="142" t="str">
        <f>IFERROR(__xludf.DUMMYFUNCTION("""COMPUTED_VALUE"""),"PH175110000")</f>
        <v>PH175110000</v>
      </c>
      <c r="E234" s="142" t="str">
        <f>IFERROR(__xludf.DUMMYFUNCTION("""COMPUTED_VALUE"""),"PH175914000")</f>
        <v>PH175914000</v>
      </c>
      <c r="F234" s="142" t="str">
        <f>IFERROR(__xludf.DUMMYFUNCTION("""COMPUTED_VALUE"""),"PH051733000")</f>
        <v>PH051733000</v>
      </c>
      <c r="G234" s="142" t="str">
        <f>IFERROR(__xludf.DUMMYFUNCTION("""COMPUTED_VALUE"""),"PH060613000")</f>
        <v>PH060613000</v>
      </c>
      <c r="H234" s="142" t="str">
        <f>IFERROR(__xludf.DUMMYFUNCTION("""COMPUTED_VALUE"""),"PH074617000")</f>
        <v>PH074617000</v>
      </c>
      <c r="I234" s="142" t="str">
        <f>IFERROR(__xludf.DUMMYFUNCTION("""COMPUTED_VALUE"""),"PH084819000")</f>
        <v>PH084819000</v>
      </c>
      <c r="J234" s="142" t="str">
        <f>IFERROR(__xludf.DUMMYFUNCTION("""COMPUTED_VALUE"""),"PH168506000")</f>
        <v>PH168506000</v>
      </c>
    </row>
    <row r="235">
      <c r="A235" s="142" t="s">
        <v>1671</v>
      </c>
      <c r="B235" s="142" t="str">
        <f>IFERROR(__xludf.DUMMYFUNCTION("""COMPUTED_VALUE"""),"PH064523000")</f>
        <v>PH064523000</v>
      </c>
      <c r="C235" s="8"/>
      <c r="D235" s="8"/>
      <c r="E235" s="8"/>
      <c r="F235" s="8"/>
      <c r="G235" s="8"/>
      <c r="H235" s="8"/>
      <c r="I235" s="8"/>
      <c r="J235" s="8"/>
    </row>
    <row r="236">
      <c r="A236" s="142" t="s">
        <v>524</v>
      </c>
      <c r="B236" s="142" t="str">
        <f>IFERROR(__xludf.DUMMYFUNCTION("""COMPUTED_VALUE"""),"PH175316000")</f>
        <v>PH175316000</v>
      </c>
      <c r="C236" s="8"/>
      <c r="D236" s="8"/>
      <c r="E236" s="8"/>
      <c r="F236" s="8"/>
      <c r="G236" s="8"/>
      <c r="H236" s="8"/>
      <c r="I236" s="8"/>
      <c r="J236" s="8"/>
    </row>
    <row r="237">
      <c r="A237" s="142" t="s">
        <v>1681</v>
      </c>
      <c r="B237" s="142" t="str">
        <f>IFERROR(__xludf.DUMMYFUNCTION("""COMPUTED_VALUE"""),"PH012815000")</f>
        <v>PH012815000</v>
      </c>
      <c r="C237" s="8"/>
      <c r="D237" s="8"/>
      <c r="E237" s="8"/>
      <c r="F237" s="8"/>
      <c r="G237" s="8"/>
      <c r="H237" s="8"/>
      <c r="I237" s="8"/>
      <c r="J237" s="8"/>
    </row>
    <row r="238">
      <c r="A238" s="142" t="s">
        <v>1689</v>
      </c>
      <c r="B238" s="142" t="str">
        <f>IFERROR(__xludf.DUMMYFUNCTION("""COMPUTED_VALUE"""),"PH128003000")</f>
        <v>PH128003000</v>
      </c>
      <c r="C238" s="8"/>
      <c r="D238" s="8"/>
      <c r="E238" s="8"/>
      <c r="F238" s="8"/>
      <c r="G238" s="8"/>
      <c r="H238" s="8"/>
      <c r="I238" s="8"/>
      <c r="J238" s="8"/>
    </row>
    <row r="239">
      <c r="A239" s="142" t="s">
        <v>221</v>
      </c>
      <c r="B239" s="142" t="str">
        <f>IFERROR(__xludf.DUMMYFUNCTION("""COMPUTED_VALUE"""),"PH015503000")</f>
        <v>PH015503000</v>
      </c>
      <c r="C239" s="8"/>
      <c r="D239" s="8"/>
      <c r="E239" s="8"/>
      <c r="F239" s="8"/>
      <c r="G239" s="8"/>
      <c r="H239" s="8"/>
      <c r="I239" s="8"/>
      <c r="J239" s="8"/>
    </row>
    <row r="240">
      <c r="A240" s="142" t="s">
        <v>1284</v>
      </c>
      <c r="B240" s="142" t="str">
        <f>IFERROR(__xludf.DUMMYFUNCTION("""COMPUTED_VALUE"""),"PH030802000")</f>
        <v>PH030802000</v>
      </c>
      <c r="C240" s="8"/>
      <c r="D240" s="8"/>
      <c r="E240" s="8"/>
      <c r="F240" s="8"/>
      <c r="G240" s="8"/>
      <c r="H240" s="8"/>
      <c r="I240" s="8"/>
      <c r="J240" s="8"/>
    </row>
    <row r="241">
      <c r="A241" s="142" t="s">
        <v>1291</v>
      </c>
      <c r="B241" s="142" t="str">
        <f>IFERROR(__xludf.DUMMYFUNCTION("""COMPUTED_VALUE"""),"PH037114000")</f>
        <v>PH037114000</v>
      </c>
      <c r="C241" s="8"/>
      <c r="D241" s="8"/>
      <c r="E241" s="8"/>
      <c r="F241" s="8"/>
      <c r="G241" s="8"/>
      <c r="H241" s="8"/>
      <c r="I241" s="8"/>
      <c r="J241" s="8"/>
    </row>
    <row r="242">
      <c r="A242" s="142" t="s">
        <v>524</v>
      </c>
      <c r="B242" s="142" t="str">
        <f>IFERROR(__xludf.DUMMYFUNCTION("""COMPUTED_VALUE"""),"PH175316000")</f>
        <v>PH175316000</v>
      </c>
      <c r="C242" s="8"/>
      <c r="D242" s="8"/>
      <c r="E242" s="8"/>
      <c r="F242" s="8"/>
      <c r="G242" s="8"/>
      <c r="H242" s="8"/>
      <c r="I242" s="8"/>
      <c r="J242" s="8"/>
    </row>
    <row r="243">
      <c r="A243" s="142" t="s">
        <v>230</v>
      </c>
      <c r="B243" s="142" t="str">
        <f>IFERROR(__xludf.DUMMYFUNCTION("""COMPUTED_VALUE"""),"PH015505000")</f>
        <v>PH015505000</v>
      </c>
      <c r="C243" s="142" t="str">
        <f>IFERROR(__xludf.DUMMYFUNCTION("""COMPUTED_VALUE"""),"PH071203000")</f>
        <v>PH071203000</v>
      </c>
      <c r="D243" s="8"/>
      <c r="E243" s="8"/>
      <c r="F243" s="8"/>
      <c r="G243" s="8"/>
      <c r="H243" s="8"/>
      <c r="I243" s="8"/>
      <c r="J243" s="8"/>
    </row>
    <row r="244">
      <c r="A244" s="142" t="s">
        <v>1517</v>
      </c>
      <c r="B244" s="142" t="str">
        <f>IFERROR(__xludf.DUMMYFUNCTION("""COMPUTED_VALUE"""),"PH097332000")</f>
        <v>PH097332000</v>
      </c>
      <c r="C244" s="8"/>
      <c r="D244" s="8"/>
      <c r="E244" s="8"/>
      <c r="F244" s="8"/>
      <c r="G244" s="8"/>
      <c r="H244" s="8"/>
      <c r="I244" s="8"/>
      <c r="J244" s="8"/>
    </row>
    <row r="245">
      <c r="A245" s="142" t="s">
        <v>1726</v>
      </c>
      <c r="B245" s="142" t="str">
        <f>IFERROR(__xludf.DUMMYFUNCTION("""COMPUTED_VALUE"""),"PH101802000")</f>
        <v>PH101802000</v>
      </c>
      <c r="C245" s="8"/>
      <c r="D245" s="8"/>
      <c r="E245" s="8"/>
      <c r="F245" s="8"/>
      <c r="G245" s="8"/>
      <c r="H245" s="8"/>
      <c r="I245" s="8"/>
      <c r="J245" s="8"/>
    </row>
    <row r="246">
      <c r="A246" s="142" t="s">
        <v>1272</v>
      </c>
      <c r="B246" s="142" t="str">
        <f>IFERROR(__xludf.DUMMYFUNCTION("""COMPUTED_VALUE"""),"PH045629000")</f>
        <v>PH045629000</v>
      </c>
      <c r="C246" s="142" t="str">
        <f>IFERROR(__xludf.DUMMYFUNCTION("""COMPUTED_VALUE"""),"PH086410000")</f>
        <v>PH086410000</v>
      </c>
      <c r="D246" s="8"/>
      <c r="E246" s="8"/>
      <c r="F246" s="8"/>
      <c r="G246" s="8"/>
      <c r="H246" s="8"/>
      <c r="I246" s="8"/>
      <c r="J246" s="8"/>
    </row>
    <row r="247">
      <c r="A247" s="142" t="s">
        <v>1272</v>
      </c>
      <c r="B247" s="142" t="str">
        <f>IFERROR(__xludf.DUMMYFUNCTION("""COMPUTED_VALUE"""),"PH045629000")</f>
        <v>PH045629000</v>
      </c>
      <c r="C247" s="142" t="str">
        <f>IFERROR(__xludf.DUMMYFUNCTION("""COMPUTED_VALUE"""),"PH086410000")</f>
        <v>PH086410000</v>
      </c>
      <c r="D247" s="8"/>
      <c r="E247" s="8"/>
      <c r="F247" s="8"/>
      <c r="G247" s="8"/>
      <c r="H247" s="8"/>
      <c r="I247" s="8"/>
      <c r="J247" s="8"/>
    </row>
    <row r="248">
      <c r="A248" s="142" t="s">
        <v>1272</v>
      </c>
      <c r="B248" s="142" t="str">
        <f>IFERROR(__xludf.DUMMYFUNCTION("""COMPUTED_VALUE"""),"PH045629000")</f>
        <v>PH045629000</v>
      </c>
      <c r="C248" s="142" t="str">
        <f>IFERROR(__xludf.DUMMYFUNCTION("""COMPUTED_VALUE"""),"PH086410000")</f>
        <v>PH086410000</v>
      </c>
      <c r="D248" s="8"/>
      <c r="E248" s="8"/>
      <c r="F248" s="8"/>
      <c r="G248" s="8"/>
      <c r="H248" s="8"/>
      <c r="I248" s="8"/>
      <c r="J248" s="8"/>
    </row>
    <row r="249">
      <c r="A249" s="142" t="s">
        <v>1752</v>
      </c>
      <c r="B249" s="142" t="str">
        <f>IFERROR(__xludf.DUMMYFUNCTION("""COMPUTED_VALUE"""),"PH041008000")</f>
        <v>PH041008000</v>
      </c>
      <c r="C249" s="8"/>
      <c r="D249" s="8"/>
      <c r="E249" s="8"/>
      <c r="F249" s="8"/>
      <c r="G249" s="8"/>
      <c r="H249" s="8"/>
      <c r="I249" s="8"/>
      <c r="J249" s="8"/>
    </row>
    <row r="250">
      <c r="A250" s="142" t="s">
        <v>1763</v>
      </c>
      <c r="B250" s="142" t="str">
        <f>IFERROR(__xludf.DUMMYFUNCTION("""COMPUTED_VALUE"""),"PH086416000")</f>
        <v>PH086416000</v>
      </c>
      <c r="C250" s="8"/>
      <c r="D250" s="8"/>
      <c r="E250" s="8"/>
      <c r="F250" s="8"/>
      <c r="G250" s="8"/>
      <c r="H250" s="8"/>
      <c r="I250" s="8"/>
      <c r="J250" s="8"/>
    </row>
    <row r="251">
      <c r="A251" s="142" t="s">
        <v>1752</v>
      </c>
      <c r="B251" s="142" t="str">
        <f>IFERROR(__xludf.DUMMYFUNCTION("""COMPUTED_VALUE"""),"PH041008000")</f>
        <v>PH041008000</v>
      </c>
      <c r="C251" s="8"/>
      <c r="D251" s="8"/>
      <c r="E251" s="8"/>
      <c r="F251" s="8"/>
      <c r="G251" s="8"/>
      <c r="H251" s="8"/>
      <c r="I251" s="8"/>
      <c r="J251" s="8"/>
    </row>
    <row r="252">
      <c r="A252" s="142" t="s">
        <v>221</v>
      </c>
      <c r="B252" s="142" t="str">
        <f>IFERROR(__xludf.DUMMYFUNCTION("""COMPUTED_VALUE"""),"PH015503000")</f>
        <v>PH015503000</v>
      </c>
      <c r="C252" s="8"/>
      <c r="D252" s="8"/>
      <c r="E252" s="8"/>
      <c r="F252" s="8"/>
      <c r="G252" s="8"/>
      <c r="H252" s="8"/>
      <c r="I252" s="8"/>
      <c r="J252" s="8"/>
    </row>
    <row r="253">
      <c r="A253" s="142" t="s">
        <v>1783</v>
      </c>
      <c r="B253" s="142" t="str">
        <f>IFERROR(__xludf.DUMMYFUNCTION("""COMPUTED_VALUE"""),"PH101804000")</f>
        <v>PH101804000</v>
      </c>
      <c r="C253" s="8"/>
      <c r="D253" s="8"/>
      <c r="E253" s="8"/>
      <c r="F253" s="8"/>
      <c r="G253" s="8"/>
      <c r="H253" s="8"/>
      <c r="I253" s="8"/>
      <c r="J253" s="8"/>
    </row>
    <row r="254">
      <c r="A254" s="142" t="s">
        <v>1726</v>
      </c>
      <c r="B254" s="142" t="str">
        <f>IFERROR(__xludf.DUMMYFUNCTION("""COMPUTED_VALUE"""),"PH101802000")</f>
        <v>PH101802000</v>
      </c>
      <c r="C254" s="8"/>
      <c r="D254" s="8"/>
      <c r="E254" s="8"/>
      <c r="F254" s="8"/>
      <c r="G254" s="8"/>
      <c r="H254" s="8"/>
      <c r="I254" s="8"/>
      <c r="J254" s="8"/>
    </row>
    <row r="255">
      <c r="A255" s="142" t="s">
        <v>1795</v>
      </c>
      <c r="B255" s="142" t="str">
        <f>IFERROR(__xludf.DUMMYFUNCTION("""COMPUTED_VALUE"""),"PH030808000")</f>
        <v>PH030808000</v>
      </c>
      <c r="C255" s="142" t="str">
        <f>IFERROR(__xludf.DUMMYFUNCTION("""COMPUTED_VALUE"""),"PH045809000")</f>
        <v>PH045809000</v>
      </c>
      <c r="D255" s="8"/>
      <c r="E255" s="8"/>
      <c r="F255" s="8"/>
      <c r="G255" s="8"/>
      <c r="H255" s="8"/>
      <c r="I255" s="8"/>
      <c r="J255" s="8"/>
    </row>
    <row r="256">
      <c r="A256" s="142" t="s">
        <v>1806</v>
      </c>
      <c r="B256" s="142" t="str">
        <f>IFERROR(__xludf.DUMMYFUNCTION("""COMPUTED_VALUE"""),"PH101803000")</f>
        <v>PH101803000</v>
      </c>
      <c r="C256" s="8"/>
      <c r="D256" s="8"/>
      <c r="E256" s="8"/>
      <c r="F256" s="8"/>
      <c r="G256" s="8"/>
      <c r="H256" s="8"/>
      <c r="I256" s="8"/>
      <c r="J256" s="8"/>
    </row>
    <row r="257">
      <c r="A257" s="142" t="s">
        <v>1816</v>
      </c>
      <c r="B257" s="142" t="str">
        <f>IFERROR(__xludf.DUMMYFUNCTION("""COMPUTED_VALUE"""),"PH054101000")</f>
        <v>PH054101000</v>
      </c>
      <c r="C257" s="8"/>
      <c r="D257" s="8"/>
      <c r="E257" s="8"/>
      <c r="F257" s="8"/>
      <c r="G257" s="8"/>
      <c r="H257" s="8"/>
      <c r="I257" s="8"/>
      <c r="J257" s="8"/>
    </row>
    <row r="258">
      <c r="A258" s="142" t="s">
        <v>230</v>
      </c>
      <c r="B258" s="142" t="str">
        <f>IFERROR(__xludf.DUMMYFUNCTION("""COMPUTED_VALUE"""),"PH015505000")</f>
        <v>PH015505000</v>
      </c>
      <c r="C258" s="142" t="str">
        <f>IFERROR(__xludf.DUMMYFUNCTION("""COMPUTED_VALUE"""),"PH071203000")</f>
        <v>PH071203000</v>
      </c>
      <c r="D258" s="8"/>
      <c r="E258" s="8"/>
      <c r="F258" s="8"/>
      <c r="G258" s="8"/>
      <c r="H258" s="8"/>
      <c r="I258" s="8"/>
      <c r="J258" s="8"/>
    </row>
    <row r="259">
      <c r="A259" s="142" t="s">
        <v>693</v>
      </c>
      <c r="B259" s="142" t="str">
        <f>IFERROR(__xludf.DUMMYFUNCTION("""COMPUTED_VALUE"""),"PH015514000")</f>
        <v>PH015514000</v>
      </c>
      <c r="C259" s="8"/>
      <c r="D259" s="8"/>
      <c r="E259" s="8"/>
      <c r="F259" s="8"/>
      <c r="G259" s="8"/>
      <c r="H259" s="8"/>
      <c r="I259" s="8"/>
      <c r="J259" s="8"/>
    </row>
    <row r="260">
      <c r="A260" s="142" t="s">
        <v>715</v>
      </c>
      <c r="B260" s="142" t="str">
        <f>IFERROR(__xludf.DUMMYFUNCTION("""COMPUTED_VALUE"""),"PH084802000")</f>
        <v>PH084802000</v>
      </c>
      <c r="C260" s="8"/>
      <c r="D260" s="8"/>
      <c r="E260" s="8"/>
      <c r="F260" s="8"/>
      <c r="G260" s="8"/>
      <c r="H260" s="8"/>
      <c r="I260" s="8"/>
      <c r="J260" s="8"/>
    </row>
    <row r="261">
      <c r="A261" s="142" t="s">
        <v>230</v>
      </c>
      <c r="B261" s="142" t="str">
        <f>IFERROR(__xludf.DUMMYFUNCTION("""COMPUTED_VALUE"""),"PH015505000")</f>
        <v>PH015505000</v>
      </c>
      <c r="C261" s="142" t="str">
        <f>IFERROR(__xludf.DUMMYFUNCTION("""COMPUTED_VALUE"""),"PH071203000")</f>
        <v>PH071203000</v>
      </c>
      <c r="D261" s="8"/>
      <c r="E261" s="8"/>
      <c r="F261" s="8"/>
      <c r="G261" s="8"/>
      <c r="H261" s="8"/>
      <c r="I261" s="8"/>
      <c r="J261" s="8"/>
    </row>
    <row r="262">
      <c r="A262" s="142" t="s">
        <v>693</v>
      </c>
      <c r="B262" s="142" t="str">
        <f>IFERROR(__xludf.DUMMYFUNCTION("""COMPUTED_VALUE"""),"PH015514000")</f>
        <v>PH015514000</v>
      </c>
      <c r="C262" s="8"/>
      <c r="D262" s="8"/>
      <c r="E262" s="8"/>
      <c r="F262" s="8"/>
      <c r="G262" s="8"/>
      <c r="H262" s="8"/>
      <c r="I262" s="8"/>
      <c r="J262" s="8"/>
    </row>
    <row r="263">
      <c r="A263" s="142" t="s">
        <v>195</v>
      </c>
      <c r="B263" s="142" t="str">
        <f>IFERROR(__xludf.DUMMYFUNCTION("""COMPUTED_VALUE"""),"PH072220000")</f>
        <v>PH072220000</v>
      </c>
      <c r="C263" s="8"/>
      <c r="D263" s="8"/>
      <c r="E263" s="8"/>
      <c r="F263" s="8"/>
      <c r="G263" s="8"/>
      <c r="H263" s="8"/>
      <c r="I263" s="8"/>
      <c r="J263" s="8"/>
    </row>
    <row r="264">
      <c r="A264" s="142" t="s">
        <v>216</v>
      </c>
      <c r="B264" s="142" t="str">
        <f>IFERROR(__xludf.DUMMYFUNCTION("""COMPUTED_VALUE"""),"PH072226000")</f>
        <v>PH072226000</v>
      </c>
      <c r="C264" s="8"/>
      <c r="D264" s="8"/>
      <c r="E264" s="8"/>
      <c r="F264" s="8"/>
      <c r="G264" s="8"/>
      <c r="H264" s="8"/>
      <c r="I264" s="8"/>
      <c r="J264" s="8"/>
    </row>
    <row r="265">
      <c r="A265" s="142" t="s">
        <v>1218</v>
      </c>
      <c r="B265" s="142" t="str">
        <f>IFERROR(__xludf.DUMMYFUNCTION("""COMPUTED_VALUE"""),"PH157002000")</f>
        <v>PH157002000</v>
      </c>
      <c r="C265" s="8"/>
      <c r="D265" s="8"/>
      <c r="E265" s="8"/>
      <c r="F265" s="8"/>
      <c r="G265" s="8"/>
      <c r="H265" s="8"/>
      <c r="I265" s="8"/>
      <c r="J265" s="8"/>
    </row>
    <row r="266">
      <c r="A266" s="142" t="s">
        <v>1875</v>
      </c>
      <c r="B266" s="142" t="str">
        <f>IFERROR(__xludf.DUMMYFUNCTION("""COMPUTED_VALUE"""),"PH050506000")</f>
        <v>PH050506000</v>
      </c>
      <c r="C266" s="8"/>
      <c r="D266" s="8"/>
      <c r="E266" s="8"/>
      <c r="F266" s="8"/>
      <c r="G266" s="8"/>
      <c r="H266" s="8"/>
      <c r="I266" s="8"/>
      <c r="J266" s="8"/>
    </row>
    <row r="267">
      <c r="A267" s="142" t="s">
        <v>1890</v>
      </c>
      <c r="B267" s="142" t="str">
        <f>IFERROR(__xludf.DUMMYFUNCTION("""COMPUTED_VALUE"""),"PH041013000")</f>
        <v>PH041013000</v>
      </c>
      <c r="C267" s="8"/>
      <c r="D267" s="8"/>
      <c r="E267" s="8"/>
      <c r="F267" s="8"/>
      <c r="G267" s="8"/>
      <c r="H267" s="8"/>
      <c r="I267" s="8"/>
      <c r="J267" s="8"/>
    </row>
    <row r="268">
      <c r="A268" s="142" t="s">
        <v>1255</v>
      </c>
      <c r="B268" s="142" t="str">
        <f>IFERROR(__xludf.DUMMYFUNCTION("""COMPUTED_VALUE"""),"PH015523000")</f>
        <v>PH015523000</v>
      </c>
      <c r="C268" s="142" t="str">
        <f>IFERROR(__xludf.DUMMYFUNCTION("""COMPUTED_VALUE"""),"PH041016000")</f>
        <v>PH041016000</v>
      </c>
      <c r="D268" s="142" t="str">
        <f>IFERROR(__xludf.DUMMYFUNCTION("""COMPUTED_VALUE"""),"PH071231000")</f>
        <v>PH071231000</v>
      </c>
      <c r="E268" s="142" t="str">
        <f>IFERROR(__xludf.DUMMYFUNCTION("""COMPUTED_VALUE"""),"PH118203000")</f>
        <v>PH118203000</v>
      </c>
      <c r="F268" s="8"/>
      <c r="G268" s="8"/>
      <c r="H268" s="8"/>
      <c r="I268" s="8"/>
      <c r="J268" s="8"/>
    </row>
    <row r="269">
      <c r="A269" s="142" t="s">
        <v>1911</v>
      </c>
      <c r="B269" s="142" t="str">
        <f>IFERROR(__xludf.DUMMYFUNCTION("""COMPUTED_VALUE"""),"PH168502000")</f>
        <v>PH168502000</v>
      </c>
      <c r="C269" s="8"/>
      <c r="D269" s="8"/>
      <c r="E269" s="8"/>
      <c r="F269" s="8"/>
      <c r="G269" s="8"/>
      <c r="H269" s="8"/>
      <c r="I269" s="8"/>
      <c r="J269" s="8"/>
    </row>
    <row r="270">
      <c r="A270" s="142" t="s">
        <v>1255</v>
      </c>
      <c r="B270" s="142" t="str">
        <f>IFERROR(__xludf.DUMMYFUNCTION("""COMPUTED_VALUE"""),"PH015523000")</f>
        <v>PH015523000</v>
      </c>
      <c r="C270" s="142" t="str">
        <f>IFERROR(__xludf.DUMMYFUNCTION("""COMPUTED_VALUE"""),"PH041016000")</f>
        <v>PH041016000</v>
      </c>
      <c r="D270" s="142" t="str">
        <f>IFERROR(__xludf.DUMMYFUNCTION("""COMPUTED_VALUE"""),"PH071231000")</f>
        <v>PH071231000</v>
      </c>
      <c r="E270" s="142" t="str">
        <f>IFERROR(__xludf.DUMMYFUNCTION("""COMPUTED_VALUE"""),"PH118203000")</f>
        <v>PH118203000</v>
      </c>
      <c r="F270" s="8"/>
      <c r="G270" s="8"/>
      <c r="H270" s="8"/>
      <c r="I270" s="8"/>
      <c r="J270" s="8"/>
    </row>
    <row r="271">
      <c r="A271" s="142" t="s">
        <v>447</v>
      </c>
      <c r="B271" s="142" t="str">
        <f>IFERROR(__xludf.DUMMYFUNCTION("""COMPUTED_VALUE"""),"PH013313000")</f>
        <v>PH013313000</v>
      </c>
      <c r="C271" s="142" t="str">
        <f>IFERROR(__xludf.DUMMYFUNCTION("""COMPUTED_VALUE"""),"PH041021000")</f>
        <v>PH041021000</v>
      </c>
      <c r="D271" s="142" t="str">
        <f>IFERROR(__xludf.DUMMYFUNCTION("""COMPUTED_VALUE"""),"PH042117000")</f>
        <v>PH042117000</v>
      </c>
      <c r="E271" s="142" t="str">
        <f>IFERROR(__xludf.DUMMYFUNCTION("""COMPUTED_VALUE"""),"PH084816000")</f>
        <v>PH084816000</v>
      </c>
      <c r="F271" s="142" t="str">
        <f>IFERROR(__xludf.DUMMYFUNCTION("""COMPUTED_VALUE"""),"PH160307000")</f>
        <v>PH160307000</v>
      </c>
      <c r="G271" s="8"/>
      <c r="H271" s="8"/>
      <c r="I271" s="8"/>
      <c r="J271" s="8"/>
    </row>
    <row r="272">
      <c r="A272" s="142" t="s">
        <v>1291</v>
      </c>
      <c r="B272" s="142" t="str">
        <f>IFERROR(__xludf.DUMMYFUNCTION("""COMPUTED_VALUE"""),"PH037114000")</f>
        <v>PH037114000</v>
      </c>
      <c r="C272" s="8"/>
      <c r="D272" s="8"/>
      <c r="E272" s="8"/>
      <c r="F272" s="8"/>
      <c r="G272" s="8"/>
      <c r="H272" s="8"/>
      <c r="I272" s="8"/>
      <c r="J272" s="8"/>
    </row>
    <row r="273">
      <c r="A273" s="142" t="s">
        <v>1948</v>
      </c>
      <c r="B273" s="142" t="str">
        <f>IFERROR(__xludf.DUMMYFUNCTION("""COMPUTED_VALUE"""),"PH175211000")</f>
        <v>PH175211000</v>
      </c>
      <c r="C273" s="8"/>
      <c r="D273" s="8"/>
      <c r="E273" s="8"/>
      <c r="F273" s="8"/>
      <c r="G273" s="8"/>
      <c r="H273" s="8"/>
      <c r="I273" s="8"/>
      <c r="J273" s="8"/>
    </row>
    <row r="274">
      <c r="A274" s="142" t="s">
        <v>1958</v>
      </c>
      <c r="B274" s="142" t="str">
        <f>IFERROR(__xludf.DUMMYFUNCTION("""COMPUTED_VALUE"""),"PH041015000")</f>
        <v>PH041015000</v>
      </c>
      <c r="C274" s="8"/>
      <c r="D274" s="8"/>
      <c r="E274" s="8"/>
      <c r="F274" s="8"/>
      <c r="G274" s="8"/>
      <c r="H274" s="8"/>
      <c r="I274" s="8"/>
      <c r="J274" s="8"/>
    </row>
    <row r="275">
      <c r="A275" s="142" t="s">
        <v>1964</v>
      </c>
      <c r="B275" s="142" t="str">
        <f>IFERROR(__xludf.DUMMYFUNCTION("""COMPUTED_VALUE"""),"PH012921000")</f>
        <v>PH012921000</v>
      </c>
      <c r="C275" s="142" t="str">
        <f>IFERROR(__xludf.DUMMYFUNCTION("""COMPUTED_VALUE"""),"PH175319000")</f>
        <v>PH175319000</v>
      </c>
      <c r="D275" s="142" t="str">
        <f>IFERROR(__xludf.DUMMYFUNCTION("""COMPUTED_VALUE"""),"PH051609000")</f>
        <v>PH051609000</v>
      </c>
      <c r="E275" s="142" t="str">
        <f>IFERROR(__xludf.DUMMYFUNCTION("""COMPUTED_VALUE"""),"PH084821000")</f>
        <v>PH084821000</v>
      </c>
      <c r="F275" s="8"/>
      <c r="G275" s="8"/>
      <c r="H275" s="8"/>
      <c r="I275" s="8"/>
      <c r="J275" s="8"/>
    </row>
    <row r="276">
      <c r="A276" s="142" t="s">
        <v>1172</v>
      </c>
      <c r="B276" s="142" t="str">
        <f>IFERROR(__xludf.DUMMYFUNCTION("""COMPUTED_VALUE"""),"PH045605000")</f>
        <v>PH045605000</v>
      </c>
      <c r="C276" s="142" t="str">
        <f>IFERROR(__xludf.DUMMYFUNCTION("""COMPUTED_VALUE"""),"PH174002000")</f>
        <v>PH174002000</v>
      </c>
      <c r="D276" s="142" t="str">
        <f>IFERROR(__xludf.DUMMYFUNCTION("""COMPUTED_VALUE"""),"PH067901000")</f>
        <v>PH067901000</v>
      </c>
      <c r="E276" s="142" t="str">
        <f>IFERROR(__xludf.DUMMYFUNCTION("""COMPUTED_VALUE"""),"PH071209000")</f>
        <v>PH071209000</v>
      </c>
      <c r="F276" s="142" t="str">
        <f>IFERROR(__xludf.DUMMYFUNCTION("""COMPUTED_VALUE"""),"PH160201000")</f>
        <v>PH160201000</v>
      </c>
      <c r="G276" s="8"/>
      <c r="H276" s="8"/>
      <c r="I276" s="8"/>
      <c r="J276" s="8"/>
    </row>
    <row r="277">
      <c r="A277" s="142" t="s">
        <v>1979</v>
      </c>
      <c r="B277" s="142" t="str">
        <f>IFERROR(__xludf.DUMMYFUNCTION("""COMPUTED_VALUE"""),"PH030810000")</f>
        <v>PH030810000</v>
      </c>
      <c r="C277" s="8"/>
      <c r="D277" s="8"/>
      <c r="E277" s="8"/>
      <c r="F277" s="8"/>
      <c r="G277" s="8"/>
      <c r="H277" s="8"/>
      <c r="I277" s="8"/>
      <c r="J277" s="8"/>
    </row>
    <row r="278">
      <c r="A278" s="142" t="s">
        <v>1987</v>
      </c>
      <c r="B278" s="142" t="str">
        <f>IFERROR(__xludf.DUMMYFUNCTION("""COMPUTED_VALUE"""),"PH015534000")</f>
        <v>PH015534000</v>
      </c>
      <c r="C278" s="142" t="str">
        <f>IFERROR(__xludf.DUMMYFUNCTION("""COMPUTED_VALUE"""),"PH054119000")</f>
        <v>PH054119000</v>
      </c>
      <c r="D278" s="8"/>
      <c r="E278" s="8"/>
      <c r="F278" s="8"/>
      <c r="G278" s="8"/>
      <c r="H278" s="8"/>
      <c r="I278" s="8"/>
      <c r="J278" s="8"/>
    </row>
    <row r="279">
      <c r="A279" s="142" t="s">
        <v>1998</v>
      </c>
      <c r="B279" s="142" t="str">
        <f>IFERROR(__xludf.DUMMYFUNCTION("""COMPUTED_VALUE"""),"PH126303000")</f>
        <v>PH126303000</v>
      </c>
      <c r="C279" s="8"/>
      <c r="D279" s="8"/>
      <c r="E279" s="8"/>
      <c r="F279" s="8"/>
      <c r="G279" s="8"/>
      <c r="H279" s="8"/>
      <c r="I279" s="8"/>
      <c r="J279" s="8"/>
    </row>
    <row r="280">
      <c r="A280" s="142" t="s">
        <v>2011</v>
      </c>
      <c r="B280" s="142" t="str">
        <f>IFERROR(__xludf.DUMMYFUNCTION("""COMPUTED_VALUE"""),"PH128001000")</f>
        <v>PH128001000</v>
      </c>
      <c r="C280" s="8"/>
      <c r="D280" s="8"/>
      <c r="E280" s="8"/>
      <c r="F280" s="8"/>
      <c r="G280" s="8"/>
      <c r="H280" s="8"/>
      <c r="I280" s="8"/>
      <c r="J280" s="8"/>
    </row>
    <row r="281">
      <c r="A281" s="142" t="s">
        <v>2021</v>
      </c>
      <c r="B281" s="142" t="str">
        <f>IFERROR(__xludf.DUMMYFUNCTION("""COMPUTED_VALUE"""),"PH104326000")</f>
        <v>PH104326000</v>
      </c>
      <c r="C281" s="8"/>
      <c r="D281" s="8"/>
      <c r="E281" s="8"/>
      <c r="F281" s="8"/>
      <c r="G281" s="8"/>
      <c r="H281" s="8"/>
      <c r="I281" s="8"/>
      <c r="J281" s="8"/>
    </row>
    <row r="282">
      <c r="A282" s="142" t="s">
        <v>2033</v>
      </c>
      <c r="B282" s="142" t="str">
        <f>IFERROR(__xludf.DUMMYFUNCTION("""COMPUTED_VALUE"""),"PH013314000")</f>
        <v>PH013314000</v>
      </c>
      <c r="C282" s="142" t="str">
        <f>IFERROR(__xludf.DUMMYFUNCTION("""COMPUTED_VALUE"""),"PH035416000")</f>
        <v>PH035416000</v>
      </c>
      <c r="D282" s="8"/>
      <c r="E282" s="8"/>
      <c r="F282" s="8"/>
      <c r="G282" s="8"/>
      <c r="H282" s="8"/>
      <c r="I282" s="8"/>
      <c r="J282" s="8"/>
    </row>
    <row r="283">
      <c r="A283" s="142" t="s">
        <v>2047</v>
      </c>
      <c r="B283" s="142" t="str">
        <f>IFERROR(__xludf.DUMMYFUNCTION("""COMPUTED_VALUE"""),"PH041033000")</f>
        <v>PH041033000</v>
      </c>
      <c r="C283" s="8"/>
      <c r="D283" s="8"/>
      <c r="E283" s="8"/>
      <c r="F283" s="8"/>
      <c r="G283" s="8"/>
      <c r="H283" s="8"/>
      <c r="I283" s="8"/>
      <c r="J283" s="8"/>
    </row>
    <row r="284">
      <c r="A284" s="142" t="s">
        <v>980</v>
      </c>
      <c r="B284" s="142" t="str">
        <f>IFERROR(__xludf.DUMMYFUNCTION("""COMPUTED_VALUE"""),"PH112317000")</f>
        <v>PH112317000</v>
      </c>
      <c r="C284" s="8"/>
      <c r="D284" s="8"/>
      <c r="E284" s="8"/>
      <c r="F284" s="8"/>
      <c r="G284" s="8"/>
      <c r="H284" s="8"/>
      <c r="I284" s="8"/>
      <c r="J284" s="8"/>
    </row>
    <row r="285">
      <c r="A285" s="142" t="s">
        <v>2066</v>
      </c>
      <c r="B285" s="142" t="str">
        <f>IFERROR(__xludf.DUMMYFUNCTION("""COMPUTED_VALUE"""),"PH036905000")</f>
        <v>PH036905000</v>
      </c>
      <c r="C285" s="142" t="str">
        <f>IFERROR(__xludf.DUMMYFUNCTION("""COMPUTED_VALUE"""),"PH175905000")</f>
        <v>PH175905000</v>
      </c>
      <c r="D285" s="142" t="str">
        <f>IFERROR(__xludf.DUMMYFUNCTION("""COMPUTED_VALUE"""),"PH063015000")</f>
        <v>PH063015000</v>
      </c>
      <c r="E285" s="142" t="str">
        <f>IFERROR(__xludf.DUMMYFUNCTION("""COMPUTED_VALUE"""),"PH104206000")</f>
        <v>PH104206000</v>
      </c>
      <c r="F285" s="8"/>
      <c r="G285" s="8"/>
      <c r="H285" s="8"/>
      <c r="I285" s="8"/>
      <c r="J285" s="8"/>
    </row>
    <row r="286">
      <c r="A286" s="142" t="s">
        <v>216</v>
      </c>
      <c r="B286" s="142" t="str">
        <f>IFERROR(__xludf.DUMMYFUNCTION("""COMPUTED_VALUE"""),"PH072226000")</f>
        <v>PH072226000</v>
      </c>
      <c r="C286" s="8"/>
      <c r="D286" s="8"/>
      <c r="E286" s="8"/>
      <c r="F286" s="8"/>
      <c r="G286" s="8"/>
      <c r="H286" s="8"/>
      <c r="I286" s="8"/>
      <c r="J286" s="8"/>
    </row>
    <row r="287">
      <c r="A287" s="142" t="s">
        <v>1255</v>
      </c>
      <c r="B287" s="142" t="str">
        <f>IFERROR(__xludf.DUMMYFUNCTION("""COMPUTED_VALUE"""),"PH015523000")</f>
        <v>PH015523000</v>
      </c>
      <c r="C287" s="142" t="str">
        <f>IFERROR(__xludf.DUMMYFUNCTION("""COMPUTED_VALUE"""),"PH041016000")</f>
        <v>PH041016000</v>
      </c>
      <c r="D287" s="142" t="str">
        <f>IFERROR(__xludf.DUMMYFUNCTION("""COMPUTED_VALUE"""),"PH071231000")</f>
        <v>PH071231000</v>
      </c>
      <c r="E287" s="142" t="str">
        <f>IFERROR(__xludf.DUMMYFUNCTION("""COMPUTED_VALUE"""),"PH118203000")</f>
        <v>PH118203000</v>
      </c>
      <c r="F287" s="8"/>
      <c r="G287" s="8"/>
      <c r="H287" s="8"/>
      <c r="I287" s="8"/>
      <c r="J287" s="8"/>
    </row>
    <row r="288">
      <c r="A288" s="142" t="s">
        <v>173</v>
      </c>
      <c r="B288" s="142" t="str">
        <f>IFERROR(__xludf.DUMMYFUNCTION("""COMPUTED_VALUE"""),"PH104319000")</f>
        <v>PH104319000</v>
      </c>
      <c r="C288" s="8"/>
      <c r="D288" s="8"/>
      <c r="E288" s="8"/>
      <c r="F288" s="8"/>
      <c r="G288" s="8"/>
      <c r="H288" s="8"/>
      <c r="I288" s="8"/>
      <c r="J288" s="8"/>
    </row>
    <row r="289">
      <c r="A289" s="142" t="s">
        <v>1752</v>
      </c>
      <c r="B289" s="142" t="str">
        <f>IFERROR(__xludf.DUMMYFUNCTION("""COMPUTED_VALUE"""),"PH041008000")</f>
        <v>PH041008000</v>
      </c>
      <c r="C289" s="8"/>
      <c r="D289" s="8"/>
      <c r="E289" s="8"/>
      <c r="F289" s="8"/>
      <c r="G289" s="8"/>
      <c r="H289" s="8"/>
      <c r="I289" s="8"/>
      <c r="J289" s="8"/>
    </row>
    <row r="290">
      <c r="A290" s="142" t="s">
        <v>2101</v>
      </c>
      <c r="B290" s="142" t="str">
        <f>IFERROR(__xludf.DUMMYFUNCTION("""COMPUTED_VALUE"""),"PH071235000")</f>
        <v>PH071235000</v>
      </c>
      <c r="C290" s="8"/>
      <c r="D290" s="8"/>
      <c r="E290" s="8"/>
      <c r="F290" s="8"/>
      <c r="G290" s="8"/>
      <c r="H290" s="8"/>
      <c r="I290" s="8"/>
      <c r="J290" s="8"/>
    </row>
    <row r="291">
      <c r="A291" s="142" t="s">
        <v>420</v>
      </c>
      <c r="B291" s="142" t="str">
        <f>IFERROR(__xludf.DUMMYFUNCTION("""COMPUTED_VALUE"""),"PH012924000")</f>
        <v>PH012924000</v>
      </c>
      <c r="C291" s="142" t="str">
        <f>IFERROR(__xludf.DUMMYFUNCTION("""COMPUTED_VALUE"""),"PH037113000")</f>
        <v>PH037113000</v>
      </c>
      <c r="D291" s="142" t="str">
        <f>IFERROR(__xludf.DUMMYFUNCTION("""COMPUTED_VALUE"""),"PH043426000")</f>
        <v>PH043426000</v>
      </c>
      <c r="E291" s="142" t="str">
        <f>IFERROR(__xludf.DUMMYFUNCTION("""COMPUTED_VALUE"""),"PH174005000")</f>
        <v>PH174005000</v>
      </c>
      <c r="F291" s="142" t="str">
        <f>IFERROR(__xludf.DUMMYFUNCTION("""COMPUTED_VALUE"""),"PH175111000")</f>
        <v>PH175111000</v>
      </c>
      <c r="G291" s="142" t="str">
        <f>IFERROR(__xludf.DUMMYFUNCTION("""COMPUTED_VALUE"""),"PH112412000")</f>
        <v>PH112412000</v>
      </c>
      <c r="H291" s="8"/>
      <c r="I291" s="8"/>
      <c r="J291" s="8"/>
    </row>
    <row r="292">
      <c r="A292" s="142" t="s">
        <v>2114</v>
      </c>
      <c r="B292" s="142" t="str">
        <f>IFERROR(__xludf.DUMMYFUNCTION("""COMPUTED_VALUE"""),"PH045813000")</f>
        <v>PH045813000</v>
      </c>
      <c r="C292" s="142" t="str">
        <f>IFERROR(__xludf.DUMMYFUNCTION("""COMPUTED_VALUE"""),"PH175320000")</f>
        <v>PH175320000</v>
      </c>
      <c r="D292" s="8"/>
      <c r="E292" s="8"/>
      <c r="F292" s="8"/>
      <c r="G292" s="8"/>
      <c r="H292" s="8"/>
      <c r="I292" s="8"/>
      <c r="J292" s="8"/>
    </row>
    <row r="293">
      <c r="A293" s="142" t="s">
        <v>2128</v>
      </c>
      <c r="B293" s="142" t="str">
        <f>IFERROR(__xludf.DUMMYFUNCTION("""COMPUTED_VALUE"""),"PH104303000")</f>
        <v>PH104303000</v>
      </c>
      <c r="C293" s="8"/>
      <c r="D293" s="8"/>
      <c r="E293" s="8"/>
      <c r="F293" s="8"/>
      <c r="G293" s="8"/>
      <c r="H293" s="8"/>
      <c r="I293" s="8"/>
      <c r="J293" s="8"/>
    </row>
    <row r="294">
      <c r="A294" s="142" t="s">
        <v>1752</v>
      </c>
      <c r="B294" s="142" t="str">
        <f>IFERROR(__xludf.DUMMYFUNCTION("""COMPUTED_VALUE"""),"PH041008000")</f>
        <v>PH041008000</v>
      </c>
      <c r="C294" s="8"/>
      <c r="D294" s="8"/>
      <c r="E294" s="8"/>
      <c r="F294" s="8"/>
      <c r="G294" s="8"/>
      <c r="H294" s="8"/>
      <c r="I294" s="8"/>
      <c r="J294" s="8"/>
    </row>
    <row r="295">
      <c r="A295" s="142" t="s">
        <v>1296</v>
      </c>
      <c r="B295" s="142" t="str">
        <f>IFERROR(__xludf.DUMMYFUNCTION("""COMPUTED_VALUE"""),"PH060601000")</f>
        <v>PH060601000</v>
      </c>
      <c r="C295" s="8"/>
      <c r="D295" s="8"/>
      <c r="E295" s="8"/>
      <c r="F295" s="8"/>
      <c r="G295" s="8"/>
      <c r="H295" s="8"/>
      <c r="I295" s="8"/>
      <c r="J295" s="8"/>
    </row>
    <row r="296">
      <c r="A296" s="142" t="s">
        <v>2151</v>
      </c>
      <c r="B296" s="142" t="str">
        <f>IFERROR(__xludf.DUMMYFUNCTION("""COMPUTED_VALUE"""),"PH071201000")</f>
        <v>PH071201000</v>
      </c>
      <c r="C296" s="8"/>
      <c r="D296" s="8"/>
      <c r="E296" s="8"/>
      <c r="F296" s="8"/>
      <c r="G296" s="8"/>
      <c r="H296" s="8"/>
      <c r="I296" s="8"/>
      <c r="J296" s="8"/>
    </row>
    <row r="297">
      <c r="A297" s="142" t="s">
        <v>2164</v>
      </c>
      <c r="B297" s="142" t="str">
        <f>IFERROR(__xludf.DUMMYFUNCTION("""COMPUTED_VALUE"""),"PH071228000")</f>
        <v>PH071228000</v>
      </c>
      <c r="C297" s="8"/>
      <c r="D297" s="8"/>
      <c r="E297" s="8"/>
      <c r="F297" s="8"/>
      <c r="G297" s="8"/>
      <c r="H297" s="8"/>
      <c r="I297" s="8"/>
      <c r="J297" s="8"/>
    </row>
    <row r="298">
      <c r="A298" s="142" t="s">
        <v>1108</v>
      </c>
      <c r="B298" s="142" t="str">
        <f>IFERROR(__xludf.DUMMYFUNCTION("""COMPUTED_VALUE"""),"PH071233000")</f>
        <v>PH071233000</v>
      </c>
      <c r="C298" s="8"/>
      <c r="D298" s="8"/>
      <c r="E298" s="8"/>
      <c r="F298" s="8"/>
      <c r="G298" s="8"/>
      <c r="H298" s="8"/>
      <c r="I298" s="8"/>
      <c r="J298" s="8"/>
    </row>
    <row r="299">
      <c r="A299" s="142" t="s">
        <v>2172</v>
      </c>
      <c r="B299" s="142" t="str">
        <f>IFERROR(__xludf.DUMMYFUNCTION("""COMPUTED_VALUE"""),"PH071243000")</f>
        <v>PH071243000</v>
      </c>
      <c r="C299" s="8"/>
      <c r="D299" s="8"/>
      <c r="E299" s="8"/>
      <c r="F299" s="8"/>
      <c r="G299" s="8"/>
      <c r="H299" s="8"/>
      <c r="I299" s="8"/>
      <c r="J299" s="8"/>
    </row>
    <row r="300">
      <c r="A300" s="142" t="s">
        <v>2176</v>
      </c>
      <c r="B300" s="142" t="str">
        <f>IFERROR(__xludf.DUMMYFUNCTION("""COMPUTED_VALUE"""),"PH072206000")</f>
        <v>PH072206000</v>
      </c>
      <c r="C300" s="8"/>
      <c r="D300" s="8"/>
      <c r="E300" s="8"/>
      <c r="F300" s="8"/>
      <c r="G300" s="8"/>
      <c r="H300" s="8"/>
      <c r="I300" s="8"/>
      <c r="J300" s="8"/>
    </row>
    <row r="301">
      <c r="A301" s="142" t="s">
        <v>2181</v>
      </c>
      <c r="B301" s="142" t="str">
        <f>IFERROR(__xludf.DUMMYFUNCTION("""COMPUTED_VALUE"""),"PH072204000")</f>
        <v>PH072204000</v>
      </c>
      <c r="C301" s="8"/>
      <c r="D301" s="8"/>
      <c r="E301" s="8"/>
      <c r="F301" s="8"/>
      <c r="G301" s="8"/>
      <c r="H301" s="8"/>
      <c r="I301" s="8"/>
      <c r="J301" s="8"/>
    </row>
    <row r="302">
      <c r="A302" s="142" t="s">
        <v>2185</v>
      </c>
      <c r="B302" s="142" t="str">
        <f>IFERROR(__xludf.DUMMYFUNCTION("""COMPUTED_VALUE"""),"PH072210000")</f>
        <v>PH072210000</v>
      </c>
      <c r="C302" s="8"/>
      <c r="D302" s="8"/>
      <c r="E302" s="8"/>
      <c r="F302" s="8"/>
      <c r="G302" s="8"/>
      <c r="H302" s="8"/>
      <c r="I302" s="8"/>
      <c r="J302" s="8"/>
    </row>
    <row r="303">
      <c r="A303" s="142" t="s">
        <v>2189</v>
      </c>
      <c r="B303" s="142" t="str">
        <f>IFERROR(__xludf.DUMMYFUNCTION("""COMPUTED_VALUE"""),"PH150707000")</f>
        <v>PH150707000</v>
      </c>
      <c r="C303" s="142" t="str">
        <f>IFERROR(__xludf.DUMMYFUNCTION("""COMPUTED_VALUE"""),"PH072252000")</f>
        <v>PH072252000</v>
      </c>
      <c r="D303" s="8"/>
      <c r="E303" s="8"/>
      <c r="F303" s="8"/>
      <c r="G303" s="8"/>
      <c r="H303" s="8"/>
      <c r="I303" s="8"/>
      <c r="J303" s="8"/>
    </row>
    <row r="304">
      <c r="A304" s="142" t="s">
        <v>2193</v>
      </c>
      <c r="B304" s="142" t="str">
        <f>IFERROR(__xludf.DUMMYFUNCTION("""COMPUTED_VALUE"""),"PH074602000")</f>
        <v>PH074602000</v>
      </c>
      <c r="C304" s="8"/>
      <c r="D304" s="8"/>
      <c r="E304" s="8"/>
      <c r="F304" s="8"/>
      <c r="G304" s="8"/>
      <c r="H304" s="8"/>
      <c r="I304" s="8"/>
      <c r="J304" s="8"/>
    </row>
    <row r="305">
      <c r="A305" s="142" t="s">
        <v>2198</v>
      </c>
      <c r="B305" s="142" t="str">
        <f>IFERROR(__xludf.DUMMYFUNCTION("""COMPUTED_VALUE"""),"PH074607000")</f>
        <v>PH074607000</v>
      </c>
      <c r="C305" s="8"/>
      <c r="D305" s="8"/>
      <c r="E305" s="8"/>
      <c r="F305" s="8"/>
      <c r="G305" s="8"/>
      <c r="H305" s="8"/>
      <c r="I305" s="8"/>
      <c r="J305" s="8"/>
    </row>
    <row r="306">
      <c r="A306" s="142" t="s">
        <v>2202</v>
      </c>
      <c r="B306" s="142" t="str">
        <f>IFERROR(__xludf.DUMMYFUNCTION("""COMPUTED_VALUE"""),"PH074615000")</f>
        <v>PH074615000</v>
      </c>
      <c r="C306" s="8"/>
      <c r="D306" s="8"/>
      <c r="E306" s="8"/>
      <c r="F306" s="8"/>
      <c r="G306" s="8"/>
      <c r="H306" s="8"/>
      <c r="I306" s="8"/>
      <c r="J306" s="8"/>
    </row>
    <row r="307">
      <c r="A307" s="142" t="s">
        <v>2206</v>
      </c>
      <c r="B307" s="142" t="str">
        <f>IFERROR(__xludf.DUMMYFUNCTION("""COMPUTED_VALUE"""),"PH074622000")</f>
        <v>PH074622000</v>
      </c>
      <c r="C307" s="8"/>
      <c r="D307" s="8"/>
      <c r="E307" s="8"/>
      <c r="F307" s="8"/>
      <c r="G307" s="8"/>
      <c r="H307" s="8"/>
      <c r="I307" s="8"/>
      <c r="J307" s="8"/>
    </row>
    <row r="308">
      <c r="A308" s="142" t="s">
        <v>2210</v>
      </c>
      <c r="B308" s="142" t="str">
        <f>IFERROR(__xludf.DUMMYFUNCTION("""COMPUTED_VALUE"""),"PH076103000")</f>
        <v>PH076103000</v>
      </c>
      <c r="C308" s="8"/>
      <c r="D308" s="8"/>
      <c r="E308" s="8"/>
      <c r="F308" s="8"/>
      <c r="G308" s="8"/>
      <c r="H308" s="8"/>
      <c r="I308" s="8"/>
      <c r="J308" s="8"/>
    </row>
    <row r="309">
      <c r="A309" s="142" t="s">
        <v>827</v>
      </c>
      <c r="B309" s="142" t="str">
        <f>IFERROR(__xludf.DUMMYFUNCTION("""COMPUTED_VALUE"""),"PH076104000")</f>
        <v>PH076104000</v>
      </c>
      <c r="C309" s="8"/>
      <c r="D309" s="8"/>
      <c r="E309" s="8"/>
      <c r="F309" s="8"/>
      <c r="G309" s="8"/>
      <c r="H309" s="8"/>
      <c r="I309" s="8"/>
      <c r="J309" s="8"/>
    </row>
    <row r="310">
      <c r="A310" s="142" t="s">
        <v>980</v>
      </c>
      <c r="B310" s="142" t="str">
        <f>IFERROR(__xludf.DUMMYFUNCTION("""COMPUTED_VALUE"""),"PH112317000")</f>
        <v>PH112317000</v>
      </c>
      <c r="C310" s="8"/>
      <c r="D310" s="8"/>
      <c r="E310" s="8"/>
      <c r="F310" s="8"/>
      <c r="G310" s="8"/>
      <c r="H310" s="8"/>
      <c r="I310" s="8"/>
      <c r="J310" s="8"/>
    </row>
    <row r="311">
      <c r="A311" s="142" t="s">
        <v>2222</v>
      </c>
      <c r="B311" s="142" t="str">
        <f>IFERROR(__xludf.DUMMYFUNCTION("""COMPUTED_VALUE"""),"PH072221000")</f>
        <v>PH072221000</v>
      </c>
      <c r="C311" s="8"/>
      <c r="D311" s="8"/>
      <c r="E311" s="8"/>
      <c r="F311" s="8"/>
      <c r="G311" s="8"/>
      <c r="H311" s="8"/>
      <c r="I311" s="8"/>
      <c r="J311" s="8"/>
    </row>
    <row r="312">
      <c r="A312" s="142" t="s">
        <v>1199</v>
      </c>
      <c r="B312" s="142" t="str">
        <f>IFERROR(__xludf.DUMMYFUNCTION("""COMPUTED_VALUE"""),"PH060417000")</f>
        <v>PH060417000</v>
      </c>
      <c r="C312" s="8"/>
      <c r="D312" s="8"/>
      <c r="E312" s="8"/>
      <c r="F312" s="8"/>
      <c r="G312" s="8"/>
      <c r="H312" s="8"/>
      <c r="I312" s="8"/>
      <c r="J312" s="8"/>
    </row>
    <row r="313">
      <c r="A313" s="142" t="s">
        <v>980</v>
      </c>
      <c r="B313" s="142" t="str">
        <f>IFERROR(__xludf.DUMMYFUNCTION("""COMPUTED_VALUE"""),"PH112317000")</f>
        <v>PH112317000</v>
      </c>
      <c r="C313" s="8"/>
      <c r="D313" s="8"/>
      <c r="E313" s="8"/>
      <c r="F313" s="8"/>
      <c r="G313" s="8"/>
      <c r="H313" s="8"/>
      <c r="I313" s="8"/>
      <c r="J313" s="8"/>
    </row>
    <row r="314">
      <c r="A314" s="142" t="s">
        <v>2252</v>
      </c>
      <c r="B314" s="142" t="str">
        <f>IFERROR(__xludf.DUMMYFUNCTION("""COMPUTED_VALUE"""),"PH103510000")</f>
        <v>PH103510000</v>
      </c>
      <c r="C314" s="8"/>
      <c r="D314" s="8"/>
      <c r="E314" s="8"/>
      <c r="F314" s="8"/>
      <c r="G314" s="8"/>
      <c r="H314" s="8"/>
      <c r="I314" s="8"/>
      <c r="J314" s="8"/>
    </row>
    <row r="315">
      <c r="A315" s="142" t="s">
        <v>1255</v>
      </c>
      <c r="B315" s="142" t="str">
        <f>IFERROR(__xludf.DUMMYFUNCTION("""COMPUTED_VALUE"""),"PH015523000")</f>
        <v>PH015523000</v>
      </c>
      <c r="C315" s="142" t="str">
        <f>IFERROR(__xludf.DUMMYFUNCTION("""COMPUTED_VALUE"""),"PH041016000")</f>
        <v>PH041016000</v>
      </c>
      <c r="D315" s="142" t="str">
        <f>IFERROR(__xludf.DUMMYFUNCTION("""COMPUTED_VALUE"""),"PH071231000")</f>
        <v>PH071231000</v>
      </c>
      <c r="E315" s="142" t="str">
        <f>IFERROR(__xludf.DUMMYFUNCTION("""COMPUTED_VALUE"""),"PH118203000")</f>
        <v>PH118203000</v>
      </c>
      <c r="F315" s="8"/>
      <c r="G315" s="8"/>
      <c r="H315" s="8"/>
      <c r="I315" s="8"/>
      <c r="J315" s="8"/>
    </row>
    <row r="316">
      <c r="A316" s="142" t="s">
        <v>2278</v>
      </c>
      <c r="B316" s="142" t="str">
        <f>IFERROR(__xludf.DUMMYFUNCTION("""COMPUTED_VALUE"""),"PH175312000")</f>
        <v>PH175312000</v>
      </c>
      <c r="C316" s="8"/>
      <c r="D316" s="8"/>
      <c r="E316" s="8"/>
      <c r="F316" s="8"/>
      <c r="G316" s="8"/>
      <c r="H316" s="8"/>
      <c r="I316" s="8"/>
      <c r="J316" s="8"/>
    </row>
    <row r="317">
      <c r="A317" s="142" t="s">
        <v>2291</v>
      </c>
      <c r="B317" s="142" t="str">
        <f>IFERROR(__xludf.DUMMYFUNCTION("""COMPUTED_VALUE"""),"PH166706000")</f>
        <v>PH166706000</v>
      </c>
      <c r="C317" s="8"/>
      <c r="D317" s="8"/>
      <c r="E317" s="8"/>
      <c r="F317" s="8"/>
      <c r="G317" s="8"/>
      <c r="H317" s="8"/>
      <c r="I317" s="8"/>
      <c r="J317" s="8"/>
    </row>
    <row r="318">
      <c r="A318" s="142" t="s">
        <v>2300</v>
      </c>
      <c r="B318" s="142" t="str">
        <f>IFERROR(__xludf.DUMMYFUNCTION("""COMPUTED_VALUE"""),"PH030806000")</f>
        <v>PH030806000</v>
      </c>
      <c r="C318" s="8"/>
      <c r="D318" s="8"/>
      <c r="E318" s="8"/>
      <c r="F318" s="8"/>
      <c r="G318" s="8"/>
      <c r="H318" s="8"/>
      <c r="I318" s="8"/>
      <c r="J318" s="8"/>
    </row>
    <row r="319">
      <c r="A319" s="142" t="s">
        <v>2309</v>
      </c>
      <c r="B319" s="142" t="str">
        <f>IFERROR(__xludf.DUMMYFUNCTION("""COMPUTED_VALUE"""),"PH041007000")</f>
        <v>PH041007000</v>
      </c>
      <c r="C319" s="8"/>
      <c r="D319" s="8"/>
      <c r="E319" s="8"/>
      <c r="F319" s="8"/>
      <c r="G319" s="8"/>
      <c r="H319" s="8"/>
      <c r="I319" s="8"/>
      <c r="J319" s="8"/>
    </row>
    <row r="320">
      <c r="A320" s="142" t="s">
        <v>1442</v>
      </c>
      <c r="B320" s="142" t="str">
        <f>IFERROR(__xludf.DUMMYFUNCTION("""COMPUTED_VALUE"""),"PH050518000")</f>
        <v>PH050518000</v>
      </c>
      <c r="C320" s="8"/>
      <c r="D320" s="8"/>
      <c r="E320" s="8"/>
      <c r="F320" s="8"/>
      <c r="G320" s="8"/>
      <c r="H320" s="8"/>
      <c r="I320" s="8"/>
      <c r="J320" s="8"/>
    </row>
    <row r="321">
      <c r="A321" s="142" t="s">
        <v>2313</v>
      </c>
      <c r="B321" s="142" t="str">
        <f>IFERROR(__xludf.DUMMYFUNCTION("""COMPUTED_VALUE"""),"PH051724000")</f>
        <v>PH051724000</v>
      </c>
      <c r="C321" s="142" t="str">
        <f>IFERROR(__xludf.DUMMYFUNCTION("""COMPUTED_VALUE"""),"PH072234000")</f>
        <v>PH072234000</v>
      </c>
      <c r="D321" s="8"/>
      <c r="E321" s="8"/>
      <c r="F321" s="8"/>
      <c r="G321" s="8"/>
      <c r="H321" s="8"/>
      <c r="I321" s="8"/>
      <c r="J321" s="8"/>
    </row>
    <row r="322">
      <c r="A322" s="142" t="s">
        <v>1689</v>
      </c>
      <c r="B322" s="142" t="str">
        <f>IFERROR(__xludf.DUMMYFUNCTION("""COMPUTED_VALUE"""),"PH128003000")</f>
        <v>PH128003000</v>
      </c>
      <c r="C322" s="8"/>
      <c r="D322" s="8"/>
      <c r="E322" s="8"/>
      <c r="F322" s="8"/>
      <c r="G322" s="8"/>
      <c r="H322" s="8"/>
      <c r="I322" s="8"/>
      <c r="J322" s="8"/>
    </row>
    <row r="323">
      <c r="A323" s="142" t="s">
        <v>1307</v>
      </c>
      <c r="B323" s="142" t="str">
        <f>IFERROR(__xludf.DUMMYFUNCTION("""COMPUTED_VALUE"""),"PH153830000")</f>
        <v>PH153830000</v>
      </c>
      <c r="C323" s="8"/>
      <c r="D323" s="8"/>
      <c r="E323" s="8"/>
      <c r="F323" s="8"/>
      <c r="G323" s="8"/>
      <c r="H323" s="8"/>
      <c r="I323" s="8"/>
      <c r="J323" s="8"/>
    </row>
    <row r="324">
      <c r="A324" s="142" t="s">
        <v>1604</v>
      </c>
      <c r="B324" s="142" t="str">
        <f>IFERROR(__xludf.DUMMYFUNCTION("""COMPUTED_VALUE"""),"PH063001000")</f>
        <v>PH063001000</v>
      </c>
      <c r="C324" s="8"/>
      <c r="D324" s="8"/>
      <c r="E324" s="8"/>
      <c r="F324" s="8"/>
      <c r="G324" s="8"/>
      <c r="H324" s="8"/>
      <c r="I324" s="8"/>
      <c r="J324" s="8"/>
    </row>
    <row r="325">
      <c r="A325" s="142" t="s">
        <v>786</v>
      </c>
      <c r="B325" s="142" t="str">
        <f>IFERROR(__xludf.DUMMYFUNCTION("""COMPUTED_VALUE"""),"PH063014000")</f>
        <v>PH063014000</v>
      </c>
      <c r="C325" s="8"/>
      <c r="D325" s="8"/>
      <c r="E325" s="8"/>
      <c r="F325" s="8"/>
      <c r="G325" s="8"/>
      <c r="H325" s="8"/>
      <c r="I325" s="8"/>
      <c r="J325" s="8"/>
    </row>
    <row r="326">
      <c r="A326" s="142" t="s">
        <v>2066</v>
      </c>
      <c r="B326" s="142" t="str">
        <f>IFERROR(__xludf.DUMMYFUNCTION("""COMPUTED_VALUE"""),"PH036905000")</f>
        <v>PH036905000</v>
      </c>
      <c r="C326" s="142" t="str">
        <f>IFERROR(__xludf.DUMMYFUNCTION("""COMPUTED_VALUE"""),"PH175905000")</f>
        <v>PH175905000</v>
      </c>
      <c r="D326" s="142" t="str">
        <f>IFERROR(__xludf.DUMMYFUNCTION("""COMPUTED_VALUE"""),"PH063015000")</f>
        <v>PH063015000</v>
      </c>
      <c r="E326" s="142" t="str">
        <f>IFERROR(__xludf.DUMMYFUNCTION("""COMPUTED_VALUE"""),"PH104206000")</f>
        <v>PH104206000</v>
      </c>
      <c r="F326" s="8"/>
      <c r="G326" s="8"/>
      <c r="H326" s="8"/>
      <c r="I326" s="8"/>
      <c r="J326" s="8"/>
    </row>
    <row r="327">
      <c r="A327" s="142" t="s">
        <v>986</v>
      </c>
      <c r="B327" s="142" t="str">
        <f>IFERROR(__xludf.DUMMYFUNCTION("""COMPUTED_VALUE"""),"PH074610000")</f>
        <v>PH074610000</v>
      </c>
      <c r="C327" s="8"/>
      <c r="D327" s="8"/>
      <c r="E327" s="8"/>
      <c r="F327" s="8"/>
      <c r="G327" s="8"/>
      <c r="H327" s="8"/>
      <c r="I327" s="8"/>
      <c r="J327" s="8"/>
    </row>
    <row r="328">
      <c r="A328" s="142" t="s">
        <v>358</v>
      </c>
      <c r="B328" s="142" t="str">
        <f>IFERROR(__xludf.DUMMYFUNCTION("""COMPUTED_VALUE"""),"PH128004000")</f>
        <v>PH128004000</v>
      </c>
      <c r="C328" s="8"/>
      <c r="D328" s="8"/>
      <c r="E328" s="8"/>
      <c r="F328" s="8"/>
      <c r="G328" s="8"/>
      <c r="H328" s="8"/>
      <c r="I328" s="8"/>
      <c r="J328" s="8"/>
    </row>
    <row r="329">
      <c r="A329" s="142" t="s">
        <v>1875</v>
      </c>
      <c r="B329" s="142" t="str">
        <f>IFERROR(__xludf.DUMMYFUNCTION("""COMPUTED_VALUE"""),"PH050506000")</f>
        <v>PH050506000</v>
      </c>
      <c r="C329" s="8"/>
      <c r="D329" s="8"/>
      <c r="E329" s="8"/>
      <c r="F329" s="8"/>
      <c r="G329" s="8"/>
      <c r="H329" s="8"/>
      <c r="I329" s="8"/>
      <c r="J329" s="8"/>
    </row>
    <row r="330">
      <c r="A330" s="142" t="s">
        <v>2363</v>
      </c>
      <c r="B330" s="142" t="str">
        <f>IFERROR(__xludf.DUMMYFUNCTION("""COMPUTED_VALUE"""),"PH012808000")</f>
        <v>PH012808000</v>
      </c>
      <c r="C330" s="8"/>
      <c r="D330" s="8"/>
      <c r="E330" s="8"/>
      <c r="F330" s="8"/>
      <c r="G330" s="8"/>
      <c r="H330" s="8"/>
      <c r="I330" s="8"/>
      <c r="J330" s="8"/>
    </row>
    <row r="331">
      <c r="A331" s="142" t="s">
        <v>2375</v>
      </c>
      <c r="B331" s="142" t="str">
        <f>IFERROR(__xludf.DUMMYFUNCTION("""COMPUTED_VALUE"""),"PH166725000")</f>
        <v>PH166725000</v>
      </c>
      <c r="C331" s="8"/>
      <c r="D331" s="8"/>
      <c r="E331" s="8"/>
      <c r="F331" s="8"/>
      <c r="G331" s="8"/>
      <c r="H331" s="8"/>
      <c r="I331" s="8"/>
      <c r="J331" s="8"/>
    </row>
    <row r="332">
      <c r="A332" s="142" t="s">
        <v>498</v>
      </c>
      <c r="B332" s="142" t="str">
        <f>IFERROR(__xludf.DUMMYFUNCTION("""COMPUTED_VALUE"""),"PH045603000")</f>
        <v>PH045603000</v>
      </c>
      <c r="C332" s="8"/>
      <c r="D332" s="8"/>
      <c r="E332" s="8"/>
      <c r="F332" s="8"/>
      <c r="G332" s="8"/>
      <c r="H332" s="8"/>
      <c r="I332" s="8"/>
      <c r="J332" s="8"/>
    </row>
    <row r="333">
      <c r="A333" s="142" t="s">
        <v>969</v>
      </c>
      <c r="B333" s="142" t="str">
        <f>IFERROR(__xludf.DUMMYFUNCTION("""COMPUTED_VALUE"""),"PH045642000")</f>
        <v>PH045642000</v>
      </c>
      <c r="C333" s="142" t="str">
        <f>IFERROR(__xludf.DUMMYFUNCTION("""COMPUTED_VALUE"""),"PH072242000")</f>
        <v>PH072242000</v>
      </c>
      <c r="D333" s="142" t="str">
        <f>IFERROR(__xludf.DUMMYFUNCTION("""COMPUTED_VALUE"""),"PH086413000")</f>
        <v>PH086413000</v>
      </c>
      <c r="E333" s="142" t="str">
        <f>IFERROR(__xludf.DUMMYFUNCTION("""COMPUTED_VALUE"""),"PH160308000")</f>
        <v>PH160308000</v>
      </c>
      <c r="F333" s="142" t="str">
        <f>IFERROR(__xludf.DUMMYFUNCTION("""COMPUTED_VALUE"""),"PH166719000")</f>
        <v>PH166719000</v>
      </c>
      <c r="G333" s="8"/>
      <c r="H333" s="8"/>
      <c r="I333" s="8"/>
      <c r="J333" s="8"/>
    </row>
    <row r="334">
      <c r="A334" s="142" t="s">
        <v>2406</v>
      </c>
      <c r="B334" s="142" t="str">
        <f>IFERROR(__xludf.DUMMYFUNCTION("""COMPUTED_VALUE"""),"PH051605000")</f>
        <v>PH051605000</v>
      </c>
      <c r="C334" s="8"/>
      <c r="D334" s="8"/>
      <c r="E334" s="8"/>
      <c r="F334" s="8"/>
      <c r="G334" s="8"/>
      <c r="H334" s="8"/>
      <c r="I334" s="8"/>
      <c r="J334" s="8"/>
    </row>
    <row r="335">
      <c r="A335" s="142" t="s">
        <v>2033</v>
      </c>
      <c r="B335" s="142" t="str">
        <f>IFERROR(__xludf.DUMMYFUNCTION("""COMPUTED_VALUE"""),"PH013314000")</f>
        <v>PH013314000</v>
      </c>
      <c r="C335" s="142" t="str">
        <f>IFERROR(__xludf.DUMMYFUNCTION("""COMPUTED_VALUE"""),"PH035416000")</f>
        <v>PH035416000</v>
      </c>
      <c r="D335" s="8"/>
      <c r="E335" s="8"/>
      <c r="F335" s="8"/>
      <c r="G335" s="8"/>
      <c r="H335" s="8"/>
      <c r="I335" s="8"/>
      <c r="J335" s="8"/>
    </row>
    <row r="336">
      <c r="A336" s="142" t="s">
        <v>2424</v>
      </c>
      <c r="B336" s="142" t="str">
        <f>IFERROR(__xludf.DUMMYFUNCTION("""COMPUTED_VALUE"""),"PH041005000")</f>
        <v>PH041005000</v>
      </c>
      <c r="C336" s="8"/>
      <c r="D336" s="8"/>
      <c r="E336" s="8"/>
      <c r="F336" s="8"/>
      <c r="G336" s="8"/>
      <c r="H336" s="8"/>
      <c r="I336" s="8"/>
      <c r="J336" s="8"/>
    </row>
    <row r="337">
      <c r="A337" s="142" t="s">
        <v>2424</v>
      </c>
      <c r="B337" s="142" t="str">
        <f>IFERROR(__xludf.DUMMYFUNCTION("""COMPUTED_VALUE"""),"PH041005000")</f>
        <v>PH041005000</v>
      </c>
      <c r="C337" s="8"/>
      <c r="D337" s="8"/>
      <c r="E337" s="8"/>
      <c r="F337" s="8"/>
      <c r="G337" s="8"/>
      <c r="H337" s="8"/>
      <c r="I337" s="8"/>
      <c r="J337" s="8"/>
    </row>
    <row r="338">
      <c r="A338" s="142" t="s">
        <v>1958</v>
      </c>
      <c r="B338" s="142" t="str">
        <f>IFERROR(__xludf.DUMMYFUNCTION("""COMPUTED_VALUE"""),"PH041015000")</f>
        <v>PH041015000</v>
      </c>
      <c r="C338" s="8"/>
      <c r="D338" s="8"/>
      <c r="E338" s="8"/>
      <c r="F338" s="8"/>
      <c r="G338" s="8"/>
      <c r="H338" s="8"/>
      <c r="I338" s="8"/>
      <c r="J338" s="8"/>
    </row>
    <row r="339">
      <c r="A339" s="142" t="s">
        <v>1958</v>
      </c>
      <c r="B339" s="142" t="str">
        <f>IFERROR(__xludf.DUMMYFUNCTION("""COMPUTED_VALUE"""),"PH041015000")</f>
        <v>PH041015000</v>
      </c>
      <c r="C339" s="8"/>
      <c r="D339" s="8"/>
      <c r="E339" s="8"/>
      <c r="F339" s="8"/>
      <c r="G339" s="8"/>
      <c r="H339" s="8"/>
      <c r="I339" s="8"/>
      <c r="J339" s="8"/>
    </row>
    <row r="340">
      <c r="A340" s="142" t="s">
        <v>1958</v>
      </c>
      <c r="B340" s="142" t="str">
        <f>IFERROR(__xludf.DUMMYFUNCTION("""COMPUTED_VALUE"""),"PH041015000")</f>
        <v>PH041015000</v>
      </c>
      <c r="C340" s="8"/>
      <c r="D340" s="8"/>
      <c r="E340" s="8"/>
      <c r="F340" s="8"/>
      <c r="G340" s="8"/>
      <c r="H340" s="8"/>
      <c r="I340" s="8"/>
      <c r="J340" s="8"/>
    </row>
    <row r="341">
      <c r="A341" s="142" t="s">
        <v>2450</v>
      </c>
      <c r="B341" s="142" t="str">
        <f>IFERROR(__xludf.DUMMYFUNCTION("""COMPUTED_VALUE"""),"PH050510000")</f>
        <v>PH050510000</v>
      </c>
      <c r="C341" s="142" t="str">
        <f>IFERROR(__xludf.DUMMYFUNCTION("""COMPUTED_VALUE"""),"PH060413000")</f>
        <v>PH060413000</v>
      </c>
      <c r="D341" s="8"/>
      <c r="E341" s="8"/>
      <c r="F341" s="8"/>
      <c r="G341" s="8"/>
      <c r="H341" s="8"/>
      <c r="I341" s="8"/>
      <c r="J341" s="8"/>
    </row>
    <row r="342">
      <c r="A342" s="142" t="s">
        <v>2457</v>
      </c>
      <c r="B342" s="142" t="str">
        <f>IFERROR(__xludf.DUMMYFUNCTION("""COMPUTED_VALUE"""),"PH051729000")</f>
        <v>PH051729000</v>
      </c>
      <c r="C342" s="8"/>
      <c r="D342" s="8"/>
      <c r="E342" s="8"/>
      <c r="F342" s="8"/>
      <c r="G342" s="8"/>
      <c r="H342" s="8"/>
      <c r="I342" s="8"/>
      <c r="J342" s="8"/>
    </row>
    <row r="343">
      <c r="A343" s="142" t="s">
        <v>2464</v>
      </c>
      <c r="B343" s="142" t="str">
        <f>IFERROR(__xludf.DUMMYFUNCTION("""COMPUTED_VALUE"""),"PH052011000")</f>
        <v>PH052011000</v>
      </c>
      <c r="C343" s="8"/>
      <c r="D343" s="8"/>
      <c r="E343" s="8"/>
      <c r="F343" s="8"/>
      <c r="G343" s="8"/>
      <c r="H343" s="8"/>
      <c r="I343" s="8"/>
      <c r="J343" s="8"/>
    </row>
    <row r="344">
      <c r="A344" s="142" t="s">
        <v>1272</v>
      </c>
      <c r="B344" s="142" t="str">
        <f>IFERROR(__xludf.DUMMYFUNCTION("""COMPUTED_VALUE"""),"PH045629000")</f>
        <v>PH045629000</v>
      </c>
      <c r="C344" s="142" t="str">
        <f>IFERROR(__xludf.DUMMYFUNCTION("""COMPUTED_VALUE"""),"PH086410000")</f>
        <v>PH086410000</v>
      </c>
      <c r="D344" s="8"/>
      <c r="E344" s="8"/>
      <c r="F344" s="8"/>
      <c r="G344" s="8"/>
      <c r="H344" s="8"/>
      <c r="I344" s="8"/>
      <c r="J344" s="8"/>
    </row>
    <row r="345">
      <c r="A345" s="142" t="s">
        <v>1783</v>
      </c>
      <c r="B345" s="142" t="str">
        <f>IFERROR(__xludf.DUMMYFUNCTION("""COMPUTED_VALUE"""),"PH101804000")</f>
        <v>PH101804000</v>
      </c>
      <c r="C345" s="8"/>
      <c r="D345" s="8"/>
      <c r="E345" s="8"/>
      <c r="F345" s="8"/>
      <c r="G345" s="8"/>
      <c r="H345" s="8"/>
      <c r="I345" s="8"/>
      <c r="J345" s="8"/>
    </row>
    <row r="346">
      <c r="A346" s="142" t="s">
        <v>2488</v>
      </c>
      <c r="B346" s="142" t="str">
        <f>IFERROR(__xludf.DUMMYFUNCTION("""COMPUTED_VALUE"""),"PH104211000")</f>
        <v>PH104211000</v>
      </c>
      <c r="C346" s="8"/>
      <c r="D346" s="8"/>
      <c r="E346" s="8"/>
      <c r="F346" s="8"/>
      <c r="G346" s="8"/>
      <c r="H346" s="8"/>
      <c r="I346" s="8"/>
      <c r="J346" s="8"/>
    </row>
    <row r="347">
      <c r="A347" s="142" t="s">
        <v>1172</v>
      </c>
      <c r="B347" s="142" t="str">
        <f>IFERROR(__xludf.DUMMYFUNCTION("""COMPUTED_VALUE"""),"PH045605000")</f>
        <v>PH045605000</v>
      </c>
      <c r="C347" s="142" t="str">
        <f>IFERROR(__xludf.DUMMYFUNCTION("""COMPUTED_VALUE"""),"PH174002000")</f>
        <v>PH174002000</v>
      </c>
      <c r="D347" s="142" t="str">
        <f>IFERROR(__xludf.DUMMYFUNCTION("""COMPUTED_VALUE"""),"PH067901000")</f>
        <v>PH067901000</v>
      </c>
      <c r="E347" s="142" t="str">
        <f>IFERROR(__xludf.DUMMYFUNCTION("""COMPUTED_VALUE"""),"PH071209000")</f>
        <v>PH071209000</v>
      </c>
      <c r="F347" s="142" t="str">
        <f>IFERROR(__xludf.DUMMYFUNCTION("""COMPUTED_VALUE"""),"PH160201000")</f>
        <v>PH160201000</v>
      </c>
      <c r="G347" s="8"/>
      <c r="H347" s="8"/>
      <c r="I347" s="8"/>
      <c r="J347" s="8"/>
    </row>
    <row r="348">
      <c r="A348" s="142" t="s">
        <v>2503</v>
      </c>
      <c r="B348" s="142" t="str">
        <f>IFERROR(__xludf.DUMMYFUNCTION("""COMPUTED_VALUE"""),"PH071212000")</f>
        <v>PH071212000</v>
      </c>
      <c r="C348" s="142" t="str">
        <f>IFERROR(__xludf.DUMMYFUNCTION("""COMPUTED_VALUE"""),"PH072215000")</f>
        <v>PH072215000</v>
      </c>
      <c r="D348" s="142" t="str">
        <f>IFERROR(__xludf.DUMMYFUNCTION("""COMPUTED_VALUE"""),"PH112303000")</f>
        <v>PH112303000</v>
      </c>
      <c r="E348" s="142" t="str">
        <f>IFERROR(__xludf.DUMMYFUNCTION("""COMPUTED_VALUE"""),"PH124702000")</f>
        <v>PH124702000</v>
      </c>
      <c r="F348" s="142" t="str">
        <f>IFERROR(__xludf.DUMMYFUNCTION("""COMPUTED_VALUE"""),"PH160204000")</f>
        <v>PH160204000</v>
      </c>
      <c r="G348" s="142" t="str">
        <f>IFERROR(__xludf.DUMMYFUNCTION("""COMPUTED_VALUE"""),"PH166806000")</f>
        <v>PH166806000</v>
      </c>
      <c r="H348" s="8"/>
      <c r="I348" s="8"/>
      <c r="J348" s="8"/>
    </row>
    <row r="349">
      <c r="A349" s="142" t="s">
        <v>2511</v>
      </c>
      <c r="B349" s="142" t="str">
        <f>IFERROR(__xludf.DUMMYFUNCTION("""COMPUTED_VALUE"""),"PH051702000")</f>
        <v>PH051702000</v>
      </c>
      <c r="C349" s="8"/>
      <c r="D349" s="8"/>
      <c r="E349" s="8"/>
      <c r="F349" s="8"/>
      <c r="G349" s="8"/>
      <c r="H349" s="8"/>
      <c r="I349" s="8"/>
      <c r="J349" s="8"/>
    </row>
    <row r="350">
      <c r="A350" s="142" t="s">
        <v>980</v>
      </c>
      <c r="B350" s="142" t="str">
        <f>IFERROR(__xludf.DUMMYFUNCTION("""COMPUTED_VALUE"""),"PH112317000")</f>
        <v>PH112317000</v>
      </c>
      <c r="C350" s="8"/>
      <c r="D350" s="8"/>
      <c r="E350" s="8"/>
      <c r="F350" s="8"/>
      <c r="G350" s="8"/>
      <c r="H350" s="8"/>
      <c r="I350" s="8"/>
      <c r="J350" s="8"/>
    </row>
    <row r="351">
      <c r="A351" s="142" t="s">
        <v>2529</v>
      </c>
      <c r="B351" s="142" t="str">
        <f>IFERROR(__xludf.DUMMYFUNCTION("""COMPUTED_VALUE"""),"PH153602000")</f>
        <v>PH153602000</v>
      </c>
      <c r="C351" s="8"/>
      <c r="D351" s="8"/>
      <c r="E351" s="8"/>
      <c r="F351" s="8"/>
      <c r="G351" s="8"/>
      <c r="H351" s="8"/>
      <c r="I351" s="8"/>
      <c r="J351" s="8"/>
    </row>
    <row r="352">
      <c r="A352" s="142" t="s">
        <v>2538</v>
      </c>
      <c r="B352" s="142" t="str">
        <f>IFERROR(__xludf.DUMMYFUNCTION("""COMPUTED_VALUE"""),"PH013310000")</f>
        <v>PH013310000</v>
      </c>
      <c r="C352" s="142" t="str">
        <f>IFERROR(__xludf.DUMMYFUNCTION("""COMPUTED_VALUE"""),"PH023116000")</f>
        <v>PH023116000</v>
      </c>
      <c r="D352" s="142" t="str">
        <f>IFERROR(__xludf.DUMMYFUNCTION("""COMPUTED_VALUE"""),"PH148105000")</f>
        <v>PH148105000</v>
      </c>
      <c r="E352" s="8"/>
      <c r="F352" s="8"/>
      <c r="G352" s="8"/>
      <c r="H352" s="8"/>
      <c r="I352" s="8"/>
      <c r="J352" s="8"/>
    </row>
    <row r="353">
      <c r="A353" s="142" t="s">
        <v>2545</v>
      </c>
      <c r="B353" s="142" t="str">
        <f>IFERROR(__xludf.DUMMYFUNCTION("""COMPUTED_VALUE"""),"PH015533000")</f>
        <v>PH015533000</v>
      </c>
      <c r="C353" s="8"/>
      <c r="D353" s="8"/>
      <c r="E353" s="8"/>
      <c r="F353" s="8"/>
      <c r="G353" s="8"/>
      <c r="H353" s="8"/>
      <c r="I353" s="8"/>
      <c r="J353" s="8"/>
    </row>
    <row r="354">
      <c r="A354" s="142" t="s">
        <v>2553</v>
      </c>
      <c r="B354" s="142" t="str">
        <f>IFERROR(__xludf.DUMMYFUNCTION("""COMPUTED_VALUE"""),"PH063034000")</f>
        <v>PH063034000</v>
      </c>
      <c r="C354" s="8"/>
      <c r="D354" s="8"/>
      <c r="E354" s="8"/>
      <c r="F354" s="8"/>
      <c r="G354" s="8"/>
      <c r="H354" s="8"/>
      <c r="I354" s="8"/>
      <c r="J354" s="8"/>
    </row>
    <row r="355">
      <c r="A355" s="142" t="s">
        <v>1172</v>
      </c>
      <c r="B355" s="142" t="str">
        <f>IFERROR(__xludf.DUMMYFUNCTION("""COMPUTED_VALUE"""),"PH045605000")</f>
        <v>PH045605000</v>
      </c>
      <c r="C355" s="142" t="str">
        <f>IFERROR(__xludf.DUMMYFUNCTION("""COMPUTED_VALUE"""),"PH174002000")</f>
        <v>PH174002000</v>
      </c>
      <c r="D355" s="142" t="str">
        <f>IFERROR(__xludf.DUMMYFUNCTION("""COMPUTED_VALUE"""),"PH067901000")</f>
        <v>PH067901000</v>
      </c>
      <c r="E355" s="142" t="str">
        <f>IFERROR(__xludf.DUMMYFUNCTION("""COMPUTED_VALUE"""),"PH071209000")</f>
        <v>PH071209000</v>
      </c>
      <c r="F355" s="142" t="str">
        <f>IFERROR(__xludf.DUMMYFUNCTION("""COMPUTED_VALUE"""),"PH160201000")</f>
        <v>PH160201000</v>
      </c>
      <c r="G355" s="8"/>
      <c r="H355" s="8"/>
      <c r="I355" s="8"/>
      <c r="J355" s="8"/>
    </row>
    <row r="356">
      <c r="A356" s="142" t="s">
        <v>1964</v>
      </c>
      <c r="B356" s="142" t="str">
        <f>IFERROR(__xludf.DUMMYFUNCTION("""COMPUTED_VALUE"""),"PH012921000")</f>
        <v>PH012921000</v>
      </c>
      <c r="C356" s="142" t="str">
        <f>IFERROR(__xludf.DUMMYFUNCTION("""COMPUTED_VALUE"""),"PH175319000")</f>
        <v>PH175319000</v>
      </c>
      <c r="D356" s="142" t="str">
        <f>IFERROR(__xludf.DUMMYFUNCTION("""COMPUTED_VALUE"""),"PH051609000")</f>
        <v>PH051609000</v>
      </c>
      <c r="E356" s="142" t="str">
        <f>IFERROR(__xludf.DUMMYFUNCTION("""COMPUTED_VALUE"""),"PH084821000")</f>
        <v>PH084821000</v>
      </c>
      <c r="F356" s="8"/>
      <c r="G356" s="8"/>
      <c r="H356" s="8"/>
      <c r="I356" s="8"/>
      <c r="J356" s="8"/>
    </row>
    <row r="357">
      <c r="A357" s="142" t="s">
        <v>616</v>
      </c>
      <c r="B357" s="142" t="str">
        <f>IFERROR(__xludf.DUMMYFUNCTION("""COMPUTED_VALUE"""),"PH112402000")</f>
        <v>PH112402000</v>
      </c>
      <c r="C357" s="8"/>
      <c r="D357" s="8"/>
      <c r="E357" s="8"/>
      <c r="F357" s="8"/>
      <c r="G357" s="8"/>
      <c r="H357" s="8"/>
      <c r="I357" s="8"/>
      <c r="J357" s="8"/>
    </row>
    <row r="358">
      <c r="A358" s="142" t="s">
        <v>2585</v>
      </c>
      <c r="B358" s="142" t="str">
        <f>IFERROR(__xludf.DUMMYFUNCTION("""COMPUTED_VALUE"""),"PH012802000")</f>
        <v>PH012802000</v>
      </c>
      <c r="C358" s="8"/>
      <c r="D358" s="8"/>
      <c r="E358" s="8"/>
      <c r="F358" s="8"/>
      <c r="G358" s="8"/>
      <c r="H358" s="8"/>
      <c r="I358" s="8"/>
      <c r="J358" s="8"/>
    </row>
    <row r="359">
      <c r="A359" s="142" t="s">
        <v>405</v>
      </c>
      <c r="B359" s="142" t="str">
        <f>IFERROR(__xludf.DUMMYFUNCTION("""COMPUTED_VALUE"""),"PH012905000")</f>
        <v>PH012905000</v>
      </c>
      <c r="C359" s="8"/>
      <c r="D359" s="8"/>
      <c r="E359" s="8"/>
      <c r="F359" s="8"/>
      <c r="G359" s="8"/>
      <c r="H359" s="8"/>
      <c r="I359" s="8"/>
      <c r="J359" s="8"/>
    </row>
    <row r="360">
      <c r="A360" s="142" t="s">
        <v>2602</v>
      </c>
      <c r="B360" s="142" t="str">
        <f>IFERROR(__xludf.DUMMYFUNCTION("""COMPUTED_VALUE"""),"PH037101000")</f>
        <v>PH037101000</v>
      </c>
      <c r="C360" s="8"/>
      <c r="D360" s="8"/>
      <c r="E360" s="8"/>
      <c r="F360" s="8"/>
      <c r="G360" s="8"/>
      <c r="H360" s="8"/>
      <c r="I360" s="8"/>
      <c r="J360" s="8"/>
    </row>
    <row r="361">
      <c r="A361" s="142" t="s">
        <v>2609</v>
      </c>
      <c r="B361" s="142" t="str">
        <f>IFERROR(__xludf.DUMMYFUNCTION("""COMPUTED_VALUE"""),"PH041006000")</f>
        <v>PH041006000</v>
      </c>
      <c r="C361" s="8"/>
      <c r="D361" s="8"/>
      <c r="E361" s="8"/>
      <c r="F361" s="8"/>
      <c r="G361" s="8"/>
      <c r="H361" s="8"/>
      <c r="I361" s="8"/>
      <c r="J361" s="8"/>
    </row>
    <row r="362">
      <c r="A362" s="142" t="s">
        <v>2619</v>
      </c>
      <c r="B362" s="142" t="str">
        <f>IFERROR(__xludf.DUMMYFUNCTION("""COMPUTED_VALUE"""),"PH175104000")</f>
        <v>PH175104000</v>
      </c>
      <c r="C362" s="8"/>
      <c r="D362" s="8"/>
      <c r="E362" s="8"/>
      <c r="F362" s="8"/>
      <c r="G362" s="8"/>
      <c r="H362" s="8"/>
      <c r="I362" s="8"/>
      <c r="J362" s="8"/>
    </row>
    <row r="363">
      <c r="A363" s="142" t="s">
        <v>1551</v>
      </c>
      <c r="B363" s="142" t="str">
        <f>IFERROR(__xludf.DUMMYFUNCTION("""COMPUTED_VALUE"""),"PH104305000")</f>
        <v>PH104305000</v>
      </c>
      <c r="C363" s="8"/>
      <c r="D363" s="8"/>
      <c r="E363" s="8"/>
      <c r="F363" s="8"/>
      <c r="G363" s="8"/>
      <c r="H363" s="8"/>
      <c r="I363" s="8"/>
      <c r="J363" s="8"/>
    </row>
    <row r="364">
      <c r="A364" s="142" t="s">
        <v>2642</v>
      </c>
      <c r="B364" s="142" t="str">
        <f>IFERROR(__xludf.DUMMYFUNCTION("""COMPUTED_VALUE"""),"PH104314000")</f>
        <v>PH104314000</v>
      </c>
      <c r="C364" s="8"/>
      <c r="D364" s="8"/>
      <c r="E364" s="8"/>
      <c r="F364" s="8"/>
      <c r="G364" s="8"/>
      <c r="H364" s="8"/>
      <c r="I364" s="8"/>
      <c r="J364" s="8"/>
    </row>
    <row r="365">
      <c r="A365" s="142" t="s">
        <v>2648</v>
      </c>
      <c r="B365" s="142" t="str">
        <f>IFERROR(__xludf.DUMMYFUNCTION("""COMPUTED_VALUE"""),"PH086418000")</f>
        <v>PH086418000</v>
      </c>
      <c r="C365" s="8"/>
      <c r="D365" s="8"/>
      <c r="E365" s="8"/>
      <c r="F365" s="8"/>
      <c r="G365" s="8"/>
      <c r="H365" s="8"/>
      <c r="I365" s="8"/>
      <c r="J365" s="8"/>
    </row>
    <row r="366">
      <c r="A366" s="142" t="s">
        <v>2660</v>
      </c>
      <c r="B366" s="142" t="str">
        <f>IFERROR(__xludf.DUMMYFUNCTION("""COMPUTED_VALUE"""),"PH060605000")</f>
        <v>PH060605000</v>
      </c>
      <c r="C366" s="8"/>
      <c r="D366" s="8"/>
      <c r="E366" s="8"/>
      <c r="F366" s="8"/>
      <c r="G366" s="8"/>
      <c r="H366" s="8"/>
      <c r="I366" s="8"/>
      <c r="J366" s="8"/>
    </row>
    <row r="367">
      <c r="A367" s="142" t="s">
        <v>959</v>
      </c>
      <c r="B367" s="142" t="str">
        <f>IFERROR(__xludf.DUMMYFUNCTION("""COMPUTED_VALUE"""),"PH063045000")</f>
        <v>PH063045000</v>
      </c>
      <c r="C367" s="8"/>
      <c r="D367" s="8"/>
      <c r="E367" s="8"/>
      <c r="F367" s="8"/>
      <c r="G367" s="8"/>
      <c r="H367" s="8"/>
      <c r="I367" s="8"/>
      <c r="J367" s="8"/>
    </row>
    <row r="368">
      <c r="A368" s="142" t="s">
        <v>1604</v>
      </c>
      <c r="B368" s="142" t="str">
        <f>IFERROR(__xludf.DUMMYFUNCTION("""COMPUTED_VALUE"""),"PH063001000")</f>
        <v>PH063001000</v>
      </c>
      <c r="C368" s="8"/>
      <c r="D368" s="8"/>
      <c r="E368" s="8"/>
      <c r="F368" s="8"/>
      <c r="G368" s="8"/>
      <c r="H368" s="8"/>
      <c r="I368" s="8"/>
      <c r="J368" s="8"/>
    </row>
    <row r="369">
      <c r="A369" s="142" t="s">
        <v>2678</v>
      </c>
      <c r="B369" s="142" t="str">
        <f>IFERROR(__xludf.DUMMYFUNCTION("""COMPUTED_VALUE"""),"PH074601000")</f>
        <v>PH074601000</v>
      </c>
      <c r="C369" s="8"/>
      <c r="D369" s="8"/>
      <c r="E369" s="8"/>
      <c r="F369" s="8"/>
      <c r="G369" s="8"/>
      <c r="H369" s="8"/>
      <c r="I369" s="8"/>
      <c r="J369" s="8"/>
    </row>
    <row r="370">
      <c r="A370" s="142" t="s">
        <v>2687</v>
      </c>
      <c r="B370" s="142" t="str">
        <f>IFERROR(__xludf.DUMMYFUNCTION("""COMPUTED_VALUE"""),"PH074603000")</f>
        <v>PH074603000</v>
      </c>
      <c r="C370" s="8"/>
      <c r="D370" s="8"/>
      <c r="E370" s="8"/>
      <c r="F370" s="8"/>
      <c r="G370" s="8"/>
      <c r="H370" s="8"/>
      <c r="I370" s="8"/>
      <c r="J370" s="8"/>
    </row>
    <row r="371">
      <c r="A371" s="142" t="s">
        <v>847</v>
      </c>
      <c r="B371" s="142" t="str">
        <f>IFERROR(__xludf.DUMMYFUNCTION("""COMPUTED_VALUE"""),"PH074609000")</f>
        <v>PH074609000</v>
      </c>
      <c r="C371" s="8"/>
      <c r="D371" s="8"/>
      <c r="E371" s="8"/>
      <c r="F371" s="8"/>
      <c r="G371" s="8"/>
      <c r="H371" s="8"/>
      <c r="I371" s="8"/>
      <c r="J371" s="8"/>
    </row>
    <row r="372">
      <c r="A372" s="142" t="s">
        <v>2697</v>
      </c>
      <c r="B372" s="142" t="str">
        <f>IFERROR(__xludf.DUMMYFUNCTION("""COMPUTED_VALUE"""),"PH074612000")</f>
        <v>PH074612000</v>
      </c>
      <c r="C372" s="8"/>
      <c r="D372" s="8"/>
      <c r="E372" s="8"/>
      <c r="F372" s="8"/>
      <c r="G372" s="8"/>
      <c r="H372" s="8"/>
      <c r="I372" s="8"/>
      <c r="J372" s="8"/>
    </row>
    <row r="373">
      <c r="A373" s="142" t="s">
        <v>1667</v>
      </c>
      <c r="B373" s="142" t="str">
        <f>IFERROR(__xludf.DUMMYFUNCTION("""COMPUTED_VALUE"""),"PH036918000")</f>
        <v>PH036918000</v>
      </c>
      <c r="C373" s="142" t="str">
        <f>IFERROR(__xludf.DUMMYFUNCTION("""COMPUTED_VALUE"""),"PH041022000")</f>
        <v>PH041022000</v>
      </c>
      <c r="D373" s="142" t="str">
        <f>IFERROR(__xludf.DUMMYFUNCTION("""COMPUTED_VALUE"""),"PH175110000")</f>
        <v>PH175110000</v>
      </c>
      <c r="E373" s="142" t="str">
        <f>IFERROR(__xludf.DUMMYFUNCTION("""COMPUTED_VALUE"""),"PH175914000")</f>
        <v>PH175914000</v>
      </c>
      <c r="F373" s="142" t="str">
        <f>IFERROR(__xludf.DUMMYFUNCTION("""COMPUTED_VALUE"""),"PH051733000")</f>
        <v>PH051733000</v>
      </c>
      <c r="G373" s="142" t="str">
        <f>IFERROR(__xludf.DUMMYFUNCTION("""COMPUTED_VALUE"""),"PH060613000")</f>
        <v>PH060613000</v>
      </c>
      <c r="H373" s="142" t="str">
        <f>IFERROR(__xludf.DUMMYFUNCTION("""COMPUTED_VALUE"""),"PH074617000")</f>
        <v>PH074617000</v>
      </c>
      <c r="I373" s="142" t="str">
        <f>IFERROR(__xludf.DUMMYFUNCTION("""COMPUTED_VALUE"""),"PH084819000")</f>
        <v>PH084819000</v>
      </c>
      <c r="J373" s="142" t="str">
        <f>IFERROR(__xludf.DUMMYFUNCTION("""COMPUTED_VALUE"""),"PH168506000")</f>
        <v>PH168506000</v>
      </c>
    </row>
    <row r="374">
      <c r="A374" s="142" t="s">
        <v>633</v>
      </c>
      <c r="B374" s="142" t="str">
        <f>IFERROR(__xludf.DUMMYFUNCTION("""COMPUTED_VALUE"""),"PH074619000")</f>
        <v>PH074619000</v>
      </c>
      <c r="C374" s="8"/>
      <c r="D374" s="8"/>
      <c r="E374" s="8"/>
      <c r="F374" s="8"/>
      <c r="G374" s="8"/>
      <c r="H374" s="8"/>
      <c r="I374" s="8"/>
      <c r="J374" s="8"/>
    </row>
    <row r="375">
      <c r="A375" s="142" t="s">
        <v>637</v>
      </c>
      <c r="B375" s="142" t="str">
        <f>IFERROR(__xludf.DUMMYFUNCTION("""COMPUTED_VALUE"""),"PH074625000")</f>
        <v>PH074625000</v>
      </c>
      <c r="C375" s="8"/>
      <c r="D375" s="8"/>
      <c r="E375" s="8"/>
      <c r="F375" s="8"/>
      <c r="G375" s="8"/>
      <c r="H375" s="8"/>
      <c r="I375" s="8"/>
      <c r="J375" s="8"/>
    </row>
    <row r="376">
      <c r="A376" s="142" t="s">
        <v>637</v>
      </c>
      <c r="B376" s="142" t="str">
        <f>IFERROR(__xludf.DUMMYFUNCTION("""COMPUTED_VALUE"""),"PH074625000")</f>
        <v>PH074625000</v>
      </c>
      <c r="C376" s="8"/>
      <c r="D376" s="8"/>
      <c r="E376" s="8"/>
      <c r="F376" s="8"/>
      <c r="G376" s="8"/>
      <c r="H376" s="8"/>
      <c r="I376" s="8"/>
      <c r="J376" s="8"/>
    </row>
    <row r="377">
      <c r="A377" s="142" t="s">
        <v>637</v>
      </c>
      <c r="B377" s="142" t="str">
        <f>IFERROR(__xludf.DUMMYFUNCTION("""COMPUTED_VALUE"""),"PH074625000")</f>
        <v>PH074625000</v>
      </c>
      <c r="C377" s="8"/>
      <c r="D377" s="8"/>
      <c r="E377" s="8"/>
      <c r="F377" s="8"/>
      <c r="G377" s="8"/>
      <c r="H377" s="8"/>
      <c r="I377" s="8"/>
      <c r="J377" s="8"/>
    </row>
    <row r="378">
      <c r="A378" s="142" t="s">
        <v>2723</v>
      </c>
      <c r="B378" s="142" t="str">
        <f>IFERROR(__xludf.DUMMYFUNCTION("""COMPUTED_VALUE"""),"PH013307000")</f>
        <v>PH013307000</v>
      </c>
      <c r="C378" s="8"/>
      <c r="D378" s="8"/>
      <c r="E378" s="8"/>
      <c r="F378" s="8"/>
      <c r="G378" s="8"/>
      <c r="H378" s="8"/>
      <c r="I378" s="8"/>
      <c r="J378" s="8"/>
    </row>
    <row r="379">
      <c r="A379" s="142" t="s">
        <v>1795</v>
      </c>
      <c r="B379" s="142" t="str">
        <f>IFERROR(__xludf.DUMMYFUNCTION("""COMPUTED_VALUE"""),"PH030808000")</f>
        <v>PH030808000</v>
      </c>
      <c r="C379" s="142" t="str">
        <f>IFERROR(__xludf.DUMMYFUNCTION("""COMPUTED_VALUE"""),"PH045809000")</f>
        <v>PH045809000</v>
      </c>
      <c r="D379" s="8"/>
      <c r="E379" s="8"/>
      <c r="F379" s="8"/>
      <c r="G379" s="8"/>
      <c r="H379" s="8"/>
      <c r="I379" s="8"/>
      <c r="J379" s="8"/>
    </row>
    <row r="380">
      <c r="A380" s="142" t="s">
        <v>2739</v>
      </c>
      <c r="B380" s="142" t="str">
        <f>IFERROR(__xludf.DUMMYFUNCTION("""COMPUTED_VALUE"""),"PH160202000")</f>
        <v>PH160202000</v>
      </c>
      <c r="C380" s="8"/>
      <c r="D380" s="8"/>
      <c r="E380" s="8"/>
      <c r="F380" s="8"/>
      <c r="G380" s="8"/>
      <c r="H380" s="8"/>
      <c r="I380" s="8"/>
      <c r="J380" s="8"/>
    </row>
    <row r="381">
      <c r="A381" s="142" t="s">
        <v>145</v>
      </c>
      <c r="B381" s="142" t="str">
        <f>IFERROR(__xludf.DUMMYFUNCTION("""COMPUTED_VALUE"""),"PH015501000")</f>
        <v>PH015501000</v>
      </c>
      <c r="C381" s="8"/>
      <c r="D381" s="8"/>
      <c r="E381" s="8"/>
      <c r="F381" s="8"/>
      <c r="G381" s="8"/>
      <c r="H381" s="8"/>
      <c r="I381" s="8"/>
      <c r="J381" s="8"/>
    </row>
    <row r="382">
      <c r="A382" s="142" t="s">
        <v>173</v>
      </c>
      <c r="B382" s="142" t="str">
        <f>IFERROR(__xludf.DUMMYFUNCTION("""COMPUTED_VALUE"""),"PH104319000")</f>
        <v>PH104319000</v>
      </c>
      <c r="C382" s="8"/>
      <c r="D382" s="8"/>
      <c r="E382" s="8"/>
      <c r="F382" s="8"/>
      <c r="G382" s="8"/>
      <c r="H382" s="8"/>
      <c r="I382" s="8"/>
      <c r="J382" s="8"/>
    </row>
    <row r="383">
      <c r="A383" s="142" t="s">
        <v>173</v>
      </c>
      <c r="B383" s="142" t="str">
        <f>IFERROR(__xludf.DUMMYFUNCTION("""COMPUTED_VALUE"""),"PH104319000")</f>
        <v>PH104319000</v>
      </c>
      <c r="C383" s="8"/>
      <c r="D383" s="8"/>
      <c r="E383" s="8"/>
      <c r="F383" s="8"/>
      <c r="G383" s="8"/>
      <c r="H383" s="8"/>
      <c r="I383" s="8"/>
      <c r="J383" s="8"/>
    </row>
    <row r="384">
      <c r="A384" s="142" t="s">
        <v>980</v>
      </c>
      <c r="B384" s="142" t="str">
        <f>IFERROR(__xludf.DUMMYFUNCTION("""COMPUTED_VALUE"""),"PH112317000")</f>
        <v>PH112317000</v>
      </c>
      <c r="C384" s="8"/>
      <c r="D384" s="8"/>
      <c r="E384" s="8"/>
      <c r="F384" s="8"/>
      <c r="G384" s="8"/>
      <c r="H384" s="8"/>
      <c r="I384" s="8"/>
      <c r="J384" s="8"/>
    </row>
    <row r="385">
      <c r="A385" s="142" t="s">
        <v>2770</v>
      </c>
      <c r="B385" s="142" t="str">
        <f>IFERROR(__xludf.DUMMYFUNCTION("""COMPUTED_VALUE"""),"PH156607000")</f>
        <v>PH156607000</v>
      </c>
      <c r="C385" s="8"/>
      <c r="D385" s="8"/>
      <c r="E385" s="8"/>
      <c r="F385" s="8"/>
      <c r="G385" s="8"/>
      <c r="H385" s="8"/>
      <c r="I385" s="8"/>
      <c r="J385" s="8"/>
    </row>
    <row r="386">
      <c r="A386" s="142" t="s">
        <v>2770</v>
      </c>
      <c r="B386" s="142" t="str">
        <f>IFERROR(__xludf.DUMMYFUNCTION("""COMPUTED_VALUE"""),"PH156607000")</f>
        <v>PH156607000</v>
      </c>
      <c r="C386" s="8"/>
      <c r="D386" s="8"/>
      <c r="E386" s="8"/>
      <c r="F386" s="8"/>
      <c r="G386" s="8"/>
      <c r="H386" s="8"/>
      <c r="I386" s="8"/>
      <c r="J386" s="8"/>
    </row>
    <row r="387">
      <c r="A387" s="142" t="s">
        <v>1291</v>
      </c>
      <c r="B387" s="142" t="str">
        <f>IFERROR(__xludf.DUMMYFUNCTION("""COMPUTED_VALUE"""),"PH037114000")</f>
        <v>PH037114000</v>
      </c>
      <c r="C387" s="8"/>
      <c r="D387" s="8"/>
      <c r="E387" s="8"/>
      <c r="F387" s="8"/>
      <c r="G387" s="8"/>
      <c r="H387" s="8"/>
      <c r="I387" s="8"/>
      <c r="J387" s="8"/>
    </row>
    <row r="388">
      <c r="A388" s="142" t="s">
        <v>2797</v>
      </c>
      <c r="B388" s="142" t="str">
        <f>IFERROR(__xludf.DUMMYFUNCTION("""COMPUTED_VALUE"""),"PH050513000")</f>
        <v>PH050513000</v>
      </c>
      <c r="C388" s="8"/>
      <c r="D388" s="8"/>
      <c r="E388" s="8"/>
      <c r="F388" s="8"/>
      <c r="G388" s="8"/>
      <c r="H388" s="8"/>
      <c r="I388" s="8"/>
      <c r="J388" s="8"/>
    </row>
    <row r="389">
      <c r="A389" s="142" t="s">
        <v>2805</v>
      </c>
      <c r="B389" s="142" t="str">
        <f>IFERROR(__xludf.DUMMYFUNCTION("""COMPUTED_VALUE"""),"PH051703000")</f>
        <v>PH051703000</v>
      </c>
      <c r="C389" s="142" t="str">
        <f>IFERROR(__xludf.DUMMYFUNCTION("""COMPUTED_VALUE"""),"PH052003000")</f>
        <v>PH052003000</v>
      </c>
      <c r="D389" s="142" t="str">
        <f>IFERROR(__xludf.DUMMYFUNCTION("""COMPUTED_VALUE"""),"PH083707000")</f>
        <v>PH083707000</v>
      </c>
      <c r="E389" s="8"/>
      <c r="F389" s="8"/>
      <c r="G389" s="8"/>
      <c r="H389" s="8"/>
      <c r="I389" s="8"/>
      <c r="J389" s="8"/>
    </row>
    <row r="390">
      <c r="A390" s="142" t="s">
        <v>2812</v>
      </c>
      <c r="B390" s="142" t="str">
        <f>IFERROR(__xludf.DUMMYFUNCTION("""COMPUTED_VALUE"""),"PH086402000")</f>
        <v>PH086402000</v>
      </c>
      <c r="C390" s="142" t="str">
        <f>IFERROR(__xludf.DUMMYFUNCTION("""COMPUTED_VALUE"""),"PH144404000")</f>
        <v>PH144404000</v>
      </c>
      <c r="D390" s="8"/>
      <c r="E390" s="8"/>
      <c r="F390" s="8"/>
      <c r="G390" s="8"/>
      <c r="H390" s="8"/>
      <c r="I390" s="8"/>
      <c r="J390" s="8"/>
    </row>
    <row r="391">
      <c r="A391" s="142" t="s">
        <v>2642</v>
      </c>
      <c r="B391" s="142" t="str">
        <f>IFERROR(__xludf.DUMMYFUNCTION("""COMPUTED_VALUE"""),"PH104314000")</f>
        <v>PH104314000</v>
      </c>
      <c r="C391" s="8"/>
      <c r="D391" s="8"/>
      <c r="E391" s="8"/>
      <c r="F391" s="8"/>
      <c r="G391" s="8"/>
      <c r="H391" s="8"/>
      <c r="I391" s="8"/>
      <c r="J391" s="8"/>
    </row>
    <row r="392">
      <c r="A392" s="142" t="s">
        <v>2821</v>
      </c>
      <c r="B392" s="142" t="str">
        <f>IFERROR(__xludf.DUMMYFUNCTION("""COMPUTED_VALUE"""),"PH082620000")</f>
        <v>PH082620000</v>
      </c>
      <c r="C392" s="8"/>
      <c r="D392" s="8"/>
      <c r="E392" s="8"/>
      <c r="F392" s="8"/>
      <c r="G392" s="8"/>
      <c r="H392" s="8"/>
      <c r="I392" s="8"/>
      <c r="J392" s="8"/>
    </row>
    <row r="393">
      <c r="A393" s="142" t="s">
        <v>2828</v>
      </c>
      <c r="B393" s="142" t="str">
        <f>IFERROR(__xludf.DUMMYFUNCTION("""COMPUTED_VALUE"""),"PH054111000")</f>
        <v>PH054111000</v>
      </c>
      <c r="C393" s="8"/>
      <c r="D393" s="8"/>
      <c r="E393" s="8"/>
      <c r="F393" s="8"/>
      <c r="G393" s="8"/>
      <c r="H393" s="8"/>
      <c r="I393" s="8"/>
      <c r="J393" s="8"/>
    </row>
    <row r="394">
      <c r="A394" s="142" t="s">
        <v>405</v>
      </c>
      <c r="B394" s="142" t="str">
        <f>IFERROR(__xludf.DUMMYFUNCTION("""COMPUTED_VALUE"""),"PH012905000")</f>
        <v>PH012905000</v>
      </c>
      <c r="C394" s="8"/>
      <c r="D394" s="8"/>
      <c r="E394" s="8"/>
      <c r="F394" s="8"/>
      <c r="G394" s="8"/>
      <c r="H394" s="8"/>
      <c r="I394" s="8"/>
      <c r="J394" s="8"/>
    </row>
    <row r="395">
      <c r="A395" s="142" t="s">
        <v>405</v>
      </c>
      <c r="B395" s="142" t="str">
        <f>IFERROR(__xludf.DUMMYFUNCTION("""COMPUTED_VALUE"""),"PH012905000")</f>
        <v>PH012905000</v>
      </c>
      <c r="C395" s="8"/>
      <c r="D395" s="8"/>
      <c r="E395" s="8"/>
      <c r="F395" s="8"/>
      <c r="G395" s="8"/>
      <c r="H395" s="8"/>
      <c r="I395" s="8"/>
      <c r="J395" s="8"/>
    </row>
    <row r="396">
      <c r="A396" s="142" t="s">
        <v>2845</v>
      </c>
      <c r="B396" s="142" t="str">
        <f>IFERROR(__xludf.DUMMYFUNCTION("""COMPUTED_VALUE"""),"PH013301000")</f>
        <v>PH013301000</v>
      </c>
      <c r="C396" s="8"/>
      <c r="D396" s="8"/>
      <c r="E396" s="8"/>
      <c r="F396" s="8"/>
      <c r="G396" s="8"/>
      <c r="H396" s="8"/>
      <c r="I396" s="8"/>
      <c r="J396" s="8"/>
    </row>
    <row r="397">
      <c r="A397" s="142" t="s">
        <v>2850</v>
      </c>
      <c r="B397" s="142" t="str">
        <f>IFERROR(__xludf.DUMMYFUNCTION("""COMPUTED_VALUE"""),"PH013317000")</f>
        <v>PH013317000</v>
      </c>
      <c r="C397" s="142" t="str">
        <f>IFERROR(__xludf.DUMMYFUNCTION("""COMPUTED_VALUE"""),"PH015540000")</f>
        <v>PH015540000</v>
      </c>
      <c r="D397" s="142" t="str">
        <f>IFERROR(__xludf.DUMMYFUNCTION("""COMPUTED_VALUE"""),"PH023136000")</f>
        <v>PH023136000</v>
      </c>
      <c r="E397" s="142" t="str">
        <f>IFERROR(__xludf.DUMMYFUNCTION("""COMPUTED_VALUE"""),"PH112318000")</f>
        <v>PH112318000</v>
      </c>
      <c r="F397" s="8"/>
      <c r="G397" s="8"/>
      <c r="H397" s="8"/>
      <c r="I397" s="8"/>
      <c r="J397" s="8"/>
    </row>
    <row r="398">
      <c r="A398" s="142" t="s">
        <v>221</v>
      </c>
      <c r="B398" s="142" t="str">
        <f>IFERROR(__xludf.DUMMYFUNCTION("""COMPUTED_VALUE"""),"PH015503000")</f>
        <v>PH015503000</v>
      </c>
      <c r="C398" s="8"/>
      <c r="D398" s="8"/>
      <c r="E398" s="8"/>
      <c r="F398" s="8"/>
      <c r="G398" s="8"/>
      <c r="H398" s="8"/>
      <c r="I398" s="8"/>
      <c r="J398" s="8"/>
    </row>
    <row r="399">
      <c r="A399" s="142" t="s">
        <v>2857</v>
      </c>
      <c r="B399" s="142" t="str">
        <f>IFERROR(__xludf.DUMMYFUNCTION("""COMPUTED_VALUE"""),"PH015521000")</f>
        <v>PH015521000</v>
      </c>
      <c r="C399" s="8"/>
      <c r="D399" s="8"/>
      <c r="E399" s="8"/>
      <c r="F399" s="8"/>
      <c r="G399" s="8"/>
      <c r="H399" s="8"/>
      <c r="I399" s="8"/>
      <c r="J399" s="8"/>
    </row>
    <row r="400">
      <c r="A400" s="142" t="s">
        <v>491</v>
      </c>
      <c r="B400" s="142" t="str">
        <f>IFERROR(__xludf.DUMMYFUNCTION("""COMPUTED_VALUE"""),"PH012920000")</f>
        <v>PH012920000</v>
      </c>
      <c r="C400" s="142" t="str">
        <f>IFERROR(__xludf.DUMMYFUNCTION("""COMPUTED_VALUE"""),"PH013316000")</f>
        <v>PH013316000</v>
      </c>
      <c r="D400" s="142" t="str">
        <f>IFERROR(__xludf.DUMMYFUNCTION("""COMPUTED_VALUE"""),"PH041023000")</f>
        <v>PH041023000</v>
      </c>
      <c r="E400" s="142" t="str">
        <f>IFERROR(__xludf.DUMMYFUNCTION("""COMPUTED_VALUE"""),"PH076105000")</f>
        <v>PH076105000</v>
      </c>
      <c r="F400" s="142" t="str">
        <f>IFERROR(__xludf.DUMMYFUNCTION("""COMPUTED_VALUE"""),"PH086414000")</f>
        <v>PH086414000</v>
      </c>
      <c r="G400" s="142" t="str">
        <f>IFERROR(__xludf.DUMMYFUNCTION("""COMPUTED_VALUE"""),"PH140122000")</f>
        <v>PH140122000</v>
      </c>
      <c r="H400" s="8"/>
      <c r="I400" s="8"/>
      <c r="J400" s="8"/>
    </row>
    <row r="401">
      <c r="A401" s="142" t="s">
        <v>491</v>
      </c>
      <c r="B401" s="142" t="str">
        <f>IFERROR(__xludf.DUMMYFUNCTION("""COMPUTED_VALUE"""),"PH012920000")</f>
        <v>PH012920000</v>
      </c>
      <c r="C401" s="142" t="str">
        <f>IFERROR(__xludf.DUMMYFUNCTION("""COMPUTED_VALUE"""),"PH013316000")</f>
        <v>PH013316000</v>
      </c>
      <c r="D401" s="142" t="str">
        <f>IFERROR(__xludf.DUMMYFUNCTION("""COMPUTED_VALUE"""),"PH041023000")</f>
        <v>PH041023000</v>
      </c>
      <c r="E401" s="142" t="str">
        <f>IFERROR(__xludf.DUMMYFUNCTION("""COMPUTED_VALUE"""),"PH076105000")</f>
        <v>PH076105000</v>
      </c>
      <c r="F401" s="142" t="str">
        <f>IFERROR(__xludf.DUMMYFUNCTION("""COMPUTED_VALUE"""),"PH086414000")</f>
        <v>PH086414000</v>
      </c>
      <c r="G401" s="142" t="str">
        <f>IFERROR(__xludf.DUMMYFUNCTION("""COMPUTED_VALUE"""),"PH140122000")</f>
        <v>PH140122000</v>
      </c>
      <c r="H401" s="8"/>
      <c r="I401" s="8"/>
      <c r="J401" s="8"/>
    </row>
    <row r="402">
      <c r="A402" s="142" t="s">
        <v>491</v>
      </c>
      <c r="B402" s="142" t="str">
        <f>IFERROR(__xludf.DUMMYFUNCTION("""COMPUTED_VALUE"""),"PH012920000")</f>
        <v>PH012920000</v>
      </c>
      <c r="C402" s="142" t="str">
        <f>IFERROR(__xludf.DUMMYFUNCTION("""COMPUTED_VALUE"""),"PH013316000")</f>
        <v>PH013316000</v>
      </c>
      <c r="D402" s="142" t="str">
        <f>IFERROR(__xludf.DUMMYFUNCTION("""COMPUTED_VALUE"""),"PH041023000")</f>
        <v>PH041023000</v>
      </c>
      <c r="E402" s="142" t="str">
        <f>IFERROR(__xludf.DUMMYFUNCTION("""COMPUTED_VALUE"""),"PH076105000")</f>
        <v>PH076105000</v>
      </c>
      <c r="F402" s="142" t="str">
        <f>IFERROR(__xludf.DUMMYFUNCTION("""COMPUTED_VALUE"""),"PH086414000")</f>
        <v>PH086414000</v>
      </c>
      <c r="G402" s="142" t="str">
        <f>IFERROR(__xludf.DUMMYFUNCTION("""COMPUTED_VALUE"""),"PH140122000")</f>
        <v>PH140122000</v>
      </c>
      <c r="H402" s="8"/>
      <c r="I402" s="8"/>
      <c r="J402" s="8"/>
    </row>
    <row r="403">
      <c r="A403" s="142" t="s">
        <v>894</v>
      </c>
      <c r="B403" s="142" t="str">
        <f>IFERROR(__xludf.DUMMYFUNCTION("""COMPUTED_VALUE"""),"PH012928000")</f>
        <v>PH012928000</v>
      </c>
      <c r="C403" s="142" t="str">
        <f>IFERROR(__xludf.DUMMYFUNCTION("""COMPUTED_VALUE"""),"PH034929000")</f>
        <v>PH034929000</v>
      </c>
      <c r="D403" s="142" t="str">
        <f>IFERROR(__xludf.DUMMYFUNCTION("""COMPUTED_VALUE"""),"PH050516000")</f>
        <v>PH050516000</v>
      </c>
      <c r="E403" s="8"/>
      <c r="F403" s="8"/>
      <c r="G403" s="8"/>
      <c r="H403" s="8"/>
      <c r="I403" s="8"/>
      <c r="J403" s="8"/>
    </row>
    <row r="404">
      <c r="A404" s="142" t="s">
        <v>1987</v>
      </c>
      <c r="B404" s="142" t="str">
        <f>IFERROR(__xludf.DUMMYFUNCTION("""COMPUTED_VALUE"""),"PH015534000")</f>
        <v>PH015534000</v>
      </c>
      <c r="C404" s="142" t="str">
        <f>IFERROR(__xludf.DUMMYFUNCTION("""COMPUTED_VALUE"""),"PH054119000")</f>
        <v>PH054119000</v>
      </c>
      <c r="D404" s="8"/>
      <c r="E404" s="8"/>
      <c r="F404" s="8"/>
      <c r="G404" s="8"/>
      <c r="H404" s="8"/>
      <c r="I404" s="8"/>
      <c r="J404" s="8"/>
    </row>
    <row r="405">
      <c r="A405" s="142" t="s">
        <v>2875</v>
      </c>
      <c r="B405" s="142" t="str">
        <f>IFERROR(__xludf.DUMMYFUNCTION("""COMPUTED_VALUE"""),"PH071242000")</f>
        <v>PH071242000</v>
      </c>
      <c r="C405" s="8"/>
      <c r="D405" s="8"/>
      <c r="E405" s="8"/>
      <c r="F405" s="8"/>
      <c r="G405" s="8"/>
      <c r="H405" s="8"/>
      <c r="I405" s="8"/>
      <c r="J405" s="8"/>
    </row>
    <row r="406">
      <c r="A406" s="142" t="s">
        <v>216</v>
      </c>
      <c r="B406" s="142" t="str">
        <f>IFERROR(__xludf.DUMMYFUNCTION("""COMPUTED_VALUE"""),"PH072226000")</f>
        <v>PH072226000</v>
      </c>
      <c r="C406" s="8"/>
      <c r="D406" s="8"/>
      <c r="E406" s="8"/>
      <c r="F406" s="8"/>
      <c r="G406" s="8"/>
      <c r="H406" s="8"/>
      <c r="I406" s="8"/>
      <c r="J406" s="8"/>
    </row>
    <row r="407">
      <c r="A407" s="142" t="s">
        <v>216</v>
      </c>
      <c r="B407" s="142" t="str">
        <f>IFERROR(__xludf.DUMMYFUNCTION("""COMPUTED_VALUE"""),"PH072226000")</f>
        <v>PH072226000</v>
      </c>
      <c r="C407" s="8"/>
      <c r="D407" s="8"/>
      <c r="E407" s="8"/>
      <c r="F407" s="8"/>
      <c r="G407" s="8"/>
      <c r="H407" s="8"/>
      <c r="I407" s="8"/>
      <c r="J407" s="8"/>
    </row>
    <row r="408">
      <c r="A408" s="142" t="s">
        <v>621</v>
      </c>
      <c r="B408" s="142" t="str">
        <f>IFERROR(__xludf.DUMMYFUNCTION("""COMPUTED_VALUE"""),"PH133900000")</f>
        <v>PH133900000</v>
      </c>
      <c r="C408" s="8"/>
      <c r="D408" s="8"/>
      <c r="E408" s="8"/>
      <c r="F408" s="8"/>
      <c r="G408" s="8"/>
      <c r="H408" s="8"/>
      <c r="I408" s="8"/>
      <c r="J408" s="8"/>
    </row>
    <row r="409">
      <c r="A409" s="142" t="s">
        <v>983</v>
      </c>
      <c r="B409" s="142" t="str">
        <f>IFERROR(__xludf.DUMMYFUNCTION("""COMPUTED_VALUE"""),"PH064507000")</f>
        <v>PH064507000</v>
      </c>
      <c r="C409" s="8"/>
      <c r="D409" s="8"/>
      <c r="E409" s="8"/>
      <c r="F409" s="8"/>
      <c r="G409" s="8"/>
      <c r="H409" s="8"/>
      <c r="I409" s="8"/>
      <c r="J409" s="8"/>
    </row>
    <row r="410">
      <c r="A410" s="142" t="s">
        <v>221</v>
      </c>
      <c r="B410" s="142" t="str">
        <f>IFERROR(__xludf.DUMMYFUNCTION("""COMPUTED_VALUE"""),"PH015503000")</f>
        <v>PH015503000</v>
      </c>
      <c r="C410" s="8"/>
      <c r="D410" s="8"/>
      <c r="E410" s="8"/>
      <c r="F410" s="8"/>
      <c r="G410" s="8"/>
      <c r="H410" s="8"/>
      <c r="I410" s="8"/>
      <c r="J410" s="8"/>
    </row>
    <row r="411">
      <c r="A411" s="142" t="s">
        <v>230</v>
      </c>
      <c r="B411" s="142" t="str">
        <f>IFERROR(__xludf.DUMMYFUNCTION("""COMPUTED_VALUE"""),"PH015505000")</f>
        <v>PH015505000</v>
      </c>
      <c r="C411" s="142" t="str">
        <f>IFERROR(__xludf.DUMMYFUNCTION("""COMPUTED_VALUE"""),"PH071203000")</f>
        <v>PH071203000</v>
      </c>
      <c r="D411" s="8"/>
      <c r="E411" s="8"/>
      <c r="F411" s="8"/>
      <c r="G411" s="8"/>
      <c r="H411" s="8"/>
      <c r="I411" s="8"/>
      <c r="J411" s="8"/>
    </row>
    <row r="412">
      <c r="A412" s="142" t="s">
        <v>230</v>
      </c>
      <c r="B412" s="142" t="str">
        <f>IFERROR(__xludf.DUMMYFUNCTION("""COMPUTED_VALUE"""),"PH015505000")</f>
        <v>PH015505000</v>
      </c>
      <c r="C412" s="142" t="str">
        <f>IFERROR(__xludf.DUMMYFUNCTION("""COMPUTED_VALUE"""),"PH071203000")</f>
        <v>PH071203000</v>
      </c>
      <c r="D412" s="8"/>
      <c r="E412" s="8"/>
      <c r="F412" s="8"/>
      <c r="G412" s="8"/>
      <c r="H412" s="8"/>
      <c r="I412" s="8"/>
      <c r="J412" s="8"/>
    </row>
    <row r="413">
      <c r="A413" s="142" t="s">
        <v>230</v>
      </c>
      <c r="B413" s="142" t="str">
        <f>IFERROR(__xludf.DUMMYFUNCTION("""COMPUTED_VALUE"""),"PH015505000")</f>
        <v>PH015505000</v>
      </c>
      <c r="C413" s="142" t="str">
        <f>IFERROR(__xludf.DUMMYFUNCTION("""COMPUTED_VALUE"""),"PH071203000")</f>
        <v>PH071203000</v>
      </c>
      <c r="D413" s="8"/>
      <c r="E413" s="8"/>
      <c r="F413" s="8"/>
      <c r="G413" s="8"/>
      <c r="H413" s="8"/>
      <c r="I413" s="8"/>
      <c r="J413" s="8"/>
    </row>
    <row r="414">
      <c r="A414" s="142" t="s">
        <v>230</v>
      </c>
      <c r="B414" s="142" t="str">
        <f>IFERROR(__xludf.DUMMYFUNCTION("""COMPUTED_VALUE"""),"PH015505000")</f>
        <v>PH015505000</v>
      </c>
      <c r="C414" s="142" t="str">
        <f>IFERROR(__xludf.DUMMYFUNCTION("""COMPUTED_VALUE"""),"PH071203000")</f>
        <v>PH071203000</v>
      </c>
      <c r="D414" s="8"/>
      <c r="E414" s="8"/>
      <c r="F414" s="8"/>
      <c r="G414" s="8"/>
      <c r="H414" s="8"/>
      <c r="I414" s="8"/>
      <c r="J414" s="8"/>
    </row>
    <row r="415">
      <c r="A415" s="142" t="s">
        <v>693</v>
      </c>
      <c r="B415" s="142" t="str">
        <f>IFERROR(__xludf.DUMMYFUNCTION("""COMPUTED_VALUE"""),"PH015514000")</f>
        <v>PH015514000</v>
      </c>
      <c r="C415" s="8"/>
      <c r="D415" s="8"/>
      <c r="E415" s="8"/>
      <c r="F415" s="8"/>
      <c r="G415" s="8"/>
      <c r="H415" s="8"/>
      <c r="I415" s="8"/>
      <c r="J415" s="8"/>
    </row>
    <row r="416">
      <c r="A416" s="142" t="s">
        <v>693</v>
      </c>
      <c r="B416" s="142" t="str">
        <f>IFERROR(__xludf.DUMMYFUNCTION("""COMPUTED_VALUE"""),"PH015514000")</f>
        <v>PH015514000</v>
      </c>
      <c r="C416" s="8"/>
      <c r="D416" s="8"/>
      <c r="E416" s="8"/>
      <c r="F416" s="8"/>
      <c r="G416" s="8"/>
      <c r="H416" s="8"/>
      <c r="I416" s="8"/>
      <c r="J416" s="8"/>
    </row>
    <row r="417">
      <c r="A417" s="142" t="s">
        <v>693</v>
      </c>
      <c r="B417" s="142" t="str">
        <f>IFERROR(__xludf.DUMMYFUNCTION("""COMPUTED_VALUE"""),"PH015514000")</f>
        <v>PH015514000</v>
      </c>
      <c r="C417" s="8"/>
      <c r="D417" s="8"/>
      <c r="E417" s="8"/>
      <c r="F417" s="8"/>
      <c r="G417" s="8"/>
      <c r="H417" s="8"/>
      <c r="I417" s="8"/>
      <c r="J417" s="8"/>
    </row>
    <row r="418">
      <c r="A418" s="142" t="s">
        <v>693</v>
      </c>
      <c r="B418" s="142" t="str">
        <f>IFERROR(__xludf.DUMMYFUNCTION("""COMPUTED_VALUE"""),"PH015514000")</f>
        <v>PH015514000</v>
      </c>
      <c r="C418" s="8"/>
      <c r="D418" s="8"/>
      <c r="E418" s="8"/>
      <c r="F418" s="8"/>
      <c r="G418" s="8"/>
      <c r="H418" s="8"/>
      <c r="I418" s="8"/>
      <c r="J418" s="8"/>
    </row>
    <row r="419">
      <c r="A419" s="142" t="s">
        <v>693</v>
      </c>
      <c r="B419" s="142" t="str">
        <f>IFERROR(__xludf.DUMMYFUNCTION("""COMPUTED_VALUE"""),"PH015514000")</f>
        <v>PH015514000</v>
      </c>
      <c r="C419" s="8"/>
      <c r="D419" s="8"/>
      <c r="E419" s="8"/>
      <c r="F419" s="8"/>
      <c r="G419" s="8"/>
      <c r="H419" s="8"/>
      <c r="I419" s="8"/>
      <c r="J419" s="8"/>
    </row>
    <row r="420">
      <c r="A420" s="142" t="s">
        <v>693</v>
      </c>
      <c r="B420" s="142" t="str">
        <f>IFERROR(__xludf.DUMMYFUNCTION("""COMPUTED_VALUE"""),"PH015514000")</f>
        <v>PH015514000</v>
      </c>
      <c r="C420" s="8"/>
      <c r="D420" s="8"/>
      <c r="E420" s="8"/>
      <c r="F420" s="8"/>
      <c r="G420" s="8"/>
      <c r="H420" s="8"/>
      <c r="I420" s="8"/>
      <c r="J420" s="8"/>
    </row>
    <row r="421">
      <c r="A421" s="142" t="s">
        <v>693</v>
      </c>
      <c r="B421" s="142" t="str">
        <f>IFERROR(__xludf.DUMMYFUNCTION("""COMPUTED_VALUE"""),"PH015514000")</f>
        <v>PH015514000</v>
      </c>
      <c r="C421" s="8"/>
      <c r="D421" s="8"/>
      <c r="E421" s="8"/>
      <c r="F421" s="8"/>
      <c r="G421" s="8"/>
      <c r="H421" s="8"/>
      <c r="I421" s="8"/>
      <c r="J421" s="8"/>
    </row>
    <row r="422">
      <c r="A422" s="142" t="s">
        <v>693</v>
      </c>
      <c r="B422" s="142" t="str">
        <f>IFERROR(__xludf.DUMMYFUNCTION("""COMPUTED_VALUE"""),"PH015514000")</f>
        <v>PH015514000</v>
      </c>
      <c r="C422" s="8"/>
      <c r="D422" s="8"/>
      <c r="E422" s="8"/>
      <c r="F422" s="8"/>
      <c r="G422" s="8"/>
      <c r="H422" s="8"/>
      <c r="I422" s="8"/>
      <c r="J422" s="8"/>
    </row>
    <row r="423">
      <c r="A423" s="142" t="s">
        <v>693</v>
      </c>
      <c r="B423" s="142" t="str">
        <f>IFERROR(__xludf.DUMMYFUNCTION("""COMPUTED_VALUE"""),"PH015514000")</f>
        <v>PH015514000</v>
      </c>
      <c r="C423" s="8"/>
      <c r="D423" s="8"/>
      <c r="E423" s="8"/>
      <c r="F423" s="8"/>
      <c r="G423" s="8"/>
      <c r="H423" s="8"/>
      <c r="I423" s="8"/>
      <c r="J423" s="8"/>
    </row>
    <row r="424">
      <c r="A424" s="142" t="s">
        <v>693</v>
      </c>
      <c r="B424" s="142" t="str">
        <f>IFERROR(__xludf.DUMMYFUNCTION("""COMPUTED_VALUE"""),"PH015514000")</f>
        <v>PH015514000</v>
      </c>
      <c r="C424" s="8"/>
      <c r="D424" s="8"/>
      <c r="E424" s="8"/>
      <c r="F424" s="8"/>
      <c r="G424" s="8"/>
      <c r="H424" s="8"/>
      <c r="I424" s="8"/>
      <c r="J424" s="8"/>
    </row>
    <row r="425">
      <c r="A425" s="142" t="s">
        <v>693</v>
      </c>
      <c r="B425" s="142" t="str">
        <f>IFERROR(__xludf.DUMMYFUNCTION("""COMPUTED_VALUE"""),"PH015514000")</f>
        <v>PH015514000</v>
      </c>
      <c r="C425" s="8"/>
      <c r="D425" s="8"/>
      <c r="E425" s="8"/>
      <c r="F425" s="8"/>
      <c r="G425" s="8"/>
      <c r="H425" s="8"/>
      <c r="I425" s="8"/>
      <c r="J425" s="8"/>
    </row>
    <row r="426">
      <c r="A426" s="142" t="s">
        <v>1667</v>
      </c>
      <c r="B426" s="142" t="str">
        <f>IFERROR(__xludf.DUMMYFUNCTION("""COMPUTED_VALUE"""),"PH036918000")</f>
        <v>PH036918000</v>
      </c>
      <c r="C426" s="142" t="str">
        <f>IFERROR(__xludf.DUMMYFUNCTION("""COMPUTED_VALUE"""),"PH041022000")</f>
        <v>PH041022000</v>
      </c>
      <c r="D426" s="142" t="str">
        <f>IFERROR(__xludf.DUMMYFUNCTION("""COMPUTED_VALUE"""),"PH175110000")</f>
        <v>PH175110000</v>
      </c>
      <c r="E426" s="142" t="str">
        <f>IFERROR(__xludf.DUMMYFUNCTION("""COMPUTED_VALUE"""),"PH175914000")</f>
        <v>PH175914000</v>
      </c>
      <c r="F426" s="142" t="str">
        <f>IFERROR(__xludf.DUMMYFUNCTION("""COMPUTED_VALUE"""),"PH051733000")</f>
        <v>PH051733000</v>
      </c>
      <c r="G426" s="142" t="str">
        <f>IFERROR(__xludf.DUMMYFUNCTION("""COMPUTED_VALUE"""),"PH060613000")</f>
        <v>PH060613000</v>
      </c>
      <c r="H426" s="142" t="str">
        <f>IFERROR(__xludf.DUMMYFUNCTION("""COMPUTED_VALUE"""),"PH074617000")</f>
        <v>PH074617000</v>
      </c>
      <c r="I426" s="142" t="str">
        <f>IFERROR(__xludf.DUMMYFUNCTION("""COMPUTED_VALUE"""),"PH084819000")</f>
        <v>PH084819000</v>
      </c>
      <c r="J426" s="142" t="str">
        <f>IFERROR(__xludf.DUMMYFUNCTION("""COMPUTED_VALUE"""),"PH168506000")</f>
        <v>PH168506000</v>
      </c>
    </row>
    <row r="427">
      <c r="A427" s="142" t="s">
        <v>1324</v>
      </c>
      <c r="B427" s="142" t="str">
        <f>IFERROR(__xludf.DUMMYFUNCTION("""COMPUTED_VALUE"""),"PH051727000")</f>
        <v>PH051727000</v>
      </c>
      <c r="C427" s="8"/>
      <c r="D427" s="8"/>
      <c r="E427" s="8"/>
      <c r="F427" s="8"/>
      <c r="G427" s="8"/>
      <c r="H427" s="8"/>
      <c r="I427" s="8"/>
      <c r="J427" s="8"/>
    </row>
    <row r="428">
      <c r="A428" s="142" t="s">
        <v>973</v>
      </c>
      <c r="B428" s="142" t="str">
        <f>IFERROR(__xludf.DUMMYFUNCTION("""COMPUTED_VALUE"""),"PH082612000")</f>
        <v>PH082612000</v>
      </c>
      <c r="C428" s="8"/>
      <c r="D428" s="8"/>
      <c r="E428" s="8"/>
      <c r="F428" s="8"/>
      <c r="G428" s="8"/>
      <c r="H428" s="8"/>
      <c r="I428" s="8"/>
      <c r="J428" s="8"/>
    </row>
    <row r="429">
      <c r="A429" s="142" t="s">
        <v>973</v>
      </c>
      <c r="B429" s="142" t="str">
        <f>IFERROR(__xludf.DUMMYFUNCTION("""COMPUTED_VALUE"""),"PH082612000")</f>
        <v>PH082612000</v>
      </c>
      <c r="C429" s="8"/>
      <c r="D429" s="8"/>
      <c r="E429" s="8"/>
      <c r="F429" s="8"/>
      <c r="G429" s="8"/>
      <c r="H429" s="8"/>
      <c r="I429" s="8"/>
      <c r="J429" s="8"/>
    </row>
    <row r="430">
      <c r="A430" s="142" t="s">
        <v>3026</v>
      </c>
      <c r="B430" s="142" t="str">
        <f>IFERROR(__xludf.DUMMYFUNCTION("""COMPUTED_VALUE"""),"PH082618000")</f>
        <v>PH082618000</v>
      </c>
      <c r="C430" s="8"/>
      <c r="D430" s="8"/>
      <c r="E430" s="8"/>
      <c r="F430" s="8"/>
      <c r="G430" s="8"/>
      <c r="H430" s="8"/>
      <c r="I430" s="8"/>
      <c r="J430" s="8"/>
    </row>
    <row r="431">
      <c r="A431" s="142" t="s">
        <v>1689</v>
      </c>
      <c r="B431" s="142" t="str">
        <f>IFERROR(__xludf.DUMMYFUNCTION("""COMPUTED_VALUE"""),"PH128003000")</f>
        <v>PH128003000</v>
      </c>
      <c r="C431" s="8"/>
      <c r="D431" s="8"/>
      <c r="E431" s="8"/>
      <c r="F431" s="8"/>
      <c r="G431" s="8"/>
      <c r="H431" s="8"/>
      <c r="I431" s="8"/>
      <c r="J431" s="8"/>
    </row>
    <row r="432">
      <c r="A432" s="142" t="s">
        <v>986</v>
      </c>
      <c r="B432" s="142" t="str">
        <f>IFERROR(__xludf.DUMMYFUNCTION("""COMPUTED_VALUE"""),"PH074610000")</f>
        <v>PH074610000</v>
      </c>
      <c r="C432" s="8"/>
      <c r="D432" s="8"/>
      <c r="E432" s="8"/>
      <c r="F432" s="8"/>
      <c r="G432" s="8"/>
      <c r="H432" s="8"/>
      <c r="I432" s="8"/>
      <c r="J432" s="8"/>
    </row>
    <row r="433">
      <c r="A433" s="142" t="s">
        <v>259</v>
      </c>
      <c r="B433" s="142" t="str">
        <f>IFERROR(__xludf.DUMMYFUNCTION("""COMPUTED_VALUE"""),"PH041019000")</f>
        <v>PH041019000</v>
      </c>
      <c r="C433" s="8"/>
      <c r="D433" s="8"/>
      <c r="E433" s="8"/>
      <c r="F433" s="8"/>
      <c r="G433" s="8"/>
      <c r="H433" s="8"/>
      <c r="I433" s="8"/>
      <c r="J433" s="8"/>
    </row>
    <row r="434">
      <c r="A434" s="142" t="s">
        <v>3678</v>
      </c>
      <c r="B434" s="142" t="str">
        <f>IFERROR(__xludf.DUMMYFUNCTION("""COMPUTED_VALUE"""),"PH012906000")</f>
        <v>PH012906000</v>
      </c>
      <c r="C434" s="8"/>
      <c r="D434" s="8"/>
      <c r="E434" s="8"/>
      <c r="F434" s="8"/>
      <c r="G434" s="8"/>
      <c r="H434" s="8"/>
      <c r="I434" s="8"/>
      <c r="J434" s="8"/>
    </row>
    <row r="435">
      <c r="A435" s="142" t="s">
        <v>3052</v>
      </c>
      <c r="B435" s="142" t="str">
        <f>IFERROR(__xludf.DUMMYFUNCTION("""COMPUTED_VALUE"""),"PH012927000")</f>
        <v>PH012927000</v>
      </c>
      <c r="C435" s="142" t="str">
        <f>IFERROR(__xludf.DUMMYFUNCTION("""COMPUTED_VALUE"""),"PH160210000")</f>
        <v>PH160210000</v>
      </c>
      <c r="D435" s="8"/>
      <c r="E435" s="8"/>
      <c r="F435" s="8"/>
      <c r="G435" s="8"/>
      <c r="H435" s="8"/>
      <c r="I435" s="8"/>
      <c r="J435" s="8"/>
    </row>
    <row r="436">
      <c r="A436" s="142" t="s">
        <v>1375</v>
      </c>
      <c r="B436" s="142" t="str">
        <f>IFERROR(__xludf.DUMMYFUNCTION("""COMPUTED_VALUE"""),"PH030807000")</f>
        <v>PH030807000</v>
      </c>
      <c r="C436" s="8"/>
      <c r="D436" s="8"/>
      <c r="E436" s="8"/>
      <c r="F436" s="8"/>
      <c r="G436" s="8"/>
      <c r="H436" s="8"/>
      <c r="I436" s="8"/>
      <c r="J436" s="8"/>
    </row>
    <row r="437">
      <c r="A437" s="142" t="s">
        <v>1795</v>
      </c>
      <c r="B437" s="142" t="str">
        <f>IFERROR(__xludf.DUMMYFUNCTION("""COMPUTED_VALUE"""),"PH030808000")</f>
        <v>PH030808000</v>
      </c>
      <c r="C437" s="142" t="str">
        <f>IFERROR(__xludf.DUMMYFUNCTION("""COMPUTED_VALUE"""),"PH045809000")</f>
        <v>PH045809000</v>
      </c>
      <c r="D437" s="8"/>
      <c r="E437" s="8"/>
      <c r="F437" s="8"/>
      <c r="G437" s="8"/>
      <c r="H437" s="8"/>
      <c r="I437" s="8"/>
      <c r="J437" s="8"/>
    </row>
    <row r="438">
      <c r="A438" s="142" t="s">
        <v>1795</v>
      </c>
      <c r="B438" s="142" t="str">
        <f>IFERROR(__xludf.DUMMYFUNCTION("""COMPUTED_VALUE"""),"PH030808000")</f>
        <v>PH030808000</v>
      </c>
      <c r="C438" s="142" t="str">
        <f>IFERROR(__xludf.DUMMYFUNCTION("""COMPUTED_VALUE"""),"PH045809000")</f>
        <v>PH045809000</v>
      </c>
      <c r="D438" s="8"/>
      <c r="E438" s="8"/>
      <c r="F438" s="8"/>
      <c r="G438" s="8"/>
      <c r="H438" s="8"/>
      <c r="I438" s="8"/>
      <c r="J438" s="8"/>
    </row>
    <row r="439">
      <c r="A439" s="142" t="s">
        <v>3070</v>
      </c>
      <c r="B439" s="142" t="str">
        <f>IFERROR(__xludf.DUMMYFUNCTION("""COMPUTED_VALUE"""),"PH034924000")</f>
        <v>PH034924000</v>
      </c>
      <c r="C439" s="142" t="str">
        <f>IFERROR(__xludf.DUMMYFUNCTION("""COMPUTED_VALUE"""),"PH037109000")</f>
        <v>PH037109000</v>
      </c>
      <c r="D439" s="142" t="str">
        <f>IFERROR(__xludf.DUMMYFUNCTION("""COMPUTED_VALUE"""),"PH045641000")</f>
        <v>PH045641000</v>
      </c>
      <c r="E439" s="142" t="str">
        <f>IFERROR(__xludf.DUMMYFUNCTION("""COMPUTED_VALUE"""),"PH084817000")</f>
        <v>PH084817000</v>
      </c>
      <c r="F439" s="8"/>
      <c r="G439" s="8"/>
      <c r="H439" s="8"/>
      <c r="I439" s="8"/>
      <c r="J439" s="8"/>
    </row>
    <row r="440">
      <c r="A440" s="142" t="s">
        <v>3075</v>
      </c>
      <c r="B440" s="142" t="str">
        <f>IFERROR(__xludf.DUMMYFUNCTION("""COMPUTED_VALUE"""),"PH041003000")</f>
        <v>PH041003000</v>
      </c>
      <c r="C440" s="8"/>
      <c r="D440" s="8"/>
      <c r="E440" s="8"/>
      <c r="F440" s="8"/>
      <c r="G440" s="8"/>
      <c r="H440" s="8"/>
      <c r="I440" s="8"/>
      <c r="J440" s="8"/>
    </row>
    <row r="441">
      <c r="A441" s="142" t="s">
        <v>3081</v>
      </c>
      <c r="B441" s="142" t="str">
        <f>IFERROR(__xludf.DUMMYFUNCTION("""COMPUTED_VALUE"""),"PH051711000")</f>
        <v>PH051711000</v>
      </c>
      <c r="C441" s="8"/>
      <c r="D441" s="8"/>
      <c r="E441" s="8"/>
      <c r="F441" s="8"/>
      <c r="G441" s="8"/>
      <c r="H441" s="8"/>
      <c r="I441" s="8"/>
      <c r="J441" s="8"/>
    </row>
    <row r="442">
      <c r="A442" s="142" t="s">
        <v>3090</v>
      </c>
      <c r="B442" s="142" t="str">
        <f>IFERROR(__xludf.DUMMYFUNCTION("""COMPUTED_VALUE"""),"PH060404000")</f>
        <v>PH060404000</v>
      </c>
      <c r="C442" s="8"/>
      <c r="D442" s="8"/>
      <c r="E442" s="8"/>
      <c r="F442" s="8"/>
      <c r="G442" s="8"/>
      <c r="H442" s="8"/>
      <c r="I442" s="8"/>
      <c r="J442" s="8"/>
    </row>
    <row r="443">
      <c r="A443" s="142" t="s">
        <v>747</v>
      </c>
      <c r="B443" s="142" t="str">
        <f>IFERROR(__xludf.DUMMYFUNCTION("""COMPUTED_VALUE"""),"PH060406000")</f>
        <v>PH060406000</v>
      </c>
      <c r="C443" s="8"/>
      <c r="D443" s="8"/>
      <c r="E443" s="8"/>
      <c r="F443" s="8"/>
      <c r="G443" s="8"/>
      <c r="H443" s="8"/>
      <c r="I443" s="8"/>
      <c r="J443" s="8"/>
    </row>
    <row r="444">
      <c r="A444" s="142" t="s">
        <v>3096</v>
      </c>
      <c r="B444" s="142" t="str">
        <f>IFERROR(__xludf.DUMMYFUNCTION("""COMPUTED_VALUE"""),"PH060407000")</f>
        <v>PH060407000</v>
      </c>
      <c r="C444" s="8"/>
      <c r="D444" s="8"/>
      <c r="E444" s="8"/>
      <c r="F444" s="8"/>
      <c r="G444" s="8"/>
      <c r="H444" s="8"/>
      <c r="I444" s="8"/>
      <c r="J444" s="8"/>
    </row>
    <row r="445">
      <c r="A445" s="142" t="s">
        <v>316</v>
      </c>
      <c r="B445" s="142" t="str">
        <f>IFERROR(__xludf.DUMMYFUNCTION("""COMPUTED_VALUE"""),"PH060412000")</f>
        <v>PH060412000</v>
      </c>
      <c r="C445" s="8"/>
      <c r="D445" s="8"/>
      <c r="E445" s="8"/>
      <c r="F445" s="8"/>
      <c r="G445" s="8"/>
      <c r="H445" s="8"/>
      <c r="I445" s="8"/>
      <c r="J445" s="8"/>
    </row>
    <row r="446">
      <c r="A446" s="142" t="s">
        <v>316</v>
      </c>
      <c r="B446" s="142" t="str">
        <f>IFERROR(__xludf.DUMMYFUNCTION("""COMPUTED_VALUE"""),"PH060412000")</f>
        <v>PH060412000</v>
      </c>
      <c r="C446" s="8"/>
      <c r="D446" s="8"/>
      <c r="E446" s="8"/>
      <c r="F446" s="8"/>
      <c r="G446" s="8"/>
      <c r="H446" s="8"/>
      <c r="I446" s="8"/>
      <c r="J446" s="8"/>
    </row>
    <row r="447">
      <c r="A447" s="142" t="s">
        <v>3108</v>
      </c>
      <c r="B447" s="142" t="str">
        <f>IFERROR(__xludf.DUMMYFUNCTION("""COMPUTED_VALUE"""),"PH060414000")</f>
        <v>PH060414000</v>
      </c>
      <c r="C447" s="8"/>
      <c r="D447" s="8"/>
      <c r="E447" s="8"/>
      <c r="F447" s="8"/>
      <c r="G447" s="8"/>
      <c r="H447" s="8"/>
      <c r="I447" s="8"/>
      <c r="J447" s="8"/>
    </row>
    <row r="448">
      <c r="A448" s="142" t="s">
        <v>3111</v>
      </c>
      <c r="B448" s="142" t="str">
        <f>IFERROR(__xludf.DUMMYFUNCTION("""COMPUTED_VALUE"""),"PH060415000")</f>
        <v>PH060415000</v>
      </c>
      <c r="C448" s="8"/>
      <c r="D448" s="8"/>
      <c r="E448" s="8"/>
      <c r="F448" s="8"/>
      <c r="G448" s="8"/>
      <c r="H448" s="8"/>
      <c r="I448" s="8"/>
      <c r="J448" s="8"/>
    </row>
    <row r="449">
      <c r="A449" s="142" t="s">
        <v>3115</v>
      </c>
      <c r="B449" s="142" t="str">
        <f>IFERROR(__xludf.DUMMYFUNCTION("""COMPUTED_VALUE"""),"PH060416000")</f>
        <v>PH060416000</v>
      </c>
      <c r="C449" s="8"/>
      <c r="D449" s="8"/>
      <c r="E449" s="8"/>
      <c r="F449" s="8"/>
      <c r="G449" s="8"/>
      <c r="H449" s="8"/>
      <c r="I449" s="8"/>
      <c r="J449" s="8"/>
    </row>
    <row r="450">
      <c r="A450" s="142" t="s">
        <v>1199</v>
      </c>
      <c r="B450" s="142" t="str">
        <f>IFERROR(__xludf.DUMMYFUNCTION("""COMPUTED_VALUE"""),"PH060417000")</f>
        <v>PH060417000</v>
      </c>
      <c r="C450" s="8"/>
      <c r="D450" s="8"/>
      <c r="E450" s="8"/>
      <c r="F450" s="8"/>
      <c r="G450" s="8"/>
      <c r="H450" s="8"/>
      <c r="I450" s="8"/>
      <c r="J450" s="8"/>
    </row>
    <row r="451">
      <c r="A451" s="142" t="s">
        <v>3122</v>
      </c>
      <c r="B451" s="142" t="str">
        <f>IFERROR(__xludf.DUMMYFUNCTION("""COMPUTED_VALUE"""),"PH060602000")</f>
        <v>PH060602000</v>
      </c>
      <c r="C451" s="8"/>
      <c r="D451" s="8"/>
      <c r="E451" s="8"/>
      <c r="F451" s="8"/>
      <c r="G451" s="8"/>
      <c r="H451" s="8"/>
      <c r="I451" s="8"/>
      <c r="J451" s="8"/>
    </row>
    <row r="452">
      <c r="A452" s="142" t="s">
        <v>3130</v>
      </c>
      <c r="B452" s="142" t="str">
        <f>IFERROR(__xludf.DUMMYFUNCTION("""COMPUTED_VALUE"""),"PH061914000")</f>
        <v>PH061914000</v>
      </c>
      <c r="C452" s="8"/>
      <c r="D452" s="8"/>
      <c r="E452" s="8"/>
      <c r="F452" s="8"/>
      <c r="G452" s="8"/>
      <c r="H452" s="8"/>
      <c r="I452" s="8"/>
      <c r="J452" s="8"/>
    </row>
    <row r="453">
      <c r="A453" s="142" t="s">
        <v>3137</v>
      </c>
      <c r="B453" s="142" t="str">
        <f>IFERROR(__xludf.DUMMYFUNCTION("""COMPUTED_VALUE"""),"PH063009000")</f>
        <v>PH063009000</v>
      </c>
      <c r="C453" s="8"/>
      <c r="D453" s="8"/>
      <c r="E453" s="8"/>
      <c r="F453" s="8"/>
      <c r="G453" s="8"/>
      <c r="H453" s="8"/>
      <c r="I453" s="8"/>
      <c r="J453" s="8"/>
    </row>
    <row r="454">
      <c r="A454" s="142" t="s">
        <v>3143</v>
      </c>
      <c r="B454" s="142" t="str">
        <f>IFERROR(__xludf.DUMMYFUNCTION("""COMPUTED_VALUE"""),"PH063019000")</f>
        <v>PH063019000</v>
      </c>
      <c r="C454" s="8"/>
      <c r="D454" s="8"/>
      <c r="E454" s="8"/>
      <c r="F454" s="8"/>
      <c r="G454" s="8"/>
      <c r="H454" s="8"/>
      <c r="I454" s="8"/>
      <c r="J454" s="8"/>
    </row>
    <row r="455">
      <c r="A455" s="142" t="s">
        <v>195</v>
      </c>
      <c r="B455" s="142" t="str">
        <f>IFERROR(__xludf.DUMMYFUNCTION("""COMPUTED_VALUE"""),"PH072220000")</f>
        <v>PH072220000</v>
      </c>
      <c r="C455" s="8"/>
      <c r="D455" s="8"/>
      <c r="E455" s="8"/>
      <c r="F455" s="8"/>
      <c r="G455" s="8"/>
      <c r="H455" s="8"/>
      <c r="I455" s="8"/>
      <c r="J455" s="8"/>
    </row>
    <row r="456">
      <c r="A456" s="142" t="s">
        <v>216</v>
      </c>
      <c r="B456" s="142" t="str">
        <f>IFERROR(__xludf.DUMMYFUNCTION("""COMPUTED_VALUE"""),"PH072226000")</f>
        <v>PH072226000</v>
      </c>
      <c r="C456" s="8"/>
      <c r="D456" s="8"/>
      <c r="E456" s="8"/>
      <c r="F456" s="8"/>
      <c r="G456" s="8"/>
      <c r="H456" s="8"/>
      <c r="I456" s="8"/>
      <c r="J456" s="8"/>
    </row>
    <row r="457">
      <c r="A457" s="142" t="s">
        <v>216</v>
      </c>
      <c r="B457" s="142" t="str">
        <f>IFERROR(__xludf.DUMMYFUNCTION("""COMPUTED_VALUE"""),"PH072226000")</f>
        <v>PH072226000</v>
      </c>
      <c r="C457" s="8"/>
      <c r="D457" s="8"/>
      <c r="E457" s="8"/>
      <c r="F457" s="8"/>
      <c r="G457" s="8"/>
      <c r="H457" s="8"/>
      <c r="I457" s="8"/>
      <c r="J457" s="8"/>
    </row>
    <row r="458">
      <c r="A458" s="142" t="s">
        <v>3155</v>
      </c>
      <c r="B458" s="142" t="str">
        <f>IFERROR(__xludf.DUMMYFUNCTION("""COMPUTED_VALUE"""),"PH012916000")</f>
        <v>PH012916000</v>
      </c>
      <c r="C458" s="142" t="str">
        <f>IFERROR(__xludf.DUMMYFUNCTION("""COMPUTED_VALUE"""),"PH082619000")</f>
        <v>PH082619000</v>
      </c>
      <c r="D458" s="8"/>
      <c r="E458" s="8"/>
      <c r="F458" s="8"/>
      <c r="G458" s="8"/>
      <c r="H458" s="8"/>
      <c r="I458" s="8"/>
      <c r="J458" s="8"/>
    </row>
    <row r="459">
      <c r="A459" s="142" t="s">
        <v>3161</v>
      </c>
      <c r="B459" s="142" t="str">
        <f>IFERROR(__xludf.DUMMYFUNCTION("""COMPUTED_VALUE"""),"PH086409000")</f>
        <v>PH086409000</v>
      </c>
      <c r="C459" s="142" t="str">
        <f>IFERROR(__xludf.DUMMYFUNCTION("""COMPUTED_VALUE"""),"PH101313000")</f>
        <v>PH101313000</v>
      </c>
      <c r="D459" s="8"/>
      <c r="E459" s="8"/>
      <c r="F459" s="8"/>
      <c r="G459" s="8"/>
      <c r="H459" s="8"/>
      <c r="I459" s="8"/>
      <c r="J459" s="8"/>
    </row>
    <row r="460">
      <c r="A460" s="142" t="s">
        <v>770</v>
      </c>
      <c r="B460" s="142" t="str">
        <f>IFERROR(__xludf.DUMMYFUNCTION("""COMPUTED_VALUE"""),"PH097322000")</f>
        <v>PH097322000</v>
      </c>
      <c r="C460" s="8"/>
      <c r="D460" s="8"/>
      <c r="E460" s="8"/>
      <c r="F460" s="8"/>
      <c r="G460" s="8"/>
      <c r="H460" s="8"/>
      <c r="I460" s="8"/>
      <c r="J460" s="8"/>
    </row>
    <row r="461">
      <c r="A461" s="142" t="s">
        <v>3173</v>
      </c>
      <c r="B461" s="142" t="str">
        <f>IFERROR(__xludf.DUMMYFUNCTION("""COMPUTED_VALUE"""),"PH104321000")</f>
        <v>PH104321000</v>
      </c>
      <c r="C461" s="8"/>
      <c r="D461" s="8"/>
      <c r="E461" s="8"/>
      <c r="F461" s="8"/>
      <c r="G461" s="8"/>
      <c r="H461" s="8"/>
      <c r="I461" s="8"/>
      <c r="J461" s="8"/>
    </row>
    <row r="462">
      <c r="A462" s="142" t="s">
        <v>3178</v>
      </c>
      <c r="B462" s="142" t="str">
        <f>IFERROR(__xludf.DUMMYFUNCTION("""COMPUTED_VALUE"""),"PH023129000")</f>
        <v>PH023129000</v>
      </c>
      <c r="C462" s="142" t="str">
        <f>IFERROR(__xludf.DUMMYFUNCTION("""COMPUTED_VALUE"""),"PH034925000")</f>
        <v>PH034925000</v>
      </c>
      <c r="D462" s="142" t="str">
        <f>IFERROR(__xludf.DUMMYFUNCTION("""COMPUTED_VALUE"""),"PH071237000")</f>
        <v>PH071237000</v>
      </c>
      <c r="E462" s="142" t="str">
        <f>IFERROR(__xludf.DUMMYFUNCTION("""COMPUTED_VALUE"""),"PH083742000")</f>
        <v>PH083742000</v>
      </c>
      <c r="F462" s="142" t="str">
        <f>IFERROR(__xludf.DUMMYFUNCTION("""COMPUTED_VALUE"""),"PH084818000")</f>
        <v>PH084818000</v>
      </c>
      <c r="G462" s="142" t="str">
        <f>IFERROR(__xludf.DUMMYFUNCTION("""COMPUTED_VALUE"""),"PH112324000")</f>
        <v>PH112324000</v>
      </c>
      <c r="H462" s="142" t="str">
        <f>IFERROR(__xludf.DUMMYFUNCTION("""COMPUTED_VALUE"""),"PH112510000")</f>
        <v>PH112510000</v>
      </c>
      <c r="I462" s="142" t="str">
        <f>IFERROR(__xludf.DUMMYFUNCTION("""COMPUTED_VALUE"""),"PH166720000")</f>
        <v>PH166720000</v>
      </c>
      <c r="J462" s="142" t="str">
        <f>IFERROR(__xludf.DUMMYFUNCTION("""COMPUTED_VALUE"""),"PH140121000")</f>
        <v>PH140121000</v>
      </c>
    </row>
    <row r="463">
      <c r="A463" s="142" t="s">
        <v>1998</v>
      </c>
      <c r="B463" s="142" t="str">
        <f>IFERROR(__xludf.DUMMYFUNCTION("""COMPUTED_VALUE"""),"PH126303000")</f>
        <v>PH126303000</v>
      </c>
      <c r="C463" s="8"/>
      <c r="D463" s="8"/>
      <c r="E463" s="8"/>
      <c r="F463" s="8"/>
      <c r="G463" s="8"/>
      <c r="H463" s="8"/>
      <c r="I463" s="8"/>
      <c r="J463" s="8"/>
    </row>
    <row r="464">
      <c r="A464" s="142" t="s">
        <v>3186</v>
      </c>
      <c r="B464" s="142" t="str">
        <f>IFERROR(__xludf.DUMMYFUNCTION("""COMPUTED_VALUE"""),"PH128002000")</f>
        <v>PH128002000</v>
      </c>
      <c r="C464" s="8"/>
      <c r="D464" s="8"/>
      <c r="E464" s="8"/>
      <c r="F464" s="8"/>
      <c r="G464" s="8"/>
      <c r="H464" s="8"/>
      <c r="I464" s="8"/>
      <c r="J464" s="8"/>
    </row>
    <row r="465">
      <c r="A465" s="142" t="s">
        <v>3193</v>
      </c>
      <c r="B465" s="142" t="str">
        <f>IFERROR(__xludf.DUMMYFUNCTION("""COMPUTED_VALUE"""),"PH166708000")</f>
        <v>PH166708000</v>
      </c>
      <c r="C465" s="8"/>
      <c r="D465" s="8"/>
      <c r="E465" s="8"/>
      <c r="F465" s="8"/>
      <c r="G465" s="8"/>
      <c r="H465" s="8"/>
      <c r="I465" s="8"/>
      <c r="J465" s="8"/>
    </row>
    <row r="466">
      <c r="A466" s="142" t="s">
        <v>3198</v>
      </c>
      <c r="B466" s="142" t="str">
        <f>IFERROR(__xludf.DUMMYFUNCTION("""COMPUTED_VALUE"""),"PH166715000")</f>
        <v>PH166715000</v>
      </c>
      <c r="C466" s="8"/>
      <c r="D466" s="8"/>
      <c r="E466" s="8"/>
      <c r="F466" s="8"/>
      <c r="G466" s="8"/>
      <c r="H466" s="8"/>
      <c r="I466" s="8"/>
      <c r="J466" s="8"/>
    </row>
    <row r="467">
      <c r="A467" s="142" t="s">
        <v>3205</v>
      </c>
      <c r="B467" s="142" t="str">
        <f>IFERROR(__xludf.DUMMYFUNCTION("""COMPUTED_VALUE"""),"PH071216000")</f>
        <v>PH071216000</v>
      </c>
      <c r="C467" s="142" t="str">
        <f>IFERROR(__xludf.DUMMYFUNCTION("""COMPUTED_VALUE"""),"PH166808000")</f>
        <v>PH166808000</v>
      </c>
      <c r="D467" s="8"/>
      <c r="E467" s="8"/>
      <c r="F467" s="8"/>
      <c r="G467" s="8"/>
      <c r="H467" s="8"/>
      <c r="I467" s="8"/>
      <c r="J467" s="8"/>
    </row>
    <row r="468">
      <c r="A468" s="142" t="s">
        <v>2687</v>
      </c>
      <c r="B468" s="142" t="str">
        <f>IFERROR(__xludf.DUMMYFUNCTION("""COMPUTED_VALUE"""),"PH074603000")</f>
        <v>PH074603000</v>
      </c>
      <c r="C468" s="8"/>
      <c r="D468" s="8"/>
      <c r="E468" s="8"/>
      <c r="F468" s="8"/>
      <c r="G468" s="8"/>
      <c r="H468" s="8"/>
      <c r="I468" s="8"/>
      <c r="J468" s="8"/>
    </row>
    <row r="469">
      <c r="A469" s="142" t="s">
        <v>847</v>
      </c>
      <c r="B469" s="142" t="str">
        <f>IFERROR(__xludf.DUMMYFUNCTION("""COMPUTED_VALUE"""),"PH074609000")</f>
        <v>PH074609000</v>
      </c>
      <c r="C469" s="8"/>
      <c r="D469" s="8"/>
      <c r="E469" s="8"/>
      <c r="F469" s="8"/>
      <c r="G469" s="8"/>
      <c r="H469" s="8"/>
      <c r="I469" s="8"/>
      <c r="J469" s="8"/>
    </row>
    <row r="470">
      <c r="A470" s="142" t="s">
        <v>1218</v>
      </c>
      <c r="B470" s="142" t="str">
        <f>IFERROR(__xludf.DUMMYFUNCTION("""COMPUTED_VALUE"""),"PH157002000")</f>
        <v>PH157002000</v>
      </c>
      <c r="C470" s="8"/>
      <c r="D470" s="8"/>
      <c r="E470" s="8"/>
      <c r="F470" s="8"/>
      <c r="G470" s="8"/>
      <c r="H470" s="8"/>
      <c r="I470" s="8"/>
      <c r="J470" s="8"/>
    </row>
    <row r="471">
      <c r="B471" s="142"/>
      <c r="C471" s="8"/>
      <c r="D471" s="8"/>
      <c r="E471" s="8"/>
      <c r="F471" s="8"/>
      <c r="G471" s="8"/>
      <c r="H471" s="8"/>
      <c r="I471" s="8"/>
      <c r="J471" s="8"/>
    </row>
    <row r="472">
      <c r="B472" s="142"/>
      <c r="C472" s="8"/>
      <c r="D472" s="8"/>
      <c r="E472" s="8"/>
      <c r="F472" s="8"/>
      <c r="G472" s="8"/>
      <c r="H472" s="8"/>
      <c r="I472" s="8"/>
      <c r="J472" s="8"/>
    </row>
    <row r="473">
      <c r="B473" s="142"/>
      <c r="C473" s="8"/>
      <c r="D473" s="8"/>
      <c r="E473" s="8"/>
      <c r="F473" s="8"/>
      <c r="G473" s="8"/>
      <c r="H473" s="8"/>
      <c r="I473" s="8"/>
      <c r="J473" s="8"/>
    </row>
    <row r="474">
      <c r="B474" s="142"/>
      <c r="C474" s="8"/>
      <c r="D474" s="8"/>
      <c r="E474" s="8"/>
      <c r="F474" s="8"/>
      <c r="G474" s="8"/>
      <c r="H474" s="8"/>
      <c r="I474" s="8"/>
      <c r="J474" s="8"/>
    </row>
    <row r="475">
      <c r="B475" s="142"/>
      <c r="C475" s="8"/>
      <c r="D475" s="8"/>
      <c r="E475" s="8"/>
      <c r="F475" s="8"/>
      <c r="G475" s="8"/>
      <c r="H475" s="8"/>
      <c r="I475" s="8"/>
      <c r="J475" s="8"/>
    </row>
    <row r="476">
      <c r="B476" s="142"/>
      <c r="C476" s="8"/>
      <c r="D476" s="8"/>
      <c r="E476" s="8"/>
      <c r="F476" s="8"/>
      <c r="G476" s="8"/>
      <c r="H476" s="8"/>
      <c r="I476" s="8"/>
      <c r="J476" s="8"/>
    </row>
    <row r="477">
      <c r="B477" s="142"/>
      <c r="C477" s="8"/>
      <c r="D477" s="8"/>
      <c r="E477" s="8"/>
      <c r="F477" s="8"/>
      <c r="G477" s="8"/>
      <c r="H477" s="8"/>
      <c r="I477" s="8"/>
      <c r="J477" s="8"/>
    </row>
    <row r="478">
      <c r="B478" s="142"/>
      <c r="C478" s="8"/>
      <c r="D478" s="8"/>
      <c r="E478" s="8"/>
      <c r="F478" s="8"/>
      <c r="G478" s="8"/>
      <c r="H478" s="8"/>
      <c r="I478" s="8"/>
      <c r="J478" s="8"/>
    </row>
    <row r="479">
      <c r="B479" s="142"/>
      <c r="C479" s="8"/>
      <c r="D479" s="8"/>
      <c r="E479" s="8"/>
      <c r="F479" s="8"/>
      <c r="G479" s="8"/>
      <c r="H479" s="8"/>
      <c r="I479" s="8"/>
      <c r="J479" s="8"/>
    </row>
    <row r="480">
      <c r="B480" s="142"/>
      <c r="C480" s="8"/>
      <c r="D480" s="8"/>
      <c r="E480" s="8"/>
      <c r="F480" s="8"/>
      <c r="G480" s="8"/>
      <c r="H480" s="8"/>
      <c r="I480" s="8"/>
      <c r="J480" s="8"/>
    </row>
    <row r="481">
      <c r="B481" s="142"/>
      <c r="C481" s="8"/>
      <c r="D481" s="8"/>
      <c r="E481" s="8"/>
      <c r="F481" s="8"/>
      <c r="G481" s="8"/>
      <c r="H481" s="8"/>
      <c r="I481" s="8"/>
      <c r="J481" s="8"/>
    </row>
    <row r="482">
      <c r="B482" s="142"/>
      <c r="C482" s="8"/>
      <c r="D482" s="8"/>
      <c r="E482" s="8"/>
      <c r="F482" s="8"/>
      <c r="G482" s="8"/>
      <c r="H482" s="8"/>
      <c r="I482" s="8"/>
      <c r="J482" s="8"/>
    </row>
    <row r="483">
      <c r="B483" s="142"/>
      <c r="C483" s="8"/>
      <c r="D483" s="8"/>
      <c r="E483" s="8"/>
      <c r="F483" s="8"/>
      <c r="G483" s="8"/>
      <c r="H483" s="8"/>
      <c r="I483" s="8"/>
      <c r="J483" s="8"/>
    </row>
    <row r="484">
      <c r="B484" s="142"/>
      <c r="C484" s="8"/>
      <c r="D484" s="8"/>
      <c r="E484" s="8"/>
      <c r="F484" s="8"/>
      <c r="G484" s="8"/>
      <c r="H484" s="8"/>
      <c r="I484" s="8"/>
      <c r="J484" s="8"/>
    </row>
    <row r="485">
      <c r="B485" s="142"/>
      <c r="C485" s="8"/>
      <c r="D485" s="8"/>
      <c r="E485" s="8"/>
      <c r="F485" s="8"/>
      <c r="G485" s="8"/>
      <c r="H485" s="8"/>
      <c r="I485" s="8"/>
      <c r="J485" s="8"/>
    </row>
    <row r="486">
      <c r="B486" s="142"/>
      <c r="C486" s="8"/>
      <c r="D486" s="8"/>
      <c r="E486" s="8"/>
      <c r="F486" s="8"/>
      <c r="G486" s="8"/>
      <c r="H486" s="8"/>
      <c r="I486" s="8"/>
      <c r="J486" s="8"/>
    </row>
    <row r="487">
      <c r="B487" s="142"/>
      <c r="C487" s="8"/>
      <c r="D487" s="8"/>
      <c r="E487" s="8"/>
      <c r="F487" s="8"/>
      <c r="G487" s="8"/>
      <c r="H487" s="8"/>
      <c r="I487" s="8"/>
      <c r="J487" s="8"/>
    </row>
    <row r="488">
      <c r="B488" s="142"/>
      <c r="C488" s="8"/>
      <c r="D488" s="8"/>
      <c r="E488" s="8"/>
      <c r="F488" s="8"/>
      <c r="G488" s="8"/>
      <c r="H488" s="8"/>
      <c r="I488" s="8"/>
      <c r="J488" s="8"/>
    </row>
    <row r="489">
      <c r="B489" s="142"/>
      <c r="C489" s="8"/>
      <c r="D489" s="8"/>
      <c r="E489" s="8"/>
      <c r="F489" s="8"/>
      <c r="G489" s="8"/>
      <c r="H489" s="8"/>
      <c r="I489" s="8"/>
      <c r="J489" s="8"/>
    </row>
    <row r="490">
      <c r="B490" s="142"/>
      <c r="C490" s="8"/>
      <c r="D490" s="8"/>
      <c r="E490" s="8"/>
      <c r="F490" s="8"/>
      <c r="G490" s="8"/>
      <c r="H490" s="8"/>
      <c r="I490" s="8"/>
      <c r="J490" s="8"/>
    </row>
    <row r="491">
      <c r="B491" s="142"/>
      <c r="C491" s="8"/>
      <c r="D491" s="8"/>
      <c r="E491" s="8"/>
      <c r="F491" s="8"/>
      <c r="G491" s="8"/>
      <c r="H491" s="8"/>
      <c r="I491" s="8"/>
      <c r="J491" s="8"/>
    </row>
    <row r="492">
      <c r="B492" s="142"/>
      <c r="C492" s="8"/>
      <c r="D492" s="8"/>
      <c r="E492" s="8"/>
      <c r="F492" s="8"/>
      <c r="G492" s="8"/>
      <c r="H492" s="8"/>
      <c r="I492" s="8"/>
      <c r="J492" s="8"/>
    </row>
    <row r="493">
      <c r="B493" s="142"/>
      <c r="C493" s="8"/>
      <c r="D493" s="8"/>
      <c r="E493" s="8"/>
      <c r="F493" s="8"/>
      <c r="G493" s="8"/>
      <c r="H493" s="8"/>
      <c r="I493" s="8"/>
      <c r="J493" s="8"/>
    </row>
    <row r="494">
      <c r="B494" s="142"/>
      <c r="C494" s="8"/>
      <c r="D494" s="8"/>
      <c r="E494" s="8"/>
      <c r="F494" s="8"/>
      <c r="G494" s="8"/>
      <c r="H494" s="8"/>
      <c r="I494" s="8"/>
      <c r="J494" s="8"/>
    </row>
    <row r="495">
      <c r="B495" s="142"/>
      <c r="C495" s="8"/>
      <c r="D495" s="8"/>
      <c r="E495" s="8"/>
      <c r="F495" s="8"/>
      <c r="G495" s="8"/>
      <c r="H495" s="8"/>
      <c r="I495" s="8"/>
      <c r="J495" s="8"/>
    </row>
    <row r="496">
      <c r="B496" s="142"/>
      <c r="C496" s="8"/>
      <c r="D496" s="8"/>
      <c r="E496" s="8"/>
      <c r="F496" s="8"/>
      <c r="G496" s="8"/>
      <c r="H496" s="8"/>
      <c r="I496" s="8"/>
      <c r="J496" s="8"/>
    </row>
    <row r="497">
      <c r="B497" s="142"/>
      <c r="C497" s="8"/>
      <c r="D497" s="8"/>
      <c r="E497" s="8"/>
      <c r="F497" s="8"/>
      <c r="G497" s="8"/>
      <c r="H497" s="8"/>
      <c r="I497" s="8"/>
      <c r="J497" s="8"/>
    </row>
    <row r="498">
      <c r="B498" s="142"/>
      <c r="C498" s="8"/>
      <c r="D498" s="8"/>
      <c r="E498" s="8"/>
      <c r="F498" s="8"/>
      <c r="G498" s="8"/>
      <c r="H498" s="8"/>
      <c r="I498" s="8"/>
      <c r="J498" s="8"/>
    </row>
    <row r="499">
      <c r="B499" s="142"/>
      <c r="C499" s="8"/>
      <c r="D499" s="8"/>
      <c r="E499" s="8"/>
      <c r="F499" s="8"/>
      <c r="G499" s="8"/>
      <c r="H499" s="8"/>
      <c r="I499" s="8"/>
      <c r="J499" s="8"/>
    </row>
    <row r="500">
      <c r="B500" s="142"/>
      <c r="C500" s="8"/>
      <c r="D500" s="8"/>
      <c r="E500" s="8"/>
      <c r="F500" s="8"/>
      <c r="G500" s="8"/>
      <c r="H500" s="8"/>
      <c r="I500" s="8"/>
      <c r="J500" s="8"/>
    </row>
    <row r="501">
      <c r="B501" s="142"/>
      <c r="C501" s="8"/>
      <c r="D501" s="8"/>
      <c r="E501" s="8"/>
      <c r="F501" s="8"/>
      <c r="G501" s="8"/>
      <c r="H501" s="8"/>
      <c r="I501" s="8"/>
      <c r="J501" s="8"/>
    </row>
    <row r="502">
      <c r="B502" s="142"/>
      <c r="C502" s="8"/>
      <c r="D502" s="8"/>
      <c r="E502" s="8"/>
      <c r="F502" s="8"/>
      <c r="G502" s="8"/>
      <c r="H502" s="8"/>
      <c r="I502" s="8"/>
      <c r="J502" s="8"/>
    </row>
    <row r="503">
      <c r="B503" s="142"/>
      <c r="C503" s="8"/>
      <c r="D503" s="8"/>
      <c r="E503" s="8"/>
      <c r="F503" s="8"/>
      <c r="G503" s="8"/>
      <c r="H503" s="8"/>
      <c r="I503" s="8"/>
      <c r="J503" s="8"/>
    </row>
    <row r="504">
      <c r="B504" s="142"/>
      <c r="C504" s="8"/>
      <c r="D504" s="8"/>
      <c r="E504" s="8"/>
      <c r="F504" s="8"/>
      <c r="G504" s="8"/>
      <c r="H504" s="8"/>
      <c r="I504" s="8"/>
      <c r="J504" s="8"/>
    </row>
    <row r="505">
      <c r="B505" s="142"/>
      <c r="C505" s="8"/>
      <c r="D505" s="8"/>
      <c r="E505" s="8"/>
      <c r="F505" s="8"/>
      <c r="G505" s="8"/>
      <c r="H505" s="8"/>
      <c r="I505" s="8"/>
      <c r="J505" s="8"/>
    </row>
    <row r="506">
      <c r="B506" s="142"/>
      <c r="C506" s="8"/>
      <c r="D506" s="8"/>
      <c r="E506" s="8"/>
      <c r="F506" s="8"/>
      <c r="G506" s="8"/>
      <c r="H506" s="8"/>
      <c r="I506" s="8"/>
      <c r="J506" s="8"/>
    </row>
    <row r="507">
      <c r="B507" s="142"/>
      <c r="C507" s="8"/>
      <c r="D507" s="8"/>
      <c r="E507" s="8"/>
      <c r="F507" s="8"/>
      <c r="G507" s="8"/>
      <c r="H507" s="8"/>
      <c r="I507" s="8"/>
      <c r="J507" s="8"/>
    </row>
    <row r="508">
      <c r="B508" s="142"/>
      <c r="C508" s="8"/>
      <c r="D508" s="8"/>
      <c r="E508" s="8"/>
      <c r="F508" s="8"/>
      <c r="G508" s="8"/>
      <c r="H508" s="8"/>
      <c r="I508" s="8"/>
      <c r="J508" s="8"/>
    </row>
    <row r="509">
      <c r="B509" s="142"/>
      <c r="C509" s="8"/>
      <c r="D509" s="8"/>
      <c r="E509" s="8"/>
      <c r="F509" s="8"/>
      <c r="G509" s="8"/>
      <c r="H509" s="8"/>
      <c r="I509" s="8"/>
      <c r="J509" s="8"/>
    </row>
    <row r="510">
      <c r="B510" s="142"/>
      <c r="C510" s="8"/>
      <c r="D510" s="8"/>
      <c r="E510" s="8"/>
      <c r="F510" s="8"/>
      <c r="G510" s="8"/>
      <c r="H510" s="8"/>
      <c r="I510" s="8"/>
      <c r="J510" s="8"/>
    </row>
    <row r="511">
      <c r="B511" s="142"/>
      <c r="C511" s="8"/>
      <c r="D511" s="8"/>
      <c r="E511" s="8"/>
      <c r="F511" s="8"/>
      <c r="G511" s="8"/>
      <c r="H511" s="8"/>
      <c r="I511" s="8"/>
      <c r="J511" s="8"/>
    </row>
    <row r="512">
      <c r="B512" s="142"/>
      <c r="C512" s="8"/>
      <c r="D512" s="8"/>
      <c r="E512" s="8"/>
      <c r="F512" s="8"/>
      <c r="G512" s="8"/>
      <c r="H512" s="8"/>
      <c r="I512" s="8"/>
      <c r="J512" s="8"/>
    </row>
    <row r="513">
      <c r="B513" s="142"/>
      <c r="C513" s="8"/>
      <c r="D513" s="8"/>
      <c r="E513" s="8"/>
      <c r="F513" s="8"/>
      <c r="G513" s="8"/>
      <c r="H513" s="8"/>
      <c r="I513" s="8"/>
      <c r="J513" s="8"/>
    </row>
    <row r="514">
      <c r="B514" s="142"/>
      <c r="C514" s="8"/>
      <c r="D514" s="8"/>
      <c r="E514" s="8"/>
      <c r="F514" s="8"/>
      <c r="G514" s="8"/>
      <c r="H514" s="8"/>
      <c r="I514" s="8"/>
      <c r="J514" s="8"/>
    </row>
    <row r="515">
      <c r="B515" s="142"/>
      <c r="C515" s="8"/>
      <c r="D515" s="8"/>
      <c r="E515" s="8"/>
      <c r="F515" s="8"/>
      <c r="G515" s="8"/>
      <c r="H515" s="8"/>
      <c r="I515" s="8"/>
      <c r="J515" s="8"/>
    </row>
    <row r="516">
      <c r="B516" s="142"/>
      <c r="C516" s="8"/>
      <c r="D516" s="8"/>
      <c r="E516" s="8"/>
      <c r="F516" s="8"/>
      <c r="G516" s="8"/>
      <c r="H516" s="8"/>
      <c r="I516" s="8"/>
      <c r="J516" s="8"/>
    </row>
    <row r="517">
      <c r="B517" s="142"/>
      <c r="C517" s="8"/>
      <c r="D517" s="8"/>
      <c r="E517" s="8"/>
      <c r="F517" s="8"/>
      <c r="G517" s="8"/>
      <c r="H517" s="8"/>
      <c r="I517" s="8"/>
      <c r="J517" s="8"/>
    </row>
    <row r="518">
      <c r="B518" s="142"/>
      <c r="C518" s="8"/>
      <c r="D518" s="8"/>
      <c r="E518" s="8"/>
      <c r="F518" s="8"/>
      <c r="G518" s="8"/>
      <c r="H518" s="8"/>
      <c r="I518" s="8"/>
      <c r="J518" s="8"/>
    </row>
    <row r="519">
      <c r="B519" s="142"/>
      <c r="C519" s="8"/>
      <c r="D519" s="8"/>
      <c r="E519" s="8"/>
      <c r="F519" s="8"/>
      <c r="G519" s="8"/>
      <c r="H519" s="8"/>
      <c r="I519" s="8"/>
      <c r="J519" s="8"/>
    </row>
    <row r="520">
      <c r="B520" s="142"/>
      <c r="C520" s="8"/>
      <c r="D520" s="8"/>
      <c r="E520" s="8"/>
      <c r="F520" s="8"/>
      <c r="G520" s="8"/>
      <c r="H520" s="8"/>
      <c r="I520" s="8"/>
      <c r="J520" s="8"/>
    </row>
    <row r="521">
      <c r="B521" s="142"/>
      <c r="C521" s="8"/>
      <c r="D521" s="8"/>
      <c r="E521" s="8"/>
      <c r="F521" s="8"/>
      <c r="G521" s="8"/>
      <c r="H521" s="8"/>
      <c r="I521" s="8"/>
      <c r="J521" s="8"/>
    </row>
    <row r="522">
      <c r="B522" s="142"/>
      <c r="C522" s="8"/>
      <c r="D522" s="8"/>
      <c r="E522" s="8"/>
      <c r="F522" s="8"/>
      <c r="G522" s="8"/>
      <c r="H522" s="8"/>
      <c r="I522" s="8"/>
      <c r="J522" s="8"/>
    </row>
    <row r="523">
      <c r="B523" s="142"/>
      <c r="C523" s="8"/>
      <c r="D523" s="8"/>
      <c r="E523" s="8"/>
      <c r="F523" s="8"/>
      <c r="G523" s="8"/>
      <c r="H523" s="8"/>
      <c r="I523" s="8"/>
      <c r="J523" s="8"/>
    </row>
    <row r="524">
      <c r="B524" s="142"/>
      <c r="C524" s="8"/>
      <c r="D524" s="8"/>
      <c r="E524" s="8"/>
      <c r="F524" s="8"/>
      <c r="G524" s="8"/>
      <c r="H524" s="8"/>
      <c r="I524" s="8"/>
      <c r="J524" s="8"/>
    </row>
    <row r="525">
      <c r="B525" s="142"/>
      <c r="C525" s="8"/>
      <c r="D525" s="8"/>
      <c r="E525" s="8"/>
      <c r="F525" s="8"/>
      <c r="G525" s="8"/>
      <c r="H525" s="8"/>
      <c r="I525" s="8"/>
      <c r="J525" s="8"/>
    </row>
    <row r="526">
      <c r="B526" s="142"/>
      <c r="C526" s="8"/>
      <c r="D526" s="8"/>
      <c r="E526" s="8"/>
      <c r="F526" s="8"/>
      <c r="G526" s="8"/>
      <c r="H526" s="8"/>
      <c r="I526" s="8"/>
      <c r="J526" s="8"/>
    </row>
    <row r="527">
      <c r="B527" s="142"/>
      <c r="C527" s="8"/>
      <c r="D527" s="8"/>
      <c r="E527" s="8"/>
      <c r="F527" s="8"/>
      <c r="G527" s="8"/>
      <c r="H527" s="8"/>
      <c r="I527" s="8"/>
      <c r="J527" s="8"/>
    </row>
    <row r="528">
      <c r="B528" s="142"/>
      <c r="C528" s="8"/>
      <c r="D528" s="8"/>
      <c r="E528" s="8"/>
      <c r="F528" s="8"/>
      <c r="G528" s="8"/>
      <c r="H528" s="8"/>
      <c r="I528" s="8"/>
      <c r="J528" s="8"/>
    </row>
    <row r="529">
      <c r="B529" s="142"/>
      <c r="C529" s="8"/>
      <c r="D529" s="8"/>
      <c r="E529" s="8"/>
      <c r="F529" s="8"/>
      <c r="G529" s="8"/>
      <c r="H529" s="8"/>
      <c r="I529" s="8"/>
      <c r="J529" s="8"/>
    </row>
    <row r="530">
      <c r="B530" s="142"/>
      <c r="C530" s="8"/>
      <c r="D530" s="8"/>
      <c r="E530" s="8"/>
      <c r="F530" s="8"/>
      <c r="G530" s="8"/>
      <c r="H530" s="8"/>
      <c r="I530" s="8"/>
      <c r="J530" s="8"/>
    </row>
    <row r="531">
      <c r="B531" s="142"/>
      <c r="C531" s="8"/>
      <c r="D531" s="8"/>
      <c r="E531" s="8"/>
      <c r="F531" s="8"/>
      <c r="G531" s="8"/>
      <c r="H531" s="8"/>
      <c r="I531" s="8"/>
      <c r="J531" s="8"/>
    </row>
    <row r="532">
      <c r="B532" s="142"/>
      <c r="C532" s="8"/>
      <c r="D532" s="8"/>
      <c r="E532" s="8"/>
      <c r="F532" s="8"/>
      <c r="G532" s="8"/>
      <c r="H532" s="8"/>
      <c r="I532" s="8"/>
      <c r="J532" s="8"/>
    </row>
    <row r="533">
      <c r="B533" s="142"/>
      <c r="C533" s="8"/>
      <c r="D533" s="8"/>
      <c r="E533" s="8"/>
      <c r="F533" s="8"/>
      <c r="G533" s="8"/>
      <c r="H533" s="8"/>
      <c r="I533" s="8"/>
      <c r="J533" s="8"/>
    </row>
    <row r="534">
      <c r="B534" s="142"/>
      <c r="C534" s="8"/>
      <c r="D534" s="8"/>
      <c r="E534" s="8"/>
      <c r="F534" s="8"/>
      <c r="G534" s="8"/>
      <c r="H534" s="8"/>
      <c r="I534" s="8"/>
      <c r="J534" s="8"/>
    </row>
    <row r="535">
      <c r="B535" s="142"/>
      <c r="C535" s="8"/>
      <c r="D535" s="8"/>
      <c r="E535" s="8"/>
      <c r="F535" s="8"/>
      <c r="G535" s="8"/>
      <c r="H535" s="8"/>
      <c r="I535" s="8"/>
      <c r="J535" s="8"/>
    </row>
    <row r="536">
      <c r="B536" s="142"/>
      <c r="C536" s="8"/>
      <c r="D536" s="8"/>
      <c r="E536" s="8"/>
      <c r="F536" s="8"/>
      <c r="G536" s="8"/>
      <c r="H536" s="8"/>
      <c r="I536" s="8"/>
      <c r="J536" s="8"/>
    </row>
    <row r="537">
      <c r="B537" s="142"/>
      <c r="C537" s="8"/>
      <c r="D537" s="8"/>
      <c r="E537" s="8"/>
      <c r="F537" s="8"/>
      <c r="G537" s="8"/>
      <c r="H537" s="8"/>
      <c r="I537" s="8"/>
      <c r="J537" s="8"/>
    </row>
    <row r="538">
      <c r="B538" s="142"/>
      <c r="C538" s="8"/>
      <c r="D538" s="8"/>
      <c r="E538" s="8"/>
      <c r="F538" s="8"/>
      <c r="G538" s="8"/>
      <c r="H538" s="8"/>
      <c r="I538" s="8"/>
      <c r="J538" s="8"/>
    </row>
    <row r="539">
      <c r="B539" s="142"/>
      <c r="C539" s="8"/>
      <c r="D539" s="8"/>
      <c r="E539" s="8"/>
      <c r="F539" s="8"/>
      <c r="G539" s="8"/>
      <c r="H539" s="8"/>
      <c r="I539" s="8"/>
      <c r="J539" s="8"/>
    </row>
    <row r="540">
      <c r="B540" s="142"/>
      <c r="C540" s="8"/>
      <c r="D540" s="8"/>
      <c r="E540" s="8"/>
      <c r="F540" s="8"/>
      <c r="G540" s="8"/>
      <c r="H540" s="8"/>
      <c r="I540" s="8"/>
      <c r="J540" s="8"/>
    </row>
    <row r="541">
      <c r="B541" s="142"/>
      <c r="C541" s="8"/>
      <c r="D541" s="8"/>
      <c r="E541" s="8"/>
      <c r="F541" s="8"/>
      <c r="G541" s="8"/>
      <c r="H541" s="8"/>
      <c r="I541" s="8"/>
      <c r="J541" s="8"/>
    </row>
    <row r="542">
      <c r="B542" s="142"/>
      <c r="C542" s="8"/>
      <c r="D542" s="8"/>
      <c r="E542" s="8"/>
      <c r="F542" s="8"/>
      <c r="G542" s="8"/>
      <c r="H542" s="8"/>
      <c r="I542" s="8"/>
      <c r="J542" s="8"/>
    </row>
    <row r="543">
      <c r="B543" s="142"/>
      <c r="C543" s="8"/>
      <c r="D543" s="8"/>
      <c r="E543" s="8"/>
      <c r="F543" s="8"/>
      <c r="G543" s="8"/>
      <c r="H543" s="8"/>
      <c r="I543" s="8"/>
      <c r="J543" s="8"/>
    </row>
    <row r="544">
      <c r="B544" s="142"/>
      <c r="C544" s="8"/>
      <c r="D544" s="8"/>
      <c r="E544" s="8"/>
      <c r="F544" s="8"/>
      <c r="G544" s="8"/>
      <c r="H544" s="8"/>
      <c r="I544" s="8"/>
      <c r="J544" s="8"/>
    </row>
    <row r="545">
      <c r="B545" s="142"/>
      <c r="C545" s="8"/>
      <c r="D545" s="8"/>
      <c r="E545" s="8"/>
      <c r="F545" s="8"/>
      <c r="G545" s="8"/>
      <c r="H545" s="8"/>
      <c r="I545" s="8"/>
      <c r="J545" s="8"/>
    </row>
    <row r="546">
      <c r="B546" s="142"/>
      <c r="C546" s="8"/>
      <c r="D546" s="8"/>
      <c r="E546" s="8"/>
      <c r="F546" s="8"/>
      <c r="G546" s="8"/>
      <c r="H546" s="8"/>
      <c r="I546" s="8"/>
      <c r="J546" s="8"/>
    </row>
    <row r="547">
      <c r="B547" s="142"/>
      <c r="C547" s="8"/>
      <c r="D547" s="8"/>
      <c r="E547" s="8"/>
      <c r="F547" s="8"/>
      <c r="G547" s="8"/>
      <c r="H547" s="8"/>
      <c r="I547" s="8"/>
      <c r="J547" s="8"/>
    </row>
    <row r="548">
      <c r="B548" s="142"/>
      <c r="C548" s="8"/>
      <c r="D548" s="8"/>
      <c r="E548" s="8"/>
      <c r="F548" s="8"/>
      <c r="G548" s="8"/>
      <c r="H548" s="8"/>
      <c r="I548" s="8"/>
      <c r="J548" s="8"/>
    </row>
    <row r="549">
      <c r="B549" s="142"/>
      <c r="C549" s="8"/>
      <c r="D549" s="8"/>
      <c r="E549" s="8"/>
      <c r="F549" s="8"/>
      <c r="G549" s="8"/>
      <c r="H549" s="8"/>
      <c r="I549" s="8"/>
      <c r="J549" s="8"/>
    </row>
    <row r="550">
      <c r="B550" s="142"/>
      <c r="C550" s="8"/>
      <c r="D550" s="8"/>
      <c r="E550" s="8"/>
      <c r="F550" s="8"/>
      <c r="G550" s="8"/>
      <c r="H550" s="8"/>
      <c r="I550" s="8"/>
      <c r="J550" s="8"/>
    </row>
    <row r="551">
      <c r="B551" s="142"/>
      <c r="C551" s="8"/>
      <c r="D551" s="8"/>
      <c r="E551" s="8"/>
      <c r="F551" s="8"/>
      <c r="G551" s="8"/>
      <c r="H551" s="8"/>
      <c r="I551" s="8"/>
      <c r="J551" s="8"/>
    </row>
    <row r="552">
      <c r="B552" s="142"/>
      <c r="C552" s="8"/>
      <c r="D552" s="8"/>
      <c r="E552" s="8"/>
      <c r="F552" s="8"/>
      <c r="G552" s="8"/>
      <c r="H552" s="8"/>
      <c r="I552" s="8"/>
      <c r="J552" s="8"/>
    </row>
    <row r="553">
      <c r="B553" s="142"/>
      <c r="C553" s="8"/>
      <c r="D553" s="8"/>
      <c r="E553" s="8"/>
      <c r="F553" s="8"/>
      <c r="G553" s="8"/>
      <c r="H553" s="8"/>
      <c r="I553" s="8"/>
      <c r="J553" s="8"/>
    </row>
    <row r="554">
      <c r="B554" s="142"/>
      <c r="C554" s="8"/>
      <c r="D554" s="8"/>
      <c r="E554" s="8"/>
      <c r="F554" s="8"/>
      <c r="G554" s="8"/>
      <c r="H554" s="8"/>
      <c r="I554" s="8"/>
      <c r="J554" s="8"/>
    </row>
    <row r="555">
      <c r="B555" s="142"/>
      <c r="C555" s="8"/>
      <c r="D555" s="8"/>
      <c r="E555" s="8"/>
      <c r="F555" s="8"/>
      <c r="G555" s="8"/>
      <c r="H555" s="8"/>
      <c r="I555" s="8"/>
      <c r="J555" s="8"/>
    </row>
    <row r="556">
      <c r="B556" s="142"/>
      <c r="C556" s="8"/>
      <c r="D556" s="8"/>
      <c r="E556" s="8"/>
      <c r="F556" s="8"/>
      <c r="G556" s="8"/>
      <c r="H556" s="8"/>
      <c r="I556" s="8"/>
      <c r="J556" s="8"/>
    </row>
    <row r="557">
      <c r="B557" s="142"/>
      <c r="C557" s="8"/>
      <c r="D557" s="8"/>
      <c r="E557" s="8"/>
      <c r="F557" s="8"/>
      <c r="G557" s="8"/>
      <c r="H557" s="8"/>
      <c r="I557" s="8"/>
      <c r="J557" s="8"/>
    </row>
    <row r="558">
      <c r="B558" s="142"/>
      <c r="C558" s="8"/>
      <c r="D558" s="8"/>
      <c r="E558" s="8"/>
      <c r="F558" s="8"/>
      <c r="G558" s="8"/>
      <c r="H558" s="8"/>
      <c r="I558" s="8"/>
      <c r="J558" s="8"/>
    </row>
    <row r="559">
      <c r="B559" s="142"/>
      <c r="C559" s="8"/>
      <c r="D559" s="8"/>
      <c r="E559" s="8"/>
      <c r="F559" s="8"/>
      <c r="G559" s="8"/>
      <c r="H559" s="8"/>
      <c r="I559" s="8"/>
      <c r="J559" s="8"/>
    </row>
    <row r="560">
      <c r="B560" s="142"/>
      <c r="C560" s="8"/>
      <c r="D560" s="8"/>
      <c r="E560" s="8"/>
      <c r="F560" s="8"/>
      <c r="G560" s="8"/>
      <c r="H560" s="8"/>
      <c r="I560" s="8"/>
      <c r="J560" s="8"/>
    </row>
    <row r="561">
      <c r="B561" s="142"/>
      <c r="C561" s="8"/>
      <c r="D561" s="8"/>
      <c r="E561" s="8"/>
      <c r="F561" s="8"/>
      <c r="G561" s="8"/>
      <c r="H561" s="8"/>
      <c r="I561" s="8"/>
      <c r="J561" s="8"/>
    </row>
    <row r="562">
      <c r="B562" s="142"/>
      <c r="C562" s="8"/>
      <c r="D562" s="8"/>
      <c r="E562" s="8"/>
      <c r="F562" s="8"/>
      <c r="G562" s="8"/>
      <c r="H562" s="8"/>
      <c r="I562" s="8"/>
      <c r="J562" s="8"/>
    </row>
    <row r="563">
      <c r="B563" s="142"/>
      <c r="C563" s="8"/>
      <c r="D563" s="8"/>
      <c r="E563" s="8"/>
      <c r="F563" s="8"/>
      <c r="G563" s="8"/>
      <c r="H563" s="8"/>
      <c r="I563" s="8"/>
      <c r="J563" s="8"/>
    </row>
    <row r="564">
      <c r="B564" s="142"/>
      <c r="C564" s="8"/>
      <c r="D564" s="8"/>
      <c r="E564" s="8"/>
      <c r="F564" s="8"/>
      <c r="G564" s="8"/>
      <c r="H564" s="8"/>
      <c r="I564" s="8"/>
      <c r="J564" s="8"/>
    </row>
    <row r="565">
      <c r="B565" s="142"/>
      <c r="C565" s="8"/>
      <c r="D565" s="8"/>
      <c r="E565" s="8"/>
      <c r="F565" s="8"/>
      <c r="G565" s="8"/>
      <c r="H565" s="8"/>
      <c r="I565" s="8"/>
      <c r="J565" s="8"/>
    </row>
    <row r="566">
      <c r="B566" s="142"/>
      <c r="C566" s="8"/>
      <c r="D566" s="8"/>
      <c r="E566" s="8"/>
      <c r="F566" s="8"/>
      <c r="G566" s="8"/>
      <c r="H566" s="8"/>
      <c r="I566" s="8"/>
      <c r="J566" s="8"/>
    </row>
    <row r="567">
      <c r="B567" s="142"/>
      <c r="C567" s="8"/>
      <c r="D567" s="8"/>
      <c r="E567" s="8"/>
      <c r="F567" s="8"/>
      <c r="G567" s="8"/>
      <c r="H567" s="8"/>
      <c r="I567" s="8"/>
      <c r="J567" s="8"/>
    </row>
    <row r="568">
      <c r="B568" s="142"/>
      <c r="C568" s="8"/>
      <c r="D568" s="8"/>
      <c r="E568" s="8"/>
      <c r="F568" s="8"/>
      <c r="G568" s="8"/>
      <c r="H568" s="8"/>
      <c r="I568" s="8"/>
      <c r="J568" s="8"/>
    </row>
    <row r="569">
      <c r="B569" s="142"/>
      <c r="C569" s="8"/>
      <c r="D569" s="8"/>
      <c r="E569" s="8"/>
      <c r="F569" s="8"/>
      <c r="G569" s="8"/>
      <c r="H569" s="8"/>
      <c r="I569" s="8"/>
      <c r="J569" s="8"/>
    </row>
    <row r="570">
      <c r="B570" s="142"/>
      <c r="C570" s="8"/>
      <c r="D570" s="8"/>
      <c r="E570" s="8"/>
      <c r="F570" s="8"/>
      <c r="G570" s="8"/>
      <c r="H570" s="8"/>
      <c r="I570" s="8"/>
      <c r="J570" s="8"/>
    </row>
    <row r="571">
      <c r="B571" s="142"/>
      <c r="C571" s="8"/>
      <c r="D571" s="8"/>
      <c r="E571" s="8"/>
      <c r="F571" s="8"/>
      <c r="G571" s="8"/>
      <c r="H571" s="8"/>
      <c r="I571" s="8"/>
      <c r="J571" s="8"/>
    </row>
    <row r="572">
      <c r="B572" s="142"/>
      <c r="C572" s="8"/>
      <c r="D572" s="8"/>
      <c r="E572" s="8"/>
      <c r="F572" s="8"/>
      <c r="G572" s="8"/>
      <c r="H572" s="8"/>
      <c r="I572" s="8"/>
      <c r="J572" s="8"/>
    </row>
    <row r="573">
      <c r="B573" s="142"/>
      <c r="C573" s="8"/>
      <c r="D573" s="8"/>
      <c r="E573" s="8"/>
      <c r="F573" s="8"/>
      <c r="G573" s="8"/>
      <c r="H573" s="8"/>
      <c r="I573" s="8"/>
      <c r="J573" s="8"/>
    </row>
    <row r="574">
      <c r="B574" s="142"/>
      <c r="C574" s="8"/>
      <c r="D574" s="8"/>
      <c r="E574" s="8"/>
      <c r="F574" s="8"/>
      <c r="G574" s="8"/>
      <c r="H574" s="8"/>
      <c r="I574" s="8"/>
      <c r="J574" s="8"/>
    </row>
    <row r="575">
      <c r="B575" s="142"/>
      <c r="C575" s="8"/>
      <c r="D575" s="8"/>
      <c r="E575" s="8"/>
      <c r="F575" s="8"/>
      <c r="G575" s="8"/>
      <c r="H575" s="8"/>
      <c r="I575" s="8"/>
      <c r="J575" s="8"/>
    </row>
    <row r="576">
      <c r="B576" s="142"/>
      <c r="C576" s="8"/>
      <c r="D576" s="8"/>
      <c r="E576" s="8"/>
      <c r="F576" s="8"/>
      <c r="G576" s="8"/>
      <c r="H576" s="8"/>
      <c r="I576" s="8"/>
      <c r="J576" s="8"/>
    </row>
    <row r="577">
      <c r="B577" s="142"/>
      <c r="C577" s="8"/>
      <c r="D577" s="8"/>
      <c r="E577" s="8"/>
      <c r="F577" s="8"/>
      <c r="G577" s="8"/>
      <c r="H577" s="8"/>
      <c r="I577" s="8"/>
      <c r="J577" s="8"/>
    </row>
    <row r="578">
      <c r="B578" s="142"/>
      <c r="C578" s="8"/>
      <c r="D578" s="8"/>
      <c r="E578" s="8"/>
      <c r="F578" s="8"/>
      <c r="G578" s="8"/>
      <c r="H578" s="8"/>
      <c r="I578" s="8"/>
      <c r="J578" s="8"/>
    </row>
    <row r="579">
      <c r="B579" s="142"/>
      <c r="C579" s="8"/>
      <c r="D579" s="8"/>
      <c r="E579" s="8"/>
      <c r="F579" s="8"/>
      <c r="G579" s="8"/>
      <c r="H579" s="8"/>
      <c r="I579" s="8"/>
      <c r="J579" s="8"/>
    </row>
    <row r="580">
      <c r="B580" s="142"/>
      <c r="C580" s="8"/>
      <c r="D580" s="8"/>
      <c r="E580" s="8"/>
      <c r="F580" s="8"/>
      <c r="G580" s="8"/>
      <c r="H580" s="8"/>
      <c r="I580" s="8"/>
      <c r="J580" s="8"/>
    </row>
    <row r="581">
      <c r="B581" s="142"/>
      <c r="C581" s="8"/>
      <c r="D581" s="8"/>
      <c r="E581" s="8"/>
      <c r="F581" s="8"/>
      <c r="G581" s="8"/>
      <c r="H581" s="8"/>
      <c r="I581" s="8"/>
      <c r="J581" s="8"/>
    </row>
    <row r="582">
      <c r="B582" s="142"/>
      <c r="C582" s="8"/>
      <c r="D582" s="8"/>
      <c r="E582" s="8"/>
      <c r="F582" s="8"/>
      <c r="G582" s="8"/>
      <c r="H582" s="8"/>
      <c r="I582" s="8"/>
      <c r="J582" s="8"/>
    </row>
    <row r="583">
      <c r="B583" s="142"/>
      <c r="C583" s="8"/>
      <c r="D583" s="8"/>
      <c r="E583" s="8"/>
      <c r="F583" s="8"/>
      <c r="G583" s="8"/>
      <c r="H583" s="8"/>
      <c r="I583" s="8"/>
      <c r="J583" s="8"/>
    </row>
    <row r="584">
      <c r="B584" s="142"/>
      <c r="C584" s="8"/>
      <c r="D584" s="8"/>
      <c r="E584" s="8"/>
      <c r="F584" s="8"/>
      <c r="G584" s="8"/>
      <c r="H584" s="8"/>
      <c r="I584" s="8"/>
      <c r="J584" s="8"/>
    </row>
    <row r="585">
      <c r="B585" s="142"/>
      <c r="C585" s="8"/>
      <c r="D585" s="8"/>
      <c r="E585" s="8"/>
      <c r="F585" s="8"/>
      <c r="G585" s="8"/>
      <c r="H585" s="8"/>
      <c r="I585" s="8"/>
      <c r="J585" s="8"/>
    </row>
    <row r="586">
      <c r="B586" s="142"/>
      <c r="C586" s="8"/>
      <c r="D586" s="8"/>
      <c r="E586" s="8"/>
      <c r="F586" s="8"/>
      <c r="G586" s="8"/>
      <c r="H586" s="8"/>
      <c r="I586" s="8"/>
      <c r="J586" s="8"/>
    </row>
    <row r="587">
      <c r="B587" s="142"/>
      <c r="C587" s="8"/>
      <c r="D587" s="8"/>
      <c r="E587" s="8"/>
      <c r="F587" s="8"/>
      <c r="G587" s="8"/>
      <c r="H587" s="8"/>
      <c r="I587" s="8"/>
      <c r="J587" s="8"/>
    </row>
    <row r="588">
      <c r="B588" s="142"/>
      <c r="C588" s="8"/>
      <c r="D588" s="8"/>
      <c r="E588" s="8"/>
      <c r="F588" s="8"/>
      <c r="G588" s="8"/>
      <c r="H588" s="8"/>
      <c r="I588" s="8"/>
      <c r="J588" s="8"/>
    </row>
    <row r="589">
      <c r="B589" s="142"/>
      <c r="C589" s="8"/>
      <c r="D589" s="8"/>
      <c r="E589" s="8"/>
      <c r="F589" s="8"/>
      <c r="G589" s="8"/>
      <c r="H589" s="8"/>
      <c r="I589" s="8"/>
      <c r="J589" s="8"/>
    </row>
    <row r="590">
      <c r="B590" s="142"/>
      <c r="C590" s="8"/>
      <c r="D590" s="8"/>
      <c r="E590" s="8"/>
      <c r="F590" s="8"/>
      <c r="G590" s="8"/>
      <c r="H590" s="8"/>
      <c r="I590" s="8"/>
      <c r="J590" s="8"/>
    </row>
    <row r="591">
      <c r="B591" s="142"/>
      <c r="C591" s="8"/>
      <c r="D591" s="8"/>
      <c r="E591" s="8"/>
      <c r="F591" s="8"/>
      <c r="G591" s="8"/>
      <c r="H591" s="8"/>
      <c r="I591" s="8"/>
      <c r="J591" s="8"/>
    </row>
    <row r="592">
      <c r="B592" s="142"/>
      <c r="C592" s="8"/>
      <c r="D592" s="8"/>
      <c r="E592" s="8"/>
      <c r="F592" s="8"/>
      <c r="G592" s="8"/>
      <c r="H592" s="8"/>
      <c r="I592" s="8"/>
      <c r="J592" s="8"/>
    </row>
    <row r="593">
      <c r="B593" s="142"/>
      <c r="C593" s="8"/>
      <c r="D593" s="8"/>
      <c r="E593" s="8"/>
      <c r="F593" s="8"/>
      <c r="G593" s="8"/>
      <c r="H593" s="8"/>
      <c r="I593" s="8"/>
      <c r="J593" s="8"/>
    </row>
    <row r="594">
      <c r="B594" s="142"/>
      <c r="C594" s="8"/>
      <c r="D594" s="8"/>
      <c r="E594" s="8"/>
      <c r="F594" s="8"/>
      <c r="G594" s="8"/>
      <c r="H594" s="8"/>
      <c r="I594" s="8"/>
      <c r="J594" s="8"/>
    </row>
    <row r="595">
      <c r="B595" s="142"/>
      <c r="C595" s="8"/>
      <c r="D595" s="8"/>
      <c r="E595" s="8"/>
      <c r="F595" s="8"/>
      <c r="G595" s="8"/>
      <c r="H595" s="8"/>
      <c r="I595" s="8"/>
      <c r="J595" s="8"/>
    </row>
    <row r="596">
      <c r="B596" s="142"/>
      <c r="C596" s="8"/>
      <c r="D596" s="8"/>
      <c r="E596" s="8"/>
      <c r="F596" s="8"/>
      <c r="G596" s="8"/>
      <c r="H596" s="8"/>
      <c r="I596" s="8"/>
      <c r="J596" s="8"/>
    </row>
    <row r="597">
      <c r="B597" s="142"/>
      <c r="C597" s="8"/>
      <c r="D597" s="8"/>
      <c r="E597" s="8"/>
      <c r="F597" s="8"/>
      <c r="G597" s="8"/>
      <c r="H597" s="8"/>
      <c r="I597" s="8"/>
      <c r="J597" s="8"/>
    </row>
    <row r="598">
      <c r="B598" s="142"/>
      <c r="C598" s="8"/>
      <c r="D598" s="8"/>
      <c r="E598" s="8"/>
      <c r="F598" s="8"/>
      <c r="G598" s="8"/>
      <c r="H598" s="8"/>
      <c r="I598" s="8"/>
      <c r="J598" s="8"/>
    </row>
    <row r="599">
      <c r="B599" s="142"/>
      <c r="C599" s="8"/>
      <c r="D599" s="8"/>
      <c r="E599" s="8"/>
      <c r="F599" s="8"/>
      <c r="G599" s="8"/>
      <c r="H599" s="8"/>
      <c r="I599" s="8"/>
      <c r="J599" s="8"/>
    </row>
    <row r="600">
      <c r="B600" s="142"/>
      <c r="C600" s="8"/>
      <c r="D600" s="8"/>
      <c r="E600" s="8"/>
      <c r="F600" s="8"/>
      <c r="G600" s="8"/>
      <c r="H600" s="8"/>
      <c r="I600" s="8"/>
      <c r="J600" s="8"/>
    </row>
    <row r="601">
      <c r="B601" s="142"/>
      <c r="C601" s="8"/>
      <c r="D601" s="8"/>
      <c r="E601" s="8"/>
      <c r="F601" s="8"/>
      <c r="G601" s="8"/>
      <c r="H601" s="8"/>
      <c r="I601" s="8"/>
      <c r="J601" s="8"/>
    </row>
    <row r="602">
      <c r="B602" s="142"/>
      <c r="C602" s="8"/>
      <c r="D602" s="8"/>
      <c r="E602" s="8"/>
      <c r="F602" s="8"/>
      <c r="G602" s="8"/>
      <c r="H602" s="8"/>
      <c r="I602" s="8"/>
      <c r="J602" s="8"/>
    </row>
    <row r="603">
      <c r="B603" s="142"/>
      <c r="C603" s="8"/>
      <c r="D603" s="8"/>
      <c r="E603" s="8"/>
      <c r="F603" s="8"/>
      <c r="G603" s="8"/>
      <c r="H603" s="8"/>
      <c r="I603" s="8"/>
      <c r="J603" s="8"/>
    </row>
    <row r="604">
      <c r="B604" s="142"/>
      <c r="C604" s="8"/>
      <c r="D604" s="8"/>
      <c r="E604" s="8"/>
      <c r="F604" s="8"/>
      <c r="G604" s="8"/>
      <c r="H604" s="8"/>
      <c r="I604" s="8"/>
      <c r="J604" s="8"/>
    </row>
    <row r="605">
      <c r="B605" s="142"/>
      <c r="C605" s="8"/>
      <c r="D605" s="8"/>
      <c r="E605" s="8"/>
      <c r="F605" s="8"/>
      <c r="G605" s="8"/>
      <c r="H605" s="8"/>
      <c r="I605" s="8"/>
      <c r="J605" s="8"/>
    </row>
    <row r="606">
      <c r="B606" s="142"/>
      <c r="C606" s="8"/>
      <c r="D606" s="8"/>
      <c r="E606" s="8"/>
      <c r="F606" s="8"/>
      <c r="G606" s="8"/>
      <c r="H606" s="8"/>
      <c r="I606" s="8"/>
      <c r="J606" s="8"/>
    </row>
    <row r="607">
      <c r="B607" s="142"/>
      <c r="C607" s="8"/>
      <c r="D607" s="8"/>
      <c r="E607" s="8"/>
      <c r="F607" s="8"/>
      <c r="G607" s="8"/>
      <c r="H607" s="8"/>
      <c r="I607" s="8"/>
      <c r="J607" s="8"/>
    </row>
    <row r="608">
      <c r="B608" s="142"/>
      <c r="C608" s="8"/>
      <c r="D608" s="8"/>
      <c r="E608" s="8"/>
      <c r="F608" s="8"/>
      <c r="G608" s="8"/>
      <c r="H608" s="8"/>
      <c r="I608" s="8"/>
      <c r="J608" s="8"/>
    </row>
    <row r="609">
      <c r="B609" s="142"/>
      <c r="C609" s="8"/>
      <c r="D609" s="8"/>
      <c r="E609" s="8"/>
      <c r="F609" s="8"/>
      <c r="G609" s="8"/>
      <c r="H609" s="8"/>
      <c r="I609" s="8"/>
      <c r="J609" s="8"/>
    </row>
    <row r="610">
      <c r="B610" s="142"/>
      <c r="C610" s="8"/>
      <c r="D610" s="8"/>
      <c r="E610" s="8"/>
      <c r="F610" s="8"/>
      <c r="G610" s="8"/>
      <c r="H610" s="8"/>
      <c r="I610" s="8"/>
      <c r="J610" s="8"/>
    </row>
    <row r="611">
      <c r="B611" s="142"/>
      <c r="C611" s="8"/>
      <c r="D611" s="8"/>
      <c r="E611" s="8"/>
      <c r="F611" s="8"/>
      <c r="G611" s="8"/>
      <c r="H611" s="8"/>
      <c r="I611" s="8"/>
      <c r="J611" s="8"/>
    </row>
    <row r="612">
      <c r="B612" s="142"/>
      <c r="C612" s="8"/>
      <c r="D612" s="8"/>
      <c r="E612" s="8"/>
      <c r="F612" s="8"/>
      <c r="G612" s="8"/>
      <c r="H612" s="8"/>
      <c r="I612" s="8"/>
      <c r="J612" s="8"/>
    </row>
    <row r="613">
      <c r="B613" s="142"/>
      <c r="C613" s="8"/>
      <c r="D613" s="8"/>
      <c r="E613" s="8"/>
      <c r="F613" s="8"/>
      <c r="G613" s="8"/>
      <c r="H613" s="8"/>
      <c r="I613" s="8"/>
      <c r="J613" s="8"/>
    </row>
    <row r="614">
      <c r="B614" s="142"/>
      <c r="C614" s="8"/>
      <c r="D614" s="8"/>
      <c r="E614" s="8"/>
      <c r="F614" s="8"/>
      <c r="G614" s="8"/>
      <c r="H614" s="8"/>
      <c r="I614" s="8"/>
      <c r="J614" s="8"/>
    </row>
    <row r="615">
      <c r="B615" s="142"/>
      <c r="C615" s="8"/>
      <c r="D615" s="8"/>
      <c r="E615" s="8"/>
      <c r="F615" s="8"/>
      <c r="G615" s="8"/>
      <c r="H615" s="8"/>
      <c r="I615" s="8"/>
      <c r="J615" s="8"/>
    </row>
    <row r="616">
      <c r="B616" s="142"/>
      <c r="C616" s="8"/>
      <c r="D616" s="8"/>
      <c r="E616" s="8"/>
      <c r="F616" s="8"/>
      <c r="G616" s="8"/>
      <c r="H616" s="8"/>
      <c r="I616" s="8"/>
      <c r="J616" s="8"/>
    </row>
    <row r="617">
      <c r="B617" s="142"/>
      <c r="C617" s="8"/>
      <c r="D617" s="8"/>
      <c r="E617" s="8"/>
      <c r="F617" s="8"/>
      <c r="G617" s="8"/>
      <c r="H617" s="8"/>
      <c r="I617" s="8"/>
      <c r="J617" s="8"/>
    </row>
    <row r="618">
      <c r="B618" s="142"/>
      <c r="C618" s="8"/>
      <c r="D618" s="8"/>
      <c r="E618" s="8"/>
      <c r="F618" s="8"/>
      <c r="G618" s="8"/>
      <c r="H618" s="8"/>
      <c r="I618" s="8"/>
      <c r="J618" s="8"/>
    </row>
    <row r="619">
      <c r="B619" s="142"/>
      <c r="C619" s="8"/>
      <c r="D619" s="8"/>
      <c r="E619" s="8"/>
      <c r="F619" s="8"/>
      <c r="G619" s="8"/>
      <c r="H619" s="8"/>
      <c r="I619" s="8"/>
      <c r="J619" s="8"/>
    </row>
    <row r="620">
      <c r="B620" s="142"/>
      <c r="C620" s="8"/>
      <c r="D620" s="8"/>
      <c r="E620" s="8"/>
      <c r="F620" s="8"/>
      <c r="G620" s="8"/>
      <c r="H620" s="8"/>
      <c r="I620" s="8"/>
      <c r="J620" s="8"/>
    </row>
    <row r="621">
      <c r="B621" s="142"/>
      <c r="C621" s="8"/>
      <c r="D621" s="8"/>
      <c r="E621" s="8"/>
      <c r="F621" s="8"/>
      <c r="G621" s="8"/>
      <c r="H621" s="8"/>
      <c r="I621" s="8"/>
      <c r="J621" s="8"/>
    </row>
    <row r="622">
      <c r="B622" s="142"/>
      <c r="C622" s="8"/>
      <c r="D622" s="8"/>
      <c r="E622" s="8"/>
      <c r="F622" s="8"/>
      <c r="G622" s="8"/>
      <c r="H622" s="8"/>
      <c r="I622" s="8"/>
      <c r="J622" s="8"/>
    </row>
    <row r="623">
      <c r="B623" s="142"/>
      <c r="C623" s="8"/>
      <c r="D623" s="8"/>
      <c r="E623" s="8"/>
      <c r="F623" s="8"/>
      <c r="G623" s="8"/>
      <c r="H623" s="8"/>
      <c r="I623" s="8"/>
      <c r="J623" s="8"/>
    </row>
    <row r="624">
      <c r="B624" s="142"/>
      <c r="C624" s="8"/>
      <c r="D624" s="8"/>
      <c r="E624" s="8"/>
      <c r="F624" s="8"/>
      <c r="G624" s="8"/>
      <c r="H624" s="8"/>
      <c r="I624" s="8"/>
      <c r="J624" s="8"/>
    </row>
    <row r="625">
      <c r="B625" s="142"/>
      <c r="C625" s="8"/>
      <c r="D625" s="8"/>
      <c r="E625" s="8"/>
      <c r="F625" s="8"/>
      <c r="G625" s="8"/>
      <c r="H625" s="8"/>
      <c r="I625" s="8"/>
      <c r="J625" s="8"/>
    </row>
    <row r="626">
      <c r="B626" s="142"/>
      <c r="C626" s="8"/>
      <c r="D626" s="8"/>
      <c r="E626" s="8"/>
      <c r="F626" s="8"/>
      <c r="G626" s="8"/>
      <c r="H626" s="8"/>
      <c r="I626" s="8"/>
      <c r="J626" s="8"/>
    </row>
    <row r="627">
      <c r="B627" s="142"/>
      <c r="C627" s="8"/>
      <c r="D627" s="8"/>
      <c r="E627" s="8"/>
      <c r="F627" s="8"/>
      <c r="G627" s="8"/>
      <c r="H627" s="8"/>
      <c r="I627" s="8"/>
      <c r="J627" s="8"/>
    </row>
    <row r="628">
      <c r="B628" s="142"/>
      <c r="C628" s="8"/>
      <c r="D628" s="8"/>
      <c r="E628" s="8"/>
      <c r="F628" s="8"/>
      <c r="G628" s="8"/>
      <c r="H628" s="8"/>
      <c r="I628" s="8"/>
      <c r="J628" s="8"/>
    </row>
    <row r="629">
      <c r="B629" s="142"/>
      <c r="C629" s="8"/>
      <c r="D629" s="8"/>
      <c r="E629" s="8"/>
      <c r="F629" s="8"/>
      <c r="G629" s="8"/>
      <c r="H629" s="8"/>
      <c r="I629" s="8"/>
      <c r="J629" s="8"/>
    </row>
    <row r="630">
      <c r="B630" s="142"/>
      <c r="C630" s="8"/>
      <c r="D630" s="8"/>
      <c r="E630" s="8"/>
      <c r="F630" s="8"/>
      <c r="G630" s="8"/>
      <c r="H630" s="8"/>
      <c r="I630" s="8"/>
      <c r="J630" s="8"/>
    </row>
    <row r="631">
      <c r="B631" s="142"/>
      <c r="C631" s="8"/>
      <c r="D631" s="8"/>
      <c r="E631" s="8"/>
      <c r="F631" s="8"/>
      <c r="G631" s="8"/>
      <c r="H631" s="8"/>
      <c r="I631" s="8"/>
      <c r="J631" s="8"/>
    </row>
    <row r="632">
      <c r="B632" s="142"/>
      <c r="C632" s="8"/>
      <c r="D632" s="8"/>
      <c r="E632" s="8"/>
      <c r="F632" s="8"/>
      <c r="G632" s="8"/>
      <c r="H632" s="8"/>
      <c r="I632" s="8"/>
      <c r="J632" s="8"/>
    </row>
    <row r="633">
      <c r="B633" s="142"/>
      <c r="C633" s="8"/>
      <c r="D633" s="8"/>
      <c r="E633" s="8"/>
      <c r="F633" s="8"/>
      <c r="G633" s="8"/>
      <c r="H633" s="8"/>
      <c r="I633" s="8"/>
      <c r="J633" s="8"/>
    </row>
    <row r="634">
      <c r="B634" s="142"/>
      <c r="C634" s="8"/>
      <c r="D634" s="8"/>
      <c r="E634" s="8"/>
      <c r="F634" s="8"/>
      <c r="G634" s="8"/>
      <c r="H634" s="8"/>
      <c r="I634" s="8"/>
      <c r="J634" s="8"/>
    </row>
    <row r="635">
      <c r="B635" s="142"/>
      <c r="C635" s="8"/>
      <c r="D635" s="8"/>
      <c r="E635" s="8"/>
      <c r="F635" s="8"/>
      <c r="G635" s="8"/>
      <c r="H635" s="8"/>
      <c r="I635" s="8"/>
      <c r="J635" s="8"/>
    </row>
    <row r="636">
      <c r="B636" s="142"/>
      <c r="C636" s="8"/>
      <c r="D636" s="8"/>
      <c r="E636" s="8"/>
      <c r="F636" s="8"/>
      <c r="G636" s="8"/>
      <c r="H636" s="8"/>
      <c r="I636" s="8"/>
      <c r="J636" s="8"/>
    </row>
    <row r="637">
      <c r="B637" s="142"/>
      <c r="C637" s="8"/>
      <c r="D637" s="8"/>
      <c r="E637" s="8"/>
      <c r="F637" s="8"/>
      <c r="G637" s="8"/>
      <c r="H637" s="8"/>
      <c r="I637" s="8"/>
      <c r="J637" s="8"/>
    </row>
    <row r="638">
      <c r="B638" s="142"/>
      <c r="C638" s="8"/>
      <c r="D638" s="8"/>
      <c r="E638" s="8"/>
      <c r="F638" s="8"/>
      <c r="G638" s="8"/>
      <c r="H638" s="8"/>
      <c r="I638" s="8"/>
      <c r="J638" s="8"/>
    </row>
    <row r="639">
      <c r="B639" s="142"/>
      <c r="C639" s="8"/>
      <c r="D639" s="8"/>
      <c r="E639" s="8"/>
      <c r="F639" s="8"/>
      <c r="G639" s="8"/>
      <c r="H639" s="8"/>
      <c r="I639" s="8"/>
      <c r="J639" s="8"/>
    </row>
    <row r="640">
      <c r="B640" s="142"/>
      <c r="C640" s="8"/>
      <c r="D640" s="8"/>
      <c r="E640" s="8"/>
      <c r="F640" s="8"/>
      <c r="G640" s="8"/>
      <c r="H640" s="8"/>
      <c r="I640" s="8"/>
      <c r="J640" s="8"/>
    </row>
    <row r="641">
      <c r="B641" s="142"/>
      <c r="C641" s="8"/>
      <c r="D641" s="8"/>
      <c r="E641" s="8"/>
      <c r="F641" s="8"/>
      <c r="G641" s="8"/>
      <c r="H641" s="8"/>
      <c r="I641" s="8"/>
      <c r="J641" s="8"/>
    </row>
    <row r="642">
      <c r="B642" s="142"/>
      <c r="C642" s="8"/>
      <c r="D642" s="8"/>
      <c r="E642" s="8"/>
      <c r="F642" s="8"/>
      <c r="G642" s="8"/>
      <c r="H642" s="8"/>
      <c r="I642" s="8"/>
      <c r="J642" s="8"/>
    </row>
    <row r="643">
      <c r="B643" s="142"/>
      <c r="C643" s="8"/>
      <c r="D643" s="8"/>
      <c r="E643" s="8"/>
      <c r="F643" s="8"/>
      <c r="G643" s="8"/>
      <c r="H643" s="8"/>
      <c r="I643" s="8"/>
      <c r="J643" s="8"/>
    </row>
    <row r="644">
      <c r="B644" s="142"/>
      <c r="C644" s="8"/>
      <c r="D644" s="8"/>
      <c r="E644" s="8"/>
      <c r="F644" s="8"/>
      <c r="G644" s="8"/>
      <c r="H644" s="8"/>
      <c r="I644" s="8"/>
      <c r="J644" s="8"/>
    </row>
    <row r="645">
      <c r="B645" s="142"/>
      <c r="C645" s="8"/>
      <c r="D645" s="8"/>
      <c r="E645" s="8"/>
      <c r="F645" s="8"/>
      <c r="G645" s="8"/>
      <c r="H645" s="8"/>
      <c r="I645" s="8"/>
      <c r="J645" s="8"/>
    </row>
    <row r="646">
      <c r="B646" s="142"/>
      <c r="C646" s="8"/>
      <c r="D646" s="8"/>
      <c r="E646" s="8"/>
      <c r="F646" s="8"/>
      <c r="G646" s="8"/>
      <c r="H646" s="8"/>
      <c r="I646" s="8"/>
      <c r="J646" s="8"/>
    </row>
    <row r="647">
      <c r="B647" s="142"/>
      <c r="C647" s="8"/>
      <c r="D647" s="8"/>
      <c r="E647" s="8"/>
      <c r="F647" s="8"/>
      <c r="G647" s="8"/>
      <c r="H647" s="8"/>
      <c r="I647" s="8"/>
      <c r="J647" s="8"/>
    </row>
    <row r="648">
      <c r="B648" s="142"/>
      <c r="C648" s="8"/>
      <c r="D648" s="8"/>
      <c r="E648" s="8"/>
      <c r="F648" s="8"/>
      <c r="G648" s="8"/>
      <c r="H648" s="8"/>
      <c r="I648" s="8"/>
      <c r="J648" s="8"/>
    </row>
    <row r="649">
      <c r="B649" s="142"/>
      <c r="C649" s="8"/>
      <c r="D649" s="8"/>
      <c r="E649" s="8"/>
      <c r="F649" s="8"/>
      <c r="G649" s="8"/>
      <c r="H649" s="8"/>
      <c r="I649" s="8"/>
      <c r="J649" s="8"/>
    </row>
    <row r="650">
      <c r="B650" s="142"/>
      <c r="C650" s="8"/>
      <c r="D650" s="8"/>
      <c r="E650" s="8"/>
      <c r="F650" s="8"/>
      <c r="G650" s="8"/>
      <c r="H650" s="8"/>
      <c r="I650" s="8"/>
      <c r="J650" s="8"/>
    </row>
    <row r="651">
      <c r="B651" s="142"/>
      <c r="C651" s="8"/>
      <c r="D651" s="8"/>
      <c r="E651" s="8"/>
      <c r="F651" s="8"/>
      <c r="G651" s="8"/>
      <c r="H651" s="8"/>
      <c r="I651" s="8"/>
      <c r="J651" s="8"/>
    </row>
    <row r="652">
      <c r="B652" s="142"/>
      <c r="C652" s="8"/>
      <c r="D652" s="8"/>
      <c r="E652" s="8"/>
      <c r="F652" s="8"/>
      <c r="G652" s="8"/>
      <c r="H652" s="8"/>
      <c r="I652" s="8"/>
      <c r="J652" s="8"/>
    </row>
    <row r="653">
      <c r="B653" s="142"/>
      <c r="C653" s="8"/>
      <c r="D653" s="8"/>
      <c r="E653" s="8"/>
      <c r="F653" s="8"/>
      <c r="G653" s="8"/>
      <c r="H653" s="8"/>
      <c r="I653" s="8"/>
      <c r="J653" s="8"/>
    </row>
    <row r="654">
      <c r="B654" s="142"/>
      <c r="C654" s="8"/>
      <c r="D654" s="8"/>
      <c r="E654" s="8"/>
      <c r="F654" s="8"/>
      <c r="G654" s="8"/>
      <c r="H654" s="8"/>
      <c r="I654" s="8"/>
      <c r="J654" s="8"/>
    </row>
    <row r="655">
      <c r="B655" s="142"/>
      <c r="C655" s="8"/>
      <c r="D655" s="8"/>
      <c r="E655" s="8"/>
      <c r="F655" s="8"/>
      <c r="G655" s="8"/>
      <c r="H655" s="8"/>
      <c r="I655" s="8"/>
      <c r="J655" s="8"/>
    </row>
    <row r="656">
      <c r="B656" s="142"/>
      <c r="C656" s="8"/>
      <c r="D656" s="8"/>
      <c r="E656" s="8"/>
      <c r="F656" s="8"/>
      <c r="G656" s="8"/>
      <c r="H656" s="8"/>
      <c r="I656" s="8"/>
      <c r="J656" s="8"/>
    </row>
    <row r="657">
      <c r="B657" s="142"/>
      <c r="C657" s="8"/>
      <c r="D657" s="8"/>
      <c r="E657" s="8"/>
      <c r="F657" s="8"/>
      <c r="G657" s="8"/>
      <c r="H657" s="8"/>
      <c r="I657" s="8"/>
      <c r="J657" s="8"/>
    </row>
    <row r="658">
      <c r="B658" s="142"/>
      <c r="C658" s="8"/>
      <c r="D658" s="8"/>
      <c r="E658" s="8"/>
      <c r="F658" s="8"/>
      <c r="G658" s="8"/>
      <c r="H658" s="8"/>
      <c r="I658" s="8"/>
      <c r="J658" s="8"/>
    </row>
    <row r="659">
      <c r="B659" s="142"/>
      <c r="C659" s="8"/>
      <c r="D659" s="8"/>
      <c r="E659" s="8"/>
      <c r="F659" s="8"/>
      <c r="G659" s="8"/>
      <c r="H659" s="8"/>
      <c r="I659" s="8"/>
      <c r="J659" s="8"/>
    </row>
    <row r="660">
      <c r="B660" s="142"/>
      <c r="C660" s="8"/>
      <c r="D660" s="8"/>
      <c r="E660" s="8"/>
      <c r="F660" s="8"/>
      <c r="G660" s="8"/>
      <c r="H660" s="8"/>
      <c r="I660" s="8"/>
      <c r="J660" s="8"/>
    </row>
    <row r="661">
      <c r="B661" s="142"/>
      <c r="C661" s="8"/>
      <c r="D661" s="8"/>
      <c r="E661" s="8"/>
      <c r="F661" s="8"/>
      <c r="G661" s="8"/>
      <c r="H661" s="8"/>
      <c r="I661" s="8"/>
      <c r="J661" s="8"/>
    </row>
    <row r="662">
      <c r="B662" s="142"/>
      <c r="C662" s="8"/>
      <c r="D662" s="8"/>
      <c r="E662" s="8"/>
      <c r="F662" s="8"/>
      <c r="G662" s="8"/>
      <c r="H662" s="8"/>
      <c r="I662" s="8"/>
      <c r="J662" s="8"/>
    </row>
    <row r="663">
      <c r="B663" s="142"/>
      <c r="C663" s="8"/>
      <c r="D663" s="8"/>
      <c r="E663" s="8"/>
      <c r="F663" s="8"/>
      <c r="G663" s="8"/>
      <c r="H663" s="8"/>
      <c r="I663" s="8"/>
      <c r="J663" s="8"/>
    </row>
    <row r="664">
      <c r="B664" s="142"/>
      <c r="C664" s="8"/>
      <c r="D664" s="8"/>
      <c r="E664" s="8"/>
      <c r="F664" s="8"/>
      <c r="G664" s="8"/>
      <c r="H664" s="8"/>
      <c r="I664" s="8"/>
      <c r="J664" s="8"/>
    </row>
    <row r="665">
      <c r="B665" s="142"/>
      <c r="C665" s="8"/>
      <c r="D665" s="8"/>
      <c r="E665" s="8"/>
      <c r="F665" s="8"/>
      <c r="G665" s="8"/>
      <c r="H665" s="8"/>
      <c r="I665" s="8"/>
      <c r="J665" s="8"/>
    </row>
    <row r="666">
      <c r="B666" s="142"/>
      <c r="C666" s="8"/>
      <c r="D666" s="8"/>
      <c r="E666" s="8"/>
      <c r="F666" s="8"/>
      <c r="G666" s="8"/>
      <c r="H666" s="8"/>
      <c r="I666" s="8"/>
      <c r="J666" s="8"/>
    </row>
    <row r="667">
      <c r="B667" s="142"/>
      <c r="C667" s="8"/>
      <c r="D667" s="8"/>
      <c r="E667" s="8"/>
      <c r="F667" s="8"/>
      <c r="G667" s="8"/>
      <c r="H667" s="8"/>
      <c r="I667" s="8"/>
      <c r="J667" s="8"/>
    </row>
    <row r="668">
      <c r="B668" s="142"/>
      <c r="C668" s="8"/>
      <c r="D668" s="8"/>
      <c r="E668" s="8"/>
      <c r="F668" s="8"/>
      <c r="G668" s="8"/>
      <c r="H668" s="8"/>
      <c r="I668" s="8"/>
      <c r="J668" s="8"/>
    </row>
    <row r="669">
      <c r="B669" s="142"/>
      <c r="C669" s="8"/>
      <c r="D669" s="8"/>
      <c r="E669" s="8"/>
      <c r="F669" s="8"/>
      <c r="G669" s="8"/>
      <c r="H669" s="8"/>
      <c r="I669" s="8"/>
      <c r="J669" s="8"/>
    </row>
    <row r="670">
      <c r="B670" s="142"/>
      <c r="C670" s="8"/>
      <c r="D670" s="8"/>
      <c r="E670" s="8"/>
      <c r="F670" s="8"/>
      <c r="G670" s="8"/>
      <c r="H670" s="8"/>
      <c r="I670" s="8"/>
      <c r="J670" s="8"/>
    </row>
    <row r="671">
      <c r="B671" s="142"/>
      <c r="C671" s="8"/>
      <c r="D671" s="8"/>
      <c r="E671" s="8"/>
      <c r="F671" s="8"/>
      <c r="G671" s="8"/>
      <c r="H671" s="8"/>
      <c r="I671" s="8"/>
      <c r="J671" s="8"/>
    </row>
    <row r="672">
      <c r="B672" s="142"/>
      <c r="C672" s="8"/>
      <c r="D672" s="8"/>
      <c r="E672" s="8"/>
      <c r="F672" s="8"/>
      <c r="G672" s="8"/>
      <c r="H672" s="8"/>
      <c r="I672" s="8"/>
      <c r="J672" s="8"/>
    </row>
    <row r="673">
      <c r="B673" s="142"/>
      <c r="C673" s="8"/>
      <c r="D673" s="8"/>
      <c r="E673" s="8"/>
      <c r="F673" s="8"/>
      <c r="G673" s="8"/>
      <c r="H673" s="8"/>
      <c r="I673" s="8"/>
      <c r="J673" s="8"/>
    </row>
    <row r="674">
      <c r="B674" s="142"/>
      <c r="C674" s="8"/>
      <c r="D674" s="8"/>
      <c r="E674" s="8"/>
      <c r="F674" s="8"/>
      <c r="G674" s="8"/>
      <c r="H674" s="8"/>
      <c r="I674" s="8"/>
      <c r="J674" s="8"/>
    </row>
    <row r="675">
      <c r="B675" s="142"/>
      <c r="C675" s="8"/>
      <c r="D675" s="8"/>
      <c r="E675" s="8"/>
      <c r="F675" s="8"/>
      <c r="G675" s="8"/>
      <c r="H675" s="8"/>
      <c r="I675" s="8"/>
      <c r="J675" s="8"/>
    </row>
    <row r="676">
      <c r="B676" s="142"/>
      <c r="C676" s="8"/>
      <c r="D676" s="8"/>
      <c r="E676" s="8"/>
      <c r="F676" s="8"/>
      <c r="G676" s="8"/>
      <c r="H676" s="8"/>
      <c r="I676" s="8"/>
      <c r="J676" s="8"/>
    </row>
    <row r="677">
      <c r="B677" s="142"/>
      <c r="C677" s="8"/>
      <c r="D677" s="8"/>
      <c r="E677" s="8"/>
      <c r="F677" s="8"/>
      <c r="G677" s="8"/>
      <c r="H677" s="8"/>
      <c r="I677" s="8"/>
      <c r="J677" s="8"/>
    </row>
    <row r="678">
      <c r="B678" s="142"/>
      <c r="C678" s="8"/>
      <c r="D678" s="8"/>
      <c r="E678" s="8"/>
      <c r="F678" s="8"/>
      <c r="G678" s="8"/>
      <c r="H678" s="8"/>
      <c r="I678" s="8"/>
      <c r="J678" s="8"/>
    </row>
    <row r="679">
      <c r="B679" s="142"/>
      <c r="C679" s="8"/>
      <c r="D679" s="8"/>
      <c r="E679" s="8"/>
      <c r="F679" s="8"/>
      <c r="G679" s="8"/>
      <c r="H679" s="8"/>
      <c r="I679" s="8"/>
      <c r="J679" s="8"/>
    </row>
    <row r="680">
      <c r="B680" s="142"/>
      <c r="C680" s="8"/>
      <c r="D680" s="8"/>
      <c r="E680" s="8"/>
      <c r="F680" s="8"/>
      <c r="G680" s="8"/>
      <c r="H680" s="8"/>
      <c r="I680" s="8"/>
      <c r="J680" s="8"/>
    </row>
    <row r="681">
      <c r="B681" s="142"/>
      <c r="C681" s="8"/>
      <c r="D681" s="8"/>
      <c r="E681" s="8"/>
      <c r="F681" s="8"/>
      <c r="G681" s="8"/>
      <c r="H681" s="8"/>
      <c r="I681" s="8"/>
      <c r="J681" s="8"/>
    </row>
    <row r="682">
      <c r="B682" s="142"/>
      <c r="C682" s="8"/>
      <c r="D682" s="8"/>
      <c r="E682" s="8"/>
      <c r="F682" s="8"/>
      <c r="G682" s="8"/>
      <c r="H682" s="8"/>
      <c r="I682" s="8"/>
      <c r="J682" s="8"/>
    </row>
    <row r="683">
      <c r="B683" s="142"/>
      <c r="C683" s="8"/>
      <c r="D683" s="8"/>
      <c r="E683" s="8"/>
      <c r="F683" s="8"/>
      <c r="G683" s="8"/>
      <c r="H683" s="8"/>
      <c r="I683" s="8"/>
      <c r="J683" s="8"/>
    </row>
    <row r="684">
      <c r="B684" s="142"/>
      <c r="C684" s="8"/>
      <c r="D684" s="8"/>
      <c r="E684" s="8"/>
      <c r="F684" s="8"/>
      <c r="G684" s="8"/>
      <c r="H684" s="8"/>
      <c r="I684" s="8"/>
      <c r="J684" s="8"/>
    </row>
    <row r="685">
      <c r="B685" s="142"/>
      <c r="C685" s="8"/>
      <c r="D685" s="8"/>
      <c r="E685" s="8"/>
      <c r="F685" s="8"/>
      <c r="G685" s="8"/>
      <c r="H685" s="8"/>
      <c r="I685" s="8"/>
      <c r="J685" s="8"/>
    </row>
    <row r="686">
      <c r="B686" s="142"/>
      <c r="C686" s="8"/>
      <c r="D686" s="8"/>
      <c r="E686" s="8"/>
      <c r="F686" s="8"/>
      <c r="G686" s="8"/>
      <c r="H686" s="8"/>
      <c r="I686" s="8"/>
      <c r="J686" s="8"/>
    </row>
    <row r="687">
      <c r="B687" s="142"/>
      <c r="C687" s="8"/>
      <c r="D687" s="8"/>
      <c r="E687" s="8"/>
      <c r="F687" s="8"/>
      <c r="G687" s="8"/>
      <c r="H687" s="8"/>
      <c r="I687" s="8"/>
      <c r="J687" s="8"/>
    </row>
    <row r="688">
      <c r="B688" s="142"/>
      <c r="C688" s="8"/>
      <c r="D688" s="8"/>
      <c r="E688" s="8"/>
      <c r="F688" s="8"/>
      <c r="G688" s="8"/>
      <c r="H688" s="8"/>
      <c r="I688" s="8"/>
      <c r="J688" s="8"/>
    </row>
    <row r="689">
      <c r="B689" s="142"/>
      <c r="C689" s="8"/>
      <c r="D689" s="8"/>
      <c r="E689" s="8"/>
      <c r="F689" s="8"/>
      <c r="G689" s="8"/>
      <c r="H689" s="8"/>
      <c r="I689" s="8"/>
      <c r="J689" s="8"/>
    </row>
    <row r="690">
      <c r="B690" s="142"/>
      <c r="C690" s="8"/>
      <c r="D690" s="8"/>
      <c r="E690" s="8"/>
      <c r="F690" s="8"/>
      <c r="G690" s="8"/>
      <c r="H690" s="8"/>
      <c r="I690" s="8"/>
      <c r="J690" s="8"/>
    </row>
    <row r="691">
      <c r="B691" s="142"/>
      <c r="C691" s="8"/>
      <c r="D691" s="8"/>
      <c r="E691" s="8"/>
      <c r="F691" s="8"/>
      <c r="G691" s="8"/>
      <c r="H691" s="8"/>
      <c r="I691" s="8"/>
      <c r="J691" s="8"/>
    </row>
    <row r="692">
      <c r="B692" s="142"/>
      <c r="C692" s="8"/>
      <c r="D692" s="8"/>
      <c r="E692" s="8"/>
      <c r="F692" s="8"/>
      <c r="G692" s="8"/>
      <c r="H692" s="8"/>
      <c r="I692" s="8"/>
      <c r="J692" s="8"/>
    </row>
    <row r="693">
      <c r="B693" s="142"/>
      <c r="C693" s="8"/>
      <c r="D693" s="8"/>
      <c r="E693" s="8"/>
      <c r="F693" s="8"/>
      <c r="G693" s="8"/>
      <c r="H693" s="8"/>
      <c r="I693" s="8"/>
      <c r="J693" s="8"/>
    </row>
    <row r="694">
      <c r="B694" s="142"/>
      <c r="C694" s="8"/>
      <c r="D694" s="8"/>
      <c r="E694" s="8"/>
      <c r="F694" s="8"/>
      <c r="G694" s="8"/>
      <c r="H694" s="8"/>
      <c r="I694" s="8"/>
      <c r="J694" s="8"/>
    </row>
    <row r="695">
      <c r="B695" s="142"/>
      <c r="C695" s="8"/>
      <c r="D695" s="8"/>
      <c r="E695" s="8"/>
      <c r="F695" s="8"/>
      <c r="G695" s="8"/>
      <c r="H695" s="8"/>
      <c r="I695" s="8"/>
      <c r="J695" s="8"/>
    </row>
    <row r="696">
      <c r="B696" s="142"/>
      <c r="C696" s="8"/>
      <c r="D696" s="8"/>
      <c r="E696" s="8"/>
      <c r="F696" s="8"/>
      <c r="G696" s="8"/>
      <c r="H696" s="8"/>
      <c r="I696" s="8"/>
      <c r="J696" s="8"/>
    </row>
    <row r="697">
      <c r="B697" s="142"/>
      <c r="C697" s="8"/>
      <c r="D697" s="8"/>
      <c r="E697" s="8"/>
      <c r="F697" s="8"/>
      <c r="G697" s="8"/>
      <c r="H697" s="8"/>
      <c r="I697" s="8"/>
      <c r="J697" s="8"/>
    </row>
    <row r="698">
      <c r="B698" s="142"/>
      <c r="C698" s="8"/>
      <c r="D698" s="8"/>
      <c r="E698" s="8"/>
      <c r="F698" s="8"/>
      <c r="G698" s="8"/>
      <c r="H698" s="8"/>
      <c r="I698" s="8"/>
      <c r="J698" s="8"/>
    </row>
    <row r="699">
      <c r="B699" s="142"/>
      <c r="C699" s="8"/>
      <c r="D699" s="8"/>
      <c r="E699" s="8"/>
      <c r="F699" s="8"/>
      <c r="G699" s="8"/>
      <c r="H699" s="8"/>
      <c r="I699" s="8"/>
      <c r="J699" s="8"/>
    </row>
    <row r="700">
      <c r="B700" s="142"/>
      <c r="C700" s="8"/>
      <c r="D700" s="8"/>
      <c r="E700" s="8"/>
      <c r="F700" s="8"/>
      <c r="G700" s="8"/>
      <c r="H700" s="8"/>
      <c r="I700" s="8"/>
      <c r="J700" s="8"/>
    </row>
    <row r="701">
      <c r="B701" s="142"/>
      <c r="C701" s="8"/>
      <c r="D701" s="8"/>
      <c r="E701" s="8"/>
      <c r="F701" s="8"/>
      <c r="G701" s="8"/>
      <c r="H701" s="8"/>
      <c r="I701" s="8"/>
      <c r="J701" s="8"/>
    </row>
    <row r="702">
      <c r="B702" s="142"/>
      <c r="C702" s="8"/>
      <c r="D702" s="8"/>
      <c r="E702" s="8"/>
      <c r="F702" s="8"/>
      <c r="G702" s="8"/>
      <c r="H702" s="8"/>
      <c r="I702" s="8"/>
      <c r="J702" s="8"/>
    </row>
    <row r="703">
      <c r="B703" s="142"/>
      <c r="C703" s="8"/>
      <c r="D703" s="8"/>
      <c r="E703" s="8"/>
      <c r="F703" s="8"/>
      <c r="G703" s="8"/>
      <c r="H703" s="8"/>
      <c r="I703" s="8"/>
      <c r="J703" s="8"/>
    </row>
    <row r="704">
      <c r="B704" s="142"/>
      <c r="C704" s="8"/>
      <c r="D704" s="8"/>
      <c r="E704" s="8"/>
      <c r="F704" s="8"/>
      <c r="G704" s="8"/>
      <c r="H704" s="8"/>
      <c r="I704" s="8"/>
      <c r="J704" s="8"/>
    </row>
    <row r="705">
      <c r="B705" s="142"/>
      <c r="C705" s="8"/>
      <c r="D705" s="8"/>
      <c r="E705" s="8"/>
      <c r="F705" s="8"/>
      <c r="G705" s="8"/>
      <c r="H705" s="8"/>
      <c r="I705" s="8"/>
      <c r="J705" s="8"/>
    </row>
    <row r="706">
      <c r="B706" s="142"/>
      <c r="C706" s="8"/>
      <c r="D706" s="8"/>
      <c r="E706" s="8"/>
      <c r="F706" s="8"/>
      <c r="G706" s="8"/>
      <c r="H706" s="8"/>
      <c r="I706" s="8"/>
      <c r="J706" s="8"/>
    </row>
    <row r="707">
      <c r="B707" s="142"/>
      <c r="C707" s="8"/>
      <c r="D707" s="8"/>
      <c r="E707" s="8"/>
      <c r="F707" s="8"/>
      <c r="G707" s="8"/>
      <c r="H707" s="8"/>
      <c r="I707" s="8"/>
      <c r="J707" s="8"/>
    </row>
    <row r="708">
      <c r="B708" s="142"/>
      <c r="C708" s="8"/>
      <c r="D708" s="8"/>
      <c r="E708" s="8"/>
      <c r="F708" s="8"/>
      <c r="G708" s="8"/>
      <c r="H708" s="8"/>
      <c r="I708" s="8"/>
      <c r="J708" s="8"/>
    </row>
    <row r="709">
      <c r="B709" s="142"/>
      <c r="C709" s="8"/>
      <c r="D709" s="8"/>
      <c r="E709" s="8"/>
      <c r="F709" s="8"/>
      <c r="G709" s="8"/>
      <c r="H709" s="8"/>
      <c r="I709" s="8"/>
      <c r="J709" s="8"/>
    </row>
    <row r="710">
      <c r="B710" s="142"/>
      <c r="C710" s="8"/>
      <c r="D710" s="8"/>
      <c r="E710" s="8"/>
      <c r="F710" s="8"/>
      <c r="G710" s="8"/>
      <c r="H710" s="8"/>
      <c r="I710" s="8"/>
      <c r="J710" s="8"/>
    </row>
    <row r="711">
      <c r="B711" s="142"/>
      <c r="C711" s="8"/>
      <c r="D711" s="8"/>
      <c r="E711" s="8"/>
      <c r="F711" s="8"/>
      <c r="G711" s="8"/>
      <c r="H711" s="8"/>
      <c r="I711" s="8"/>
      <c r="J711" s="8"/>
    </row>
    <row r="712">
      <c r="B712" s="142"/>
      <c r="C712" s="8"/>
      <c r="D712" s="8"/>
      <c r="E712" s="8"/>
      <c r="F712" s="8"/>
      <c r="G712" s="8"/>
      <c r="H712" s="8"/>
      <c r="I712" s="8"/>
      <c r="J712" s="8"/>
    </row>
    <row r="713">
      <c r="B713" s="142"/>
      <c r="C713" s="8"/>
      <c r="D713" s="8"/>
      <c r="E713" s="8"/>
      <c r="F713" s="8"/>
      <c r="G713" s="8"/>
      <c r="H713" s="8"/>
      <c r="I713" s="8"/>
      <c r="J713" s="8"/>
    </row>
    <row r="714">
      <c r="B714" s="142"/>
      <c r="C714" s="8"/>
      <c r="D714" s="8"/>
      <c r="E714" s="8"/>
      <c r="F714" s="8"/>
      <c r="G714" s="8"/>
      <c r="H714" s="8"/>
      <c r="I714" s="8"/>
      <c r="J714" s="8"/>
    </row>
    <row r="715">
      <c r="B715" s="142"/>
      <c r="C715" s="8"/>
      <c r="D715" s="8"/>
      <c r="E715" s="8"/>
      <c r="F715" s="8"/>
      <c r="G715" s="8"/>
      <c r="H715" s="8"/>
      <c r="I715" s="8"/>
      <c r="J715" s="8"/>
    </row>
    <row r="716">
      <c r="B716" s="142"/>
      <c r="C716" s="8"/>
      <c r="D716" s="8"/>
      <c r="E716" s="8"/>
      <c r="F716" s="8"/>
      <c r="G716" s="8"/>
      <c r="H716" s="8"/>
      <c r="I716" s="8"/>
      <c r="J716" s="8"/>
    </row>
    <row r="717">
      <c r="B717" s="142"/>
      <c r="C717" s="8"/>
      <c r="D717" s="8"/>
      <c r="E717" s="8"/>
      <c r="F717" s="8"/>
      <c r="G717" s="8"/>
      <c r="H717" s="8"/>
      <c r="I717" s="8"/>
      <c r="J717" s="8"/>
    </row>
    <row r="718">
      <c r="B718" s="142"/>
      <c r="C718" s="8"/>
      <c r="D718" s="8"/>
      <c r="E718" s="8"/>
      <c r="F718" s="8"/>
      <c r="G718" s="8"/>
      <c r="H718" s="8"/>
      <c r="I718" s="8"/>
      <c r="J718" s="8"/>
    </row>
    <row r="719">
      <c r="B719" s="142"/>
      <c r="C719" s="8"/>
      <c r="D719" s="8"/>
      <c r="E719" s="8"/>
      <c r="F719" s="8"/>
      <c r="G719" s="8"/>
      <c r="H719" s="8"/>
      <c r="I719" s="8"/>
      <c r="J719" s="8"/>
    </row>
    <row r="720">
      <c r="B720" s="142"/>
      <c r="C720" s="8"/>
      <c r="D720" s="8"/>
      <c r="E720" s="8"/>
      <c r="F720" s="8"/>
      <c r="G720" s="8"/>
      <c r="H720" s="8"/>
      <c r="I720" s="8"/>
      <c r="J720" s="8"/>
    </row>
    <row r="721">
      <c r="B721" s="142"/>
      <c r="C721" s="8"/>
      <c r="D721" s="8"/>
      <c r="E721" s="8"/>
      <c r="F721" s="8"/>
      <c r="G721" s="8"/>
      <c r="H721" s="8"/>
      <c r="I721" s="8"/>
      <c r="J721" s="8"/>
    </row>
    <row r="722">
      <c r="B722" s="142"/>
      <c r="C722" s="8"/>
      <c r="D722" s="8"/>
      <c r="E722" s="8"/>
      <c r="F722" s="8"/>
      <c r="G722" s="8"/>
      <c r="H722" s="8"/>
      <c r="I722" s="8"/>
      <c r="J722" s="8"/>
    </row>
    <row r="723">
      <c r="B723" s="142"/>
      <c r="C723" s="8"/>
      <c r="D723" s="8"/>
      <c r="E723" s="8"/>
      <c r="F723" s="8"/>
      <c r="G723" s="8"/>
      <c r="H723" s="8"/>
      <c r="I723" s="8"/>
      <c r="J723" s="8"/>
    </row>
    <row r="724">
      <c r="B724" s="142"/>
      <c r="C724" s="8"/>
      <c r="D724" s="8"/>
      <c r="E724" s="8"/>
      <c r="F724" s="8"/>
      <c r="G724" s="8"/>
      <c r="H724" s="8"/>
      <c r="I724" s="8"/>
      <c r="J724" s="8"/>
    </row>
    <row r="725">
      <c r="B725" s="142"/>
      <c r="C725" s="8"/>
      <c r="D725" s="8"/>
      <c r="E725" s="8"/>
      <c r="F725" s="8"/>
      <c r="G725" s="8"/>
      <c r="H725" s="8"/>
      <c r="I725" s="8"/>
      <c r="J725" s="8"/>
    </row>
    <row r="726">
      <c r="B726" s="142"/>
      <c r="C726" s="8"/>
      <c r="D726" s="8"/>
      <c r="E726" s="8"/>
      <c r="F726" s="8"/>
      <c r="G726" s="8"/>
      <c r="H726" s="8"/>
      <c r="I726" s="8"/>
      <c r="J726" s="8"/>
    </row>
    <row r="727">
      <c r="B727" s="142"/>
      <c r="C727" s="8"/>
      <c r="D727" s="8"/>
      <c r="E727" s="8"/>
      <c r="F727" s="8"/>
      <c r="G727" s="8"/>
      <c r="H727" s="8"/>
      <c r="I727" s="8"/>
      <c r="J727" s="8"/>
    </row>
    <row r="728">
      <c r="B728" s="142"/>
      <c r="C728" s="8"/>
      <c r="D728" s="8"/>
      <c r="E728" s="8"/>
      <c r="F728" s="8"/>
      <c r="G728" s="8"/>
      <c r="H728" s="8"/>
      <c r="I728" s="8"/>
      <c r="J728" s="8"/>
    </row>
    <row r="729">
      <c r="B729" s="142"/>
      <c r="C729" s="8"/>
      <c r="D729" s="8"/>
      <c r="E729" s="8"/>
      <c r="F729" s="8"/>
      <c r="G729" s="8"/>
      <c r="H729" s="8"/>
      <c r="I729" s="8"/>
      <c r="J729" s="8"/>
    </row>
    <row r="730">
      <c r="B730" s="142"/>
      <c r="C730" s="8"/>
      <c r="D730" s="8"/>
      <c r="E730" s="8"/>
      <c r="F730" s="8"/>
      <c r="G730" s="8"/>
      <c r="H730" s="8"/>
      <c r="I730" s="8"/>
      <c r="J730" s="8"/>
    </row>
    <row r="731">
      <c r="B731" s="142"/>
      <c r="C731" s="8"/>
      <c r="D731" s="8"/>
      <c r="E731" s="8"/>
      <c r="F731" s="8"/>
      <c r="G731" s="8"/>
      <c r="H731" s="8"/>
      <c r="I731" s="8"/>
      <c r="J731" s="8"/>
    </row>
    <row r="732">
      <c r="B732" s="142"/>
      <c r="C732" s="8"/>
      <c r="D732" s="8"/>
      <c r="E732" s="8"/>
      <c r="F732" s="8"/>
      <c r="G732" s="8"/>
      <c r="H732" s="8"/>
      <c r="I732" s="8"/>
      <c r="J732" s="8"/>
    </row>
    <row r="733">
      <c r="B733" s="142"/>
      <c r="C733" s="8"/>
      <c r="D733" s="8"/>
      <c r="E733" s="8"/>
      <c r="F733" s="8"/>
      <c r="G733" s="8"/>
      <c r="H733" s="8"/>
      <c r="I733" s="8"/>
      <c r="J733" s="8"/>
    </row>
    <row r="734">
      <c r="B734" s="142"/>
      <c r="C734" s="8"/>
      <c r="D734" s="8"/>
      <c r="E734" s="8"/>
      <c r="F734" s="8"/>
      <c r="G734" s="8"/>
      <c r="H734" s="8"/>
      <c r="I734" s="8"/>
      <c r="J734" s="8"/>
    </row>
    <row r="735">
      <c r="B735" s="142"/>
      <c r="C735" s="8"/>
      <c r="D735" s="8"/>
      <c r="E735" s="8"/>
      <c r="F735" s="8"/>
      <c r="G735" s="8"/>
      <c r="H735" s="8"/>
      <c r="I735" s="8"/>
      <c r="J735" s="8"/>
    </row>
    <row r="736">
      <c r="B736" s="142"/>
      <c r="C736" s="8"/>
      <c r="D736" s="8"/>
      <c r="E736" s="8"/>
      <c r="F736" s="8"/>
      <c r="G736" s="8"/>
      <c r="H736" s="8"/>
      <c r="I736" s="8"/>
      <c r="J736" s="8"/>
    </row>
    <row r="737">
      <c r="B737" s="142"/>
      <c r="C737" s="8"/>
      <c r="D737" s="8"/>
      <c r="E737" s="8"/>
      <c r="F737" s="8"/>
      <c r="G737" s="8"/>
      <c r="H737" s="8"/>
      <c r="I737" s="8"/>
      <c r="J737" s="8"/>
    </row>
    <row r="738">
      <c r="B738" s="142"/>
      <c r="C738" s="8"/>
      <c r="D738" s="8"/>
      <c r="E738" s="8"/>
      <c r="F738" s="8"/>
      <c r="G738" s="8"/>
      <c r="H738" s="8"/>
      <c r="I738" s="8"/>
      <c r="J738" s="8"/>
    </row>
    <row r="739">
      <c r="B739" s="142"/>
      <c r="C739" s="8"/>
      <c r="D739" s="8"/>
      <c r="E739" s="8"/>
      <c r="F739" s="8"/>
      <c r="G739" s="8"/>
      <c r="H739" s="8"/>
      <c r="I739" s="8"/>
      <c r="J739" s="8"/>
    </row>
    <row r="740">
      <c r="B740" s="142"/>
      <c r="C740" s="8"/>
      <c r="D740" s="8"/>
      <c r="E740" s="8"/>
      <c r="F740" s="8"/>
      <c r="G740" s="8"/>
      <c r="H740" s="8"/>
      <c r="I740" s="8"/>
      <c r="J740" s="8"/>
    </row>
    <row r="741">
      <c r="B741" s="142"/>
      <c r="C741" s="8"/>
      <c r="D741" s="8"/>
      <c r="E741" s="8"/>
      <c r="F741" s="8"/>
      <c r="G741" s="8"/>
      <c r="H741" s="8"/>
      <c r="I741" s="8"/>
      <c r="J741" s="8"/>
    </row>
    <row r="742">
      <c r="B742" s="142"/>
      <c r="C742" s="8"/>
      <c r="D742" s="8"/>
      <c r="E742" s="8"/>
      <c r="F742" s="8"/>
      <c r="G742" s="8"/>
      <c r="H742" s="8"/>
      <c r="I742" s="8"/>
      <c r="J742" s="8"/>
    </row>
    <row r="743">
      <c r="B743" s="142"/>
      <c r="C743" s="8"/>
      <c r="D743" s="8"/>
      <c r="E743" s="8"/>
      <c r="F743" s="8"/>
      <c r="G743" s="8"/>
      <c r="H743" s="8"/>
      <c r="I743" s="8"/>
      <c r="J743" s="8"/>
    </row>
    <row r="744">
      <c r="B744" s="142"/>
      <c r="C744" s="8"/>
      <c r="D744" s="8"/>
      <c r="E744" s="8"/>
      <c r="F744" s="8"/>
      <c r="G744" s="8"/>
      <c r="H744" s="8"/>
      <c r="I744" s="8"/>
      <c r="J744" s="8"/>
    </row>
    <row r="745">
      <c r="B745" s="142"/>
      <c r="C745" s="8"/>
      <c r="D745" s="8"/>
      <c r="E745" s="8"/>
      <c r="F745" s="8"/>
      <c r="G745" s="8"/>
      <c r="H745" s="8"/>
      <c r="I745" s="8"/>
      <c r="J745" s="8"/>
    </row>
    <row r="746">
      <c r="B746" s="142"/>
      <c r="C746" s="8"/>
      <c r="D746" s="8"/>
      <c r="E746" s="8"/>
      <c r="F746" s="8"/>
      <c r="G746" s="8"/>
      <c r="H746" s="8"/>
      <c r="I746" s="8"/>
      <c r="J746" s="8"/>
    </row>
    <row r="747">
      <c r="B747" s="142"/>
      <c r="C747" s="8"/>
      <c r="D747" s="8"/>
      <c r="E747" s="8"/>
      <c r="F747" s="8"/>
      <c r="G747" s="8"/>
      <c r="H747" s="8"/>
      <c r="I747" s="8"/>
      <c r="J747" s="8"/>
    </row>
    <row r="748">
      <c r="B748" s="142"/>
      <c r="C748" s="8"/>
      <c r="D748" s="8"/>
      <c r="E748" s="8"/>
      <c r="F748" s="8"/>
      <c r="G748" s="8"/>
      <c r="H748" s="8"/>
      <c r="I748" s="8"/>
      <c r="J748" s="8"/>
    </row>
    <row r="749">
      <c r="B749" s="142"/>
      <c r="C749" s="8"/>
      <c r="D749" s="8"/>
      <c r="E749" s="8"/>
      <c r="F749" s="8"/>
      <c r="G749" s="8"/>
      <c r="H749" s="8"/>
      <c r="I749" s="8"/>
      <c r="J749" s="8"/>
    </row>
    <row r="750">
      <c r="B750" s="142"/>
      <c r="C750" s="8"/>
      <c r="D750" s="8"/>
      <c r="E750" s="8"/>
      <c r="F750" s="8"/>
      <c r="G750" s="8"/>
      <c r="H750" s="8"/>
      <c r="I750" s="8"/>
      <c r="J750" s="8"/>
    </row>
    <row r="751">
      <c r="B751" s="142"/>
      <c r="C751" s="8"/>
      <c r="D751" s="8"/>
      <c r="E751" s="8"/>
      <c r="F751" s="8"/>
      <c r="G751" s="8"/>
      <c r="H751" s="8"/>
      <c r="I751" s="8"/>
      <c r="J751" s="8"/>
    </row>
    <row r="752">
      <c r="B752" s="142"/>
      <c r="C752" s="8"/>
      <c r="D752" s="8"/>
      <c r="E752" s="8"/>
      <c r="F752" s="8"/>
      <c r="G752" s="8"/>
      <c r="H752" s="8"/>
      <c r="I752" s="8"/>
      <c r="J752" s="8"/>
    </row>
    <row r="753">
      <c r="B753" s="142"/>
      <c r="C753" s="8"/>
      <c r="D753" s="8"/>
      <c r="E753" s="8"/>
      <c r="F753" s="8"/>
      <c r="G753" s="8"/>
      <c r="H753" s="8"/>
      <c r="I753" s="8"/>
      <c r="J753" s="8"/>
    </row>
    <row r="754">
      <c r="B754" s="142"/>
      <c r="C754" s="8"/>
      <c r="D754" s="8"/>
      <c r="E754" s="8"/>
      <c r="F754" s="8"/>
      <c r="G754" s="8"/>
      <c r="H754" s="8"/>
      <c r="I754" s="8"/>
      <c r="J754" s="8"/>
    </row>
    <row r="755">
      <c r="B755" s="142"/>
      <c r="C755" s="8"/>
      <c r="D755" s="8"/>
      <c r="E755" s="8"/>
      <c r="F755" s="8"/>
      <c r="G755" s="8"/>
      <c r="H755" s="8"/>
      <c r="I755" s="8"/>
      <c r="J755" s="8"/>
    </row>
    <row r="756">
      <c r="B756" s="142"/>
      <c r="C756" s="8"/>
      <c r="D756" s="8"/>
      <c r="E756" s="8"/>
      <c r="F756" s="8"/>
      <c r="G756" s="8"/>
      <c r="H756" s="8"/>
      <c r="I756" s="8"/>
      <c r="J756" s="8"/>
    </row>
    <row r="757">
      <c r="B757" s="142"/>
      <c r="C757" s="8"/>
      <c r="D757" s="8"/>
      <c r="E757" s="8"/>
      <c r="F757" s="8"/>
      <c r="G757" s="8"/>
      <c r="H757" s="8"/>
      <c r="I757" s="8"/>
      <c r="J757" s="8"/>
    </row>
    <row r="758">
      <c r="B758" s="142"/>
      <c r="C758" s="8"/>
      <c r="D758" s="8"/>
      <c r="E758" s="8"/>
      <c r="F758" s="8"/>
      <c r="G758" s="8"/>
      <c r="H758" s="8"/>
      <c r="I758" s="8"/>
      <c r="J758" s="8"/>
    </row>
    <row r="759">
      <c r="B759" s="142"/>
      <c r="C759" s="8"/>
      <c r="D759" s="8"/>
      <c r="E759" s="8"/>
      <c r="F759" s="8"/>
      <c r="G759" s="8"/>
      <c r="H759" s="8"/>
      <c r="I759" s="8"/>
      <c r="J759" s="8"/>
    </row>
    <row r="760">
      <c r="B760" s="142"/>
      <c r="C760" s="8"/>
      <c r="D760" s="8"/>
      <c r="E760" s="8"/>
      <c r="F760" s="8"/>
      <c r="G760" s="8"/>
      <c r="H760" s="8"/>
      <c r="I760" s="8"/>
      <c r="J760" s="8"/>
    </row>
    <row r="761">
      <c r="B761" s="142"/>
      <c r="C761" s="8"/>
      <c r="D761" s="8"/>
      <c r="E761" s="8"/>
      <c r="F761" s="8"/>
      <c r="G761" s="8"/>
      <c r="H761" s="8"/>
      <c r="I761" s="8"/>
      <c r="J761" s="8"/>
    </row>
    <row r="762">
      <c r="B762" s="142"/>
      <c r="C762" s="8"/>
      <c r="D762" s="8"/>
      <c r="E762" s="8"/>
      <c r="F762" s="8"/>
      <c r="G762" s="8"/>
      <c r="H762" s="8"/>
      <c r="I762" s="8"/>
      <c r="J762" s="8"/>
    </row>
    <row r="763">
      <c r="B763" s="142"/>
      <c r="C763" s="8"/>
      <c r="D763" s="8"/>
      <c r="E763" s="8"/>
      <c r="F763" s="8"/>
      <c r="G763" s="8"/>
      <c r="H763" s="8"/>
      <c r="I763" s="8"/>
      <c r="J763" s="8"/>
    </row>
    <row r="764">
      <c r="B764" s="142"/>
      <c r="C764" s="8"/>
      <c r="D764" s="8"/>
      <c r="E764" s="8"/>
      <c r="F764" s="8"/>
      <c r="G764" s="8"/>
      <c r="H764" s="8"/>
      <c r="I764" s="8"/>
      <c r="J764" s="8"/>
    </row>
    <row r="765">
      <c r="B765" s="142"/>
      <c r="C765" s="8"/>
      <c r="D765" s="8"/>
      <c r="E765" s="8"/>
      <c r="F765" s="8"/>
      <c r="G765" s="8"/>
      <c r="H765" s="8"/>
      <c r="I765" s="8"/>
      <c r="J765" s="8"/>
    </row>
    <row r="766">
      <c r="B766" s="142"/>
      <c r="C766" s="8"/>
      <c r="D766" s="8"/>
      <c r="E766" s="8"/>
      <c r="F766" s="8"/>
      <c r="G766" s="8"/>
      <c r="H766" s="8"/>
      <c r="I766" s="8"/>
      <c r="J766" s="8"/>
    </row>
    <row r="767">
      <c r="B767" s="142"/>
      <c r="C767" s="8"/>
      <c r="D767" s="8"/>
      <c r="E767" s="8"/>
      <c r="F767" s="8"/>
      <c r="G767" s="8"/>
      <c r="H767" s="8"/>
      <c r="I767" s="8"/>
      <c r="J767" s="8"/>
    </row>
    <row r="768">
      <c r="B768" s="142"/>
      <c r="C768" s="8"/>
      <c r="D768" s="8"/>
      <c r="E768" s="8"/>
      <c r="F768" s="8"/>
      <c r="G768" s="8"/>
      <c r="H768" s="8"/>
      <c r="I768" s="8"/>
      <c r="J768" s="8"/>
    </row>
    <row r="769">
      <c r="B769" s="142"/>
      <c r="C769" s="8"/>
      <c r="D769" s="8"/>
      <c r="E769" s="8"/>
      <c r="F769" s="8"/>
      <c r="G769" s="8"/>
      <c r="H769" s="8"/>
      <c r="I769" s="8"/>
      <c r="J769" s="8"/>
    </row>
    <row r="770">
      <c r="B770" s="142"/>
      <c r="C770" s="8"/>
      <c r="D770" s="8"/>
      <c r="E770" s="8"/>
      <c r="F770" s="8"/>
      <c r="G770" s="8"/>
      <c r="H770" s="8"/>
      <c r="I770" s="8"/>
      <c r="J770" s="8"/>
    </row>
    <row r="771">
      <c r="B771" s="142"/>
      <c r="C771" s="8"/>
      <c r="D771" s="8"/>
      <c r="E771" s="8"/>
      <c r="F771" s="8"/>
      <c r="G771" s="8"/>
      <c r="H771" s="8"/>
      <c r="I771" s="8"/>
      <c r="J771" s="8"/>
    </row>
    <row r="772">
      <c r="B772" s="142"/>
      <c r="C772" s="8"/>
      <c r="D772" s="8"/>
      <c r="E772" s="8"/>
      <c r="F772" s="8"/>
      <c r="G772" s="8"/>
      <c r="H772" s="8"/>
      <c r="I772" s="8"/>
      <c r="J772" s="8"/>
    </row>
    <row r="773">
      <c r="B773" s="142"/>
      <c r="C773" s="8"/>
      <c r="D773" s="8"/>
      <c r="E773" s="8"/>
      <c r="F773" s="8"/>
      <c r="G773" s="8"/>
      <c r="H773" s="8"/>
      <c r="I773" s="8"/>
      <c r="J773" s="8"/>
    </row>
    <row r="774">
      <c r="B774" s="142"/>
      <c r="C774" s="8"/>
      <c r="D774" s="8"/>
      <c r="E774" s="8"/>
      <c r="F774" s="8"/>
      <c r="G774" s="8"/>
      <c r="H774" s="8"/>
      <c r="I774" s="8"/>
      <c r="J774" s="8"/>
    </row>
    <row r="775">
      <c r="B775" s="142"/>
      <c r="C775" s="8"/>
      <c r="D775" s="8"/>
      <c r="E775" s="8"/>
      <c r="F775" s="8"/>
      <c r="G775" s="8"/>
      <c r="H775" s="8"/>
      <c r="I775" s="8"/>
      <c r="J775" s="8"/>
    </row>
    <row r="776">
      <c r="B776" s="142"/>
      <c r="C776" s="8"/>
      <c r="D776" s="8"/>
      <c r="E776" s="8"/>
      <c r="F776" s="8"/>
      <c r="G776" s="8"/>
      <c r="H776" s="8"/>
      <c r="I776" s="8"/>
      <c r="J776" s="8"/>
    </row>
    <row r="777">
      <c r="B777" s="142"/>
      <c r="C777" s="8"/>
      <c r="D777" s="8"/>
      <c r="E777" s="8"/>
      <c r="F777" s="8"/>
      <c r="G777" s="8"/>
      <c r="H777" s="8"/>
      <c r="I777" s="8"/>
      <c r="J777" s="8"/>
    </row>
    <row r="778">
      <c r="B778" s="142"/>
      <c r="C778" s="8"/>
      <c r="D778" s="8"/>
      <c r="E778" s="8"/>
      <c r="F778" s="8"/>
      <c r="G778" s="8"/>
      <c r="H778" s="8"/>
      <c r="I778" s="8"/>
      <c r="J778" s="8"/>
    </row>
    <row r="779">
      <c r="B779" s="142"/>
      <c r="C779" s="8"/>
      <c r="D779" s="8"/>
      <c r="E779" s="8"/>
      <c r="F779" s="8"/>
      <c r="G779" s="8"/>
      <c r="H779" s="8"/>
      <c r="I779" s="8"/>
      <c r="J779" s="8"/>
    </row>
    <row r="780">
      <c r="B780" s="142"/>
      <c r="C780" s="8"/>
      <c r="D780" s="8"/>
      <c r="E780" s="8"/>
      <c r="F780" s="8"/>
      <c r="G780" s="8"/>
      <c r="H780" s="8"/>
      <c r="I780" s="8"/>
      <c r="J780" s="8"/>
    </row>
    <row r="781">
      <c r="B781" s="142"/>
      <c r="C781" s="8"/>
      <c r="D781" s="8"/>
      <c r="E781" s="8"/>
      <c r="F781" s="8"/>
      <c r="G781" s="8"/>
      <c r="H781" s="8"/>
      <c r="I781" s="8"/>
      <c r="J781" s="8"/>
    </row>
    <row r="782">
      <c r="B782" s="142"/>
      <c r="C782" s="8"/>
      <c r="D782" s="8"/>
      <c r="E782" s="8"/>
      <c r="F782" s="8"/>
      <c r="G782" s="8"/>
      <c r="H782" s="8"/>
      <c r="I782" s="8"/>
      <c r="J782" s="8"/>
    </row>
    <row r="783">
      <c r="B783" s="142"/>
      <c r="C783" s="8"/>
      <c r="D783" s="8"/>
      <c r="E783" s="8"/>
      <c r="F783" s="8"/>
      <c r="G783" s="8"/>
      <c r="H783" s="8"/>
      <c r="I783" s="8"/>
      <c r="J783" s="8"/>
    </row>
    <row r="784">
      <c r="B784" s="142"/>
      <c r="C784" s="8"/>
      <c r="D784" s="8"/>
      <c r="E784" s="8"/>
      <c r="F784" s="8"/>
      <c r="G784" s="8"/>
      <c r="H784" s="8"/>
      <c r="I784" s="8"/>
      <c r="J784" s="8"/>
    </row>
    <row r="785">
      <c r="B785" s="142"/>
      <c r="C785" s="8"/>
      <c r="D785" s="8"/>
      <c r="E785" s="8"/>
      <c r="F785" s="8"/>
      <c r="G785" s="8"/>
      <c r="H785" s="8"/>
      <c r="I785" s="8"/>
      <c r="J785" s="8"/>
    </row>
    <row r="786">
      <c r="B786" s="142"/>
      <c r="C786" s="8"/>
      <c r="D786" s="8"/>
      <c r="E786" s="8"/>
      <c r="F786" s="8"/>
      <c r="G786" s="8"/>
      <c r="H786" s="8"/>
      <c r="I786" s="8"/>
      <c r="J786" s="8"/>
    </row>
    <row r="787">
      <c r="B787" s="142"/>
      <c r="C787" s="8"/>
      <c r="D787" s="8"/>
      <c r="E787" s="8"/>
      <c r="F787" s="8"/>
      <c r="G787" s="8"/>
      <c r="H787" s="8"/>
      <c r="I787" s="8"/>
      <c r="J787" s="8"/>
    </row>
    <row r="788">
      <c r="B788" s="142"/>
      <c r="C788" s="8"/>
      <c r="D788" s="8"/>
      <c r="E788" s="8"/>
      <c r="F788" s="8"/>
      <c r="G788" s="8"/>
      <c r="H788" s="8"/>
      <c r="I788" s="8"/>
      <c r="J788" s="8"/>
    </row>
    <row r="789">
      <c r="B789" s="142"/>
      <c r="C789" s="8"/>
      <c r="D789" s="8"/>
      <c r="E789" s="8"/>
      <c r="F789" s="8"/>
      <c r="G789" s="8"/>
      <c r="H789" s="8"/>
      <c r="I789" s="8"/>
      <c r="J789" s="8"/>
    </row>
    <row r="790">
      <c r="B790" s="142"/>
      <c r="C790" s="8"/>
      <c r="D790" s="8"/>
      <c r="E790" s="8"/>
      <c r="F790" s="8"/>
      <c r="G790" s="8"/>
      <c r="H790" s="8"/>
      <c r="I790" s="8"/>
      <c r="J790" s="8"/>
    </row>
    <row r="791">
      <c r="B791" s="142"/>
      <c r="C791" s="8"/>
      <c r="D791" s="8"/>
      <c r="E791" s="8"/>
      <c r="F791" s="8"/>
      <c r="G791" s="8"/>
      <c r="H791" s="8"/>
      <c r="I791" s="8"/>
      <c r="J791" s="8"/>
    </row>
    <row r="792">
      <c r="B792" s="142"/>
      <c r="C792" s="8"/>
      <c r="D792" s="8"/>
      <c r="E792" s="8"/>
      <c r="F792" s="8"/>
      <c r="G792" s="8"/>
      <c r="H792" s="8"/>
      <c r="I792" s="8"/>
      <c r="J792" s="8"/>
    </row>
    <row r="793">
      <c r="B793" s="142"/>
      <c r="C793" s="8"/>
      <c r="D793" s="8"/>
      <c r="E793" s="8"/>
      <c r="F793" s="8"/>
      <c r="G793" s="8"/>
      <c r="H793" s="8"/>
      <c r="I793" s="8"/>
      <c r="J793" s="8"/>
    </row>
    <row r="794">
      <c r="B794" s="142"/>
      <c r="C794" s="8"/>
      <c r="D794" s="8"/>
      <c r="E794" s="8"/>
      <c r="F794" s="8"/>
      <c r="G794" s="8"/>
      <c r="H794" s="8"/>
      <c r="I794" s="8"/>
      <c r="J794" s="8"/>
    </row>
    <row r="795">
      <c r="B795" s="142"/>
      <c r="C795" s="8"/>
      <c r="D795" s="8"/>
      <c r="E795" s="8"/>
      <c r="F795" s="8"/>
      <c r="G795" s="8"/>
      <c r="H795" s="8"/>
      <c r="I795" s="8"/>
      <c r="J795" s="8"/>
    </row>
    <row r="796">
      <c r="B796" s="142"/>
      <c r="C796" s="8"/>
      <c r="D796" s="8"/>
      <c r="E796" s="8"/>
      <c r="F796" s="8"/>
      <c r="G796" s="8"/>
      <c r="H796" s="8"/>
      <c r="I796" s="8"/>
      <c r="J796" s="8"/>
    </row>
    <row r="797">
      <c r="B797" s="142"/>
      <c r="C797" s="8"/>
      <c r="D797" s="8"/>
      <c r="E797" s="8"/>
      <c r="F797" s="8"/>
      <c r="G797" s="8"/>
      <c r="H797" s="8"/>
      <c r="I797" s="8"/>
      <c r="J797" s="8"/>
    </row>
    <row r="798">
      <c r="B798" s="142"/>
      <c r="C798" s="8"/>
      <c r="D798" s="8"/>
      <c r="E798" s="8"/>
      <c r="F798" s="8"/>
      <c r="G798" s="8"/>
      <c r="H798" s="8"/>
      <c r="I798" s="8"/>
      <c r="J798" s="8"/>
    </row>
    <row r="799">
      <c r="B799" s="142"/>
      <c r="C799" s="8"/>
      <c r="D799" s="8"/>
      <c r="E799" s="8"/>
      <c r="F799" s="8"/>
      <c r="G799" s="8"/>
      <c r="H799" s="8"/>
      <c r="I799" s="8"/>
      <c r="J799" s="8"/>
    </row>
    <row r="800">
      <c r="B800" s="142"/>
      <c r="C800" s="8"/>
      <c r="D800" s="8"/>
      <c r="E800" s="8"/>
      <c r="F800" s="8"/>
      <c r="G800" s="8"/>
      <c r="H800" s="8"/>
      <c r="I800" s="8"/>
      <c r="J800" s="8"/>
    </row>
    <row r="801">
      <c r="B801" s="142"/>
      <c r="C801" s="8"/>
      <c r="D801" s="8"/>
      <c r="E801" s="8"/>
      <c r="F801" s="8"/>
      <c r="G801" s="8"/>
      <c r="H801" s="8"/>
      <c r="I801" s="8"/>
      <c r="J801" s="8"/>
    </row>
    <row r="802">
      <c r="B802" s="142"/>
      <c r="C802" s="8"/>
      <c r="D802" s="8"/>
      <c r="E802" s="8"/>
      <c r="F802" s="8"/>
      <c r="G802" s="8"/>
      <c r="H802" s="8"/>
      <c r="I802" s="8"/>
      <c r="J802" s="8"/>
    </row>
    <row r="803">
      <c r="B803" s="142"/>
      <c r="C803" s="8"/>
      <c r="D803" s="8"/>
      <c r="E803" s="8"/>
      <c r="F803" s="8"/>
      <c r="G803" s="8"/>
      <c r="H803" s="8"/>
      <c r="I803" s="8"/>
      <c r="J803" s="8"/>
    </row>
    <row r="804">
      <c r="B804" s="142"/>
      <c r="C804" s="8"/>
      <c r="D804" s="8"/>
      <c r="E804" s="8"/>
      <c r="F804" s="8"/>
      <c r="G804" s="8"/>
      <c r="H804" s="8"/>
      <c r="I804" s="8"/>
      <c r="J804" s="8"/>
    </row>
    <row r="805">
      <c r="B805" s="142"/>
      <c r="C805" s="8"/>
      <c r="D805" s="8"/>
      <c r="E805" s="8"/>
      <c r="F805" s="8"/>
      <c r="G805" s="8"/>
      <c r="H805" s="8"/>
      <c r="I805" s="8"/>
      <c r="J805" s="8"/>
    </row>
    <row r="806">
      <c r="B806" s="142"/>
      <c r="C806" s="8"/>
      <c r="D806" s="8"/>
      <c r="E806" s="8"/>
      <c r="F806" s="8"/>
      <c r="G806" s="8"/>
      <c r="H806" s="8"/>
      <c r="I806" s="8"/>
      <c r="J806" s="8"/>
    </row>
    <row r="807">
      <c r="B807" s="142"/>
      <c r="C807" s="8"/>
      <c r="D807" s="8"/>
      <c r="E807" s="8"/>
      <c r="F807" s="8"/>
      <c r="G807" s="8"/>
      <c r="H807" s="8"/>
      <c r="I807" s="8"/>
      <c r="J807" s="8"/>
    </row>
    <row r="808">
      <c r="B808" s="142"/>
      <c r="C808" s="8"/>
      <c r="D808" s="8"/>
      <c r="E808" s="8"/>
      <c r="F808" s="8"/>
      <c r="G808" s="8"/>
      <c r="H808" s="8"/>
      <c r="I808" s="8"/>
      <c r="J808" s="8"/>
    </row>
    <row r="809">
      <c r="B809" s="142"/>
      <c r="C809" s="8"/>
      <c r="D809" s="8"/>
      <c r="E809" s="8"/>
      <c r="F809" s="8"/>
      <c r="G809" s="8"/>
      <c r="H809" s="8"/>
      <c r="I809" s="8"/>
      <c r="J809" s="8"/>
    </row>
    <row r="810">
      <c r="B810" s="142"/>
      <c r="C810" s="8"/>
      <c r="D810" s="8"/>
      <c r="E810" s="8"/>
      <c r="F810" s="8"/>
      <c r="G810" s="8"/>
      <c r="H810" s="8"/>
      <c r="I810" s="8"/>
      <c r="J810" s="8"/>
    </row>
    <row r="811">
      <c r="B811" s="142"/>
      <c r="C811" s="8"/>
      <c r="D811" s="8"/>
      <c r="E811" s="8"/>
      <c r="F811" s="8"/>
      <c r="G811" s="8"/>
      <c r="H811" s="8"/>
      <c r="I811" s="8"/>
      <c r="J811" s="8"/>
    </row>
    <row r="812">
      <c r="B812" s="142"/>
      <c r="C812" s="8"/>
      <c r="D812" s="8"/>
      <c r="E812" s="8"/>
      <c r="F812" s="8"/>
      <c r="G812" s="8"/>
      <c r="H812" s="8"/>
      <c r="I812" s="8"/>
      <c r="J812" s="8"/>
    </row>
    <row r="813">
      <c r="B813" s="142"/>
      <c r="C813" s="8"/>
      <c r="D813" s="8"/>
      <c r="E813" s="8"/>
      <c r="F813" s="8"/>
      <c r="G813" s="8"/>
      <c r="H813" s="8"/>
      <c r="I813" s="8"/>
      <c r="J813" s="8"/>
    </row>
    <row r="814">
      <c r="B814" s="142"/>
      <c r="C814" s="8"/>
      <c r="D814" s="8"/>
      <c r="E814" s="8"/>
      <c r="F814" s="8"/>
      <c r="G814" s="8"/>
      <c r="H814" s="8"/>
      <c r="I814" s="8"/>
      <c r="J814" s="8"/>
    </row>
    <row r="815">
      <c r="B815" s="142"/>
      <c r="C815" s="8"/>
      <c r="D815" s="8"/>
      <c r="E815" s="8"/>
      <c r="F815" s="8"/>
      <c r="G815" s="8"/>
      <c r="H815" s="8"/>
      <c r="I815" s="8"/>
      <c r="J815" s="8"/>
    </row>
    <row r="816">
      <c r="B816" s="142"/>
      <c r="C816" s="8"/>
      <c r="D816" s="8"/>
      <c r="E816" s="8"/>
      <c r="F816" s="8"/>
      <c r="G816" s="8"/>
      <c r="H816" s="8"/>
      <c r="I816" s="8"/>
      <c r="J816" s="8"/>
    </row>
    <row r="817">
      <c r="B817" s="142"/>
      <c r="C817" s="8"/>
      <c r="D817" s="8"/>
      <c r="E817" s="8"/>
      <c r="F817" s="8"/>
      <c r="G817" s="8"/>
      <c r="H817" s="8"/>
      <c r="I817" s="8"/>
      <c r="J817" s="8"/>
    </row>
    <row r="818">
      <c r="B818" s="142"/>
      <c r="C818" s="8"/>
      <c r="D818" s="8"/>
      <c r="E818" s="8"/>
      <c r="F818" s="8"/>
      <c r="G818" s="8"/>
      <c r="H818" s="8"/>
      <c r="I818" s="8"/>
      <c r="J818" s="8"/>
    </row>
    <row r="819">
      <c r="B819" s="142"/>
      <c r="C819" s="8"/>
      <c r="D819" s="8"/>
      <c r="E819" s="8"/>
      <c r="F819" s="8"/>
      <c r="G819" s="8"/>
      <c r="H819" s="8"/>
      <c r="I819" s="8"/>
      <c r="J819" s="8"/>
    </row>
    <row r="820">
      <c r="B820" s="142"/>
      <c r="C820" s="8"/>
      <c r="D820" s="8"/>
      <c r="E820" s="8"/>
      <c r="F820" s="8"/>
      <c r="G820" s="8"/>
      <c r="H820" s="8"/>
      <c r="I820" s="8"/>
      <c r="J820" s="8"/>
    </row>
    <row r="821">
      <c r="B821" s="142"/>
      <c r="C821" s="8"/>
      <c r="D821" s="8"/>
      <c r="E821" s="8"/>
      <c r="F821" s="8"/>
      <c r="G821" s="8"/>
      <c r="H821" s="8"/>
      <c r="I821" s="8"/>
      <c r="J821" s="8"/>
    </row>
    <row r="822">
      <c r="B822" s="142"/>
      <c r="C822" s="8"/>
      <c r="D822" s="8"/>
      <c r="E822" s="8"/>
      <c r="F822" s="8"/>
      <c r="G822" s="8"/>
      <c r="H822" s="8"/>
      <c r="I822" s="8"/>
      <c r="J822" s="8"/>
    </row>
    <row r="823">
      <c r="B823" s="142"/>
      <c r="C823" s="8"/>
      <c r="D823" s="8"/>
      <c r="E823" s="8"/>
      <c r="F823" s="8"/>
      <c r="G823" s="8"/>
      <c r="H823" s="8"/>
      <c r="I823" s="8"/>
      <c r="J823" s="8"/>
    </row>
    <row r="824">
      <c r="B824" s="142"/>
      <c r="C824" s="8"/>
      <c r="D824" s="8"/>
      <c r="E824" s="8"/>
      <c r="F824" s="8"/>
      <c r="G824" s="8"/>
      <c r="H824" s="8"/>
      <c r="I824" s="8"/>
      <c r="J824" s="8"/>
    </row>
    <row r="825">
      <c r="B825" s="142"/>
      <c r="C825" s="8"/>
      <c r="D825" s="8"/>
      <c r="E825" s="8"/>
      <c r="F825" s="8"/>
      <c r="G825" s="8"/>
      <c r="H825" s="8"/>
      <c r="I825" s="8"/>
      <c r="J825" s="8"/>
    </row>
    <row r="826">
      <c r="B826" s="142"/>
      <c r="C826" s="8"/>
      <c r="D826" s="8"/>
      <c r="E826" s="8"/>
      <c r="F826" s="8"/>
      <c r="G826" s="8"/>
      <c r="H826" s="8"/>
      <c r="I826" s="8"/>
      <c r="J826" s="8"/>
    </row>
    <row r="827">
      <c r="B827" s="142"/>
      <c r="C827" s="8"/>
      <c r="D827" s="8"/>
      <c r="E827" s="8"/>
      <c r="F827" s="8"/>
      <c r="G827" s="8"/>
      <c r="H827" s="8"/>
      <c r="I827" s="8"/>
      <c r="J827" s="8"/>
    </row>
    <row r="828">
      <c r="B828" s="142"/>
      <c r="C828" s="8"/>
      <c r="D828" s="8"/>
      <c r="E828" s="8"/>
      <c r="F828" s="8"/>
      <c r="G828" s="8"/>
      <c r="H828" s="8"/>
      <c r="I828" s="8"/>
      <c r="J828" s="8"/>
    </row>
    <row r="829">
      <c r="B829" s="142"/>
      <c r="C829" s="8"/>
      <c r="D829" s="8"/>
      <c r="E829" s="8"/>
      <c r="F829" s="8"/>
      <c r="G829" s="8"/>
      <c r="H829" s="8"/>
      <c r="I829" s="8"/>
      <c r="J829" s="8"/>
    </row>
    <row r="830">
      <c r="B830" s="142"/>
      <c r="C830" s="8"/>
      <c r="D830" s="8"/>
      <c r="E830" s="8"/>
      <c r="F830" s="8"/>
      <c r="G830" s="8"/>
      <c r="H830" s="8"/>
      <c r="I830" s="8"/>
      <c r="J830" s="8"/>
    </row>
    <row r="831">
      <c r="B831" s="142"/>
      <c r="C831" s="8"/>
      <c r="D831" s="8"/>
      <c r="E831" s="8"/>
      <c r="F831" s="8"/>
      <c r="G831" s="8"/>
      <c r="H831" s="8"/>
      <c r="I831" s="8"/>
      <c r="J831" s="8"/>
    </row>
    <row r="832">
      <c r="B832" s="142"/>
      <c r="C832" s="8"/>
      <c r="D832" s="8"/>
      <c r="E832" s="8"/>
      <c r="F832" s="8"/>
      <c r="G832" s="8"/>
      <c r="H832" s="8"/>
      <c r="I832" s="8"/>
      <c r="J832" s="8"/>
    </row>
    <row r="833">
      <c r="B833" s="142"/>
      <c r="C833" s="8"/>
      <c r="D833" s="8"/>
      <c r="E833" s="8"/>
      <c r="F833" s="8"/>
      <c r="G833" s="8"/>
      <c r="H833" s="8"/>
      <c r="I833" s="8"/>
      <c r="J833" s="8"/>
    </row>
    <row r="834">
      <c r="B834" s="142"/>
      <c r="C834" s="8"/>
      <c r="D834" s="8"/>
      <c r="E834" s="8"/>
      <c r="F834" s="8"/>
      <c r="G834" s="8"/>
      <c r="H834" s="8"/>
      <c r="I834" s="8"/>
      <c r="J834" s="8"/>
    </row>
    <row r="835">
      <c r="B835" s="142"/>
      <c r="C835" s="8"/>
      <c r="D835" s="8"/>
      <c r="E835" s="8"/>
      <c r="F835" s="8"/>
      <c r="G835" s="8"/>
      <c r="H835" s="8"/>
      <c r="I835" s="8"/>
      <c r="J835" s="8"/>
    </row>
    <row r="836">
      <c r="B836" s="142"/>
      <c r="C836" s="8"/>
      <c r="D836" s="8"/>
      <c r="E836" s="8"/>
      <c r="F836" s="8"/>
      <c r="G836" s="8"/>
      <c r="H836" s="8"/>
      <c r="I836" s="8"/>
      <c r="J836" s="8"/>
    </row>
    <row r="837">
      <c r="B837" s="142"/>
      <c r="C837" s="8"/>
      <c r="D837" s="8"/>
      <c r="E837" s="8"/>
      <c r="F837" s="8"/>
      <c r="G837" s="8"/>
      <c r="H837" s="8"/>
      <c r="I837" s="8"/>
      <c r="J837" s="8"/>
    </row>
    <row r="838">
      <c r="B838" s="142"/>
      <c r="C838" s="8"/>
      <c r="D838" s="8"/>
      <c r="E838" s="8"/>
      <c r="F838" s="8"/>
      <c r="G838" s="8"/>
      <c r="H838" s="8"/>
      <c r="I838" s="8"/>
      <c r="J838" s="8"/>
    </row>
    <row r="839">
      <c r="B839" s="142"/>
      <c r="C839" s="8"/>
      <c r="D839" s="8"/>
      <c r="E839" s="8"/>
      <c r="F839" s="8"/>
      <c r="G839" s="8"/>
      <c r="H839" s="8"/>
      <c r="I839" s="8"/>
      <c r="J839" s="8"/>
    </row>
    <row r="840">
      <c r="B840" s="142"/>
      <c r="C840" s="8"/>
      <c r="D840" s="8"/>
      <c r="E840" s="8"/>
      <c r="F840" s="8"/>
      <c r="G840" s="8"/>
      <c r="H840" s="8"/>
      <c r="I840" s="8"/>
      <c r="J840" s="8"/>
    </row>
    <row r="841">
      <c r="B841" s="142"/>
      <c r="C841" s="8"/>
      <c r="D841" s="8"/>
      <c r="E841" s="8"/>
      <c r="F841" s="8"/>
      <c r="G841" s="8"/>
      <c r="H841" s="8"/>
      <c r="I841" s="8"/>
      <c r="J841" s="8"/>
    </row>
    <row r="842">
      <c r="B842" s="142"/>
      <c r="C842" s="8"/>
      <c r="D842" s="8"/>
      <c r="E842" s="8"/>
      <c r="F842" s="8"/>
      <c r="G842" s="8"/>
      <c r="H842" s="8"/>
      <c r="I842" s="8"/>
      <c r="J842" s="8"/>
    </row>
    <row r="843">
      <c r="B843" s="142"/>
      <c r="C843" s="8"/>
      <c r="D843" s="8"/>
      <c r="E843" s="8"/>
      <c r="F843" s="8"/>
      <c r="G843" s="8"/>
      <c r="H843" s="8"/>
      <c r="I843" s="8"/>
      <c r="J843" s="8"/>
    </row>
    <row r="844">
      <c r="B844" s="142"/>
      <c r="C844" s="8"/>
      <c r="D844" s="8"/>
      <c r="E844" s="8"/>
      <c r="F844" s="8"/>
      <c r="G844" s="8"/>
      <c r="H844" s="8"/>
      <c r="I844" s="8"/>
      <c r="J844" s="8"/>
    </row>
    <row r="845">
      <c r="B845" s="142"/>
      <c r="C845" s="8"/>
      <c r="D845" s="8"/>
      <c r="E845" s="8"/>
      <c r="F845" s="8"/>
      <c r="G845" s="8"/>
      <c r="H845" s="8"/>
      <c r="I845" s="8"/>
      <c r="J845" s="8"/>
    </row>
    <row r="846">
      <c r="B846" s="142"/>
      <c r="C846" s="8"/>
      <c r="D846" s="8"/>
      <c r="E846" s="8"/>
      <c r="F846" s="8"/>
      <c r="G846" s="8"/>
      <c r="H846" s="8"/>
      <c r="I846" s="8"/>
      <c r="J846" s="8"/>
    </row>
    <row r="847">
      <c r="B847" s="142"/>
      <c r="C847" s="8"/>
      <c r="D847" s="8"/>
      <c r="E847" s="8"/>
      <c r="F847" s="8"/>
      <c r="G847" s="8"/>
      <c r="H847" s="8"/>
      <c r="I847" s="8"/>
      <c r="J847" s="8"/>
    </row>
    <row r="848">
      <c r="B848" s="142"/>
      <c r="C848" s="8"/>
      <c r="D848" s="8"/>
      <c r="E848" s="8"/>
      <c r="F848" s="8"/>
      <c r="G848" s="8"/>
      <c r="H848" s="8"/>
      <c r="I848" s="8"/>
      <c r="J848" s="8"/>
    </row>
    <row r="849">
      <c r="B849" s="142"/>
      <c r="C849" s="8"/>
      <c r="D849" s="8"/>
      <c r="E849" s="8"/>
      <c r="F849" s="8"/>
      <c r="G849" s="8"/>
      <c r="H849" s="8"/>
      <c r="I849" s="8"/>
      <c r="J849" s="8"/>
    </row>
    <row r="850">
      <c r="B850" s="142"/>
      <c r="C850" s="8"/>
      <c r="D850" s="8"/>
      <c r="E850" s="8"/>
      <c r="F850" s="8"/>
      <c r="G850" s="8"/>
      <c r="H850" s="8"/>
      <c r="I850" s="8"/>
      <c r="J850" s="8"/>
    </row>
    <row r="851">
      <c r="B851" s="142"/>
      <c r="C851" s="8"/>
      <c r="D851" s="8"/>
      <c r="E851" s="8"/>
      <c r="F851" s="8"/>
      <c r="G851" s="8"/>
      <c r="H851" s="8"/>
      <c r="I851" s="8"/>
      <c r="J851" s="8"/>
    </row>
    <row r="852">
      <c r="B852" s="142"/>
      <c r="C852" s="8"/>
      <c r="D852" s="8"/>
      <c r="E852" s="8"/>
      <c r="F852" s="8"/>
      <c r="G852" s="8"/>
      <c r="H852" s="8"/>
      <c r="I852" s="8"/>
      <c r="J852" s="8"/>
    </row>
    <row r="853">
      <c r="B853" s="142"/>
      <c r="C853" s="8"/>
      <c r="D853" s="8"/>
      <c r="E853" s="8"/>
      <c r="F853" s="8"/>
      <c r="G853" s="8"/>
      <c r="H853" s="8"/>
      <c r="I853" s="8"/>
      <c r="J853" s="8"/>
    </row>
    <row r="854">
      <c r="B854" s="142"/>
      <c r="C854" s="8"/>
      <c r="D854" s="8"/>
      <c r="E854" s="8"/>
      <c r="F854" s="8"/>
      <c r="G854" s="8"/>
      <c r="H854" s="8"/>
      <c r="I854" s="8"/>
      <c r="J854" s="8"/>
    </row>
    <row r="855">
      <c r="B855" s="142"/>
      <c r="C855" s="8"/>
      <c r="D855" s="8"/>
      <c r="E855" s="8"/>
      <c r="F855" s="8"/>
      <c r="G855" s="8"/>
      <c r="H855" s="8"/>
      <c r="I855" s="8"/>
      <c r="J855" s="8"/>
    </row>
    <row r="856">
      <c r="B856" s="142"/>
      <c r="C856" s="8"/>
      <c r="D856" s="8"/>
      <c r="E856" s="8"/>
      <c r="F856" s="8"/>
      <c r="G856" s="8"/>
      <c r="H856" s="8"/>
      <c r="I856" s="8"/>
      <c r="J856" s="8"/>
    </row>
    <row r="857">
      <c r="B857" s="142"/>
      <c r="C857" s="8"/>
      <c r="D857" s="8"/>
      <c r="E857" s="8"/>
      <c r="F857" s="8"/>
      <c r="G857" s="8"/>
      <c r="H857" s="8"/>
      <c r="I857" s="8"/>
      <c r="J857" s="8"/>
    </row>
    <row r="858">
      <c r="B858" s="142"/>
      <c r="C858" s="8"/>
      <c r="D858" s="8"/>
      <c r="E858" s="8"/>
      <c r="F858" s="8"/>
      <c r="G858" s="8"/>
      <c r="H858" s="8"/>
      <c r="I858" s="8"/>
      <c r="J858" s="8"/>
    </row>
    <row r="859">
      <c r="B859" s="142"/>
      <c r="C859" s="8"/>
      <c r="D859" s="8"/>
      <c r="E859" s="8"/>
      <c r="F859" s="8"/>
      <c r="G859" s="8"/>
      <c r="H859" s="8"/>
      <c r="I859" s="8"/>
      <c r="J859" s="8"/>
    </row>
    <row r="860">
      <c r="B860" s="142"/>
      <c r="C860" s="8"/>
      <c r="D860" s="8"/>
      <c r="E860" s="8"/>
      <c r="F860" s="8"/>
      <c r="G860" s="8"/>
      <c r="H860" s="8"/>
      <c r="I860" s="8"/>
      <c r="J860" s="8"/>
    </row>
    <row r="861">
      <c r="B861" s="142"/>
      <c r="C861" s="8"/>
      <c r="D861" s="8"/>
      <c r="E861" s="8"/>
      <c r="F861" s="8"/>
      <c r="G861" s="8"/>
      <c r="H861" s="8"/>
      <c r="I861" s="8"/>
      <c r="J861" s="8"/>
    </row>
    <row r="862">
      <c r="B862" s="142"/>
      <c r="C862" s="8"/>
      <c r="D862" s="8"/>
      <c r="E862" s="8"/>
      <c r="F862" s="8"/>
      <c r="G862" s="8"/>
      <c r="H862" s="8"/>
      <c r="I862" s="8"/>
      <c r="J862" s="8"/>
    </row>
    <row r="863">
      <c r="B863" s="142"/>
      <c r="C863" s="8"/>
      <c r="D863" s="8"/>
      <c r="E863" s="8"/>
      <c r="F863" s="8"/>
      <c r="G863" s="8"/>
      <c r="H863" s="8"/>
      <c r="I863" s="8"/>
      <c r="J863" s="8"/>
    </row>
    <row r="864">
      <c r="B864" s="142"/>
      <c r="C864" s="8"/>
      <c r="D864" s="8"/>
      <c r="E864" s="8"/>
      <c r="F864" s="8"/>
      <c r="G864" s="8"/>
      <c r="H864" s="8"/>
      <c r="I864" s="8"/>
      <c r="J864" s="8"/>
    </row>
    <row r="865">
      <c r="B865" s="142"/>
      <c r="C865" s="8"/>
      <c r="D865" s="8"/>
      <c r="E865" s="8"/>
      <c r="F865" s="8"/>
      <c r="G865" s="8"/>
      <c r="H865" s="8"/>
      <c r="I865" s="8"/>
      <c r="J865" s="8"/>
    </row>
    <row r="866">
      <c r="B866" s="142"/>
      <c r="C866" s="8"/>
      <c r="D866" s="8"/>
      <c r="E866" s="8"/>
      <c r="F866" s="8"/>
      <c r="G866" s="8"/>
      <c r="H866" s="8"/>
      <c r="I866" s="8"/>
      <c r="J866" s="8"/>
    </row>
    <row r="867">
      <c r="B867" s="142"/>
      <c r="C867" s="8"/>
      <c r="D867" s="8"/>
      <c r="E867" s="8"/>
      <c r="F867" s="8"/>
      <c r="G867" s="8"/>
      <c r="H867" s="8"/>
      <c r="I867" s="8"/>
      <c r="J867" s="8"/>
    </row>
    <row r="868">
      <c r="B868" s="142"/>
      <c r="C868" s="8"/>
      <c r="D868" s="8"/>
      <c r="E868" s="8"/>
      <c r="F868" s="8"/>
      <c r="G868" s="8"/>
      <c r="H868" s="8"/>
      <c r="I868" s="8"/>
      <c r="J868" s="8"/>
    </row>
    <row r="869">
      <c r="B869" s="142"/>
      <c r="C869" s="8"/>
      <c r="D869" s="8"/>
      <c r="E869" s="8"/>
      <c r="F869" s="8"/>
      <c r="G869" s="8"/>
      <c r="H869" s="8"/>
      <c r="I869" s="8"/>
      <c r="J869" s="8"/>
    </row>
    <row r="870">
      <c r="B870" s="142"/>
      <c r="C870" s="8"/>
      <c r="D870" s="8"/>
      <c r="E870" s="8"/>
      <c r="F870" s="8"/>
      <c r="G870" s="8"/>
      <c r="H870" s="8"/>
      <c r="I870" s="8"/>
      <c r="J870" s="8"/>
    </row>
    <row r="871">
      <c r="B871" s="142"/>
      <c r="C871" s="8"/>
      <c r="D871" s="8"/>
      <c r="E871" s="8"/>
      <c r="F871" s="8"/>
      <c r="G871" s="8"/>
      <c r="H871" s="8"/>
      <c r="I871" s="8"/>
      <c r="J871" s="8"/>
    </row>
    <row r="872">
      <c r="B872" s="142"/>
      <c r="C872" s="8"/>
      <c r="D872" s="8"/>
      <c r="E872" s="8"/>
      <c r="F872" s="8"/>
      <c r="G872" s="8"/>
      <c r="H872" s="8"/>
      <c r="I872" s="8"/>
      <c r="J872" s="8"/>
    </row>
    <row r="873">
      <c r="B873" s="142"/>
      <c r="C873" s="8"/>
      <c r="D873" s="8"/>
      <c r="E873" s="8"/>
      <c r="F873" s="8"/>
      <c r="G873" s="8"/>
      <c r="H873" s="8"/>
      <c r="I873" s="8"/>
      <c r="J873" s="8"/>
    </row>
    <row r="874">
      <c r="B874" s="142"/>
      <c r="C874" s="8"/>
      <c r="D874" s="8"/>
      <c r="E874" s="8"/>
      <c r="F874" s="8"/>
      <c r="G874" s="8"/>
      <c r="H874" s="8"/>
      <c r="I874" s="8"/>
      <c r="J874" s="8"/>
    </row>
    <row r="875">
      <c r="B875" s="142"/>
      <c r="C875" s="8"/>
      <c r="D875" s="8"/>
      <c r="E875" s="8"/>
      <c r="F875" s="8"/>
      <c r="G875" s="8"/>
      <c r="H875" s="8"/>
      <c r="I875" s="8"/>
      <c r="J875" s="8"/>
    </row>
    <row r="876">
      <c r="B876" s="142"/>
      <c r="C876" s="8"/>
      <c r="D876" s="8"/>
      <c r="E876" s="8"/>
      <c r="F876" s="8"/>
      <c r="G876" s="8"/>
      <c r="H876" s="8"/>
      <c r="I876" s="8"/>
      <c r="J876" s="8"/>
    </row>
    <row r="877">
      <c r="B877" s="142"/>
      <c r="C877" s="8"/>
      <c r="D877" s="8"/>
      <c r="E877" s="8"/>
      <c r="F877" s="8"/>
      <c r="G877" s="8"/>
      <c r="H877" s="8"/>
      <c r="I877" s="8"/>
      <c r="J877" s="8"/>
    </row>
    <row r="878">
      <c r="B878" s="142"/>
      <c r="C878" s="8"/>
      <c r="D878" s="8"/>
      <c r="E878" s="8"/>
      <c r="F878" s="8"/>
      <c r="G878" s="8"/>
      <c r="H878" s="8"/>
      <c r="I878" s="8"/>
      <c r="J878" s="8"/>
    </row>
    <row r="879">
      <c r="B879" s="142"/>
      <c r="C879" s="8"/>
      <c r="D879" s="8"/>
      <c r="E879" s="8"/>
      <c r="F879" s="8"/>
      <c r="G879" s="8"/>
      <c r="H879" s="8"/>
      <c r="I879" s="8"/>
      <c r="J879" s="8"/>
    </row>
    <row r="880">
      <c r="B880" s="142"/>
      <c r="C880" s="8"/>
      <c r="D880" s="8"/>
      <c r="E880" s="8"/>
      <c r="F880" s="8"/>
      <c r="G880" s="8"/>
      <c r="H880" s="8"/>
      <c r="I880" s="8"/>
      <c r="J880" s="8"/>
    </row>
    <row r="881">
      <c r="B881" s="142"/>
      <c r="C881" s="8"/>
      <c r="D881" s="8"/>
      <c r="E881" s="8"/>
      <c r="F881" s="8"/>
      <c r="G881" s="8"/>
      <c r="H881" s="8"/>
      <c r="I881" s="8"/>
      <c r="J881" s="8"/>
    </row>
    <row r="882">
      <c r="B882" s="142"/>
      <c r="C882" s="8"/>
      <c r="D882" s="8"/>
      <c r="E882" s="8"/>
      <c r="F882" s="8"/>
      <c r="G882" s="8"/>
      <c r="H882" s="8"/>
      <c r="I882" s="8"/>
      <c r="J882" s="8"/>
    </row>
    <row r="883">
      <c r="B883" s="142"/>
      <c r="C883" s="8"/>
      <c r="D883" s="8"/>
      <c r="E883" s="8"/>
      <c r="F883" s="8"/>
      <c r="G883" s="8"/>
      <c r="H883" s="8"/>
      <c r="I883" s="8"/>
      <c r="J883" s="8"/>
    </row>
    <row r="884">
      <c r="B884" s="142"/>
      <c r="C884" s="8"/>
      <c r="D884" s="8"/>
      <c r="E884" s="8"/>
      <c r="F884" s="8"/>
      <c r="G884" s="8"/>
      <c r="H884" s="8"/>
      <c r="I884" s="8"/>
      <c r="J884" s="8"/>
    </row>
    <row r="885">
      <c r="B885" s="142"/>
      <c r="C885" s="8"/>
      <c r="D885" s="8"/>
      <c r="E885" s="8"/>
      <c r="F885" s="8"/>
      <c r="G885" s="8"/>
      <c r="H885" s="8"/>
      <c r="I885" s="8"/>
      <c r="J885" s="8"/>
    </row>
    <row r="886">
      <c r="B886" s="142"/>
      <c r="C886" s="8"/>
      <c r="D886" s="8"/>
      <c r="E886" s="8"/>
      <c r="F886" s="8"/>
      <c r="G886" s="8"/>
      <c r="H886" s="8"/>
      <c r="I886" s="8"/>
      <c r="J886" s="8"/>
    </row>
    <row r="887">
      <c r="B887" s="142"/>
      <c r="C887" s="8"/>
      <c r="D887" s="8"/>
      <c r="E887" s="8"/>
      <c r="F887" s="8"/>
      <c r="G887" s="8"/>
      <c r="H887" s="8"/>
      <c r="I887" s="8"/>
      <c r="J887" s="8"/>
    </row>
    <row r="888">
      <c r="B888" s="142"/>
      <c r="C888" s="8"/>
      <c r="D888" s="8"/>
      <c r="E888" s="8"/>
      <c r="F888" s="8"/>
      <c r="G888" s="8"/>
      <c r="H888" s="8"/>
      <c r="I888" s="8"/>
      <c r="J888" s="8"/>
    </row>
    <row r="889">
      <c r="B889" s="142"/>
      <c r="C889" s="8"/>
      <c r="D889" s="8"/>
      <c r="E889" s="8"/>
      <c r="F889" s="8"/>
      <c r="G889" s="8"/>
      <c r="H889" s="8"/>
      <c r="I889" s="8"/>
      <c r="J889" s="8"/>
    </row>
    <row r="890">
      <c r="B890" s="142"/>
      <c r="C890" s="8"/>
      <c r="D890" s="8"/>
      <c r="E890" s="8"/>
      <c r="F890" s="8"/>
      <c r="G890" s="8"/>
      <c r="H890" s="8"/>
      <c r="I890" s="8"/>
      <c r="J890" s="8"/>
    </row>
    <row r="891">
      <c r="B891" s="142"/>
      <c r="C891" s="8"/>
      <c r="D891" s="8"/>
      <c r="E891" s="8"/>
      <c r="F891" s="8"/>
      <c r="G891" s="8"/>
      <c r="H891" s="8"/>
      <c r="I891" s="8"/>
      <c r="J891" s="8"/>
    </row>
    <row r="892">
      <c r="B892" s="142"/>
      <c r="C892" s="8"/>
      <c r="D892" s="8"/>
      <c r="E892" s="8"/>
      <c r="F892" s="8"/>
      <c r="G892" s="8"/>
      <c r="H892" s="8"/>
      <c r="I892" s="8"/>
      <c r="J892" s="8"/>
    </row>
    <row r="893">
      <c r="B893" s="142"/>
      <c r="C893" s="8"/>
      <c r="D893" s="8"/>
      <c r="E893" s="8"/>
      <c r="F893" s="8"/>
      <c r="G893" s="8"/>
      <c r="H893" s="8"/>
      <c r="I893" s="8"/>
      <c r="J893" s="8"/>
    </row>
    <row r="894">
      <c r="B894" s="142"/>
      <c r="C894" s="8"/>
      <c r="D894" s="8"/>
      <c r="E894" s="8"/>
      <c r="F894" s="8"/>
      <c r="G894" s="8"/>
      <c r="H894" s="8"/>
      <c r="I894" s="8"/>
      <c r="J894" s="8"/>
    </row>
    <row r="895">
      <c r="B895" s="142"/>
      <c r="C895" s="8"/>
      <c r="D895" s="8"/>
      <c r="E895" s="8"/>
      <c r="F895" s="8"/>
      <c r="G895" s="8"/>
      <c r="H895" s="8"/>
      <c r="I895" s="8"/>
      <c r="J895" s="8"/>
    </row>
    <row r="896">
      <c r="B896" s="142"/>
      <c r="C896" s="8"/>
      <c r="D896" s="8"/>
      <c r="E896" s="8"/>
      <c r="F896" s="8"/>
      <c r="G896" s="8"/>
      <c r="H896" s="8"/>
      <c r="I896" s="8"/>
      <c r="J896" s="8"/>
    </row>
    <row r="897">
      <c r="B897" s="142"/>
      <c r="C897" s="8"/>
      <c r="D897" s="8"/>
      <c r="E897" s="8"/>
      <c r="F897" s="8"/>
      <c r="G897" s="8"/>
      <c r="H897" s="8"/>
      <c r="I897" s="8"/>
      <c r="J897" s="8"/>
    </row>
    <row r="898">
      <c r="B898" s="142"/>
      <c r="C898" s="8"/>
      <c r="D898" s="8"/>
      <c r="E898" s="8"/>
      <c r="F898" s="8"/>
      <c r="G898" s="8"/>
      <c r="H898" s="8"/>
      <c r="I898" s="8"/>
      <c r="J898" s="8"/>
    </row>
    <row r="899">
      <c r="B899" s="142"/>
      <c r="C899" s="8"/>
      <c r="D899" s="8"/>
      <c r="E899" s="8"/>
      <c r="F899" s="8"/>
      <c r="G899" s="8"/>
      <c r="H899" s="8"/>
      <c r="I899" s="8"/>
      <c r="J899" s="8"/>
    </row>
    <row r="900">
      <c r="B900" s="142"/>
      <c r="C900" s="8"/>
      <c r="D900" s="8"/>
      <c r="E900" s="8"/>
      <c r="F900" s="8"/>
      <c r="G900" s="8"/>
      <c r="H900" s="8"/>
      <c r="I900" s="8"/>
      <c r="J900" s="8"/>
    </row>
    <row r="901">
      <c r="B901" s="142"/>
      <c r="C901" s="8"/>
      <c r="D901" s="8"/>
      <c r="E901" s="8"/>
      <c r="F901" s="8"/>
      <c r="G901" s="8"/>
      <c r="H901" s="8"/>
      <c r="I901" s="8"/>
      <c r="J901" s="8"/>
    </row>
    <row r="902">
      <c r="B902" s="142"/>
      <c r="C902" s="8"/>
      <c r="D902" s="8"/>
      <c r="E902" s="8"/>
      <c r="F902" s="8"/>
      <c r="G902" s="8"/>
      <c r="H902" s="8"/>
      <c r="I902" s="8"/>
      <c r="J902" s="8"/>
    </row>
    <row r="903">
      <c r="B903" s="142"/>
      <c r="C903" s="8"/>
      <c r="D903" s="8"/>
      <c r="E903" s="8"/>
      <c r="F903" s="8"/>
      <c r="G903" s="8"/>
      <c r="H903" s="8"/>
      <c r="I903" s="8"/>
      <c r="J903" s="8"/>
    </row>
    <row r="904">
      <c r="B904" s="142"/>
      <c r="C904" s="8"/>
      <c r="D904" s="8"/>
      <c r="E904" s="8"/>
      <c r="F904" s="8"/>
      <c r="G904" s="8"/>
      <c r="H904" s="8"/>
      <c r="I904" s="8"/>
      <c r="J904" s="8"/>
    </row>
    <row r="905">
      <c r="B905" s="142"/>
      <c r="C905" s="8"/>
      <c r="D905" s="8"/>
      <c r="E905" s="8"/>
      <c r="F905" s="8"/>
      <c r="G905" s="8"/>
      <c r="H905" s="8"/>
      <c r="I905" s="8"/>
      <c r="J905" s="8"/>
    </row>
    <row r="906">
      <c r="B906" s="142"/>
      <c r="C906" s="8"/>
      <c r="D906" s="8"/>
      <c r="E906" s="8"/>
      <c r="F906" s="8"/>
      <c r="G906" s="8"/>
      <c r="H906" s="8"/>
      <c r="I906" s="8"/>
      <c r="J906" s="8"/>
    </row>
    <row r="907">
      <c r="B907" s="142"/>
      <c r="C907" s="8"/>
      <c r="D907" s="8"/>
      <c r="E907" s="8"/>
      <c r="F907" s="8"/>
      <c r="G907" s="8"/>
      <c r="H907" s="8"/>
      <c r="I907" s="8"/>
      <c r="J907" s="8"/>
    </row>
    <row r="908">
      <c r="B908" s="142"/>
      <c r="C908" s="8"/>
      <c r="D908" s="8"/>
      <c r="E908" s="8"/>
      <c r="F908" s="8"/>
      <c r="G908" s="8"/>
      <c r="H908" s="8"/>
      <c r="I908" s="8"/>
      <c r="J908" s="8"/>
    </row>
    <row r="909">
      <c r="B909" s="142"/>
      <c r="C909" s="8"/>
      <c r="D909" s="8"/>
      <c r="E909" s="8"/>
      <c r="F909" s="8"/>
      <c r="G909" s="8"/>
      <c r="H909" s="8"/>
      <c r="I909" s="8"/>
      <c r="J909" s="8"/>
    </row>
    <row r="910">
      <c r="B910" s="142"/>
      <c r="C910" s="8"/>
      <c r="D910" s="8"/>
      <c r="E910" s="8"/>
      <c r="F910" s="8"/>
      <c r="G910" s="8"/>
      <c r="H910" s="8"/>
      <c r="I910" s="8"/>
      <c r="J910" s="8"/>
    </row>
    <row r="911">
      <c r="B911" s="142"/>
      <c r="C911" s="8"/>
      <c r="D911" s="8"/>
      <c r="E911" s="8"/>
      <c r="F911" s="8"/>
      <c r="G911" s="8"/>
      <c r="H911" s="8"/>
      <c r="I911" s="8"/>
      <c r="J911" s="8"/>
    </row>
    <row r="912">
      <c r="B912" s="142"/>
      <c r="C912" s="8"/>
      <c r="D912" s="8"/>
      <c r="E912" s="8"/>
      <c r="F912" s="8"/>
      <c r="G912" s="8"/>
      <c r="H912" s="8"/>
      <c r="I912" s="8"/>
      <c r="J912" s="8"/>
    </row>
    <row r="913">
      <c r="B913" s="142"/>
      <c r="C913" s="8"/>
      <c r="D913" s="8"/>
      <c r="E913" s="8"/>
      <c r="F913" s="8"/>
      <c r="G913" s="8"/>
      <c r="H913" s="8"/>
      <c r="I913" s="8"/>
      <c r="J913" s="8"/>
    </row>
    <row r="914">
      <c r="B914" s="142"/>
      <c r="C914" s="8"/>
      <c r="D914" s="8"/>
      <c r="E914" s="8"/>
      <c r="F914" s="8"/>
      <c r="G914" s="8"/>
      <c r="H914" s="8"/>
      <c r="I914" s="8"/>
      <c r="J914" s="8"/>
    </row>
    <row r="915">
      <c r="B915" s="142"/>
      <c r="C915" s="8"/>
      <c r="D915" s="8"/>
      <c r="E915" s="8"/>
      <c r="F915" s="8"/>
      <c r="G915" s="8"/>
      <c r="H915" s="8"/>
      <c r="I915" s="8"/>
      <c r="J915" s="8"/>
    </row>
    <row r="916">
      <c r="B916" s="142"/>
      <c r="C916" s="8"/>
      <c r="D916" s="8"/>
      <c r="E916" s="8"/>
      <c r="F916" s="8"/>
      <c r="G916" s="8"/>
      <c r="H916" s="8"/>
      <c r="I916" s="8"/>
      <c r="J916" s="8"/>
    </row>
    <row r="917">
      <c r="B917" s="142"/>
      <c r="C917" s="8"/>
      <c r="D917" s="8"/>
      <c r="E917" s="8"/>
      <c r="F917" s="8"/>
      <c r="G917" s="8"/>
      <c r="H917" s="8"/>
      <c r="I917" s="8"/>
      <c r="J917" s="8"/>
    </row>
    <row r="918">
      <c r="B918" s="142"/>
      <c r="C918" s="8"/>
      <c r="D918" s="8"/>
      <c r="E918" s="8"/>
      <c r="F918" s="8"/>
      <c r="G918" s="8"/>
      <c r="H918" s="8"/>
      <c r="I918" s="8"/>
      <c r="J918" s="8"/>
    </row>
    <row r="919">
      <c r="B919" s="142"/>
      <c r="C919" s="8"/>
      <c r="D919" s="8"/>
      <c r="E919" s="8"/>
      <c r="F919" s="8"/>
      <c r="G919" s="8"/>
      <c r="H919" s="8"/>
      <c r="I919" s="8"/>
      <c r="J919" s="8"/>
    </row>
    <row r="920">
      <c r="B920" s="142"/>
      <c r="C920" s="8"/>
      <c r="D920" s="8"/>
      <c r="E920" s="8"/>
      <c r="F920" s="8"/>
      <c r="G920" s="8"/>
      <c r="H920" s="8"/>
      <c r="I920" s="8"/>
      <c r="J920" s="8"/>
    </row>
    <row r="921">
      <c r="B921" s="142"/>
      <c r="C921" s="8"/>
      <c r="D921" s="8"/>
      <c r="E921" s="8"/>
      <c r="F921" s="8"/>
      <c r="G921" s="8"/>
      <c r="H921" s="8"/>
      <c r="I921" s="8"/>
      <c r="J921" s="8"/>
    </row>
    <row r="922">
      <c r="B922" s="142"/>
      <c r="C922" s="8"/>
      <c r="D922" s="8"/>
      <c r="E922" s="8"/>
      <c r="F922" s="8"/>
      <c r="G922" s="8"/>
      <c r="H922" s="8"/>
      <c r="I922" s="8"/>
      <c r="J922" s="8"/>
    </row>
    <row r="923">
      <c r="B923" s="142"/>
      <c r="C923" s="8"/>
      <c r="D923" s="8"/>
      <c r="E923" s="8"/>
      <c r="F923" s="8"/>
      <c r="G923" s="8"/>
      <c r="H923" s="8"/>
      <c r="I923" s="8"/>
      <c r="J923" s="8"/>
    </row>
    <row r="924">
      <c r="B924" s="142"/>
      <c r="C924" s="8"/>
      <c r="D924" s="8"/>
      <c r="E924" s="8"/>
      <c r="F924" s="8"/>
      <c r="G924" s="8"/>
      <c r="H924" s="8"/>
      <c r="I924" s="8"/>
      <c r="J924" s="8"/>
    </row>
    <row r="925">
      <c r="B925" s="142"/>
      <c r="C925" s="8"/>
      <c r="D925" s="8"/>
      <c r="E925" s="8"/>
      <c r="F925" s="8"/>
      <c r="G925" s="8"/>
      <c r="H925" s="8"/>
      <c r="I925" s="8"/>
      <c r="J925" s="8"/>
    </row>
    <row r="926">
      <c r="B926" s="142"/>
      <c r="C926" s="8"/>
      <c r="D926" s="8"/>
      <c r="E926" s="8"/>
      <c r="F926" s="8"/>
      <c r="G926" s="8"/>
      <c r="H926" s="8"/>
      <c r="I926" s="8"/>
      <c r="J926" s="8"/>
    </row>
    <row r="927">
      <c r="B927" s="142"/>
      <c r="C927" s="8"/>
      <c r="D927" s="8"/>
      <c r="E927" s="8"/>
      <c r="F927" s="8"/>
      <c r="G927" s="8"/>
      <c r="H927" s="8"/>
      <c r="I927" s="8"/>
      <c r="J927" s="8"/>
    </row>
    <row r="928">
      <c r="B928" s="142"/>
      <c r="C928" s="8"/>
      <c r="D928" s="8"/>
      <c r="E928" s="8"/>
      <c r="F928" s="8"/>
      <c r="G928" s="8"/>
      <c r="H928" s="8"/>
      <c r="I928" s="8"/>
      <c r="J928" s="8"/>
    </row>
    <row r="929">
      <c r="B929" s="142"/>
      <c r="C929" s="8"/>
      <c r="D929" s="8"/>
      <c r="E929" s="8"/>
      <c r="F929" s="8"/>
      <c r="G929" s="8"/>
      <c r="H929" s="8"/>
      <c r="I929" s="8"/>
      <c r="J929" s="8"/>
    </row>
    <row r="930">
      <c r="B930" s="142"/>
      <c r="C930" s="8"/>
      <c r="D930" s="8"/>
      <c r="E930" s="8"/>
      <c r="F930" s="8"/>
      <c r="G930" s="8"/>
      <c r="H930" s="8"/>
      <c r="I930" s="8"/>
      <c r="J930" s="8"/>
    </row>
    <row r="931">
      <c r="B931" s="142"/>
      <c r="C931" s="8"/>
      <c r="D931" s="8"/>
      <c r="E931" s="8"/>
      <c r="F931" s="8"/>
      <c r="G931" s="8"/>
      <c r="H931" s="8"/>
      <c r="I931" s="8"/>
      <c r="J931" s="8"/>
    </row>
    <row r="932">
      <c r="B932" s="142"/>
      <c r="C932" s="8"/>
      <c r="D932" s="8"/>
      <c r="E932" s="8"/>
      <c r="F932" s="8"/>
      <c r="G932" s="8"/>
      <c r="H932" s="8"/>
      <c r="I932" s="8"/>
      <c r="J932" s="8"/>
    </row>
    <row r="933">
      <c r="B933" s="142"/>
      <c r="C933" s="8"/>
      <c r="D933" s="8"/>
      <c r="E933" s="8"/>
      <c r="F933" s="8"/>
      <c r="G933" s="8"/>
      <c r="H933" s="8"/>
      <c r="I933" s="8"/>
      <c r="J933" s="8"/>
    </row>
    <row r="934">
      <c r="B934" s="142"/>
      <c r="C934" s="8"/>
      <c r="D934" s="8"/>
      <c r="E934" s="8"/>
      <c r="F934" s="8"/>
      <c r="G934" s="8"/>
      <c r="H934" s="8"/>
      <c r="I934" s="8"/>
      <c r="J934" s="8"/>
    </row>
    <row r="935">
      <c r="B935" s="142"/>
      <c r="C935" s="8"/>
      <c r="D935" s="8"/>
      <c r="E935" s="8"/>
      <c r="F935" s="8"/>
      <c r="G935" s="8"/>
      <c r="H935" s="8"/>
      <c r="I935" s="8"/>
      <c r="J935" s="8"/>
    </row>
    <row r="936">
      <c r="B936" s="142"/>
      <c r="C936" s="8"/>
      <c r="D936" s="8"/>
      <c r="E936" s="8"/>
      <c r="F936" s="8"/>
      <c r="G936" s="8"/>
      <c r="H936" s="8"/>
      <c r="I936" s="8"/>
      <c r="J936" s="8"/>
    </row>
    <row r="937">
      <c r="B937" s="142"/>
      <c r="C937" s="8"/>
      <c r="D937" s="8"/>
      <c r="E937" s="8"/>
      <c r="F937" s="8"/>
      <c r="G937" s="8"/>
      <c r="H937" s="8"/>
      <c r="I937" s="8"/>
      <c r="J937" s="8"/>
    </row>
    <row r="938">
      <c r="B938" s="142"/>
      <c r="C938" s="8"/>
      <c r="D938" s="8"/>
      <c r="E938" s="8"/>
      <c r="F938" s="8"/>
      <c r="G938" s="8"/>
      <c r="H938" s="8"/>
      <c r="I938" s="8"/>
      <c r="J938" s="8"/>
    </row>
    <row r="939">
      <c r="B939" s="142"/>
      <c r="C939" s="8"/>
      <c r="D939" s="8"/>
      <c r="E939" s="8"/>
      <c r="F939" s="8"/>
      <c r="G939" s="8"/>
      <c r="H939" s="8"/>
      <c r="I939" s="8"/>
      <c r="J939" s="8"/>
    </row>
    <row r="940">
      <c r="B940" s="142"/>
      <c r="C940" s="8"/>
      <c r="D940" s="8"/>
      <c r="E940" s="8"/>
      <c r="F940" s="8"/>
      <c r="G940" s="8"/>
      <c r="H940" s="8"/>
      <c r="I940" s="8"/>
      <c r="J940" s="8"/>
    </row>
    <row r="941">
      <c r="B941" s="142"/>
      <c r="C941" s="8"/>
      <c r="D941" s="8"/>
      <c r="E941" s="8"/>
      <c r="F941" s="8"/>
      <c r="G941" s="8"/>
      <c r="H941" s="8"/>
      <c r="I941" s="8"/>
      <c r="J941" s="8"/>
    </row>
    <row r="942">
      <c r="B942" s="142"/>
      <c r="C942" s="8"/>
      <c r="D942" s="8"/>
      <c r="E942" s="8"/>
      <c r="F942" s="8"/>
      <c r="G942" s="8"/>
      <c r="H942" s="8"/>
      <c r="I942" s="8"/>
      <c r="J942" s="8"/>
    </row>
    <row r="943">
      <c r="B943" s="142"/>
      <c r="C943" s="8"/>
      <c r="D943" s="8"/>
      <c r="E943" s="8"/>
      <c r="F943" s="8"/>
      <c r="G943" s="8"/>
      <c r="H943" s="8"/>
      <c r="I943" s="8"/>
      <c r="J943" s="8"/>
    </row>
    <row r="944">
      <c r="B944" s="142"/>
      <c r="C944" s="8"/>
      <c r="D944" s="8"/>
      <c r="E944" s="8"/>
      <c r="F944" s="8"/>
      <c r="G944" s="8"/>
      <c r="H944" s="8"/>
      <c r="I944" s="8"/>
      <c r="J944" s="8"/>
    </row>
    <row r="945">
      <c r="B945" s="142"/>
      <c r="C945" s="8"/>
      <c r="D945" s="8"/>
      <c r="E945" s="8"/>
      <c r="F945" s="8"/>
      <c r="G945" s="8"/>
      <c r="H945" s="8"/>
      <c r="I945" s="8"/>
      <c r="J945" s="8"/>
    </row>
    <row r="946">
      <c r="B946" s="142"/>
      <c r="C946" s="8"/>
      <c r="D946" s="8"/>
      <c r="E946" s="8"/>
      <c r="F946" s="8"/>
      <c r="G946" s="8"/>
      <c r="H946" s="8"/>
      <c r="I946" s="8"/>
      <c r="J946" s="8"/>
    </row>
    <row r="947">
      <c r="B947" s="142"/>
      <c r="C947" s="8"/>
      <c r="D947" s="8"/>
      <c r="E947" s="8"/>
      <c r="F947" s="8"/>
      <c r="G947" s="8"/>
      <c r="H947" s="8"/>
      <c r="I947" s="8"/>
      <c r="J947" s="8"/>
    </row>
    <row r="948">
      <c r="B948" s="142"/>
      <c r="C948" s="8"/>
      <c r="D948" s="8"/>
      <c r="E948" s="8"/>
      <c r="F948" s="8"/>
      <c r="G948" s="8"/>
      <c r="H948" s="8"/>
      <c r="I948" s="8"/>
      <c r="J948" s="8"/>
    </row>
    <row r="949">
      <c r="B949" s="142"/>
      <c r="C949" s="8"/>
      <c r="D949" s="8"/>
      <c r="E949" s="8"/>
      <c r="F949" s="8"/>
      <c r="G949" s="8"/>
      <c r="H949" s="8"/>
      <c r="I949" s="8"/>
      <c r="J949" s="8"/>
    </row>
    <row r="950">
      <c r="B950" s="142"/>
      <c r="C950" s="8"/>
      <c r="D950" s="8"/>
      <c r="E950" s="8"/>
      <c r="F950" s="8"/>
      <c r="G950" s="8"/>
      <c r="H950" s="8"/>
      <c r="I950" s="8"/>
      <c r="J950" s="8"/>
    </row>
    <row r="951">
      <c r="B951" s="142"/>
      <c r="C951" s="8"/>
      <c r="D951" s="8"/>
      <c r="E951" s="8"/>
      <c r="F951" s="8"/>
      <c r="G951" s="8"/>
      <c r="H951" s="8"/>
      <c r="I951" s="8"/>
      <c r="J951" s="8"/>
    </row>
    <row r="952">
      <c r="B952" s="142"/>
      <c r="C952" s="8"/>
      <c r="D952" s="8"/>
      <c r="E952" s="8"/>
      <c r="F952" s="8"/>
      <c r="G952" s="8"/>
      <c r="H952" s="8"/>
      <c r="I952" s="8"/>
      <c r="J952" s="8"/>
    </row>
    <row r="953">
      <c r="B953" s="142"/>
      <c r="C953" s="8"/>
      <c r="D953" s="8"/>
      <c r="E953" s="8"/>
      <c r="F953" s="8"/>
      <c r="G953" s="8"/>
      <c r="H953" s="8"/>
      <c r="I953" s="8"/>
      <c r="J953" s="8"/>
    </row>
    <row r="954">
      <c r="B954" s="142"/>
      <c r="C954" s="8"/>
      <c r="D954" s="8"/>
      <c r="E954" s="8"/>
      <c r="F954" s="8"/>
      <c r="G954" s="8"/>
      <c r="H954" s="8"/>
      <c r="I954" s="8"/>
      <c r="J954" s="8"/>
    </row>
    <row r="955">
      <c r="B955" s="142"/>
      <c r="C955" s="8"/>
      <c r="D955" s="8"/>
      <c r="E955" s="8"/>
      <c r="F955" s="8"/>
      <c r="G955" s="8"/>
      <c r="H955" s="8"/>
      <c r="I955" s="8"/>
      <c r="J955" s="8"/>
    </row>
    <row r="956">
      <c r="B956" s="142"/>
      <c r="C956" s="8"/>
      <c r="D956" s="8"/>
      <c r="E956" s="8"/>
      <c r="F956" s="8"/>
      <c r="G956" s="8"/>
      <c r="H956" s="8"/>
      <c r="I956" s="8"/>
      <c r="J956" s="8"/>
    </row>
    <row r="957">
      <c r="B957" s="142"/>
      <c r="C957" s="8"/>
      <c r="D957" s="8"/>
      <c r="E957" s="8"/>
      <c r="F957" s="8"/>
      <c r="G957" s="8"/>
      <c r="H957" s="8"/>
      <c r="I957" s="8"/>
      <c r="J957" s="8"/>
    </row>
    <row r="958">
      <c r="B958" s="142"/>
      <c r="C958" s="8"/>
      <c r="D958" s="8"/>
      <c r="E958" s="8"/>
      <c r="F958" s="8"/>
      <c r="G958" s="8"/>
      <c r="H958" s="8"/>
      <c r="I958" s="8"/>
      <c r="J958" s="8"/>
    </row>
    <row r="959">
      <c r="B959" s="142"/>
      <c r="C959" s="8"/>
      <c r="D959" s="8"/>
      <c r="E959" s="8"/>
      <c r="F959" s="8"/>
      <c r="G959" s="8"/>
      <c r="H959" s="8"/>
      <c r="I959" s="8"/>
      <c r="J959" s="8"/>
    </row>
    <row r="960">
      <c r="B960" s="142"/>
      <c r="C960" s="8"/>
      <c r="D960" s="8"/>
      <c r="E960" s="8"/>
      <c r="F960" s="8"/>
      <c r="G960" s="8"/>
      <c r="H960" s="8"/>
      <c r="I960" s="8"/>
      <c r="J960" s="8"/>
    </row>
    <row r="961">
      <c r="B961" s="142"/>
      <c r="C961" s="8"/>
      <c r="D961" s="8"/>
      <c r="E961" s="8"/>
      <c r="F961" s="8"/>
      <c r="G961" s="8"/>
      <c r="H961" s="8"/>
      <c r="I961" s="8"/>
      <c r="J961" s="8"/>
    </row>
    <row r="962">
      <c r="B962" s="142"/>
      <c r="C962" s="8"/>
      <c r="D962" s="8"/>
      <c r="E962" s="8"/>
      <c r="F962" s="8"/>
      <c r="G962" s="8"/>
      <c r="H962" s="8"/>
      <c r="I962" s="8"/>
      <c r="J962" s="8"/>
    </row>
    <row r="963">
      <c r="B963" s="142"/>
      <c r="C963" s="8"/>
      <c r="D963" s="8"/>
      <c r="E963" s="8"/>
      <c r="F963" s="8"/>
      <c r="G963" s="8"/>
      <c r="H963" s="8"/>
      <c r="I963" s="8"/>
      <c r="J963" s="8"/>
    </row>
    <row r="964">
      <c r="B964" s="142"/>
      <c r="C964" s="8"/>
      <c r="D964" s="8"/>
      <c r="E964" s="8"/>
      <c r="F964" s="8"/>
      <c r="G964" s="8"/>
      <c r="H964" s="8"/>
      <c r="I964" s="8"/>
      <c r="J964" s="8"/>
    </row>
    <row r="965">
      <c r="B965" s="142"/>
      <c r="C965" s="8"/>
      <c r="D965" s="8"/>
      <c r="E965" s="8"/>
      <c r="F965" s="8"/>
      <c r="G965" s="8"/>
      <c r="H965" s="8"/>
      <c r="I965" s="8"/>
      <c r="J965" s="8"/>
    </row>
    <row r="966">
      <c r="B966" s="142"/>
      <c r="C966" s="8"/>
      <c r="D966" s="8"/>
      <c r="E966" s="8"/>
      <c r="F966" s="8"/>
      <c r="G966" s="8"/>
      <c r="H966" s="8"/>
      <c r="I966" s="8"/>
      <c r="J966" s="8"/>
    </row>
    <row r="967">
      <c r="B967" s="142"/>
      <c r="C967" s="8"/>
      <c r="D967" s="8"/>
      <c r="E967" s="8"/>
      <c r="F967" s="8"/>
      <c r="G967" s="8"/>
      <c r="H967" s="8"/>
      <c r="I967" s="8"/>
      <c r="J967" s="8"/>
    </row>
    <row r="968">
      <c r="B968" s="142"/>
      <c r="C968" s="8"/>
      <c r="D968" s="8"/>
      <c r="E968" s="8"/>
      <c r="F968" s="8"/>
      <c r="G968" s="8"/>
      <c r="H968" s="8"/>
      <c r="I968" s="8"/>
      <c r="J968" s="8"/>
    </row>
    <row r="969">
      <c r="B969" s="142"/>
      <c r="C969" s="8"/>
      <c r="D969" s="8"/>
      <c r="E969" s="8"/>
      <c r="F969" s="8"/>
      <c r="G969" s="8"/>
      <c r="H969" s="8"/>
      <c r="I969" s="8"/>
      <c r="J969" s="8"/>
    </row>
    <row r="970">
      <c r="B970" s="142"/>
      <c r="C970" s="8"/>
      <c r="D970" s="8"/>
      <c r="E970" s="8"/>
      <c r="F970" s="8"/>
      <c r="G970" s="8"/>
      <c r="H970" s="8"/>
      <c r="I970" s="8"/>
      <c r="J970" s="8"/>
    </row>
    <row r="971">
      <c r="B971" s="142"/>
      <c r="C971" s="8"/>
      <c r="D971" s="8"/>
      <c r="E971" s="8"/>
      <c r="F971" s="8"/>
      <c r="G971" s="8"/>
      <c r="H971" s="8"/>
      <c r="I971" s="8"/>
      <c r="J971" s="8"/>
    </row>
    <row r="972">
      <c r="B972" s="142"/>
      <c r="C972" s="8"/>
      <c r="D972" s="8"/>
      <c r="E972" s="8"/>
      <c r="F972" s="8"/>
      <c r="G972" s="8"/>
      <c r="H972" s="8"/>
      <c r="I972" s="8"/>
      <c r="J972" s="8"/>
    </row>
    <row r="973">
      <c r="B973" s="142"/>
      <c r="C973" s="8"/>
      <c r="D973" s="8"/>
      <c r="E973" s="8"/>
      <c r="F973" s="8"/>
      <c r="G973" s="8"/>
      <c r="H973" s="8"/>
      <c r="I973" s="8"/>
      <c r="J973" s="8"/>
    </row>
    <row r="974">
      <c r="B974" s="142"/>
      <c r="C974" s="8"/>
      <c r="D974" s="8"/>
      <c r="E974" s="8"/>
      <c r="F974" s="8"/>
      <c r="G974" s="8"/>
      <c r="H974" s="8"/>
      <c r="I974" s="8"/>
      <c r="J974" s="8"/>
    </row>
    <row r="975">
      <c r="B975" s="142"/>
      <c r="C975" s="8"/>
      <c r="D975" s="8"/>
      <c r="E975" s="8"/>
      <c r="F975" s="8"/>
      <c r="G975" s="8"/>
      <c r="H975" s="8"/>
      <c r="I975" s="8"/>
      <c r="J975" s="8"/>
    </row>
    <row r="976">
      <c r="B976" s="142"/>
      <c r="C976" s="8"/>
      <c r="D976" s="8"/>
      <c r="E976" s="8"/>
      <c r="F976" s="8"/>
      <c r="G976" s="8"/>
      <c r="H976" s="8"/>
      <c r="I976" s="8"/>
      <c r="J976" s="8"/>
    </row>
    <row r="977">
      <c r="B977" s="142"/>
      <c r="C977" s="8"/>
      <c r="D977" s="8"/>
      <c r="E977" s="8"/>
      <c r="F977" s="8"/>
      <c r="G977" s="8"/>
      <c r="H977" s="8"/>
      <c r="I977" s="8"/>
      <c r="J977" s="8"/>
    </row>
    <row r="978">
      <c r="B978" s="142"/>
      <c r="C978" s="8"/>
      <c r="D978" s="8"/>
      <c r="E978" s="8"/>
      <c r="F978" s="8"/>
      <c r="G978" s="8"/>
      <c r="H978" s="8"/>
      <c r="I978" s="8"/>
      <c r="J978" s="8"/>
    </row>
    <row r="979">
      <c r="B979" s="142"/>
      <c r="C979" s="8"/>
      <c r="D979" s="8"/>
      <c r="E979" s="8"/>
      <c r="F979" s="8"/>
      <c r="G979" s="8"/>
      <c r="H979" s="8"/>
      <c r="I979" s="8"/>
      <c r="J979" s="8"/>
    </row>
    <row r="980">
      <c r="B980" s="142"/>
      <c r="C980" s="8"/>
      <c r="D980" s="8"/>
      <c r="E980" s="8"/>
      <c r="F980" s="8"/>
      <c r="G980" s="8"/>
      <c r="H980" s="8"/>
      <c r="I980" s="8"/>
      <c r="J980" s="8"/>
    </row>
    <row r="981">
      <c r="B981" s="142"/>
      <c r="C981" s="8"/>
      <c r="D981" s="8"/>
      <c r="E981" s="8"/>
      <c r="F981" s="8"/>
      <c r="G981" s="8"/>
      <c r="H981" s="8"/>
      <c r="I981" s="8"/>
      <c r="J981" s="8"/>
    </row>
    <row r="982">
      <c r="B982" s="142"/>
      <c r="C982" s="8"/>
      <c r="D982" s="8"/>
      <c r="E982" s="8"/>
      <c r="F982" s="8"/>
      <c r="G982" s="8"/>
      <c r="H982" s="8"/>
      <c r="I982" s="8"/>
      <c r="J982" s="8"/>
    </row>
    <row r="983">
      <c r="B983" s="142"/>
      <c r="C983" s="8"/>
      <c r="D983" s="8"/>
      <c r="E983" s="8"/>
      <c r="F983" s="8"/>
      <c r="G983" s="8"/>
      <c r="H983" s="8"/>
      <c r="I983" s="8"/>
      <c r="J983" s="8"/>
    </row>
    <row r="984">
      <c r="B984" s="142"/>
      <c r="C984" s="8"/>
      <c r="D984" s="8"/>
      <c r="E984" s="8"/>
      <c r="F984" s="8"/>
      <c r="G984" s="8"/>
      <c r="H984" s="8"/>
      <c r="I984" s="8"/>
      <c r="J984" s="8"/>
    </row>
    <row r="985">
      <c r="B985" s="142"/>
      <c r="C985" s="8"/>
      <c r="D985" s="8"/>
      <c r="E985" s="8"/>
      <c r="F985" s="8"/>
      <c r="G985" s="8"/>
      <c r="H985" s="8"/>
      <c r="I985" s="8"/>
      <c r="J985" s="8"/>
    </row>
    <row r="986">
      <c r="B986" s="142"/>
      <c r="C986" s="8"/>
      <c r="D986" s="8"/>
      <c r="E986" s="8"/>
      <c r="F986" s="8"/>
      <c r="G986" s="8"/>
      <c r="H986" s="8"/>
      <c r="I986" s="8"/>
      <c r="J986" s="8"/>
    </row>
    <row r="987">
      <c r="B987" s="142"/>
      <c r="C987" s="8"/>
      <c r="D987" s="8"/>
      <c r="E987" s="8"/>
      <c r="F987" s="8"/>
      <c r="G987" s="8"/>
      <c r="H987" s="8"/>
      <c r="I987" s="8"/>
      <c r="J987" s="8"/>
    </row>
    <row r="988">
      <c r="B988" s="142"/>
      <c r="C988" s="8"/>
      <c r="D988" s="8"/>
      <c r="E988" s="8"/>
      <c r="F988" s="8"/>
      <c r="G988" s="8"/>
      <c r="H988" s="8"/>
      <c r="I988" s="8"/>
      <c r="J988" s="8"/>
    </row>
    <row r="989">
      <c r="B989" s="142"/>
      <c r="C989" s="8"/>
      <c r="D989" s="8"/>
      <c r="E989" s="8"/>
      <c r="F989" s="8"/>
      <c r="G989" s="8"/>
      <c r="H989" s="8"/>
      <c r="I989" s="8"/>
      <c r="J989" s="8"/>
    </row>
    <row r="990">
      <c r="B990" s="142"/>
      <c r="C990" s="8"/>
      <c r="D990" s="8"/>
      <c r="E990" s="8"/>
      <c r="F990" s="8"/>
      <c r="G990" s="8"/>
      <c r="H990" s="8"/>
      <c r="I990" s="8"/>
      <c r="J990" s="8"/>
    </row>
    <row r="991">
      <c r="B991" s="142"/>
      <c r="C991" s="8"/>
      <c r="D991" s="8"/>
      <c r="E991" s="8"/>
      <c r="F991" s="8"/>
      <c r="G991" s="8"/>
      <c r="H991" s="8"/>
      <c r="I991" s="8"/>
      <c r="J991" s="8"/>
    </row>
    <row r="992">
      <c r="B992" s="142"/>
      <c r="C992" s="8"/>
      <c r="D992" s="8"/>
      <c r="E992" s="8"/>
      <c r="F992" s="8"/>
      <c r="G992" s="8"/>
      <c r="H992" s="8"/>
      <c r="I992" s="8"/>
      <c r="J992" s="8"/>
    </row>
    <row r="993">
      <c r="B993" s="142"/>
      <c r="C993" s="8"/>
      <c r="D993" s="8"/>
      <c r="E993" s="8"/>
      <c r="F993" s="8"/>
      <c r="G993" s="8"/>
      <c r="H993" s="8"/>
      <c r="I993" s="8"/>
      <c r="J993" s="8"/>
    </row>
    <row r="994">
      <c r="B994" s="142"/>
      <c r="C994" s="8"/>
      <c r="D994" s="8"/>
      <c r="E994" s="8"/>
      <c r="F994" s="8"/>
      <c r="G994" s="8"/>
      <c r="H994" s="8"/>
      <c r="I994" s="8"/>
      <c r="J994" s="8"/>
    </row>
    <row r="995">
      <c r="B995" s="142"/>
      <c r="C995" s="8"/>
      <c r="D995" s="8"/>
      <c r="E995" s="8"/>
      <c r="F995" s="8"/>
      <c r="G995" s="8"/>
      <c r="H995" s="8"/>
      <c r="I995" s="8"/>
      <c r="J995" s="8"/>
    </row>
    <row r="996">
      <c r="B996" s="142"/>
      <c r="C996" s="8"/>
      <c r="D996" s="8"/>
      <c r="E996" s="8"/>
      <c r="F996" s="8"/>
      <c r="G996" s="8"/>
      <c r="H996" s="8"/>
      <c r="I996" s="8"/>
      <c r="J996" s="8"/>
    </row>
    <row r="997">
      <c r="B997" s="142"/>
      <c r="C997" s="8"/>
      <c r="D997" s="8"/>
      <c r="E997" s="8"/>
      <c r="F997" s="8"/>
      <c r="G997" s="8"/>
      <c r="H997" s="8"/>
      <c r="I997" s="8"/>
      <c r="J997" s="8"/>
    </row>
    <row r="998">
      <c r="B998" s="142"/>
      <c r="C998" s="8"/>
      <c r="D998" s="8"/>
      <c r="E998" s="8"/>
      <c r="F998" s="8"/>
      <c r="G998" s="8"/>
      <c r="H998" s="8"/>
      <c r="I998" s="8"/>
      <c r="J998" s="8"/>
    </row>
    <row r="999">
      <c r="B999" s="142"/>
      <c r="C999" s="8"/>
      <c r="D999" s="8"/>
      <c r="E999" s="8"/>
      <c r="F999" s="8"/>
      <c r="G999" s="8"/>
      <c r="H999" s="8"/>
      <c r="I999" s="8"/>
      <c r="J999" s="8"/>
    </row>
    <row r="1000">
      <c r="B1000" s="142"/>
      <c r="C1000" s="8"/>
      <c r="D1000" s="8"/>
      <c r="E1000" s="8"/>
      <c r="F1000" s="8"/>
      <c r="G1000" s="8"/>
      <c r="H1000" s="8"/>
      <c r="I1000" s="8"/>
      <c r="J1000" s="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1.22" defaultRowHeight="15.0"/>
  <cols>
    <col customWidth="1" min="1" max="1" width="8.56"/>
    <col customWidth="1" min="2" max="2" width="7.0"/>
    <col customWidth="1" min="3" max="3" width="9.67"/>
    <col customWidth="1" min="4" max="4" width="10.33"/>
    <col customWidth="1" min="5" max="5" width="7.11"/>
    <col customWidth="1" min="6" max="6" width="7.56"/>
    <col customWidth="1" min="7" max="7" width="6.67"/>
    <col customWidth="1" min="8" max="8" width="14.22"/>
    <col customWidth="1" min="9" max="9" width="8.11"/>
    <col customWidth="1" min="10" max="10" width="8.89"/>
    <col customWidth="1" min="11" max="11" width="10.67"/>
    <col customWidth="1" min="12" max="13" width="17.22"/>
    <col customWidth="1" min="14" max="14" width="29.67"/>
    <col customWidth="1" min="15" max="15" width="21.56"/>
    <col customWidth="1" min="16" max="16" width="17.67"/>
    <col customWidth="1" min="17" max="17" width="8.56"/>
    <col customWidth="1" min="18" max="18" width="9.11"/>
    <col customWidth="1" min="19" max="19" width="9.33"/>
    <col customWidth="1" min="20" max="20" width="27.44"/>
    <col customWidth="1" min="21" max="21" width="5.11"/>
    <col customWidth="1" min="22" max="22" width="23.67"/>
    <col customWidth="1" min="23" max="23" width="23.33"/>
    <col customWidth="1" min="24" max="24" width="22.33"/>
    <col customWidth="1" min="25" max="25" width="24.0"/>
    <col customWidth="1" min="26" max="26" width="22.89"/>
    <col customWidth="1" min="27" max="27" width="26.78"/>
    <col customWidth="1" min="28" max="28" width="28.33"/>
    <col customWidth="1" min="41" max="41" width="8.89"/>
    <col customWidth="1" min="42" max="42" width="7.11"/>
    <col hidden="1" min="44" max="47" width="11.22"/>
  </cols>
  <sheetData>
    <row r="1">
      <c r="A1" s="145" t="s">
        <v>5994</v>
      </c>
      <c r="B1" s="146" t="s">
        <v>3233</v>
      </c>
      <c r="C1" s="3" t="s">
        <v>5995</v>
      </c>
      <c r="D1" s="147" t="s">
        <v>5996</v>
      </c>
      <c r="E1" s="148" t="s">
        <v>5997</v>
      </c>
      <c r="F1" s="3" t="s">
        <v>44</v>
      </c>
      <c r="G1" s="3" t="s">
        <v>5998</v>
      </c>
      <c r="H1" s="3" t="s">
        <v>5999</v>
      </c>
      <c r="I1" s="3" t="s">
        <v>6000</v>
      </c>
      <c r="J1" s="149" t="s">
        <v>51</v>
      </c>
      <c r="K1" s="149" t="s">
        <v>53</v>
      </c>
      <c r="L1" s="149" t="s">
        <v>10</v>
      </c>
      <c r="M1" s="142" t="s">
        <v>56</v>
      </c>
      <c r="N1" s="149" t="s">
        <v>6001</v>
      </c>
      <c r="O1" s="3" t="s">
        <v>6002</v>
      </c>
      <c r="P1" s="3" t="s">
        <v>6003</v>
      </c>
      <c r="Q1" s="150" t="s">
        <v>6004</v>
      </c>
      <c r="R1" s="142" t="s">
        <v>6005</v>
      </c>
      <c r="S1" s="142" t="s">
        <v>6006</v>
      </c>
      <c r="T1" s="130" t="s">
        <v>6007</v>
      </c>
      <c r="U1" s="3" t="s">
        <v>6008</v>
      </c>
      <c r="V1" s="130" t="s">
        <v>6009</v>
      </c>
      <c r="W1" s="51" t="s">
        <v>6010</v>
      </c>
      <c r="X1" s="11" t="s">
        <v>6011</v>
      </c>
      <c r="Y1" s="11" t="s">
        <v>6012</v>
      </c>
      <c r="Z1" s="1" t="s">
        <v>6013</v>
      </c>
      <c r="AA1" s="3" t="s">
        <v>6014</v>
      </c>
      <c r="AB1" s="3" t="s">
        <v>6015</v>
      </c>
      <c r="AC1" s="149" t="s">
        <v>6016</v>
      </c>
      <c r="AD1" s="149" t="s">
        <v>6017</v>
      </c>
      <c r="AE1" s="149" t="s">
        <v>6018</v>
      </c>
      <c r="AF1" s="149" t="s">
        <v>6018</v>
      </c>
      <c r="AG1" s="142" t="s">
        <v>6019</v>
      </c>
      <c r="AH1" s="149" t="s">
        <v>6020</v>
      </c>
      <c r="AI1" s="149" t="s">
        <v>6021</v>
      </c>
      <c r="AJ1" s="149" t="s">
        <v>6022</v>
      </c>
      <c r="AK1" s="149" t="s">
        <v>6023</v>
      </c>
      <c r="AL1" s="149" t="s">
        <v>114</v>
      </c>
      <c r="AM1" s="149" t="s">
        <v>116</v>
      </c>
      <c r="AN1" s="149" t="s">
        <v>118</v>
      </c>
      <c r="AO1" s="3" t="s">
        <v>6024</v>
      </c>
      <c r="AP1" s="3" t="s">
        <v>6025</v>
      </c>
      <c r="AQ1" s="149" t="s">
        <v>6026</v>
      </c>
      <c r="AR1" s="149" t="s">
        <v>125</v>
      </c>
      <c r="AS1" s="149" t="s">
        <v>6027</v>
      </c>
      <c r="AT1" s="149" t="s">
        <v>129</v>
      </c>
      <c r="AU1" s="149" t="s">
        <v>131</v>
      </c>
      <c r="AV1" s="1" t="s">
        <v>6028</v>
      </c>
    </row>
    <row r="2">
      <c r="A2" s="151">
        <v>1.0</v>
      </c>
      <c r="B2" s="152">
        <v>2023.0</v>
      </c>
      <c r="D2" s="152"/>
      <c r="E2" s="151">
        <v>1.0</v>
      </c>
      <c r="F2" s="129" t="s">
        <v>140</v>
      </c>
      <c r="G2" s="3" t="s">
        <v>6029</v>
      </c>
      <c r="H2" s="8" t="str">
        <f>IFERROR(__xludf.DUMMYFUNCTION("ARRAYFORMULA(IF(B2:B882 = 2025, IF(
  (J2:J882 = J1:J882) * (O2:O882 = O1:O882) * (P2:P882 = P1:P882) * (Q2:Q882 = Q1:Q882) * (R2:R882 = R1:R882) * (S2:S882 = S1:S882) * (N2:N882 = N1:N882) * (AA2:AA882 = AA1:AA882) * (AB2:AB882 = AB1:AB882) * (AC2:AC882 "&amp;"= AC1:AC882) * (AG2:AG882 = AG1:AG882) * (AH2:AH882 = AH1:AH882) * (AI2:AI882 = AI1:AI882) * (AJ2:AJ882 = AJ1:AJ882) * (AL2:AL882 = AL1:AL882) * (AM2:AM882 = AM1:AM882) * (AN2:AN882 = AN1:AN882) * (AR2:AR882 = AR1:AR882) * (AS2:AS882 = AS1:AS882) * (AT2:A"&amp;"T882 = AT1:AT882) * (AU2:AU882 = AU1:AU882), 
  ""Unchanged"", 
  REGEXREPLACE(TRIM(
    IF(J2:J882 &lt;&gt; J1:J882, ""**Region** changed from "" &amp; J1:J882 &amp; "" to "" &amp; J2:J882, """") &amp;
    IF(O2:O882 &lt;&gt; O1:O882, "", **Restoration_project** changed from "" &amp; "&amp;"O1:O882 &amp; "" to "" &amp; O2:O882, """") &amp; 
    IF(P2:P882 &lt;&gt; P1:P882, "", **Restoration_project_short** changed from "" &amp; P1:P882 &amp; "" to "" &amp; P2:P882, """") &amp; 
    IF(Q2:Q882 &lt;&gt; Q1:Q882, "", **Year of establishment** changed from "" &amp; Q1:Q882 &amp; "" to "" &amp; Q2"&amp;":Q882, """") &amp; 
    IF(R2:R882 &lt;&gt; R1:R882, "", **Project Start** changed from "" &amp; R1:R882 &amp; "" to "" &amp; R2:R882, """") &amp; 
    IF(S2:S882 &lt;&gt; S1:S882, "", **Project End** changed from "" &amp; S1:S882 &amp; "" to "" &amp; S2:S882, """") &amp; 
    IF(N2:N882 &lt;&gt; N1:N882, """&amp;", **Restoration method** changed from "" &amp; N1:N882 &amp; "" to "" &amp; N2:N882, """") &amp; 
    IF(AA2:AA882 &lt;&gt; AA1:AA882, "", **Technique/Material Type** changed from "" &amp; AA1:AA882 &amp; "" to "" &amp; AA2:AA882, """") &amp; 
    IF(AB2:AB882 &lt;&gt; AB1:AB882, "", **Restoration "&amp;"objective** changed from "" &amp; AB1:AB882 &amp; "" to "" &amp; AB2:AB882, """") &amp; 
    IF(AC2:AC882 &lt;&gt; AC1:AC882, "", **Funding agency** changed from "" &amp; AC1:AC882 &amp; "" to "" &amp; AC2:AC882, """") &amp; 
    IF(AG2:AG882 &lt;&gt; AG1:AG882, "", **Total funding** changed from "&amp;""" &amp; AG1:AG882 &amp; "" to "" &amp; AG2:AG882, """") &amp; 
    IF(AH2:AH882 &lt;&gt; AH1:AH882, "", **Total area of restoration** changed from "" &amp; AH1:AH882 &amp; "" to "" &amp; AH2:AH882, """") &amp; 
    IF(AI2:AI882 &lt;&gt; AI1:AI882, "", **Total units** changed from "" &amp; AI1:AI882 &amp; "&amp;""" to "" &amp; AI2:AI882, """") &amp; 
    IF(AJ2:AJ882 &lt;&gt; AJ1:AJ882, "", **Implementing institution** changed from "" &amp; AJ1:AJ882 &amp; "" to "" &amp; AJ2:AJ882, """") &amp; 
    IF(AL2:AL882 &lt;&gt; AL1:AL882, "", **Partners_public** changed from "" &amp; AL1:AL882 &amp; "" to "" &amp; AL2"&amp;":AL882, """") &amp; 
    IF(AM2:AM882 &lt;&gt; AM1:AM882, "", **Partners_private** changed from "" &amp; AM1:AM882 &amp; "" to "" &amp; AM2:AM882, """") &amp; 
    IF(AN2:AN882 &lt;&gt; AN1:AN882, "", **Partners_communities** changed from "" &amp; AN1:AN882 &amp; "" to "" &amp; AN2:AN882, """") &amp; 
"&amp;"    IF(AR2:AR882 &lt;&gt; AR1:AR882, "", **Reference** changed from "" &amp; AR1:AR882 &amp; "" to "" &amp; AR2:AR882, """") &amp; 
    IF(AS2:AS882 &lt;&gt; AS1:AS882, "", **Website** changed from "" &amp; AS1:AS882 &amp; "" to "" &amp; AS2:AS882, """") &amp; 
    IF(AT2:AT882 &lt;&gt; AT1:AT882, "", **"&amp;"Contact_name** changed from "" &amp; AT1:AT882 &amp; "" to "" &amp; AT2:AT882, """") &amp; 
    IF(AU2:AU882 &lt;&gt; AU1:AU882, "", **Contact_details** changed from "" &amp; AU1:AU882 &amp; "" to "" &amp; AU2:AU882, """")
  ), ""^, ?"", """")
), """"))
"),"")</f>
        <v/>
      </c>
      <c r="I2" s="8" t="str">
        <f t="array" ref="I2:I882">IF(M2:M882 = "", "", TRIM(A2:A882) &amp; "-" &amp; TRIM(M2:M882) &amp; "-" &amp; TRIM(Q2:Q882) &amp; "-" &amp; TRIM(N2:N882))
</f>
        <v>1-PH012802000-2021-Artificial Reef</v>
      </c>
      <c r="J2" s="8" t="s">
        <v>143</v>
      </c>
      <c r="K2" s="8" t="s">
        <v>381</v>
      </c>
      <c r="L2" s="8" t="s">
        <v>2585</v>
      </c>
      <c r="M2" s="153" t="s">
        <v>2586</v>
      </c>
      <c r="N2" s="8" t="s">
        <v>151</v>
      </c>
      <c r="O2" s="154" t="s">
        <v>149</v>
      </c>
      <c r="P2" s="154" t="s">
        <v>149</v>
      </c>
      <c r="Q2" s="142" t="s">
        <v>6030</v>
      </c>
      <c r="R2" s="142" t="s">
        <v>6030</v>
      </c>
      <c r="S2" s="154" t="s">
        <v>149</v>
      </c>
      <c r="T2" s="8"/>
      <c r="U2" s="8">
        <f>IFERROR(__xludf.DUMMYFUNCTION("ARRAYFORMULA(IF(I2:I882 = """", """", MATCH(I2:I882, UNIQUE(FILTER(I2:I882, I2:I882 &lt;&gt; """")), 0)))
"),1.0)</f>
        <v>1</v>
      </c>
      <c r="V2" s="8"/>
      <c r="W2" s="154"/>
      <c r="X2" s="8"/>
      <c r="Y2" s="8"/>
      <c r="AA2" s="154" t="s">
        <v>149</v>
      </c>
      <c r="AB2" s="154" t="s">
        <v>149</v>
      </c>
      <c r="AC2" s="154" t="s">
        <v>149</v>
      </c>
      <c r="AG2" s="155" t="s">
        <v>149</v>
      </c>
      <c r="AH2" s="154" t="s">
        <v>149</v>
      </c>
      <c r="AI2" s="154" t="s">
        <v>149</v>
      </c>
      <c r="AJ2" s="154" t="s">
        <v>149</v>
      </c>
      <c r="AL2" s="154" t="s">
        <v>149</v>
      </c>
      <c r="AM2" s="154" t="s">
        <v>149</v>
      </c>
      <c r="AN2" s="154" t="s">
        <v>149</v>
      </c>
      <c r="AO2" s="8"/>
      <c r="AP2" s="8"/>
      <c r="AR2" s="154" t="s">
        <v>149</v>
      </c>
      <c r="AS2" s="154" t="s">
        <v>149</v>
      </c>
      <c r="AT2" s="154" t="s">
        <v>149</v>
      </c>
      <c r="AU2" s="154" t="s">
        <v>149</v>
      </c>
    </row>
    <row r="3">
      <c r="A3" s="151">
        <v>1.0</v>
      </c>
      <c r="B3" s="152">
        <v>2025.0</v>
      </c>
      <c r="C3" s="153" t="str">
        <f>CONCATENATE(D3, "-", M3, "-", A3)
</f>
        <v>2023-PH012802000-1</v>
      </c>
      <c r="D3" s="152">
        <f>IF(OR(F2="Published", F2="Unpublished"), 2023, IF(F2="New", 2025, ""))
</f>
        <v>2023</v>
      </c>
      <c r="E3" s="151">
        <v>1.0</v>
      </c>
      <c r="F3" s="156" t="s">
        <v>140</v>
      </c>
      <c r="G3" s="156" t="s">
        <v>141</v>
      </c>
      <c r="H3" s="153" t="str">
        <f>IFERROR(__xludf.DUMMYFUNCTION("""COMPUTED_VALUE"""),"**Restoration_project_short** changed from Unknown to Site in Brgy Calioet, **Year of establishment** changed from 2021 to 2021, **Project Start** changed from 2021 to Unknown, **Technique/Material Type** changed from Unknown to Concrete jackstone, **Rest"&amp;"oration objective** changed from Unknown to Habitat for fish; fisheries livelihood, **Implementing institution** changed from Unknown to BFAR, **Partners_public** changed from Unknown to MLGU; PGIN, **Partners_communities** changed from Unknown to Brgy Ca"&amp;"lioet fisherfolks, **Reference** changed from Unknown to Bacarra Agriculture Office (2021). Deployment of artificial reef about 2 km offshore. This is a joint project of BFAR, LGU Bacarra, PGIN, and the fisherfolk of Brgy Calioet. [Status Update]. Faceboo"&amp;"k https://web.facebook.com/watch/?v=372900961253018, **Website** changed from Unknown to https://web.facebook.com/watch/?v=372900961253018")</f>
        <v>**Restoration_project_short** changed from Unknown to Site in Brgy Calioet, **Year of establishment** changed from 2021 to 2021, **Project Start** changed from 2021 to Unknown, **Technique/Material Type** changed from Unknown to Concrete jackstone, **Restoration objective** changed from Unknown to Habitat for fish; fisheries livelihood, **Implementing institution** changed from Unknown to BFAR, **Partners_public** changed from Unknown to MLGU; PGIN, **Partners_communities** changed from Unknown to Brgy Calioet fisherfolks, **Reference** changed from Unknown to Bacarra Agriculture Office (2021). Deployment of artificial reef about 2 km offshore. This is a joint project of BFAR, LGU Bacarra, PGIN, and the fisherfolk of Brgy Calioet. [Status Update]. Facebook https://web.facebook.com/watch/?v=372900961253018, **Website** changed from Unknown to https://web.facebook.com/watch/?v=372900961253018</v>
      </c>
      <c r="I3" s="153" t="s">
        <v>6031</v>
      </c>
      <c r="J3" s="153" t="s">
        <v>143</v>
      </c>
      <c r="K3" s="153" t="s">
        <v>381</v>
      </c>
      <c r="L3" s="153" t="s">
        <v>2585</v>
      </c>
      <c r="M3" s="157" t="s">
        <v>2586</v>
      </c>
      <c r="N3" s="153" t="s">
        <v>151</v>
      </c>
      <c r="O3" s="158" t="s">
        <v>149</v>
      </c>
      <c r="P3" s="158" t="s">
        <v>2587</v>
      </c>
      <c r="Q3" s="159">
        <v>2021.0</v>
      </c>
      <c r="R3" s="160" t="s">
        <v>149</v>
      </c>
      <c r="S3" s="160" t="s">
        <v>149</v>
      </c>
      <c r="T3" s="161" t="s">
        <v>150</v>
      </c>
      <c r="U3" s="153">
        <f>IFERROR(__xludf.DUMMYFUNCTION("""COMPUTED_VALUE"""),1.0)</f>
        <v>1</v>
      </c>
      <c r="V3" s="162" t="s">
        <v>3311</v>
      </c>
      <c r="W3" s="163" t="s">
        <v>6032</v>
      </c>
      <c r="X3" s="28" t="s">
        <v>6033</v>
      </c>
      <c r="Y3" s="32" t="s">
        <v>789</v>
      </c>
      <c r="Z3" s="158" t="s">
        <v>789</v>
      </c>
      <c r="AA3" s="158" t="s">
        <v>789</v>
      </c>
      <c r="AB3" s="158" t="s">
        <v>6034</v>
      </c>
      <c r="AC3" s="158" t="s">
        <v>149</v>
      </c>
      <c r="AD3" s="158" t="s">
        <v>149</v>
      </c>
      <c r="AE3" s="158" t="s">
        <v>149</v>
      </c>
      <c r="AF3" s="158" t="s">
        <v>149</v>
      </c>
      <c r="AG3" s="164" t="s">
        <v>149</v>
      </c>
      <c r="AH3" s="158" t="s">
        <v>149</v>
      </c>
      <c r="AI3" s="158" t="s">
        <v>149</v>
      </c>
      <c r="AJ3" s="153" t="s">
        <v>390</v>
      </c>
      <c r="AK3" s="153" t="s">
        <v>6035</v>
      </c>
      <c r="AL3" s="158" t="s">
        <v>6036</v>
      </c>
      <c r="AM3" s="158" t="s">
        <v>149</v>
      </c>
      <c r="AN3" s="158" t="s">
        <v>2590</v>
      </c>
      <c r="AO3" s="156">
        <v>1.0</v>
      </c>
      <c r="AP3" s="156" t="s">
        <v>6037</v>
      </c>
      <c r="AQ3" s="153" t="s">
        <v>6038</v>
      </c>
      <c r="AR3" s="153" t="s">
        <v>6039</v>
      </c>
      <c r="AS3" s="165" t="s">
        <v>2592</v>
      </c>
      <c r="AT3" s="158" t="s">
        <v>149</v>
      </c>
      <c r="AU3" s="158" t="s">
        <v>149</v>
      </c>
    </row>
    <row r="4">
      <c r="A4" s="151">
        <v>2.0</v>
      </c>
      <c r="B4" s="152">
        <v>2023.0</v>
      </c>
      <c r="D4" s="152"/>
      <c r="E4" s="151">
        <v>2.0</v>
      </c>
      <c r="F4" s="129" t="s">
        <v>140</v>
      </c>
      <c r="G4" s="3" t="s">
        <v>6029</v>
      </c>
      <c r="H4" s="8" t="str">
        <f>IFERROR(__xludf.DUMMYFUNCTION("""COMPUTED_VALUE"""),"")</f>
        <v/>
      </c>
      <c r="I4" s="8" t="s">
        <v>6040</v>
      </c>
      <c r="J4" s="8" t="s">
        <v>143</v>
      </c>
      <c r="K4" s="8" t="s">
        <v>381</v>
      </c>
      <c r="L4" s="8" t="s">
        <v>2363</v>
      </c>
      <c r="M4" s="153" t="s">
        <v>2364</v>
      </c>
      <c r="N4" s="8" t="s">
        <v>151</v>
      </c>
      <c r="O4" s="8" t="s">
        <v>6041</v>
      </c>
      <c r="P4" s="166" t="s">
        <v>149</v>
      </c>
      <c r="Q4" s="142" t="s">
        <v>6042</v>
      </c>
      <c r="R4" s="142" t="s">
        <v>6042</v>
      </c>
      <c r="S4" s="166" t="s">
        <v>149</v>
      </c>
      <c r="T4" s="8"/>
      <c r="U4" s="8">
        <f>IFERROR(__xludf.DUMMYFUNCTION("""COMPUTED_VALUE"""),2.0)</f>
        <v>2</v>
      </c>
      <c r="V4" s="8"/>
      <c r="W4" s="166"/>
      <c r="X4" s="8"/>
      <c r="Y4" s="8"/>
      <c r="AA4" s="166" t="s">
        <v>149</v>
      </c>
      <c r="AB4" s="166" t="s">
        <v>149</v>
      </c>
      <c r="AC4" s="166" t="s">
        <v>149</v>
      </c>
      <c r="AD4" s="167" t="s">
        <v>149</v>
      </c>
      <c r="AE4" s="168" t="s">
        <v>149</v>
      </c>
      <c r="AF4" s="168" t="s">
        <v>149</v>
      </c>
      <c r="AG4" s="166" t="s">
        <v>149</v>
      </c>
      <c r="AH4" s="166" t="s">
        <v>149</v>
      </c>
      <c r="AI4" s="166" t="s">
        <v>149</v>
      </c>
      <c r="AJ4" s="166" t="s">
        <v>149</v>
      </c>
      <c r="AL4" s="166" t="s">
        <v>149</v>
      </c>
      <c r="AM4" s="166" t="s">
        <v>149</v>
      </c>
      <c r="AN4" s="166" t="s">
        <v>149</v>
      </c>
      <c r="AO4" s="8"/>
      <c r="AP4" s="8"/>
      <c r="AR4" s="166" t="s">
        <v>149</v>
      </c>
      <c r="AS4" s="166" t="s">
        <v>149</v>
      </c>
      <c r="AT4" s="166" t="s">
        <v>149</v>
      </c>
      <c r="AU4" s="166" t="s">
        <v>149</v>
      </c>
    </row>
    <row r="5">
      <c r="A5" s="151">
        <v>2.0</v>
      </c>
      <c r="B5" s="152">
        <v>2025.0</v>
      </c>
      <c r="C5" s="153" t="str">
        <f>CONCATENATE(D5, "-", M5, "-", A5)
</f>
        <v>2023-PH012808000-2</v>
      </c>
      <c r="D5" s="152">
        <f>IF(OR(F4="Published", F4="Unpublished"), 2023, IF(F4="New", 2025, ""))
</f>
        <v>2023</v>
      </c>
      <c r="E5" s="151">
        <v>2.0</v>
      </c>
      <c r="F5" s="156" t="s">
        <v>140</v>
      </c>
      <c r="G5" s="156" t="s">
        <v>141</v>
      </c>
      <c r="H5" s="153" t="str">
        <f>IFERROR(__xludf.DUMMYFUNCTION("""COMPUTED_VALUE"""),"**Restoration_project** changed from Fisheries Banner Program to Unknown, **Restoration_project_short** changed from Unknown to Site in Poblacion Bay, **Year of establishment** changed from 2011 to 2023, **Project Start** changed from 2011 to Unknown, **T"&amp;"echnique/Material Type** changed from Unknown to Concrete sculpture; statues, **Restoration objective** changed from Unknown to Marine biosystem regeneration, **Funding agency** changed from Unknown to Dr. Joven Cuanang; Cong. Angelo Barba, **Implementing"&amp;" institution** changed from Unknown to Dr. Joven Cuanang / Cong. Angelo Barba, **Partners_public** changed from Unknown to Philippine Coast Guard, Philippine Air Force, , **Partners_private** changed from Unknown to Pinto Art Museum, **Reference** changed"&amp;" from Unknown to RPN News (2023, May 14). The Corals of Currimao. RPN Radio. https://rpnradio.com/the-corals-of-currimao/, **Website** changed from Unknown to https://rpnradio.com/the-corals-of-currimao/")</f>
        <v>**Restoration_project** changed from Fisheries Banner Program to Unknown, **Restoration_project_short** changed from Unknown to Site in Poblacion Bay, **Year of establishment** changed from 2011 to 2023, **Project Start** changed from 2011 to Unknown, **Technique/Material Type** changed from Unknown to Concrete sculpture; statues, **Restoration objective** changed from Unknown to Marine biosystem regeneration, **Funding agency** changed from Unknown to Dr. Joven Cuanang; Cong. Angelo Barba, **Implementing institution** changed from Unknown to Dr. Joven Cuanang / Cong. Angelo Barba, **Partners_public** changed from Unknown to Philippine Coast Guard, Philippine Air Force, , **Partners_private** changed from Unknown to Pinto Art Museum, **Reference** changed from Unknown to RPN News (2023, May 14). The Corals of Currimao. RPN Radio. https://rpnradio.com/the-corals-of-currimao/, **Website** changed from Unknown to https://rpnradio.com/the-corals-of-currimao/</v>
      </c>
      <c r="I5" s="153" t="s">
        <v>6043</v>
      </c>
      <c r="J5" s="153" t="s">
        <v>143</v>
      </c>
      <c r="K5" s="153" t="s">
        <v>381</v>
      </c>
      <c r="L5" s="153" t="s">
        <v>2363</v>
      </c>
      <c r="M5" s="157" t="s">
        <v>2364</v>
      </c>
      <c r="N5" s="153" t="s">
        <v>151</v>
      </c>
      <c r="O5" s="158" t="s">
        <v>149</v>
      </c>
      <c r="P5" s="153" t="s">
        <v>2365</v>
      </c>
      <c r="Q5" s="169">
        <v>2023.0</v>
      </c>
      <c r="R5" s="160" t="s">
        <v>149</v>
      </c>
      <c r="S5" s="160" t="s">
        <v>149</v>
      </c>
      <c r="T5" s="161" t="s">
        <v>150</v>
      </c>
      <c r="U5" s="153">
        <f>IFERROR(__xludf.DUMMYFUNCTION("""COMPUTED_VALUE"""),3.0)</f>
        <v>3</v>
      </c>
      <c r="V5" s="162" t="s">
        <v>3311</v>
      </c>
      <c r="W5" s="170" t="s">
        <v>6032</v>
      </c>
      <c r="X5" s="28" t="s">
        <v>6033</v>
      </c>
      <c r="Y5" s="32" t="s">
        <v>2049</v>
      </c>
      <c r="Z5" s="153" t="s">
        <v>6044</v>
      </c>
      <c r="AA5" s="153" t="s">
        <v>6045</v>
      </c>
      <c r="AB5" s="158" t="s">
        <v>6046</v>
      </c>
      <c r="AC5" s="153" t="s">
        <v>2367</v>
      </c>
      <c r="AD5" s="158" t="s">
        <v>160</v>
      </c>
      <c r="AE5" s="158" t="s">
        <v>184</v>
      </c>
      <c r="AF5" s="158" t="s">
        <v>159</v>
      </c>
      <c r="AG5" s="164" t="s">
        <v>149</v>
      </c>
      <c r="AH5" s="171" t="s">
        <v>149</v>
      </c>
      <c r="AI5" s="171" t="s">
        <v>149</v>
      </c>
      <c r="AJ5" s="153" t="s">
        <v>6047</v>
      </c>
      <c r="AK5" s="153" t="s">
        <v>184</v>
      </c>
      <c r="AL5" s="153" t="s">
        <v>6048</v>
      </c>
      <c r="AM5" s="153" t="s">
        <v>2371</v>
      </c>
      <c r="AN5" s="166" t="s">
        <v>149</v>
      </c>
      <c r="AO5" s="156">
        <v>1.0</v>
      </c>
      <c r="AP5" s="156" t="s">
        <v>6037</v>
      </c>
      <c r="AQ5" s="158" t="s">
        <v>166</v>
      </c>
      <c r="AR5" s="153" t="s">
        <v>2372</v>
      </c>
      <c r="AS5" s="172" t="s">
        <v>2373</v>
      </c>
      <c r="AT5" s="166" t="s">
        <v>149</v>
      </c>
      <c r="AU5" s="166" t="s">
        <v>149</v>
      </c>
    </row>
    <row r="6">
      <c r="A6" s="151">
        <v>3.0</v>
      </c>
      <c r="B6" s="152">
        <v>2023.0</v>
      </c>
      <c r="D6" s="152"/>
      <c r="E6" s="151">
        <v>3.0</v>
      </c>
      <c r="F6" s="129" t="s">
        <v>140</v>
      </c>
      <c r="G6" s="3" t="s">
        <v>6029</v>
      </c>
      <c r="H6" s="8" t="str">
        <f>IFERROR(__xludf.DUMMYFUNCTION("""COMPUTED_VALUE"""),"")</f>
        <v/>
      </c>
      <c r="I6" s="8" t="s">
        <v>6049</v>
      </c>
      <c r="J6" s="8" t="s">
        <v>143</v>
      </c>
      <c r="K6" s="8" t="s">
        <v>381</v>
      </c>
      <c r="L6" s="3" t="s">
        <v>6050</v>
      </c>
      <c r="M6" s="173" t="s">
        <v>383</v>
      </c>
      <c r="N6" s="8" t="s">
        <v>151</v>
      </c>
      <c r="O6" s="8" t="s">
        <v>384</v>
      </c>
      <c r="P6" s="8" t="s">
        <v>385</v>
      </c>
      <c r="Q6" s="174" t="s">
        <v>6051</v>
      </c>
      <c r="R6" s="142" t="s">
        <v>6052</v>
      </c>
      <c r="S6" s="142" t="s">
        <v>6053</v>
      </c>
      <c r="T6" s="8"/>
      <c r="U6" s="8">
        <f>IFERROR(__xludf.DUMMYFUNCTION("""COMPUTED_VALUE"""),4.0)</f>
        <v>4</v>
      </c>
      <c r="V6" s="8"/>
      <c r="W6" s="8"/>
      <c r="X6" s="8"/>
      <c r="Y6" s="8"/>
      <c r="AA6" s="8" t="s">
        <v>6054</v>
      </c>
      <c r="AB6" s="158" t="s">
        <v>149</v>
      </c>
      <c r="AC6" s="8" t="s">
        <v>390</v>
      </c>
      <c r="AG6" s="155" t="s">
        <v>149</v>
      </c>
      <c r="AH6" s="154" t="s">
        <v>149</v>
      </c>
      <c r="AI6" s="8" t="s">
        <v>391</v>
      </c>
      <c r="AJ6" s="8" t="s">
        <v>390</v>
      </c>
      <c r="AL6" s="8" t="s">
        <v>6055</v>
      </c>
      <c r="AN6" s="8" t="s">
        <v>6056</v>
      </c>
      <c r="AO6" s="8"/>
      <c r="AP6" s="8"/>
      <c r="AR6" s="8" t="s">
        <v>6057</v>
      </c>
      <c r="AS6" s="8" t="s">
        <v>2873</v>
      </c>
      <c r="AT6" s="8" t="s">
        <v>398</v>
      </c>
      <c r="AU6" s="154" t="s">
        <v>149</v>
      </c>
    </row>
    <row r="7">
      <c r="A7" s="151">
        <v>3.0</v>
      </c>
      <c r="B7" s="152">
        <v>2025.0</v>
      </c>
      <c r="C7" s="153" t="str">
        <f>CONCATENATE(D7, "-", M7, "-", A7)
</f>
        <v>2023-PH012812000-3</v>
      </c>
      <c r="D7" s="152">
        <f>IF(OR(F6="Published", F6="Unpublished"), 2023, IF(F6="New", 2025, ""))
</f>
        <v>2023</v>
      </c>
      <c r="E7" s="151">
        <v>3.0</v>
      </c>
      <c r="F7" s="156" t="s">
        <v>140</v>
      </c>
      <c r="G7" s="156" t="s">
        <v>141</v>
      </c>
      <c r="H7" s="153" t="str">
        <f>IFERROR(__xludf.DUMMYFUNCTION("""COMPUTED_VALUE"""),"**Year of establishment** changed from 1986 to 1986, **Partners_private** changed from to Unknown, **Reference** changed from Conference Proceediing to Balgos, M.C. (1995). Evaluation of artificial reef development in the Philippines. In Munro, J.L. &amp; Bal"&amp;"gos, M. (eds.) Artificial reefs in the Philippines. ICLARM Conf. Proc. 49, pp. 6-22., **Website** changed from http://pubs.iclarm.net/libinfo/Pdf/Pub%20CP6%2049.pdf to https://core.ac.uk/download/pdf/6515223.pdf; https://www.ircwash.org/sites/default/file"&amp;"s/802-PH90-8920.pdf")</f>
        <v>**Year of establishment** changed from 1986 to 1986, **Partners_private** changed from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7" s="153" t="s">
        <v>6049</v>
      </c>
      <c r="J7" s="153" t="s">
        <v>143</v>
      </c>
      <c r="K7" s="153" t="s">
        <v>381</v>
      </c>
      <c r="L7" s="153" t="s">
        <v>6058</v>
      </c>
      <c r="M7" s="157" t="s">
        <v>383</v>
      </c>
      <c r="N7" s="153" t="s">
        <v>151</v>
      </c>
      <c r="O7" s="153" t="s">
        <v>384</v>
      </c>
      <c r="P7" s="153" t="s">
        <v>385</v>
      </c>
      <c r="Q7" s="169">
        <v>1986.0</v>
      </c>
      <c r="R7" s="175" t="s">
        <v>6052</v>
      </c>
      <c r="S7" s="160" t="s">
        <v>6053</v>
      </c>
      <c r="T7" s="161" t="s">
        <v>150</v>
      </c>
      <c r="U7" s="153">
        <f>IFERROR(__xludf.DUMMYFUNCTION("""COMPUTED_VALUE"""),4.0)</f>
        <v>4</v>
      </c>
      <c r="V7" s="162" t="s">
        <v>3311</v>
      </c>
      <c r="W7" s="170" t="s">
        <v>6059</v>
      </c>
      <c r="Y7" s="28" t="s">
        <v>386</v>
      </c>
      <c r="Z7" s="176" t="s">
        <v>386</v>
      </c>
      <c r="AA7" s="153" t="s">
        <v>6054</v>
      </c>
      <c r="AB7" s="158" t="s">
        <v>149</v>
      </c>
      <c r="AC7" s="153" t="s">
        <v>390</v>
      </c>
      <c r="AD7" s="158" t="s">
        <v>160</v>
      </c>
      <c r="AE7" s="158" t="s">
        <v>6035</v>
      </c>
      <c r="AF7" s="158" t="s">
        <v>159</v>
      </c>
      <c r="AG7" s="164" t="s">
        <v>149</v>
      </c>
      <c r="AH7" s="158" t="s">
        <v>149</v>
      </c>
      <c r="AI7" s="153" t="s">
        <v>391</v>
      </c>
      <c r="AJ7" s="153" t="s">
        <v>390</v>
      </c>
      <c r="AK7" s="153" t="s">
        <v>6035</v>
      </c>
      <c r="AL7" s="153" t="s">
        <v>6055</v>
      </c>
      <c r="AM7" s="156" t="s">
        <v>149</v>
      </c>
      <c r="AN7" s="153" t="s">
        <v>6056</v>
      </c>
      <c r="AO7" s="156">
        <v>1.0</v>
      </c>
      <c r="AP7" s="156" t="s">
        <v>6037</v>
      </c>
      <c r="AQ7" s="158" t="s">
        <v>395</v>
      </c>
      <c r="AR7" s="153" t="s">
        <v>6060</v>
      </c>
      <c r="AS7" s="177" t="s">
        <v>397</v>
      </c>
      <c r="AT7" s="153" t="s">
        <v>398</v>
      </c>
      <c r="AU7" s="154" t="s">
        <v>149</v>
      </c>
    </row>
    <row r="8">
      <c r="A8" s="151">
        <v>4.0</v>
      </c>
      <c r="B8" s="152">
        <v>2023.0</v>
      </c>
      <c r="D8" s="152"/>
      <c r="E8" s="151">
        <v>4.0</v>
      </c>
      <c r="F8" s="129" t="s">
        <v>140</v>
      </c>
      <c r="G8" s="3" t="s">
        <v>6029</v>
      </c>
      <c r="H8" s="8" t="str">
        <f>IFERROR(__xludf.DUMMYFUNCTION("""COMPUTED_VALUE"""),"")</f>
        <v/>
      </c>
      <c r="I8" s="8" t="s">
        <v>6061</v>
      </c>
      <c r="J8" s="8" t="s">
        <v>143</v>
      </c>
      <c r="K8" s="8" t="s">
        <v>381</v>
      </c>
      <c r="L8" s="8" t="s">
        <v>1681</v>
      </c>
      <c r="M8" s="173" t="s">
        <v>1682</v>
      </c>
      <c r="N8" s="8" t="s">
        <v>6062</v>
      </c>
      <c r="O8" s="8" t="s">
        <v>1683</v>
      </c>
      <c r="Q8" s="154" t="s">
        <v>149</v>
      </c>
      <c r="R8" s="142" t="s">
        <v>6063</v>
      </c>
      <c r="S8" s="142" t="s">
        <v>6064</v>
      </c>
      <c r="T8" s="8"/>
      <c r="U8" s="8">
        <f>IFERROR(__xludf.DUMMYFUNCTION("""COMPUTED_VALUE"""),5.0)</f>
        <v>5</v>
      </c>
      <c r="V8" s="8"/>
      <c r="W8" s="8"/>
      <c r="X8" s="8"/>
      <c r="Y8" s="8"/>
      <c r="AA8" s="8" t="s">
        <v>320</v>
      </c>
      <c r="AB8" s="154" t="s">
        <v>149</v>
      </c>
      <c r="AC8" s="8" t="s">
        <v>321</v>
      </c>
      <c r="AG8" s="155" t="s">
        <v>149</v>
      </c>
      <c r="AH8" s="154" t="s">
        <v>149</v>
      </c>
      <c r="AI8" s="8" t="s">
        <v>1685</v>
      </c>
      <c r="AJ8" s="8" t="s">
        <v>1686</v>
      </c>
      <c r="AL8" s="154" t="s">
        <v>149</v>
      </c>
      <c r="AM8" s="154" t="s">
        <v>149</v>
      </c>
      <c r="AN8" s="154" t="s">
        <v>149</v>
      </c>
      <c r="AO8" s="8"/>
      <c r="AP8" s="8"/>
      <c r="AR8" s="154" t="s">
        <v>149</v>
      </c>
      <c r="AS8" s="154" t="s">
        <v>149</v>
      </c>
      <c r="AT8" s="154" t="s">
        <v>149</v>
      </c>
      <c r="AU8" s="154" t="s">
        <v>149</v>
      </c>
    </row>
    <row r="9">
      <c r="A9" s="151">
        <v>4.0</v>
      </c>
      <c r="B9" s="152">
        <v>2025.0</v>
      </c>
      <c r="C9" s="153" t="str">
        <f>CONCATENATE(D9, "-", M9, "-", A9)
</f>
        <v>2023-PH012815000-4</v>
      </c>
      <c r="D9" s="152">
        <f>IF(OR(F8="Published", F8="Unpublished"), 2023, IF(F8="New", 2025, ""))
</f>
        <v>2023</v>
      </c>
      <c r="E9" s="151">
        <v>4.0</v>
      </c>
      <c r="F9" s="156" t="s">
        <v>140</v>
      </c>
      <c r="G9" s="156" t="s">
        <v>141</v>
      </c>
      <c r="H9" s="153" t="str">
        <f>IFERROR(__xludf.DUMMYFUNCTION("""COMPUTED_VALUE"""),"**Restoration_project_short** changed from to Unknown, **Year of establishment** changed from Unknown to 2015, **Restoration objective** changed from Unknown to Reef restoration; field testing and innovating coral restoration techniques, **Reference** cha"&amp;"nged from Unknown to DOST-PCAARRD. (n.d.). DOST-PCAARRD National Corals Rehabilitation Program Briefer Report. , **Website** changed from Unknown to Report uploaded in the Google Drive")</f>
        <v>**Restoration_project_short** changed from to Unknown, **Year of establishment** changed from Unknown to 2015, **Restoration objective** changed from Unknown to Reef restoration; field testing and innovating coral restoration techniques, **Reference** changed from Unknown to DOST-PCAARRD. (n.d.). DOST-PCAARRD National Corals Rehabilitation Program Briefer Report. , **Website** changed from Unknown to Report uploaded in the Google Drive</v>
      </c>
      <c r="I9" s="153" t="s">
        <v>6065</v>
      </c>
      <c r="J9" s="153" t="s">
        <v>143</v>
      </c>
      <c r="K9" s="153" t="s">
        <v>381</v>
      </c>
      <c r="L9" s="153" t="s">
        <v>1681</v>
      </c>
      <c r="M9" s="157" t="s">
        <v>1682</v>
      </c>
      <c r="N9" s="153" t="s">
        <v>6062</v>
      </c>
      <c r="O9" s="153" t="s">
        <v>1683</v>
      </c>
      <c r="P9" s="156" t="s">
        <v>149</v>
      </c>
      <c r="Q9" s="178">
        <v>2015.0</v>
      </c>
      <c r="R9" s="142" t="s">
        <v>6063</v>
      </c>
      <c r="S9" s="175" t="s">
        <v>6064</v>
      </c>
      <c r="T9" s="156" t="s">
        <v>177</v>
      </c>
      <c r="U9" s="153">
        <f>IFERROR(__xludf.DUMMYFUNCTION("""COMPUTED_VALUE"""),6.0)</f>
        <v>6</v>
      </c>
      <c r="V9" s="156" t="s">
        <v>1359</v>
      </c>
      <c r="W9" s="179" t="s">
        <v>6066</v>
      </c>
      <c r="X9" s="180"/>
      <c r="Y9" s="180" t="s">
        <v>154</v>
      </c>
      <c r="Z9" s="158" t="s">
        <v>179</v>
      </c>
      <c r="AA9" s="153" t="s">
        <v>320</v>
      </c>
      <c r="AB9" s="158" t="s">
        <v>6067</v>
      </c>
      <c r="AC9" s="153" t="s">
        <v>321</v>
      </c>
      <c r="AD9" s="158" t="s">
        <v>160</v>
      </c>
      <c r="AE9" s="158" t="s">
        <v>6035</v>
      </c>
      <c r="AF9" s="158" t="s">
        <v>159</v>
      </c>
      <c r="AG9" s="164" t="s">
        <v>149</v>
      </c>
      <c r="AH9" s="158" t="s">
        <v>149</v>
      </c>
      <c r="AI9" s="153" t="s">
        <v>1685</v>
      </c>
      <c r="AJ9" s="153" t="s">
        <v>1686</v>
      </c>
      <c r="AK9" s="158" t="s">
        <v>6068</v>
      </c>
      <c r="AL9" s="154" t="s">
        <v>149</v>
      </c>
      <c r="AM9" s="154" t="s">
        <v>149</v>
      </c>
      <c r="AN9" s="154" t="s">
        <v>149</v>
      </c>
      <c r="AO9" s="156">
        <v>1.0</v>
      </c>
      <c r="AP9" s="156" t="s">
        <v>6037</v>
      </c>
      <c r="AQ9" s="158" t="s">
        <v>6069</v>
      </c>
      <c r="AR9" s="153" t="s">
        <v>1300</v>
      </c>
      <c r="AS9" s="153" t="s">
        <v>6070</v>
      </c>
      <c r="AT9" s="154" t="s">
        <v>149</v>
      </c>
      <c r="AU9" s="154" t="s">
        <v>149</v>
      </c>
    </row>
    <row r="10">
      <c r="A10" s="151">
        <v>5.0</v>
      </c>
      <c r="B10" s="152">
        <v>2023.0</v>
      </c>
      <c r="D10" s="152"/>
      <c r="E10" s="151">
        <v>5.0</v>
      </c>
      <c r="F10" s="129" t="s">
        <v>140</v>
      </c>
      <c r="G10" s="3" t="s">
        <v>6029</v>
      </c>
      <c r="H10" s="8" t="str">
        <f>IFERROR(__xludf.DUMMYFUNCTION("""COMPUTED_VALUE"""),"")</f>
        <v/>
      </c>
      <c r="I10" s="8" t="s">
        <v>6071</v>
      </c>
      <c r="J10" s="8" t="s">
        <v>143</v>
      </c>
      <c r="K10" s="8" t="s">
        <v>381</v>
      </c>
      <c r="L10" s="8" t="s">
        <v>400</v>
      </c>
      <c r="M10" s="153" t="s">
        <v>401</v>
      </c>
      <c r="N10" s="8" t="s">
        <v>151</v>
      </c>
      <c r="O10" s="8" t="s">
        <v>384</v>
      </c>
      <c r="P10" s="8" t="s">
        <v>402</v>
      </c>
      <c r="Q10" s="142" t="s">
        <v>6051</v>
      </c>
      <c r="R10" s="142" t="s">
        <v>6052</v>
      </c>
      <c r="S10" s="142" t="s">
        <v>6053</v>
      </c>
      <c r="T10" s="8"/>
      <c r="U10" s="8">
        <f>IFERROR(__xludf.DUMMYFUNCTION("""COMPUTED_VALUE"""),7.0)</f>
        <v>7</v>
      </c>
      <c r="V10" s="8"/>
      <c r="W10" s="8"/>
      <c r="X10" s="8"/>
      <c r="Y10" s="8"/>
      <c r="AA10" s="8" t="s">
        <v>6054</v>
      </c>
      <c r="AB10" s="154" t="s">
        <v>149</v>
      </c>
      <c r="AC10" s="8" t="s">
        <v>390</v>
      </c>
      <c r="AG10" s="155" t="s">
        <v>149</v>
      </c>
      <c r="AH10" s="154" t="s">
        <v>149</v>
      </c>
      <c r="AI10" s="8" t="s">
        <v>391</v>
      </c>
      <c r="AJ10" s="8" t="s">
        <v>390</v>
      </c>
      <c r="AL10" s="8" t="s">
        <v>6055</v>
      </c>
      <c r="AM10" s="154" t="s">
        <v>149</v>
      </c>
      <c r="AN10" s="154" t="s">
        <v>149</v>
      </c>
      <c r="AO10" s="8"/>
      <c r="AP10" s="8"/>
      <c r="AR10" s="8" t="s">
        <v>6057</v>
      </c>
      <c r="AS10" s="8" t="s">
        <v>2873</v>
      </c>
      <c r="AT10" s="8" t="s">
        <v>398</v>
      </c>
      <c r="AU10" s="154" t="s">
        <v>149</v>
      </c>
    </row>
    <row r="11">
      <c r="A11" s="151">
        <v>5.0</v>
      </c>
      <c r="B11" s="152">
        <v>2025.0</v>
      </c>
      <c r="C11" s="153" t="str">
        <f>CONCATENATE(D11, "-", M11, "-", A11)
</f>
        <v>2023-PH012817000-5</v>
      </c>
      <c r="D11" s="152">
        <f>IF(OR(F10="Published", F10="Unpublished"), 2023, IF(F10="New", 2025, ""))
</f>
        <v>2023</v>
      </c>
      <c r="E11" s="151">
        <v>5.0</v>
      </c>
      <c r="F11" s="156" t="s">
        <v>140</v>
      </c>
      <c r="G11" s="156" t="s">
        <v>141</v>
      </c>
      <c r="H11" s="153"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1" s="153" t="s">
        <v>6071</v>
      </c>
      <c r="J11" s="153" t="s">
        <v>143</v>
      </c>
      <c r="K11" s="153" t="s">
        <v>381</v>
      </c>
      <c r="L11" s="153" t="s">
        <v>400</v>
      </c>
      <c r="M11" s="157" t="s">
        <v>401</v>
      </c>
      <c r="N11" s="153" t="s">
        <v>151</v>
      </c>
      <c r="O11" s="153" t="s">
        <v>384</v>
      </c>
      <c r="P11" s="8" t="s">
        <v>402</v>
      </c>
      <c r="Q11" s="169">
        <v>1986.0</v>
      </c>
      <c r="R11" s="175" t="s">
        <v>6052</v>
      </c>
      <c r="S11" s="175" t="s">
        <v>6053</v>
      </c>
      <c r="T11" s="161" t="s">
        <v>150</v>
      </c>
      <c r="U11" s="153">
        <f>IFERROR(__xludf.DUMMYFUNCTION("""COMPUTED_VALUE"""),7.0)</f>
        <v>7</v>
      </c>
      <c r="V11" s="162" t="s">
        <v>3311</v>
      </c>
      <c r="W11" s="170" t="s">
        <v>6059</v>
      </c>
      <c r="Y11" s="28" t="s">
        <v>386</v>
      </c>
      <c r="Z11" s="176" t="s">
        <v>386</v>
      </c>
      <c r="AA11" s="153" t="s">
        <v>6054</v>
      </c>
      <c r="AB11" s="158" t="s">
        <v>149</v>
      </c>
      <c r="AC11" s="153" t="s">
        <v>390</v>
      </c>
      <c r="AD11" s="158" t="s">
        <v>160</v>
      </c>
      <c r="AE11" s="158" t="s">
        <v>6035</v>
      </c>
      <c r="AF11" s="158" t="s">
        <v>159</v>
      </c>
      <c r="AG11" s="164" t="s">
        <v>149</v>
      </c>
      <c r="AH11" s="158" t="s">
        <v>149</v>
      </c>
      <c r="AI11" s="153" t="s">
        <v>391</v>
      </c>
      <c r="AJ11" s="153" t="s">
        <v>390</v>
      </c>
      <c r="AK11" s="153" t="s">
        <v>6035</v>
      </c>
      <c r="AL11" s="153" t="s">
        <v>6055</v>
      </c>
      <c r="AM11" s="154" t="s">
        <v>149</v>
      </c>
      <c r="AN11" s="154" t="s">
        <v>149</v>
      </c>
      <c r="AO11" s="156">
        <v>1.0</v>
      </c>
      <c r="AP11" s="156" t="s">
        <v>6037</v>
      </c>
      <c r="AQ11" s="158" t="s">
        <v>395</v>
      </c>
      <c r="AR11" s="153" t="s">
        <v>6060</v>
      </c>
      <c r="AS11" s="177" t="s">
        <v>397</v>
      </c>
      <c r="AT11" s="153" t="s">
        <v>398</v>
      </c>
      <c r="AU11" s="154" t="s">
        <v>149</v>
      </c>
    </row>
    <row r="12">
      <c r="A12" s="151">
        <v>6.0</v>
      </c>
      <c r="B12" s="152">
        <v>2023.0</v>
      </c>
      <c r="D12" s="152"/>
      <c r="E12" s="151">
        <v>6.0</v>
      </c>
      <c r="F12" s="129" t="s">
        <v>140</v>
      </c>
      <c r="G12" s="3" t="s">
        <v>6029</v>
      </c>
      <c r="H12" s="8" t="str">
        <f>IFERROR(__xludf.DUMMYFUNCTION("""COMPUTED_VALUE"""),"")</f>
        <v/>
      </c>
      <c r="I12" s="8" t="s">
        <v>6072</v>
      </c>
      <c r="J12" s="8" t="s">
        <v>143</v>
      </c>
      <c r="K12" s="8" t="s">
        <v>404</v>
      </c>
      <c r="L12" s="8" t="s">
        <v>405</v>
      </c>
      <c r="M12" s="173" t="s">
        <v>406</v>
      </c>
      <c r="N12" s="8" t="s">
        <v>151</v>
      </c>
      <c r="O12" s="8" t="s">
        <v>384</v>
      </c>
      <c r="P12" s="8" t="s">
        <v>2836</v>
      </c>
      <c r="Q12" s="181" t="s">
        <v>6073</v>
      </c>
      <c r="R12" s="142" t="s">
        <v>6052</v>
      </c>
      <c r="S12" s="142" t="s">
        <v>6053</v>
      </c>
      <c r="T12" s="8"/>
      <c r="U12" s="8">
        <f>IFERROR(__xludf.DUMMYFUNCTION("""COMPUTED_VALUE"""),8.0)</f>
        <v>8</v>
      </c>
      <c r="V12" s="8"/>
      <c r="W12" s="8"/>
      <c r="X12" s="8"/>
      <c r="Y12" s="8"/>
      <c r="AA12" s="8" t="s">
        <v>605</v>
      </c>
      <c r="AB12" s="154" t="s">
        <v>149</v>
      </c>
      <c r="AC12" s="8" t="s">
        <v>390</v>
      </c>
      <c r="AG12" s="155" t="s">
        <v>149</v>
      </c>
      <c r="AH12" s="154" t="s">
        <v>149</v>
      </c>
      <c r="AI12" s="8" t="s">
        <v>6074</v>
      </c>
      <c r="AJ12" s="8" t="s">
        <v>390</v>
      </c>
      <c r="AL12" s="8" t="s">
        <v>6055</v>
      </c>
      <c r="AO12" s="8"/>
      <c r="AP12" s="8"/>
      <c r="AR12" s="8" t="s">
        <v>6057</v>
      </c>
      <c r="AS12" s="8" t="s">
        <v>2873</v>
      </c>
      <c r="AT12" s="8" t="s">
        <v>398</v>
      </c>
      <c r="AU12" s="154" t="s">
        <v>149</v>
      </c>
    </row>
    <row r="13">
      <c r="A13" s="151">
        <v>6.0</v>
      </c>
      <c r="B13" s="152">
        <v>2025.0</v>
      </c>
      <c r="C13" s="153" t="str">
        <f>CONCATENATE(D13, "-", M13, "-", A13)
</f>
        <v>2023-PH012905000-6</v>
      </c>
      <c r="D13" s="152">
        <f>IF(OR(F12="Published", F12="Unpublished"), 2023, IF(F12="New", 2025, ""))
</f>
        <v>2023</v>
      </c>
      <c r="E13" s="151">
        <v>6.0</v>
      </c>
      <c r="F13" s="156" t="s">
        <v>140</v>
      </c>
      <c r="G13" s="156" t="s">
        <v>141</v>
      </c>
      <c r="H13" s="153" t="str">
        <f>IFERROR(__xludf.DUMMYFUNCTION("""COMPUTED_VALUE"""),"**Year of establishment** changed from 1982 to 1982, **Partners_private** changed from to Unknown, **Partners_communities** changed from to Unknown, **Reference** changed from Conference Proceediing to Balgos, M.C. (1995). Evaluation of artificial reef de"&amp;"velopment in the Philippines. In Munro, J.L. &amp; Balgos, M. (eds.) Artificial reefs in the Philippines. ICLARM Conf. Proc. 49, pp. 6-22., **Website** changed from http://pubs.iclarm.net/libinfo/Pdf/Pub%20CP6%2049.pdf to https://core.ac.uk/download/pdf/65152"&amp;"23.pdf; https://www.ircwash.org/sites/default/files/802-PH90-8920.pdf")</f>
        <v>**Year of establishment** changed from 1982 to 1982, **Partners_private** changed from to Unknown, **Partners_communities** changed from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3" s="153" t="s">
        <v>6072</v>
      </c>
      <c r="J13" s="153" t="s">
        <v>143</v>
      </c>
      <c r="K13" s="153" t="s">
        <v>404</v>
      </c>
      <c r="L13" s="153" t="s">
        <v>405</v>
      </c>
      <c r="M13" s="157" t="s">
        <v>406</v>
      </c>
      <c r="N13" s="153" t="s">
        <v>151</v>
      </c>
      <c r="O13" s="153" t="s">
        <v>384</v>
      </c>
      <c r="P13" s="153" t="s">
        <v>2836</v>
      </c>
      <c r="Q13" s="169">
        <v>1982.0</v>
      </c>
      <c r="R13" s="175" t="s">
        <v>6052</v>
      </c>
      <c r="S13" s="175" t="s">
        <v>6053</v>
      </c>
      <c r="T13" s="161" t="s">
        <v>150</v>
      </c>
      <c r="U13" s="153">
        <f>IFERROR(__xludf.DUMMYFUNCTION("""COMPUTED_VALUE"""),8.0)</f>
        <v>8</v>
      </c>
      <c r="V13" s="162" t="s">
        <v>3311</v>
      </c>
      <c r="W13" s="170" t="s">
        <v>6075</v>
      </c>
      <c r="X13" s="28" t="s">
        <v>604</v>
      </c>
      <c r="Y13" s="28" t="s">
        <v>605</v>
      </c>
      <c r="Z13" s="176" t="s">
        <v>605</v>
      </c>
      <c r="AA13" s="153" t="s">
        <v>6076</v>
      </c>
      <c r="AB13" s="158" t="s">
        <v>149</v>
      </c>
      <c r="AC13" s="153" t="s">
        <v>390</v>
      </c>
      <c r="AD13" s="158" t="s">
        <v>160</v>
      </c>
      <c r="AE13" s="158" t="s">
        <v>6035</v>
      </c>
      <c r="AF13" s="158" t="s">
        <v>159</v>
      </c>
      <c r="AG13" s="164" t="s">
        <v>149</v>
      </c>
      <c r="AH13" s="158" t="s">
        <v>149</v>
      </c>
      <c r="AI13" s="8" t="s">
        <v>6074</v>
      </c>
      <c r="AJ13" s="153" t="s">
        <v>390</v>
      </c>
      <c r="AK13" s="153" t="s">
        <v>6035</v>
      </c>
      <c r="AL13" s="153" t="s">
        <v>6055</v>
      </c>
      <c r="AM13" s="156" t="s">
        <v>149</v>
      </c>
      <c r="AN13" s="156" t="s">
        <v>149</v>
      </c>
      <c r="AO13" s="156">
        <v>1.0</v>
      </c>
      <c r="AP13" s="156" t="s">
        <v>6037</v>
      </c>
      <c r="AQ13" s="158" t="s">
        <v>395</v>
      </c>
      <c r="AR13" s="153" t="s">
        <v>6060</v>
      </c>
      <c r="AS13" s="177" t="s">
        <v>397</v>
      </c>
      <c r="AT13" s="153" t="s">
        <v>398</v>
      </c>
      <c r="AU13" s="154" t="s">
        <v>149</v>
      </c>
    </row>
    <row r="14">
      <c r="A14" s="151">
        <v>7.0</v>
      </c>
      <c r="B14" s="152">
        <v>2023.0</v>
      </c>
      <c r="D14" s="152"/>
      <c r="E14" s="151">
        <v>7.0</v>
      </c>
      <c r="F14" s="129" t="s">
        <v>140</v>
      </c>
      <c r="G14" s="3" t="s">
        <v>6029</v>
      </c>
      <c r="H14" s="8" t="str">
        <f>IFERROR(__xludf.DUMMYFUNCTION("""COMPUTED_VALUE"""),"")</f>
        <v/>
      </c>
      <c r="I14" s="8" t="s">
        <v>6077</v>
      </c>
      <c r="J14" s="8" t="s">
        <v>143</v>
      </c>
      <c r="K14" s="8" t="s">
        <v>404</v>
      </c>
      <c r="L14" s="8" t="s">
        <v>405</v>
      </c>
      <c r="M14" s="153" t="s">
        <v>406</v>
      </c>
      <c r="N14" s="8" t="s">
        <v>151</v>
      </c>
      <c r="O14" s="8" t="s">
        <v>384</v>
      </c>
      <c r="P14" s="8" t="s">
        <v>2836</v>
      </c>
      <c r="Q14" s="181" t="s">
        <v>6078</v>
      </c>
      <c r="R14" s="143" t="s">
        <v>149</v>
      </c>
      <c r="S14" s="143" t="s">
        <v>149</v>
      </c>
      <c r="T14" s="8"/>
      <c r="U14" s="8">
        <f>IFERROR(__xludf.DUMMYFUNCTION("""COMPUTED_VALUE"""),9.0)</f>
        <v>9</v>
      </c>
      <c r="V14" s="8"/>
      <c r="W14" s="8"/>
      <c r="X14" s="8"/>
      <c r="Y14" s="8"/>
      <c r="AA14" s="8" t="s">
        <v>6079</v>
      </c>
      <c r="AB14" s="143" t="s">
        <v>149</v>
      </c>
      <c r="AC14" s="8" t="s">
        <v>390</v>
      </c>
      <c r="AG14" s="143" t="s">
        <v>149</v>
      </c>
      <c r="AH14" s="143" t="s">
        <v>149</v>
      </c>
      <c r="AI14" s="8" t="s">
        <v>2843</v>
      </c>
      <c r="AJ14" s="8" t="s">
        <v>390</v>
      </c>
      <c r="AL14" s="8" t="s">
        <v>6055</v>
      </c>
      <c r="AO14" s="8"/>
      <c r="AP14" s="8"/>
      <c r="AR14" s="143" t="s">
        <v>149</v>
      </c>
      <c r="AS14" s="172" t="s">
        <v>6080</v>
      </c>
      <c r="AT14" s="143" t="s">
        <v>149</v>
      </c>
      <c r="AU14" s="143" t="s">
        <v>149</v>
      </c>
    </row>
    <row r="15">
      <c r="A15" s="151">
        <v>7.0</v>
      </c>
      <c r="B15" s="152">
        <v>2025.0</v>
      </c>
      <c r="C15" s="153" t="str">
        <f>CONCATENATE(D15, "-", M15, "-", A15)
</f>
        <v>2023-PH012905000-7</v>
      </c>
      <c r="D15" s="152">
        <f>IF(OR(F14="Published", F14="Unpublished"), 2023, IF(F14="New", 2025, ""))
</f>
        <v>2023</v>
      </c>
      <c r="E15" s="151">
        <v>7.0</v>
      </c>
      <c r="F15" s="156" t="s">
        <v>140</v>
      </c>
      <c r="G15" s="156" t="s">
        <v>141</v>
      </c>
      <c r="H15" s="153" t="str">
        <f>IFERROR(__xludf.DUMMYFUNCTION("""COMPUTED_VALUE"""),"**Year of establishment** changed from 1983 to 1983, **Project Start** changed from Unknown to 1985, **Project End** changed from Unknown to 1987, **Partners_private** changed from to Unknown, **Partners_communities** changed from to Unknown, **Reference*"&amp;"* changed from Unknown to DENR-BMB (1990). The Philippine Environment in the Eighties. Department of Environment and Natural Resources-Biodiversity Management Bureau. https://www.ircwash.org/sites/default/files/802-PH90-8920.pdf")</f>
        <v>**Year of establishment** changed from 1983 to 1983, **Project Start** changed from Unknown to 1985, **Project End** changed from Unknown to 1987, **Partners_private** changed from to Unknown, **Partners_communities** changed from to Unknown, **Reference** changed from Unknown to DENR-BMB (1990). The Philippine Environment in the Eighties. Department of Environment and Natural Resources-Biodiversity Management Bureau. https://www.ircwash.org/sites/default/files/802-PH90-8920.pdf</v>
      </c>
      <c r="I15" s="153" t="s">
        <v>6077</v>
      </c>
      <c r="J15" s="153" t="s">
        <v>143</v>
      </c>
      <c r="K15" s="153" t="s">
        <v>404</v>
      </c>
      <c r="L15" s="153" t="s">
        <v>405</v>
      </c>
      <c r="M15" s="157" t="s">
        <v>406</v>
      </c>
      <c r="N15" s="153" t="s">
        <v>151</v>
      </c>
      <c r="O15" s="153" t="s">
        <v>384</v>
      </c>
      <c r="P15" s="153" t="s">
        <v>2836</v>
      </c>
      <c r="Q15" s="182">
        <v>1983.0</v>
      </c>
      <c r="R15" s="160" t="s">
        <v>6052</v>
      </c>
      <c r="S15" s="160" t="s">
        <v>6053</v>
      </c>
      <c r="T15" s="161" t="s">
        <v>150</v>
      </c>
      <c r="U15" s="153">
        <f>IFERROR(__xludf.DUMMYFUNCTION("""COMPUTED_VALUE"""),9.0)</f>
        <v>9</v>
      </c>
      <c r="V15" s="162" t="s">
        <v>3311</v>
      </c>
      <c r="W15" s="170" t="s">
        <v>6081</v>
      </c>
      <c r="X15" s="28" t="s">
        <v>6082</v>
      </c>
      <c r="Y15" s="32" t="s">
        <v>6083</v>
      </c>
      <c r="Z15" s="158" t="s">
        <v>6079</v>
      </c>
      <c r="AA15" s="153" t="s">
        <v>6079</v>
      </c>
      <c r="AB15" s="158" t="s">
        <v>149</v>
      </c>
      <c r="AC15" s="153" t="s">
        <v>390</v>
      </c>
      <c r="AD15" s="158" t="s">
        <v>160</v>
      </c>
      <c r="AE15" s="158" t="s">
        <v>6035</v>
      </c>
      <c r="AF15" s="158" t="s">
        <v>159</v>
      </c>
      <c r="AG15" s="164" t="s">
        <v>149</v>
      </c>
      <c r="AH15" s="158" t="s">
        <v>149</v>
      </c>
      <c r="AI15" s="158" t="s">
        <v>2843</v>
      </c>
      <c r="AJ15" s="153" t="s">
        <v>390</v>
      </c>
      <c r="AK15" s="153" t="s">
        <v>6035</v>
      </c>
      <c r="AL15" s="153" t="s">
        <v>6055</v>
      </c>
      <c r="AM15" s="156" t="s">
        <v>149</v>
      </c>
      <c r="AN15" s="156" t="s">
        <v>149</v>
      </c>
      <c r="AO15" s="156">
        <v>1.0</v>
      </c>
      <c r="AP15" s="156" t="s">
        <v>6037</v>
      </c>
      <c r="AQ15" s="153" t="s">
        <v>6084</v>
      </c>
      <c r="AR15" s="153" t="s">
        <v>6085</v>
      </c>
      <c r="AS15" s="165" t="s">
        <v>6080</v>
      </c>
      <c r="AT15" s="143" t="s">
        <v>149</v>
      </c>
      <c r="AU15" s="143" t="s">
        <v>149</v>
      </c>
    </row>
    <row r="16">
      <c r="A16" s="151">
        <v>8.0</v>
      </c>
      <c r="B16" s="152">
        <v>2023.0</v>
      </c>
      <c r="D16" s="152"/>
      <c r="E16" s="151">
        <v>8.0</v>
      </c>
      <c r="F16" s="129" t="s">
        <v>140</v>
      </c>
      <c r="G16" s="3" t="s">
        <v>6029</v>
      </c>
      <c r="H16" s="8" t="str">
        <f>IFERROR(__xludf.DUMMYFUNCTION("""COMPUTED_VALUE"""),"")</f>
        <v/>
      </c>
      <c r="I16" s="8" t="s">
        <v>6086</v>
      </c>
      <c r="J16" s="8" t="s">
        <v>143</v>
      </c>
      <c r="K16" s="8" t="s">
        <v>404</v>
      </c>
      <c r="L16" s="8" t="s">
        <v>405</v>
      </c>
      <c r="M16" s="153" t="s">
        <v>406</v>
      </c>
      <c r="N16" s="8" t="s">
        <v>151</v>
      </c>
      <c r="O16" s="8" t="s">
        <v>384</v>
      </c>
      <c r="P16" s="8" t="s">
        <v>407</v>
      </c>
      <c r="Q16" s="142" t="s">
        <v>6051</v>
      </c>
      <c r="R16" s="142" t="s">
        <v>6052</v>
      </c>
      <c r="S16" s="142" t="s">
        <v>6053</v>
      </c>
      <c r="T16" s="8"/>
      <c r="U16" s="8">
        <f>IFERROR(__xludf.DUMMYFUNCTION("""COMPUTED_VALUE"""),10.0)</f>
        <v>10</v>
      </c>
      <c r="V16" s="8"/>
      <c r="W16" s="8"/>
      <c r="X16" s="8"/>
      <c r="Y16" s="8"/>
      <c r="AA16" s="8" t="s">
        <v>6054</v>
      </c>
      <c r="AB16" s="143" t="s">
        <v>149</v>
      </c>
      <c r="AC16" s="8" t="s">
        <v>390</v>
      </c>
      <c r="AG16" s="143" t="s">
        <v>149</v>
      </c>
      <c r="AH16" s="143" t="s">
        <v>149</v>
      </c>
      <c r="AI16" s="8" t="s">
        <v>391</v>
      </c>
      <c r="AJ16" s="8" t="s">
        <v>390</v>
      </c>
      <c r="AL16" s="8" t="s">
        <v>6055</v>
      </c>
      <c r="AM16" s="143" t="s">
        <v>149</v>
      </c>
      <c r="AN16" s="143" t="s">
        <v>149</v>
      </c>
      <c r="AO16" s="8"/>
      <c r="AP16" s="8"/>
      <c r="AR16" s="8" t="s">
        <v>6057</v>
      </c>
      <c r="AS16" s="8" t="s">
        <v>2873</v>
      </c>
      <c r="AT16" s="8" t="s">
        <v>398</v>
      </c>
      <c r="AU16" s="143" t="s">
        <v>149</v>
      </c>
    </row>
    <row r="17">
      <c r="A17" s="151">
        <v>8.0</v>
      </c>
      <c r="B17" s="152">
        <v>2025.0</v>
      </c>
      <c r="C17" s="153" t="str">
        <f>CONCATENATE(D17, "-", M17, "-", A17)
</f>
        <v>2023-PH012905000-8</v>
      </c>
      <c r="D17" s="152">
        <f>IF(OR(F16="Published", F16="Unpublished"), 2023, IF(F16="New", 2025, ""))
</f>
        <v>2023</v>
      </c>
      <c r="E17" s="151">
        <v>8.0</v>
      </c>
      <c r="F17" s="156" t="s">
        <v>140</v>
      </c>
      <c r="G17" s="156" t="s">
        <v>141</v>
      </c>
      <c r="H17" s="153"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7" s="153" t="s">
        <v>6086</v>
      </c>
      <c r="J17" s="153" t="s">
        <v>143</v>
      </c>
      <c r="K17" s="153" t="s">
        <v>404</v>
      </c>
      <c r="L17" s="153" t="s">
        <v>405</v>
      </c>
      <c r="M17" s="181" t="s">
        <v>406</v>
      </c>
      <c r="N17" s="153" t="s">
        <v>151</v>
      </c>
      <c r="O17" s="153" t="s">
        <v>384</v>
      </c>
      <c r="P17" s="153" t="s">
        <v>407</v>
      </c>
      <c r="Q17" s="169">
        <v>1986.0</v>
      </c>
      <c r="R17" s="175" t="s">
        <v>6052</v>
      </c>
      <c r="S17" s="175" t="s">
        <v>6053</v>
      </c>
      <c r="T17" s="161" t="s">
        <v>150</v>
      </c>
      <c r="U17" s="153">
        <f>IFERROR(__xludf.DUMMYFUNCTION("""COMPUTED_VALUE"""),10.0)</f>
        <v>10</v>
      </c>
      <c r="V17" s="162" t="s">
        <v>3311</v>
      </c>
      <c r="W17" s="170" t="s">
        <v>6059</v>
      </c>
      <c r="Y17" s="28" t="s">
        <v>386</v>
      </c>
      <c r="Z17" s="176" t="s">
        <v>386</v>
      </c>
      <c r="AA17" s="153" t="s">
        <v>6054</v>
      </c>
      <c r="AB17" s="158" t="s">
        <v>149</v>
      </c>
      <c r="AC17" s="153" t="s">
        <v>390</v>
      </c>
      <c r="AD17" s="158" t="s">
        <v>160</v>
      </c>
      <c r="AE17" s="158" t="s">
        <v>6035</v>
      </c>
      <c r="AF17" s="158" t="s">
        <v>159</v>
      </c>
      <c r="AG17" s="164" t="s">
        <v>149</v>
      </c>
      <c r="AH17" s="158" t="s">
        <v>149</v>
      </c>
      <c r="AI17" s="153" t="s">
        <v>391</v>
      </c>
      <c r="AJ17" s="153" t="s">
        <v>390</v>
      </c>
      <c r="AK17" s="153" t="s">
        <v>6035</v>
      </c>
      <c r="AL17" s="153" t="s">
        <v>6055</v>
      </c>
      <c r="AM17" s="143" t="s">
        <v>149</v>
      </c>
      <c r="AN17" s="143" t="s">
        <v>149</v>
      </c>
      <c r="AO17" s="156">
        <v>1.0</v>
      </c>
      <c r="AP17" s="156" t="s">
        <v>6037</v>
      </c>
      <c r="AQ17" s="158" t="s">
        <v>395</v>
      </c>
      <c r="AR17" s="153" t="s">
        <v>6060</v>
      </c>
      <c r="AS17" s="177" t="s">
        <v>397</v>
      </c>
      <c r="AT17" s="153" t="s">
        <v>398</v>
      </c>
      <c r="AU17" s="143" t="s">
        <v>149</v>
      </c>
    </row>
    <row r="18">
      <c r="A18" s="151">
        <v>9.0</v>
      </c>
      <c r="B18" s="152">
        <v>2023.0</v>
      </c>
      <c r="D18" s="152"/>
      <c r="E18" s="151">
        <v>9.0</v>
      </c>
      <c r="F18" s="129" t="s">
        <v>140</v>
      </c>
      <c r="G18" s="3" t="s">
        <v>6029</v>
      </c>
      <c r="H18" s="8" t="str">
        <f>IFERROR(__xludf.DUMMYFUNCTION("""COMPUTED_VALUE"""),"")</f>
        <v/>
      </c>
      <c r="I18" s="8" t="s">
        <v>6087</v>
      </c>
      <c r="J18" s="8" t="s">
        <v>143</v>
      </c>
      <c r="K18" s="8" t="s">
        <v>404</v>
      </c>
      <c r="L18" s="8" t="s">
        <v>405</v>
      </c>
      <c r="M18" s="153" t="s">
        <v>406</v>
      </c>
      <c r="N18" s="8" t="s">
        <v>151</v>
      </c>
      <c r="O18" s="8" t="s">
        <v>384</v>
      </c>
      <c r="P18" s="8" t="s">
        <v>409</v>
      </c>
      <c r="Q18" s="142" t="s">
        <v>6051</v>
      </c>
      <c r="R18" s="142" t="s">
        <v>6052</v>
      </c>
      <c r="S18" s="142" t="s">
        <v>6053</v>
      </c>
      <c r="T18" s="8"/>
      <c r="U18" s="8">
        <f>IFERROR(__xludf.DUMMYFUNCTION("""COMPUTED_VALUE"""),11.0)</f>
        <v>11</v>
      </c>
      <c r="V18" s="8"/>
      <c r="W18" s="8"/>
      <c r="X18" s="8"/>
      <c r="Y18" s="8"/>
      <c r="AA18" s="8" t="s">
        <v>6054</v>
      </c>
      <c r="AB18" s="143" t="s">
        <v>149</v>
      </c>
      <c r="AC18" s="8" t="s">
        <v>390</v>
      </c>
      <c r="AG18" s="143" t="s">
        <v>149</v>
      </c>
      <c r="AH18" s="143" t="s">
        <v>149</v>
      </c>
      <c r="AI18" s="8" t="s">
        <v>391</v>
      </c>
      <c r="AJ18" s="8" t="s">
        <v>390</v>
      </c>
      <c r="AL18" s="8" t="s">
        <v>6055</v>
      </c>
      <c r="AM18" s="143" t="s">
        <v>149</v>
      </c>
      <c r="AN18" s="8" t="s">
        <v>6056</v>
      </c>
      <c r="AO18" s="8"/>
      <c r="AP18" s="8"/>
      <c r="AR18" s="8" t="s">
        <v>6057</v>
      </c>
      <c r="AS18" s="8" t="s">
        <v>2873</v>
      </c>
      <c r="AT18" s="8" t="s">
        <v>398</v>
      </c>
      <c r="AU18" s="143" t="s">
        <v>149</v>
      </c>
    </row>
    <row r="19">
      <c r="A19" s="151">
        <v>9.0</v>
      </c>
      <c r="B19" s="152">
        <v>2025.0</v>
      </c>
      <c r="C19" s="153" t="str">
        <f>CONCATENATE(D19, "-", M19, "-", A19)
</f>
        <v>2023-PH012905000-9</v>
      </c>
      <c r="D19" s="152">
        <f>IF(OR(F18="Published", F18="Unpublished"), 2023, IF(F18="New", 2025, ""))
</f>
        <v>2023</v>
      </c>
      <c r="E19" s="151">
        <v>9.0</v>
      </c>
      <c r="F19" s="156" t="s">
        <v>140</v>
      </c>
      <c r="G19" s="156" t="s">
        <v>141</v>
      </c>
      <c r="H19" s="153"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19" s="153" t="s">
        <v>6087</v>
      </c>
      <c r="J19" s="153" t="s">
        <v>143</v>
      </c>
      <c r="K19" s="153" t="s">
        <v>404</v>
      </c>
      <c r="L19" s="153" t="s">
        <v>405</v>
      </c>
      <c r="M19" s="181" t="s">
        <v>406</v>
      </c>
      <c r="N19" s="153" t="s">
        <v>151</v>
      </c>
      <c r="O19" s="153" t="s">
        <v>384</v>
      </c>
      <c r="P19" s="153" t="s">
        <v>409</v>
      </c>
      <c r="Q19" s="169">
        <v>1986.0</v>
      </c>
      <c r="R19" s="175" t="s">
        <v>6052</v>
      </c>
      <c r="S19" s="175" t="s">
        <v>6053</v>
      </c>
      <c r="T19" s="161" t="s">
        <v>150</v>
      </c>
      <c r="U19" s="153">
        <f>IFERROR(__xludf.DUMMYFUNCTION("""COMPUTED_VALUE"""),11.0)</f>
        <v>11</v>
      </c>
      <c r="V19" s="162" t="s">
        <v>3311</v>
      </c>
      <c r="W19" s="170" t="s">
        <v>6059</v>
      </c>
      <c r="Y19" s="28" t="s">
        <v>386</v>
      </c>
      <c r="Z19" s="176" t="s">
        <v>386</v>
      </c>
      <c r="AA19" s="153" t="s">
        <v>6054</v>
      </c>
      <c r="AB19" s="158" t="s">
        <v>149</v>
      </c>
      <c r="AC19" s="153" t="s">
        <v>390</v>
      </c>
      <c r="AD19" s="158" t="s">
        <v>160</v>
      </c>
      <c r="AE19" s="158" t="s">
        <v>6035</v>
      </c>
      <c r="AF19" s="158" t="s">
        <v>159</v>
      </c>
      <c r="AG19" s="164" t="s">
        <v>149</v>
      </c>
      <c r="AH19" s="158" t="s">
        <v>149</v>
      </c>
      <c r="AI19" s="153" t="s">
        <v>391</v>
      </c>
      <c r="AJ19" s="153" t="s">
        <v>390</v>
      </c>
      <c r="AK19" s="153" t="s">
        <v>6035</v>
      </c>
      <c r="AL19" s="153" t="s">
        <v>6055</v>
      </c>
      <c r="AM19" s="143" t="s">
        <v>149</v>
      </c>
      <c r="AN19" s="153" t="s">
        <v>6056</v>
      </c>
      <c r="AO19" s="156">
        <v>1.0</v>
      </c>
      <c r="AP19" s="156" t="s">
        <v>6037</v>
      </c>
      <c r="AQ19" s="158" t="s">
        <v>395</v>
      </c>
      <c r="AR19" s="153" t="s">
        <v>6060</v>
      </c>
      <c r="AS19" s="177" t="s">
        <v>397</v>
      </c>
      <c r="AT19" s="153" t="s">
        <v>398</v>
      </c>
      <c r="AU19" s="143" t="s">
        <v>149</v>
      </c>
    </row>
    <row r="20">
      <c r="A20" s="151">
        <v>10.0</v>
      </c>
      <c r="B20" s="152">
        <v>2023.0</v>
      </c>
      <c r="D20" s="152"/>
      <c r="E20" s="151">
        <v>10.0</v>
      </c>
      <c r="F20" s="129" t="s">
        <v>140</v>
      </c>
      <c r="G20" s="3" t="s">
        <v>6029</v>
      </c>
      <c r="H20" s="8" t="str">
        <f>IFERROR(__xludf.DUMMYFUNCTION("""COMPUTED_VALUE"""),"")</f>
        <v/>
      </c>
      <c r="I20" s="8" t="s">
        <v>6088</v>
      </c>
      <c r="J20" s="8" t="s">
        <v>143</v>
      </c>
      <c r="K20" s="8" t="s">
        <v>404</v>
      </c>
      <c r="L20" s="8" t="s">
        <v>405</v>
      </c>
      <c r="M20" s="153" t="s">
        <v>406</v>
      </c>
      <c r="N20" s="8" t="s">
        <v>151</v>
      </c>
      <c r="O20" s="154" t="s">
        <v>149</v>
      </c>
      <c r="P20" s="154" t="s">
        <v>149</v>
      </c>
      <c r="Q20" s="142" t="s">
        <v>6089</v>
      </c>
      <c r="R20" s="154" t="s">
        <v>149</v>
      </c>
      <c r="S20" s="154" t="s">
        <v>149</v>
      </c>
      <c r="T20" s="8"/>
      <c r="U20" s="8">
        <f>IFERROR(__xludf.DUMMYFUNCTION("""COMPUTED_VALUE"""),12.0)</f>
        <v>12</v>
      </c>
      <c r="V20" s="8"/>
      <c r="W20" s="154"/>
      <c r="X20" s="8"/>
      <c r="Y20" s="8"/>
      <c r="AA20" s="154" t="s">
        <v>149</v>
      </c>
      <c r="AB20" s="154" t="s">
        <v>149</v>
      </c>
      <c r="AC20" s="154" t="s">
        <v>149</v>
      </c>
      <c r="AG20" s="155" t="s">
        <v>149</v>
      </c>
      <c r="AH20" s="154" t="s">
        <v>149</v>
      </c>
      <c r="AI20" s="154" t="s">
        <v>149</v>
      </c>
      <c r="AJ20" s="154" t="s">
        <v>149</v>
      </c>
      <c r="AL20" s="154" t="s">
        <v>149</v>
      </c>
      <c r="AM20" s="154" t="s">
        <v>149</v>
      </c>
      <c r="AN20" s="154" t="s">
        <v>149</v>
      </c>
      <c r="AO20" s="8"/>
      <c r="AP20" s="8"/>
      <c r="AR20" s="154" t="s">
        <v>149</v>
      </c>
      <c r="AS20" s="154" t="s">
        <v>149</v>
      </c>
      <c r="AT20" s="154" t="s">
        <v>149</v>
      </c>
      <c r="AU20" s="154" t="s">
        <v>149</v>
      </c>
      <c r="AV20" s="154"/>
    </row>
    <row r="21">
      <c r="A21" s="151">
        <v>10.0</v>
      </c>
      <c r="B21" s="152">
        <v>2025.0</v>
      </c>
      <c r="C21" s="153" t="str">
        <f>CONCATENATE(D21, "-", M21, "-", A21)
</f>
        <v>2023-PH012905000-10</v>
      </c>
      <c r="D21" s="152">
        <f>IF(OR(F20="Published", F20="Unpublished"), 2023, IF(F20="New", 2025, ""))
</f>
        <v>2023</v>
      </c>
      <c r="E21" s="151">
        <v>10.0</v>
      </c>
      <c r="F21" s="156" t="s">
        <v>140</v>
      </c>
      <c r="G21" s="156" t="s">
        <v>141</v>
      </c>
      <c r="H21" s="153" t="str">
        <f>IFERROR(__xludf.DUMMYFUNCTION("""COMPUTED_VALUE"""),"**Restoration_project_short** changed from Unknown to Site in Brgy Daplacan, **Year of establishment** changed from 2013 to 2013, **Technique/Material Type** changed from Unknown to Concrete tripod, **Funding agency** changed from Unknown to BFAR, **Imple"&amp;"menting institution** changed from Unknown to BFAR, **Partners_public** changed from Unknown to MLGU, **Reference** changed from Unknown to LGU Cabugao (2013). Artificial reef, naitapog para iti 2 a coastal barangay. http://lgucabugao.blogspot.com/2013/06"&amp;"/artificial-reef-naitapog-para-iti-2.html, **Website** changed from Unknown to http://lgucabugao.blogspot.com/2013/06/artificial-reef-naitapog-para-iti-2.html")</f>
        <v>**Restoration_project_short** changed from Unknown to Site in Brgy Daplacan, **Year of establishment** changed from 2013 to 2013, **Technique/Material Type** changed from Unknown to Concrete tripod, **Funding agency** changed from Unknown to BFAR, **Implementing institution** changed from Unknown to BFAR, **Partners_public** changed from Unknown to MLGU, **Reference** changed from Unknown to LGU Cabugao (2013). Artificial reef, naitapog para iti 2 a coastal barangay. http://lgucabugao.blogspot.com/2013/06/artificial-reef-naitapog-para-iti-2.html, **Website** changed from Unknown to http://lgucabugao.blogspot.com/2013/06/artificial-reef-naitapog-para-iti-2.html</v>
      </c>
      <c r="I21" s="153" t="s">
        <v>6088</v>
      </c>
      <c r="J21" s="153" t="s">
        <v>143</v>
      </c>
      <c r="K21" s="153" t="s">
        <v>404</v>
      </c>
      <c r="L21" s="153" t="s">
        <v>405</v>
      </c>
      <c r="M21" s="181" t="s">
        <v>406</v>
      </c>
      <c r="N21" s="153" t="s">
        <v>151</v>
      </c>
      <c r="O21" s="183" t="s">
        <v>149</v>
      </c>
      <c r="P21" s="153" t="s">
        <v>6090</v>
      </c>
      <c r="Q21" s="169">
        <v>2013.0</v>
      </c>
      <c r="R21" s="160" t="s">
        <v>149</v>
      </c>
      <c r="S21" s="160" t="s">
        <v>149</v>
      </c>
      <c r="T21" s="161" t="s">
        <v>150</v>
      </c>
      <c r="U21" s="153">
        <f>IFERROR(__xludf.DUMMYFUNCTION("""COMPUTED_VALUE"""),12.0)</f>
        <v>12</v>
      </c>
      <c r="V21" s="162" t="s">
        <v>3311</v>
      </c>
      <c r="W21" s="184" t="s">
        <v>6032</v>
      </c>
      <c r="X21" s="28" t="s">
        <v>6033</v>
      </c>
      <c r="Y21" s="32" t="s">
        <v>153</v>
      </c>
      <c r="Z21" s="158" t="s">
        <v>153</v>
      </c>
      <c r="AA21" s="158" t="s">
        <v>153</v>
      </c>
      <c r="AB21" s="158" t="s">
        <v>149</v>
      </c>
      <c r="AC21" s="158" t="s">
        <v>390</v>
      </c>
      <c r="AD21" s="158" t="s">
        <v>160</v>
      </c>
      <c r="AE21" s="158" t="s">
        <v>6035</v>
      </c>
      <c r="AF21" s="158" t="s">
        <v>159</v>
      </c>
      <c r="AG21" s="164" t="s">
        <v>149</v>
      </c>
      <c r="AH21" s="158" t="s">
        <v>149</v>
      </c>
      <c r="AI21" s="158" t="s">
        <v>149</v>
      </c>
      <c r="AJ21" s="158" t="s">
        <v>390</v>
      </c>
      <c r="AK21" s="153" t="s">
        <v>6035</v>
      </c>
      <c r="AL21" s="158" t="s">
        <v>369</v>
      </c>
      <c r="AM21" s="154" t="s">
        <v>149</v>
      </c>
      <c r="AN21" s="154" t="s">
        <v>149</v>
      </c>
      <c r="AO21" s="156">
        <v>1.0</v>
      </c>
      <c r="AP21" s="156" t="s">
        <v>6037</v>
      </c>
      <c r="AQ21" s="158" t="s">
        <v>6091</v>
      </c>
      <c r="AR21" s="153" t="s">
        <v>6092</v>
      </c>
      <c r="AS21" s="172" t="s">
        <v>2599</v>
      </c>
      <c r="AT21" s="154" t="s">
        <v>149</v>
      </c>
      <c r="AU21" s="154" t="s">
        <v>149</v>
      </c>
    </row>
    <row r="22">
      <c r="A22" s="151">
        <v>11.0</v>
      </c>
      <c r="B22" s="152">
        <v>2023.0</v>
      </c>
      <c r="D22" s="152"/>
      <c r="E22" s="151">
        <v>11.0</v>
      </c>
      <c r="F22" s="129" t="s">
        <v>140</v>
      </c>
      <c r="G22" s="3" t="s">
        <v>6029</v>
      </c>
      <c r="H22" s="8" t="str">
        <f>IFERROR(__xludf.DUMMYFUNCTION("""COMPUTED_VALUE"""),"")</f>
        <v/>
      </c>
      <c r="I22" s="8" t="s">
        <v>6093</v>
      </c>
      <c r="J22" s="8" t="s">
        <v>143</v>
      </c>
      <c r="K22" s="8" t="s">
        <v>404</v>
      </c>
      <c r="L22" s="153" t="s">
        <v>6094</v>
      </c>
      <c r="M22" s="153" t="s">
        <v>412</v>
      </c>
      <c r="N22" s="8" t="s">
        <v>151</v>
      </c>
      <c r="O22" s="8" t="s">
        <v>384</v>
      </c>
      <c r="P22" s="8" t="s">
        <v>413</v>
      </c>
      <c r="Q22" s="142" t="s">
        <v>6051</v>
      </c>
      <c r="R22" s="142" t="s">
        <v>6052</v>
      </c>
      <c r="S22" s="142" t="s">
        <v>6053</v>
      </c>
      <c r="T22" s="8"/>
      <c r="U22" s="8">
        <f>IFERROR(__xludf.DUMMYFUNCTION("""COMPUTED_VALUE"""),13.0)</f>
        <v>13</v>
      </c>
      <c r="V22" s="8"/>
      <c r="W22" s="8"/>
      <c r="X22" s="8"/>
      <c r="Y22" s="8"/>
      <c r="AA22" s="8" t="s">
        <v>6054</v>
      </c>
      <c r="AB22" s="154" t="s">
        <v>149</v>
      </c>
      <c r="AC22" s="8" t="s">
        <v>390</v>
      </c>
      <c r="AG22" s="155" t="s">
        <v>149</v>
      </c>
      <c r="AH22" s="154" t="s">
        <v>149</v>
      </c>
      <c r="AI22" s="8" t="s">
        <v>414</v>
      </c>
      <c r="AJ22" s="8" t="s">
        <v>390</v>
      </c>
      <c r="AL22" s="8" t="s">
        <v>6055</v>
      </c>
      <c r="AM22" s="154" t="s">
        <v>149</v>
      </c>
      <c r="AN22" s="8" t="s">
        <v>6056</v>
      </c>
      <c r="AO22" s="8"/>
      <c r="AP22" s="8"/>
      <c r="AR22" s="8" t="s">
        <v>6057</v>
      </c>
      <c r="AS22" s="8" t="s">
        <v>2873</v>
      </c>
      <c r="AT22" s="8" t="s">
        <v>398</v>
      </c>
      <c r="AU22" s="154" t="s">
        <v>149</v>
      </c>
    </row>
    <row r="23">
      <c r="A23" s="151">
        <v>11.0</v>
      </c>
      <c r="B23" s="152">
        <v>2025.0</v>
      </c>
      <c r="C23" s="153" t="str">
        <f>CONCATENATE(D23, "-", M23, "-", A23)
</f>
        <v>2023-PH012906000-11</v>
      </c>
      <c r="D23" s="152">
        <f>IF(OR(F22="Published", F22="Unpublished"), 2023, IF(F22="New", 2025, ""))
</f>
        <v>2023</v>
      </c>
      <c r="E23" s="151">
        <v>11.0</v>
      </c>
      <c r="F23" s="156" t="s">
        <v>140</v>
      </c>
      <c r="G23" s="156" t="s">
        <v>141</v>
      </c>
      <c r="H23" s="153"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3" s="153" t="s">
        <v>6093</v>
      </c>
      <c r="J23" s="153" t="s">
        <v>143</v>
      </c>
      <c r="K23" s="153" t="s">
        <v>404</v>
      </c>
      <c r="L23" s="153" t="s">
        <v>6095</v>
      </c>
      <c r="M23" s="157" t="s">
        <v>412</v>
      </c>
      <c r="N23" s="153" t="s">
        <v>151</v>
      </c>
      <c r="O23" s="153" t="s">
        <v>384</v>
      </c>
      <c r="P23" s="153" t="s">
        <v>413</v>
      </c>
      <c r="Q23" s="169">
        <v>1986.0</v>
      </c>
      <c r="R23" s="175" t="s">
        <v>6052</v>
      </c>
      <c r="S23" s="175" t="s">
        <v>6053</v>
      </c>
      <c r="T23" s="161" t="s">
        <v>150</v>
      </c>
      <c r="U23" s="153">
        <f>IFERROR(__xludf.DUMMYFUNCTION("""COMPUTED_VALUE"""),13.0)</f>
        <v>13</v>
      </c>
      <c r="V23" s="162" t="s">
        <v>3311</v>
      </c>
      <c r="W23" s="170" t="s">
        <v>6059</v>
      </c>
      <c r="Y23" s="28" t="s">
        <v>386</v>
      </c>
      <c r="Z23" s="176" t="s">
        <v>386</v>
      </c>
      <c r="AA23" s="153" t="s">
        <v>6054</v>
      </c>
      <c r="AB23" s="158" t="s">
        <v>149</v>
      </c>
      <c r="AC23" s="153" t="s">
        <v>390</v>
      </c>
      <c r="AD23" s="158" t="s">
        <v>160</v>
      </c>
      <c r="AE23" s="158" t="s">
        <v>6035</v>
      </c>
      <c r="AF23" s="158" t="s">
        <v>159</v>
      </c>
      <c r="AG23" s="164" t="s">
        <v>149</v>
      </c>
      <c r="AH23" s="158" t="s">
        <v>149</v>
      </c>
      <c r="AI23" s="153" t="s">
        <v>414</v>
      </c>
      <c r="AJ23" s="153" t="s">
        <v>390</v>
      </c>
      <c r="AK23" s="153" t="s">
        <v>6035</v>
      </c>
      <c r="AL23" s="153" t="s">
        <v>6055</v>
      </c>
      <c r="AM23" s="154" t="s">
        <v>149</v>
      </c>
      <c r="AN23" s="153" t="s">
        <v>6056</v>
      </c>
      <c r="AO23" s="156">
        <v>1.0</v>
      </c>
      <c r="AP23" s="156" t="s">
        <v>6037</v>
      </c>
      <c r="AQ23" s="158" t="s">
        <v>395</v>
      </c>
      <c r="AR23" s="153" t="s">
        <v>6060</v>
      </c>
      <c r="AS23" s="177" t="s">
        <v>397</v>
      </c>
      <c r="AT23" s="153" t="s">
        <v>398</v>
      </c>
      <c r="AU23" s="154" t="s">
        <v>149</v>
      </c>
    </row>
    <row r="24">
      <c r="A24" s="151">
        <v>12.0</v>
      </c>
      <c r="B24" s="152">
        <v>2023.0</v>
      </c>
      <c r="D24" s="152"/>
      <c r="E24" s="151">
        <v>12.0</v>
      </c>
      <c r="F24" s="129" t="s">
        <v>140</v>
      </c>
      <c r="G24" s="3" t="s">
        <v>6029</v>
      </c>
      <c r="H24" s="8" t="str">
        <f>IFERROR(__xludf.DUMMYFUNCTION("""COMPUTED_VALUE"""),"")</f>
        <v/>
      </c>
      <c r="I24" s="8" t="s">
        <v>6096</v>
      </c>
      <c r="J24" s="8" t="s">
        <v>143</v>
      </c>
      <c r="K24" s="8" t="s">
        <v>404</v>
      </c>
      <c r="L24" s="153" t="s">
        <v>6097</v>
      </c>
      <c r="M24" s="153" t="s">
        <v>412</v>
      </c>
      <c r="N24" s="8" t="s">
        <v>151</v>
      </c>
      <c r="O24" s="154" t="s">
        <v>149</v>
      </c>
      <c r="P24" s="158" t="s">
        <v>149</v>
      </c>
      <c r="Q24" s="142" t="s">
        <v>6098</v>
      </c>
      <c r="R24" s="158" t="s">
        <v>149</v>
      </c>
      <c r="S24" s="158" t="s">
        <v>149</v>
      </c>
      <c r="T24" s="8"/>
      <c r="U24" s="8">
        <f>IFERROR(__xludf.DUMMYFUNCTION("""COMPUTED_VALUE"""),14.0)</f>
        <v>14</v>
      </c>
      <c r="V24" s="8"/>
      <c r="W24" s="158"/>
      <c r="X24" s="8"/>
      <c r="Y24" s="8"/>
      <c r="AA24" s="158" t="s">
        <v>149</v>
      </c>
      <c r="AB24" s="158" t="s">
        <v>149</v>
      </c>
      <c r="AC24" s="8" t="s">
        <v>390</v>
      </c>
      <c r="AG24" s="164" t="s">
        <v>149</v>
      </c>
      <c r="AH24" s="158" t="s">
        <v>149</v>
      </c>
      <c r="AI24" s="158" t="s">
        <v>149</v>
      </c>
      <c r="AJ24" s="8" t="s">
        <v>390</v>
      </c>
      <c r="AL24" s="158" t="s">
        <v>149</v>
      </c>
      <c r="AM24" s="158" t="s">
        <v>149</v>
      </c>
      <c r="AN24" s="158" t="s">
        <v>149</v>
      </c>
      <c r="AO24" s="8"/>
      <c r="AP24" s="8"/>
      <c r="AR24" s="158" t="s">
        <v>149</v>
      </c>
      <c r="AS24" s="158" t="s">
        <v>149</v>
      </c>
      <c r="AT24" s="158" t="s">
        <v>149</v>
      </c>
      <c r="AU24" s="158" t="s">
        <v>149</v>
      </c>
    </row>
    <row r="25">
      <c r="A25" s="151">
        <v>12.0</v>
      </c>
      <c r="B25" s="152">
        <v>2025.0</v>
      </c>
      <c r="C25" s="153" t="str">
        <f>CONCATENATE(D25, "-", M25, "-", A25)
</f>
        <v>2023-PH012906000-12</v>
      </c>
      <c r="D25" s="152">
        <f>IF(OR(F24="Published", F24="Unpublished"), 2023, IF(F24="New", 2025, ""))
</f>
        <v>2023</v>
      </c>
      <c r="E25" s="151">
        <v>12.0</v>
      </c>
      <c r="F25" s="156" t="s">
        <v>140</v>
      </c>
      <c r="G25" s="156" t="s">
        <v>141</v>
      </c>
      <c r="H25" s="153" t="str">
        <f>IFERROR(__xludf.DUMMYFUNCTION("""COMPUTED_VALUE"""),"**Restoration_project_short** changed from Unknown to Site in Brgy Patpata 1st &amp; Patpata 2nd, **Year of establishment** changed from 2018 to 2018, **Technique/Material Type** changed from Unknown to Concrete tripod, **Partners_public** changed from Unknow"&amp;"n to CLGU; Philippine Coast Guard, **Reference** changed from Unknown to Panglunsod na Kawanihan ng Pagsasaka ng Candon (2018, May 22). City Mayor Ericson G. Singson deploys Artificial Reef project at Barangays Patpata 1st and Patpata 2nd, Candon City. [S"&amp;"tatus Update]. Facebook. https://web.facebook.com/permalink.php?id=978493562286545&amp;story_fbid=1211788355623730&amp;_rdc=1&amp;_rdr, **Website** changed from Unknown to https://web.facebook.com/permalink.php?id=978493562286545&amp;story_fbid=1211788355623730&amp;_rdc=1&amp;_r"&amp;"dr")</f>
        <v>**Restoration_project_short** changed from Unknown to Site in Brgy Patpata 1st &amp; Patpata 2nd, **Year of establishment** changed from 2018 to 2018, **Technique/Material Type** changed from Unknown to Concrete tripod, **Partners_public** changed from Unknown to CLGU; Philippine Coast Guard, **Reference** changed from Unknown to Panglunsod na Kawanihan ng Pagsasaka ng Candon (2018, May 22). City Mayor Ericson G. Singson deploys Artificial Reef project at Barangays Patpata 1st and Patpata 2nd, Candon City. [Status Update]. Facebook. https://web.facebook.com/permalink.php?id=978493562286545&amp;story_fbid=1211788355623730&amp;_rdc=1&amp;_rdr, **Website** changed from Unknown to https://web.facebook.com/permalink.php?id=978493562286545&amp;story_fbid=1211788355623730&amp;_rdc=1&amp;_rdr</v>
      </c>
      <c r="I25" s="153" t="s">
        <v>6096</v>
      </c>
      <c r="J25" s="153" t="s">
        <v>143</v>
      </c>
      <c r="K25" s="153" t="s">
        <v>404</v>
      </c>
      <c r="L25" s="153" t="s">
        <v>6099</v>
      </c>
      <c r="M25" s="181" t="s">
        <v>412</v>
      </c>
      <c r="N25" s="153" t="s">
        <v>151</v>
      </c>
      <c r="O25" s="158" t="s">
        <v>149</v>
      </c>
      <c r="P25" s="158" t="s">
        <v>3047</v>
      </c>
      <c r="Q25" s="169">
        <v>2018.0</v>
      </c>
      <c r="R25" s="160" t="s">
        <v>149</v>
      </c>
      <c r="S25" s="160" t="s">
        <v>149</v>
      </c>
      <c r="T25" s="161" t="s">
        <v>150</v>
      </c>
      <c r="U25" s="153">
        <f>IFERROR(__xludf.DUMMYFUNCTION("""COMPUTED_VALUE"""),14.0)</f>
        <v>14</v>
      </c>
      <c r="V25" s="162" t="s">
        <v>3311</v>
      </c>
      <c r="W25" s="184" t="s">
        <v>6032</v>
      </c>
      <c r="X25" s="28" t="s">
        <v>6033</v>
      </c>
      <c r="Y25" s="32" t="s">
        <v>153</v>
      </c>
      <c r="Z25" s="158" t="s">
        <v>153</v>
      </c>
      <c r="AA25" s="158" t="s">
        <v>153</v>
      </c>
      <c r="AB25" s="158" t="s">
        <v>149</v>
      </c>
      <c r="AC25" s="153" t="s">
        <v>390</v>
      </c>
      <c r="AD25" s="158" t="s">
        <v>160</v>
      </c>
      <c r="AE25" s="158" t="s">
        <v>6035</v>
      </c>
      <c r="AF25" s="158" t="s">
        <v>159</v>
      </c>
      <c r="AG25" s="164" t="s">
        <v>149</v>
      </c>
      <c r="AH25" s="158" t="s">
        <v>149</v>
      </c>
      <c r="AI25" s="158" t="s">
        <v>149</v>
      </c>
      <c r="AJ25" s="158" t="s">
        <v>390</v>
      </c>
      <c r="AK25" s="153" t="s">
        <v>6035</v>
      </c>
      <c r="AL25" s="158" t="s">
        <v>3048</v>
      </c>
      <c r="AM25" s="158" t="s">
        <v>149</v>
      </c>
      <c r="AN25" s="158" t="s">
        <v>149</v>
      </c>
      <c r="AO25" s="156">
        <v>1.0</v>
      </c>
      <c r="AP25" s="156" t="s">
        <v>6037</v>
      </c>
      <c r="AQ25" s="158" t="s">
        <v>6038</v>
      </c>
      <c r="AR25" s="158" t="s">
        <v>6100</v>
      </c>
      <c r="AS25" s="177" t="s">
        <v>3050</v>
      </c>
      <c r="AT25" s="158" t="s">
        <v>149</v>
      </c>
      <c r="AU25" s="158" t="s">
        <v>149</v>
      </c>
    </row>
    <row r="26">
      <c r="A26" s="151">
        <v>13.0</v>
      </c>
      <c r="B26" s="152">
        <v>2023.0</v>
      </c>
      <c r="D26" s="152"/>
      <c r="E26" s="151">
        <v>13.0</v>
      </c>
      <c r="F26" s="129" t="s">
        <v>140</v>
      </c>
      <c r="G26" s="3" t="s">
        <v>6029</v>
      </c>
      <c r="H26" s="8" t="str">
        <f>IFERROR(__xludf.DUMMYFUNCTION("""COMPUTED_VALUE"""),"")</f>
        <v/>
      </c>
      <c r="I26" s="8" t="s">
        <v>6101</v>
      </c>
      <c r="J26" s="8" t="s">
        <v>143</v>
      </c>
      <c r="K26" s="8" t="s">
        <v>404</v>
      </c>
      <c r="L26" s="8" t="s">
        <v>416</v>
      </c>
      <c r="M26" s="153" t="s">
        <v>417</v>
      </c>
      <c r="N26" s="8" t="s">
        <v>151</v>
      </c>
      <c r="O26" s="8" t="s">
        <v>384</v>
      </c>
      <c r="P26" s="8" t="s">
        <v>418</v>
      </c>
      <c r="Q26" s="142" t="s">
        <v>6051</v>
      </c>
      <c r="R26" s="142" t="s">
        <v>6052</v>
      </c>
      <c r="S26" s="142" t="s">
        <v>6053</v>
      </c>
      <c r="T26" s="8"/>
      <c r="U26" s="8">
        <f>IFERROR(__xludf.DUMMYFUNCTION("""COMPUTED_VALUE"""),15.0)</f>
        <v>15</v>
      </c>
      <c r="V26" s="8"/>
      <c r="W26" s="8"/>
      <c r="X26" s="8"/>
      <c r="Y26" s="8"/>
      <c r="AA26" s="8" t="s">
        <v>6054</v>
      </c>
      <c r="AB26" s="158" t="s">
        <v>149</v>
      </c>
      <c r="AC26" s="8" t="s">
        <v>390</v>
      </c>
      <c r="AG26" s="164" t="s">
        <v>149</v>
      </c>
      <c r="AH26" s="158" t="s">
        <v>149</v>
      </c>
      <c r="AI26" s="8" t="s">
        <v>414</v>
      </c>
      <c r="AJ26" s="8" t="s">
        <v>390</v>
      </c>
      <c r="AL26" s="8" t="s">
        <v>6055</v>
      </c>
      <c r="AM26" s="158" t="s">
        <v>149</v>
      </c>
      <c r="AN26" s="8" t="s">
        <v>6056</v>
      </c>
      <c r="AO26" s="8"/>
      <c r="AP26" s="8"/>
      <c r="AR26" s="8" t="s">
        <v>6057</v>
      </c>
      <c r="AS26" s="8" t="s">
        <v>2873</v>
      </c>
      <c r="AT26" s="8" t="s">
        <v>398</v>
      </c>
      <c r="AU26" s="158" t="s">
        <v>149</v>
      </c>
    </row>
    <row r="27">
      <c r="A27" s="151">
        <v>13.0</v>
      </c>
      <c r="B27" s="152">
        <v>2025.0</v>
      </c>
      <c r="C27" s="153" t="str">
        <f>CONCATENATE(D27, "-", M27, "-", A27)
</f>
        <v>2023-PH012914000-13</v>
      </c>
      <c r="D27" s="152">
        <f>IF(OR(F26="Published", F26="Unpublished"), 2023, IF(F26="New", 2025, ""))
</f>
        <v>2023</v>
      </c>
      <c r="E27" s="151">
        <v>13.0</v>
      </c>
      <c r="F27" s="156" t="s">
        <v>140</v>
      </c>
      <c r="G27" s="156" t="s">
        <v>141</v>
      </c>
      <c r="H27" s="153"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7" s="153" t="s">
        <v>6101</v>
      </c>
      <c r="J27" s="153" t="s">
        <v>143</v>
      </c>
      <c r="K27" s="153" t="s">
        <v>404</v>
      </c>
      <c r="L27" s="153" t="s">
        <v>416</v>
      </c>
      <c r="M27" s="157" t="s">
        <v>417</v>
      </c>
      <c r="N27" s="153" t="s">
        <v>151</v>
      </c>
      <c r="O27" s="153" t="s">
        <v>384</v>
      </c>
      <c r="P27" s="153" t="s">
        <v>418</v>
      </c>
      <c r="Q27" s="169">
        <v>1986.0</v>
      </c>
      <c r="R27" s="175" t="s">
        <v>6052</v>
      </c>
      <c r="S27" s="175" t="s">
        <v>6053</v>
      </c>
      <c r="T27" s="161" t="s">
        <v>150</v>
      </c>
      <c r="U27" s="153">
        <f>IFERROR(__xludf.DUMMYFUNCTION("""COMPUTED_VALUE"""),15.0)</f>
        <v>15</v>
      </c>
      <c r="V27" s="162" t="s">
        <v>3311</v>
      </c>
      <c r="W27" s="170" t="s">
        <v>6059</v>
      </c>
      <c r="Y27" s="28" t="s">
        <v>386</v>
      </c>
      <c r="Z27" s="176" t="s">
        <v>386</v>
      </c>
      <c r="AA27" s="153" t="s">
        <v>6054</v>
      </c>
      <c r="AB27" s="158" t="s">
        <v>149</v>
      </c>
      <c r="AC27" s="153" t="s">
        <v>390</v>
      </c>
      <c r="AD27" s="158" t="s">
        <v>160</v>
      </c>
      <c r="AE27" s="158" t="s">
        <v>6035</v>
      </c>
      <c r="AF27" s="158" t="s">
        <v>159</v>
      </c>
      <c r="AG27" s="164" t="s">
        <v>149</v>
      </c>
      <c r="AH27" s="158" t="s">
        <v>149</v>
      </c>
      <c r="AI27" s="153" t="s">
        <v>414</v>
      </c>
      <c r="AJ27" s="153" t="s">
        <v>390</v>
      </c>
      <c r="AK27" s="153" t="s">
        <v>6035</v>
      </c>
      <c r="AL27" s="153" t="s">
        <v>6055</v>
      </c>
      <c r="AM27" s="158" t="s">
        <v>149</v>
      </c>
      <c r="AN27" s="153" t="s">
        <v>6056</v>
      </c>
      <c r="AO27" s="156">
        <v>1.0</v>
      </c>
      <c r="AP27" s="156" t="s">
        <v>6037</v>
      </c>
      <c r="AQ27" s="158" t="s">
        <v>395</v>
      </c>
      <c r="AR27" s="153" t="s">
        <v>6060</v>
      </c>
      <c r="AS27" s="177" t="s">
        <v>397</v>
      </c>
      <c r="AT27" s="153" t="s">
        <v>398</v>
      </c>
      <c r="AU27" s="158" t="s">
        <v>149</v>
      </c>
    </row>
    <row r="28">
      <c r="A28" s="151">
        <v>14.0</v>
      </c>
      <c r="B28" s="152">
        <v>2023.0</v>
      </c>
      <c r="D28" s="152"/>
      <c r="E28" s="151">
        <v>14.0</v>
      </c>
      <c r="F28" s="129" t="s">
        <v>140</v>
      </c>
      <c r="G28" s="3" t="s">
        <v>6029</v>
      </c>
      <c r="H28" s="8" t="str">
        <f>IFERROR(__xludf.DUMMYFUNCTION("""COMPUTED_VALUE"""),"")</f>
        <v/>
      </c>
      <c r="I28" s="8" t="s">
        <v>6102</v>
      </c>
      <c r="J28" s="8" t="s">
        <v>143</v>
      </c>
      <c r="K28" s="8" t="s">
        <v>404</v>
      </c>
      <c r="L28" s="8" t="s">
        <v>420</v>
      </c>
      <c r="M28" s="153" t="s">
        <v>421</v>
      </c>
      <c r="N28" s="8" t="s">
        <v>151</v>
      </c>
      <c r="O28" s="8" t="s">
        <v>384</v>
      </c>
      <c r="P28" s="8" t="s">
        <v>422</v>
      </c>
      <c r="Q28" s="142" t="s">
        <v>6051</v>
      </c>
      <c r="R28" s="142" t="s">
        <v>6052</v>
      </c>
      <c r="S28" s="142" t="s">
        <v>6053</v>
      </c>
      <c r="T28" s="8"/>
      <c r="U28" s="8">
        <f>IFERROR(__xludf.DUMMYFUNCTION("""COMPUTED_VALUE"""),16.0)</f>
        <v>16</v>
      </c>
      <c r="V28" s="8"/>
      <c r="W28" s="8"/>
      <c r="X28" s="8"/>
      <c r="Y28" s="8"/>
      <c r="AA28" s="8" t="s">
        <v>6054</v>
      </c>
      <c r="AB28" s="158" t="s">
        <v>149</v>
      </c>
      <c r="AC28" s="8" t="s">
        <v>390</v>
      </c>
      <c r="AG28" s="164" t="s">
        <v>149</v>
      </c>
      <c r="AH28" s="158" t="s">
        <v>149</v>
      </c>
      <c r="AI28" s="8" t="s">
        <v>414</v>
      </c>
      <c r="AJ28" s="8" t="s">
        <v>390</v>
      </c>
      <c r="AL28" s="8" t="s">
        <v>6055</v>
      </c>
      <c r="AM28" s="158" t="s">
        <v>149</v>
      </c>
      <c r="AN28" s="8" t="s">
        <v>6056</v>
      </c>
      <c r="AO28" s="8"/>
      <c r="AP28" s="8"/>
      <c r="AR28" s="8" t="s">
        <v>6057</v>
      </c>
      <c r="AS28" s="8" t="s">
        <v>2873</v>
      </c>
      <c r="AT28" s="8" t="s">
        <v>398</v>
      </c>
      <c r="AU28" s="158" t="s">
        <v>149</v>
      </c>
    </row>
    <row r="29">
      <c r="A29" s="151">
        <v>14.0</v>
      </c>
      <c r="B29" s="152">
        <v>2025.0</v>
      </c>
      <c r="C29" s="153" t="str">
        <f>CONCATENATE(D29, "-", M29, "-", A29)
</f>
        <v>2023-PH012924000-14</v>
      </c>
      <c r="D29" s="152">
        <f>IF(OR(F28="Published", F28="Unpublished"), 2023, IF(F28="New", 2025, ""))
</f>
        <v>2023</v>
      </c>
      <c r="E29" s="151">
        <v>14.0</v>
      </c>
      <c r="F29" s="156" t="s">
        <v>140</v>
      </c>
      <c r="G29" s="156" t="s">
        <v>141</v>
      </c>
      <c r="H29" s="153"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9" s="153" t="s">
        <v>6102</v>
      </c>
      <c r="J29" s="153" t="s">
        <v>143</v>
      </c>
      <c r="K29" s="153" t="s">
        <v>404</v>
      </c>
      <c r="L29" s="153" t="s">
        <v>420</v>
      </c>
      <c r="M29" s="157" t="s">
        <v>421</v>
      </c>
      <c r="N29" s="153" t="s">
        <v>151</v>
      </c>
      <c r="O29" s="153" t="s">
        <v>384</v>
      </c>
      <c r="P29" s="153" t="s">
        <v>422</v>
      </c>
      <c r="Q29" s="169">
        <v>1986.0</v>
      </c>
      <c r="R29" s="175" t="s">
        <v>6052</v>
      </c>
      <c r="S29" s="175" t="s">
        <v>6053</v>
      </c>
      <c r="T29" s="161" t="s">
        <v>150</v>
      </c>
      <c r="U29" s="153">
        <f>IFERROR(__xludf.DUMMYFUNCTION("""COMPUTED_VALUE"""),16.0)</f>
        <v>16</v>
      </c>
      <c r="V29" s="162" t="s">
        <v>3311</v>
      </c>
      <c r="W29" s="170" t="s">
        <v>6059</v>
      </c>
      <c r="Y29" s="28" t="s">
        <v>386</v>
      </c>
      <c r="Z29" s="176" t="s">
        <v>386</v>
      </c>
      <c r="AA29" s="153" t="s">
        <v>6054</v>
      </c>
      <c r="AB29" s="158" t="s">
        <v>149</v>
      </c>
      <c r="AC29" s="153" t="s">
        <v>390</v>
      </c>
      <c r="AD29" s="158" t="s">
        <v>160</v>
      </c>
      <c r="AE29" s="158" t="s">
        <v>6035</v>
      </c>
      <c r="AF29" s="158" t="s">
        <v>159</v>
      </c>
      <c r="AG29" s="164" t="s">
        <v>149</v>
      </c>
      <c r="AH29" s="158" t="s">
        <v>149</v>
      </c>
      <c r="AI29" s="153" t="s">
        <v>414</v>
      </c>
      <c r="AJ29" s="153" t="s">
        <v>390</v>
      </c>
      <c r="AK29" s="153" t="s">
        <v>6035</v>
      </c>
      <c r="AL29" s="153" t="s">
        <v>6055</v>
      </c>
      <c r="AM29" s="158" t="s">
        <v>149</v>
      </c>
      <c r="AN29" s="153" t="s">
        <v>6056</v>
      </c>
      <c r="AO29" s="156">
        <v>1.0</v>
      </c>
      <c r="AP29" s="156" t="s">
        <v>6037</v>
      </c>
      <c r="AQ29" s="158" t="s">
        <v>395</v>
      </c>
      <c r="AR29" s="153" t="s">
        <v>6060</v>
      </c>
      <c r="AS29" s="177" t="s">
        <v>397</v>
      </c>
      <c r="AT29" s="153" t="s">
        <v>398</v>
      </c>
      <c r="AU29" s="158" t="s">
        <v>149</v>
      </c>
    </row>
    <row r="30">
      <c r="A30" s="151">
        <v>15.0</v>
      </c>
      <c r="B30" s="152">
        <v>2023.0</v>
      </c>
      <c r="D30" s="152"/>
      <c r="E30" s="151">
        <v>15.0</v>
      </c>
      <c r="F30" s="129" t="s">
        <v>140</v>
      </c>
      <c r="G30" s="3" t="s">
        <v>6029</v>
      </c>
      <c r="H30" s="8" t="str">
        <f>IFERROR(__xludf.DUMMYFUNCTION("""COMPUTED_VALUE"""),"")</f>
        <v/>
      </c>
      <c r="I30" s="8" t="s">
        <v>6103</v>
      </c>
      <c r="J30" s="8" t="s">
        <v>143</v>
      </c>
      <c r="K30" s="8" t="s">
        <v>404</v>
      </c>
      <c r="L30" s="8" t="s">
        <v>3052</v>
      </c>
      <c r="M30" s="173" t="s">
        <v>3053</v>
      </c>
      <c r="N30" s="8" t="s">
        <v>151</v>
      </c>
      <c r="O30" s="158" t="s">
        <v>149</v>
      </c>
      <c r="P30" s="8" t="s">
        <v>6104</v>
      </c>
      <c r="Q30" s="158" t="s">
        <v>149</v>
      </c>
      <c r="R30" s="158" t="s">
        <v>149</v>
      </c>
      <c r="S30" s="158" t="s">
        <v>149</v>
      </c>
      <c r="T30" s="8"/>
      <c r="U30" s="8">
        <f>IFERROR(__xludf.DUMMYFUNCTION("""COMPUTED_VALUE"""),17.0)</f>
        <v>17</v>
      </c>
      <c r="V30" s="8"/>
      <c r="W30" s="158"/>
      <c r="X30" s="8"/>
      <c r="Y30" s="8"/>
      <c r="AA30" s="158" t="s">
        <v>149</v>
      </c>
      <c r="AB30" s="158" t="s">
        <v>149</v>
      </c>
      <c r="AC30" s="158" t="s">
        <v>149</v>
      </c>
      <c r="AG30" s="164" t="s">
        <v>149</v>
      </c>
      <c r="AH30" s="158" t="s">
        <v>149</v>
      </c>
      <c r="AI30" s="158" t="s">
        <v>149</v>
      </c>
      <c r="AJ30" s="158" t="s">
        <v>149</v>
      </c>
      <c r="AL30" s="158" t="s">
        <v>149</v>
      </c>
      <c r="AM30" s="158" t="s">
        <v>149</v>
      </c>
      <c r="AN30" s="158" t="s">
        <v>149</v>
      </c>
      <c r="AO30" s="8"/>
      <c r="AP30" s="8"/>
      <c r="AR30" s="158" t="s">
        <v>149</v>
      </c>
      <c r="AS30" s="158" t="s">
        <v>149</v>
      </c>
      <c r="AT30" s="158" t="s">
        <v>149</v>
      </c>
      <c r="AU30" s="158" t="s">
        <v>149</v>
      </c>
    </row>
    <row r="31">
      <c r="A31" s="151">
        <v>15.0</v>
      </c>
      <c r="B31" s="152">
        <v>2025.0</v>
      </c>
      <c r="C31" s="153" t="str">
        <f>CONCATENATE(D31, "-", M31, "-", A31)
</f>
        <v>2023-PH012927000-15</v>
      </c>
      <c r="D31" s="152">
        <f>IF(OR(F30="Published", F30="Unpublished"), 2023, IF(F30="New", 2025, ""))
</f>
        <v>2023</v>
      </c>
      <c r="E31" s="151">
        <v>15.0</v>
      </c>
      <c r="F31" s="156" t="s">
        <v>140</v>
      </c>
      <c r="G31" s="156" t="s">
        <v>141</v>
      </c>
      <c r="H31" s="153" t="str">
        <f>IFERROR(__xludf.DUMMYFUNCTION("""COMPUTED_VALUE"""),"**Restoration_project_short** changed from *Per Vitalis Villas, there is an artificial reef at Santiago Cove but no literature to support the statement to Site in Santiago Cove, **Technique/Material Type** changed from Unknown to Concrete sculpture, **Fun"&amp;"ding agency** changed from Unknown to Vitalis Villas, **Implementing institution** changed from Unknown to Vitalis Villas, **Reference** changed from Unknown to Vitalis Villas (2017, June 16). Go diving or snorkeling at Santiago cove and see our artificia"&amp;"l coral reef sanctuary. [Status Update]. Facebook. https://web.facebook.com/VitalisVillas/posts/go-diving-or-snorkeling-at-santiago-cove-and-see-our-artificial-coral-reef-sanct/1897148467200987/?_rdc=1&amp;_rdr")</f>
        <v>**Restoration_project_short** changed from *Per Vitalis Villas, there is an artificial reef at Santiago Cove but no literature to support the statement to Site in Santiago Cove, **Technique/Material Type** changed from Unknown to Concrete sculpture, **Funding agency** changed from Unknown to Vitalis Villas, **Implementing institution** changed from Unknown to Vitalis Villas, **Reference** changed from Unknown to Vitalis Villas (2017, June 16). Go diving or snorkeling at Santiago cove and see our artificial coral reef sanctuary. [Status Update]. Facebook. https://web.facebook.com/VitalisVillas/posts/go-diving-or-snorkeling-at-santiago-cove-and-see-our-artificial-coral-reef-sanct/1897148467200987/?_rdc=1&amp;_rdr</v>
      </c>
      <c r="I31" s="153" t="s">
        <v>6103</v>
      </c>
      <c r="J31" s="153" t="s">
        <v>143</v>
      </c>
      <c r="K31" s="153" t="s">
        <v>404</v>
      </c>
      <c r="L31" s="153" t="s">
        <v>3052</v>
      </c>
      <c r="M31" s="181" t="s">
        <v>3053</v>
      </c>
      <c r="N31" s="153" t="s">
        <v>151</v>
      </c>
      <c r="O31" s="185" t="s">
        <v>149</v>
      </c>
      <c r="P31" s="158" t="s">
        <v>3054</v>
      </c>
      <c r="Q31" s="178" t="s">
        <v>149</v>
      </c>
      <c r="R31" s="160" t="s">
        <v>149</v>
      </c>
      <c r="S31" s="160" t="s">
        <v>149</v>
      </c>
      <c r="T31" s="161" t="s">
        <v>150</v>
      </c>
      <c r="U31" s="153">
        <f>IFERROR(__xludf.DUMMYFUNCTION("""COMPUTED_VALUE"""),17.0)</f>
        <v>17</v>
      </c>
      <c r="V31" s="162" t="s">
        <v>3311</v>
      </c>
      <c r="W31" s="184" t="s">
        <v>6032</v>
      </c>
      <c r="X31" s="28" t="s">
        <v>6033</v>
      </c>
      <c r="Y31" s="32" t="s">
        <v>2049</v>
      </c>
      <c r="Z31" s="158" t="s">
        <v>2049</v>
      </c>
      <c r="AA31" s="158" t="s">
        <v>2049</v>
      </c>
      <c r="AB31" s="158" t="s">
        <v>149</v>
      </c>
      <c r="AC31" s="158" t="s">
        <v>3055</v>
      </c>
      <c r="AD31" s="158" t="s">
        <v>160</v>
      </c>
      <c r="AE31" s="158" t="s">
        <v>184</v>
      </c>
      <c r="AF31" s="158" t="s">
        <v>159</v>
      </c>
      <c r="AG31" s="164" t="s">
        <v>149</v>
      </c>
      <c r="AH31" s="158" t="s">
        <v>149</v>
      </c>
      <c r="AI31" s="158" t="s">
        <v>149</v>
      </c>
      <c r="AJ31" s="153" t="s">
        <v>3055</v>
      </c>
      <c r="AK31" s="158" t="s">
        <v>184</v>
      </c>
      <c r="AL31" s="158" t="s">
        <v>149</v>
      </c>
      <c r="AM31" s="158" t="s">
        <v>149</v>
      </c>
      <c r="AN31" s="158" t="s">
        <v>149</v>
      </c>
      <c r="AO31" s="156">
        <v>1.0</v>
      </c>
      <c r="AP31" s="156" t="s">
        <v>6037</v>
      </c>
      <c r="AQ31" s="153" t="s">
        <v>6038</v>
      </c>
      <c r="AR31" s="153" t="s">
        <v>6105</v>
      </c>
      <c r="AS31" s="158" t="s">
        <v>149</v>
      </c>
      <c r="AT31" s="158" t="s">
        <v>149</v>
      </c>
      <c r="AU31" s="158" t="s">
        <v>149</v>
      </c>
    </row>
    <row r="32">
      <c r="A32" s="151">
        <v>16.0</v>
      </c>
      <c r="B32" s="152">
        <v>2023.0</v>
      </c>
      <c r="D32" s="152"/>
      <c r="E32" s="151">
        <v>16.0</v>
      </c>
      <c r="F32" s="129" t="s">
        <v>140</v>
      </c>
      <c r="G32" s="3" t="s">
        <v>6029</v>
      </c>
      <c r="H32" s="8" t="str">
        <f>IFERROR(__xludf.DUMMYFUNCTION("""COMPUTED_VALUE"""),"")</f>
        <v/>
      </c>
      <c r="I32" s="8" t="s">
        <v>6106</v>
      </c>
      <c r="J32" s="8" t="s">
        <v>143</v>
      </c>
      <c r="K32" s="8" t="s">
        <v>404</v>
      </c>
      <c r="L32" s="8" t="s">
        <v>424</v>
      </c>
      <c r="M32" s="153" t="s">
        <v>425</v>
      </c>
      <c r="N32" s="8" t="s">
        <v>151</v>
      </c>
      <c r="O32" s="8" t="s">
        <v>384</v>
      </c>
      <c r="P32" s="8" t="s">
        <v>426</v>
      </c>
      <c r="Q32" s="142" t="s">
        <v>6051</v>
      </c>
      <c r="R32" s="142" t="s">
        <v>6052</v>
      </c>
      <c r="S32" s="142" t="s">
        <v>6053</v>
      </c>
      <c r="T32" s="8"/>
      <c r="U32" s="8">
        <f>IFERROR(__xludf.DUMMYFUNCTION("""COMPUTED_VALUE"""),18.0)</f>
        <v>18</v>
      </c>
      <c r="V32" s="8"/>
      <c r="W32" s="8"/>
      <c r="X32" s="8"/>
      <c r="Y32" s="8"/>
      <c r="AA32" s="8" t="s">
        <v>6054</v>
      </c>
      <c r="AB32" s="158" t="s">
        <v>149</v>
      </c>
      <c r="AC32" s="8" t="s">
        <v>390</v>
      </c>
      <c r="AG32" s="164" t="s">
        <v>149</v>
      </c>
      <c r="AH32" s="158" t="s">
        <v>149</v>
      </c>
      <c r="AI32" s="8" t="s">
        <v>391</v>
      </c>
      <c r="AJ32" s="8" t="s">
        <v>390</v>
      </c>
      <c r="AL32" s="8" t="s">
        <v>6055</v>
      </c>
      <c r="AM32" s="158" t="s">
        <v>149</v>
      </c>
      <c r="AN32" s="8" t="s">
        <v>6056</v>
      </c>
      <c r="AO32" s="8"/>
      <c r="AP32" s="8"/>
      <c r="AR32" s="8" t="s">
        <v>6057</v>
      </c>
      <c r="AS32" s="8" t="s">
        <v>2873</v>
      </c>
      <c r="AT32" s="8" t="s">
        <v>398</v>
      </c>
      <c r="AU32" s="158" t="s">
        <v>149</v>
      </c>
    </row>
    <row r="33">
      <c r="A33" s="151">
        <v>16.0</v>
      </c>
      <c r="B33" s="152">
        <v>2025.0</v>
      </c>
      <c r="C33" s="153" t="str">
        <f>CONCATENATE(D33, "-", M33, "-", A33)
</f>
        <v>2023-PH012930000-16</v>
      </c>
      <c r="D33" s="152">
        <f>IF(OR(F32="Published", F32="Unpublished"), 2023, IF(F32="New", 2025, ""))
</f>
        <v>2023</v>
      </c>
      <c r="E33" s="151">
        <v>16.0</v>
      </c>
      <c r="F33" s="156" t="s">
        <v>140</v>
      </c>
      <c r="G33" s="156" t="s">
        <v>141</v>
      </c>
      <c r="H33" s="153"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3" s="153" t="s">
        <v>6106</v>
      </c>
      <c r="J33" s="153" t="s">
        <v>143</v>
      </c>
      <c r="K33" s="153" t="s">
        <v>404</v>
      </c>
      <c r="L33" s="153" t="s">
        <v>424</v>
      </c>
      <c r="M33" s="181" t="s">
        <v>425</v>
      </c>
      <c r="N33" s="153" t="s">
        <v>151</v>
      </c>
      <c r="O33" s="153" t="s">
        <v>384</v>
      </c>
      <c r="P33" s="153" t="s">
        <v>426</v>
      </c>
      <c r="Q33" s="169">
        <v>1986.0</v>
      </c>
      <c r="R33" s="175" t="s">
        <v>6052</v>
      </c>
      <c r="S33" s="175" t="s">
        <v>6053</v>
      </c>
      <c r="T33" s="161" t="s">
        <v>150</v>
      </c>
      <c r="U33" s="153">
        <f>IFERROR(__xludf.DUMMYFUNCTION("""COMPUTED_VALUE"""),18.0)</f>
        <v>18</v>
      </c>
      <c r="V33" s="162" t="s">
        <v>3311</v>
      </c>
      <c r="W33" s="170" t="s">
        <v>6059</v>
      </c>
      <c r="Y33" s="28" t="s">
        <v>386</v>
      </c>
      <c r="Z33" s="176" t="s">
        <v>386</v>
      </c>
      <c r="AA33" s="153" t="s">
        <v>6054</v>
      </c>
      <c r="AB33" s="158" t="s">
        <v>149</v>
      </c>
      <c r="AC33" s="153" t="s">
        <v>390</v>
      </c>
      <c r="AD33" s="158" t="s">
        <v>160</v>
      </c>
      <c r="AE33" s="158" t="s">
        <v>6035</v>
      </c>
      <c r="AF33" s="158" t="s">
        <v>159</v>
      </c>
      <c r="AG33" s="164" t="s">
        <v>149</v>
      </c>
      <c r="AH33" s="158" t="s">
        <v>149</v>
      </c>
      <c r="AI33" s="153" t="s">
        <v>391</v>
      </c>
      <c r="AJ33" s="153" t="s">
        <v>390</v>
      </c>
      <c r="AK33" s="153" t="s">
        <v>6035</v>
      </c>
      <c r="AL33" s="153" t="s">
        <v>6055</v>
      </c>
      <c r="AM33" s="158" t="s">
        <v>149</v>
      </c>
      <c r="AN33" s="153" t="s">
        <v>6056</v>
      </c>
      <c r="AO33" s="156">
        <v>1.0</v>
      </c>
      <c r="AP33" s="156" t="s">
        <v>6037</v>
      </c>
      <c r="AQ33" s="158" t="s">
        <v>395</v>
      </c>
      <c r="AR33" s="153" t="s">
        <v>6060</v>
      </c>
      <c r="AS33" s="177" t="s">
        <v>397</v>
      </c>
      <c r="AT33" s="153" t="s">
        <v>398</v>
      </c>
      <c r="AU33" s="158" t="s">
        <v>149</v>
      </c>
    </row>
    <row r="34">
      <c r="A34" s="151">
        <v>17.0</v>
      </c>
      <c r="B34" s="152">
        <v>2023.0</v>
      </c>
      <c r="D34" s="152"/>
      <c r="E34" s="151">
        <v>17.0</v>
      </c>
      <c r="F34" s="129" t="s">
        <v>140</v>
      </c>
      <c r="G34" s="3" t="s">
        <v>6029</v>
      </c>
      <c r="H34" s="8" t="str">
        <f>IFERROR(__xludf.DUMMYFUNCTION("""COMPUTED_VALUE"""),"")</f>
        <v/>
      </c>
      <c r="I34" s="8" t="s">
        <v>6107</v>
      </c>
      <c r="J34" s="8" t="s">
        <v>143</v>
      </c>
      <c r="K34" s="8" t="s">
        <v>404</v>
      </c>
      <c r="L34" s="8" t="s">
        <v>428</v>
      </c>
      <c r="M34" s="173" t="s">
        <v>429</v>
      </c>
      <c r="N34" s="8" t="s">
        <v>151</v>
      </c>
      <c r="O34" s="8" t="s">
        <v>384</v>
      </c>
      <c r="P34" s="8" t="s">
        <v>6108</v>
      </c>
      <c r="Q34" s="142" t="s">
        <v>6051</v>
      </c>
      <c r="R34" s="142" t="s">
        <v>6052</v>
      </c>
      <c r="S34" s="142" t="s">
        <v>6053</v>
      </c>
      <c r="T34" s="8"/>
      <c r="U34" s="8">
        <f>IFERROR(__xludf.DUMMYFUNCTION("""COMPUTED_VALUE"""),19.0)</f>
        <v>19</v>
      </c>
      <c r="V34" s="8"/>
      <c r="W34" s="8"/>
      <c r="X34" s="8"/>
      <c r="Y34" s="8"/>
      <c r="AA34" s="8" t="s">
        <v>6054</v>
      </c>
      <c r="AB34" s="158" t="s">
        <v>149</v>
      </c>
      <c r="AC34" s="8" t="s">
        <v>390</v>
      </c>
      <c r="AG34" s="164" t="s">
        <v>149</v>
      </c>
      <c r="AH34" s="158" t="s">
        <v>149</v>
      </c>
      <c r="AI34" s="8" t="s">
        <v>431</v>
      </c>
      <c r="AJ34" s="8" t="s">
        <v>390</v>
      </c>
      <c r="AL34" s="8" t="s">
        <v>6055</v>
      </c>
      <c r="AM34" s="158" t="s">
        <v>149</v>
      </c>
      <c r="AN34" s="158" t="s">
        <v>149</v>
      </c>
      <c r="AO34" s="8"/>
      <c r="AP34" s="8"/>
      <c r="AR34" s="8" t="s">
        <v>6057</v>
      </c>
      <c r="AS34" s="8" t="s">
        <v>2873</v>
      </c>
      <c r="AT34" s="8" t="s">
        <v>398</v>
      </c>
      <c r="AU34" s="158" t="s">
        <v>149</v>
      </c>
      <c r="AV34" s="8" t="s">
        <v>6109</v>
      </c>
    </row>
    <row r="35">
      <c r="A35" s="151">
        <v>17.0</v>
      </c>
      <c r="B35" s="152">
        <v>2025.0</v>
      </c>
      <c r="C35" s="153" t="str">
        <f>CONCATENATE(D35, "-", M35, "-", A35)
</f>
        <v>2023-PH012933000-17</v>
      </c>
      <c r="D35" s="152">
        <f>IF(OR(F34="Published", F34="Unpublished"), 2023, IF(F34="New", 2025, ""))
</f>
        <v>2023</v>
      </c>
      <c r="E35" s="151">
        <v>17.0</v>
      </c>
      <c r="F35" s="156" t="s">
        <v>140</v>
      </c>
      <c r="G35" s="156" t="s">
        <v>141</v>
      </c>
      <c r="H35" s="153"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5" s="153" t="s">
        <v>6107</v>
      </c>
      <c r="J35" s="153" t="s">
        <v>143</v>
      </c>
      <c r="K35" s="153" t="s">
        <v>404</v>
      </c>
      <c r="L35" s="153" t="s">
        <v>428</v>
      </c>
      <c r="M35" s="181" t="s">
        <v>429</v>
      </c>
      <c r="N35" s="153" t="s">
        <v>151</v>
      </c>
      <c r="O35" s="153" t="s">
        <v>384</v>
      </c>
      <c r="P35" s="153" t="s">
        <v>6108</v>
      </c>
      <c r="Q35" s="169">
        <v>1986.0</v>
      </c>
      <c r="R35" s="175" t="s">
        <v>6052</v>
      </c>
      <c r="S35" s="175" t="s">
        <v>6053</v>
      </c>
      <c r="T35" s="161" t="s">
        <v>150</v>
      </c>
      <c r="U35" s="153">
        <f>IFERROR(__xludf.DUMMYFUNCTION("""COMPUTED_VALUE"""),19.0)</f>
        <v>19</v>
      </c>
      <c r="V35" s="162" t="s">
        <v>3311</v>
      </c>
      <c r="W35" s="170" t="s">
        <v>6059</v>
      </c>
      <c r="Y35" s="28" t="s">
        <v>386</v>
      </c>
      <c r="Z35" s="176" t="s">
        <v>386</v>
      </c>
      <c r="AA35" s="153" t="s">
        <v>6054</v>
      </c>
      <c r="AB35" s="158" t="s">
        <v>149</v>
      </c>
      <c r="AC35" s="153" t="s">
        <v>390</v>
      </c>
      <c r="AD35" s="158" t="s">
        <v>160</v>
      </c>
      <c r="AE35" s="158" t="s">
        <v>6035</v>
      </c>
      <c r="AF35" s="158" t="s">
        <v>159</v>
      </c>
      <c r="AG35" s="164" t="s">
        <v>149</v>
      </c>
      <c r="AH35" s="158" t="s">
        <v>149</v>
      </c>
      <c r="AI35" s="153" t="s">
        <v>431</v>
      </c>
      <c r="AJ35" s="153" t="s">
        <v>390</v>
      </c>
      <c r="AK35" s="153" t="s">
        <v>6035</v>
      </c>
      <c r="AL35" s="153" t="s">
        <v>6055</v>
      </c>
      <c r="AM35" s="158" t="s">
        <v>149</v>
      </c>
      <c r="AN35" s="158" t="s">
        <v>149</v>
      </c>
      <c r="AO35" s="156">
        <v>1.0</v>
      </c>
      <c r="AP35" s="156" t="s">
        <v>6037</v>
      </c>
      <c r="AQ35" s="158" t="s">
        <v>395</v>
      </c>
      <c r="AR35" s="153" t="s">
        <v>6060</v>
      </c>
      <c r="AS35" s="177" t="s">
        <v>397</v>
      </c>
      <c r="AT35" s="153" t="s">
        <v>398</v>
      </c>
      <c r="AU35" s="158" t="s">
        <v>149</v>
      </c>
    </row>
    <row r="36">
      <c r="A36" s="186">
        <v>18.0</v>
      </c>
      <c r="B36" s="152">
        <v>2023.0</v>
      </c>
      <c r="D36" s="152"/>
      <c r="E36" s="151">
        <v>18.0</v>
      </c>
      <c r="F36" s="129" t="s">
        <v>140</v>
      </c>
      <c r="G36" s="3" t="s">
        <v>6029</v>
      </c>
      <c r="H36" s="8" t="str">
        <f>IFERROR(__xludf.DUMMYFUNCTION("""COMPUTED_VALUE"""),"")</f>
        <v/>
      </c>
      <c r="I36" s="8" t="s">
        <v>6110</v>
      </c>
      <c r="J36" s="8" t="s">
        <v>143</v>
      </c>
      <c r="K36" s="8" t="s">
        <v>404</v>
      </c>
      <c r="L36" s="158" t="s">
        <v>433</v>
      </c>
      <c r="M36" s="153" t="s">
        <v>434</v>
      </c>
      <c r="N36" s="8" t="s">
        <v>151</v>
      </c>
      <c r="O36" s="8" t="s">
        <v>384</v>
      </c>
      <c r="P36" s="8" t="s">
        <v>435</v>
      </c>
      <c r="Q36" s="142" t="s">
        <v>6051</v>
      </c>
      <c r="R36" s="142" t="s">
        <v>6052</v>
      </c>
      <c r="S36" s="142" t="s">
        <v>6053</v>
      </c>
      <c r="T36" s="8"/>
      <c r="U36" s="8">
        <f>IFERROR(__xludf.DUMMYFUNCTION("""COMPUTED_VALUE"""),20.0)</f>
        <v>20</v>
      </c>
      <c r="V36" s="8"/>
      <c r="W36" s="8"/>
      <c r="X36" s="8"/>
      <c r="Y36" s="8"/>
      <c r="AA36" s="8" t="s">
        <v>6054</v>
      </c>
      <c r="AB36" s="154" t="s">
        <v>149</v>
      </c>
      <c r="AC36" s="8" t="s">
        <v>390</v>
      </c>
      <c r="AG36" s="155" t="s">
        <v>149</v>
      </c>
      <c r="AH36" s="154" t="s">
        <v>149</v>
      </c>
      <c r="AI36" s="8" t="s">
        <v>436</v>
      </c>
      <c r="AJ36" s="8" t="s">
        <v>390</v>
      </c>
      <c r="AL36" s="8" t="s">
        <v>6055</v>
      </c>
      <c r="AM36" s="154" t="s">
        <v>149</v>
      </c>
      <c r="AN36" s="8" t="s">
        <v>6056</v>
      </c>
      <c r="AO36" s="8"/>
      <c r="AP36" s="8"/>
      <c r="AR36" s="8" t="s">
        <v>6057</v>
      </c>
      <c r="AS36" s="8" t="s">
        <v>2873</v>
      </c>
      <c r="AT36" s="8" t="s">
        <v>398</v>
      </c>
      <c r="AU36" s="154" t="s">
        <v>149</v>
      </c>
    </row>
    <row r="37">
      <c r="A37" s="151">
        <v>18.0</v>
      </c>
      <c r="B37" s="152">
        <v>2025.0</v>
      </c>
      <c r="C37" s="153" t="str">
        <f>CONCATENATE(D37, "-", M37, "-", A37)
</f>
        <v>2023-PH012934000-18</v>
      </c>
      <c r="D37" s="152">
        <f>IF(OR(F36="Published", F36="Unpublished"), 2023, IF(F36="New", 2025, ""))
</f>
        <v>2023</v>
      </c>
      <c r="E37" s="151">
        <v>18.0</v>
      </c>
      <c r="F37" s="156" t="s">
        <v>140</v>
      </c>
      <c r="G37" s="156" t="s">
        <v>141</v>
      </c>
      <c r="H37" s="153" t="str">
        <f>IFERROR(__xludf.DUMMYFUNCTION("""COMPUTED_VALUE"""),"**Year of establishment** changed from 1986 to 1986, **Reference** changed from Conference Proceediing to Balgos, M.C. (1995). Evaluation of artificial reef development in the Philippines. In Munro, J.L. &amp; Balgos, M. (eds.) Artificial reefs in the Philipp"&amp;"ines. ICLARM Conf. Proc. 49, pp. 6-22., **Website** changed from http://pubs.iclarm.net/libinfo/Pdf/Pub%20CP6%2049.pdf to https://core.ac.uk/download/pdf/6515223.pdf; https://www.ircwash.org/sites/default/files/802-PH90-8920.pdf")</f>
        <v>**Year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7" s="153" t="s">
        <v>6110</v>
      </c>
      <c r="J37" s="153" t="s">
        <v>143</v>
      </c>
      <c r="K37" s="153" t="s">
        <v>404</v>
      </c>
      <c r="L37" s="158" t="s">
        <v>433</v>
      </c>
      <c r="M37" s="181" t="s">
        <v>434</v>
      </c>
      <c r="N37" s="153" t="s">
        <v>151</v>
      </c>
      <c r="O37" s="153" t="s">
        <v>384</v>
      </c>
      <c r="P37" s="153" t="s">
        <v>435</v>
      </c>
      <c r="Q37" s="169">
        <v>1986.0</v>
      </c>
      <c r="R37" s="175" t="s">
        <v>6052</v>
      </c>
      <c r="S37" s="175" t="s">
        <v>6053</v>
      </c>
      <c r="T37" s="161" t="s">
        <v>150</v>
      </c>
      <c r="U37" s="153">
        <f>IFERROR(__xludf.DUMMYFUNCTION("""COMPUTED_VALUE"""),20.0)</f>
        <v>20</v>
      </c>
      <c r="V37" s="162" t="s">
        <v>3311</v>
      </c>
      <c r="W37" s="170" t="s">
        <v>6059</v>
      </c>
      <c r="Y37" s="28" t="s">
        <v>386</v>
      </c>
      <c r="Z37" s="176" t="s">
        <v>386</v>
      </c>
      <c r="AA37" s="153" t="s">
        <v>6054</v>
      </c>
      <c r="AB37" s="158" t="s">
        <v>149</v>
      </c>
      <c r="AC37" s="153" t="s">
        <v>390</v>
      </c>
      <c r="AD37" s="158" t="s">
        <v>160</v>
      </c>
      <c r="AE37" s="158" t="s">
        <v>6035</v>
      </c>
      <c r="AF37" s="158" t="s">
        <v>159</v>
      </c>
      <c r="AG37" s="164" t="s">
        <v>149</v>
      </c>
      <c r="AH37" s="158" t="s">
        <v>149</v>
      </c>
      <c r="AI37" s="153" t="s">
        <v>436</v>
      </c>
      <c r="AJ37" s="153" t="s">
        <v>390</v>
      </c>
      <c r="AK37" s="153" t="s">
        <v>6035</v>
      </c>
      <c r="AL37" s="153" t="s">
        <v>6055</v>
      </c>
      <c r="AM37" s="154" t="s">
        <v>149</v>
      </c>
      <c r="AN37" s="153" t="s">
        <v>6056</v>
      </c>
      <c r="AO37" s="156">
        <v>1.0</v>
      </c>
      <c r="AP37" s="156" t="s">
        <v>6037</v>
      </c>
      <c r="AQ37" s="158" t="s">
        <v>395</v>
      </c>
      <c r="AR37" s="153" t="s">
        <v>6060</v>
      </c>
      <c r="AS37" s="177" t="s">
        <v>397</v>
      </c>
      <c r="AT37" s="153" t="s">
        <v>398</v>
      </c>
      <c r="AU37" s="154" t="s">
        <v>149</v>
      </c>
    </row>
    <row r="38">
      <c r="A38" s="186">
        <v>19.0</v>
      </c>
      <c r="B38" s="152">
        <v>2023.0</v>
      </c>
      <c r="D38" s="152"/>
      <c r="E38" s="151">
        <v>19.0</v>
      </c>
      <c r="F38" s="129" t="s">
        <v>140</v>
      </c>
      <c r="G38" s="3" t="s">
        <v>6029</v>
      </c>
      <c r="H38" s="8" t="str">
        <f>IFERROR(__xludf.DUMMYFUNCTION("""COMPUTED_VALUE"""),"")</f>
        <v/>
      </c>
      <c r="I38" s="8" t="s">
        <v>6111</v>
      </c>
      <c r="J38" s="8" t="s">
        <v>143</v>
      </c>
      <c r="K38" s="8" t="s">
        <v>438</v>
      </c>
      <c r="L38" s="8" t="s">
        <v>2845</v>
      </c>
      <c r="M38" s="153" t="s">
        <v>2846</v>
      </c>
      <c r="N38" s="8" t="s">
        <v>151</v>
      </c>
      <c r="O38" s="8" t="s">
        <v>384</v>
      </c>
      <c r="P38" s="8" t="s">
        <v>2847</v>
      </c>
      <c r="Q38" s="181" t="s">
        <v>6073</v>
      </c>
      <c r="R38" s="142" t="s">
        <v>6052</v>
      </c>
      <c r="S38" s="142" t="s">
        <v>6053</v>
      </c>
      <c r="T38" s="8"/>
      <c r="U38" s="8">
        <f>IFERROR(__xludf.DUMMYFUNCTION("""COMPUTED_VALUE"""),21.0)</f>
        <v>21</v>
      </c>
      <c r="V38" s="8"/>
      <c r="W38" s="8"/>
      <c r="X38" s="8"/>
      <c r="Y38" s="8"/>
      <c r="AA38" s="8" t="s">
        <v>6054</v>
      </c>
      <c r="AB38" s="154" t="s">
        <v>149</v>
      </c>
      <c r="AC38" s="8" t="s">
        <v>390</v>
      </c>
      <c r="AG38" s="155" t="s">
        <v>149</v>
      </c>
      <c r="AH38" s="154" t="s">
        <v>149</v>
      </c>
      <c r="AI38" s="8" t="s">
        <v>2848</v>
      </c>
      <c r="AJ38" s="8" t="s">
        <v>390</v>
      </c>
      <c r="AL38" s="8" t="s">
        <v>6055</v>
      </c>
      <c r="AM38" s="154" t="s">
        <v>149</v>
      </c>
      <c r="AN38" s="154" t="s">
        <v>149</v>
      </c>
      <c r="AO38" s="8"/>
      <c r="AP38" s="8"/>
      <c r="AR38" s="8" t="s">
        <v>6057</v>
      </c>
      <c r="AS38" s="8" t="s">
        <v>2873</v>
      </c>
      <c r="AT38" s="8" t="s">
        <v>398</v>
      </c>
      <c r="AU38" s="154" t="s">
        <v>149</v>
      </c>
    </row>
    <row r="39">
      <c r="A39" s="151">
        <v>19.0</v>
      </c>
      <c r="B39" s="152">
        <v>2023.0</v>
      </c>
      <c r="D39" s="152"/>
      <c r="E39" s="151">
        <v>19.0</v>
      </c>
      <c r="F39" s="129" t="s">
        <v>140</v>
      </c>
      <c r="G39" s="3" t="s">
        <v>3279</v>
      </c>
      <c r="H39" s="8" t="str">
        <f>IFERROR(__xludf.DUMMYFUNCTION("""COMPUTED_VALUE"""),"")</f>
        <v/>
      </c>
      <c r="I39" s="8" t="s">
        <v>6112</v>
      </c>
      <c r="J39" s="8" t="s">
        <v>143</v>
      </c>
      <c r="K39" s="8" t="s">
        <v>404</v>
      </c>
      <c r="L39" s="8" t="s">
        <v>428</v>
      </c>
      <c r="M39" s="153" t="s">
        <v>429</v>
      </c>
      <c r="N39" s="8" t="s">
        <v>151</v>
      </c>
      <c r="O39" s="8" t="s">
        <v>6113</v>
      </c>
      <c r="Q39" s="142"/>
      <c r="R39" s="142" t="s">
        <v>6114</v>
      </c>
      <c r="S39" s="142" t="s">
        <v>6042</v>
      </c>
      <c r="U39" s="8">
        <f>IFERROR(__xludf.DUMMYFUNCTION("""COMPUTED_VALUE"""),22.0)</f>
        <v>22</v>
      </c>
      <c r="V39" s="8"/>
      <c r="W39" s="8"/>
      <c r="AC39" s="8" t="s">
        <v>390</v>
      </c>
      <c r="AG39" s="142"/>
      <c r="AJ39" s="8" t="s">
        <v>390</v>
      </c>
      <c r="AO39" s="8"/>
      <c r="AP39" s="8"/>
    </row>
    <row r="40">
      <c r="A40" s="186">
        <v>20.0</v>
      </c>
      <c r="B40" s="152">
        <v>2023.0</v>
      </c>
      <c r="D40" s="152"/>
      <c r="E40" s="151">
        <v>20.0</v>
      </c>
      <c r="F40" s="129" t="s">
        <v>140</v>
      </c>
      <c r="G40" s="3" t="s">
        <v>6029</v>
      </c>
      <c r="H40" s="8" t="str">
        <f>IFERROR(__xludf.DUMMYFUNCTION("""COMPUTED_VALUE"""),"")</f>
        <v/>
      </c>
      <c r="I40" s="8" t="s">
        <v>6115</v>
      </c>
      <c r="J40" s="8" t="s">
        <v>143</v>
      </c>
      <c r="K40" s="8" t="s">
        <v>438</v>
      </c>
      <c r="L40" s="8" t="s">
        <v>439</v>
      </c>
      <c r="M40" s="153" t="s">
        <v>440</v>
      </c>
      <c r="N40" s="8" t="s">
        <v>151</v>
      </c>
      <c r="O40" s="8" t="s">
        <v>384</v>
      </c>
      <c r="P40" s="8" t="s">
        <v>441</v>
      </c>
      <c r="Q40" s="142" t="s">
        <v>6051</v>
      </c>
      <c r="R40" s="142" t="s">
        <v>6052</v>
      </c>
      <c r="S40" s="142" t="s">
        <v>6053</v>
      </c>
      <c r="T40" s="8"/>
      <c r="U40" s="8">
        <f>IFERROR(__xludf.DUMMYFUNCTION("""COMPUTED_VALUE"""),23.0)</f>
        <v>23</v>
      </c>
      <c r="V40" s="8"/>
      <c r="W40" s="8"/>
      <c r="X40" s="8"/>
      <c r="Y40" s="8"/>
      <c r="AA40" s="8" t="s">
        <v>6054</v>
      </c>
      <c r="AB40" s="154" t="s">
        <v>149</v>
      </c>
      <c r="AC40" s="8" t="s">
        <v>390</v>
      </c>
      <c r="AG40" s="155" t="s">
        <v>149</v>
      </c>
      <c r="AH40" s="154" t="s">
        <v>149</v>
      </c>
      <c r="AI40" s="8" t="s">
        <v>391</v>
      </c>
      <c r="AJ40" s="8" t="s">
        <v>390</v>
      </c>
      <c r="AL40" s="8" t="s">
        <v>6055</v>
      </c>
      <c r="AM40" s="154" t="s">
        <v>149</v>
      </c>
      <c r="AN40" s="154" t="s">
        <v>149</v>
      </c>
      <c r="AO40" s="8"/>
      <c r="AP40" s="8"/>
      <c r="AR40" s="8" t="s">
        <v>6057</v>
      </c>
      <c r="AS40" s="8" t="s">
        <v>2873</v>
      </c>
      <c r="AT40" s="8" t="s">
        <v>398</v>
      </c>
      <c r="AU40" s="154" t="s">
        <v>149</v>
      </c>
    </row>
    <row r="41">
      <c r="A41" s="151">
        <v>20.0</v>
      </c>
      <c r="B41" s="152">
        <v>2025.0</v>
      </c>
      <c r="C41" s="153" t="str">
        <f>CONCATENATE(D41, "-", M41, "-", A41)
</f>
        <v>2023-PH013301000-20</v>
      </c>
      <c r="D41" s="152">
        <f>IF(OR(F40="Published", F40="Unpublished"), 2023, IF(F40="New", 2025, ""))
</f>
        <v>2023</v>
      </c>
      <c r="E41" s="151">
        <v>20.0</v>
      </c>
      <c r="F41" s="156" t="s">
        <v>140</v>
      </c>
      <c r="G41" s="156" t="s">
        <v>141</v>
      </c>
      <c r="H41" s="153" t="str">
        <f>IFERROR(__xludf.DUMMYFUNCTION("""COMPUTED_VALUE"""),"**Restoration_project_short** changed from Site in Dulao to Site in Baluarte, **Year of establishment** changed from 1986 to 1982, **Total units** changed from 10 TM to 800 tire units, **Reference** changed from Conference Proceediing to Balgos, M.C. (199"&amp;"5). Evaluation of artificial reef development in the Philippines. In Munro, J.L. &amp; Balgos, M. (eds.) Artificial reefs in the Philippines. ICLARM Conf. Proc. 49, pp. 6-22., **Website** changed from http://pubs.iclarm.net/libinfo/Pdf/Pub%20CP6%2049.pdf to h"&amp;"ttps://core.ac.uk/download/pdf/6515223.pdf; https://www.ircwash.org/sites/default/files/802-PH90-8920.pdf")</f>
        <v>**Restoration_project_short** changed from Site in Dulao to Site in Baluarte, **Year of establishment** changed from 1986 to 1982, **Total units** changed from 10 TM to 800 tire units,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41" s="153" t="s">
        <v>6116</v>
      </c>
      <c r="J41" s="153" t="s">
        <v>143</v>
      </c>
      <c r="K41" s="153" t="s">
        <v>438</v>
      </c>
      <c r="L41" s="153" t="s">
        <v>2845</v>
      </c>
      <c r="M41" s="181" t="s">
        <v>2846</v>
      </c>
      <c r="N41" s="153" t="s">
        <v>151</v>
      </c>
      <c r="O41" s="153" t="s">
        <v>384</v>
      </c>
      <c r="P41" s="153" t="s">
        <v>2847</v>
      </c>
      <c r="Q41" s="169">
        <v>1982.0</v>
      </c>
      <c r="R41" s="175" t="s">
        <v>6052</v>
      </c>
      <c r="S41" s="175" t="s">
        <v>6053</v>
      </c>
      <c r="T41" s="161" t="s">
        <v>150</v>
      </c>
      <c r="U41" s="153">
        <f>IFERROR(__xludf.DUMMYFUNCTION("""COMPUTED_VALUE"""),24.0)</f>
        <v>24</v>
      </c>
      <c r="V41" s="162" t="s">
        <v>3311</v>
      </c>
      <c r="W41" s="170" t="s">
        <v>6059</v>
      </c>
      <c r="Y41" s="28" t="s">
        <v>386</v>
      </c>
      <c r="Z41" s="176" t="s">
        <v>386</v>
      </c>
      <c r="AA41" s="158" t="s">
        <v>6054</v>
      </c>
      <c r="AB41" s="158" t="s">
        <v>149</v>
      </c>
      <c r="AC41" s="153" t="s">
        <v>390</v>
      </c>
      <c r="AD41" s="158" t="s">
        <v>160</v>
      </c>
      <c r="AE41" s="158" t="s">
        <v>6035</v>
      </c>
      <c r="AF41" s="158" t="s">
        <v>159</v>
      </c>
      <c r="AG41" s="164" t="s">
        <v>149</v>
      </c>
      <c r="AH41" s="158" t="s">
        <v>149</v>
      </c>
      <c r="AI41" s="153" t="s">
        <v>2848</v>
      </c>
      <c r="AJ41" s="153" t="s">
        <v>390</v>
      </c>
      <c r="AK41" s="153" t="s">
        <v>6035</v>
      </c>
      <c r="AL41" s="153" t="s">
        <v>6055</v>
      </c>
      <c r="AM41" s="154" t="s">
        <v>149</v>
      </c>
      <c r="AN41" s="154" t="s">
        <v>149</v>
      </c>
      <c r="AO41" s="156">
        <v>1.0</v>
      </c>
      <c r="AP41" s="156" t="s">
        <v>6037</v>
      </c>
      <c r="AQ41" s="158" t="s">
        <v>395</v>
      </c>
      <c r="AR41" s="153" t="s">
        <v>6060</v>
      </c>
      <c r="AS41" s="177" t="s">
        <v>397</v>
      </c>
      <c r="AT41" s="153" t="s">
        <v>398</v>
      </c>
      <c r="AU41" s="154" t="s">
        <v>149</v>
      </c>
    </row>
    <row r="42">
      <c r="A42" s="186">
        <v>21.0</v>
      </c>
      <c r="B42" s="152">
        <v>2023.0</v>
      </c>
      <c r="D42" s="152"/>
      <c r="E42" s="151">
        <v>21.0</v>
      </c>
      <c r="F42" s="129" t="s">
        <v>140</v>
      </c>
      <c r="G42" s="3" t="s">
        <v>6029</v>
      </c>
      <c r="H42" s="8" t="str">
        <f>IFERROR(__xludf.DUMMYFUNCTION("""COMPUTED_VALUE"""),"")</f>
        <v/>
      </c>
      <c r="I42" s="8" t="s">
        <v>6117</v>
      </c>
      <c r="J42" s="8" t="s">
        <v>143</v>
      </c>
      <c r="K42" s="8" t="s">
        <v>438</v>
      </c>
      <c r="L42" s="8" t="s">
        <v>1633</v>
      </c>
      <c r="M42" s="153" t="s">
        <v>1634</v>
      </c>
      <c r="N42" s="8" t="s">
        <v>151</v>
      </c>
      <c r="O42" s="8" t="s">
        <v>1635</v>
      </c>
      <c r="P42" s="154" t="s">
        <v>149</v>
      </c>
      <c r="Q42" s="142" t="s">
        <v>6030</v>
      </c>
      <c r="R42" s="154" t="s">
        <v>149</v>
      </c>
      <c r="S42" s="154" t="s">
        <v>149</v>
      </c>
      <c r="T42" s="8"/>
      <c r="U42" s="8">
        <f>IFERROR(__xludf.DUMMYFUNCTION("""COMPUTED_VALUE"""),25.0)</f>
        <v>25</v>
      </c>
      <c r="V42" s="8"/>
      <c r="W42" s="154"/>
      <c r="X42" s="8"/>
      <c r="Y42" s="8"/>
      <c r="AA42" s="154" t="s">
        <v>149</v>
      </c>
      <c r="AB42" s="154" t="s">
        <v>149</v>
      </c>
      <c r="AC42" s="8" t="s">
        <v>341</v>
      </c>
      <c r="AG42" s="155" t="s">
        <v>149</v>
      </c>
      <c r="AH42" s="154" t="s">
        <v>149</v>
      </c>
      <c r="AI42" s="154" t="s">
        <v>149</v>
      </c>
      <c r="AJ42" s="8" t="s">
        <v>6118</v>
      </c>
      <c r="AL42" s="154" t="s">
        <v>149</v>
      </c>
      <c r="AM42" s="154" t="s">
        <v>149</v>
      </c>
      <c r="AN42" s="154" t="s">
        <v>149</v>
      </c>
      <c r="AO42" s="8"/>
      <c r="AP42" s="8"/>
      <c r="AR42" s="154" t="s">
        <v>149</v>
      </c>
      <c r="AS42" s="154" t="s">
        <v>149</v>
      </c>
      <c r="AT42" s="154" t="s">
        <v>149</v>
      </c>
      <c r="AU42" s="154" t="s">
        <v>149</v>
      </c>
    </row>
    <row r="43">
      <c r="A43" s="151">
        <v>21.0</v>
      </c>
      <c r="B43" s="152">
        <v>2025.0</v>
      </c>
      <c r="C43" s="153" t="str">
        <f>CONCATENATE(D43, "-", M43, "-", A43)
</f>
        <v>2023-PH013302000-21</v>
      </c>
      <c r="D43" s="152">
        <f>IF(OR(F42="Published", F42="Unpublished"), 2023, IF(F42="New", 2025, ""))
</f>
        <v>2023</v>
      </c>
      <c r="E43" s="151">
        <v>21.0</v>
      </c>
      <c r="F43" s="156" t="s">
        <v>140</v>
      </c>
      <c r="G43" s="156" t="s">
        <v>141</v>
      </c>
      <c r="H43" s="153" t="str">
        <f>IFERROR(__xludf.DUMMYFUNCTION("""COMPUTED_VALUE"""),"**Restoration_project** changed from La Union #KalikasanNaman Campaign to Artificial Reef Development Program, **Restoration_project_short** changed from Unknown to Site in Dulao, **Year of establishment** changed from 2021 to 1986, **Project Start** chan"&amp;"ged from Unknown to 1985, **Project End** changed from Unknown to 1987, **Technique/Material Type** changed from Unknown to tires, **Funding agency** changed from DENR to BFAR, **Total units** changed from Unknown to 10 TM, **Implementing institution** ch"&amp;"anged from PLGU, MLGU to BFAR, **Partners_public** changed from Unknown to Ministry of Human Settlements, **Reference** changed from Unknown to Balgos, M.C. (1995). Evaluation of artificial reef development in the Philippines. In Munro, J.L. &amp; Balgos, M. "&amp;"(eds.) Artificial reefs in the Philippines. ICLARM Conf. Proc. 49, pp. 6-22., **Website** changed from Unknown to https://core.ac.uk/download/pdf/6515223.pdf; https://www.ircwash.org/sites/default/files/802-PH90-8920.pdf, **Contact_name** changed from Unk"&amp;"nown to Miriam Balgos")</f>
        <v>**Restoration_project** changed from La Union #KalikasanNaman Campaign to Artificial Reef Development Program, **Restoration_project_short** changed from Unknown to Site in Dulao, **Year of establishment** changed from 2021 to 1986, **Project Start** changed from Unknown to 1985, **Project End** changed from Unknown to 1987, **Technique/Material Type** changed from Unknown to tires, **Funding agency** changed from DENR to BFAR, **Total units** changed from Unknown to 10 TM, **Implementing institution** changed from PLGU, MLGU to BFAR, **Partners_public** changed from Unknown to Ministry of Human Settlements,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43" s="153" t="s">
        <v>6119</v>
      </c>
      <c r="J43" s="153" t="s">
        <v>143</v>
      </c>
      <c r="K43" s="153" t="s">
        <v>438</v>
      </c>
      <c r="L43" s="153" t="s">
        <v>439</v>
      </c>
      <c r="M43" s="157" t="s">
        <v>440</v>
      </c>
      <c r="N43" s="153" t="s">
        <v>151</v>
      </c>
      <c r="O43" s="153" t="s">
        <v>384</v>
      </c>
      <c r="P43" s="153" t="s">
        <v>441</v>
      </c>
      <c r="Q43" s="169">
        <v>1986.0</v>
      </c>
      <c r="R43" s="175" t="s">
        <v>6052</v>
      </c>
      <c r="S43" s="175" t="s">
        <v>6053</v>
      </c>
      <c r="T43" s="161" t="s">
        <v>150</v>
      </c>
      <c r="U43" s="153">
        <f>IFERROR(__xludf.DUMMYFUNCTION("""COMPUTED_VALUE"""),26.0)</f>
        <v>26</v>
      </c>
      <c r="V43" s="162" t="s">
        <v>3311</v>
      </c>
      <c r="W43" s="170" t="s">
        <v>6059</v>
      </c>
      <c r="Y43" s="28" t="s">
        <v>386</v>
      </c>
      <c r="Z43" s="176" t="s">
        <v>386</v>
      </c>
      <c r="AA43" s="153" t="s">
        <v>6054</v>
      </c>
      <c r="AB43" s="158" t="s">
        <v>149</v>
      </c>
      <c r="AC43" s="153" t="s">
        <v>390</v>
      </c>
      <c r="AD43" s="158" t="s">
        <v>160</v>
      </c>
      <c r="AE43" s="158" t="s">
        <v>6035</v>
      </c>
      <c r="AF43" s="158" t="s">
        <v>159</v>
      </c>
      <c r="AG43" s="164" t="s">
        <v>149</v>
      </c>
      <c r="AH43" s="158" t="s">
        <v>149</v>
      </c>
      <c r="AI43" s="153" t="s">
        <v>391</v>
      </c>
      <c r="AJ43" s="153" t="s">
        <v>390</v>
      </c>
      <c r="AK43" s="153" t="s">
        <v>6035</v>
      </c>
      <c r="AL43" s="153" t="s">
        <v>6055</v>
      </c>
      <c r="AM43" s="154" t="s">
        <v>149</v>
      </c>
      <c r="AN43" s="154" t="s">
        <v>149</v>
      </c>
      <c r="AO43" s="156">
        <v>1.0</v>
      </c>
      <c r="AP43" s="156" t="s">
        <v>6037</v>
      </c>
      <c r="AQ43" s="158" t="s">
        <v>395</v>
      </c>
      <c r="AR43" s="153" t="s">
        <v>6060</v>
      </c>
      <c r="AS43" s="177" t="s">
        <v>397</v>
      </c>
      <c r="AT43" s="153" t="s">
        <v>398</v>
      </c>
      <c r="AU43" s="154" t="s">
        <v>149</v>
      </c>
    </row>
    <row r="44">
      <c r="A44" s="186">
        <v>22.0</v>
      </c>
      <c r="B44" s="152">
        <v>2023.0</v>
      </c>
      <c r="D44" s="152"/>
      <c r="E44" s="151">
        <v>22.0</v>
      </c>
      <c r="F44" s="129" t="s">
        <v>140</v>
      </c>
      <c r="G44" s="3" t="s">
        <v>6029</v>
      </c>
      <c r="H44" s="8" t="str">
        <f>IFERROR(__xludf.DUMMYFUNCTION("""COMPUTED_VALUE"""),"")</f>
        <v/>
      </c>
      <c r="I44" s="8" t="s">
        <v>6120</v>
      </c>
      <c r="J44" s="8" t="s">
        <v>143</v>
      </c>
      <c r="K44" s="8" t="s">
        <v>438</v>
      </c>
      <c r="L44" s="8" t="s">
        <v>6121</v>
      </c>
      <c r="M44" s="173" t="s">
        <v>1565</v>
      </c>
      <c r="N44" s="8" t="s">
        <v>151</v>
      </c>
      <c r="O44" s="8" t="s">
        <v>6122</v>
      </c>
      <c r="P44" s="154" t="s">
        <v>149</v>
      </c>
      <c r="Q44" s="142" t="s">
        <v>6030</v>
      </c>
      <c r="R44" s="154" t="s">
        <v>149</v>
      </c>
      <c r="S44" s="154" t="s">
        <v>149</v>
      </c>
      <c r="T44" s="8"/>
      <c r="U44" s="8">
        <f>IFERROR(__xludf.DUMMYFUNCTION("""COMPUTED_VALUE"""),27.0)</f>
        <v>27</v>
      </c>
      <c r="V44" s="8"/>
      <c r="W44" s="154"/>
      <c r="X44" s="8"/>
      <c r="Y44" s="8"/>
      <c r="AA44" s="154" t="s">
        <v>149</v>
      </c>
      <c r="AB44" s="8" t="s">
        <v>6123</v>
      </c>
      <c r="AC44" s="8" t="s">
        <v>6124</v>
      </c>
      <c r="AG44" s="155" t="s">
        <v>149</v>
      </c>
      <c r="AH44" s="154" t="s">
        <v>149</v>
      </c>
      <c r="AI44" s="8" t="s">
        <v>1536</v>
      </c>
      <c r="AJ44" s="8" t="s">
        <v>369</v>
      </c>
      <c r="AL44" s="8" t="s">
        <v>6125</v>
      </c>
      <c r="AM44" s="154" t="s">
        <v>149</v>
      </c>
      <c r="AN44" s="154" t="s">
        <v>149</v>
      </c>
      <c r="AO44" s="8"/>
      <c r="AP44" s="8"/>
      <c r="AR44" s="8" t="s">
        <v>1575</v>
      </c>
      <c r="AS44" s="154" t="s">
        <v>149</v>
      </c>
      <c r="AT44" s="154" t="s">
        <v>149</v>
      </c>
      <c r="AU44" s="8" t="s">
        <v>1577</v>
      </c>
    </row>
    <row r="45">
      <c r="A45" s="151">
        <v>22.0</v>
      </c>
      <c r="B45" s="152">
        <v>2025.0</v>
      </c>
      <c r="C45" s="153" t="str">
        <f>CONCATENATE(D45, "-", M45, "-", A45)
</f>
        <v>2023-PH013303000-22</v>
      </c>
      <c r="D45" s="152">
        <f>IF(OR(F44="Published", F44="Unpublished"), 2023, IF(F44="New", 2025, ""))
</f>
        <v>2023</v>
      </c>
      <c r="E45" s="151">
        <v>22.0</v>
      </c>
      <c r="F45" s="156" t="s">
        <v>140</v>
      </c>
      <c r="G45" s="156" t="s">
        <v>141</v>
      </c>
      <c r="H45" s="153" t="str">
        <f>IFERROR(__xludf.DUMMYFUNCTION("""COMPUTED_VALUE"""),"**Restoration_project** changed from Installation of Artificial Reef to Harness Potential of Balaoan, La Union Underwater Tourism and Improved Coral Reef Productivity Project to La Union #KalikasanNaman Campaign, **Year of establishment** changed from 202"&amp;"1 to 2021, **Technique/Material Type** changed from Unknown to Concrete tripod, **Restoration objective** changed from Coral reef enhancement to Promote ecological integrity and clean and healthy environment, **Funding agency** changed from Inner Wheel Cl"&amp;"ub of San Fernando, Rotary Club of San Fernando to PLGU, **Total units** changed from 7 units to (part of the 70 units distributed in 3 LGUs), **Implementing institution** changed from MLGU to PLGU, **Partners_public** changed from Don Mariano Marcos Memo"&amp;"rial State University - Institute of Environmental Studies to DENR, PG-ENRO, OPA, PDRRMO, **Reference** changed from https://www.dmmmsu.edu.ph/2021/12/08/7-artificial-reefs-installed-in-coastal-area-along-frti/ to Libong, G. (2021, May 5). La Union sustai"&amp;"ns living shorelines; Deploys artificial reefs, **Website** changed from Unknown to https://amiananbalitangayon.com/la-union-sustains-living-shorelines-deploys-artificial-reefs/, **Contact_details** changed from agriculture@balaoanlaunion.gov.ph; (072) 60"&amp;"7 0011; balaoan_2517@gmail.com; omm@balaoanlaunion.gov.ph; (072) 607 0069; balaoan_2517@yahoo.com.ph to Unknown")</f>
        <v>**Restoration_project** changed from Installation of Artificial Reef to Harness Potential of Balaoan, La Union Underwater Tourism and Improved Coral Reef Productivity Project to La Union #KalikasanNaman Campaign, **Year of establishment** changed from 2021 to 2021, **Technique/Material Type** changed from Unknown to Concrete tripod, **Restoration objective** changed from Coral reef enhancement to Promote ecological integrity and clean and healthy environment, **Funding agency** changed from Inner Wheel Club of San Fernando, Rotary Club of San Fernando to PLGU, **Total units** changed from 7 units to (part of the 70 units distributed in 3 LGUs), **Implementing institution** changed from MLGU to PLGU, **Partners_public** changed from Don Mariano Marcos Memorial State University - Institute of Environmental Studies to DENR, PG-ENRO, OPA, PDRRMO, **Reference** changed from https://www.dmmmsu.edu.ph/2021/12/08/7-artificial-reefs-installed-in-coastal-area-along-frti/ to Libong, G. (2021, May 5). La Union sustains living shorelines; Deploys artificial reefs, **Website** changed from Unknown to https://amiananbalitangayon.com/la-union-sustains-living-shorelines-deploys-artificial-reefs/, **Contact_details** changed from agriculture@balaoanlaunion.gov.ph; (072) 607 0011; balaoan_2517@gmail.com; omm@balaoanlaunion.gov.ph; (072) 607 0069; balaoan_2517@yahoo.com.ph to Unknown</v>
      </c>
      <c r="I45" s="153" t="s">
        <v>6126</v>
      </c>
      <c r="J45" s="153" t="s">
        <v>143</v>
      </c>
      <c r="K45" s="153" t="s">
        <v>438</v>
      </c>
      <c r="L45" s="153" t="s">
        <v>1633</v>
      </c>
      <c r="M45" s="181" t="s">
        <v>1634</v>
      </c>
      <c r="N45" s="153" t="s">
        <v>151</v>
      </c>
      <c r="O45" s="153" t="s">
        <v>1635</v>
      </c>
      <c r="P45" s="154" t="s">
        <v>149</v>
      </c>
      <c r="Q45" s="169">
        <v>2021.0</v>
      </c>
      <c r="R45" s="160" t="s">
        <v>149</v>
      </c>
      <c r="S45" s="160" t="s">
        <v>149</v>
      </c>
      <c r="T45" s="161" t="s">
        <v>150</v>
      </c>
      <c r="U45" s="153">
        <f>IFERROR(__xludf.DUMMYFUNCTION("""COMPUTED_VALUE"""),28.0)</f>
        <v>28</v>
      </c>
      <c r="V45" s="162" t="s">
        <v>3311</v>
      </c>
      <c r="W45" s="184" t="s">
        <v>6032</v>
      </c>
      <c r="X45" s="28" t="s">
        <v>6033</v>
      </c>
      <c r="Y45" s="32" t="s">
        <v>153</v>
      </c>
      <c r="Z45" s="158" t="s">
        <v>153</v>
      </c>
      <c r="AA45" s="158" t="s">
        <v>153</v>
      </c>
      <c r="AB45" s="158" t="s">
        <v>1647</v>
      </c>
      <c r="AC45" s="158" t="s">
        <v>158</v>
      </c>
      <c r="AD45" s="158" t="s">
        <v>160</v>
      </c>
      <c r="AE45" s="158" t="s">
        <v>6035</v>
      </c>
      <c r="AF45" s="158" t="s">
        <v>159</v>
      </c>
      <c r="AG45" s="164" t="s">
        <v>149</v>
      </c>
      <c r="AH45" s="158" t="s">
        <v>149</v>
      </c>
      <c r="AI45" s="158" t="s">
        <v>6127</v>
      </c>
      <c r="AJ45" s="153" t="s">
        <v>158</v>
      </c>
      <c r="AK45" s="153" t="s">
        <v>6035</v>
      </c>
      <c r="AL45" s="158" t="s">
        <v>6128</v>
      </c>
      <c r="AM45" s="154" t="s">
        <v>149</v>
      </c>
      <c r="AN45" s="154" t="s">
        <v>149</v>
      </c>
      <c r="AO45" s="156">
        <v>1.0</v>
      </c>
      <c r="AP45" s="156" t="s">
        <v>6037</v>
      </c>
      <c r="AQ45" s="158" t="s">
        <v>166</v>
      </c>
      <c r="AR45" s="153" t="s">
        <v>1640</v>
      </c>
      <c r="AS45" s="172" t="s">
        <v>1641</v>
      </c>
      <c r="AT45" s="154" t="s">
        <v>149</v>
      </c>
      <c r="AU45" s="154" t="s">
        <v>149</v>
      </c>
      <c r="AV45" s="8" t="s">
        <v>6109</v>
      </c>
    </row>
    <row r="46">
      <c r="A46" s="186">
        <v>23.0</v>
      </c>
      <c r="B46" s="152">
        <v>2023.0</v>
      </c>
      <c r="D46" s="152"/>
      <c r="E46" s="151">
        <v>23.0</v>
      </c>
      <c r="F46" s="129" t="s">
        <v>140</v>
      </c>
      <c r="G46" s="3" t="s">
        <v>6029</v>
      </c>
      <c r="H46" s="8" t="str">
        <f>IFERROR(__xludf.DUMMYFUNCTION("""COMPUTED_VALUE"""),"")</f>
        <v/>
      </c>
      <c r="I46" s="8" t="s">
        <v>6129</v>
      </c>
      <c r="J46" s="8" t="s">
        <v>143</v>
      </c>
      <c r="K46" s="8" t="s">
        <v>438</v>
      </c>
      <c r="L46" s="8" t="s">
        <v>6121</v>
      </c>
      <c r="M46" s="153" t="s">
        <v>1565</v>
      </c>
      <c r="N46" s="8" t="s">
        <v>151</v>
      </c>
      <c r="O46" s="8" t="s">
        <v>1635</v>
      </c>
      <c r="P46" s="154" t="s">
        <v>149</v>
      </c>
      <c r="Q46" s="142" t="s">
        <v>6030</v>
      </c>
      <c r="R46" s="154" t="s">
        <v>149</v>
      </c>
      <c r="S46" s="154" t="s">
        <v>149</v>
      </c>
      <c r="T46" s="8"/>
      <c r="U46" s="8">
        <f>IFERROR(__xludf.DUMMYFUNCTION("""COMPUTED_VALUE"""),29.0)</f>
        <v>29</v>
      </c>
      <c r="V46" s="8"/>
      <c r="W46" s="154"/>
      <c r="X46" s="8"/>
      <c r="Y46" s="8"/>
      <c r="AA46" s="154" t="s">
        <v>149</v>
      </c>
      <c r="AB46" s="154" t="s">
        <v>149</v>
      </c>
      <c r="AC46" s="8" t="s">
        <v>341</v>
      </c>
      <c r="AG46" s="155" t="s">
        <v>149</v>
      </c>
      <c r="AH46" s="154" t="s">
        <v>149</v>
      </c>
      <c r="AI46" s="154" t="s">
        <v>149</v>
      </c>
      <c r="AJ46" s="8" t="s">
        <v>6118</v>
      </c>
      <c r="AL46" s="154" t="s">
        <v>149</v>
      </c>
      <c r="AM46" s="154" t="s">
        <v>149</v>
      </c>
      <c r="AN46" s="154" t="s">
        <v>149</v>
      </c>
      <c r="AO46" s="8"/>
      <c r="AP46" s="8"/>
      <c r="AR46" s="154" t="s">
        <v>149</v>
      </c>
      <c r="AS46" s="154" t="s">
        <v>149</v>
      </c>
      <c r="AT46" s="154" t="s">
        <v>149</v>
      </c>
      <c r="AU46" s="154" t="s">
        <v>149</v>
      </c>
    </row>
    <row r="47">
      <c r="A47" s="186">
        <v>23.0</v>
      </c>
      <c r="B47" s="152">
        <v>2025.0</v>
      </c>
      <c r="C47" s="153" t="str">
        <f>CONCATENATE(D47, "-", M47, "-", A47)
</f>
        <v>2023-PH013305000-23</v>
      </c>
      <c r="D47" s="152">
        <f>IF(OR(F46="Published", F46="Unpublished"), 2023, IF(F46="New", 2025, ""))
</f>
        <v>2023</v>
      </c>
      <c r="E47" s="151">
        <v>23.0</v>
      </c>
      <c r="F47" s="156" t="s">
        <v>140</v>
      </c>
      <c r="G47" s="156" t="s">
        <v>141</v>
      </c>
      <c r="H47" s="153" t="str">
        <f>IFERROR(__xludf.DUMMYFUNCTION("""COMPUTED_VALUE"""),"**Restoration_project** changed from La Union #KalikasanNaman Campaign to Installation of Artificial Reef to Harness Potential of Balaoan, La Union Underwater Tourism and Improved Coral Reef Productivity Project, **Year of establishment** changed from 202"&amp;"1 to 2021, **Restoration objective** changed from Unknown to Enhance coral reef for improved growth of the coastal flora and fauna, **Funding agency** changed from DENR to Inner Wheel Club of San Fernando, Rotary Club of San Fernando, **Total units** chan"&amp;"ged from Unknown to 7 units, **Implementing institution** changed from PLGU, MLGU to Don Mariano Marcos Memorial State University - Institute of Environmental Studies, **Partners_public** changed from Unknown to MLGU, **Partners_private** changed from Unk"&amp;"nown to Ocean Deep Diving Training Center, **Reference** changed from Unknown to Viduya, M. (2021). 7 artificial reefs installed in coastal areas along FRTI, **Website** changed from Unknown to https://www.dmmmsu.edu.ph/2021/12/08/7-artificial-reefs-insta"&amp;"lled-in-coastal-area-along-frti/, **Contact_details** changed from Unknown to agriculture@balaoanlaunion.gov.ph; (072) 607 0011; balaoan_2517@gmail.com; omm@balaoanlaunion.gov.ph; (072) 607 0069; balaoan_2517@yahoo.com.ph")</f>
        <v>**Restoration_project** changed from La Union #KalikasanNaman Campaign to Installation of Artificial Reef to Harness Potential of Balaoan, La Union Underwater Tourism and Improved Coral Reef Productivity Project, **Year of establishment** changed from 2021 to 2021, **Restoration objective** changed from Unknown to Enhance coral reef for improved growth of the coastal flora and fauna, **Funding agency** changed from DENR to Inner Wheel Club of San Fernando, Rotary Club of San Fernando, **Total units** changed from Unknown to 7 units, **Implementing institution** changed from PLGU, MLGU to Don Mariano Marcos Memorial State University - Institute of Environmental Studies, **Partners_public** changed from Unknown to MLGU, **Partners_private** changed from Unknown to Ocean Deep Diving Training Center, **Reference** changed from Unknown to Viduya, M. (2021). 7 artificial reefs installed in coastal areas along FRTI, **Website** changed from Unknown to https://www.dmmmsu.edu.ph/2021/12/08/7-artificial-reefs-installed-in-coastal-area-along-frti/, **Contact_details** changed from Unknown to agriculture@balaoanlaunion.gov.ph; (072) 607 0011; balaoan_2517@gmail.com; omm@balaoanlaunion.gov.ph; (072) 607 0069; balaoan_2517@yahoo.com.ph</v>
      </c>
      <c r="I47" s="153" t="s">
        <v>6129</v>
      </c>
      <c r="J47" s="153" t="s">
        <v>143</v>
      </c>
      <c r="K47" s="153" t="s">
        <v>438</v>
      </c>
      <c r="L47" s="153" t="s">
        <v>6121</v>
      </c>
      <c r="M47" s="181" t="s">
        <v>1565</v>
      </c>
      <c r="N47" s="153" t="s">
        <v>151</v>
      </c>
      <c r="O47" s="153" t="s">
        <v>6122</v>
      </c>
      <c r="P47" s="154" t="s">
        <v>149</v>
      </c>
      <c r="Q47" s="169">
        <v>2021.0</v>
      </c>
      <c r="R47" s="160" t="s">
        <v>149</v>
      </c>
      <c r="S47" s="160" t="s">
        <v>149</v>
      </c>
      <c r="T47" s="161" t="s">
        <v>150</v>
      </c>
      <c r="U47" s="153">
        <f>IFERROR(__xludf.DUMMYFUNCTION("""COMPUTED_VALUE"""),29.0)</f>
        <v>29</v>
      </c>
      <c r="V47" s="162" t="s">
        <v>3311</v>
      </c>
      <c r="W47" s="187" t="s">
        <v>149</v>
      </c>
      <c r="X47" s="28"/>
      <c r="Y47" s="184" t="s">
        <v>149</v>
      </c>
      <c r="Z47" s="158" t="s">
        <v>149</v>
      </c>
      <c r="AA47" s="158" t="s">
        <v>149</v>
      </c>
      <c r="AB47" s="158" t="s">
        <v>6130</v>
      </c>
      <c r="AC47" s="153" t="s">
        <v>6124</v>
      </c>
      <c r="AD47" s="158" t="s">
        <v>160</v>
      </c>
      <c r="AE47" s="158" t="s">
        <v>271</v>
      </c>
      <c r="AF47" s="158" t="s">
        <v>159</v>
      </c>
      <c r="AG47" s="164" t="s">
        <v>149</v>
      </c>
      <c r="AH47" s="158" t="s">
        <v>149</v>
      </c>
      <c r="AI47" s="153" t="s">
        <v>1536</v>
      </c>
      <c r="AJ47" s="158" t="s">
        <v>6125</v>
      </c>
      <c r="AK47" s="153" t="s">
        <v>6035</v>
      </c>
      <c r="AL47" s="158" t="s">
        <v>369</v>
      </c>
      <c r="AM47" s="158" t="s">
        <v>6131</v>
      </c>
      <c r="AN47" s="154" t="s">
        <v>149</v>
      </c>
      <c r="AO47" s="156">
        <v>1.0</v>
      </c>
      <c r="AP47" s="156" t="s">
        <v>6037</v>
      </c>
      <c r="AQ47" s="158" t="s">
        <v>166</v>
      </c>
      <c r="AR47" s="153" t="s">
        <v>1574</v>
      </c>
      <c r="AS47" s="165" t="s">
        <v>1575</v>
      </c>
      <c r="AT47" s="154" t="s">
        <v>149</v>
      </c>
      <c r="AU47" s="153" t="s">
        <v>1577</v>
      </c>
    </row>
    <row r="48">
      <c r="A48" s="186">
        <v>24.0</v>
      </c>
      <c r="B48" s="152">
        <v>2023.0</v>
      </c>
      <c r="D48" s="152"/>
      <c r="E48" s="151">
        <v>24.0</v>
      </c>
      <c r="F48" s="129" t="s">
        <v>140</v>
      </c>
      <c r="G48" s="3" t="s">
        <v>6029</v>
      </c>
      <c r="H48" s="8" t="str">
        <f>IFERROR(__xludf.DUMMYFUNCTION("""COMPUTED_VALUE"""),"")</f>
        <v/>
      </c>
      <c r="I48" s="8" t="s">
        <v>6132</v>
      </c>
      <c r="J48" s="8" t="s">
        <v>143</v>
      </c>
      <c r="K48" s="8" t="s">
        <v>438</v>
      </c>
      <c r="L48" s="8" t="s">
        <v>443</v>
      </c>
      <c r="M48" s="153" t="s">
        <v>444</v>
      </c>
      <c r="N48" s="8" t="s">
        <v>151</v>
      </c>
      <c r="O48" s="8" t="s">
        <v>384</v>
      </c>
      <c r="P48" s="8" t="s">
        <v>445</v>
      </c>
      <c r="Q48" s="174" t="s">
        <v>6051</v>
      </c>
      <c r="R48" s="142" t="s">
        <v>6052</v>
      </c>
      <c r="S48" s="142" t="s">
        <v>6053</v>
      </c>
      <c r="T48" s="8"/>
      <c r="U48" s="8">
        <f>IFERROR(__xludf.DUMMYFUNCTION("""COMPUTED_VALUE"""),30.0)</f>
        <v>30</v>
      </c>
      <c r="V48" s="8"/>
      <c r="W48" s="154"/>
      <c r="X48" s="8"/>
      <c r="Y48" s="8"/>
      <c r="AA48" s="154" t="s">
        <v>149</v>
      </c>
      <c r="AB48" s="154" t="s">
        <v>149</v>
      </c>
      <c r="AC48" s="8" t="s">
        <v>390</v>
      </c>
      <c r="AG48" s="155" t="s">
        <v>149</v>
      </c>
      <c r="AH48" s="154" t="s">
        <v>149</v>
      </c>
      <c r="AI48" s="154" t="s">
        <v>149</v>
      </c>
      <c r="AJ48" s="8" t="s">
        <v>390</v>
      </c>
      <c r="AL48" s="8" t="s">
        <v>6055</v>
      </c>
      <c r="AM48" s="154" t="s">
        <v>149</v>
      </c>
      <c r="AN48" s="154" t="s">
        <v>149</v>
      </c>
      <c r="AO48" s="8"/>
      <c r="AP48" s="8"/>
      <c r="AR48" s="8" t="s">
        <v>6057</v>
      </c>
      <c r="AS48" s="8" t="s">
        <v>2873</v>
      </c>
      <c r="AT48" s="8" t="s">
        <v>398</v>
      </c>
      <c r="AU48" s="154" t="s">
        <v>149</v>
      </c>
    </row>
    <row r="49">
      <c r="A49" s="186">
        <v>24.0</v>
      </c>
      <c r="B49" s="152">
        <v>2025.0</v>
      </c>
      <c r="C49" s="153" t="str">
        <f>CONCATENATE(D49, "-", M49, "-", A49)
</f>
        <v>2023-PH013305000-24</v>
      </c>
      <c r="D49" s="152">
        <f>IF(OR(F48="Published", F48="Unpublished"), 2023, IF(F48="New", 2025, ""))
</f>
        <v>2023</v>
      </c>
      <c r="E49" s="151">
        <v>24.0</v>
      </c>
      <c r="F49" s="156" t="s">
        <v>140</v>
      </c>
      <c r="G49" s="156" t="s">
        <v>141</v>
      </c>
      <c r="H49" s="153" t="str">
        <f>IFERROR(__xludf.DUMMYFUNCTION("""COMPUTED_VALUE"""),"**Restoration_project** changed from Artificial Reef Development Program to La Union #KalikasanNaman Campaign, **Restoration_project_short** changed from Site in Mindoro to Unknown, **Year of establishment** changed from 1986 to 2021, **Project Start** ch"&amp;"anged from 1985 to Unknown, **Project End** changed from 1987 to Unknown, **Technique/Material Type** changed from Unknown to Concrete tripod, **Restoration objective** changed from Unknown to Promote ecological integrity and clean and healthy environment"&amp;", **Funding agency** changed from BFAR to PLGU, **Total units** changed from Unknown to (part of the 70 units distributed in 3 LGUs), **Implementing institution** changed from BFAR to PLGU, **Partners_public** changed from Ministry of Human Settlements to"&amp;" DENR, PG-ENRO, OPA, PDRRMO, **Reference** changed from Conference Proceediing to Libong, G. (2021, May 5). La Union sustains living shorelines; Deploys artificial reefs, **Website** changed from http://pubs.iclarm.net/libinfo/Pdf/Pub%20CP6%2049.pdf to ht"&amp;"tps://amiananbalitangayon.com/la-union-sustains-living-shorelines-deploys-artificial-reefs/, **Contact_name** changed from Miriam Balgos to Unknown")</f>
        <v>**Restoration_project** changed from Artificial Reef Development Program to La Union #KalikasanNaman Campaign, **Restoration_project_short** changed from Site in Mindoro to Unknown, **Year of establishment** changed from 1986 to 2021, **Project Start** changed from 1985 to Unknown, **Project End** changed from 1987 to Unknown, **Technique/Material Type** changed from Unknown to Concrete tripod, **Restoration objective** changed from Unknown to Promote ecological integrity and clean and healthy environment, **Funding agency** changed from BFAR to PLGU, **Total units** changed from Unknown to (part of the 70 units distributed in 3 LGUs), **Implementing institution** changed from BFAR to PLGU, **Partners_public** changed from Ministry of Human Settlements to DENR, PG-ENRO, OPA, PDRRMO, **Reference** changed from Conference Proceediing to Libong, G. (2021, May 5). La Union sustains living shorelines; Deploys artificial reefs, **Website** changed from http://pubs.iclarm.net/libinfo/Pdf/Pub%20CP6%2049.pdf to https://amiananbalitangayon.com/la-union-sustains-living-shorelines-deploys-artificial-reefs/, **Contact_name** changed from Miriam Balgos to Unknown</v>
      </c>
      <c r="I49" s="153" t="s">
        <v>6133</v>
      </c>
      <c r="J49" s="153" t="s">
        <v>143</v>
      </c>
      <c r="K49" s="153" t="s">
        <v>438</v>
      </c>
      <c r="L49" s="153" t="s">
        <v>6121</v>
      </c>
      <c r="M49" s="181" t="s">
        <v>1565</v>
      </c>
      <c r="N49" s="153" t="s">
        <v>151</v>
      </c>
      <c r="O49" s="153" t="s">
        <v>1635</v>
      </c>
      <c r="P49" s="154" t="s">
        <v>149</v>
      </c>
      <c r="Q49" s="169">
        <v>2021.0</v>
      </c>
      <c r="R49" s="160" t="s">
        <v>149</v>
      </c>
      <c r="S49" s="160" t="s">
        <v>149</v>
      </c>
      <c r="T49" s="161" t="s">
        <v>150</v>
      </c>
      <c r="U49" s="153">
        <f>IFERROR(__xludf.DUMMYFUNCTION("""COMPUTED_VALUE"""),31.0)</f>
        <v>31</v>
      </c>
      <c r="V49" s="162" t="s">
        <v>3311</v>
      </c>
      <c r="W49" s="184" t="s">
        <v>6032</v>
      </c>
      <c r="X49" s="28" t="s">
        <v>6033</v>
      </c>
      <c r="Y49" s="32" t="s">
        <v>153</v>
      </c>
      <c r="Z49" s="158" t="s">
        <v>153</v>
      </c>
      <c r="AA49" s="158" t="s">
        <v>153</v>
      </c>
      <c r="AB49" s="158" t="s">
        <v>1647</v>
      </c>
      <c r="AC49" s="158" t="s">
        <v>158</v>
      </c>
      <c r="AD49" s="158" t="s">
        <v>160</v>
      </c>
      <c r="AE49" s="158" t="s">
        <v>6035</v>
      </c>
      <c r="AF49" s="158" t="s">
        <v>159</v>
      </c>
      <c r="AG49" s="164" t="s">
        <v>149</v>
      </c>
      <c r="AH49" s="158" t="s">
        <v>149</v>
      </c>
      <c r="AI49" s="158" t="s">
        <v>6127</v>
      </c>
      <c r="AJ49" s="158" t="s">
        <v>158</v>
      </c>
      <c r="AK49" s="153" t="s">
        <v>6035</v>
      </c>
      <c r="AL49" s="158" t="s">
        <v>6128</v>
      </c>
      <c r="AM49" s="154" t="s">
        <v>149</v>
      </c>
      <c r="AN49" s="154" t="s">
        <v>149</v>
      </c>
      <c r="AO49" s="156">
        <v>1.0</v>
      </c>
      <c r="AP49" s="156" t="s">
        <v>6037</v>
      </c>
      <c r="AQ49" s="158" t="s">
        <v>166</v>
      </c>
      <c r="AR49" s="153" t="s">
        <v>1640</v>
      </c>
      <c r="AS49" s="153" t="s">
        <v>1641</v>
      </c>
      <c r="AT49" s="154" t="s">
        <v>149</v>
      </c>
      <c r="AU49" s="154" t="s">
        <v>149</v>
      </c>
    </row>
    <row r="50">
      <c r="A50" s="186">
        <v>25.0</v>
      </c>
      <c r="B50" s="152">
        <v>2023.0</v>
      </c>
      <c r="D50" s="152"/>
      <c r="E50" s="151">
        <v>25.0</v>
      </c>
      <c r="F50" s="129" t="s">
        <v>140</v>
      </c>
      <c r="G50" s="3" t="s">
        <v>6029</v>
      </c>
      <c r="H50" s="8" t="str">
        <f>IFERROR(__xludf.DUMMYFUNCTION("""COMPUTED_VALUE"""),"")</f>
        <v/>
      </c>
      <c r="I50" s="8" t="s">
        <v>6134</v>
      </c>
      <c r="J50" s="8" t="s">
        <v>143</v>
      </c>
      <c r="K50" s="8" t="s">
        <v>438</v>
      </c>
      <c r="L50" s="8" t="s">
        <v>2723</v>
      </c>
      <c r="M50" s="153" t="s">
        <v>2724</v>
      </c>
      <c r="N50" s="8" t="s">
        <v>151</v>
      </c>
      <c r="O50" s="154" t="s">
        <v>149</v>
      </c>
      <c r="P50" s="154" t="s">
        <v>149</v>
      </c>
      <c r="Q50" s="142" t="s">
        <v>6030</v>
      </c>
      <c r="R50" s="154" t="s">
        <v>149</v>
      </c>
      <c r="S50" s="154" t="s">
        <v>149</v>
      </c>
      <c r="T50" s="8"/>
      <c r="U50" s="8">
        <f>IFERROR(__xludf.DUMMYFUNCTION("""COMPUTED_VALUE"""),32.0)</f>
        <v>32</v>
      </c>
      <c r="V50" s="8"/>
      <c r="W50" s="154"/>
      <c r="X50" s="8"/>
      <c r="Y50" s="8"/>
      <c r="AA50" s="154" t="s">
        <v>149</v>
      </c>
      <c r="AB50" s="8" t="s">
        <v>6135</v>
      </c>
      <c r="AC50" s="154" t="s">
        <v>149</v>
      </c>
      <c r="AG50" s="155" t="s">
        <v>149</v>
      </c>
      <c r="AH50" s="154" t="s">
        <v>149</v>
      </c>
      <c r="AI50" s="188" t="s">
        <v>6136</v>
      </c>
      <c r="AJ50" s="8" t="s">
        <v>369</v>
      </c>
      <c r="AL50" s="154" t="s">
        <v>149</v>
      </c>
      <c r="AM50" s="154" t="s">
        <v>149</v>
      </c>
      <c r="AN50" s="154" t="s">
        <v>149</v>
      </c>
      <c r="AO50" s="8"/>
      <c r="AP50" s="8"/>
      <c r="AR50" s="8" t="s">
        <v>6038</v>
      </c>
      <c r="AS50" s="172" t="s">
        <v>6137</v>
      </c>
      <c r="AT50" s="8" t="s">
        <v>2731</v>
      </c>
      <c r="AU50" s="154" t="s">
        <v>149</v>
      </c>
    </row>
    <row r="51">
      <c r="A51" s="186">
        <v>25.0</v>
      </c>
      <c r="B51" s="152">
        <v>2025.0</v>
      </c>
      <c r="C51" s="153" t="str">
        <f>CONCATENATE(D51, "-", M51, "-", A51)
</f>
        <v>2023-PH013306000-25</v>
      </c>
      <c r="D51" s="152">
        <f>IF(OR(F50="Published", F50="Unpublished"), 2023, IF(F50="New", 2025, ""))
</f>
        <v>2023</v>
      </c>
      <c r="E51" s="151">
        <v>25.0</v>
      </c>
      <c r="F51" s="156" t="s">
        <v>140</v>
      </c>
      <c r="G51" s="156" t="s">
        <v>141</v>
      </c>
      <c r="H51" s="153" t="str">
        <f>IFERROR(__xludf.DUMMYFUNCTION("""COMPUTED_VALUE"""),"**Restoration_project** changed from Unknown to Artificial Reef Development Program, **Restoration_project_short** changed from Unknown to Site in Mindoro, **Year of establishment** changed from 2021 to 1986, **Project Start** changed from Unknown to 1985"&amp;", **Project End** changed from Unknown to 1987, **Restoration objective** changed from Marine habitat rehabilitation; fish stock productivity to Unknown, **Funding agency** changed from Unknown to BFAR, **Total units** changed from 3174 units to Unknown, "&amp;"**Implementing institution** changed from MLGU to BFAR, **Partners_public** changed from Unknown to Ministry of Human Settlements, **Reference** changed from Social Media to Balgos, M.C. (1995). Evaluation of artificial reef development in the Philippines"&amp;". In Munro, J.L. &amp; Balgos, M. (eds.) Artificial reefs in the Philippines. ICLARM Conf. Proc. 49, pp. 6-22., **Website** changed from https://m.facebook.com/permalink.php?id=336893718203&amp;story_fbid=10157795137738204; http://bauangtgis.gov.ph/2021/05/10/bfa"&amp;"r-presents-the-underwater-assessment-of-artificial-reef-in-the-municipality/ to https://core.ac.uk/download/pdf/6515223.pdf; https://www.ircwash.org/sites/default/files/802-PH90-8920.pdf, **Contact_name** changed from bauanglaunion@gmail.com; (072) 607 29"&amp;"11 to Miriam Balgos")</f>
        <v>**Restoration_project** changed from Unknown to Artificial Reef Development Program, **Restoration_project_short** changed from Unknown to Site in Mindoro, **Year of establishment** changed from 2021 to 1986, **Project Start** changed from Unknown to 1985, **Project End** changed from Unknown to 1987, **Restoration objective** changed from Marine habitat rehabilitation; fish stock productivity to Unknown, **Funding agency** changed from Unknown to BFAR, **Total units** changed from 3174 units to Unknown, **Implementing institution** changed from MLGU to BFAR, **Partners_public** changed from Unknown to Ministry of Human Settlements, **Reference** changed from Social Media to Balgos, M.C. (1995). Evaluation of artificial reef development in the Philippines. In Munro, J.L. &amp; Balgos, M. (eds.) Artificial reefs in the Philippines. ICLARM Conf. Proc. 49, pp. 6-22., **Website** changed from https://m.facebook.com/permalink.php?id=336893718203&amp;story_fbid=10157795137738204; http://bauangtgis.gov.ph/2021/05/10/bfar-presents-the-underwater-assessment-of-artificial-reef-in-the-municipality/ to https://core.ac.uk/download/pdf/6515223.pdf; https://www.ircwash.org/sites/default/files/802-PH90-8920.pdf, **Contact_name** changed from bauanglaunion@gmail.com; (072) 607 2911 to Miriam Balgos</v>
      </c>
      <c r="I51" s="153" t="s">
        <v>6138</v>
      </c>
      <c r="J51" s="153" t="s">
        <v>143</v>
      </c>
      <c r="K51" s="153" t="s">
        <v>438</v>
      </c>
      <c r="L51" s="153" t="s">
        <v>443</v>
      </c>
      <c r="M51" s="181" t="s">
        <v>444</v>
      </c>
      <c r="N51" s="153" t="s">
        <v>151</v>
      </c>
      <c r="O51" s="153" t="s">
        <v>384</v>
      </c>
      <c r="P51" s="153" t="s">
        <v>445</v>
      </c>
      <c r="Q51" s="169">
        <v>1986.0</v>
      </c>
      <c r="R51" s="175" t="s">
        <v>6052</v>
      </c>
      <c r="S51" s="175" t="s">
        <v>6053</v>
      </c>
      <c r="T51" s="161" t="s">
        <v>150</v>
      </c>
      <c r="U51" s="153">
        <f>IFERROR(__xludf.DUMMYFUNCTION("""COMPUTED_VALUE"""),33.0)</f>
        <v>33</v>
      </c>
      <c r="V51" s="162" t="s">
        <v>3311</v>
      </c>
      <c r="W51" s="187" t="s">
        <v>149</v>
      </c>
      <c r="X51" s="184"/>
      <c r="Y51" s="184" t="s">
        <v>149</v>
      </c>
      <c r="Z51" s="158" t="s">
        <v>149</v>
      </c>
      <c r="AA51" s="158" t="s">
        <v>149</v>
      </c>
      <c r="AB51" s="158" t="s">
        <v>149</v>
      </c>
      <c r="AC51" s="153" t="s">
        <v>390</v>
      </c>
      <c r="AD51" s="158" t="s">
        <v>160</v>
      </c>
      <c r="AE51" s="158" t="s">
        <v>6035</v>
      </c>
      <c r="AF51" s="158" t="s">
        <v>159</v>
      </c>
      <c r="AG51" s="164" t="s">
        <v>149</v>
      </c>
      <c r="AH51" s="158" t="s">
        <v>149</v>
      </c>
      <c r="AI51" s="158" t="s">
        <v>149</v>
      </c>
      <c r="AJ51" s="153" t="s">
        <v>390</v>
      </c>
      <c r="AK51" s="153" t="s">
        <v>6035</v>
      </c>
      <c r="AL51" s="153" t="s">
        <v>6055</v>
      </c>
      <c r="AM51" s="154" t="s">
        <v>149</v>
      </c>
      <c r="AN51" s="154" t="s">
        <v>149</v>
      </c>
      <c r="AO51" s="156">
        <v>1.0</v>
      </c>
      <c r="AP51" s="156" t="s">
        <v>6037</v>
      </c>
      <c r="AQ51" s="158" t="s">
        <v>395</v>
      </c>
      <c r="AR51" s="153" t="s">
        <v>6060</v>
      </c>
      <c r="AS51" s="177" t="s">
        <v>397</v>
      </c>
      <c r="AT51" s="153" t="s">
        <v>398</v>
      </c>
      <c r="AU51" s="154" t="s">
        <v>149</v>
      </c>
    </row>
    <row r="52">
      <c r="A52" s="186">
        <v>26.0</v>
      </c>
      <c r="B52" s="152">
        <v>2023.0</v>
      </c>
      <c r="D52" s="152"/>
      <c r="E52" s="151">
        <v>26.0</v>
      </c>
      <c r="F52" s="129" t="s">
        <v>140</v>
      </c>
      <c r="G52" s="3" t="s">
        <v>6029</v>
      </c>
      <c r="H52" s="8" t="str">
        <f>IFERROR(__xludf.DUMMYFUNCTION("""COMPUTED_VALUE"""),"")</f>
        <v/>
      </c>
      <c r="I52" s="8" t="s">
        <v>6139</v>
      </c>
      <c r="J52" s="8" t="s">
        <v>143</v>
      </c>
      <c r="K52" s="8" t="s">
        <v>438</v>
      </c>
      <c r="L52" s="8" t="s">
        <v>1142</v>
      </c>
      <c r="M52" s="153" t="s">
        <v>1143</v>
      </c>
      <c r="N52" s="8" t="s">
        <v>151</v>
      </c>
      <c r="O52" s="8" t="s">
        <v>1144</v>
      </c>
      <c r="P52" s="154" t="s">
        <v>149</v>
      </c>
      <c r="Q52" s="142" t="s">
        <v>6063</v>
      </c>
      <c r="R52" s="154" t="s">
        <v>149</v>
      </c>
      <c r="S52" s="154" t="s">
        <v>149</v>
      </c>
      <c r="T52" s="8"/>
      <c r="U52" s="8">
        <f>IFERROR(__xludf.DUMMYFUNCTION("""COMPUTED_VALUE"""),34.0)</f>
        <v>34</v>
      </c>
      <c r="V52" s="8"/>
      <c r="W52" s="154"/>
      <c r="X52" s="8"/>
      <c r="Y52" s="8"/>
      <c r="AA52" s="154" t="s">
        <v>149</v>
      </c>
      <c r="AB52" s="154" t="s">
        <v>149</v>
      </c>
      <c r="AC52" s="8" t="s">
        <v>1146</v>
      </c>
      <c r="AG52" s="155" t="s">
        <v>149</v>
      </c>
      <c r="AH52" s="154" t="s">
        <v>149</v>
      </c>
      <c r="AI52" s="154" t="s">
        <v>149</v>
      </c>
      <c r="AJ52" s="8" t="s">
        <v>6140</v>
      </c>
      <c r="AL52" s="154" t="s">
        <v>149</v>
      </c>
      <c r="AM52" s="154" t="s">
        <v>149</v>
      </c>
      <c r="AN52" s="154" t="s">
        <v>149</v>
      </c>
      <c r="AO52" s="8"/>
      <c r="AP52" s="8"/>
      <c r="AR52" s="154" t="s">
        <v>149</v>
      </c>
      <c r="AS52" s="154" t="s">
        <v>149</v>
      </c>
      <c r="AT52" s="154" t="s">
        <v>149</v>
      </c>
      <c r="AU52" s="154" t="s">
        <v>149</v>
      </c>
    </row>
    <row r="53">
      <c r="A53" s="186">
        <v>26.0</v>
      </c>
      <c r="B53" s="152">
        <v>2025.0</v>
      </c>
      <c r="C53" s="153" t="str">
        <f>CONCATENATE(D53, "-", M53, "-", A53)
</f>
        <v>2023-PH013307000-26</v>
      </c>
      <c r="D53" s="152">
        <f>IF(OR(F52="Published", F52="Unpublished"), 2023, IF(F52="New", 2025, ""))
</f>
        <v>2023</v>
      </c>
      <c r="E53" s="151">
        <v>26.0</v>
      </c>
      <c r="F53" s="156" t="s">
        <v>140</v>
      </c>
      <c r="G53" s="156" t="s">
        <v>141</v>
      </c>
      <c r="H53" s="153" t="str">
        <f>IFERROR(__xludf.DUMMYFUNCTION("""COMPUTED_VALUE"""),"**Restoration_project** changed from Ecosystems Improved for Sustainable Fisheries (ECOFISH) Project to Unknown, **Year of establishment** changed from 2014 to 2021, **Technique/Material Type** changed from Unknown to Concrete tripod, **Restoration object"&amp;"ive** changed from Unknown to Marine habitat rehabilitation; fish stock productivity, **Funding agency** changed from USAID to MLGU, **Total units** changed from Unknown to 510 units, **Implementing institution** changed from BFAR, MLGU to MLGU, **Referen"&amp;"ce** changed from Unknown to Municipality of Bauang, La Union (2021, May 10). BFAR presents the underwater assessment of artificial reef in the Municipality. [Status Update]. Facebook. https://www.facebook.com/permalink.php?id=336893718203&amp;story_fbid=1015"&amp;"7795137738204&amp;_rdr, **Website** changed from Unknown to https://m.facebook.com/permalink.php?id=336893718203&amp;story_fbid=10157795137738204; http://bauangtgis.gov.ph/2021/05/10/bfar-presents-the-underwater-assessment-of-artificial-reef-in-the-municipality/;"&amp;" http://bauangtgis.gov.ph/2021/05/10/bfar-presents-the-underwater-assessment-of-artificial-reef-in-the-municipality/, **Contact_name** changed from Unknown to bauanglaunion@gmail.com; (072) 607 2911")</f>
        <v>**Restoration_project** changed from Ecosystems Improved for Sustainable Fisheries (ECOFISH) Project to Unknown, **Year of establishment** changed from 2014 to 2021, **Technique/Material Type** changed from Unknown to Concrete tripod, **Restoration objective** changed from Unknown to Marine habitat rehabilitation; fish stock productivity, **Funding agency** changed from USAID to MLGU, **Total units** changed from Unknown to 510 units, **Implementing institution** changed from BFAR, MLGU to MLGU, **Reference** changed from Unknown to Municipality of Bauang, La Union (2021, May 10). BFAR presents the underwater assessment of artificial reef in the Municipality. [Status Update]. Facebook. https://www.facebook.com/permalink.php?id=336893718203&amp;story_fbid=10157795137738204&amp;_rdr, **Website** changed from Unknown to https://m.facebook.com/permalink.php?id=336893718203&amp;story_fbid=10157795137738204; http://bauangtgis.gov.ph/2021/05/10/bfar-presents-the-underwater-assessment-of-artificial-reef-in-the-municipality/; http://bauangtgis.gov.ph/2021/05/10/bfar-presents-the-underwater-assessment-of-artificial-reef-in-the-municipality/, **Contact_name** changed from Unknown to bauanglaunion@gmail.com; (072) 607 2911</v>
      </c>
      <c r="I53" s="153" t="s">
        <v>6141</v>
      </c>
      <c r="J53" s="153" t="s">
        <v>143</v>
      </c>
      <c r="K53" s="153" t="s">
        <v>438</v>
      </c>
      <c r="L53" s="153" t="s">
        <v>2723</v>
      </c>
      <c r="M53" s="181" t="s">
        <v>2724</v>
      </c>
      <c r="N53" s="153" t="s">
        <v>151</v>
      </c>
      <c r="O53" s="158" t="s">
        <v>149</v>
      </c>
      <c r="P53" s="154" t="s">
        <v>149</v>
      </c>
      <c r="Q53" s="169">
        <v>2021.0</v>
      </c>
      <c r="R53" s="160" t="s">
        <v>149</v>
      </c>
      <c r="S53" s="160" t="s">
        <v>149</v>
      </c>
      <c r="T53" s="161" t="s">
        <v>150</v>
      </c>
      <c r="U53" s="153">
        <f>IFERROR(__xludf.DUMMYFUNCTION("""COMPUTED_VALUE"""),35.0)</f>
        <v>35</v>
      </c>
      <c r="V53" s="162" t="s">
        <v>3311</v>
      </c>
      <c r="W53" s="184" t="s">
        <v>6032</v>
      </c>
      <c r="X53" s="28" t="s">
        <v>6033</v>
      </c>
      <c r="Y53" s="32" t="s">
        <v>153</v>
      </c>
      <c r="Z53" s="158" t="s">
        <v>153</v>
      </c>
      <c r="AA53" s="158" t="s">
        <v>153</v>
      </c>
      <c r="AB53" s="153" t="s">
        <v>6135</v>
      </c>
      <c r="AC53" s="158" t="s">
        <v>369</v>
      </c>
      <c r="AD53" s="158" t="s">
        <v>160</v>
      </c>
      <c r="AE53" s="158" t="s">
        <v>6035</v>
      </c>
      <c r="AF53" s="158" t="s">
        <v>159</v>
      </c>
      <c r="AG53" s="164" t="s">
        <v>149</v>
      </c>
      <c r="AH53" s="158" t="s">
        <v>149</v>
      </c>
      <c r="AI53" s="171" t="s">
        <v>2728</v>
      </c>
      <c r="AJ53" s="153" t="s">
        <v>369</v>
      </c>
      <c r="AK53" s="153" t="s">
        <v>6035</v>
      </c>
      <c r="AL53" s="154" t="s">
        <v>149</v>
      </c>
      <c r="AM53" s="154" t="s">
        <v>149</v>
      </c>
      <c r="AN53" s="154" t="s">
        <v>149</v>
      </c>
      <c r="AO53" s="156">
        <v>1.0</v>
      </c>
      <c r="AP53" s="156" t="s">
        <v>6037</v>
      </c>
      <c r="AQ53" s="153" t="s">
        <v>6038</v>
      </c>
      <c r="AR53" s="158" t="s">
        <v>2729</v>
      </c>
      <c r="AS53" s="165" t="s">
        <v>2730</v>
      </c>
      <c r="AT53" s="153" t="s">
        <v>2731</v>
      </c>
      <c r="AU53" s="154" t="s">
        <v>149</v>
      </c>
    </row>
    <row r="54">
      <c r="A54" s="186">
        <v>27.0</v>
      </c>
      <c r="B54" s="152">
        <v>2023.0</v>
      </c>
      <c r="D54" s="152"/>
      <c r="E54" s="151">
        <v>27.0</v>
      </c>
      <c r="F54" s="129" t="s">
        <v>140</v>
      </c>
      <c r="G54" s="3" t="s">
        <v>6029</v>
      </c>
      <c r="H54" s="8" t="str">
        <f>IFERROR(__xludf.DUMMYFUNCTION("""COMPUTED_VALUE"""),"")</f>
        <v/>
      </c>
      <c r="I54" s="8" t="s">
        <v>6142</v>
      </c>
      <c r="J54" s="8" t="s">
        <v>143</v>
      </c>
      <c r="K54" s="8" t="s">
        <v>438</v>
      </c>
      <c r="L54" s="153" t="s">
        <v>6143</v>
      </c>
      <c r="M54" s="153" t="s">
        <v>2034</v>
      </c>
      <c r="N54" s="8" t="s">
        <v>151</v>
      </c>
      <c r="O54" s="8" t="s">
        <v>6144</v>
      </c>
      <c r="P54" s="154" t="s">
        <v>149</v>
      </c>
      <c r="Q54" s="142" t="s">
        <v>6145</v>
      </c>
      <c r="R54" s="154" t="s">
        <v>149</v>
      </c>
      <c r="S54" s="154" t="s">
        <v>149</v>
      </c>
      <c r="T54" s="8"/>
      <c r="U54" s="8">
        <f>IFERROR(__xludf.DUMMYFUNCTION("""COMPUTED_VALUE"""),36.0)</f>
        <v>36</v>
      </c>
      <c r="V54" s="8"/>
      <c r="W54" s="8"/>
      <c r="X54" s="8"/>
      <c r="Y54" s="8"/>
      <c r="AA54" s="8" t="s">
        <v>6146</v>
      </c>
      <c r="AB54" s="8" t="s">
        <v>6147</v>
      </c>
      <c r="AC54" s="8" t="s">
        <v>2038</v>
      </c>
      <c r="AG54" s="155" t="s">
        <v>149</v>
      </c>
      <c r="AH54" s="154" t="s">
        <v>149</v>
      </c>
      <c r="AI54" s="8" t="s">
        <v>1558</v>
      </c>
      <c r="AJ54" s="8" t="s">
        <v>228</v>
      </c>
      <c r="AL54" s="8" t="s">
        <v>760</v>
      </c>
      <c r="AM54" s="154" t="s">
        <v>149</v>
      </c>
      <c r="AN54" s="8" t="s">
        <v>6148</v>
      </c>
      <c r="AO54" s="8"/>
      <c r="AP54" s="8"/>
      <c r="AR54" s="8" t="s">
        <v>166</v>
      </c>
      <c r="AS54" s="8" t="s">
        <v>6149</v>
      </c>
      <c r="AT54" s="189" t="s">
        <v>2045</v>
      </c>
      <c r="AU54" s="154" t="s">
        <v>149</v>
      </c>
    </row>
    <row r="55">
      <c r="A55" s="186">
        <v>27.0</v>
      </c>
      <c r="B55" s="152">
        <v>2025.0</v>
      </c>
      <c r="C55" s="153" t="str">
        <f>CONCATENATE(D55, "-", M55, "-", A55)
</f>
        <v>2023-PH013309000-27</v>
      </c>
      <c r="D55" s="152">
        <f>IF(OR(F54="Published", F54="Unpublished"), 2023, IF(F54="New", 2025, ""))
</f>
        <v>2023</v>
      </c>
      <c r="E55" s="151">
        <v>27.0</v>
      </c>
      <c r="F55" s="156" t="s">
        <v>140</v>
      </c>
      <c r="G55" s="156" t="s">
        <v>141</v>
      </c>
      <c r="H55" s="153" t="str">
        <f>IFERROR(__xludf.DUMMYFUNCTION("""COMPUTED_VALUE"""),"**Restoration_project** changed from Sea of Life: Underwater Museum Project to Ecosystems Improved for Sustainable Fisheries (ECOFISH) Project, **Year of establishment** changed from 2022 to 2014, **Project Start** changed from Unknown to 2012, **Project "&amp;"End** changed from Unknown to 2017, **Technique/Material Type** changed from Reef ball; statues to Unknown, **Restoration objective** changed from Rehabilitate coral reefs; propagate marine life; responsible fishing to Facilitate regeneration of fish popu"&amp;"lations, **Funding agency** changed from JCI Manila to USAID, **Total units** changed from 20 units to Unknown, **Implementing institution** changed from CLGU to MLGU, **Partners_public** changed from Philippine Coast Guard to Unknown, **Partners_communit"&amp;"ies** changed from Crest International, OceanDeep Dive to Unknown, **Reference** changed from News/Press Release to ECOFISH Project. (2015). Quarterly Progress Update, ECOFISH Document No. 01/2015. https://faspselib.denr.gov.ph/sites/default/files//Public"&amp;"ation%20Files/ECOFISH%20Project%20Update.PDF.pdf, **Website** changed from https://pia.gov.ph/news/2022/07/18/jci-manila-installs-artificial-reefs-in-la-union to https://faspselib.denr.gov.ph/sites/default/files//Publication%20Files/ECOFISH%20Project%20Up"&amp;"date.PDF.pdf, **Contact_name** changed from Jesus Antonio Sanchez to Unknown")</f>
        <v>**Restoration_project** changed from Sea of Life: Underwater Museum Project to Ecosystems Improved for Sustainable Fisheries (ECOFISH) Project, **Year of establishment** changed from 2022 to 2014, **Project Start** changed from Unknown to 2012, **Project End** changed from Unknown to 2017, **Technique/Material Type** changed from Reef ball; statues to Unknown, **Restoration objective** changed from Rehabilitate coral reefs; propagate marine life; responsible fishing to Facilitate regeneration of fish populations, **Funding agency** changed from JCI Manila to USAID, **Total units** changed from 20 units to Unknown, **Implementing institution** changed from CLGU to MLGU, **Partners_public** changed from Philippine Coast Guard to Unknown, **Partners_communities** changed from Crest International, OceanDeep Dive to Unknown, **Reference** changed from News/Press Release to ECOFISH Project. (2015). Quarterly Progress Update, ECOFISH Document No. 01/2015. https://faspselib.denr.gov.ph/sites/default/files//Publication%20Files/ECOFISH%20Project%20Update.PDF.pdf, **Website** changed from https://pia.gov.ph/news/2022/07/18/jci-manila-installs-artificial-reefs-in-la-union to https://faspselib.denr.gov.ph/sites/default/files//Publication%20Files/ECOFISH%20Project%20Update.PDF.pdf, **Contact_name** changed from Jesus Antonio Sanchez to Unknown</v>
      </c>
      <c r="I55" s="153" t="s">
        <v>6150</v>
      </c>
      <c r="J55" s="153" t="s">
        <v>143</v>
      </c>
      <c r="K55" s="153" t="s">
        <v>438</v>
      </c>
      <c r="L55" s="153" t="s">
        <v>1142</v>
      </c>
      <c r="M55" s="181" t="s">
        <v>1143</v>
      </c>
      <c r="N55" s="153" t="s">
        <v>151</v>
      </c>
      <c r="O55" s="153" t="s">
        <v>1144</v>
      </c>
      <c r="P55" s="154" t="s">
        <v>149</v>
      </c>
      <c r="Q55" s="169">
        <v>2014.0</v>
      </c>
      <c r="R55" s="160" t="s">
        <v>6151</v>
      </c>
      <c r="S55" s="160" t="s">
        <v>6152</v>
      </c>
      <c r="T55" s="161" t="s">
        <v>150</v>
      </c>
      <c r="U55" s="153">
        <f>IFERROR(__xludf.DUMMYFUNCTION("""COMPUTED_VALUE"""),37.0)</f>
        <v>37</v>
      </c>
      <c r="V55" s="162" t="s">
        <v>3311</v>
      </c>
      <c r="W55" s="187" t="s">
        <v>149</v>
      </c>
      <c r="X55" s="184"/>
      <c r="Y55" s="184" t="s">
        <v>149</v>
      </c>
      <c r="Z55" s="158" t="s">
        <v>149</v>
      </c>
      <c r="AA55" s="158" t="s">
        <v>149</v>
      </c>
      <c r="AB55" s="158" t="s">
        <v>6153</v>
      </c>
      <c r="AC55" s="153" t="s">
        <v>1146</v>
      </c>
      <c r="AD55" s="158" t="s">
        <v>6154</v>
      </c>
      <c r="AE55" s="158" t="s">
        <v>206</v>
      </c>
      <c r="AF55" s="158" t="s">
        <v>159</v>
      </c>
      <c r="AG55" s="164" t="s">
        <v>149</v>
      </c>
      <c r="AH55" s="158" t="s">
        <v>149</v>
      </c>
      <c r="AI55" s="158" t="s">
        <v>149</v>
      </c>
      <c r="AJ55" s="158" t="s">
        <v>369</v>
      </c>
      <c r="AK55" s="153" t="s">
        <v>6035</v>
      </c>
      <c r="AL55" s="154" t="s">
        <v>149</v>
      </c>
      <c r="AM55" s="154" t="s">
        <v>149</v>
      </c>
      <c r="AN55" s="154" t="s">
        <v>149</v>
      </c>
      <c r="AO55" s="156">
        <v>1.0</v>
      </c>
      <c r="AP55" s="156" t="s">
        <v>6037</v>
      </c>
      <c r="AQ55" s="153" t="s">
        <v>6084</v>
      </c>
      <c r="AR55" s="153" t="s">
        <v>1148</v>
      </c>
      <c r="AS55" s="153" t="s">
        <v>1149</v>
      </c>
      <c r="AT55" s="154" t="s">
        <v>149</v>
      </c>
      <c r="AU55" s="154" t="s">
        <v>149</v>
      </c>
    </row>
    <row r="56">
      <c r="A56" s="186">
        <v>28.0</v>
      </c>
      <c r="B56" s="152">
        <v>2023.0</v>
      </c>
      <c r="D56" s="152"/>
      <c r="E56" s="151">
        <v>28.0</v>
      </c>
      <c r="F56" s="129" t="s">
        <v>140</v>
      </c>
      <c r="G56" s="3" t="s">
        <v>6029</v>
      </c>
      <c r="H56" s="8" t="str">
        <f>IFERROR(__xludf.DUMMYFUNCTION("""COMPUTED_VALUE"""),"")</f>
        <v/>
      </c>
      <c r="I56" s="8" t="s">
        <v>6155</v>
      </c>
      <c r="J56" s="8" t="s">
        <v>143</v>
      </c>
      <c r="K56" s="8" t="s">
        <v>438</v>
      </c>
      <c r="L56" s="153" t="s">
        <v>6156</v>
      </c>
      <c r="M56" s="153" t="s">
        <v>2034</v>
      </c>
      <c r="N56" s="8" t="s">
        <v>151</v>
      </c>
      <c r="O56" s="154" t="s">
        <v>149</v>
      </c>
      <c r="P56" s="154" t="s">
        <v>149</v>
      </c>
      <c r="Q56" s="142" t="s">
        <v>6063</v>
      </c>
      <c r="R56" s="154" t="s">
        <v>149</v>
      </c>
      <c r="S56" s="154" t="s">
        <v>149</v>
      </c>
      <c r="T56" s="8"/>
      <c r="U56" s="8">
        <f>IFERROR(__xludf.DUMMYFUNCTION("""COMPUTED_VALUE"""),38.0)</f>
        <v>38</v>
      </c>
      <c r="V56" s="8"/>
      <c r="W56" s="154"/>
      <c r="X56" s="8"/>
      <c r="Y56" s="8"/>
      <c r="AA56" s="154" t="s">
        <v>149</v>
      </c>
      <c r="AB56" s="154" t="s">
        <v>149</v>
      </c>
      <c r="AC56" s="8" t="s">
        <v>1882</v>
      </c>
      <c r="AG56" s="155" t="s">
        <v>149</v>
      </c>
      <c r="AH56" s="154" t="s">
        <v>149</v>
      </c>
      <c r="AI56" s="154" t="s">
        <v>149</v>
      </c>
      <c r="AJ56" s="8" t="s">
        <v>1882</v>
      </c>
      <c r="AL56" s="8" t="s">
        <v>6157</v>
      </c>
      <c r="AM56" s="154" t="s">
        <v>149</v>
      </c>
      <c r="AN56" s="154" t="s">
        <v>149</v>
      </c>
      <c r="AO56" s="8"/>
      <c r="AP56" s="8"/>
      <c r="AR56" s="154" t="s">
        <v>149</v>
      </c>
      <c r="AS56" s="154" t="s">
        <v>149</v>
      </c>
      <c r="AT56" s="154" t="s">
        <v>149</v>
      </c>
      <c r="AU56" s="154" t="s">
        <v>149</v>
      </c>
    </row>
    <row r="57">
      <c r="A57" s="186">
        <v>28.0</v>
      </c>
      <c r="B57" s="152">
        <v>2025.0</v>
      </c>
      <c r="C57" s="153" t="str">
        <f>CONCATENATE(D57, "-", M57, "-", A57)
</f>
        <v>2023-PH013314000-28</v>
      </c>
      <c r="D57" s="152">
        <f>IF(OR(F56="Published", F56="Unpublished"), 2023, IF(F56="New", 2025, ""))
</f>
        <v>2023</v>
      </c>
      <c r="E57" s="151">
        <v>28.0</v>
      </c>
      <c r="F57" s="156" t="s">
        <v>140</v>
      </c>
      <c r="G57" s="156" t="s">
        <v>141</v>
      </c>
      <c r="H57" s="153" t="str">
        <f>IFERROR(__xludf.DUMMYFUNCTION("""COMPUTED_VALUE"""),"**Restoration_project** changed from Unknown to Sea of Life: Underwater Museum Project, **Restoration_project_short** changed from Unknown to Restoration inside MPA, **Year of establishment** changed from 2014 to 2022, **Project Start** changed from Unkno"&amp;"wn to 2011, **Technique/Material Type** changed from Unknown to Reef ball; statues; cement with silica, **Restoration objective** changed from Unknown to Rehabilitate coral reefs; propagate marine life; responsible fishing, **Funding agency** changed from"&amp;" Philippine Naval Forces to JCI Manila, **Total units** changed from Unknown to 20 units; 8 statues, **Implementing institution** changed from Philippine Naval Forces to JCI Manila, **Partners_public** changed from Coast Guard to Philippine Coast Guard, C"&amp;"LGU, **Partners_communities** changed from Unknown to Crest International, OceanDeep Dive; Octohedz NFT, **Reference** changed from Unknown to Ramones, K. J. (2022, July 18). JCI Manila installs artificial reefs in La Union. Philippine Information Agency."&amp;" https://pia.gov.ph/news/2022/07/18/jci-manila-installs-artificial-reefs-in-la-union, **Website** changed from Unknown to https://pia.gov.ph/news/2022/07/18/jci-manila-installs-artificial-reefs-in-la-union, **Contact_name** changed from Unknown to Jesus A"&amp;"ntonio Sanchez")</f>
        <v>**Restoration_project** changed from Unknown to Sea of Life: Underwater Museum Project, **Restoration_project_short** changed from Unknown to Restoration inside MPA, **Year of establishment** changed from 2014 to 2022, **Project Start** changed from Unknown to 2011, **Technique/Material Type** changed from Unknown to Reef ball; statues; cement with silica, **Restoration objective** changed from Unknown to Rehabilitate coral reefs; propagate marine life; responsible fishing, **Funding agency** changed from Philippine Naval Forces to JCI Manila, **Total units** changed from Unknown to 20 units; 8 statues, **Implementing institution** changed from Philippine Naval Forces to JCI Manila, **Partners_public** changed from Coast Guard to Philippine Coast Guard, CLGU, **Partners_communities** changed from Unknown to Crest International, OceanDeep Dive; Octohedz NFT, **Reference** changed from Unknown to Ramones, K. J. (2022, July 18). JCI Manila installs artificial reefs in La Union. Philippine Information Agency. https://pia.gov.ph/news/2022/07/18/jci-manila-installs-artificial-reefs-in-la-union, **Website** changed from Unknown to https://pia.gov.ph/news/2022/07/18/jci-manila-installs-artificial-reefs-in-la-union, **Contact_name** changed from Unknown to Jesus Antonio Sanchez</v>
      </c>
      <c r="I57" s="153" t="s">
        <v>6158</v>
      </c>
      <c r="J57" s="153" t="s">
        <v>143</v>
      </c>
      <c r="K57" s="153" t="s">
        <v>438</v>
      </c>
      <c r="L57" s="153" t="s">
        <v>6159</v>
      </c>
      <c r="M57" s="181" t="s">
        <v>2034</v>
      </c>
      <c r="N57" s="153" t="s">
        <v>151</v>
      </c>
      <c r="O57" s="153" t="s">
        <v>6144</v>
      </c>
      <c r="P57" s="153" t="s">
        <v>6160</v>
      </c>
      <c r="Q57" s="169">
        <v>2022.0</v>
      </c>
      <c r="R57" s="160" t="s">
        <v>6042</v>
      </c>
      <c r="S57" s="160" t="s">
        <v>149</v>
      </c>
      <c r="T57" s="161" t="s">
        <v>150</v>
      </c>
      <c r="U57" s="153">
        <f>IFERROR(__xludf.DUMMYFUNCTION("""COMPUTED_VALUE"""),39.0)</f>
        <v>39</v>
      </c>
      <c r="V57" s="162" t="s">
        <v>3311</v>
      </c>
      <c r="W57" s="179" t="s">
        <v>6032</v>
      </c>
      <c r="X57" s="28" t="s">
        <v>6033</v>
      </c>
      <c r="Y57" s="32" t="s">
        <v>6161</v>
      </c>
      <c r="Z57" s="158" t="s">
        <v>6162</v>
      </c>
      <c r="AA57" s="153" t="s">
        <v>6163</v>
      </c>
      <c r="AB57" s="153" t="s">
        <v>6147</v>
      </c>
      <c r="AC57" s="153" t="s">
        <v>2038</v>
      </c>
      <c r="AD57" s="158" t="s">
        <v>160</v>
      </c>
      <c r="AE57" s="158" t="s">
        <v>271</v>
      </c>
      <c r="AF57" s="158" t="s">
        <v>159</v>
      </c>
      <c r="AG57" s="164" t="s">
        <v>149</v>
      </c>
      <c r="AH57" s="158" t="s">
        <v>149</v>
      </c>
      <c r="AI57" s="153" t="s">
        <v>2039</v>
      </c>
      <c r="AJ57" s="153" t="s">
        <v>6164</v>
      </c>
      <c r="AK57" s="158" t="s">
        <v>271</v>
      </c>
      <c r="AL57" s="153" t="s">
        <v>6165</v>
      </c>
      <c r="AM57" s="154" t="s">
        <v>149</v>
      </c>
      <c r="AN57" s="153" t="s">
        <v>6166</v>
      </c>
      <c r="AO57" s="156">
        <v>1.0</v>
      </c>
      <c r="AP57" s="156" t="s">
        <v>6037</v>
      </c>
      <c r="AQ57" s="158" t="s">
        <v>166</v>
      </c>
      <c r="AR57" s="153" t="s">
        <v>2043</v>
      </c>
      <c r="AS57" s="172" t="s">
        <v>6149</v>
      </c>
      <c r="AT57" s="153" t="s">
        <v>2045</v>
      </c>
      <c r="AU57" s="154" t="s">
        <v>149</v>
      </c>
    </row>
    <row r="58">
      <c r="A58" s="186">
        <v>29.0</v>
      </c>
      <c r="B58" s="152">
        <v>2023.0</v>
      </c>
      <c r="D58" s="152"/>
      <c r="E58" s="151">
        <v>29.0</v>
      </c>
      <c r="F58" s="129" t="s">
        <v>140</v>
      </c>
      <c r="G58" s="3" t="s">
        <v>6029</v>
      </c>
      <c r="H58" s="8" t="str">
        <f>IFERROR(__xludf.DUMMYFUNCTION("""COMPUTED_VALUE"""),"")</f>
        <v/>
      </c>
      <c r="I58" s="8" t="s">
        <v>6167</v>
      </c>
      <c r="J58" s="8" t="s">
        <v>143</v>
      </c>
      <c r="K58" s="8" t="s">
        <v>438</v>
      </c>
      <c r="L58" s="8" t="s">
        <v>2850</v>
      </c>
      <c r="M58" s="153" t="s">
        <v>2851</v>
      </c>
      <c r="N58" s="8" t="s">
        <v>151</v>
      </c>
      <c r="O58" s="8" t="s">
        <v>384</v>
      </c>
      <c r="P58" s="8" t="s">
        <v>6168</v>
      </c>
      <c r="Q58" s="181" t="s">
        <v>6169</v>
      </c>
      <c r="R58" s="142" t="s">
        <v>6052</v>
      </c>
      <c r="S58" s="142" t="s">
        <v>6053</v>
      </c>
      <c r="T58" s="8"/>
      <c r="U58" s="8">
        <f>IFERROR(__xludf.DUMMYFUNCTION("""COMPUTED_VALUE"""),40.0)</f>
        <v>40</v>
      </c>
      <c r="V58" s="8"/>
      <c r="W58" s="154"/>
      <c r="X58" s="8"/>
      <c r="Y58" s="8"/>
      <c r="AA58" s="154" t="s">
        <v>149</v>
      </c>
      <c r="AB58" s="154" t="s">
        <v>149</v>
      </c>
      <c r="AC58" s="8" t="s">
        <v>390</v>
      </c>
      <c r="AG58" s="155" t="s">
        <v>149</v>
      </c>
      <c r="AH58" s="154" t="s">
        <v>149</v>
      </c>
      <c r="AI58" s="8" t="s">
        <v>2853</v>
      </c>
      <c r="AJ58" s="8" t="s">
        <v>390</v>
      </c>
      <c r="AL58" s="8" t="s">
        <v>6055</v>
      </c>
      <c r="AM58" s="154" t="s">
        <v>149</v>
      </c>
      <c r="AN58" s="154" t="s">
        <v>149</v>
      </c>
      <c r="AO58" s="8"/>
      <c r="AP58" s="8"/>
      <c r="AR58" s="8" t="s">
        <v>6057</v>
      </c>
      <c r="AS58" s="8" t="s">
        <v>2873</v>
      </c>
      <c r="AT58" s="8" t="s">
        <v>398</v>
      </c>
      <c r="AU58" s="154" t="s">
        <v>149</v>
      </c>
    </row>
    <row r="59">
      <c r="A59" s="186">
        <v>29.0</v>
      </c>
      <c r="B59" s="152">
        <v>2025.0</v>
      </c>
      <c r="C59" s="153" t="str">
        <f>CONCATENATE(D59, "-", M59, "-", A59)
</f>
        <v>2023-PH013314000-29</v>
      </c>
      <c r="D59" s="152">
        <f>IF(OR(F58="Published", F58="Unpublished"), 2023, IF(F58="New", 2025, ""))
</f>
        <v>2023</v>
      </c>
      <c r="E59" s="151">
        <v>29.0</v>
      </c>
      <c r="F59" s="156" t="s">
        <v>140</v>
      </c>
      <c r="G59" s="156" t="s">
        <v>141</v>
      </c>
      <c r="H59" s="153" t="str">
        <f>IFERROR(__xludf.DUMMYFUNCTION("""COMPUTED_VALUE"""),"**Restoration_project** changed from Artificial Reef Development Program to Unknown, **Restoration_project_short** changed from Site in Casantaan, Damortis; Stated as Damortis in lit but latter is barangay and part of municipality of Santo Tomas to Site i"&amp;"n Pagdaraonan Bay, **Year of establishment** changed from 1981 to 2014, **Project Start** changed from 1985 to Unknown, **Project End** changed from 1987 to Unknown, **Technique/Material Type** changed from Unknown to Concrete and plastic pipes, **Restora"&amp;"tion objective** changed from Unknown to Protect and preserve various species of fish in the area, **Funding agency** changed from BFAR to Philippine Naval Forces, **Total units** changed from 15 units to 33 units, **Implementing institution** changed fro"&amp;"m BFAR to Philippine Naval Forces, **Partners_public** changed from Ministry of Human Settlements to Coast Guard, PENRO, PLGU, BLGU, **Reference** changed from Conference Proceediing to Naval Forces Northern Luzon (n.d.). NFNL deploys artificial coral ree"&amp;"fs in San Fernando Bay [status update]. https://free.facebook.com/media/set/?set=a.1575816015988174.1073741860.1418721221697655&amp;type=3&amp;_rdc=1&amp;_rdr, **Website** changed from http://pubs.iclarm.net/libinfo/Pdf/Pub%20CP6%2049.pdf to https://free.facebook.com"&amp;"/media/set/?set=a.1575816015988174.1073741860.1418721221697655&amp;type=3&amp;_rdc=1&amp;_rdr, **Contact_name** changed from Miriam Balgos to Unknown")</f>
        <v>**Restoration_project** changed from Artificial Reef Development Program to Unknown, **Restoration_project_short** changed from Site in Casantaan, Damortis; Stated as Damortis in lit but latter is barangay and part of municipality of Santo Tomas to Site in Pagdaraonan Bay, **Year of establishment** changed from 1981 to 2014, **Project Start** changed from 1985 to Unknown, **Project End** changed from 1987 to Unknown, **Technique/Material Type** changed from Unknown to Concrete and plastic pipes, **Restoration objective** changed from Unknown to Protect and preserve various species of fish in the area, **Funding agency** changed from BFAR to Philippine Naval Forces, **Total units** changed from 15 units to 33 units, **Implementing institution** changed from BFAR to Philippine Naval Forces, **Partners_public** changed from Ministry of Human Settlements to Coast Guard, PENRO, PLGU, BLGU, **Reference** changed from Conference Proceediing to Naval Forces Northern Luzon (n.d.). NFNL deploys artificial coral reefs in San Fernando Bay [status update]. https://free.facebook.com/media/set/?set=a.1575816015988174.1073741860.1418721221697655&amp;type=3&amp;_rdc=1&amp;_rdr, **Website** changed from http://pubs.iclarm.net/libinfo/Pdf/Pub%20CP6%2049.pdf to https://free.facebook.com/media/set/?set=a.1575816015988174.1073741860.1418721221697655&amp;type=3&amp;_rdc=1&amp;_rdr, **Contact_name** changed from Miriam Balgos to Unknown</v>
      </c>
      <c r="I59" s="153" t="s">
        <v>6170</v>
      </c>
      <c r="J59" s="153" t="s">
        <v>143</v>
      </c>
      <c r="K59" s="153" t="s">
        <v>438</v>
      </c>
      <c r="L59" s="153" t="s">
        <v>6171</v>
      </c>
      <c r="M59" s="181" t="s">
        <v>2034</v>
      </c>
      <c r="N59" s="153" t="s">
        <v>151</v>
      </c>
      <c r="O59" s="158" t="s">
        <v>149</v>
      </c>
      <c r="P59" s="158" t="s">
        <v>2416</v>
      </c>
      <c r="Q59" s="169">
        <v>2014.0</v>
      </c>
      <c r="R59" s="160" t="s">
        <v>149</v>
      </c>
      <c r="S59" s="160" t="s">
        <v>149</v>
      </c>
      <c r="T59" s="161" t="s">
        <v>150</v>
      </c>
      <c r="U59" s="153">
        <f>IFERROR(__xludf.DUMMYFUNCTION("""COMPUTED_VALUE"""),41.0)</f>
        <v>41</v>
      </c>
      <c r="V59" s="162" t="s">
        <v>3311</v>
      </c>
      <c r="W59" s="184" t="s">
        <v>6172</v>
      </c>
      <c r="X59" s="28" t="s">
        <v>6173</v>
      </c>
      <c r="Y59" s="32" t="s">
        <v>6174</v>
      </c>
      <c r="Z59" s="158" t="s">
        <v>6175</v>
      </c>
      <c r="AA59" s="158" t="s">
        <v>6175</v>
      </c>
      <c r="AB59" s="158" t="s">
        <v>6176</v>
      </c>
      <c r="AC59" s="153" t="s">
        <v>1882</v>
      </c>
      <c r="AD59" s="158" t="s">
        <v>160</v>
      </c>
      <c r="AE59" s="158" t="s">
        <v>6035</v>
      </c>
      <c r="AF59" s="158" t="s">
        <v>159</v>
      </c>
      <c r="AG59" s="164" t="s">
        <v>149</v>
      </c>
      <c r="AH59" s="158" t="s">
        <v>149</v>
      </c>
      <c r="AI59" s="158" t="s">
        <v>2419</v>
      </c>
      <c r="AJ59" s="153" t="s">
        <v>1882</v>
      </c>
      <c r="AK59" s="153" t="s">
        <v>6035</v>
      </c>
      <c r="AL59" s="158" t="s">
        <v>6177</v>
      </c>
      <c r="AM59" s="154" t="s">
        <v>149</v>
      </c>
      <c r="AN59" s="154" t="s">
        <v>149</v>
      </c>
      <c r="AO59" s="156">
        <v>1.0</v>
      </c>
      <c r="AP59" s="156" t="s">
        <v>6037</v>
      </c>
      <c r="AQ59" s="153" t="s">
        <v>6038</v>
      </c>
      <c r="AR59" s="153" t="s">
        <v>6178</v>
      </c>
      <c r="AS59" s="172" t="s">
        <v>2422</v>
      </c>
      <c r="AT59" s="154" t="s">
        <v>149</v>
      </c>
      <c r="AU59" s="154" t="s">
        <v>149</v>
      </c>
    </row>
    <row r="60">
      <c r="A60" s="186">
        <v>30.0</v>
      </c>
      <c r="B60" s="152">
        <v>2023.0</v>
      </c>
      <c r="D60" s="152"/>
      <c r="E60" s="151">
        <v>30.0</v>
      </c>
      <c r="F60" s="129" t="s">
        <v>140</v>
      </c>
      <c r="G60" s="3" t="s">
        <v>6029</v>
      </c>
      <c r="H60" s="8" t="str">
        <f>IFERROR(__xludf.DUMMYFUNCTION("""COMPUTED_VALUE"""),"")</f>
        <v/>
      </c>
      <c r="I60" s="8" t="s">
        <v>6179</v>
      </c>
      <c r="J60" s="8" t="s">
        <v>143</v>
      </c>
      <c r="K60" s="8" t="s">
        <v>438</v>
      </c>
      <c r="L60" s="8" t="s">
        <v>491</v>
      </c>
      <c r="M60" s="153" t="s">
        <v>1646</v>
      </c>
      <c r="N60" s="8" t="s">
        <v>151</v>
      </c>
      <c r="O60" s="8" t="s">
        <v>1635</v>
      </c>
      <c r="P60" s="154" t="s">
        <v>149</v>
      </c>
      <c r="Q60" s="142" t="s">
        <v>6030</v>
      </c>
      <c r="R60" s="154" t="s">
        <v>149</v>
      </c>
      <c r="S60" s="154" t="s">
        <v>149</v>
      </c>
      <c r="T60" s="8"/>
      <c r="U60" s="8">
        <f>IFERROR(__xludf.DUMMYFUNCTION("""COMPUTED_VALUE"""),42.0)</f>
        <v>42</v>
      </c>
      <c r="V60" s="8"/>
      <c r="W60" s="154"/>
      <c r="X60" s="8"/>
      <c r="Y60" s="8"/>
      <c r="AA60" s="154" t="s">
        <v>149</v>
      </c>
      <c r="AB60" s="154" t="s">
        <v>149</v>
      </c>
      <c r="AC60" s="8" t="s">
        <v>341</v>
      </c>
      <c r="AG60" s="155" t="s">
        <v>149</v>
      </c>
      <c r="AH60" s="154" t="s">
        <v>149</v>
      </c>
      <c r="AI60" s="154" t="s">
        <v>149</v>
      </c>
      <c r="AJ60" s="8" t="s">
        <v>6118</v>
      </c>
      <c r="AL60" s="154" t="s">
        <v>149</v>
      </c>
      <c r="AM60" s="154" t="s">
        <v>149</v>
      </c>
      <c r="AN60" s="154" t="s">
        <v>149</v>
      </c>
      <c r="AO60" s="8"/>
      <c r="AP60" s="8"/>
      <c r="AR60" s="154" t="s">
        <v>149</v>
      </c>
      <c r="AS60" s="154" t="s">
        <v>149</v>
      </c>
      <c r="AT60" s="154" t="s">
        <v>149</v>
      </c>
      <c r="AU60" s="154" t="s">
        <v>149</v>
      </c>
    </row>
    <row r="61">
      <c r="A61" s="186">
        <v>30.0</v>
      </c>
      <c r="B61" s="152">
        <v>2025.0</v>
      </c>
      <c r="C61" s="153" t="str">
        <f>CONCATENATE(D61, "-", M61, "-", A61)
</f>
        <v>2023-PH013317000-30</v>
      </c>
      <c r="D61" s="152">
        <f>IF(OR(F60="Published", F60="Unpublished"), 2023, IF(F60="New", 2025, ""))
</f>
        <v>2023</v>
      </c>
      <c r="E61" s="151">
        <v>30.0</v>
      </c>
      <c r="F61" s="156" t="s">
        <v>140</v>
      </c>
      <c r="G61" s="156" t="s">
        <v>141</v>
      </c>
      <c r="H61" s="153" t="str">
        <f>IFERROR(__xludf.DUMMYFUNCTION("""COMPUTED_VALUE"""),"**Restoration_project** changed from La Union #KalikasanNaman Campaign to Artificial Reef Development Program, **Restoration_project_short** changed from Unknown to Site in Casantaan, Damortis; Stated as Damortis in lit but latter is barangay and part of "&amp;"municipality of Santo Tomas, **Year of establishment** changed from 2021 to 1981, **Project Start** changed from Unknown to 1985, **Project End** changed from Unknown to 1987, **Funding agency** changed from DENR to BFAR, **Total units** changed from Unkn"&amp;"own to 15 units, **Implementing institution** changed from PLGU, MLGU to BFAR, **Partners_public** changed from Unknown to Ministry of Human Settlements, **Reference** changed from Unknown to Balgos, M.C. (1995). Evaluation of artificial reef development "&amp;"in the Philippines. In Munro, J.L. &amp; Balgos, M. (eds.) Artificial reefs in the Philippines. ICLARM Conf. Proc. 49, pp. 6-22., **Website** changed from Unknown to https://core.ac.uk/download/pdf/6515223.pdf; https://www.ircwash.org/sites/default/files/802-"&amp;"PH90-8920.pdf, **Contact_name** changed from Unknown to Miriam Balgos")</f>
        <v>**Restoration_project** changed from La Union #KalikasanNaman Campaign to Artificial Reef Development Program, **Restoration_project_short** changed from Unknown to Site in Casantaan, Damortis; Stated as Damortis in lit but latter is barangay and part of municipality of Santo Tomas, **Year of establishment** changed from 2021 to 1981, **Project Start** changed from Unknown to 1985, **Project End** changed from Unknown to 1987, **Funding agency** changed from DENR to BFAR, **Total units** changed from Unknown to 15 units, **Implementing institution** changed from PLGU, MLGU to BFAR, **Partners_public** changed from Unknown to Ministry of Human Settlements,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61" s="153" t="s">
        <v>6180</v>
      </c>
      <c r="J61" s="153" t="s">
        <v>143</v>
      </c>
      <c r="K61" s="153" t="s">
        <v>438</v>
      </c>
      <c r="L61" s="153" t="s">
        <v>2850</v>
      </c>
      <c r="M61" s="181" t="s">
        <v>2851</v>
      </c>
      <c r="N61" s="153" t="s">
        <v>151</v>
      </c>
      <c r="O61" s="153" t="s">
        <v>384</v>
      </c>
      <c r="P61" s="153" t="s">
        <v>6181</v>
      </c>
      <c r="Q61" s="169">
        <v>1981.0</v>
      </c>
      <c r="R61" s="175" t="s">
        <v>6052</v>
      </c>
      <c r="S61" s="175" t="s">
        <v>6053</v>
      </c>
      <c r="T61" s="161" t="s">
        <v>150</v>
      </c>
      <c r="U61" s="153">
        <f>IFERROR(__xludf.DUMMYFUNCTION("""COMPUTED_VALUE"""),43.0)</f>
        <v>43</v>
      </c>
      <c r="V61" s="162" t="s">
        <v>3311</v>
      </c>
      <c r="W61" s="187" t="s">
        <v>149</v>
      </c>
      <c r="X61" s="184"/>
      <c r="Y61" s="184" t="s">
        <v>149</v>
      </c>
      <c r="Z61" s="158" t="s">
        <v>149</v>
      </c>
      <c r="AA61" s="158" t="s">
        <v>149</v>
      </c>
      <c r="AB61" s="158" t="s">
        <v>149</v>
      </c>
      <c r="AC61" s="153" t="s">
        <v>390</v>
      </c>
      <c r="AD61" s="158" t="s">
        <v>160</v>
      </c>
      <c r="AE61" s="158" t="s">
        <v>6035</v>
      </c>
      <c r="AF61" s="158" t="s">
        <v>159</v>
      </c>
      <c r="AG61" s="164" t="s">
        <v>149</v>
      </c>
      <c r="AH61" s="158" t="s">
        <v>149</v>
      </c>
      <c r="AI61" s="153" t="s">
        <v>2853</v>
      </c>
      <c r="AJ61" s="153" t="s">
        <v>390</v>
      </c>
      <c r="AK61" s="153" t="s">
        <v>6035</v>
      </c>
      <c r="AL61" s="153" t="s">
        <v>6055</v>
      </c>
      <c r="AM61" s="154" t="s">
        <v>149</v>
      </c>
      <c r="AN61" s="154" t="s">
        <v>149</v>
      </c>
      <c r="AO61" s="156">
        <v>1.0</v>
      </c>
      <c r="AP61" s="156" t="s">
        <v>6037</v>
      </c>
      <c r="AQ61" s="158" t="s">
        <v>395</v>
      </c>
      <c r="AR61" s="153" t="s">
        <v>6060</v>
      </c>
      <c r="AS61" s="177" t="s">
        <v>397</v>
      </c>
      <c r="AT61" s="153" t="s">
        <v>398</v>
      </c>
      <c r="AU61" s="154" t="s">
        <v>149</v>
      </c>
    </row>
    <row r="62">
      <c r="A62" s="186">
        <v>31.0</v>
      </c>
      <c r="B62" s="152">
        <v>2023.0</v>
      </c>
      <c r="D62" s="152"/>
      <c r="E62" s="151">
        <v>31.0</v>
      </c>
      <c r="F62" s="129" t="s">
        <v>140</v>
      </c>
      <c r="G62" s="3" t="s">
        <v>6029</v>
      </c>
      <c r="H62" s="8" t="str">
        <f>IFERROR(__xludf.DUMMYFUNCTION("""COMPUTED_VALUE"""),"")</f>
        <v/>
      </c>
      <c r="I62" s="8" t="s">
        <v>6182</v>
      </c>
      <c r="J62" s="8" t="s">
        <v>143</v>
      </c>
      <c r="K62" s="8" t="s">
        <v>438</v>
      </c>
      <c r="L62" s="8" t="s">
        <v>447</v>
      </c>
      <c r="M62" s="153" t="s">
        <v>448</v>
      </c>
      <c r="N62" s="8" t="s">
        <v>151</v>
      </c>
      <c r="O62" s="8" t="s">
        <v>384</v>
      </c>
      <c r="P62" s="8" t="s">
        <v>449</v>
      </c>
      <c r="Q62" s="142" t="s">
        <v>6052</v>
      </c>
      <c r="R62" s="142" t="s">
        <v>6052</v>
      </c>
      <c r="S62" s="142" t="s">
        <v>6053</v>
      </c>
      <c r="T62" s="8"/>
      <c r="U62" s="8">
        <f>IFERROR(__xludf.DUMMYFUNCTION("""COMPUTED_VALUE"""),44.0)</f>
        <v>44</v>
      </c>
      <c r="V62" s="8"/>
      <c r="W62" s="8"/>
      <c r="X62" s="8"/>
      <c r="Y62" s="8"/>
      <c r="AA62" s="8" t="s">
        <v>6054</v>
      </c>
      <c r="AB62" s="154" t="s">
        <v>149</v>
      </c>
      <c r="AC62" s="8" t="s">
        <v>390</v>
      </c>
      <c r="AG62" s="155" t="s">
        <v>149</v>
      </c>
      <c r="AH62" s="154" t="s">
        <v>149</v>
      </c>
      <c r="AI62" s="8" t="s">
        <v>450</v>
      </c>
      <c r="AJ62" s="8" t="s">
        <v>390</v>
      </c>
      <c r="AL62" s="8" t="s">
        <v>6055</v>
      </c>
      <c r="AM62" s="154" t="s">
        <v>149</v>
      </c>
      <c r="AN62" s="154" t="s">
        <v>149</v>
      </c>
      <c r="AO62" s="8"/>
      <c r="AP62" s="8"/>
      <c r="AR62" s="8" t="s">
        <v>6057</v>
      </c>
      <c r="AS62" s="8" t="s">
        <v>2873</v>
      </c>
      <c r="AT62" s="8" t="s">
        <v>398</v>
      </c>
      <c r="AU62" s="154" t="s">
        <v>149</v>
      </c>
    </row>
    <row r="63">
      <c r="A63" s="186">
        <v>31.0</v>
      </c>
      <c r="B63" s="152">
        <v>2025.0</v>
      </c>
      <c r="C63" s="153" t="str">
        <f t="shared" ref="C63:C64" si="1">CONCATENATE(D63, "-", M63, "-", A63)
</f>
        <v>2023-PH013316000-31</v>
      </c>
      <c r="D63" s="152">
        <f t="shared" ref="D63:D64" si="2">IF(OR(F62="Published", F62="Unpublished"), 2023, IF(F62="New", 2025, ""))
</f>
        <v>2023</v>
      </c>
      <c r="E63" s="151">
        <v>31.0</v>
      </c>
      <c r="F63" s="156" t="s">
        <v>140</v>
      </c>
      <c r="G63" s="156" t="s">
        <v>141</v>
      </c>
      <c r="H63" s="153" t="str">
        <f>IFERROR(__xludf.DUMMYFUNCTION("""COMPUTED_VALUE"""),"**Restoration_project** changed from Artificial Reef Development Program to La Union #KalikasanNaman Campaign, **Restoration_project_short** changed from Site in Bani to Unknown, **Year of establishment** changed from 1985 to 2021, **Project Start** chang"&amp;"ed from 1985 to Unknown, **Project End** changed from 1987 to Unknown, **Technique/Material Type** changed from tires to Concrete tripod, **Restoration objective** changed from Unknown to Promote ecological integrity and clean and healthy environment, **F"&amp;"unding agency** changed from BFAR to PLGU, **Total units** changed from 6 TM to (part of the 70 units distributed in 3 LGUs), **Implementing institution** changed from BFAR to PLGU, **Partners_public** changed from Ministry of Human Settlements to DENR, P"&amp;"G-ENRO, OPA, PDRRMO, **Reference** changed from Conference Proceediing to Libong, G. (2021, May 5). La Union sustains living shorelines; Deploys artificial reefs, **Website** changed from http://pubs.iclarm.net/libinfo/Pdf/Pub%20CP6%2049.pdf to https://am"&amp;"iananbalitangayon.com/la-union-sustains-living-shorelines-deploys-artificial-reefs/, **Contact_name** changed from Miriam Balgos to Unknown")</f>
        <v>**Restoration_project** changed from Artificial Reef Development Program to La Union #KalikasanNaman Campaign, **Restoration_project_short** changed from Site in Bani to Unknown, **Year of establishment** changed from 1985 to 2021, **Project Start** changed from 1985 to Unknown, **Project End** changed from 1987 to Unknown, **Technique/Material Type** changed from tires to Concrete tripod, **Restoration objective** changed from Unknown to Promote ecological integrity and clean and healthy environment, **Funding agency** changed from BFAR to PLGU, **Total units** changed from 6 TM to (part of the 70 units distributed in 3 LGUs), **Implementing institution** changed from BFAR to PLGU, **Partners_public** changed from Ministry of Human Settlements to DENR, PG-ENRO, OPA, PDRRMO, **Reference** changed from Conference Proceediing to Libong, G. (2021, May 5). La Union sustains living shorelines; Deploys artificial reefs, **Website** changed from http://pubs.iclarm.net/libinfo/Pdf/Pub%20CP6%2049.pdf to https://amiananbalitangayon.com/la-union-sustains-living-shorelines-deploys-artificial-reefs/, **Contact_name** changed from Miriam Balgos to Unknown</v>
      </c>
      <c r="I63" s="153" t="s">
        <v>6183</v>
      </c>
      <c r="J63" s="153" t="s">
        <v>143</v>
      </c>
      <c r="K63" s="153" t="s">
        <v>438</v>
      </c>
      <c r="L63" s="153" t="s">
        <v>491</v>
      </c>
      <c r="M63" s="157" t="s">
        <v>1646</v>
      </c>
      <c r="N63" s="153" t="s">
        <v>151</v>
      </c>
      <c r="O63" s="153" t="s">
        <v>1635</v>
      </c>
      <c r="P63" s="154" t="s">
        <v>149</v>
      </c>
      <c r="Q63" s="182">
        <v>2021.0</v>
      </c>
      <c r="R63" s="160" t="s">
        <v>149</v>
      </c>
      <c r="S63" s="160" t="s">
        <v>149</v>
      </c>
      <c r="T63" s="161" t="s">
        <v>150</v>
      </c>
      <c r="U63" s="153">
        <f>IFERROR(__xludf.DUMMYFUNCTION("""COMPUTED_VALUE"""),45.0)</f>
        <v>45</v>
      </c>
      <c r="V63" s="162" t="s">
        <v>3311</v>
      </c>
      <c r="W63" s="184" t="s">
        <v>6032</v>
      </c>
      <c r="X63" s="28" t="s">
        <v>6033</v>
      </c>
      <c r="Y63" s="32" t="s">
        <v>153</v>
      </c>
      <c r="Z63" s="158" t="s">
        <v>153</v>
      </c>
      <c r="AA63" s="158" t="s">
        <v>153</v>
      </c>
      <c r="AB63" s="158" t="s">
        <v>1647</v>
      </c>
      <c r="AC63" s="158" t="s">
        <v>158</v>
      </c>
      <c r="AD63" s="158" t="s">
        <v>160</v>
      </c>
      <c r="AE63" s="158" t="s">
        <v>6035</v>
      </c>
      <c r="AF63" s="158" t="s">
        <v>159</v>
      </c>
      <c r="AG63" s="164" t="s">
        <v>149</v>
      </c>
      <c r="AH63" s="158" t="s">
        <v>149</v>
      </c>
      <c r="AI63" s="158" t="s">
        <v>6127</v>
      </c>
      <c r="AJ63" s="158" t="s">
        <v>158</v>
      </c>
      <c r="AK63" s="153" t="s">
        <v>6035</v>
      </c>
      <c r="AL63" s="158" t="s">
        <v>6128</v>
      </c>
      <c r="AM63" s="154" t="s">
        <v>149</v>
      </c>
      <c r="AN63" s="154" t="s">
        <v>149</v>
      </c>
      <c r="AO63" s="156">
        <v>1.0</v>
      </c>
      <c r="AP63" s="156" t="s">
        <v>6037</v>
      </c>
      <c r="AQ63" s="158" t="s">
        <v>166</v>
      </c>
      <c r="AR63" s="153" t="s">
        <v>1640</v>
      </c>
      <c r="AS63" s="172" t="s">
        <v>1641</v>
      </c>
      <c r="AT63" s="154" t="s">
        <v>149</v>
      </c>
      <c r="AU63" s="154" t="s">
        <v>149</v>
      </c>
    </row>
    <row r="64">
      <c r="A64" s="186">
        <v>32.0</v>
      </c>
      <c r="B64" s="152">
        <v>2025.0</v>
      </c>
      <c r="C64" s="153" t="str">
        <f t="shared" si="1"/>
        <v>2023-PH013313000-32</v>
      </c>
      <c r="D64" s="152">
        <f t="shared" si="2"/>
        <v>2023</v>
      </c>
      <c r="E64" s="151">
        <v>32.0</v>
      </c>
      <c r="F64" s="156" t="s">
        <v>140</v>
      </c>
      <c r="G64" s="156" t="s">
        <v>141</v>
      </c>
      <c r="H64" s="153" t="str">
        <f>IFERROR(__xludf.DUMMYFUNCTION("""COMPUTED_VALUE"""),"**Restoration_project** changed from La Union #KalikasanNaman Campaign to Artificial Reef Development Program, **Restoration_project_short** changed from Unknown to Site in Bani, **Year of establishment** changed from 2021 to 1985, **Project Start** chang"&amp;"ed from Unknown to 1985, **Project End** changed from Unknown to 1987, **Technique/Material Type** changed from Concrete tripod to tires, **Restoration objective** changed from Promote ecological integrity and clean and healthy environment to Unknown, **F"&amp;"unding agency** changed from PLGU to BFAR, **Total units** changed from (part of the 70 units distributed in 3 LGUs) to 6 TM, **Implementing institution** changed from PLGU to BFAR, **Partners_public** changed from DENR, PG-ENRO, OPA, PDRRMO to Ministry o"&amp;"f Human Settlements, **Reference** changed from Libong, G. (2021, May 5). La Union sustains living shorelines; Deploys artificial reefs to Balgos, M.C. (1995). Evaluation of artificial reef development in the Philippines. In Munro, J.L. &amp; Balgos, M. (eds."&amp;") Artificial reefs in the Philippines. ICLARM Conf. Proc. 49, pp. 6-22., **Website** changed from https://amiananbalitangayon.com/la-union-sustains-living-shorelines-deploys-artificial-reefs/ to https://core.ac.uk/download/pdf/6515223.pdf; https://www.irc"&amp;"wash.org/sites/default/files/802-PH90-8920.pdf, **Contact_name** changed from Unknown to Miriam Balgos")</f>
        <v>**Restoration_project** changed from La Union #KalikasanNaman Campaign to Artificial Reef Development Program, **Restoration_project_short** changed from Unknown to Site in Bani, **Year of establishment** changed from 2021 to 1985, **Project Start** changed from Unknown to 1985, **Project End** changed from Unknown to 1987, **Technique/Material Type** changed from Concrete tripod to tires, **Restoration objective** changed from Promote ecological integrity and clean and healthy environment to Unknown, **Funding agency** changed from PLGU to BFAR, **Total units** changed from (part of the 70 units distributed in 3 LGUs) to 6 TM, **Implementing institution** changed from PLGU to BFAR, **Partners_public** changed from DENR, PG-ENRO, OPA, PDRRMO to Ministry of Human Settlements, **Reference** changed from Libong, G. (2021, May 5). La Union sustains living shorelines; Deploys artificial reefs to Balgos, M.C. (1995). Evaluation of artificial reef development in the Philippines. In Munro, J.L. &amp; Balgos, M. (eds.) Artificial reefs in the Philippines. ICLARM Conf. Proc. 49, pp. 6-22., **Website** changed from https://amiananbalitangayon.com/la-union-sustains-living-shorelines-deploys-artificial-reefs/ to https://core.ac.uk/download/pdf/6515223.pdf; https://www.ircwash.org/sites/default/files/802-PH90-8920.pdf, **Contact_name** changed from Unknown to Miriam Balgos</v>
      </c>
      <c r="I64" s="153" t="s">
        <v>6184</v>
      </c>
      <c r="J64" s="153" t="s">
        <v>143</v>
      </c>
      <c r="K64" s="153" t="s">
        <v>438</v>
      </c>
      <c r="L64" s="153" t="s">
        <v>447</v>
      </c>
      <c r="M64" s="181" t="s">
        <v>448</v>
      </c>
      <c r="N64" s="153" t="s">
        <v>151</v>
      </c>
      <c r="O64" s="153" t="s">
        <v>384</v>
      </c>
      <c r="P64" s="153" t="s">
        <v>449</v>
      </c>
      <c r="Q64" s="169">
        <v>1985.0</v>
      </c>
      <c r="R64" s="175" t="s">
        <v>6052</v>
      </c>
      <c r="S64" s="175" t="s">
        <v>6053</v>
      </c>
      <c r="T64" s="161" t="s">
        <v>150</v>
      </c>
      <c r="U64" s="153">
        <f>IFERROR(__xludf.DUMMYFUNCTION("""COMPUTED_VALUE"""),46.0)</f>
        <v>46</v>
      </c>
      <c r="V64" s="162" t="s">
        <v>3311</v>
      </c>
      <c r="W64" s="170" t="s">
        <v>6059</v>
      </c>
      <c r="Y64" s="28" t="s">
        <v>386</v>
      </c>
      <c r="Z64" s="176" t="s">
        <v>386</v>
      </c>
      <c r="AA64" s="153" t="s">
        <v>6054</v>
      </c>
      <c r="AB64" s="158" t="s">
        <v>149</v>
      </c>
      <c r="AC64" s="153" t="s">
        <v>390</v>
      </c>
      <c r="AD64" s="158" t="s">
        <v>160</v>
      </c>
      <c r="AE64" s="158" t="s">
        <v>6035</v>
      </c>
      <c r="AF64" s="158" t="s">
        <v>159</v>
      </c>
      <c r="AG64" s="164" t="s">
        <v>149</v>
      </c>
      <c r="AH64" s="158" t="s">
        <v>149</v>
      </c>
      <c r="AI64" s="153" t="s">
        <v>450</v>
      </c>
      <c r="AJ64" s="153" t="s">
        <v>390</v>
      </c>
      <c r="AK64" s="153" t="s">
        <v>6035</v>
      </c>
      <c r="AL64" s="153" t="s">
        <v>6055</v>
      </c>
      <c r="AM64" s="154" t="s">
        <v>149</v>
      </c>
      <c r="AN64" s="154" t="s">
        <v>149</v>
      </c>
      <c r="AO64" s="156">
        <v>1.0</v>
      </c>
      <c r="AP64" s="156" t="s">
        <v>6037</v>
      </c>
      <c r="AQ64" s="158" t="s">
        <v>395</v>
      </c>
      <c r="AR64" s="153" t="s">
        <v>6060</v>
      </c>
      <c r="AS64" s="177" t="s">
        <v>397</v>
      </c>
      <c r="AT64" s="153" t="s">
        <v>398</v>
      </c>
      <c r="AU64" s="154" t="s">
        <v>149</v>
      </c>
    </row>
    <row r="65">
      <c r="A65" s="186">
        <v>32.0</v>
      </c>
      <c r="B65" s="152">
        <v>2023.0</v>
      </c>
      <c r="D65" s="152"/>
      <c r="E65" s="151">
        <v>32.0</v>
      </c>
      <c r="F65" s="129" t="s">
        <v>140</v>
      </c>
      <c r="G65" s="3" t="s">
        <v>3279</v>
      </c>
      <c r="H65" s="8" t="str">
        <f>IFERROR(__xludf.DUMMYFUNCTION("""COMPUTED_VALUE"""),"")</f>
        <v/>
      </c>
      <c r="I65" s="8" t="s">
        <v>6185</v>
      </c>
      <c r="J65" s="8" t="s">
        <v>143</v>
      </c>
      <c r="K65" s="8" t="s">
        <v>438</v>
      </c>
      <c r="L65" s="8" t="s">
        <v>439</v>
      </c>
      <c r="M65" s="153" t="s">
        <v>440</v>
      </c>
      <c r="N65" s="8" t="s">
        <v>151</v>
      </c>
      <c r="O65" s="8" t="s">
        <v>1144</v>
      </c>
      <c r="Q65" s="142" t="s">
        <v>6063</v>
      </c>
      <c r="R65" s="142"/>
      <c r="S65" s="142"/>
      <c r="U65" s="8">
        <f>IFERROR(__xludf.DUMMYFUNCTION("""COMPUTED_VALUE"""),47.0)</f>
        <v>47</v>
      </c>
      <c r="V65" s="8"/>
      <c r="W65" s="8"/>
      <c r="AC65" s="8" t="s">
        <v>1146</v>
      </c>
      <c r="AG65" s="142"/>
      <c r="AJ65" s="8" t="s">
        <v>6186</v>
      </c>
      <c r="AO65" s="8"/>
      <c r="AP65" s="8"/>
    </row>
    <row r="66">
      <c r="A66" s="186">
        <v>33.0</v>
      </c>
      <c r="B66" s="152">
        <v>2023.0</v>
      </c>
      <c r="D66" s="152"/>
      <c r="E66" s="151">
        <v>33.0</v>
      </c>
      <c r="F66" s="129" t="s">
        <v>140</v>
      </c>
      <c r="G66" s="3" t="s">
        <v>6029</v>
      </c>
      <c r="H66" s="8" t="str">
        <f>IFERROR(__xludf.DUMMYFUNCTION("""COMPUTED_VALUE"""),"")</f>
        <v/>
      </c>
      <c r="I66" s="8" t="s">
        <v>6187</v>
      </c>
      <c r="J66" s="8" t="s">
        <v>143</v>
      </c>
      <c r="K66" s="8" t="s">
        <v>144</v>
      </c>
      <c r="L66" s="8" t="s">
        <v>145</v>
      </c>
      <c r="M66" s="173" t="s">
        <v>146</v>
      </c>
      <c r="N66" s="8" t="s">
        <v>151</v>
      </c>
      <c r="O66" s="8" t="s">
        <v>384</v>
      </c>
      <c r="P66" s="8" t="s">
        <v>452</v>
      </c>
      <c r="Q66" s="142" t="s">
        <v>6052</v>
      </c>
      <c r="R66" s="142" t="s">
        <v>6052</v>
      </c>
      <c r="S66" s="142" t="s">
        <v>6053</v>
      </c>
      <c r="T66" s="8"/>
      <c r="U66" s="8">
        <f>IFERROR(__xludf.DUMMYFUNCTION("""COMPUTED_VALUE"""),48.0)</f>
        <v>48</v>
      </c>
      <c r="V66" s="8"/>
      <c r="W66" s="8"/>
      <c r="X66" s="8"/>
      <c r="Y66" s="8"/>
      <c r="AA66" s="8" t="s">
        <v>6054</v>
      </c>
      <c r="AB66" s="154" t="s">
        <v>149</v>
      </c>
      <c r="AC66" s="8" t="s">
        <v>390</v>
      </c>
      <c r="AG66" s="155" t="s">
        <v>149</v>
      </c>
      <c r="AH66" s="154" t="s">
        <v>149</v>
      </c>
      <c r="AI66" s="8" t="s">
        <v>453</v>
      </c>
      <c r="AJ66" s="8" t="s">
        <v>390</v>
      </c>
      <c r="AL66" s="8" t="s">
        <v>6055</v>
      </c>
      <c r="AM66" s="154" t="s">
        <v>149</v>
      </c>
      <c r="AN66" s="8" t="s">
        <v>6056</v>
      </c>
      <c r="AO66" s="8"/>
      <c r="AP66" s="8"/>
      <c r="AR66" s="8" t="s">
        <v>6057</v>
      </c>
      <c r="AS66" s="8" t="s">
        <v>2873</v>
      </c>
      <c r="AT66" s="8" t="s">
        <v>398</v>
      </c>
      <c r="AU66" s="154" t="s">
        <v>149</v>
      </c>
    </row>
    <row r="67">
      <c r="A67" s="186">
        <v>33.0</v>
      </c>
      <c r="B67" s="152">
        <v>2023.0</v>
      </c>
      <c r="D67" s="152"/>
      <c r="E67" s="151">
        <v>33.0</v>
      </c>
      <c r="F67" s="129" t="s">
        <v>140</v>
      </c>
      <c r="G67" s="3" t="s">
        <v>3279</v>
      </c>
      <c r="H67" s="8" t="str">
        <f>IFERROR(__xludf.DUMMYFUNCTION("""COMPUTED_VALUE"""),"")</f>
        <v/>
      </c>
      <c r="I67" s="8" t="s">
        <v>6188</v>
      </c>
      <c r="J67" s="8" t="s">
        <v>143</v>
      </c>
      <c r="K67" s="8" t="s">
        <v>438</v>
      </c>
      <c r="L67" s="8" t="s">
        <v>6121</v>
      </c>
      <c r="M67" s="153" t="s">
        <v>1565</v>
      </c>
      <c r="N67" s="8" t="s">
        <v>151</v>
      </c>
      <c r="O67" s="8" t="s">
        <v>652</v>
      </c>
      <c r="Q67" s="142" t="s">
        <v>6151</v>
      </c>
      <c r="R67" s="142"/>
      <c r="S67" s="142"/>
      <c r="U67" s="8">
        <f>IFERROR(__xludf.DUMMYFUNCTION("""COMPUTED_VALUE"""),49.0)</f>
        <v>49</v>
      </c>
      <c r="V67" s="8"/>
      <c r="W67" s="8"/>
      <c r="AG67" s="142"/>
      <c r="AJ67" s="8" t="s">
        <v>369</v>
      </c>
      <c r="AL67" s="8" t="s">
        <v>6189</v>
      </c>
      <c r="AM67" s="8" t="s">
        <v>6190</v>
      </c>
      <c r="AO67" s="8"/>
      <c r="AP67" s="8"/>
    </row>
    <row r="68">
      <c r="A68" s="186">
        <v>34.0</v>
      </c>
      <c r="B68" s="152">
        <v>2025.0</v>
      </c>
      <c r="C68" s="153" t="str">
        <f t="shared" ref="C68:C70" si="3">CONCATENATE(D68, "-", M68, "-", A68)
</f>
        <v>2023-PH013310000-34</v>
      </c>
      <c r="D68" s="152">
        <f t="shared" ref="D68:D70" si="4">IF(OR(F67="Published", F67="Unpublished"), 2023, IF(F67="New", 2025, ""))
</f>
        <v>2023</v>
      </c>
      <c r="E68" s="151">
        <v>34.0</v>
      </c>
      <c r="F68" s="156" t="s">
        <v>191</v>
      </c>
      <c r="G68" s="156" t="s">
        <v>191</v>
      </c>
      <c r="H68" s="153" t="str">
        <f>IFERROR(__xludf.DUMMYFUNCTION("""COMPUTED_VALUE"""),"**Restoration_project** changed from Artificial Reef Project to Unknown, **Restoration_project_short** changed from to Site in Brgy Nalvo, **Year of establishment** changed from 2012 to 2023, **Project Start** changed from to Unknown, **Project End** chan"&amp;"ged from to Unknown, **Technique/Material Type** changed from to Concrete tripod, **Restoration objective** changed from to Provide natural habitat for marine life and boost fish production, **Funding agency** changed from to PLGU, **Total funding** chang"&amp;"ed from to Unknown, **Total area of restoration** changed from to Unknown, **Total units** changed from to Unknown, **Implementing institution** changed from MLGU to PLGU, **Partners_public** changed from DOT to MLGU, **Partners_private** changed from Hol"&amp;"cim Philippines to Unknown, **Partners_communities** changed from to Unknown, **Reference** changed from to Austria, H. (2023, February 16). La Union deploys artificial reefs to boost fish production. Philippine News Agency. https://www.pna.gov.ph/article"&amp;"s/1195285, **Website** changed from to https://www.pna.gov.ph/articles/1195285; https://launion.gov.ph/%F0%9D%97%A3%F0%9D%97%9A%F0%9D%97%9F%F0%9D%97%A8%F0%9D%98%80-%F0%9D%97%94%F0%9D%97%A5%F0%9D%97%A7%F0%9D%97%9C%F0%9D%97%99%F0%9D%97%9C%F0%9D%97%96%F0%9D%"&amp;"97%9C%F0%9D%97%94%F0%9D%97%9F/, **Contact_name** changed from to Unknown, **Contact_details** changed from to Unknown")</f>
        <v>**Restoration_project** changed from Artificial Reef Project to Unknown, **Restoration_project_short** changed from to Site in Brgy Nalvo, **Year of establishment** changed from 2012 to 2023, **Project Start** changed from to Unknown, **Project End** changed from to Unknown, **Technique/Material Type** changed from to Concrete tripod, **Restoration objective** changed from to Provide natural habitat for marine life and boost fish production, **Funding agency** changed from to PLGU, **Total funding** changed from to Unknown, **Total area of restoration** changed from to Unknown, **Total units** changed from to Unknown, **Implementing institution** changed from MLGU to PLGU, **Partners_public** changed from DOT to MLGU, **Partners_private** changed from Holcim Philippines to Unknown, **Partners_communities** changed from to Unknown, **Reference** changed from to Austria, H. (2023, February 16). La Union deploys artificial reefs to boost fish production. Philippine News Agency. https://www.pna.gov.ph/articles/1195285, **Website** changed from to https://www.pna.gov.ph/articles/1195285; https://launion.gov.ph/%F0%9D%97%A3%F0%9D%97%9A%F0%9D%97%9F%F0%9D%97%A8%F0%9D%98%80-%F0%9D%97%94%F0%9D%97%A5%F0%9D%97%A7%F0%9D%97%9C%F0%9D%97%99%F0%9D%97%9C%F0%9D%97%96%F0%9D%97%9C%F0%9D%97%94%F0%9D%97%9F/, **Contact_name** changed from to Unknown, **Contact_details** changed from to Unknown</v>
      </c>
      <c r="I68" s="153" t="s">
        <v>6191</v>
      </c>
      <c r="J68" s="153" t="s">
        <v>143</v>
      </c>
      <c r="K68" s="153" t="s">
        <v>438</v>
      </c>
      <c r="L68" s="153" t="s">
        <v>2538</v>
      </c>
      <c r="M68" s="181" t="s">
        <v>2539</v>
      </c>
      <c r="N68" s="153" t="s">
        <v>151</v>
      </c>
      <c r="O68" s="158" t="s">
        <v>149</v>
      </c>
      <c r="P68" s="153" t="s">
        <v>2540</v>
      </c>
      <c r="Q68" s="169">
        <v>2023.0</v>
      </c>
      <c r="R68" s="160" t="s">
        <v>149</v>
      </c>
      <c r="S68" s="160" t="s">
        <v>149</v>
      </c>
      <c r="T68" s="161" t="s">
        <v>150</v>
      </c>
      <c r="U68" s="153">
        <f>IFERROR(__xludf.DUMMYFUNCTION("""COMPUTED_VALUE"""),50.0)</f>
        <v>50</v>
      </c>
      <c r="V68" s="162" t="s">
        <v>3311</v>
      </c>
      <c r="W68" s="184" t="s">
        <v>6032</v>
      </c>
      <c r="X68" s="28" t="s">
        <v>6033</v>
      </c>
      <c r="Y68" s="32" t="s">
        <v>153</v>
      </c>
      <c r="Z68" s="158" t="s">
        <v>153</v>
      </c>
      <c r="AA68" s="158" t="s">
        <v>153</v>
      </c>
      <c r="AB68" s="158" t="s">
        <v>6192</v>
      </c>
      <c r="AC68" s="153" t="s">
        <v>158</v>
      </c>
      <c r="AD68" s="158" t="s">
        <v>160</v>
      </c>
      <c r="AE68" s="158" t="s">
        <v>6035</v>
      </c>
      <c r="AF68" s="158" t="s">
        <v>159</v>
      </c>
      <c r="AG68" s="164" t="s">
        <v>149</v>
      </c>
      <c r="AH68" s="158" t="s">
        <v>149</v>
      </c>
      <c r="AI68" s="158" t="s">
        <v>149</v>
      </c>
      <c r="AJ68" s="153" t="s">
        <v>158</v>
      </c>
      <c r="AK68" s="153" t="s">
        <v>6035</v>
      </c>
      <c r="AL68" s="153" t="s">
        <v>369</v>
      </c>
      <c r="AM68" s="156" t="s">
        <v>149</v>
      </c>
      <c r="AN68" s="156" t="s">
        <v>149</v>
      </c>
      <c r="AO68" s="156">
        <v>1.0</v>
      </c>
      <c r="AP68" s="156" t="s">
        <v>6037</v>
      </c>
      <c r="AQ68" s="158" t="s">
        <v>166</v>
      </c>
      <c r="AR68" s="153" t="s">
        <v>2542</v>
      </c>
      <c r="AS68" s="165" t="s">
        <v>2543</v>
      </c>
      <c r="AT68" s="190" t="s">
        <v>149</v>
      </c>
      <c r="AU68" s="156" t="s">
        <v>149</v>
      </c>
    </row>
    <row r="69">
      <c r="A69" s="186">
        <v>34.0</v>
      </c>
      <c r="B69" s="152">
        <v>2025.0</v>
      </c>
      <c r="C69" s="153" t="str">
        <f t="shared" si="3"/>
        <v>2025-PH015501000-34</v>
      </c>
      <c r="D69" s="152">
        <f t="shared" si="4"/>
        <v>2025</v>
      </c>
      <c r="E69" s="151">
        <v>34.0</v>
      </c>
      <c r="F69" s="156" t="s">
        <v>140</v>
      </c>
      <c r="G69" s="156" t="s">
        <v>141</v>
      </c>
      <c r="H69" s="153" t="str">
        <f>IFERROR(__xludf.DUMMYFUNCTION("""COMPUTED_VALUE"""),"**Restoration_project** changed from Unknown to Artificial Reef Development Program, **Restoration_project_short** changed from Site in Brgy Nalvo to Site in Boboy, **Year of establishment** changed from 2023 to 1985, **Project Start** changed from Unknow"&amp;"n to 1985, **Project End** changed from Unknown to 1987, **Technique/Material Type** changed from Concrete tripod to tires, **Restoration objective** changed from Provide natural habitat for marine life and boost fish production to Unknown, **Funding agen"&amp;"cy** changed from PLGU to BFAR, **Total units** changed from Unknown to 13 TM, **Implementing institution** changed from PLGU to BFAR, **Partners_public** changed from MLGU to Ministry of Human Settlements, **Partners_communities** changed from Unknown to"&amp;" Samahang Kabuhayan, **Reference** changed from Austria, H. (2023, February 16). La Union deploys artificial reefs to boost fish production. Philippine News Agency. https://www.pna.gov.ph/articles/1195285 to Balgos, M.C. (1995). Evaluation of artificial r"&amp;"eef development in the Philippines. In Munro, J.L. &amp; Balgos, M. (eds.) Artificial reefs in the Philippines. ICLARM Conf. Proc. 49, pp. 6-22., **Website** changed from https://www.pna.gov.ph/articles/1195285; https://launion.gov.ph/%F0%9D%97%A3%F0%9D%97%9A"&amp;"%F0%9D%97%9F%F0%9D%97%A8%F0%9D%98%80-%F0%9D%97%94%F0%9D%97%A5%F0%9D%97%A7%F0%9D%97%9C%F0%9D%97%99%F0%9D%97%9C%F0%9D%97%96%F0%9D%97%9C%F0%9D%97%94%F0%9D%97%9F/ to https://core.ac.uk/download/pdf/6515223.pdf; https://www.ircwash.org/sites/default/files/802-"&amp;"PH90-8920.pdf, **Contact_name** changed from Unknown to Miriam Balgos")</f>
        <v>**Restoration_project** changed from Unknown to Artificial Reef Development Program, **Restoration_project_short** changed from Site in Brgy Nalvo to Site in Boboy, **Year of establishment** changed from 2023 to 1985, **Project Start** changed from Unknown to 1985, **Project End** changed from Unknown to 1987, **Technique/Material Type** changed from Concrete tripod to tires, **Restoration objective** changed from Provide natural habitat for marine life and boost fish production to Unknown, **Funding agency** changed from PLGU to BFAR, **Total units** changed from Unknown to 13 TM, **Implementing institution** changed from PLGU to BFAR, **Partners_public** changed from MLGU to Ministry of Human Settlements, **Partners_communities** changed from Unknown to Samahang Kabuhayan, **Reference** changed from Austria, H. (2023, February 16). La Union deploys artificial reefs to boost fish production. Philippine News Agency. https://www.pna.gov.ph/articles/1195285 to Balgos, M.C. (1995). Evaluation of artificial reef development in the Philippines. In Munro, J.L. &amp; Balgos, M. (eds.) Artificial reefs in the Philippines. ICLARM Conf. Proc. 49, pp. 6-22., **Website** changed from https://www.pna.gov.ph/articles/1195285; https://launion.gov.ph/%F0%9D%97%A3%F0%9D%97%9A%F0%9D%97%9F%F0%9D%97%A8%F0%9D%98%80-%F0%9D%97%94%F0%9D%97%A5%F0%9D%97%A7%F0%9D%97%9C%F0%9D%97%99%F0%9D%97%9C%F0%9D%97%96%F0%9D%97%9C%F0%9D%97%94%F0%9D%97%9F/ to https://core.ac.uk/download/pdf/6515223.pdf; https://www.ircwash.org/sites/default/files/802-PH90-8920.pdf, **Contact_name** changed from Unknown to Miriam Balgos</v>
      </c>
      <c r="I69" s="153" t="s">
        <v>6193</v>
      </c>
      <c r="J69" s="153" t="s">
        <v>143</v>
      </c>
      <c r="K69" s="153" t="s">
        <v>144</v>
      </c>
      <c r="L69" s="153" t="s">
        <v>145</v>
      </c>
      <c r="M69" s="181" t="s">
        <v>146</v>
      </c>
      <c r="N69" s="153" t="s">
        <v>151</v>
      </c>
      <c r="O69" s="153" t="s">
        <v>384</v>
      </c>
      <c r="P69" s="153" t="s">
        <v>452</v>
      </c>
      <c r="Q69" s="169">
        <v>1985.0</v>
      </c>
      <c r="R69" s="175" t="s">
        <v>6052</v>
      </c>
      <c r="S69" s="175" t="s">
        <v>6053</v>
      </c>
      <c r="T69" s="161" t="s">
        <v>150</v>
      </c>
      <c r="U69" s="153">
        <f>IFERROR(__xludf.DUMMYFUNCTION("""COMPUTED_VALUE"""),51.0)</f>
        <v>51</v>
      </c>
      <c r="V69" s="162" t="s">
        <v>3311</v>
      </c>
      <c r="W69" s="170" t="s">
        <v>6059</v>
      </c>
      <c r="X69" s="28" t="s">
        <v>6033</v>
      </c>
      <c r="Y69" s="28" t="s">
        <v>386</v>
      </c>
      <c r="Z69" s="176" t="s">
        <v>386</v>
      </c>
      <c r="AA69" s="153" t="s">
        <v>6054</v>
      </c>
      <c r="AB69" s="158" t="s">
        <v>149</v>
      </c>
      <c r="AC69" s="153" t="s">
        <v>390</v>
      </c>
      <c r="AD69" s="158" t="s">
        <v>160</v>
      </c>
      <c r="AE69" s="158" t="s">
        <v>6035</v>
      </c>
      <c r="AF69" s="158" t="s">
        <v>159</v>
      </c>
      <c r="AG69" s="164" t="s">
        <v>149</v>
      </c>
      <c r="AH69" s="158" t="s">
        <v>149</v>
      </c>
      <c r="AI69" s="153" t="s">
        <v>453</v>
      </c>
      <c r="AJ69" s="153" t="s">
        <v>390</v>
      </c>
      <c r="AK69" s="153" t="s">
        <v>6035</v>
      </c>
      <c r="AL69" s="153" t="s">
        <v>6055</v>
      </c>
      <c r="AM69" s="154" t="s">
        <v>149</v>
      </c>
      <c r="AN69" s="153" t="s">
        <v>6056</v>
      </c>
      <c r="AO69" s="156">
        <v>1.0</v>
      </c>
      <c r="AP69" s="156" t="s">
        <v>6037</v>
      </c>
      <c r="AQ69" s="158" t="s">
        <v>395</v>
      </c>
      <c r="AR69" s="153" t="s">
        <v>6060</v>
      </c>
      <c r="AS69" s="177" t="s">
        <v>397</v>
      </c>
      <c r="AT69" s="153" t="s">
        <v>398</v>
      </c>
      <c r="AU69" s="154" t="s">
        <v>149</v>
      </c>
    </row>
    <row r="70">
      <c r="A70" s="186">
        <v>35.0</v>
      </c>
      <c r="B70" s="152">
        <v>2025.0</v>
      </c>
      <c r="C70" s="153" t="str">
        <f t="shared" si="3"/>
        <v>2023-PH015501000-35</v>
      </c>
      <c r="D70" s="152">
        <f t="shared" si="4"/>
        <v>2023</v>
      </c>
      <c r="E70" s="151">
        <v>35.0</v>
      </c>
      <c r="F70" s="156" t="s">
        <v>140</v>
      </c>
      <c r="G70" s="156" t="s">
        <v>141</v>
      </c>
      <c r="H70" s="153" t="str">
        <f>IFERROR(__xludf.DUMMYFUNCTION("""COMPUTED_VALUE"""),"**Restoration_project** changed from Artificial Reef Development Program to Abig Pangasinan, **Year of establishment** changed from 1985 to 2021, **Project Start** changed from 1985 to Unknown, **Project End** changed from 1987 to Unknown, **Technique/Mat"&amp;"erial Type** changed from tires to Concrete tripod, **Restoration objective** changed from Unknown to Provide livelihood opportunities to fisherfolk; breeding grounds for fishes and other marine resources, **Funding agency** changed from BFAR to PLGU, **T"&amp;"otal units** changed from 13 TM to 45 units, **Implementing institution** changed from BFAR to PLGU, **Partners_public** changed from Ministry of Human Settlements to BFAR, MLGU, **Partners_communities** changed from Samahang Kabuhayan to Unknown, **Refer"&amp;"ence** changed from Balgos, M.C. (1995). Evaluation of artificial reef development in the Philippines. In Munro, J.L. &amp; Balgos, M. (eds.) Artificial reefs in the Philippines. ICLARM Conf. Proc. 49, pp. 6-22. to Austria, H. (2021, April 9). Artificial reef"&amp;" project gives livelihood to Pangasinan fisherfolk. Philippine News Agency. https://www.pna.gov.ph/articles/1136282, **Website** changed from https://core.ac.uk/download/pdf/6515223.pdf; https://www.ircwash.org/sites/default/files/802-PH90-8920.pdf to htt"&amp;"ps://www.pna.gov.ph/articles/1136282, **Contact_name** changed from Miriam Balgos to Unknown")</f>
        <v>**Restoration_project** changed from Artificial Reef Development Program to Abig Pangasinan, **Year of establishment** changed from 1985 to 2021, **Project Start** changed from 1985 to Unknown, **Project End** changed from 1987 to Unknown, **Technique/Material Type** changed from tires to Concrete tripod, **Restoration objective** changed from Unknown to Provide livelihood opportunities to fisherfolk; breeding grounds for fishes and other marine resources, **Funding agency** changed from BFAR to PLGU, **Total units** changed from 13 TM to 45 units, **Implementing institution** changed from BFAR to PLGU, **Partners_public** changed from Ministry of Human Settlements to BFAR, MLGU, **Partners_communities** changed from Samahang Kabuhayan to Unknown, **Reference** changed from Balgos, M.C. (1995). Evaluation of artificial reef development in the Philippines. In Munro, J.L. &amp; Balgos, M. (eds.) Artificial reefs in the Philippines. ICLARM Conf. Proc. 49, pp. 6-22. to Austria, H. (2021, April 9). Artificial reef project gives livelihood to Pangasinan fisherfolk. Philippine News Agency. https://www.pna.gov.ph/articles/1136282, **Website** changed from https://core.ac.uk/download/pdf/6515223.pdf; https://www.ircwash.org/sites/default/files/802-PH90-8920.pdf to https://www.pna.gov.ph/articles/1136282, **Contact_name** changed from Miriam Balgos to Unknown</v>
      </c>
      <c r="I70" s="153" t="s">
        <v>6194</v>
      </c>
      <c r="J70" s="153" t="s">
        <v>143</v>
      </c>
      <c r="K70" s="153" t="s">
        <v>144</v>
      </c>
      <c r="L70" s="153" t="s">
        <v>145</v>
      </c>
      <c r="M70" s="157" t="s">
        <v>146</v>
      </c>
      <c r="N70" s="153" t="s">
        <v>151</v>
      </c>
      <c r="O70" s="153" t="s">
        <v>147</v>
      </c>
      <c r="P70" s="158" t="s">
        <v>452</v>
      </c>
      <c r="Q70" s="169">
        <v>2021.0</v>
      </c>
      <c r="R70" s="160" t="s">
        <v>149</v>
      </c>
      <c r="S70" s="160" t="s">
        <v>149</v>
      </c>
      <c r="T70" s="161" t="s">
        <v>150</v>
      </c>
      <c r="U70" s="153">
        <f>IFERROR(__xludf.DUMMYFUNCTION("""COMPUTED_VALUE"""),52.0)</f>
        <v>52</v>
      </c>
      <c r="V70" s="162" t="s">
        <v>3311</v>
      </c>
      <c r="W70" s="184" t="s">
        <v>6032</v>
      </c>
      <c r="X70" s="28" t="s">
        <v>6033</v>
      </c>
      <c r="Y70" s="32" t="s">
        <v>153</v>
      </c>
      <c r="Z70" s="158" t="s">
        <v>153</v>
      </c>
      <c r="AA70" s="158" t="s">
        <v>153</v>
      </c>
      <c r="AB70" s="158" t="s">
        <v>6195</v>
      </c>
      <c r="AC70" s="158" t="s">
        <v>158</v>
      </c>
      <c r="AD70" s="158" t="s">
        <v>160</v>
      </c>
      <c r="AE70" s="158" t="s">
        <v>6035</v>
      </c>
      <c r="AF70" s="158" t="s">
        <v>159</v>
      </c>
      <c r="AG70" s="164" t="s">
        <v>149</v>
      </c>
      <c r="AH70" s="158" t="s">
        <v>149</v>
      </c>
      <c r="AI70" s="158" t="s">
        <v>162</v>
      </c>
      <c r="AJ70" s="153" t="s">
        <v>158</v>
      </c>
      <c r="AK70" s="153" t="s">
        <v>6035</v>
      </c>
      <c r="AL70" s="153" t="s">
        <v>6196</v>
      </c>
      <c r="AM70" s="3" t="s">
        <v>149</v>
      </c>
      <c r="AN70" s="3" t="s">
        <v>149</v>
      </c>
      <c r="AO70" s="156">
        <v>1.0</v>
      </c>
      <c r="AP70" s="156" t="s">
        <v>6037</v>
      </c>
      <c r="AQ70" s="158" t="s">
        <v>166</v>
      </c>
      <c r="AR70" s="153" t="s">
        <v>167</v>
      </c>
      <c r="AS70" s="165" t="s">
        <v>168</v>
      </c>
      <c r="AT70" s="3" t="s">
        <v>149</v>
      </c>
      <c r="AU70" s="3" t="s">
        <v>149</v>
      </c>
    </row>
    <row r="71">
      <c r="A71" s="186">
        <v>35.0</v>
      </c>
      <c r="B71" s="152">
        <v>2023.0</v>
      </c>
      <c r="D71" s="152"/>
      <c r="E71" s="151">
        <v>35.0</v>
      </c>
      <c r="F71" s="129" t="s">
        <v>140</v>
      </c>
      <c r="G71" s="3" t="s">
        <v>3279</v>
      </c>
      <c r="H71" s="8" t="str">
        <f>IFERROR(__xludf.DUMMYFUNCTION("""COMPUTED_VALUE"""),"")</f>
        <v/>
      </c>
      <c r="I71" s="8" t="s">
        <v>6197</v>
      </c>
      <c r="J71" s="8" t="s">
        <v>143</v>
      </c>
      <c r="K71" s="8" t="s">
        <v>438</v>
      </c>
      <c r="L71" s="8" t="s">
        <v>2850</v>
      </c>
      <c r="M71" s="153" t="s">
        <v>2851</v>
      </c>
      <c r="N71" s="8" t="s">
        <v>151</v>
      </c>
      <c r="O71" s="8" t="s">
        <v>384</v>
      </c>
      <c r="Q71" s="142"/>
      <c r="R71" s="142" t="s">
        <v>6198</v>
      </c>
      <c r="S71" s="142" t="s">
        <v>6199</v>
      </c>
      <c r="U71" s="8">
        <f>IFERROR(__xludf.DUMMYFUNCTION("""COMPUTED_VALUE"""),53.0)</f>
        <v>53</v>
      </c>
      <c r="V71" s="8"/>
      <c r="W71" s="8"/>
      <c r="AC71" s="8" t="s">
        <v>660</v>
      </c>
      <c r="AG71" s="142"/>
      <c r="AJ71" s="8" t="s">
        <v>660</v>
      </c>
      <c r="AO71" s="8"/>
      <c r="AP71" s="8"/>
    </row>
    <row r="72">
      <c r="A72" s="186">
        <v>36.0</v>
      </c>
      <c r="B72" s="152">
        <v>2025.0</v>
      </c>
      <c r="C72" s="153" t="str">
        <f>CONCATENATE(D72, "-", M72, "-", A72)
</f>
        <v>2023-PH015503000-36</v>
      </c>
      <c r="D72" s="152">
        <f>IF(OR(F71="Published", F71="Unpublished"), 2023, IF(F71="New", 2025, ""))
</f>
        <v>2023</v>
      </c>
      <c r="E72" s="151">
        <v>36.0</v>
      </c>
      <c r="F72" s="156" t="s">
        <v>140</v>
      </c>
      <c r="G72" s="156" t="s">
        <v>141</v>
      </c>
      <c r="H72" s="153" t="str">
        <f>IFERROR(__xludf.DUMMYFUNCTION("""COMPUTED_VALUE"""),"**Restoration_project_short** changed from to Site in Canal Bay, **Year of establishment** changed from to 1981, **Project Start** changed from 1990 to 1985, **Project End** changed from 1994 to 1987, **Technique/Material Type** changed from to tires, **R"&amp;"estoration objective** changed from to Unknown, **Funding agency** changed from DA to BFAR, **Total funding** changed from to Unknown, **Total area of restoration** changed from to Unknown, **Total units** changed from to 15 units, **Implementing institut"&amp;"ion** changed from DA to BFAR, **Partners_public** changed from to Ministry of Human Settlements, **Partners_private** changed from to Tambuyog Development Center, **Partners_communities** changed from to Unknown, **Reference** changed from to Balgos, M.C"&amp;". (1995). Evaluation of artificial reef development in the Philippines. In Munro, J.L. &amp; Balgos, M. (eds.) Artificial reefs in the Philippines. ICLARM Conf. Proc. 49, pp. 6-22., **Website** changed from to https://core.ac.uk/download/pdf/6515223.pdf; http"&amp;"s://www.ircwash.org/sites/default/files/802-PH90-8920.pdf, **Contact_name** changed from to Miriam Balgos, **Contact_details** changed from to Unknown")</f>
        <v>**Restoration_project_short** changed from to Site in Canal Bay, **Year of establishment** changed from to 1981, **Project Start** changed from 1990 to 1985, **Project End** changed from 1994 to 1987, **Technique/Material Type** changed from to tires, **Restoration objective** changed from to Unknown, **Funding agency** changed from DA to BFAR, **Total funding** changed from to Unknown, **Total area of restoration** changed from to Unknown, **Total units** changed from to 15 units, **Implementing institution** changed from DA to BFAR, **Partners_public** changed from to Ministry of Human Settlements, **Partners_private** changed from to Tambuyog Development Center, **Partners_communities** changed from to Unknown, **Reference** changed from to Balgos, M.C. (1995). Evaluation of artificial reef development in the Philippines. In Munro, J.L. &amp; Balgos, M. (eds.) Artificial reefs in the Philippines. ICLARM Conf. Proc. 49, pp. 6-22., **Website** changed from to https://core.ac.uk/download/pdf/6515223.pdf; https://www.ircwash.org/sites/default/files/802-PH90-8920.pdf, **Contact_name** changed from to Miriam Balgos, **Contact_details** changed from to Unknown</v>
      </c>
      <c r="I72" s="153" t="s">
        <v>6200</v>
      </c>
      <c r="J72" s="153" t="s">
        <v>143</v>
      </c>
      <c r="K72" s="153" t="s">
        <v>144</v>
      </c>
      <c r="L72" s="153" t="s">
        <v>4284</v>
      </c>
      <c r="M72" s="181" t="s">
        <v>222</v>
      </c>
      <c r="N72" s="153" t="s">
        <v>151</v>
      </c>
      <c r="O72" s="153" t="s">
        <v>384</v>
      </c>
      <c r="P72" s="153" t="s">
        <v>2855</v>
      </c>
      <c r="Q72" s="169">
        <v>1981.0</v>
      </c>
      <c r="R72" s="175" t="s">
        <v>6052</v>
      </c>
      <c r="S72" s="175" t="s">
        <v>6053</v>
      </c>
      <c r="T72" s="161" t="s">
        <v>150</v>
      </c>
      <c r="U72" s="153">
        <f>IFERROR(__xludf.DUMMYFUNCTION("""COMPUTED_VALUE"""),54.0)</f>
        <v>54</v>
      </c>
      <c r="V72" s="162" t="s">
        <v>3311</v>
      </c>
      <c r="W72" s="170" t="s">
        <v>6059</v>
      </c>
      <c r="X72" s="28" t="s">
        <v>6033</v>
      </c>
      <c r="Y72" s="28" t="s">
        <v>386</v>
      </c>
      <c r="Z72" s="176" t="s">
        <v>386</v>
      </c>
      <c r="AA72" s="158" t="s">
        <v>6054</v>
      </c>
      <c r="AB72" s="158" t="s">
        <v>149</v>
      </c>
      <c r="AC72" s="153" t="s">
        <v>390</v>
      </c>
      <c r="AD72" s="158" t="s">
        <v>160</v>
      </c>
      <c r="AE72" s="158" t="s">
        <v>6035</v>
      </c>
      <c r="AF72" s="158" t="s">
        <v>159</v>
      </c>
      <c r="AG72" s="164" t="s">
        <v>149</v>
      </c>
      <c r="AH72" s="158" t="s">
        <v>149</v>
      </c>
      <c r="AI72" s="153" t="s">
        <v>2853</v>
      </c>
      <c r="AJ72" s="153" t="s">
        <v>390</v>
      </c>
      <c r="AK72" s="153" t="s">
        <v>6035</v>
      </c>
      <c r="AL72" s="153" t="s">
        <v>6055</v>
      </c>
      <c r="AM72" s="153" t="s">
        <v>6201</v>
      </c>
      <c r="AN72" s="3" t="s">
        <v>149</v>
      </c>
      <c r="AO72" s="156">
        <v>1.0</v>
      </c>
      <c r="AP72" s="156" t="s">
        <v>6037</v>
      </c>
      <c r="AQ72" s="158" t="s">
        <v>395</v>
      </c>
      <c r="AR72" s="153" t="s">
        <v>6060</v>
      </c>
      <c r="AS72" s="165" t="s">
        <v>397</v>
      </c>
      <c r="AT72" s="153" t="s">
        <v>398</v>
      </c>
      <c r="AU72" s="3" t="s">
        <v>149</v>
      </c>
    </row>
    <row r="73">
      <c r="A73" s="186">
        <v>36.0</v>
      </c>
      <c r="B73" s="152">
        <v>2023.0</v>
      </c>
      <c r="D73" s="152"/>
      <c r="E73" s="151">
        <v>36.0</v>
      </c>
      <c r="F73" s="129" t="s">
        <v>140</v>
      </c>
      <c r="G73" s="3" t="s">
        <v>3279</v>
      </c>
      <c r="H73" s="8" t="str">
        <f>IFERROR(__xludf.DUMMYFUNCTION("""COMPUTED_VALUE"""),"")</f>
        <v/>
      </c>
      <c r="I73" s="8" t="s">
        <v>6202</v>
      </c>
      <c r="J73" s="8" t="s">
        <v>143</v>
      </c>
      <c r="K73" s="8" t="s">
        <v>438</v>
      </c>
      <c r="L73" s="8" t="s">
        <v>2845</v>
      </c>
      <c r="M73" s="153" t="s">
        <v>2846</v>
      </c>
      <c r="N73" s="8" t="s">
        <v>151</v>
      </c>
      <c r="O73" s="8" t="s">
        <v>6113</v>
      </c>
      <c r="Q73" s="142" t="s">
        <v>6089</v>
      </c>
      <c r="R73" s="142"/>
      <c r="S73" s="142"/>
      <c r="U73" s="8">
        <f>IFERROR(__xludf.DUMMYFUNCTION("""COMPUTED_VALUE"""),55.0)</f>
        <v>55</v>
      </c>
      <c r="V73" s="8"/>
      <c r="W73" s="8"/>
      <c r="AG73" s="142"/>
      <c r="AJ73" s="8" t="s">
        <v>6140</v>
      </c>
      <c r="AO73" s="8"/>
      <c r="AP73" s="8"/>
    </row>
    <row r="74">
      <c r="A74" s="186">
        <v>37.0</v>
      </c>
      <c r="B74" s="152">
        <v>2023.0</v>
      </c>
      <c r="D74" s="152"/>
      <c r="E74" s="151">
        <v>37.0</v>
      </c>
      <c r="F74" s="129" t="s">
        <v>140</v>
      </c>
      <c r="G74" s="3" t="s">
        <v>6029</v>
      </c>
      <c r="H74" s="8" t="str">
        <f>IFERROR(__xludf.DUMMYFUNCTION("""COMPUTED_VALUE"""),"")</f>
        <v/>
      </c>
      <c r="I74" s="8" t="s">
        <v>6203</v>
      </c>
      <c r="J74" s="8" t="s">
        <v>143</v>
      </c>
      <c r="K74" s="8" t="s">
        <v>144</v>
      </c>
      <c r="L74" s="8" t="s">
        <v>145</v>
      </c>
      <c r="M74" s="153" t="s">
        <v>146</v>
      </c>
      <c r="N74" s="8" t="s">
        <v>151</v>
      </c>
      <c r="O74" s="3" t="s">
        <v>149</v>
      </c>
      <c r="P74" s="3" t="s">
        <v>149</v>
      </c>
      <c r="Q74" s="3" t="s">
        <v>149</v>
      </c>
      <c r="R74" s="142" t="s">
        <v>6073</v>
      </c>
      <c r="S74" s="142" t="s">
        <v>6198</v>
      </c>
      <c r="T74" s="8"/>
      <c r="U74" s="8">
        <f>IFERROR(__xludf.DUMMYFUNCTION("""COMPUTED_VALUE"""),56.0)</f>
        <v>56</v>
      </c>
      <c r="V74" s="8"/>
      <c r="W74" s="3"/>
      <c r="X74" s="8"/>
      <c r="Y74" s="8"/>
      <c r="AA74" s="3" t="s">
        <v>149</v>
      </c>
      <c r="AB74" s="8" t="s">
        <v>6204</v>
      </c>
      <c r="AC74" s="8" t="s">
        <v>2111</v>
      </c>
      <c r="AG74" s="143" t="s">
        <v>149</v>
      </c>
      <c r="AH74" s="3" t="s">
        <v>149</v>
      </c>
      <c r="AI74" s="3" t="s">
        <v>149</v>
      </c>
      <c r="AJ74" s="8" t="s">
        <v>2111</v>
      </c>
      <c r="AL74" s="3" t="s">
        <v>149</v>
      </c>
      <c r="AM74" s="3" t="s">
        <v>149</v>
      </c>
      <c r="AN74" s="3" t="s">
        <v>149</v>
      </c>
      <c r="AO74" s="8"/>
      <c r="AP74" s="8"/>
      <c r="AR74" s="8" t="s">
        <v>395</v>
      </c>
      <c r="AS74" s="172" t="s">
        <v>2873</v>
      </c>
      <c r="AT74" s="3" t="s">
        <v>149</v>
      </c>
      <c r="AU74" s="3" t="s">
        <v>149</v>
      </c>
    </row>
    <row r="75">
      <c r="A75" s="186">
        <v>37.0</v>
      </c>
      <c r="B75" s="152">
        <v>2025.0</v>
      </c>
      <c r="C75" s="153" t="str">
        <f>CONCATENATE(D75, "-", M75, "-", A75)
</f>
        <v>2023-PH015503000-37</v>
      </c>
      <c r="D75" s="152">
        <f>IF(OR(F74="Published", F74="Unpublished"), 2023, IF(F74="New", 2025, ""))
</f>
        <v>2023</v>
      </c>
      <c r="E75" s="151">
        <v>37.0</v>
      </c>
      <c r="F75" s="156" t="s">
        <v>140</v>
      </c>
      <c r="G75" s="156" t="s">
        <v>141</v>
      </c>
      <c r="H75" s="153" t="str">
        <f>IFERROR(__xludf.DUMMYFUNCTION("""COMPUTED_VALUE"""),"**Restoration_project** changed from Unknown to Artificial Reef Development Program, **Restoration_project_short** changed from Unknown to Site in Pandan, **Year of establishment** changed from Unknown to 1985, **Project Start** changed from 1982 to 1985,"&amp;" **Project End** changed from 1990 to 1987, **Technique/Material Type** changed from Unknown to tires, **Restoration objective** changed from Increase income and improve nutrition to Unknown, **Funding agency** changed from US Peace Corps to BFAR, **Total"&amp;" units** changed from Unknown to 13 TM, **Implementing institution** changed from US Peace Corps to BFAR, **Partners_public** changed from Unknown to Ministry of Human Settlements, **Reference** changed from Conference Proceeding to Balgos, M.C. (1995). E"&amp;"valuation of artificial reef development in the Philippines. In Munro, J.L. &amp; Balgos, M. (eds.) Artificial reefs in the Philippines. ICLARM Conf. Proc. 49, pp. 6-22., **Website** changed from http://pubs.iclarm.net/libinfo/Pdf/Pub%20CP6%2049.pdf to https:"&amp;"//core.ac.uk/download/pdf/6515223.pdf; https://www.ircwash.org/sites/default/files/802-PH90-8920.pdf, **Contact_name** changed from Unknown to Miriam Balgos")</f>
        <v>**Restoration_project** changed from Unknown to Artificial Reef Development Program, **Restoration_project_short** changed from Unknown to Site in Pandan, **Year of establishment** changed from Unknown to 1985, **Project Start** changed from 1982 to 1985, **Project End** changed from 1990 to 1987, **Technique/Material Type** changed from Unknown to tires, **Restoration objective** changed from Increase income and improve nutrition to Unknown, **Funding agency** changed from US Peace Corps to BFAR, **Total units** changed from Unknown to 13 TM, **Implementing institution** changed from US Peace Corps to BFAR, **Partners_public** changed from Unknown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 **Contact_name** changed from Unknown to Miriam Balgos</v>
      </c>
      <c r="I75" s="153" t="s">
        <v>6205</v>
      </c>
      <c r="J75" s="153" t="s">
        <v>143</v>
      </c>
      <c r="K75" s="153" t="s">
        <v>144</v>
      </c>
      <c r="L75" s="153" t="s">
        <v>4284</v>
      </c>
      <c r="M75" s="181" t="s">
        <v>222</v>
      </c>
      <c r="N75" s="153" t="s">
        <v>151</v>
      </c>
      <c r="O75" s="153" t="s">
        <v>384</v>
      </c>
      <c r="P75" s="153" t="s">
        <v>455</v>
      </c>
      <c r="Q75" s="169">
        <v>1985.0</v>
      </c>
      <c r="R75" s="175" t="s">
        <v>6052</v>
      </c>
      <c r="S75" s="175" t="s">
        <v>6053</v>
      </c>
      <c r="T75" s="161" t="s">
        <v>150</v>
      </c>
      <c r="U75" s="153">
        <f>IFERROR(__xludf.DUMMYFUNCTION("""COMPUTED_VALUE"""),57.0)</f>
        <v>57</v>
      </c>
      <c r="V75" s="162" t="s">
        <v>3311</v>
      </c>
      <c r="W75" s="170" t="s">
        <v>6059</v>
      </c>
      <c r="X75" s="28" t="s">
        <v>6033</v>
      </c>
      <c r="Y75" s="28" t="s">
        <v>386</v>
      </c>
      <c r="Z75" s="176" t="s">
        <v>386</v>
      </c>
      <c r="AA75" s="153" t="s">
        <v>6054</v>
      </c>
      <c r="AB75" s="158" t="s">
        <v>149</v>
      </c>
      <c r="AC75" s="153" t="s">
        <v>390</v>
      </c>
      <c r="AD75" s="158" t="s">
        <v>160</v>
      </c>
      <c r="AE75" s="158" t="s">
        <v>6035</v>
      </c>
      <c r="AF75" s="158" t="s">
        <v>159</v>
      </c>
      <c r="AG75" s="164" t="s">
        <v>149</v>
      </c>
      <c r="AH75" s="158" t="s">
        <v>149</v>
      </c>
      <c r="AI75" s="153" t="s">
        <v>453</v>
      </c>
      <c r="AJ75" s="153" t="s">
        <v>390</v>
      </c>
      <c r="AK75" s="153" t="s">
        <v>6035</v>
      </c>
      <c r="AL75" s="153" t="s">
        <v>6055</v>
      </c>
      <c r="AM75" s="3" t="s">
        <v>149</v>
      </c>
      <c r="AN75" s="3" t="s">
        <v>149</v>
      </c>
      <c r="AO75" s="156">
        <v>1.0</v>
      </c>
      <c r="AP75" s="156" t="s">
        <v>6037</v>
      </c>
      <c r="AQ75" s="158" t="s">
        <v>395</v>
      </c>
      <c r="AR75" s="153" t="s">
        <v>6060</v>
      </c>
      <c r="AS75" s="165" t="s">
        <v>397</v>
      </c>
      <c r="AT75" s="153" t="s">
        <v>398</v>
      </c>
      <c r="AU75" s="3" t="s">
        <v>149</v>
      </c>
    </row>
    <row r="76">
      <c r="A76" s="186">
        <v>38.0</v>
      </c>
      <c r="B76" s="152">
        <v>2023.0</v>
      </c>
      <c r="D76" s="152"/>
      <c r="E76" s="151">
        <v>38.0</v>
      </c>
      <c r="F76" s="129" t="s">
        <v>140</v>
      </c>
      <c r="G76" s="3" t="s">
        <v>6029</v>
      </c>
      <c r="H76" s="8" t="str">
        <f>IFERROR(__xludf.DUMMYFUNCTION("""COMPUTED_VALUE"""),"")</f>
        <v/>
      </c>
      <c r="I76" s="8" t="s">
        <v>6206</v>
      </c>
      <c r="J76" s="8" t="s">
        <v>143</v>
      </c>
      <c r="K76" s="8" t="s">
        <v>144</v>
      </c>
      <c r="L76" s="8" t="s">
        <v>145</v>
      </c>
      <c r="M76" s="153" t="s">
        <v>146</v>
      </c>
      <c r="N76" s="8" t="s">
        <v>151</v>
      </c>
      <c r="O76" s="8" t="s">
        <v>147</v>
      </c>
      <c r="P76" s="3" t="s">
        <v>149</v>
      </c>
      <c r="Q76" s="142" t="s">
        <v>6030</v>
      </c>
      <c r="R76" s="3" t="s">
        <v>149</v>
      </c>
      <c r="S76" s="3" t="s">
        <v>149</v>
      </c>
      <c r="T76" s="8"/>
      <c r="U76" s="8">
        <f>IFERROR(__xludf.DUMMYFUNCTION("""COMPUTED_VALUE"""),58.0)</f>
        <v>58</v>
      </c>
      <c r="V76" s="8"/>
      <c r="W76" s="3"/>
      <c r="X76" s="8"/>
      <c r="Y76" s="8"/>
      <c r="AA76" s="3" t="s">
        <v>149</v>
      </c>
      <c r="AB76" s="3" t="s">
        <v>149</v>
      </c>
      <c r="AC76" s="3" t="s">
        <v>149</v>
      </c>
      <c r="AG76" s="143" t="s">
        <v>149</v>
      </c>
      <c r="AH76" s="3" t="s">
        <v>149</v>
      </c>
      <c r="AI76" s="3" t="s">
        <v>149</v>
      </c>
      <c r="AJ76" s="8" t="s">
        <v>158</v>
      </c>
      <c r="AL76" s="8" t="s">
        <v>390</v>
      </c>
      <c r="AM76" s="3" t="s">
        <v>149</v>
      </c>
      <c r="AN76" s="3" t="s">
        <v>149</v>
      </c>
      <c r="AO76" s="8"/>
      <c r="AP76" s="8"/>
      <c r="AR76" s="8" t="s">
        <v>166</v>
      </c>
      <c r="AS76" s="8" t="s">
        <v>168</v>
      </c>
      <c r="AT76" s="3" t="s">
        <v>149</v>
      </c>
      <c r="AU76" s="3" t="s">
        <v>149</v>
      </c>
    </row>
    <row r="77">
      <c r="A77" s="186">
        <v>38.0</v>
      </c>
      <c r="B77" s="152">
        <v>2025.0</v>
      </c>
      <c r="C77" s="153" t="str">
        <f>CONCATENATE(D77, "-", M77, "-", A77)
</f>
        <v>2023-PH015503000-38</v>
      </c>
      <c r="D77" s="152">
        <f>IF(OR(F76="Published", F76="Unpublished"), 2023, IF(F76="New", 2025, ""))
</f>
        <v>2023</v>
      </c>
      <c r="E77" s="151">
        <v>38.0</v>
      </c>
      <c r="F77" s="156" t="s">
        <v>140</v>
      </c>
      <c r="G77" s="156" t="s">
        <v>141</v>
      </c>
      <c r="H77" s="153" t="str">
        <f>IFERROR(__xludf.DUMMYFUNCTION("""COMPUTED_VALUE"""),"**Restoration_project** changed from Abig Pangasinan to Artificial Reef Development Program, **Restoration_project_short** changed from Unknown to Site in Victoria, **Year of establishment** changed from 2021 to 1987, **Project Start** changed from Unknow"&amp;"n to 1985, **Project End** changed from Unknown to 1987, **Technique/Material Type** changed from Unknown to tires, **Funding agency** changed from Unknown to BFAR, **Total units** changed from Unknown to 10 TM, **Implementing institution** changed from P"&amp;"LGU to BFAR, **Partners_public** changed from BFAR to Ministry of Human Settlements, **Reference** changed from News/Press Release to Balgos, M.C. (1995). Evaluation of artificial reef development in the Philippines. In Munro, J.L. &amp; Balgos, M. (eds.) Art"&amp;"ificial reefs in the Philippines. ICLARM Conf. Proc. 49, pp. 6-22., **Website** changed from https://www.pna.gov.ph/articles/1136282 to https://core.ac.uk/download/pdf/6515223.pdf; https://www.ircwash.org/sites/default/files/802-PH90-8920.pdf, **Contact_n"&amp;"ame** changed from Unknown to Miriam Balgos")</f>
        <v>**Restoration_project** changed from Abig Pangasinan to Artificial Reef Development Program, **Restoration_project_short** changed from Unknown to Site in Victoria, **Year of establishment** changed from 2021 to 1987, **Project Start** changed from Unknown to 1985, **Project End** changed from Unknown to 1987, **Technique/Material Type** changed from Unknown to tires, **Funding agency** changed from Unknown to BFAR, **Total units** changed from Unknown to 10 TM, **Implementing institution** changed from PLGU to BFAR, **Partners_public** changed from BFAR to Ministry of Human Settlements, **Reference** changed from News/Press Release to Balgos, M.C. (1995). Evaluation of artificial reef development in the Philippines. In Munro, J.L. &amp; Balgos, M. (eds.) Artificial reefs in the Philippines. ICLARM Conf. Proc. 49, pp. 6-22., **Website** changed from https://www.pna.gov.ph/articles/1136282 to https://core.ac.uk/download/pdf/6515223.pdf; https://www.ircwash.org/sites/default/files/802-PH90-8920.pdf, **Contact_name** changed from Unknown to Miriam Balgos</v>
      </c>
      <c r="I77" s="153" t="s">
        <v>6207</v>
      </c>
      <c r="J77" s="153" t="s">
        <v>143</v>
      </c>
      <c r="K77" s="153" t="s">
        <v>144</v>
      </c>
      <c r="L77" s="153" t="s">
        <v>4284</v>
      </c>
      <c r="M77" s="181" t="s">
        <v>222</v>
      </c>
      <c r="N77" s="153" t="s">
        <v>151</v>
      </c>
      <c r="O77" s="153" t="s">
        <v>384</v>
      </c>
      <c r="P77" s="153" t="s">
        <v>457</v>
      </c>
      <c r="Q77" s="169">
        <v>1987.0</v>
      </c>
      <c r="R77" s="175" t="s">
        <v>6052</v>
      </c>
      <c r="S77" s="175" t="s">
        <v>6053</v>
      </c>
      <c r="T77" s="161" t="s">
        <v>150</v>
      </c>
      <c r="U77" s="153">
        <f>IFERROR(__xludf.DUMMYFUNCTION("""COMPUTED_VALUE"""),59.0)</f>
        <v>59</v>
      </c>
      <c r="V77" s="162" t="s">
        <v>3311</v>
      </c>
      <c r="W77" s="170" t="s">
        <v>6059</v>
      </c>
      <c r="X77" s="28" t="s">
        <v>6033</v>
      </c>
      <c r="Y77" s="28" t="s">
        <v>386</v>
      </c>
      <c r="Z77" s="176" t="s">
        <v>386</v>
      </c>
      <c r="AA77" s="153" t="s">
        <v>6054</v>
      </c>
      <c r="AB77" s="158" t="s">
        <v>149</v>
      </c>
      <c r="AC77" s="153" t="s">
        <v>390</v>
      </c>
      <c r="AD77" s="158" t="s">
        <v>160</v>
      </c>
      <c r="AE77" s="158" t="s">
        <v>6035</v>
      </c>
      <c r="AF77" s="158" t="s">
        <v>159</v>
      </c>
      <c r="AG77" s="164" t="s">
        <v>149</v>
      </c>
      <c r="AH77" s="158" t="s">
        <v>149</v>
      </c>
      <c r="AI77" s="153" t="s">
        <v>391</v>
      </c>
      <c r="AJ77" s="153" t="s">
        <v>390</v>
      </c>
      <c r="AK77" s="153" t="s">
        <v>6035</v>
      </c>
      <c r="AL77" s="153" t="s">
        <v>6055</v>
      </c>
      <c r="AM77" s="3" t="s">
        <v>149</v>
      </c>
      <c r="AN77" s="3" t="s">
        <v>149</v>
      </c>
      <c r="AO77" s="156">
        <v>1.0</v>
      </c>
      <c r="AP77" s="156" t="s">
        <v>6037</v>
      </c>
      <c r="AQ77" s="158" t="s">
        <v>395</v>
      </c>
      <c r="AR77" s="153" t="s">
        <v>6060</v>
      </c>
      <c r="AS77" s="165" t="s">
        <v>397</v>
      </c>
      <c r="AT77" s="153" t="s">
        <v>398</v>
      </c>
      <c r="AU77" s="3" t="s">
        <v>149</v>
      </c>
    </row>
    <row r="78">
      <c r="A78" s="186">
        <v>39.0</v>
      </c>
      <c r="B78" s="152">
        <v>2023.0</v>
      </c>
      <c r="D78" s="152"/>
      <c r="E78" s="151">
        <v>39.0</v>
      </c>
      <c r="F78" s="129" t="s">
        <v>140</v>
      </c>
      <c r="G78" s="3" t="s">
        <v>6029</v>
      </c>
      <c r="H78" s="8" t="str">
        <f>IFERROR(__xludf.DUMMYFUNCTION("""COMPUTED_VALUE"""),"")</f>
        <v/>
      </c>
      <c r="I78" s="8" t="s">
        <v>6208</v>
      </c>
      <c r="J78" s="8" t="s">
        <v>143</v>
      </c>
      <c r="K78" s="8" t="s">
        <v>144</v>
      </c>
      <c r="L78" s="8" t="s">
        <v>4284</v>
      </c>
      <c r="M78" s="153" t="s">
        <v>222</v>
      </c>
      <c r="N78" s="8" t="s">
        <v>151</v>
      </c>
      <c r="O78" s="8" t="s">
        <v>384</v>
      </c>
      <c r="P78" s="8" t="s">
        <v>2855</v>
      </c>
      <c r="Q78" s="181" t="s">
        <v>6169</v>
      </c>
      <c r="R78" s="142" t="s">
        <v>6052</v>
      </c>
      <c r="S78" s="142" t="s">
        <v>6053</v>
      </c>
      <c r="T78" s="8"/>
      <c r="U78" s="8">
        <f>IFERROR(__xludf.DUMMYFUNCTION("""COMPUTED_VALUE"""),60.0)</f>
        <v>60</v>
      </c>
      <c r="V78" s="8"/>
      <c r="W78" s="3"/>
      <c r="X78" s="8"/>
      <c r="Y78" s="8"/>
      <c r="AA78" s="3" t="s">
        <v>149</v>
      </c>
      <c r="AB78" s="3" t="s">
        <v>149</v>
      </c>
      <c r="AC78" s="8" t="s">
        <v>390</v>
      </c>
      <c r="AG78" s="143" t="s">
        <v>149</v>
      </c>
      <c r="AH78" s="3" t="s">
        <v>149</v>
      </c>
      <c r="AI78" s="8" t="s">
        <v>2853</v>
      </c>
      <c r="AJ78" s="8" t="s">
        <v>390</v>
      </c>
      <c r="AL78" s="8" t="s">
        <v>6055</v>
      </c>
      <c r="AM78" s="8" t="s">
        <v>6201</v>
      </c>
      <c r="AN78" s="3" t="s">
        <v>149</v>
      </c>
      <c r="AO78" s="8"/>
      <c r="AP78" s="8"/>
      <c r="AR78" s="8" t="s">
        <v>6057</v>
      </c>
      <c r="AS78" s="8" t="s">
        <v>2873</v>
      </c>
      <c r="AT78" s="8" t="s">
        <v>398</v>
      </c>
      <c r="AU78" s="3" t="s">
        <v>149</v>
      </c>
    </row>
    <row r="79">
      <c r="A79" s="186">
        <v>39.0</v>
      </c>
      <c r="B79" s="152">
        <v>2025.0</v>
      </c>
      <c r="C79" s="153" t="str">
        <f t="shared" ref="C79:C81" si="5">CONCATENATE(D79, "-", M79, "-", A79)
</f>
        <v>2023-PH015503000-39</v>
      </c>
      <c r="D79" s="152">
        <f t="shared" ref="D79:D81" si="6">IF(OR(F78="Published", F78="Unpublished"), 2023, IF(F78="New", 2025, ""))
</f>
        <v>2023</v>
      </c>
      <c r="E79" s="151">
        <v>39.0</v>
      </c>
      <c r="F79" s="156" t="s">
        <v>140</v>
      </c>
      <c r="G79" s="156" t="s">
        <v>141</v>
      </c>
      <c r="H79" s="153" t="str">
        <f>IFERROR(__xludf.DUMMYFUNCTION("""COMPUTED_VALUE"""),"**Restoration_project** changed from Artificial Reef Development Program to Unknown, **Restoration_project_short** changed from Site in Canal Bay to Site in Quezon Island, HINP, **Year of establishment** changed from 1981 to 1999, **Project Start** change"&amp;"d from 1985 to 1999, **Project End** changed from 1987 to 2000, **Restoration method** changed from Artificial Reef to Mineral accretion, **Technique/Material Type** changed from Unknown to Electrochemical, **Restoration objective** changed from Unknown t"&amp;"o Research; experimental, **Funding agency** changed from BFAR to CHED, **Total units** changed from 15 units to Unknown, **Implementing institution** changed from BFAR to UP MSI, **Partners_public** changed from Ministry of Human Settlements to UP Colleg"&amp;"e of Engineering, **Partners_private** changed from Tambuyog Development Center to Unknown, **Reference** changed from Conference Proceediing to Sabater, M., &amp; Yap, H. (2002). Growth and survival of coral transplants with and without electrochemical depos"&amp;"ition of CaCO3. Journal of Experimental Marine Biology and Ecology, 272(2), 131-146. https://doi.org/10.1016/S0022-0981(02)00051-5, **Website** changed from http://pubs.iclarm.net/libinfo/Pdf/Pub%20CP6%2049.pdf to Growth and survival of coral transplants "&amp;"with and without electrochemical deposition of CaCO3 - ScienceDirect, **Contact_name** changed from Miriam Balgos to M. Sabater; H.T. Yap")</f>
        <v>**Restoration_project** changed from Artificial Reef Development Program to Unknown, **Restoration_project_short** changed from Site in Canal Bay to Site in Quezon Island, HINP, **Year of establishment** changed from 1981 to 1999, **Project Start** changed from 1985 to 1999, **Project End** changed from 1987 to 2000, **Restoration method** changed from Artificial Reef to Mineral accretion, **Technique/Material Type** changed from Unknown to Electrochemical, **Restoration objective** changed from Unknown to Research; experimental, **Funding agency** changed from BFAR to CHED, **Total units** changed from 15 units to Unknown, **Implementing institution** changed from BFAR to UP MSI, **Partners_public** changed from Ministry of Human Settlements to UP College of Engineering, **Partners_private** changed from Tambuyog Development Center to Unknown, **Reference** changed from Conference Proceediing to Sabater, M., &amp; Yap, H. (2002). Growth and survival of coral transplants with and without electrochemical deposition of CaCO3. Journal of Experimental Marine Biology and Ecology, 272(2), 131-146. https://doi.org/10.1016/S0022-0981(02)00051-5, **Website** changed from http://pubs.iclarm.net/libinfo/Pdf/Pub%20CP6%2049.pdf to Growth and survival of coral transplants with and without electrochemical deposition of CaCO3 - ScienceDirect, **Contact_name** changed from Miriam Balgos to M. Sabater; H.T. Yap</v>
      </c>
      <c r="I79" s="153" t="s">
        <v>6209</v>
      </c>
      <c r="J79" s="153" t="s">
        <v>143</v>
      </c>
      <c r="K79" s="153" t="s">
        <v>144</v>
      </c>
      <c r="L79" s="153" t="s">
        <v>4284</v>
      </c>
      <c r="M79" s="181" t="s">
        <v>222</v>
      </c>
      <c r="N79" s="153" t="s">
        <v>3324</v>
      </c>
      <c r="O79" s="158" t="s">
        <v>149</v>
      </c>
      <c r="P79" s="153" t="s">
        <v>2897</v>
      </c>
      <c r="Q79" s="169">
        <v>1999.0</v>
      </c>
      <c r="R79" s="175" t="s">
        <v>6210</v>
      </c>
      <c r="S79" s="175" t="s">
        <v>6211</v>
      </c>
      <c r="T79" s="161" t="s">
        <v>150</v>
      </c>
      <c r="U79" s="153">
        <f>IFERROR(__xludf.DUMMYFUNCTION("""COMPUTED_VALUE"""),61.0)</f>
        <v>61</v>
      </c>
      <c r="V79" s="162" t="s">
        <v>3324</v>
      </c>
      <c r="W79" s="184" t="s">
        <v>6212</v>
      </c>
      <c r="X79" s="26"/>
      <c r="Y79" s="26"/>
      <c r="Z79" s="158" t="s">
        <v>2899</v>
      </c>
      <c r="AA79" s="158" t="s">
        <v>2899</v>
      </c>
      <c r="AB79" s="153" t="s">
        <v>6213</v>
      </c>
      <c r="AC79" s="153" t="s">
        <v>2833</v>
      </c>
      <c r="AD79" s="158" t="s">
        <v>160</v>
      </c>
      <c r="AE79" s="158" t="s">
        <v>6035</v>
      </c>
      <c r="AF79" s="158" t="s">
        <v>204</v>
      </c>
      <c r="AG79" s="164" t="s">
        <v>149</v>
      </c>
      <c r="AH79" s="158" t="s">
        <v>149</v>
      </c>
      <c r="AI79" s="158" t="s">
        <v>149</v>
      </c>
      <c r="AJ79" s="153" t="s">
        <v>233</v>
      </c>
      <c r="AK79" s="158" t="s">
        <v>6068</v>
      </c>
      <c r="AL79" s="153" t="s">
        <v>2901</v>
      </c>
      <c r="AM79" s="3" t="s">
        <v>149</v>
      </c>
      <c r="AN79" s="3" t="s">
        <v>149</v>
      </c>
      <c r="AO79" s="156">
        <v>1.0</v>
      </c>
      <c r="AP79" s="156" t="s">
        <v>6037</v>
      </c>
      <c r="AQ79" s="158" t="s">
        <v>6214</v>
      </c>
      <c r="AR79" s="153" t="s">
        <v>2902</v>
      </c>
      <c r="AS79" s="165" t="s">
        <v>6215</v>
      </c>
      <c r="AT79" s="153" t="s">
        <v>2904</v>
      </c>
      <c r="AU79" s="3" t="s">
        <v>149</v>
      </c>
    </row>
    <row r="80">
      <c r="A80" s="186">
        <v>40.0</v>
      </c>
      <c r="B80" s="152">
        <v>2025.0</v>
      </c>
      <c r="C80" s="153" t="str">
        <f t="shared" si="5"/>
        <v>2023-PH015501000-40</v>
      </c>
      <c r="D80" s="152">
        <f t="shared" si="6"/>
        <v>2023</v>
      </c>
      <c r="E80" s="151">
        <v>40.0</v>
      </c>
      <c r="F80" s="156" t="s">
        <v>140</v>
      </c>
      <c r="G80" s="156" t="s">
        <v>141</v>
      </c>
      <c r="H80" s="153" t="str">
        <f>IFERROR(__xludf.DUMMYFUNCTION("""COMPUTED_VALUE"""),"**Restoration_project** changed from Unknown to Artificial Reef Program, **Restoration_project_short** changed from Site in Quezon Island, HINP to Unknown, **Year of establishment** changed from 1999 to Unknown, **Project Start** changed from 1999 to 1982"&amp;", **Project End** changed from 2000 to 1990, **Restoration method** changed from Mineral accretion to Artificial Reef, **Technique/Material Type** changed from Electrochemical to Unknown, **Restoration objective** changed from Research; experimental to In"&amp;"crease income and improve nutrition, **Funding agency** changed from CHED to US Peace Corps, **Implementing institution** changed from UP MSI to US Peace Corps, **Partners_public** changed from UP College of Engineering to Unknown, **Reference** changed f"&amp;"rom Sabater, M., &amp; Yap, H. (2002). Growth and survival of coral transplants with and without electrochemical deposition of CaCO3. Journal of Experimental Marine Biology and Ecology, 272(2), 131-146. https://doi.org/10.1016/S0022-0981(02)00051-5 to Balgos,"&amp;" M.C. (1995). Evaluation of artificial reef development in the Philippines. In Munro, J.L. &amp; Balgos, M. (eds.) Artificial reefs in the Philippines. ICLARM Conf. Proc. 49, pp. 6-22., **Website** changed from Growth and survival of coral transplants with an"&amp;"d without electrochemical deposition of CaCO3 - ScienceDirect to https://core.ac.uk/download/pdf/6515223.pdf; https://www.ircwash.org/sites/default/files/802-PH90-8920.pdf, **Contact_name** changed from M. Sabater; H.T. Yap to Unknown")</f>
        <v>**Restoration_project** changed from Unknown to Artificial Reef Program, **Restoration_project_short** changed from Site in Quezon Island, HINP to Unknown, **Year of establishment** changed from 1999 to Unknown, **Project Start** changed from 1999 to 1982, **Project End** changed from 2000 to 1990, **Restoration method** changed from Mineral accretion to Artificial Reef, **Technique/Material Type** changed from Electrochemical to Unknown, **Restoration objective** changed from Research; experimental to Increase income and improve nutrition, **Funding agency** changed from CHED to US Peace Corps, **Implementing institution** changed from UP MSI to US Peace Corps, **Partners_public** changed from UP College of Engineering to Unknown, **Reference** changed from Sabater, M., &amp; Yap, H. (2002). Growth and survival of coral transplants with and without electrochemical deposition of CaCO3. Journal of Experimental Marine Biology and Ecology, 272(2), 131-146. https://doi.org/10.1016/S0022-0981(02)00051-5 to Balgos, M.C. (1995). Evaluation of artificial reef development in the Philippines. In Munro, J.L. &amp; Balgos, M. (eds.) Artificial reefs in the Philippines. ICLARM Conf. Proc. 49, pp. 6-22., **Website** changed from Growth and survival of coral transplants with and without electrochemical deposition of CaCO3 - ScienceDirect to https://core.ac.uk/download/pdf/6515223.pdf; https://www.ircwash.org/sites/default/files/802-PH90-8920.pdf, **Contact_name** changed from M. Sabater; H.T. Yap to Unknown</v>
      </c>
      <c r="I80" s="153" t="s">
        <v>6216</v>
      </c>
      <c r="J80" s="153" t="s">
        <v>143</v>
      </c>
      <c r="K80" s="153" t="s">
        <v>144</v>
      </c>
      <c r="L80" s="153" t="s">
        <v>145</v>
      </c>
      <c r="M80" s="181" t="s">
        <v>146</v>
      </c>
      <c r="N80" s="153" t="s">
        <v>151</v>
      </c>
      <c r="O80" s="158" t="s">
        <v>6217</v>
      </c>
      <c r="P80" s="3" t="s">
        <v>149</v>
      </c>
      <c r="Q80" s="178" t="s">
        <v>149</v>
      </c>
      <c r="R80" s="175" t="s">
        <v>6073</v>
      </c>
      <c r="S80" s="175" t="s">
        <v>6198</v>
      </c>
      <c r="T80" s="161" t="s">
        <v>150</v>
      </c>
      <c r="U80" s="153">
        <f>IFERROR(__xludf.DUMMYFUNCTION("""COMPUTED_VALUE"""),62.0)</f>
        <v>62</v>
      </c>
      <c r="V80" s="162" t="s">
        <v>3311</v>
      </c>
      <c r="W80" s="187" t="s">
        <v>149</v>
      </c>
      <c r="X80" s="184"/>
      <c r="Y80" s="184" t="s">
        <v>149</v>
      </c>
      <c r="Z80" s="158" t="s">
        <v>149</v>
      </c>
      <c r="AA80" s="158" t="s">
        <v>149</v>
      </c>
      <c r="AB80" s="153" t="s">
        <v>6204</v>
      </c>
      <c r="AC80" s="153" t="s">
        <v>2111</v>
      </c>
      <c r="AD80" s="158" t="s">
        <v>6154</v>
      </c>
      <c r="AE80" s="158" t="s">
        <v>206</v>
      </c>
      <c r="AF80" s="158" t="s">
        <v>159</v>
      </c>
      <c r="AG80" s="164" t="s">
        <v>149</v>
      </c>
      <c r="AH80" s="158" t="s">
        <v>149</v>
      </c>
      <c r="AI80" s="158" t="s">
        <v>149</v>
      </c>
      <c r="AJ80" s="153" t="s">
        <v>2111</v>
      </c>
      <c r="AK80" s="158" t="s">
        <v>206</v>
      </c>
      <c r="AL80" s="3" t="s">
        <v>149</v>
      </c>
      <c r="AM80" s="3" t="s">
        <v>149</v>
      </c>
      <c r="AN80" s="3" t="s">
        <v>149</v>
      </c>
      <c r="AO80" s="156">
        <v>1.0</v>
      </c>
      <c r="AP80" s="156" t="s">
        <v>6037</v>
      </c>
      <c r="AQ80" s="158" t="s">
        <v>395</v>
      </c>
      <c r="AR80" s="153" t="s">
        <v>6060</v>
      </c>
      <c r="AS80" s="177" t="s">
        <v>397</v>
      </c>
      <c r="AT80" s="3" t="s">
        <v>149</v>
      </c>
      <c r="AU80" s="3" t="s">
        <v>149</v>
      </c>
    </row>
    <row r="81">
      <c r="A81" s="186">
        <v>40.0</v>
      </c>
      <c r="B81" s="152">
        <v>2025.0</v>
      </c>
      <c r="C81" s="153" t="str">
        <f t="shared" si="5"/>
        <v>2023-PH015503000-40</v>
      </c>
      <c r="D81" s="152">
        <f t="shared" si="6"/>
        <v>2023</v>
      </c>
      <c r="E81" s="151">
        <v>40.0</v>
      </c>
      <c r="F81" s="156" t="s">
        <v>140</v>
      </c>
      <c r="G81" s="156" t="s">
        <v>141</v>
      </c>
      <c r="H81" s="153" t="str">
        <f>IFERROR(__xludf.DUMMYFUNCTION("""COMPUTED_VALUE"""),"**Restoration_project** changed from Artificial Reef Program to National Coral Reef Rehabilitation Roll-Out Program, **Restoration_project_short** changed from Unknown to Site in HINP, **Year of establishment** changed from Unknown to 2015, **Project Star"&amp;"t** changed from 1982 to 2014, **Project End** changed from 1990 to 2016, **Restoration method** changed from Artificial Reef to Asexual Reproduction, **Technique/Material Type** changed from Unknown to CNU, **Restoration objective** changed from Increase"&amp;" income and improve nutrition to Unknown, **Funding agency** changed from US Peace Corps to DOST-PCAARRD, **Total units** changed from Unknown to 10 CNUs/10,000 COPs, **Implementing institution** changed from US Peace Corps to Pangasinan State University,"&amp;" **Partners_public** changed from Unknown to Protected Area Management Board - Hundred Islands National Park, **Reference** changed from Balgos, M.C. (1995). Evaluation of artificial reef development in the Philippines. In Munro, J.L. &amp; Balgos, M. (eds.) "&amp;"Artificial reefs in the Philippines. ICLARM Conf. Proc. 49, pp. 6-22. to DOST-PCAARRD. (n.d.). DOST-PCAARRD National Corals Rehabilitation Program Briefer Report. , **Website** changed from https://core.ac.uk/download/pdf/6515223.pdf; https://www.ircwash."&amp;"org/sites/default/files/802-PH90-8920.pdf to Report uploaded in the Google Drive")</f>
        <v>**Restoration_project** changed from Artificial Reef Program to National Coral Reef Rehabilitation Roll-Out Program, **Restoration_project_short** changed from Unknown to Site in HINP, **Year of establishment** changed from Unknown to 2015, **Project Start** changed from 1982 to 2014, **Project End** changed from 1990 to 2016, **Restoration method** changed from Artificial Reef to Asexual Reproduction, **Technique/Material Type** changed from Unknown to CNU, **Restoration objective** changed from Increase income and improve nutrition to Unknown, **Funding agency** changed from US Peace Corps to DOST-PCAARRD, **Total units** changed from Unknown to 10 CNUs/10,000 COPs, **Implementing institution** changed from US Peace Corps to Pangasinan State University, **Partners_public** changed from Unknown to Protected Area Management Board - Hundred Islands National Park, **Reference** changed from Balgos, M.C. (1995). Evaluation of artificial reef development in the Philippines. In Munro, J.L. &amp; Balgos, M. (eds.) Artificial reefs in the Philippines. ICLARM Conf. Proc. 49, pp. 6-22. to DOST-PCAARRD. (n.d.). DOST-PCAARRD National Corals Rehabilitation Program Briefer Report. , **Website** changed from https://core.ac.uk/download/pdf/6515223.pdf; https://www.ircwash.org/sites/default/files/802-PH90-8920.pdf to Report uploaded in the Google Drive</v>
      </c>
      <c r="I81" s="153" t="s">
        <v>6218</v>
      </c>
      <c r="J81" s="153" t="s">
        <v>143</v>
      </c>
      <c r="K81" s="153" t="s">
        <v>144</v>
      </c>
      <c r="L81" s="153" t="s">
        <v>4284</v>
      </c>
      <c r="M81" s="157" t="s">
        <v>222</v>
      </c>
      <c r="N81" s="153" t="s">
        <v>6062</v>
      </c>
      <c r="O81" s="153" t="s">
        <v>1683</v>
      </c>
      <c r="P81" s="153" t="s">
        <v>223</v>
      </c>
      <c r="Q81" s="178">
        <v>2015.0</v>
      </c>
      <c r="R81" s="175" t="s">
        <v>6063</v>
      </c>
      <c r="S81" s="175" t="s">
        <v>6064</v>
      </c>
      <c r="T81" s="156" t="s">
        <v>177</v>
      </c>
      <c r="U81" s="153">
        <f>IFERROR(__xludf.DUMMYFUNCTION("""COMPUTED_VALUE"""),63.0)</f>
        <v>63</v>
      </c>
      <c r="V81" s="156" t="s">
        <v>1359</v>
      </c>
      <c r="W81" s="179" t="s">
        <v>6066</v>
      </c>
      <c r="X81" s="180"/>
      <c r="Y81" s="180" t="s">
        <v>154</v>
      </c>
      <c r="Z81" s="158" t="s">
        <v>179</v>
      </c>
      <c r="AA81" s="153" t="s">
        <v>320</v>
      </c>
      <c r="AB81" s="158" t="s">
        <v>149</v>
      </c>
      <c r="AC81" s="153" t="s">
        <v>321</v>
      </c>
      <c r="AD81" s="158" t="s">
        <v>160</v>
      </c>
      <c r="AE81" s="158" t="s">
        <v>6035</v>
      </c>
      <c r="AF81" s="158" t="s">
        <v>159</v>
      </c>
      <c r="AG81" s="164" t="s">
        <v>149</v>
      </c>
      <c r="AH81" s="158" t="s">
        <v>149</v>
      </c>
      <c r="AI81" s="153" t="s">
        <v>1698</v>
      </c>
      <c r="AJ81" s="153" t="s">
        <v>1699</v>
      </c>
      <c r="AK81" s="158" t="s">
        <v>6068</v>
      </c>
      <c r="AL81" s="153" t="s">
        <v>1700</v>
      </c>
      <c r="AM81" s="156" t="s">
        <v>149</v>
      </c>
      <c r="AN81" s="3" t="s">
        <v>149</v>
      </c>
      <c r="AO81" s="156">
        <v>1.0</v>
      </c>
      <c r="AP81" s="156" t="s">
        <v>6037</v>
      </c>
      <c r="AQ81" s="158" t="s">
        <v>6069</v>
      </c>
      <c r="AR81" s="153" t="s">
        <v>1300</v>
      </c>
      <c r="AS81" s="153" t="s">
        <v>6070</v>
      </c>
      <c r="AT81" s="3" t="s">
        <v>149</v>
      </c>
      <c r="AU81" s="3" t="s">
        <v>149</v>
      </c>
    </row>
    <row r="82">
      <c r="A82" s="186">
        <v>41.0</v>
      </c>
      <c r="B82" s="152">
        <v>2023.0</v>
      </c>
      <c r="D82" s="152"/>
      <c r="E82" s="151">
        <v>41.0</v>
      </c>
      <c r="F82" s="129" t="s">
        <v>140</v>
      </c>
      <c r="G82" s="3" t="s">
        <v>6029</v>
      </c>
      <c r="H82" s="8" t="str">
        <f>IFERROR(__xludf.DUMMYFUNCTION("""COMPUTED_VALUE"""),"")</f>
        <v/>
      </c>
      <c r="I82" s="8" t="s">
        <v>6219</v>
      </c>
      <c r="J82" s="8" t="s">
        <v>143</v>
      </c>
      <c r="K82" s="8" t="s">
        <v>144</v>
      </c>
      <c r="L82" s="8" t="s">
        <v>4284</v>
      </c>
      <c r="M82" s="153" t="s">
        <v>222</v>
      </c>
      <c r="N82" s="8" t="s">
        <v>151</v>
      </c>
      <c r="O82" s="8" t="s">
        <v>384</v>
      </c>
      <c r="P82" s="8" t="s">
        <v>455</v>
      </c>
      <c r="Q82" s="142" t="s">
        <v>6052</v>
      </c>
      <c r="R82" s="142" t="s">
        <v>6052</v>
      </c>
      <c r="S82" s="142" t="s">
        <v>6053</v>
      </c>
      <c r="T82" s="8"/>
      <c r="U82" s="8">
        <f>IFERROR(__xludf.DUMMYFUNCTION("""COMPUTED_VALUE"""),64.0)</f>
        <v>64</v>
      </c>
      <c r="V82" s="8"/>
      <c r="W82" s="8"/>
      <c r="X82" s="8"/>
      <c r="Y82" s="8"/>
      <c r="AA82" s="8" t="s">
        <v>6054</v>
      </c>
      <c r="AB82" s="3" t="s">
        <v>149</v>
      </c>
      <c r="AC82" s="8" t="s">
        <v>390</v>
      </c>
      <c r="AG82" s="143" t="s">
        <v>149</v>
      </c>
      <c r="AH82" s="3" t="s">
        <v>149</v>
      </c>
      <c r="AI82" s="8" t="s">
        <v>453</v>
      </c>
      <c r="AJ82" s="8" t="s">
        <v>390</v>
      </c>
      <c r="AL82" s="8" t="s">
        <v>6055</v>
      </c>
      <c r="AM82" s="3" t="s">
        <v>149</v>
      </c>
      <c r="AN82" s="3" t="s">
        <v>149</v>
      </c>
      <c r="AO82" s="8"/>
      <c r="AP82" s="8"/>
      <c r="AR82" s="8" t="s">
        <v>6057</v>
      </c>
      <c r="AS82" s="8" t="s">
        <v>2873</v>
      </c>
      <c r="AT82" s="8" t="s">
        <v>398</v>
      </c>
      <c r="AU82" s="3" t="s">
        <v>149</v>
      </c>
    </row>
    <row r="83">
      <c r="A83" s="186">
        <v>41.0</v>
      </c>
      <c r="B83" s="152">
        <v>2025.0</v>
      </c>
      <c r="C83" s="153" t="str">
        <f>CONCATENATE(D83, "-", M83, "-", A83)
</f>
        <v>2023-PH015503000-41</v>
      </c>
      <c r="D83" s="152">
        <f>IF(OR(F82="Published", F82="Unpublished"), 2023, IF(F82="New", 2025, ""))
</f>
        <v>2023</v>
      </c>
      <c r="E83" s="151">
        <v>41.0</v>
      </c>
      <c r="F83" s="156" t="s">
        <v>140</v>
      </c>
      <c r="G83" s="156" t="s">
        <v>141</v>
      </c>
      <c r="H83" s="153" t="str">
        <f>IFERROR(__xludf.DUMMYFUNCTION("""COMPUTED_VALUE"""),"**Restoration_project** changed from Artificial Reef Development Program to ACIAR Coral Reef Restoration Project, **Restoration_project_short** changed from Site in Pandan to Site in HINP, **Year of establishment** changed from 1985 to 2018, **Project Sta"&amp;"rt** changed from 1985 to Unknown, **Project End** changed from 1987 to Unknown, **Restoration method** changed from Artificial Reef to Sexual Reproduction, **Technique/Material Type** changed from tires to Larval Enhancement, **Restoration objective** ch"&amp;"anged from Unknown to Enhanced larval supply and recruitment to replenish reef corals on degraded reefs, **Funding agency** changed from BFAR to ACIAR, **Total units** changed from 13 TM to Unknown, **Implementing institution** changed from BFAR to UP-MSI"&amp;", **Partners_public** changed from Ministry of Human Settlements to CLGU, **Partners_communities** changed from Unknown to Southern Cross University, **Reference** changed from Conference Proceediing to Personal communication, **Website** changed from htt"&amp;"p://pubs.iclarm.net/libinfo/Pdf/Pub%20CP6%2049.pdf to Unknown, **Contact_name** changed from Miriam Balgos to Unknown")</f>
        <v>**Restoration_project** changed from Artificial Reef Development Program to ACIAR Coral Reef Restoration Project, **Restoration_project_short** changed from Site in Pandan to Site in HINP, **Year of establishment** changed from 1985 to 2018, **Project Start** changed from 1985 to Unknown, **Project End** changed from 1987 to Unknown, **Restoration method** changed from Artificial Reef to Sexual Reproduction, **Technique/Material Type** changed from tires to Larval Enhancement, **Restoration objective** changed from Unknown to Enhanced larval supply and recruitment to replenish reef corals on degraded reefs, **Funding agency** changed from BFAR to ACIAR, **Total units** changed from 13 TM to Unknown, **Implementing institution** changed from BFAR to UP-MSI, **Partners_public** changed from Ministry of Human Settlements to CLGU, **Partners_communities** changed from Unknown to Southern Cross University, **Reference** changed from Conference Proceediing to Personal communication, **Website** changed from http://pubs.iclarm.net/libinfo/Pdf/Pub%20CP6%2049.pdf to Unknown, **Contact_name** changed from Miriam Balgos to Unknown</v>
      </c>
      <c r="I83" s="153" t="s">
        <v>6220</v>
      </c>
      <c r="J83" s="153" t="s">
        <v>143</v>
      </c>
      <c r="K83" s="153" t="s">
        <v>144</v>
      </c>
      <c r="L83" s="153" t="s">
        <v>4284</v>
      </c>
      <c r="M83" s="181" t="s">
        <v>222</v>
      </c>
      <c r="N83" s="153" t="s">
        <v>6221</v>
      </c>
      <c r="O83" s="153" t="s">
        <v>197</v>
      </c>
      <c r="P83" s="153" t="s">
        <v>223</v>
      </c>
      <c r="Q83" s="169">
        <v>2018.0</v>
      </c>
      <c r="R83" s="160" t="s">
        <v>149</v>
      </c>
      <c r="S83" s="160" t="s">
        <v>149</v>
      </c>
      <c r="T83" s="156" t="s">
        <v>199</v>
      </c>
      <c r="U83" s="153">
        <f>IFERROR(__xludf.DUMMYFUNCTION("""COMPUTED_VALUE"""),65.0)</f>
        <v>65</v>
      </c>
      <c r="V83" s="191" t="s">
        <v>3299</v>
      </c>
      <c r="W83" s="179" t="s">
        <v>154</v>
      </c>
      <c r="X83" s="180"/>
      <c r="Y83" s="180" t="s">
        <v>154</v>
      </c>
      <c r="Z83" s="158" t="s">
        <v>224</v>
      </c>
      <c r="AA83" s="158" t="s">
        <v>200</v>
      </c>
      <c r="AB83" s="158" t="s">
        <v>225</v>
      </c>
      <c r="AC83" s="153" t="s">
        <v>203</v>
      </c>
      <c r="AD83" s="158" t="s">
        <v>6154</v>
      </c>
      <c r="AE83" s="158" t="s">
        <v>206</v>
      </c>
      <c r="AF83" s="158" t="s">
        <v>159</v>
      </c>
      <c r="AG83" s="164" t="s">
        <v>149</v>
      </c>
      <c r="AH83" s="158" t="s">
        <v>149</v>
      </c>
      <c r="AI83" s="158" t="s">
        <v>149</v>
      </c>
      <c r="AJ83" s="153" t="s">
        <v>226</v>
      </c>
      <c r="AK83" s="158" t="s">
        <v>6068</v>
      </c>
      <c r="AL83" s="153" t="s">
        <v>228</v>
      </c>
      <c r="AM83" s="3" t="s">
        <v>149</v>
      </c>
      <c r="AN83" s="153" t="s">
        <v>208</v>
      </c>
      <c r="AO83" s="156">
        <v>1.0</v>
      </c>
      <c r="AP83" s="156" t="s">
        <v>6037</v>
      </c>
      <c r="AQ83" s="153" t="s">
        <v>214</v>
      </c>
      <c r="AR83" s="153" t="s">
        <v>214</v>
      </c>
      <c r="AS83" s="3" t="s">
        <v>149</v>
      </c>
      <c r="AT83" s="3" t="s">
        <v>149</v>
      </c>
      <c r="AU83" s="3" t="s">
        <v>149</v>
      </c>
    </row>
    <row r="84">
      <c r="A84" s="186">
        <v>42.0</v>
      </c>
      <c r="B84" s="152">
        <v>2023.0</v>
      </c>
      <c r="D84" s="152"/>
      <c r="E84" s="151">
        <v>42.0</v>
      </c>
      <c r="F84" s="129" t="s">
        <v>140</v>
      </c>
      <c r="G84" s="3" t="s">
        <v>6029</v>
      </c>
      <c r="H84" s="8" t="str">
        <f>IFERROR(__xludf.DUMMYFUNCTION("""COMPUTED_VALUE"""),"")</f>
        <v/>
      </c>
      <c r="I84" s="8" t="s">
        <v>6222</v>
      </c>
      <c r="J84" s="8" t="s">
        <v>143</v>
      </c>
      <c r="K84" s="8" t="s">
        <v>144</v>
      </c>
      <c r="L84" s="8" t="s">
        <v>4284</v>
      </c>
      <c r="M84" s="153" t="s">
        <v>222</v>
      </c>
      <c r="N84" s="8" t="s">
        <v>151</v>
      </c>
      <c r="O84" s="8" t="s">
        <v>384</v>
      </c>
      <c r="P84" s="8" t="s">
        <v>457</v>
      </c>
      <c r="Q84" s="142" t="s">
        <v>6053</v>
      </c>
      <c r="R84" s="142" t="s">
        <v>6052</v>
      </c>
      <c r="S84" s="142" t="s">
        <v>6053</v>
      </c>
      <c r="T84" s="8"/>
      <c r="U84" s="8">
        <f>IFERROR(__xludf.DUMMYFUNCTION("""COMPUTED_VALUE"""),66.0)</f>
        <v>66</v>
      </c>
      <c r="V84" s="8"/>
      <c r="W84" s="8"/>
      <c r="X84" s="8"/>
      <c r="Y84" s="8"/>
      <c r="AA84" s="8" t="s">
        <v>6054</v>
      </c>
      <c r="AB84" s="3" t="s">
        <v>149</v>
      </c>
      <c r="AC84" s="8" t="s">
        <v>390</v>
      </c>
      <c r="AG84" s="143" t="s">
        <v>149</v>
      </c>
      <c r="AH84" s="3" t="s">
        <v>149</v>
      </c>
      <c r="AI84" s="8" t="s">
        <v>391</v>
      </c>
      <c r="AJ84" s="8" t="s">
        <v>390</v>
      </c>
      <c r="AL84" s="8" t="s">
        <v>6055</v>
      </c>
      <c r="AM84" s="3" t="s">
        <v>149</v>
      </c>
      <c r="AN84" s="3" t="s">
        <v>149</v>
      </c>
      <c r="AO84" s="8"/>
      <c r="AP84" s="8"/>
      <c r="AR84" s="8" t="s">
        <v>6057</v>
      </c>
      <c r="AS84" s="8" t="s">
        <v>2873</v>
      </c>
      <c r="AT84" s="8" t="s">
        <v>398</v>
      </c>
      <c r="AU84" s="3" t="s">
        <v>149</v>
      </c>
    </row>
    <row r="85">
      <c r="A85" s="186">
        <v>42.0</v>
      </c>
      <c r="B85" s="152">
        <v>2025.0</v>
      </c>
      <c r="C85" s="153" t="str">
        <f>CONCATENATE(D85, "-", M85, "-", A85)
</f>
        <v>2023-PH015503000-42</v>
      </c>
      <c r="D85" s="152">
        <f>IF(OR(F84="Published", F84="Unpublished"), 2023, IF(F84="New", 2025, ""))
</f>
        <v>2023</v>
      </c>
      <c r="E85" s="151">
        <v>42.0</v>
      </c>
      <c r="F85" s="156" t="s">
        <v>140</v>
      </c>
      <c r="G85" s="156" t="s">
        <v>141</v>
      </c>
      <c r="H85" s="153" t="str">
        <f>IFERROR(__xludf.DUMMYFUNCTION("""COMPUTED_VALUE"""),"**Restoration_project** changed from Artificial Reef Development Program to Our Earth, Our Responsibility Campaign, **Restoration_project_short** changed from Site in Victoria to Site in HINP, **Year of establishment** changed from 1987 to 2017, **Project"&amp;" Start** changed from 1985 to Unknown, **Project End** changed from 1987 to Unknown, **Restoration method** changed from Artificial Reef to Asexual Reproduction, **Technique/Material Type** changed from tires to CNU, **Funding agency** changed from BFAR t"&amp;"o The Pioneer Adhesives Foundation, Inc. (PAFI), **Total units** changed from 10 TM to 12 CNUs; 3,270 COPs, **Implementing institution** changed from BFAR to CLGU, **Partners_public** changed from Ministry of Human Settlements to Pangasinan State Universi"&amp;"ty; DOST-PCAARRD, **Partners_private** changed from Unknown to PAFI; RVS-4 STAR, **Reference** changed from Conference Proceediing to DOST-PCAARRD. (n.d.). DOST-PCAARRD National Corals Rehabilitation Program Briefer Report. , **Website** changed from http"&amp;"://pubs.iclarm.net/libinfo/Pdf/Pub%20CP6%2049.pdf to Report uploaded in the Google Drive, **Contact_name** changed from Miriam Balgos to Unknown")</f>
        <v>**Restoration_project** changed from Artificial Reef Development Program to Our Earth, Our Responsibility Campaign, **Restoration_project_short** changed from Site in Victoria to Site in HINP, **Year of establishment** changed from 1987 to 2017, **Project Start** changed from 1985 to Unknown, **Project End** changed from 1987 to Unknown, **Restoration method** changed from Artificial Reef to Asexual Reproduction, **Technique/Material Type** changed from tires to CNU, **Funding agency** changed from BFAR to The Pioneer Adhesives Foundation, Inc. (PAFI), **Total units** changed from 10 TM to 12 CNUs; 3,270 COPs, **Implementing institution** changed from BFAR to CLGU, **Partners_public** changed from Ministry of Human Settlements to Pangasinan State University; DOST-PCAARRD, **Partners_private** changed from Unknown to PAFI; RVS-4 STAR, **Reference** changed from Conference Proceediing to DOST-PCAARRD. (n.d.). DOST-PCAARRD National Corals Rehabilitation Program Briefer Report. , **Website** changed from http://pubs.iclarm.net/libinfo/Pdf/Pub%20CP6%2049.pdf to Report uploaded in the Google Drive, **Contact_name** changed from Miriam Balgos to Unknown</v>
      </c>
      <c r="I85" s="153" t="s">
        <v>6223</v>
      </c>
      <c r="J85" s="153" t="s">
        <v>143</v>
      </c>
      <c r="K85" s="153" t="s">
        <v>144</v>
      </c>
      <c r="L85" s="153" t="s">
        <v>4284</v>
      </c>
      <c r="M85" s="181" t="s">
        <v>222</v>
      </c>
      <c r="N85" s="153" t="s">
        <v>6062</v>
      </c>
      <c r="O85" s="158" t="s">
        <v>1776</v>
      </c>
      <c r="P85" s="158" t="s">
        <v>223</v>
      </c>
      <c r="Q85" s="178">
        <v>2017.0</v>
      </c>
      <c r="R85" s="160" t="s">
        <v>149</v>
      </c>
      <c r="S85" s="160" t="s">
        <v>149</v>
      </c>
      <c r="T85" s="156" t="s">
        <v>177</v>
      </c>
      <c r="U85" s="153">
        <f>IFERROR(__xludf.DUMMYFUNCTION("""COMPUTED_VALUE"""),67.0)</f>
        <v>67</v>
      </c>
      <c r="V85" s="191" t="s">
        <v>1359</v>
      </c>
      <c r="W85" s="179" t="s">
        <v>6066</v>
      </c>
      <c r="X85" s="180"/>
      <c r="Y85" s="180" t="s">
        <v>154</v>
      </c>
      <c r="Z85" s="158" t="s">
        <v>179</v>
      </c>
      <c r="AA85" s="158" t="s">
        <v>320</v>
      </c>
      <c r="AB85" s="158" t="s">
        <v>149</v>
      </c>
      <c r="AC85" s="158" t="s">
        <v>1777</v>
      </c>
      <c r="AD85" s="158" t="s">
        <v>160</v>
      </c>
      <c r="AE85" s="158" t="s">
        <v>184</v>
      </c>
      <c r="AF85" s="158" t="s">
        <v>159</v>
      </c>
      <c r="AG85" s="164" t="s">
        <v>149</v>
      </c>
      <c r="AH85" s="158" t="s">
        <v>149</v>
      </c>
      <c r="AI85" s="158" t="s">
        <v>6224</v>
      </c>
      <c r="AJ85" s="153" t="s">
        <v>228</v>
      </c>
      <c r="AK85" s="153" t="s">
        <v>6035</v>
      </c>
      <c r="AL85" s="153" t="s">
        <v>6225</v>
      </c>
      <c r="AM85" s="153" t="s">
        <v>6226</v>
      </c>
      <c r="AN85" s="3" t="s">
        <v>149</v>
      </c>
      <c r="AO85" s="156">
        <v>1.0</v>
      </c>
      <c r="AP85" s="156" t="s">
        <v>6037</v>
      </c>
      <c r="AQ85" s="158" t="s">
        <v>6069</v>
      </c>
      <c r="AR85" s="153" t="s">
        <v>1300</v>
      </c>
      <c r="AS85" s="153" t="s">
        <v>6070</v>
      </c>
      <c r="AT85" s="3" t="s">
        <v>149</v>
      </c>
      <c r="AU85" s="3" t="s">
        <v>149</v>
      </c>
    </row>
    <row r="86">
      <c r="A86" s="186">
        <v>43.0</v>
      </c>
      <c r="B86" s="152">
        <v>2023.0</v>
      </c>
      <c r="D86" s="152"/>
      <c r="E86" s="151">
        <v>43.0</v>
      </c>
      <c r="F86" s="129" t="s">
        <v>140</v>
      </c>
      <c r="G86" s="3" t="s">
        <v>6029</v>
      </c>
      <c r="H86" s="8" t="str">
        <f>IFERROR(__xludf.DUMMYFUNCTION("""COMPUTED_VALUE"""),"")</f>
        <v/>
      </c>
      <c r="I86" s="8" t="s">
        <v>6227</v>
      </c>
      <c r="J86" s="8" t="s">
        <v>143</v>
      </c>
      <c r="K86" s="8" t="s">
        <v>144</v>
      </c>
      <c r="L86" s="8" t="s">
        <v>4284</v>
      </c>
      <c r="M86" s="153" t="s">
        <v>222</v>
      </c>
      <c r="N86" s="8" t="s">
        <v>3324</v>
      </c>
      <c r="O86" s="3" t="s">
        <v>149</v>
      </c>
      <c r="P86" s="3" t="s">
        <v>2897</v>
      </c>
      <c r="Q86" s="142" t="s">
        <v>6210</v>
      </c>
      <c r="R86" s="142" t="s">
        <v>6210</v>
      </c>
      <c r="S86" s="142" t="s">
        <v>6211</v>
      </c>
      <c r="T86" s="8"/>
      <c r="U86" s="8">
        <f>IFERROR(__xludf.DUMMYFUNCTION("""COMPUTED_VALUE"""),68.0)</f>
        <v>68</v>
      </c>
      <c r="V86" s="8"/>
      <c r="W86" s="3"/>
      <c r="X86" s="8"/>
      <c r="Y86" s="8"/>
      <c r="AA86" s="3" t="s">
        <v>149</v>
      </c>
      <c r="AB86" s="8" t="s">
        <v>204</v>
      </c>
      <c r="AC86" s="3" t="s">
        <v>2833</v>
      </c>
      <c r="AG86" s="143" t="s">
        <v>149</v>
      </c>
      <c r="AH86" s="3" t="s">
        <v>149</v>
      </c>
      <c r="AI86" s="3" t="s">
        <v>149</v>
      </c>
      <c r="AJ86" s="8" t="s">
        <v>233</v>
      </c>
      <c r="AL86" s="8" t="s">
        <v>2901</v>
      </c>
      <c r="AM86" s="3" t="s">
        <v>149</v>
      </c>
      <c r="AN86" s="3" t="s">
        <v>149</v>
      </c>
      <c r="AO86" s="8"/>
      <c r="AP86" s="8"/>
      <c r="AR86" s="8" t="s">
        <v>6214</v>
      </c>
      <c r="AS86" s="172" t="s">
        <v>6215</v>
      </c>
      <c r="AT86" s="8" t="s">
        <v>2904</v>
      </c>
      <c r="AU86" s="3" t="s">
        <v>149</v>
      </c>
    </row>
    <row r="87">
      <c r="A87" s="186">
        <v>43.0</v>
      </c>
      <c r="B87" s="152">
        <v>2025.0</v>
      </c>
      <c r="C87" s="153" t="str">
        <f>CONCATENATE(D87, "-", M87, "-", A87)
</f>
        <v>2023-PH015503000-43</v>
      </c>
      <c r="D87" s="152">
        <f>IF(OR(F86="Published", F86="Unpublished"), 2023, IF(F86="New", 2025, ""))
</f>
        <v>2023</v>
      </c>
      <c r="E87" s="151">
        <v>43.0</v>
      </c>
      <c r="F87" s="156" t="s">
        <v>140</v>
      </c>
      <c r="G87" s="156" t="s">
        <v>141</v>
      </c>
      <c r="H87" s="153" t="str">
        <f>IFERROR(__xludf.DUMMYFUNCTION("""COMPUTED_VALUE"""),"**Restoration_project** changed from Unknown to Coral Reef Habitat and Productivity Enhancement through Coral Transplantation and Giant Clam Restocking, **Restoration_project_short** changed from Site in Quezon Island, HINP to Unknown, **Year of establish"&amp;"ment** changed from 1999 to 2001, **Project Start** changed from 1999 to 2001, **Project End** changed from 2000 to 2005, **Restoration method** changed from Mineral accretion to Asexual Reproduction, **Technique/Material Type** changed from Unknown to Di"&amp;"rect transplantation, **Restoration objective** changed from Research to Improve biodiversity and productivity of stressed coral reef habitats in 10 selected demonstration sites, **Funding agency** changed from CHED to Pew Marine Conservation Fellowship, "&amp;"**Partners_public** changed from UP College of Engineering to Unknown, **Reference** changed from Published article to Gomez, E., Cabaitan, P., &amp; Vicentuan, K. (2006). Coral culture and transplantation and restocking of giant clams in the Philippines. In "&amp;"J.H. Primavera, E.T. Quinitio, &amp; M. R. R. Eguia (Eds.). Proceedings of the Regional Technical Consultation on Stock Enhancement for Threatened Species of International Concern, Iloilo City, Philippines, 13-15 July 2005 (pp. 39-48). Tigbaua, Iloilo, Philip"&amp;"pines: Aquaculture Department, Southeast Asian Fisheries Development Center. Retrieved from https://aquadocs.org/bitstream/handle/1834/40478/GomezED2006.pdf?sequence=1&amp;isAllowed=y, **Website** changed from Growth and survival of coral transplants with and"&amp;" without electrochemical deposition of CaCO3 - ScienceDirect to https://aquadocs.org/bitstream/handle/1834/40478/GomezED2006.pdf?sequence=1&amp;isAllowed=y, **Contact_name** changed from M. Sabater; H.T. Yap to Dr. Patrick Cabaitan")</f>
        <v>**Restoration_project** changed from Unknown to Coral Reef Habitat and Productivity Enhancement through Coral Transplantation and Giant Clam Restocking, **Restoration_project_short** changed from Site in Quezon Island, HINP to Unknown, **Year of establishment** changed from 1999 to 2001, **Project Start** changed from 1999 to 2001, **Project End** changed from 2000 to 2005, **Restoration method** changed from Mineral accretion to Asexual Reproduction, **Technique/Material Type** changed from Unknown to Direct transplantation, **Restoration objective** changed from Research to Improve biodiversity and productivity of stressed coral reef habitats in 10 selected demonstration sites, **Funding agency** changed from CHED to Pew Marine Conservation Fellowship, **Partners_public** changed from UP College of Engineering to Unknown, **Reference** changed from Published article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Growth and survival of coral transplants with and without electrochemical deposition of CaCO3 - ScienceDirect to https://aquadocs.org/bitstream/handle/1834/40478/GomezED2006.pdf?sequence=1&amp;isAllowed=y, **Contact_name** changed from M. Sabater; H.T. Yap to Dr. Patrick Cabaitan</v>
      </c>
      <c r="I87" s="153" t="s">
        <v>6228</v>
      </c>
      <c r="J87" s="153" t="s">
        <v>143</v>
      </c>
      <c r="K87" s="153" t="s">
        <v>144</v>
      </c>
      <c r="L87" s="153" t="s">
        <v>4284</v>
      </c>
      <c r="M87" s="181" t="s">
        <v>222</v>
      </c>
      <c r="N87" s="153" t="s">
        <v>6062</v>
      </c>
      <c r="O87" s="153" t="s">
        <v>934</v>
      </c>
      <c r="P87" s="3" t="s">
        <v>149</v>
      </c>
      <c r="Q87" s="169">
        <v>2001.0</v>
      </c>
      <c r="R87" s="175" t="s">
        <v>6229</v>
      </c>
      <c r="S87" s="175" t="s">
        <v>6230</v>
      </c>
      <c r="T87" s="156" t="s">
        <v>177</v>
      </c>
      <c r="U87" s="153">
        <f>IFERROR(__xludf.DUMMYFUNCTION("""COMPUTED_VALUE"""),69.0)</f>
        <v>69</v>
      </c>
      <c r="V87" s="191" t="s">
        <v>3245</v>
      </c>
      <c r="W87" s="179" t="s">
        <v>149</v>
      </c>
      <c r="X87" s="180"/>
      <c r="Y87" s="180" t="s">
        <v>154</v>
      </c>
      <c r="Z87" s="158" t="s">
        <v>179</v>
      </c>
      <c r="AA87" s="153" t="s">
        <v>3245</v>
      </c>
      <c r="AB87" s="153" t="s">
        <v>939</v>
      </c>
      <c r="AC87" s="153" t="s">
        <v>940</v>
      </c>
      <c r="AD87" s="158" t="s">
        <v>160</v>
      </c>
      <c r="AE87" s="158" t="s">
        <v>206</v>
      </c>
      <c r="AF87" s="158" t="s">
        <v>159</v>
      </c>
      <c r="AG87" s="164" t="s">
        <v>149</v>
      </c>
      <c r="AH87" s="158" t="s">
        <v>149</v>
      </c>
      <c r="AI87" s="158" t="s">
        <v>149</v>
      </c>
      <c r="AJ87" s="153" t="s">
        <v>233</v>
      </c>
      <c r="AK87" s="158" t="s">
        <v>6068</v>
      </c>
      <c r="AL87" s="3" t="s">
        <v>149</v>
      </c>
      <c r="AM87" s="3" t="s">
        <v>149</v>
      </c>
      <c r="AN87" s="3" t="s">
        <v>149</v>
      </c>
      <c r="AO87" s="156">
        <v>1.0</v>
      </c>
      <c r="AP87" s="156" t="s">
        <v>6037</v>
      </c>
      <c r="AQ87" s="158" t="s">
        <v>6214</v>
      </c>
      <c r="AR87" s="153" t="s">
        <v>941</v>
      </c>
      <c r="AS87" s="165" t="s">
        <v>942</v>
      </c>
      <c r="AT87" s="153" t="s">
        <v>943</v>
      </c>
      <c r="AU87" s="3" t="s">
        <v>149</v>
      </c>
    </row>
    <row r="88">
      <c r="A88" s="186">
        <v>44.0</v>
      </c>
      <c r="B88" s="152">
        <v>2023.0</v>
      </c>
      <c r="D88" s="152"/>
      <c r="E88" s="151">
        <v>44.0</v>
      </c>
      <c r="F88" s="129" t="s">
        <v>140</v>
      </c>
      <c r="G88" s="3" t="s">
        <v>6029</v>
      </c>
      <c r="H88" s="8" t="str">
        <f>IFERROR(__xludf.DUMMYFUNCTION("""COMPUTED_VALUE"""),"")</f>
        <v/>
      </c>
      <c r="I88" s="8" t="s">
        <v>6231</v>
      </c>
      <c r="J88" s="8" t="s">
        <v>143</v>
      </c>
      <c r="K88" s="8" t="s">
        <v>144</v>
      </c>
      <c r="L88" s="8" t="s">
        <v>4284</v>
      </c>
      <c r="M88" s="153" t="s">
        <v>222</v>
      </c>
      <c r="N88" s="8" t="s">
        <v>6062</v>
      </c>
      <c r="O88" s="8" t="s">
        <v>1683</v>
      </c>
      <c r="P88" s="3" t="s">
        <v>149</v>
      </c>
      <c r="Q88" s="3" t="s">
        <v>149</v>
      </c>
      <c r="R88" s="142" t="s">
        <v>6063</v>
      </c>
      <c r="S88" s="142" t="s">
        <v>6064</v>
      </c>
      <c r="T88" s="8"/>
      <c r="U88" s="8">
        <f>IFERROR(__xludf.DUMMYFUNCTION("""COMPUTED_VALUE"""),70.0)</f>
        <v>70</v>
      </c>
      <c r="V88" s="8"/>
      <c r="W88" s="8"/>
      <c r="X88" s="8"/>
      <c r="Y88" s="8"/>
      <c r="AA88" s="8" t="s">
        <v>320</v>
      </c>
      <c r="AB88" s="3" t="s">
        <v>149</v>
      </c>
      <c r="AC88" s="8" t="s">
        <v>321</v>
      </c>
      <c r="AG88" s="143" t="s">
        <v>149</v>
      </c>
      <c r="AH88" s="3" t="s">
        <v>149</v>
      </c>
      <c r="AI88" s="8" t="s">
        <v>1698</v>
      </c>
      <c r="AJ88" s="8" t="s">
        <v>1699</v>
      </c>
      <c r="AL88" s="8" t="s">
        <v>6232</v>
      </c>
      <c r="AM88" s="3" t="s">
        <v>149</v>
      </c>
      <c r="AN88" s="3" t="s">
        <v>149</v>
      </c>
      <c r="AO88" s="8"/>
      <c r="AP88" s="8"/>
      <c r="AR88" s="8" t="s">
        <v>6069</v>
      </c>
      <c r="AS88" s="3" t="s">
        <v>149</v>
      </c>
      <c r="AT88" s="3" t="s">
        <v>149</v>
      </c>
      <c r="AU88" s="3" t="s">
        <v>149</v>
      </c>
    </row>
    <row r="89">
      <c r="A89" s="186">
        <v>44.0</v>
      </c>
      <c r="B89" s="152">
        <v>2025.0</v>
      </c>
      <c r="C89" s="153" t="str">
        <f>CONCATENATE(D89, "-", M89, "-", A89)
</f>
        <v>2023-PH015505000-44</v>
      </c>
      <c r="D89" s="152">
        <f>IF(OR(F88="Published", F88="Unpublished"), 2023, IF(F88="New", 2025, ""))
</f>
        <v>2023</v>
      </c>
      <c r="E89" s="151">
        <v>44.0</v>
      </c>
      <c r="F89" s="156" t="s">
        <v>140</v>
      </c>
      <c r="G89" s="156" t="s">
        <v>141</v>
      </c>
      <c r="H89" s="153" t="str">
        <f>IFERROR(__xludf.DUMMYFUNCTION("""COMPUTED_VALUE"""),"**Restoration_project** changed from National Coral Reef Rehabilitation Roll-Out Program to Artificial Reef Development Program, **Restoration_project_short** changed from Unknown to Site in Carot, **Year of establishment** changed from Unknown to 1986, *"&amp;"*Project Start** changed from 2014 to 1985, **Project End** changed from 2016 to 1987, **Restoration method** changed from Asexual Reproduction to Artificial Reef, **Technique/Material Type** changed from CNU to tires, **Funding agency** changed from DOST"&amp;"-PCAARRD to BFAR, **Total units** changed from 10 CNUs/10,000 COPs to 10 TM, **Implementing institution** changed from Pangasinan State University to BFAR, **Partners_public** changed from PAMB HINP to Ministry of Human Settlements, **Partners_communities"&amp;"** changed from Unknown to Samahang Kabuhayan, **Reference** changed from Briefer Report to Balgos, M.C. (1995). Evaluation of artificial reef development in the Philippines. In Munro, J.L. &amp; Balgos, M. (eds.) Artificial reefs in the Philippines. ICLARM C"&amp;"onf. Proc. 49, pp. 6-22., **Website** changed from Unknown to https://core.ac.uk/download/pdf/6515223.pdf; https://www.ircwash.org/sites/default/files/802-PH90-8920.pdf, **Contact_name** changed from Unknown to Miriam Balgos")</f>
        <v>**Restoration_project** changed from National Coral Reef Rehabilitation Roll-Out Program to Artificial Reef Development Program, **Restoration_project_short** changed from Unknown to Site in Carot, **Year of establishment** changed from Unknown to 1986, **Project Start** changed from 2014 to 1985, **Project End** changed from 2016 to 1987, **Restoration method** changed from Asexual Reproduction to Artificial Reef, **Technique/Material Type** changed from CNU to tires, **Funding agency** changed from DOST-PCAARRD to BFAR, **Total units** changed from 10 CNUs/10,000 COPs to 10 TM, **Implementing institution** changed from Pangasinan State University to BFAR, **Partners_public** changed from PAMB HINP to Ministry of Human Settlements, **Partners_communities** changed from Unknown to Samahang Kabuhayan, **Reference** changed from Briefer Report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89" s="153" t="s">
        <v>6233</v>
      </c>
      <c r="J89" s="153" t="s">
        <v>143</v>
      </c>
      <c r="K89" s="153" t="s">
        <v>144</v>
      </c>
      <c r="L89" s="153" t="s">
        <v>230</v>
      </c>
      <c r="M89" s="181" t="s">
        <v>231</v>
      </c>
      <c r="N89" s="153" t="s">
        <v>151</v>
      </c>
      <c r="O89" s="153" t="s">
        <v>384</v>
      </c>
      <c r="P89" s="153" t="s">
        <v>459</v>
      </c>
      <c r="Q89" s="169">
        <v>1986.0</v>
      </c>
      <c r="R89" s="175" t="s">
        <v>6052</v>
      </c>
      <c r="S89" s="175" t="s">
        <v>6053</v>
      </c>
      <c r="T89" s="161" t="s">
        <v>150</v>
      </c>
      <c r="U89" s="153">
        <f>IFERROR(__xludf.DUMMYFUNCTION("""COMPUTED_VALUE"""),71.0)</f>
        <v>71</v>
      </c>
      <c r="V89" s="162" t="s">
        <v>3311</v>
      </c>
      <c r="W89" s="170" t="s">
        <v>6059</v>
      </c>
      <c r="X89" s="28" t="s">
        <v>6033</v>
      </c>
      <c r="Y89" s="28" t="s">
        <v>386</v>
      </c>
      <c r="Z89" s="176" t="s">
        <v>386</v>
      </c>
      <c r="AA89" s="153" t="s">
        <v>6054</v>
      </c>
      <c r="AB89" s="158" t="s">
        <v>149</v>
      </c>
      <c r="AC89" s="153" t="s">
        <v>390</v>
      </c>
      <c r="AD89" s="158" t="s">
        <v>160</v>
      </c>
      <c r="AE89" s="158" t="s">
        <v>6035</v>
      </c>
      <c r="AF89" s="158" t="s">
        <v>159</v>
      </c>
      <c r="AG89" s="164" t="s">
        <v>149</v>
      </c>
      <c r="AH89" s="158" t="s">
        <v>149</v>
      </c>
      <c r="AI89" s="153" t="s">
        <v>391</v>
      </c>
      <c r="AJ89" s="153" t="s">
        <v>390</v>
      </c>
      <c r="AK89" s="153" t="s">
        <v>6035</v>
      </c>
      <c r="AL89" s="153" t="s">
        <v>6055</v>
      </c>
      <c r="AM89" s="3" t="s">
        <v>149</v>
      </c>
      <c r="AN89" s="153" t="s">
        <v>6056</v>
      </c>
      <c r="AO89" s="156">
        <v>1.0</v>
      </c>
      <c r="AP89" s="156" t="s">
        <v>6037</v>
      </c>
      <c r="AQ89" s="158" t="s">
        <v>395</v>
      </c>
      <c r="AR89" s="153" t="s">
        <v>6060</v>
      </c>
      <c r="AS89" s="177" t="s">
        <v>397</v>
      </c>
      <c r="AT89" s="153" t="s">
        <v>398</v>
      </c>
      <c r="AU89" s="3" t="s">
        <v>149</v>
      </c>
    </row>
    <row r="90">
      <c r="A90" s="186">
        <v>45.0</v>
      </c>
      <c r="B90" s="152">
        <v>2023.0</v>
      </c>
      <c r="D90" s="152"/>
      <c r="E90" s="151">
        <v>45.0</v>
      </c>
      <c r="F90" s="129" t="s">
        <v>140</v>
      </c>
      <c r="G90" s="3" t="s">
        <v>6029</v>
      </c>
      <c r="H90" s="8" t="str">
        <f>IFERROR(__xludf.DUMMYFUNCTION("""COMPUTED_VALUE"""),"")</f>
        <v/>
      </c>
      <c r="I90" s="8" t="s">
        <v>6234</v>
      </c>
      <c r="J90" s="8" t="s">
        <v>143</v>
      </c>
      <c r="K90" s="8" t="s">
        <v>144</v>
      </c>
      <c r="L90" s="8" t="s">
        <v>4284</v>
      </c>
      <c r="M90" s="153" t="s">
        <v>222</v>
      </c>
      <c r="N90" s="8" t="s">
        <v>6221</v>
      </c>
      <c r="O90" s="8" t="s">
        <v>6235</v>
      </c>
      <c r="P90" s="3" t="s">
        <v>149</v>
      </c>
      <c r="Q90" s="142" t="s">
        <v>6098</v>
      </c>
      <c r="R90" s="3" t="s">
        <v>149</v>
      </c>
      <c r="S90" s="3" t="s">
        <v>149</v>
      </c>
      <c r="T90" s="8"/>
      <c r="U90" s="8">
        <f>IFERROR(__xludf.DUMMYFUNCTION("""COMPUTED_VALUE"""),72.0)</f>
        <v>72</v>
      </c>
      <c r="V90" s="8"/>
      <c r="W90" s="3"/>
      <c r="X90" s="8"/>
      <c r="Y90" s="8"/>
      <c r="AA90" s="3" t="s">
        <v>149</v>
      </c>
      <c r="AB90" s="3" t="s">
        <v>149</v>
      </c>
      <c r="AC90" s="8" t="s">
        <v>203</v>
      </c>
      <c r="AG90" s="143" t="s">
        <v>149</v>
      </c>
      <c r="AH90" s="3" t="s">
        <v>149</v>
      </c>
      <c r="AI90" s="3" t="s">
        <v>149</v>
      </c>
      <c r="AJ90" s="8" t="s">
        <v>226</v>
      </c>
      <c r="AL90" s="8" t="s">
        <v>228</v>
      </c>
      <c r="AM90" s="3" t="s">
        <v>149</v>
      </c>
      <c r="AN90" s="8" t="s">
        <v>208</v>
      </c>
      <c r="AO90" s="8"/>
      <c r="AP90" s="8"/>
      <c r="AR90" s="3" t="s">
        <v>149</v>
      </c>
      <c r="AS90" s="3" t="s">
        <v>149</v>
      </c>
      <c r="AT90" s="3" t="s">
        <v>149</v>
      </c>
      <c r="AU90" s="3" t="s">
        <v>149</v>
      </c>
    </row>
    <row r="91">
      <c r="A91" s="186">
        <v>45.0</v>
      </c>
      <c r="B91" s="152">
        <v>2025.0</v>
      </c>
      <c r="C91" s="153" t="str">
        <f>CONCATENATE(D91, "-", M91, "-", A91)
</f>
        <v>2023-PH015505000-45</v>
      </c>
      <c r="D91" s="152">
        <f>IF(OR(F90="Published", F90="Unpublished"), 2023, IF(F90="New", 2025, ""))
</f>
        <v>2023</v>
      </c>
      <c r="E91" s="151">
        <v>45.0</v>
      </c>
      <c r="F91" s="156" t="s">
        <v>140</v>
      </c>
      <c r="G91" s="156" t="s">
        <v>141</v>
      </c>
      <c r="H91" s="153" t="str">
        <f>IFERROR(__xludf.DUMMYFUNCTION("""COMPUTED_VALUE"""),"**Restoration_project** changed from ACIAR Coral Restoration Project to Artificial Reef Development Program, **Restoration_project_short** changed from Unknown to Site in Cabungan, **Year of establishment** changed from 2018 to 1986, **Project Start** cha"&amp;"nged from Unknown to 1985, **Project End** changed from Unknown to 1987, **Restoration method** changed from Sexual Reproduction to Artificial Reef, **Technique/Material Type** changed from Unknown to tires, **Funding agency** changed from ACIAR to BFAR, "&amp;"**Total units** changed from Unknown to 10 TM, **Implementing institution** changed from UP-MSI to BFAR, **Partners_public** changed from CLGU to Ministry of Human Settlements, **Partners_communities** changed from Southern Cross University to Unknown, **"&amp;"Reference** changed from Unknown to Balgos, M.C. (1995). Evaluation of artificial reef development in the Philippines. In Munro, J.L. &amp; Balgos, M. (eds.) Artificial reefs in the Philippines. ICLARM Conf. Proc. 49, pp. 6-22., **Website** changed from Unkno"&amp;"wn to https://core.ac.uk/download/pdf/6515223.pdf; https://www.ircwash.org/sites/default/files/802-PH90-8920.pdf, **Contact_name** changed from Unknown to Miriam Balgos")</f>
        <v>**Restoration_project** changed from ACIAR Coral Restoration Project to Artificial Reef Development Program, **Restoration_project_short** changed from Unknown to Site in Cabungan, **Year of establishment** changed from 2018 to 1986, **Project Start** changed from Unknown to 1985, **Project End** changed from Unknown to 1987, **Restoration method** changed from Sexual Reproduction to Artificial Reef, **Technique/Material Type** changed from Unknown to tires, **Funding agency** changed from ACIAR to BFAR, **Total units** changed from Unknown to 10 TM, **Implementing institution** changed from UP-MSI to BFAR, **Partners_public** changed from CLGU to Ministry of Human Settlements, **Partners_communities** changed from Southern Cross University to Unknown,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91" s="153" t="s">
        <v>6236</v>
      </c>
      <c r="J91" s="153" t="s">
        <v>143</v>
      </c>
      <c r="K91" s="153" t="s">
        <v>144</v>
      </c>
      <c r="L91" s="153" t="s">
        <v>230</v>
      </c>
      <c r="M91" s="181" t="s">
        <v>231</v>
      </c>
      <c r="N91" s="153" t="s">
        <v>151</v>
      </c>
      <c r="O91" s="153" t="s">
        <v>384</v>
      </c>
      <c r="P91" s="153" t="s">
        <v>461</v>
      </c>
      <c r="Q91" s="169">
        <v>1986.0</v>
      </c>
      <c r="R91" s="175" t="s">
        <v>6052</v>
      </c>
      <c r="S91" s="175" t="s">
        <v>6053</v>
      </c>
      <c r="T91" s="161" t="s">
        <v>150</v>
      </c>
      <c r="U91" s="153">
        <f>IFERROR(__xludf.DUMMYFUNCTION("""COMPUTED_VALUE"""),73.0)</f>
        <v>73</v>
      </c>
      <c r="V91" s="162" t="s">
        <v>3311</v>
      </c>
      <c r="W91" s="170" t="s">
        <v>6059</v>
      </c>
      <c r="X91" s="28" t="s">
        <v>6033</v>
      </c>
      <c r="Y91" s="28" t="s">
        <v>386</v>
      </c>
      <c r="Z91" s="176" t="s">
        <v>386</v>
      </c>
      <c r="AA91" s="153" t="s">
        <v>6054</v>
      </c>
      <c r="AB91" s="158" t="s">
        <v>149</v>
      </c>
      <c r="AC91" s="153" t="s">
        <v>390</v>
      </c>
      <c r="AD91" s="158" t="s">
        <v>160</v>
      </c>
      <c r="AE91" s="158" t="s">
        <v>6035</v>
      </c>
      <c r="AF91" s="158" t="s">
        <v>159</v>
      </c>
      <c r="AG91" s="164" t="s">
        <v>149</v>
      </c>
      <c r="AH91" s="158" t="s">
        <v>149</v>
      </c>
      <c r="AI91" s="153" t="s">
        <v>391</v>
      </c>
      <c r="AJ91" s="153" t="s">
        <v>390</v>
      </c>
      <c r="AK91" s="153" t="s">
        <v>6035</v>
      </c>
      <c r="AL91" s="153" t="s">
        <v>6055</v>
      </c>
      <c r="AM91" s="3" t="s">
        <v>149</v>
      </c>
      <c r="AN91" s="3" t="s">
        <v>149</v>
      </c>
      <c r="AO91" s="156">
        <v>1.0</v>
      </c>
      <c r="AP91" s="156" t="s">
        <v>6037</v>
      </c>
      <c r="AQ91" s="158" t="s">
        <v>395</v>
      </c>
      <c r="AR91" s="153" t="s">
        <v>6060</v>
      </c>
      <c r="AS91" s="177" t="s">
        <v>397</v>
      </c>
      <c r="AT91" s="153" t="s">
        <v>398</v>
      </c>
      <c r="AU91" s="3" t="s">
        <v>149</v>
      </c>
    </row>
    <row r="92">
      <c r="A92" s="186">
        <v>46.0</v>
      </c>
      <c r="B92" s="152">
        <v>2023.0</v>
      </c>
      <c r="D92" s="152"/>
      <c r="E92" s="151">
        <v>46.0</v>
      </c>
      <c r="F92" s="129" t="s">
        <v>140</v>
      </c>
      <c r="G92" s="3" t="s">
        <v>6029</v>
      </c>
      <c r="H92" s="8" t="str">
        <f>IFERROR(__xludf.DUMMYFUNCTION("""COMPUTED_VALUE"""),"")</f>
        <v/>
      </c>
      <c r="I92" s="8" t="s">
        <v>6237</v>
      </c>
      <c r="J92" s="8" t="s">
        <v>143</v>
      </c>
      <c r="K92" s="8" t="s">
        <v>144</v>
      </c>
      <c r="L92" s="8" t="s">
        <v>4284</v>
      </c>
      <c r="M92" s="153" t="s">
        <v>222</v>
      </c>
      <c r="N92" s="8" t="s">
        <v>6062</v>
      </c>
      <c r="O92" s="8" t="s">
        <v>1683</v>
      </c>
      <c r="P92" s="8" t="s">
        <v>6238</v>
      </c>
      <c r="Q92" s="3" t="s">
        <v>149</v>
      </c>
      <c r="R92" s="142" t="s">
        <v>6063</v>
      </c>
      <c r="S92" s="142" t="s">
        <v>6064</v>
      </c>
      <c r="T92" s="8"/>
      <c r="U92" s="8">
        <f>IFERROR(__xludf.DUMMYFUNCTION("""COMPUTED_VALUE"""),74.0)</f>
        <v>74</v>
      </c>
      <c r="V92" s="8"/>
      <c r="W92" s="3"/>
      <c r="X92" s="8"/>
      <c r="Y92" s="8"/>
      <c r="AA92" s="3" t="s">
        <v>149</v>
      </c>
      <c r="AB92" s="3" t="s">
        <v>149</v>
      </c>
      <c r="AC92" s="8" t="s">
        <v>321</v>
      </c>
      <c r="AG92" s="3" t="s">
        <v>149</v>
      </c>
      <c r="AH92" s="3" t="s">
        <v>149</v>
      </c>
      <c r="AI92" s="3" t="s">
        <v>149</v>
      </c>
      <c r="AJ92" s="8" t="s">
        <v>6239</v>
      </c>
      <c r="AL92" s="8" t="s">
        <v>1699</v>
      </c>
      <c r="AM92" s="8" t="s">
        <v>6240</v>
      </c>
      <c r="AN92" s="3" t="s">
        <v>149</v>
      </c>
      <c r="AO92" s="8"/>
      <c r="AP92" s="8"/>
      <c r="AR92" s="8" t="s">
        <v>6069</v>
      </c>
      <c r="AS92" s="3" t="s">
        <v>149</v>
      </c>
      <c r="AT92" s="3" t="s">
        <v>149</v>
      </c>
      <c r="AU92" s="3" t="s">
        <v>149</v>
      </c>
    </row>
    <row r="93">
      <c r="A93" s="186">
        <v>46.0</v>
      </c>
      <c r="B93" s="152">
        <v>2025.0</v>
      </c>
      <c r="C93" s="153" t="str">
        <f>CONCATENATE(D93, "-", M93, "-", A93)
</f>
        <v>2023-PH015505000-46</v>
      </c>
      <c r="D93" s="152">
        <f>IF(OR(F92="Published", F92="Unpublished"), 2023, IF(F92="New", 2025, ""))
</f>
        <v>2023</v>
      </c>
      <c r="E93" s="151">
        <v>46.0</v>
      </c>
      <c r="F93" s="156" t="s">
        <v>140</v>
      </c>
      <c r="G93" s="156" t="s">
        <v>141</v>
      </c>
      <c r="H93" s="153" t="str">
        <f>IFERROR(__xludf.DUMMYFUNCTION("""COMPUTED_VALUE"""),"**Restoration_project** changed from National Coral Reef Rehabilitation Roll-Out Program to Project 1. Culture Technologies for Coral Propagules from Eggs and Larvae, **Restoration_project_short** changed from (Different from the other roll-out site in Al"&amp;"aminos) to Gravid colony collection conducted in Caniogan and Magsaysay Reef, Anda, **Year of establishment** changed from Unknown to 2014, **Project End** changed from 2016 to 2017, **Restoration method** changed from Asexual Reproduction to Sexual Repro"&amp;"duction, **Technique/Material Type** changed from Unknown to Gravid colony and broadcasting species collection, **Restoration objective** changed from Unknown to Research; Develop culture technologies for sexually-derived coral propagules for reef restora"&amp;"tion; Increase the production rate of cultured juvenile corals, **Total funding** changed from Unknown to 2,803,661.28, **Implementing institution** changed from CLGU; PAFI to UP MSI, **Partners_public** changed from Pangasinan State University to Univers"&amp;"ity of the Philippines Diliman, **Partners_private** changed from RVS-4 STAR to Unknown, **Reference** changed from Briefer Report to Marine Science Institute (n.d.). Project 1. Culture technologies for coral propagules from eggs and larvae. College of Sc"&amp;"ience, University of the Philippines Diliman., **Website** changed from Unknown to Report uploaded in the Google Drive, **Contact_name** changed from Unknown to Dr. Patrick Cabaitan")</f>
        <v>**Restoration_project** changed from National Coral Reef Rehabilitation Roll-Out Program to Project 1. Culture Technologies for Coral Propagules from Eggs and Larvae, **Restoration_project_short** changed from (Different from the other roll-out site in Alaminos) to Gravid colony collection conducted in Caniogan and Magsaysay Reef, Anda, **Year of establishment** changed from Unknown to 2014, **Project End** changed from 2016 to 2017, **Restoration method** changed from Asexual Reproduction to Sexual Reproduction, **Technique/Material Type** changed from Unknown to Gravid colony and broadcasting species collection, **Restoration objective** changed from Unknown to Research; Develop culture technologies for sexually-derived coral propagules for reef restoration; Increase the production rate of cultured juvenile corals, **Total funding** changed from Unknown to 2,803,661.28, **Implementing institution** changed from CLGU; PAFI to UP MSI, **Partners_public** changed from Pangasinan State University to University of the Philippines Diliman, **Partners_private** changed from RVS-4 STAR to Unknown, **Reference** changed from Briefer Report to Marine Science Institute (n.d.). Project 1. Culture technologies for coral propagules from eggs and larvae. College of Science, University of the Philippines Diliman., **Website** changed from Unknown to Report uploaded in the Google Drive, **Contact_name** changed from Unknown to Dr. Patrick Cabaitan</v>
      </c>
      <c r="I93" s="153" t="s">
        <v>6241</v>
      </c>
      <c r="J93" s="153" t="s">
        <v>143</v>
      </c>
      <c r="K93" s="153" t="s">
        <v>144</v>
      </c>
      <c r="L93" s="153" t="s">
        <v>230</v>
      </c>
      <c r="M93" s="181" t="s">
        <v>231</v>
      </c>
      <c r="N93" s="153" t="s">
        <v>6221</v>
      </c>
      <c r="O93" s="153" t="s">
        <v>1828</v>
      </c>
      <c r="P93" s="153" t="s">
        <v>6242</v>
      </c>
      <c r="Q93" s="169">
        <v>2014.0</v>
      </c>
      <c r="R93" s="175" t="s">
        <v>6063</v>
      </c>
      <c r="S93" s="175" t="s">
        <v>6152</v>
      </c>
      <c r="T93" s="156" t="s">
        <v>199</v>
      </c>
      <c r="U93" s="153">
        <f>IFERROR(__xludf.DUMMYFUNCTION("""COMPUTED_VALUE"""),75.0)</f>
        <v>75</v>
      </c>
      <c r="V93" s="191" t="s">
        <v>3299</v>
      </c>
      <c r="W93" s="184" t="s">
        <v>154</v>
      </c>
      <c r="X93" s="180"/>
      <c r="Y93" s="180" t="s">
        <v>154</v>
      </c>
      <c r="Z93" s="192" t="s">
        <v>1830</v>
      </c>
      <c r="AA93" s="158" t="s">
        <v>1830</v>
      </c>
      <c r="AB93" s="153" t="s">
        <v>1831</v>
      </c>
      <c r="AC93" s="153" t="s">
        <v>321</v>
      </c>
      <c r="AD93" s="158" t="s">
        <v>160</v>
      </c>
      <c r="AE93" s="158" t="s">
        <v>6035</v>
      </c>
      <c r="AF93" s="158" t="s">
        <v>204</v>
      </c>
      <c r="AG93" s="175" t="s">
        <v>6243</v>
      </c>
      <c r="AH93" s="158" t="s">
        <v>149</v>
      </c>
      <c r="AI93" s="158" t="s">
        <v>149</v>
      </c>
      <c r="AJ93" s="153" t="s">
        <v>233</v>
      </c>
      <c r="AK93" s="158" t="s">
        <v>6068</v>
      </c>
      <c r="AL93" s="153" t="s">
        <v>1833</v>
      </c>
      <c r="AM93" s="3" t="s">
        <v>149</v>
      </c>
      <c r="AN93" s="3" t="s">
        <v>149</v>
      </c>
      <c r="AO93" s="156">
        <v>1.0</v>
      </c>
      <c r="AP93" s="156" t="s">
        <v>6037</v>
      </c>
      <c r="AQ93" s="153" t="s">
        <v>6084</v>
      </c>
      <c r="AR93" s="153" t="s">
        <v>1834</v>
      </c>
      <c r="AS93" s="153" t="s">
        <v>6070</v>
      </c>
      <c r="AT93" s="153" t="s">
        <v>943</v>
      </c>
      <c r="AU93" s="3" t="s">
        <v>149</v>
      </c>
    </row>
    <row r="94">
      <c r="A94" s="186">
        <v>47.0</v>
      </c>
      <c r="B94" s="152">
        <v>2023.0</v>
      </c>
      <c r="D94" s="152"/>
      <c r="E94" s="151">
        <v>47.0</v>
      </c>
      <c r="F94" s="129" t="s">
        <v>140</v>
      </c>
      <c r="G94" s="3" t="s">
        <v>6029</v>
      </c>
      <c r="H94" s="8" t="str">
        <f>IFERROR(__xludf.DUMMYFUNCTION("""COMPUTED_VALUE"""),"")</f>
        <v/>
      </c>
      <c r="I94" s="8" t="s">
        <v>6244</v>
      </c>
      <c r="J94" s="8" t="s">
        <v>143</v>
      </c>
      <c r="K94" s="8" t="s">
        <v>144</v>
      </c>
      <c r="L94" s="8" t="s">
        <v>4284</v>
      </c>
      <c r="M94" s="153" t="s">
        <v>222</v>
      </c>
      <c r="N94" s="8" t="s">
        <v>6062</v>
      </c>
      <c r="O94" s="8" t="s">
        <v>934</v>
      </c>
      <c r="P94" s="3" t="s">
        <v>149</v>
      </c>
      <c r="Q94" s="142" t="s">
        <v>6229</v>
      </c>
      <c r="R94" s="142" t="s">
        <v>6229</v>
      </c>
      <c r="S94" s="142" t="s">
        <v>6230</v>
      </c>
      <c r="T94" s="8"/>
      <c r="U94" s="8">
        <f>IFERROR(__xludf.DUMMYFUNCTION("""COMPUTED_VALUE"""),76.0)</f>
        <v>76</v>
      </c>
      <c r="V94" s="8"/>
      <c r="W94" s="3"/>
      <c r="X94" s="8"/>
      <c r="Y94" s="8"/>
      <c r="AA94" s="3" t="s">
        <v>3245</v>
      </c>
      <c r="AB94" s="8" t="s">
        <v>939</v>
      </c>
      <c r="AC94" s="8" t="s">
        <v>940</v>
      </c>
      <c r="AG94" s="143" t="s">
        <v>149</v>
      </c>
      <c r="AH94" s="3" t="s">
        <v>149</v>
      </c>
      <c r="AI94" s="3" t="s">
        <v>149</v>
      </c>
      <c r="AJ94" s="8" t="s">
        <v>233</v>
      </c>
      <c r="AL94" s="3" t="s">
        <v>149</v>
      </c>
      <c r="AM94" s="3" t="s">
        <v>149</v>
      </c>
      <c r="AN94" s="3" t="s">
        <v>149</v>
      </c>
      <c r="AO94" s="8"/>
      <c r="AP94" s="8"/>
      <c r="AR94" s="8" t="s">
        <v>6214</v>
      </c>
      <c r="AS94" s="8" t="s">
        <v>942</v>
      </c>
      <c r="AT94" s="8" t="s">
        <v>943</v>
      </c>
      <c r="AU94" s="3" t="s">
        <v>149</v>
      </c>
    </row>
    <row r="95">
      <c r="A95" s="186">
        <v>47.0</v>
      </c>
      <c r="B95" s="152">
        <v>2025.0</v>
      </c>
      <c r="C95" s="153" t="str">
        <f>CONCATENATE(D95, "-", M95, "-", A95)
</f>
        <v>2023-PH015505000-47</v>
      </c>
      <c r="D95" s="152">
        <f>IF(OR(F94="Published", F94="Unpublished"), 2023, IF(F94="New", 2025, ""))
</f>
        <v>2023</v>
      </c>
      <c r="E95" s="151">
        <v>47.0</v>
      </c>
      <c r="F95" s="156" t="s">
        <v>140</v>
      </c>
      <c r="G95" s="156" t="s">
        <v>141</v>
      </c>
      <c r="H95" s="153" t="str">
        <f>IFERROR(__xludf.DUMMYFUNCTION("""COMPUTED_VALUE"""),"**Restoration_project** changed from Coral Reef Habitat and Productivity Enhancement through Coral Transplantation and Giant Clam Restocking to Project 2A. Sexual Reproduction in Selected Reef Coral Species Across the Archipelago, **Year of establishment*"&amp;"* changed from 2001 to 2014, **Project Start** changed from 2001 to 2014, **Project End** changed from 2005 to 2017, **Restoration method** changed from Asexual Reproduction to Sexual Reproduction, **Technique/Material Type** changed from Direct transplan"&amp;"tation to Direct observation and histological examination, **Restoration objective** changed from Improve biodiversity and productivity of stressed coral reef habitats in 10 selected demonstration sites to Research; Determine the timing of spawning / plan"&amp;"ulation of representative coral species, **Funding agency** changed from Pew Marine Conservation Fellowship to DOST-PCAARRD, **Total funding** changed from Unknown to 2,682,661.50, **Partners_public** changed from Unknown to University of the Philippines "&amp;"Diliman; Mindanao State University Tawi-Tawi, **Partners_private** changed from Unknown to University of San Carlos, **Reference** changed from Published article to Marine Science Institute (n.d.). Project 2A. Sexual Reproduction in Selected Reef Coral Sp"&amp;"ecies across the Archipelago. College of Science, University of Philippines., **Website** changed from https://aquadocs.org/bitstream/handle/1834/40478/GomezED2006.pdf?sequence=1&amp;isAllowed=y to Report uploaded in the Google Drive")</f>
        <v>**Restoration_project** changed from Coral Reef Habitat and Productivity Enhancement through Coral Transplantation and Giant Clam Restocking to Project 2A. Sexual Reproduction in Selected Reef Coral Species Across the Archipelago, **Year of establishment** changed from 2001 to 2014, **Project Start** changed from 2001 to 2014, **Project End** changed from 2005 to 2017, **Restoration method** changed from Asexual Reproduction to Sexual Reproduction, **Technique/Material Type** changed from Direct transplantation to Direct observation and histological examination, **Restoration objective** changed from Improve biodiversity and productivity of stressed coral reef habitats in 10 selected demonstration sites to Research; Determine the timing of spawning / planulation of representative coral species, **Funding agency** changed from Pew Marine Conservation Fellowship to DOST-PCAARRD, **Total funding** changed from Unknown to 2,682,661.50, **Partners_public** changed from Unknown to University of the Philippines Diliman; Mindanao State University Tawi-Tawi, **Partners_private** changed from Unknown to University of San Carlos, **Reference** changed from Published article to Marine Science Institute (n.d.). Project 2A. Sexual Reproduction in Selected Reef Coral Species across the Archipelago. College of Science, University of Philippines., **Website** changed from https://aquadocs.org/bitstream/handle/1834/40478/GomezED2006.pdf?sequence=1&amp;isAllowed=y to Report uploaded in the Google Drive</v>
      </c>
      <c r="I95" s="153" t="s">
        <v>6245</v>
      </c>
      <c r="J95" s="153" t="s">
        <v>143</v>
      </c>
      <c r="K95" s="153" t="s">
        <v>144</v>
      </c>
      <c r="L95" s="153" t="s">
        <v>230</v>
      </c>
      <c r="M95" s="157" t="s">
        <v>231</v>
      </c>
      <c r="N95" s="153" t="s">
        <v>6221</v>
      </c>
      <c r="O95" s="153" t="s">
        <v>1846</v>
      </c>
      <c r="P95" s="3" t="s">
        <v>149</v>
      </c>
      <c r="Q95" s="182">
        <v>2014.0</v>
      </c>
      <c r="R95" s="175" t="s">
        <v>6063</v>
      </c>
      <c r="S95" s="175" t="s">
        <v>6152</v>
      </c>
      <c r="T95" s="156" t="s">
        <v>199</v>
      </c>
      <c r="U95" s="153">
        <f>IFERROR(__xludf.DUMMYFUNCTION("""COMPUTED_VALUE"""),77.0)</f>
        <v>77</v>
      </c>
      <c r="V95" s="191" t="s">
        <v>3299</v>
      </c>
      <c r="W95" s="184" t="s">
        <v>154</v>
      </c>
      <c r="X95" s="180"/>
      <c r="Y95" s="180" t="s">
        <v>154</v>
      </c>
      <c r="Z95" s="158" t="s">
        <v>1847</v>
      </c>
      <c r="AA95" s="158" t="s">
        <v>1847</v>
      </c>
      <c r="AB95" s="153" t="s">
        <v>1848</v>
      </c>
      <c r="AC95" s="153" t="s">
        <v>321</v>
      </c>
      <c r="AD95" s="158" t="s">
        <v>160</v>
      </c>
      <c r="AE95" s="158" t="s">
        <v>6035</v>
      </c>
      <c r="AF95" s="158" t="s">
        <v>204</v>
      </c>
      <c r="AG95" s="175" t="s">
        <v>6246</v>
      </c>
      <c r="AH95" s="158" t="s">
        <v>149</v>
      </c>
      <c r="AI95" s="158" t="s">
        <v>149</v>
      </c>
      <c r="AJ95" s="153" t="s">
        <v>233</v>
      </c>
      <c r="AK95" s="158" t="s">
        <v>6068</v>
      </c>
      <c r="AL95" s="153" t="s">
        <v>1850</v>
      </c>
      <c r="AM95" s="153" t="s">
        <v>885</v>
      </c>
      <c r="AN95" s="3" t="s">
        <v>149</v>
      </c>
      <c r="AO95" s="156">
        <v>1.0</v>
      </c>
      <c r="AP95" s="156" t="s">
        <v>6037</v>
      </c>
      <c r="AQ95" s="153" t="s">
        <v>6084</v>
      </c>
      <c r="AR95" s="153" t="s">
        <v>1851</v>
      </c>
      <c r="AS95" s="153" t="s">
        <v>6070</v>
      </c>
      <c r="AT95" s="153" t="s">
        <v>943</v>
      </c>
      <c r="AU95" s="3" t="s">
        <v>149</v>
      </c>
    </row>
    <row r="96">
      <c r="A96" s="186">
        <v>48.0</v>
      </c>
      <c r="B96" s="152">
        <v>2023.0</v>
      </c>
      <c r="D96" s="152"/>
      <c r="E96" s="151">
        <v>48.0</v>
      </c>
      <c r="F96" s="129" t="s">
        <v>140</v>
      </c>
      <c r="G96" s="3" t="s">
        <v>6029</v>
      </c>
      <c r="H96" s="8" t="str">
        <f>IFERROR(__xludf.DUMMYFUNCTION("""COMPUTED_VALUE"""),"")</f>
        <v/>
      </c>
      <c r="I96" s="8" t="s">
        <v>6247</v>
      </c>
      <c r="J96" s="8" t="s">
        <v>143</v>
      </c>
      <c r="K96" s="8" t="s">
        <v>144</v>
      </c>
      <c r="L96" s="8" t="s">
        <v>230</v>
      </c>
      <c r="M96" s="173" t="s">
        <v>231</v>
      </c>
      <c r="N96" s="8" t="s">
        <v>151</v>
      </c>
      <c r="O96" s="8" t="s">
        <v>384</v>
      </c>
      <c r="P96" s="8" t="s">
        <v>459</v>
      </c>
      <c r="Q96" s="174" t="s">
        <v>6051</v>
      </c>
      <c r="R96" s="142" t="s">
        <v>6052</v>
      </c>
      <c r="S96" s="142" t="s">
        <v>6053</v>
      </c>
      <c r="T96" s="8"/>
      <c r="U96" s="8">
        <f>IFERROR(__xludf.DUMMYFUNCTION("""COMPUTED_VALUE"""),78.0)</f>
        <v>78</v>
      </c>
      <c r="V96" s="8"/>
      <c r="W96" s="8"/>
      <c r="X96" s="8"/>
      <c r="Y96" s="8"/>
      <c r="AA96" s="8" t="s">
        <v>6054</v>
      </c>
      <c r="AB96" s="3" t="s">
        <v>149</v>
      </c>
      <c r="AC96" s="8" t="s">
        <v>390</v>
      </c>
      <c r="AG96" s="143" t="s">
        <v>149</v>
      </c>
      <c r="AH96" s="3" t="s">
        <v>149</v>
      </c>
      <c r="AI96" s="8" t="s">
        <v>391</v>
      </c>
      <c r="AJ96" s="8" t="s">
        <v>390</v>
      </c>
      <c r="AL96" s="8" t="s">
        <v>6055</v>
      </c>
      <c r="AM96" s="3" t="s">
        <v>149</v>
      </c>
      <c r="AN96" s="8" t="s">
        <v>6056</v>
      </c>
      <c r="AO96" s="8"/>
      <c r="AP96" s="8"/>
      <c r="AR96" s="8" t="s">
        <v>6057</v>
      </c>
      <c r="AS96" s="8" t="s">
        <v>2873</v>
      </c>
      <c r="AT96" s="8" t="s">
        <v>398</v>
      </c>
      <c r="AU96" s="3" t="s">
        <v>149</v>
      </c>
    </row>
    <row r="97">
      <c r="A97" s="186">
        <v>48.0</v>
      </c>
      <c r="B97" s="152">
        <v>2025.0</v>
      </c>
      <c r="C97" s="153" t="str">
        <f>CONCATENATE(D97, "-", M97, "-", A97)
</f>
        <v>2023-PH015505000-48</v>
      </c>
      <c r="D97" s="152">
        <f>IF(OR(F96="Published", F96="Unpublished"), 2023, IF(F96="New", 2025, ""))
</f>
        <v>2023</v>
      </c>
      <c r="E97" s="151">
        <v>48.0</v>
      </c>
      <c r="F97" s="156" t="s">
        <v>140</v>
      </c>
      <c r="G97" s="156" t="s">
        <v>141</v>
      </c>
      <c r="H97" s="153" t="str">
        <f>IFERROR(__xludf.DUMMYFUNCTION("""COMPUTED_VALUE"""),"**Restoration_project** changed from Artificial Reef Development Program to ACIAR Coral Reef Restoration Project, **Restoration_project_short** changed from Site in Carot to Site in Tanduyong Island, **Year of establishment** changed from 1986 to 2018, **"&amp;"Project Start** changed from 1985 to Unknown, **Project End** changed from 1987 to Unknown, **Restoration method** changed from Artificial Reef to Sexual Reproduction, **Technique/Material Type** changed from tires to Larval Enhancement, **Restoration obj"&amp;"ective** changed from Unknown to Enhanced larval supply and recruitment to replenish reef corals on degraded reefs, **Funding agency** changed from BFAR to ACIAR, **Total units** changed from 10 TM to Unknown, **Implementing institution** changed from BFA"&amp;"R to UP MSI, **Partners_public** changed from Ministry of Human Settlements to Unknown, **Partners_communities** changed from Samahang Kabuhayan to Southern Cross University, **Reference** changed from Conference Proceediing to Personal communication, **W"&amp;"ebsite** changed from http://pubs.iclarm.net/libinfo/Pdf/Pub%20CP6%2049.pdf to Unknown, **Contact_name** changed from Miriam Balgos to Unknown")</f>
        <v>**Restoration_project** changed from Artificial Reef Development Program to ACIAR Coral Reef Restoration Project, **Restoration_project_short** changed from Site in Carot to Site in Tanduyong Island, **Year of establishment** changed from 1986 to 2018, **Project Start** changed from 1985 to Unknown, **Project End** changed from 1987 to Unknown, **Restoration method** changed from Artificial Reef to Sexual Reproduction, **Technique/Material Type** changed from tires to Larval Enhancement, **Restoration objective** changed from Unknown to Enhanced larval supply and recruitment to replenish reef corals on degraded reefs, **Funding agency** changed from BFAR to ACIAR, **Total units** changed from 10 TM to Unknown, **Implementing institution** changed from BFAR to UP MSI, **Partners_public** changed from Ministry of Human Settlements to Unknown, **Partners_communities** changed from Samahang Kabuhayan to Southern Cross University, **Reference** changed from Conference Proceediing to Personal communication, **Website** changed from http://pubs.iclarm.net/libinfo/Pdf/Pub%20CP6%2049.pdf to Unknown, **Contact_name** changed from Miriam Balgos to Unknown</v>
      </c>
      <c r="I97" s="153" t="s">
        <v>6248</v>
      </c>
      <c r="J97" s="153" t="s">
        <v>143</v>
      </c>
      <c r="K97" s="153" t="s">
        <v>144</v>
      </c>
      <c r="L97" s="153" t="s">
        <v>230</v>
      </c>
      <c r="M97" s="157" t="s">
        <v>231</v>
      </c>
      <c r="N97" s="153" t="s">
        <v>6221</v>
      </c>
      <c r="O97" s="153" t="s">
        <v>197</v>
      </c>
      <c r="P97" s="158" t="s">
        <v>232</v>
      </c>
      <c r="Q97" s="169">
        <v>2018.0</v>
      </c>
      <c r="R97" s="3" t="s">
        <v>149</v>
      </c>
      <c r="S97" s="3" t="s">
        <v>149</v>
      </c>
      <c r="T97" s="156" t="s">
        <v>199</v>
      </c>
      <c r="U97" s="153">
        <f>IFERROR(__xludf.DUMMYFUNCTION("""COMPUTED_VALUE"""),79.0)</f>
        <v>79</v>
      </c>
      <c r="V97" s="191" t="s">
        <v>3299</v>
      </c>
      <c r="W97" s="179" t="s">
        <v>154</v>
      </c>
      <c r="X97" s="180"/>
      <c r="Y97" s="180" t="s">
        <v>154</v>
      </c>
      <c r="Z97" s="158" t="s">
        <v>224</v>
      </c>
      <c r="AA97" s="158" t="s">
        <v>200</v>
      </c>
      <c r="AB97" s="158" t="s">
        <v>225</v>
      </c>
      <c r="AC97" s="153" t="s">
        <v>203</v>
      </c>
      <c r="AD97" s="158" t="s">
        <v>6154</v>
      </c>
      <c r="AE97" s="158" t="s">
        <v>206</v>
      </c>
      <c r="AF97" s="158" t="s">
        <v>159</v>
      </c>
      <c r="AG97" s="164" t="s">
        <v>149</v>
      </c>
      <c r="AH97" s="158" t="s">
        <v>149</v>
      </c>
      <c r="AI97" s="158" t="s">
        <v>149</v>
      </c>
      <c r="AJ97" s="153" t="s">
        <v>233</v>
      </c>
      <c r="AK97" s="158" t="s">
        <v>6068</v>
      </c>
      <c r="AL97" s="3" t="s">
        <v>149</v>
      </c>
      <c r="AM97" s="3" t="s">
        <v>149</v>
      </c>
      <c r="AN97" s="153" t="s">
        <v>208</v>
      </c>
      <c r="AO97" s="156">
        <v>1.0</v>
      </c>
      <c r="AP97" s="156" t="s">
        <v>6037</v>
      </c>
      <c r="AQ97" s="153" t="s">
        <v>214</v>
      </c>
      <c r="AR97" s="153" t="s">
        <v>214</v>
      </c>
      <c r="AS97" s="3" t="s">
        <v>149</v>
      </c>
      <c r="AT97" s="3" t="s">
        <v>149</v>
      </c>
      <c r="AU97" s="3" t="s">
        <v>149</v>
      </c>
    </row>
    <row r="98">
      <c r="A98" s="186">
        <v>49.0</v>
      </c>
      <c r="B98" s="152">
        <v>2023.0</v>
      </c>
      <c r="D98" s="152"/>
      <c r="E98" s="151">
        <v>49.0</v>
      </c>
      <c r="F98" s="129" t="s">
        <v>140</v>
      </c>
      <c r="G98" s="3" t="s">
        <v>6029</v>
      </c>
      <c r="H98" s="8" t="str">
        <f>IFERROR(__xludf.DUMMYFUNCTION("""COMPUTED_VALUE"""),"")</f>
        <v/>
      </c>
      <c r="I98" s="8" t="s">
        <v>6249</v>
      </c>
      <c r="J98" s="8" t="s">
        <v>143</v>
      </c>
      <c r="K98" s="8" t="s">
        <v>144</v>
      </c>
      <c r="L98" s="8" t="s">
        <v>230</v>
      </c>
      <c r="M98" s="153" t="s">
        <v>231</v>
      </c>
      <c r="N98" s="8" t="s">
        <v>151</v>
      </c>
      <c r="O98" s="8" t="s">
        <v>384</v>
      </c>
      <c r="P98" s="8" t="s">
        <v>461</v>
      </c>
      <c r="Q98" s="142" t="s">
        <v>6051</v>
      </c>
      <c r="R98" s="142" t="s">
        <v>6052</v>
      </c>
      <c r="S98" s="142" t="s">
        <v>6053</v>
      </c>
      <c r="T98" s="8"/>
      <c r="U98" s="8">
        <f>IFERROR(__xludf.DUMMYFUNCTION("""COMPUTED_VALUE"""),80.0)</f>
        <v>80</v>
      </c>
      <c r="V98" s="8"/>
      <c r="W98" s="8"/>
      <c r="X98" s="8"/>
      <c r="Y98" s="8"/>
      <c r="AA98" s="8" t="s">
        <v>6054</v>
      </c>
      <c r="AB98" s="3" t="s">
        <v>149</v>
      </c>
      <c r="AC98" s="8" t="s">
        <v>390</v>
      </c>
      <c r="AG98" s="143" t="s">
        <v>149</v>
      </c>
      <c r="AH98" s="3" t="s">
        <v>149</v>
      </c>
      <c r="AI98" s="8" t="s">
        <v>391</v>
      </c>
      <c r="AJ98" s="8" t="s">
        <v>390</v>
      </c>
      <c r="AL98" s="8" t="s">
        <v>6055</v>
      </c>
      <c r="AM98" s="3" t="s">
        <v>149</v>
      </c>
      <c r="AN98" s="3" t="s">
        <v>149</v>
      </c>
      <c r="AO98" s="8"/>
      <c r="AP98" s="8"/>
      <c r="AR98" s="8" t="s">
        <v>6057</v>
      </c>
      <c r="AS98" s="8" t="s">
        <v>2873</v>
      </c>
      <c r="AT98" s="8" t="s">
        <v>398</v>
      </c>
      <c r="AU98" s="3" t="s">
        <v>149</v>
      </c>
    </row>
    <row r="99">
      <c r="A99" s="186">
        <v>49.0</v>
      </c>
      <c r="B99" s="152">
        <v>2025.0</v>
      </c>
      <c r="C99" s="153" t="str">
        <f>CONCATENATE(D99, "-", M99, "-", A99)
</f>
        <v>2023-PH015505000-49</v>
      </c>
      <c r="D99" s="152">
        <f>IF(OR(F98="Published", F98="Unpublished"), 2023, IF(F98="New", 2025, ""))
</f>
        <v>2023</v>
      </c>
      <c r="E99" s="151">
        <v>49.0</v>
      </c>
      <c r="F99" s="156" t="s">
        <v>140</v>
      </c>
      <c r="G99" s="156" t="s">
        <v>141</v>
      </c>
      <c r="H99" s="153" t="str">
        <f>IFERROR(__xludf.DUMMYFUNCTION("""COMPUTED_VALUE"""),"**Restoration_project** changed from Artificial Reef Development Program to Coral Reef Habitat and Productivity Enhancement through Coral Transplantation and Giant Clam Restocking; Enhancing Recovery by Transplantation of Corals, **Restoration_project_sho"&amp;"rt** changed from Site in Cabungan to Site in Caniogan MPA, Anda, **Year of establishment** changed from 1986 to 2001, **Project Start** changed from 1985 to 2001, **Project End** changed from 1987 to 2005, **Restoration method** changed from Artificial R"&amp;"eef to Asexual Reproduction, **Technique/Material Type** changed from tires to Direct transplantation; cement; relocation; use of giant clams, **Restoration objective** changed from Unknown to Improve biodiversity and productivity of stressed coral reef h"&amp;"abitats in 10 selected demonstration sites, **Funding agency** changed from BFAR to Pew Marine Conservation Fellowship, **Total units** changed from 10 TM to Unknown, **Implementing institution** changed from BFAR to UP MSI, **Partners_public** changed fr"&amp;"om Ministry of Human Settlements to Unknown, **Reference** changed from Conference Proceediing to Gomez, E., Cabaitan, P., &amp; Vicentuan, K. (2006). Coral culture and transplantation and restocking of giant clams in the Philippines. In J.H. Primavera, E.T. "&amp;"Quinitio, &amp; M. R. R. Eguia (Eds.). Proceedings of the Regional Technical Consultation on Stock Enhancement for Threatened Species of International Concern, Iloilo City, Philippines, 13-15 July 2005 (pp. 39-48). Tigbaua, Iloilo, Philippines: Aquaculture De"&amp;"partment, Southeast Asian Fisheries Development Center. Retrieved from https://aquadocs.org/bitstream/handle/1834/40478/GomezED2006.pdf?sequence=1&amp;isAllowed=y, **Website** changed from http://pubs.iclarm.net/libinfo/Pdf/Pub%20CP6%2049.pdf to https://aquad"&amp;"ocs.org/bitstream/handle/1834/40478/GomezED2006.pdf?sequence=1&amp;isAllowed=y; https://gefcoral.org/Portals/25/%20Appendix%20C%20-%20Cabaitan,Gomez,Ali%C3%B1o%202008%20JEMBE.pdf, **Contact_name** changed from Miriam Balgos to Dr. Patrick Cabaitan")</f>
        <v>**Restoration_project** changed from Artificial Reef Development Program to Coral Reef Habitat and Productivity Enhancement through Coral Transplantation and Giant Clam Restocking; Enhancing Recovery by Transplantation of Corals, **Restoration_project_short** changed from Site in Cabungan to Site in Caniogan MPA, Anda, **Year of establishment** changed from 1986 to 2001, **Project Start** changed from 1985 to 2001, **Project End** changed from 1987 to 2005, **Restoration method** changed from Artificial Reef to Asexual Reproduction, **Technique/Material Type** changed from tires to Direct transplantation; cement; relocation; use of giant clams, **Restoration objective** changed from Unknown to Improve biodiversity and productivity of stressed coral reef habitats in 10 selected demonstration sites, **Funding agency** changed from BFAR to Pew Marine Conservation Fellowship, **Total units** changed from 10 TM to Unknown, **Implementing institution** changed from BFAR to UP MSI, **Partners_public** changed from Ministry of Human Settlements to Unknown, **Reference** changed from Conference Proceediing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https://gefcoral.org/Portals/25/%20Appendix%20C%20-%20Cabaitan,Gomez,Ali%C3%B1o%202008%20JEMBE.pdf, **Contact_name** changed from Miriam Balgos to Dr. Patrick Cabaitan</v>
      </c>
      <c r="I99" s="153" t="s">
        <v>6250</v>
      </c>
      <c r="J99" s="153" t="s">
        <v>143</v>
      </c>
      <c r="K99" s="153" t="s">
        <v>144</v>
      </c>
      <c r="L99" s="153" t="s">
        <v>230</v>
      </c>
      <c r="M99" s="181" t="s">
        <v>231</v>
      </c>
      <c r="N99" s="153" t="s">
        <v>6062</v>
      </c>
      <c r="O99" s="153" t="s">
        <v>6251</v>
      </c>
      <c r="P99" s="158" t="s">
        <v>6252</v>
      </c>
      <c r="Q99" s="169">
        <v>2001.0</v>
      </c>
      <c r="R99" s="175" t="s">
        <v>6229</v>
      </c>
      <c r="S99" s="175" t="s">
        <v>6230</v>
      </c>
      <c r="T99" s="156" t="s">
        <v>177</v>
      </c>
      <c r="U99" s="153">
        <f>IFERROR(__xludf.DUMMYFUNCTION("""COMPUTED_VALUE"""),81.0)</f>
        <v>81</v>
      </c>
      <c r="V99" s="191" t="s">
        <v>3245</v>
      </c>
      <c r="W99" s="179" t="s">
        <v>149</v>
      </c>
      <c r="X99" s="180"/>
      <c r="Y99" s="180" t="s">
        <v>154</v>
      </c>
      <c r="Z99" s="153" t="s">
        <v>6253</v>
      </c>
      <c r="AA99" s="153" t="s">
        <v>6254</v>
      </c>
      <c r="AB99" s="153" t="s">
        <v>939</v>
      </c>
      <c r="AC99" s="153" t="s">
        <v>940</v>
      </c>
      <c r="AD99" s="158" t="s">
        <v>6154</v>
      </c>
      <c r="AE99" s="158" t="s">
        <v>206</v>
      </c>
      <c r="AF99" s="158" t="s">
        <v>159</v>
      </c>
      <c r="AG99" s="164" t="s">
        <v>149</v>
      </c>
      <c r="AH99" s="158" t="s">
        <v>149</v>
      </c>
      <c r="AI99" s="158" t="s">
        <v>149</v>
      </c>
      <c r="AJ99" s="153" t="s">
        <v>233</v>
      </c>
      <c r="AK99" s="158" t="s">
        <v>6068</v>
      </c>
      <c r="AL99" s="3" t="s">
        <v>149</v>
      </c>
      <c r="AM99" s="3" t="s">
        <v>149</v>
      </c>
      <c r="AN99" s="3" t="s">
        <v>149</v>
      </c>
      <c r="AO99" s="156">
        <v>1.0</v>
      </c>
      <c r="AP99" s="156" t="s">
        <v>6037</v>
      </c>
      <c r="AQ99" s="158" t="s">
        <v>6214</v>
      </c>
      <c r="AR99" s="153" t="s">
        <v>941</v>
      </c>
      <c r="AS99" s="172" t="s">
        <v>948</v>
      </c>
      <c r="AT99" s="153" t="s">
        <v>943</v>
      </c>
      <c r="AU99" s="3" t="s">
        <v>149</v>
      </c>
    </row>
    <row r="100">
      <c r="A100" s="186">
        <v>50.0</v>
      </c>
      <c r="B100" s="152">
        <v>2023.0</v>
      </c>
      <c r="D100" s="152"/>
      <c r="E100" s="151">
        <v>50.0</v>
      </c>
      <c r="F100" s="129" t="s">
        <v>140</v>
      </c>
      <c r="G100" s="3" t="s">
        <v>6029</v>
      </c>
      <c r="H100" s="8" t="str">
        <f>IFERROR(__xludf.DUMMYFUNCTION("""COMPUTED_VALUE"""),"")</f>
        <v/>
      </c>
      <c r="I100" s="8" t="s">
        <v>6255</v>
      </c>
      <c r="J100" s="8" t="s">
        <v>143</v>
      </c>
      <c r="K100" s="8" t="s">
        <v>144</v>
      </c>
      <c r="L100" s="8" t="s">
        <v>230</v>
      </c>
      <c r="M100" s="173" t="s">
        <v>231</v>
      </c>
      <c r="N100" s="8" t="s">
        <v>6221</v>
      </c>
      <c r="O100" s="8" t="s">
        <v>1828</v>
      </c>
      <c r="P100" s="8" t="s">
        <v>6256</v>
      </c>
      <c r="Q100" s="142" t="s">
        <v>6063</v>
      </c>
      <c r="R100" s="142" t="s">
        <v>6063</v>
      </c>
      <c r="S100" s="142" t="s">
        <v>6152</v>
      </c>
      <c r="T100" s="8"/>
      <c r="U100" s="8">
        <f>IFERROR(__xludf.DUMMYFUNCTION("""COMPUTED_VALUE"""),82.0)</f>
        <v>82</v>
      </c>
      <c r="V100" s="8"/>
      <c r="W100" s="3"/>
      <c r="X100" s="8"/>
      <c r="Y100" s="8"/>
      <c r="AA100" s="3" t="s">
        <v>149</v>
      </c>
      <c r="AB100" s="8" t="s">
        <v>1831</v>
      </c>
      <c r="AC100" s="8" t="s">
        <v>321</v>
      </c>
      <c r="AD100" s="193" t="s">
        <v>149</v>
      </c>
      <c r="AE100" s="193" t="s">
        <v>149</v>
      </c>
      <c r="AF100" s="193" t="s">
        <v>149</v>
      </c>
      <c r="AG100" s="181" t="s">
        <v>6243</v>
      </c>
      <c r="AH100" s="3" t="s">
        <v>149</v>
      </c>
      <c r="AI100" s="3" t="s">
        <v>149</v>
      </c>
      <c r="AJ100" s="8" t="s">
        <v>233</v>
      </c>
      <c r="AL100" s="3" t="s">
        <v>1833</v>
      </c>
      <c r="AM100" s="3" t="s">
        <v>149</v>
      </c>
      <c r="AN100" s="3" t="s">
        <v>149</v>
      </c>
      <c r="AO100" s="8"/>
      <c r="AP100" s="8"/>
      <c r="AR100" s="8" t="s">
        <v>6257</v>
      </c>
      <c r="AS100" s="3" t="s">
        <v>149</v>
      </c>
      <c r="AT100" s="8" t="s">
        <v>943</v>
      </c>
      <c r="AU100" s="3" t="s">
        <v>149</v>
      </c>
    </row>
    <row r="101">
      <c r="A101" s="186">
        <v>50.0</v>
      </c>
      <c r="B101" s="152">
        <v>2025.0</v>
      </c>
      <c r="C101" s="153" t="str">
        <f>CONCATENATE(D101, "-", M101, "-", A101)
</f>
        <v>2023-PH015505000-50</v>
      </c>
      <c r="D101" s="152">
        <f>IF(OR(F100="Published", F100="Unpublished"), 2023, IF(F100="New", 2025, ""))
</f>
        <v>2023</v>
      </c>
      <c r="E101" s="151">
        <v>50.0</v>
      </c>
      <c r="F101" s="156" t="s">
        <v>140</v>
      </c>
      <c r="G101" s="156" t="s">
        <v>141</v>
      </c>
      <c r="H101" s="153" t="str">
        <f>IFERROR(__xludf.DUMMYFUNCTION("""COMPUTED_VALUE"""),"**Restoration_project** changed from Project 1. Culture Technologies for Coral Propagules from Eggs and Larvae to Unknown, **Restoration_project_short** changed from Project was conceptualized to contribute to the development of techniques in restoring de"&amp;"graded reef areas with the use of sexually-derived coral propagules to Outplantation in Marcos sandbar (N 16.3213889, E 120.03388888888888); gravid colony from Cory Sandbar, **Year of establishment** changed from 2014 to 2011, **Project Start** changed fr"&amp;"om 2014 to 2010, **Project End** changed from 2017 to Unknown, **Restoration method** changed from Sexual Reproduction to Sexual Reproduction; Asexual Reproduction, **Technique/Material Type** changed from Unknown to Gamete fertilization; larval culture a"&amp;"nd settlement competency, **Restoration objective** changed from Research; Develop culture technologies for sexually-derived coral propagules for reef restoration; Increase the production rate of cultured juvenile corals to Research; Determine growth and "&amp;"survivorship of juvenile corals outplanted to degraded reef areas in Bolinao-Anda Reef Complex, Philippines, **Funding agency** changed from DOST-PCAARRD to University of the Philippines Diliman Office of the Vice Chancellor for Research and Development, "&amp;"**Total funding** changed from 2,803,661.28 to Unknown, **Partners_public** changed from University of the Philippines Diliman to DOST-PCAARRD, **Reference** changed from Technical Report to Villanueva, R. D., Baria, M. V. B., &amp; Dela Cruz, D. W. (2012). G"&amp;"rowth and survivorship of juvenile corals outplanted to degraded reef areas in Bolinao-Anda Reef Complex, Philippines. Marine Biology Research, 8(9), 877-884. https://doi.org/10.1080/17451000.2012.682582, **Website** changed from Unknown to https://www.ta"&amp;"ndfonline.com/doi/abs/10.1080/17451000.2012.682582, **Contact_name** changed from Dr. Patrick Cabaitan to Dr. Maria Vanessa Baria Rodriguez")</f>
        <v>**Restoration_project** changed from Project 1. Culture Technologies for Coral Propagules from Eggs and Larvae to Unknown, **Restoration_project_short** changed from Project was conceptualized to contribute to the development of techniques in restoring degraded reef areas with the use of sexually-derived coral propagules to Outplantation in Marcos sandbar (N 16.3213889, E 120.03388888888888); gravid colony from Cory Sandbar, **Year of establishment** changed from 2014 to 2011, **Project Start** changed from 2014 to 2010, **Project End** changed from 2017 to Unknown, **Restoration method** changed from Sexual Reproduction to Sexual Reproduction; Asexual Reproduction, **Technique/Material Type** changed from Unknown to Gamete fertilization; larval culture and settlement competency, **Restoration objective** changed from Research; Develop culture technologies for sexually-derived coral propagules for reef restoration; Increase the production rate of cultured juvenile corals to Research; Determine growth and survivorship of juvenile corals outplanted to degraded reef areas in Bolinao-Anda Reef Complex, Philippines, **Funding agency** changed from DOST-PCAARRD to University of the Philippines Diliman Office of the Vice Chancellor for Research and Development, **Total funding** changed from 2,803,661.28 to Unknown, **Partners_public** changed from University of the Philippines Diliman to DOST-PCAARRD, **Reference** changed from Technical Report to Villanueva, R. D., Baria, M. V. B., &amp; Dela Cruz, D. W. (2012). Growth and survivorship of juvenile corals outplanted to degraded reef areas in Bolinao-Anda Reef Complex, Philippines. Marine Biology Research, 8(9), 877-884. https://doi.org/10.1080/17451000.2012.682582, **Website** changed from Unknown to https://www.tandfonline.com/doi/abs/10.1080/17451000.2012.682582, **Contact_name** changed from Dr. Patrick Cabaitan to Dr. Maria Vanessa Baria Rodriguez</v>
      </c>
      <c r="I101" s="153" t="s">
        <v>6258</v>
      </c>
      <c r="J101" s="153" t="s">
        <v>143</v>
      </c>
      <c r="K101" s="153" t="s">
        <v>144</v>
      </c>
      <c r="L101" s="153" t="s">
        <v>230</v>
      </c>
      <c r="M101" s="157" t="s">
        <v>231</v>
      </c>
      <c r="N101" s="153" t="s">
        <v>6259</v>
      </c>
      <c r="O101" s="158" t="s">
        <v>149</v>
      </c>
      <c r="P101" s="158" t="s">
        <v>6260</v>
      </c>
      <c r="Q101" s="178">
        <v>2011.0</v>
      </c>
      <c r="R101" s="160" t="s">
        <v>6114</v>
      </c>
      <c r="S101" s="160" t="s">
        <v>149</v>
      </c>
      <c r="T101" s="156" t="s">
        <v>298</v>
      </c>
      <c r="U101" s="153">
        <f>IFERROR(__xludf.DUMMYFUNCTION("""COMPUTED_VALUE"""),83.0)</f>
        <v>83</v>
      </c>
      <c r="V101" s="191" t="s">
        <v>6261</v>
      </c>
      <c r="W101" s="184" t="s">
        <v>154</v>
      </c>
      <c r="X101" s="180"/>
      <c r="Y101" s="180" t="s">
        <v>154</v>
      </c>
      <c r="Z101" s="158" t="s">
        <v>2907</v>
      </c>
      <c r="AA101" s="158" t="s">
        <v>6262</v>
      </c>
      <c r="AB101" s="153" t="s">
        <v>6263</v>
      </c>
      <c r="AC101" s="153" t="s">
        <v>2909</v>
      </c>
      <c r="AD101" s="158" t="s">
        <v>160</v>
      </c>
      <c r="AE101" s="158" t="s">
        <v>209</v>
      </c>
      <c r="AF101" s="158" t="s">
        <v>204</v>
      </c>
      <c r="AG101" s="164" t="s">
        <v>149</v>
      </c>
      <c r="AH101" s="158" t="s">
        <v>149</v>
      </c>
      <c r="AI101" s="158" t="s">
        <v>149</v>
      </c>
      <c r="AJ101" s="153" t="s">
        <v>233</v>
      </c>
      <c r="AK101" s="158" t="s">
        <v>6068</v>
      </c>
      <c r="AL101" s="153" t="s">
        <v>321</v>
      </c>
      <c r="AM101" s="3" t="s">
        <v>149</v>
      </c>
      <c r="AN101" s="3" t="s">
        <v>149</v>
      </c>
      <c r="AO101" s="156">
        <v>2.0</v>
      </c>
      <c r="AP101" s="156" t="s">
        <v>6264</v>
      </c>
      <c r="AQ101" s="158" t="s">
        <v>6214</v>
      </c>
      <c r="AR101" s="153" t="s">
        <v>2910</v>
      </c>
      <c r="AS101" s="165" t="s">
        <v>2911</v>
      </c>
      <c r="AT101" s="153" t="s">
        <v>1061</v>
      </c>
      <c r="AU101" s="3" t="s">
        <v>149</v>
      </c>
    </row>
    <row r="102">
      <c r="A102" s="186">
        <v>51.0</v>
      </c>
      <c r="B102" s="152">
        <v>2023.0</v>
      </c>
      <c r="D102" s="152"/>
      <c r="E102" s="151">
        <v>51.0</v>
      </c>
      <c r="F102" s="129" t="s">
        <v>140</v>
      </c>
      <c r="G102" s="3" t="s">
        <v>6029</v>
      </c>
      <c r="H102" s="8" t="str">
        <f>IFERROR(__xludf.DUMMYFUNCTION("""COMPUTED_VALUE"""),"")</f>
        <v/>
      </c>
      <c r="I102" s="8" t="s">
        <v>6265</v>
      </c>
      <c r="J102" s="8" t="s">
        <v>143</v>
      </c>
      <c r="K102" s="8" t="s">
        <v>144</v>
      </c>
      <c r="L102" s="8" t="s">
        <v>230</v>
      </c>
      <c r="M102" s="173" t="s">
        <v>231</v>
      </c>
      <c r="N102" s="8" t="s">
        <v>6221</v>
      </c>
      <c r="O102" s="8" t="s">
        <v>1846</v>
      </c>
      <c r="P102" s="3" t="s">
        <v>149</v>
      </c>
      <c r="Q102" s="142" t="s">
        <v>6063</v>
      </c>
      <c r="R102" s="142" t="s">
        <v>6063</v>
      </c>
      <c r="S102" s="142" t="s">
        <v>6152</v>
      </c>
      <c r="T102" s="8"/>
      <c r="U102" s="8">
        <f>IFERROR(__xludf.DUMMYFUNCTION("""COMPUTED_VALUE"""),84.0)</f>
        <v>84</v>
      </c>
      <c r="V102" s="8"/>
      <c r="W102" s="3"/>
      <c r="X102" s="8"/>
      <c r="Y102" s="8"/>
      <c r="AA102" s="3" t="s">
        <v>149</v>
      </c>
      <c r="AB102" s="8" t="s">
        <v>1848</v>
      </c>
      <c r="AC102" s="8" t="s">
        <v>321</v>
      </c>
      <c r="AD102" s="193" t="s">
        <v>149</v>
      </c>
      <c r="AE102" s="193" t="s">
        <v>149</v>
      </c>
      <c r="AF102" s="193" t="s">
        <v>149</v>
      </c>
      <c r="AG102" s="181" t="s">
        <v>6246</v>
      </c>
      <c r="AH102" s="3" t="s">
        <v>149</v>
      </c>
      <c r="AI102" s="3" t="s">
        <v>149</v>
      </c>
      <c r="AJ102" s="8" t="s">
        <v>233</v>
      </c>
      <c r="AL102" s="8" t="s">
        <v>1850</v>
      </c>
      <c r="AM102" s="8" t="s">
        <v>885</v>
      </c>
      <c r="AN102" s="3" t="s">
        <v>149</v>
      </c>
      <c r="AO102" s="8"/>
      <c r="AP102" s="8"/>
      <c r="AR102" s="8" t="s">
        <v>6257</v>
      </c>
      <c r="AS102" s="3" t="s">
        <v>149</v>
      </c>
      <c r="AT102" s="8" t="s">
        <v>943</v>
      </c>
      <c r="AU102" s="3" t="s">
        <v>149</v>
      </c>
    </row>
    <row r="103">
      <c r="A103" s="186">
        <v>51.0</v>
      </c>
      <c r="B103" s="152">
        <v>2025.0</v>
      </c>
      <c r="C103" s="153" t="str">
        <f>CONCATENATE(D103, "-", M103, "-", A103)
</f>
        <v>2023-PH015505000-51</v>
      </c>
      <c r="D103" s="152">
        <f>IF(OR(F102="Published", F102="Unpublished"), 2023, IF(F102="New", 2025, ""))
</f>
        <v>2023</v>
      </c>
      <c r="E103" s="151">
        <v>51.0</v>
      </c>
      <c r="F103" s="156" t="s">
        <v>140</v>
      </c>
      <c r="G103" s="156" t="s">
        <v>141</v>
      </c>
      <c r="H103" s="153" t="str">
        <f>IFERROR(__xludf.DUMMYFUNCTION("""COMPUTED_VALUE"""),"**Restoration_project** changed from Project 2A. Sexual Reproduction in Selected Reef Coral Species Across the Archipelago to ACIAR Coral Reef Restoration Project, **Restoration_project_short** changed from Unknown to (N 16.3213889, E 120.03388888888888),"&amp;" **Year of establishment** changed from 2014 to 2013, **Project Start** changed from 2014 to 2013, **Project End** changed from 2017 to 2015, **Technique/Material Type** changed from Unknown to Larval Enhancement, **Restoration objective** changed from Re"&amp;"search; Determine the timing of spawning / planulation of representative coral species to Test the effect of supplying large numbers of coral larvae on replicate degraded reef areas , **Funding agency** changed from DOST-PCAARRD to ACIAR, **Total funding*"&amp;"* changed from 2,682,661.50 to Unknown, **Implementing institution** changed from UP MSI to Southern Cross University, **Partners_public** changed from University of the Philippines Diliman; Mindanao State University Tawi-Tawi to University of the Philipp"&amp;"ines Diliman; UP MSI, **Partners_private** changed from University of San Carlos to Unknown, **Reference** changed from Technical Report to Dela Cruz, D. W., &amp; Harrison, P. L. (2017). Enhanced larval supply and recruitment can replenish reef corals on deg"&amp;"raded reefs. Scientific Reports 7(1). DOI:10.1038/s41598-017-14546-y, **Website** changed from Unknown to https://www.researchgate.net/publication/320629634_Enhanced_larval_supply_and_recruitment_can_replenish_reef_corals_on_degraded_reefs; https://www.nc"&amp;"bi.nlm.nih.gov/pmc/articles/PMC7685485/, **Contact_name** changed from Dr. Patrick Cabaitan to Dr. Dexter dela Cruz")</f>
        <v>**Restoration_project** changed from Project 2A. Sexual Reproduction in Selected Reef Coral Species Across the Archipelago to ACIAR Coral Reef Restoration Project, **Restoration_project_short** changed from Unknown to (N 16.3213889, E 120.03388888888888), **Year of establishment** changed from 2014 to 2013, **Project Start** changed from 2014 to 2013, **Project End** changed from 2017 to 2015, **Technique/Material Type** changed from Unknown to Larval Enhancement, **Restoration objective** changed from Research; Determine the timing of spawning / planulation of representative coral species to Test the effect of supplying large numbers of coral larvae on replicate degraded reef areas , **Funding agency** changed from DOST-PCAARRD to ACIAR, **Total funding** changed from 2,682,661.50 to Unknown, **Implementing institution** changed from UP MSI to Southern Cross University, **Partners_public** changed from University of the Philippines Diliman; Mindanao State University Tawi-Tawi to University of the Philippines Diliman; UP MSI, **Partners_private** changed from University of San Carlos to Unknown, **Reference** changed from Technical Report to Dela Cruz, D. W., &amp; Harrison, P. L. (2017). Enhanced larval supply and recruitment can replenish reef corals on degraded reefs. Scientific Reports 7(1). DOI:10.1038/s41598-017-14546-y, **Website** changed from Unknown to https://www.researchgate.net/publication/320629634_Enhanced_larval_supply_and_recruitment_can_replenish_reef_corals_on_degraded_reefs; https://www.ncbi.nlm.nih.gov/pmc/articles/PMC7685485/, **Contact_name** changed from Dr. Patrick Cabaitan to Dr. Dexter dela Cruz</v>
      </c>
      <c r="I103" s="153" t="s">
        <v>6266</v>
      </c>
      <c r="J103" s="153" t="s">
        <v>143</v>
      </c>
      <c r="K103" s="153" t="s">
        <v>144</v>
      </c>
      <c r="L103" s="153" t="s">
        <v>230</v>
      </c>
      <c r="M103" s="157" t="s">
        <v>231</v>
      </c>
      <c r="N103" s="153" t="s">
        <v>6221</v>
      </c>
      <c r="O103" s="153" t="s">
        <v>197</v>
      </c>
      <c r="P103" s="158" t="s">
        <v>6267</v>
      </c>
      <c r="Q103" s="169">
        <v>2013.0</v>
      </c>
      <c r="R103" s="175" t="s">
        <v>6089</v>
      </c>
      <c r="S103" s="175" t="s">
        <v>6268</v>
      </c>
      <c r="T103" s="156" t="s">
        <v>199</v>
      </c>
      <c r="U103" s="153">
        <f>IFERROR(__xludf.DUMMYFUNCTION("""COMPUTED_VALUE"""),85.0)</f>
        <v>85</v>
      </c>
      <c r="V103" s="191" t="s">
        <v>3299</v>
      </c>
      <c r="W103" s="179" t="s">
        <v>154</v>
      </c>
      <c r="X103" s="180"/>
      <c r="Y103" s="180" t="s">
        <v>154</v>
      </c>
      <c r="Z103" s="158" t="s">
        <v>224</v>
      </c>
      <c r="AA103" s="158" t="s">
        <v>200</v>
      </c>
      <c r="AB103" s="153" t="s">
        <v>6269</v>
      </c>
      <c r="AC103" s="153" t="s">
        <v>203</v>
      </c>
      <c r="AD103" s="158" t="s">
        <v>6154</v>
      </c>
      <c r="AE103" s="158" t="s">
        <v>206</v>
      </c>
      <c r="AF103" s="158" t="s">
        <v>159</v>
      </c>
      <c r="AG103" s="164" t="s">
        <v>149</v>
      </c>
      <c r="AH103" s="158" t="s">
        <v>149</v>
      </c>
      <c r="AI103" s="158" t="s">
        <v>149</v>
      </c>
      <c r="AJ103" s="153" t="s">
        <v>208</v>
      </c>
      <c r="AK103" s="158" t="s">
        <v>6068</v>
      </c>
      <c r="AL103" s="153" t="s">
        <v>6270</v>
      </c>
      <c r="AM103" s="3" t="s">
        <v>149</v>
      </c>
      <c r="AN103" s="3" t="s">
        <v>149</v>
      </c>
      <c r="AO103" s="156">
        <v>1.0</v>
      </c>
      <c r="AP103" s="156" t="s">
        <v>6037</v>
      </c>
      <c r="AQ103" s="158" t="s">
        <v>6214</v>
      </c>
      <c r="AR103" s="153" t="s">
        <v>243</v>
      </c>
      <c r="AS103" s="165" t="s">
        <v>244</v>
      </c>
      <c r="AT103" s="153" t="s">
        <v>245</v>
      </c>
      <c r="AU103" s="3" t="s">
        <v>149</v>
      </c>
    </row>
    <row r="104">
      <c r="A104" s="186">
        <v>52.0</v>
      </c>
      <c r="B104" s="152">
        <v>2023.0</v>
      </c>
      <c r="D104" s="152"/>
      <c r="E104" s="151">
        <v>52.0</v>
      </c>
      <c r="F104" s="129" t="s">
        <v>140</v>
      </c>
      <c r="G104" s="3" t="s">
        <v>6029</v>
      </c>
      <c r="H104" s="8" t="str">
        <f>IFERROR(__xludf.DUMMYFUNCTION("""COMPUTED_VALUE"""),"")</f>
        <v/>
      </c>
      <c r="I104" s="8" t="s">
        <v>6271</v>
      </c>
      <c r="J104" s="8" t="s">
        <v>143</v>
      </c>
      <c r="K104" s="8" t="s">
        <v>144</v>
      </c>
      <c r="L104" s="8" t="s">
        <v>230</v>
      </c>
      <c r="M104" s="173" t="s">
        <v>231</v>
      </c>
      <c r="N104" s="8" t="s">
        <v>6221</v>
      </c>
      <c r="O104" s="8" t="s">
        <v>6235</v>
      </c>
      <c r="P104" s="3" t="s">
        <v>149</v>
      </c>
      <c r="Q104" s="142" t="s">
        <v>6098</v>
      </c>
      <c r="R104" s="3" t="s">
        <v>149</v>
      </c>
      <c r="S104" s="3" t="s">
        <v>149</v>
      </c>
      <c r="T104" s="8"/>
      <c r="U104" s="8">
        <f>IFERROR(__xludf.DUMMYFUNCTION("""COMPUTED_VALUE"""),86.0)</f>
        <v>86</v>
      </c>
      <c r="V104" s="8"/>
      <c r="W104" s="3"/>
      <c r="X104" s="8"/>
      <c r="Y104" s="8"/>
      <c r="AA104" s="3" t="s">
        <v>149</v>
      </c>
      <c r="AB104" s="3" t="s">
        <v>149</v>
      </c>
      <c r="AC104" s="8" t="s">
        <v>203</v>
      </c>
      <c r="AG104" s="3" t="s">
        <v>149</v>
      </c>
      <c r="AH104" s="3" t="s">
        <v>149</v>
      </c>
      <c r="AI104" s="3" t="s">
        <v>149</v>
      </c>
      <c r="AJ104" s="8" t="s">
        <v>233</v>
      </c>
      <c r="AL104" s="3" t="s">
        <v>149</v>
      </c>
      <c r="AM104" s="3" t="s">
        <v>149</v>
      </c>
      <c r="AN104" s="8" t="s">
        <v>208</v>
      </c>
      <c r="AO104" s="8"/>
      <c r="AP104" s="8"/>
      <c r="AR104" s="3" t="s">
        <v>149</v>
      </c>
      <c r="AS104" s="3" t="s">
        <v>149</v>
      </c>
      <c r="AT104" s="3" t="s">
        <v>149</v>
      </c>
      <c r="AU104" s="3" t="s">
        <v>149</v>
      </c>
    </row>
    <row r="105">
      <c r="A105" s="186">
        <v>52.0</v>
      </c>
      <c r="B105" s="152">
        <v>2025.0</v>
      </c>
      <c r="C105" s="153" t="str">
        <f>CONCATENATE(D105, "-", M105, "-", A105)
</f>
        <v>2023-PH015505000-52</v>
      </c>
      <c r="D105" s="152">
        <f>IF(OR(F104="Published", F104="Unpublished"), 2023, IF(F104="New", 2025, ""))
</f>
        <v>2023</v>
      </c>
      <c r="E105" s="151">
        <v>52.0</v>
      </c>
      <c r="F105" s="156" t="s">
        <v>140</v>
      </c>
      <c r="G105" s="156" t="s">
        <v>141</v>
      </c>
      <c r="H105" s="153" t="str">
        <f>IFERROR(__xludf.DUMMYFUNCTION("""COMPUTED_VALUE"""),"**Restoration_project** changed from ACIAR Coral Restoration Project to ACIAR Coral Reef Restoration Project, **Restoration_project_short** changed from Unknown to Site in Magsaysay Reef, **Year of establishment** changed from 2018 to 2016, **Project Star"&amp;"t** changed from Unknown to 2016, **Project End** changed from Unknown to 2019, **Technique/Material Type** changed from Unknown to Larval Enhancement, **Restoration objective** changed from Unknown to Build on pilot study to quantify effects of increased"&amp;" larval supply, assess long term restoration outcomes and develop techniques for capturing large volume of coral spawns, **Implementing institution** changed from UP MSI to Southern Cross University, **Partners_public** changed from Unknown to University "&amp;"of the Philippines Diliman; UP MSI, **Partners_communities** changed from Southern Cross University to Unknown, **Reference** changed from Unknown to Harrison, P. L., Dela Cruz, D. W., Cameron, K., &amp; Cabaitan, P. (2021). Increased Coral Larval Supply Enha"&amp;"nces Recruitment for Coral and Fish Habitat Restoration. Frontiers in Marine Science, 8. DOI:10.3389/fmars.2021.750210, **Website** changed from Unknown to https://www.researchgate.net/publication/356725969_Increased_Coral_Larval_Supply_Enhances_Recruitme"&amp;"nt_for_Coral_and_Fish_Habitat_Restoration, **Contact_name** changed from Unknown to Dr. Peter Harrison / Dr. Dexter dela Cruz")</f>
        <v>**Restoration_project** changed from ACIAR Coral Restoration Project to ACIAR Coral Reef Restoration Project, **Restoration_project_short** changed from Unknown to Site in Magsaysay Reef, **Year of establishment** changed from 2018 to 2016, **Project Start** changed from Unknown to 2016, **Project End** changed from Unknown to 2019, **Technique/Material Type** changed from Unknown to Larval Enhancement, **Restoration objective** changed from Unknown to Build on pilot study to quantify effects of increased larval supply, assess long term restoration outcomes and develop techniques for capturing large volume of coral spawns, **Implementing institution** changed from UP MSI to Southern Cross University, **Partners_public** changed from Unknown to University of the Philippines Diliman; UP MSI, **Partners_communities** changed from Southern Cross University to Unknown, **Reference** changed from Unknown to Harrison, P. L., Dela Cruz, D. W., Cameron, K., &amp; Cabaitan, P. (2021). Increased Coral Larval Supply Enhances Recruitment for Coral and Fish Habitat Restoration. Frontiers in Marine Science, 8. DOI:10.3389/fmars.2021.750210, **Website** changed from Unknown to https://www.researchgate.net/publication/356725969_Increased_Coral_Larval_Supply_Enhances_Recruitment_for_Coral_and_Fish_Habitat_Restoration, **Contact_name** changed from Unknown to Dr. Peter Harrison / Dr. Dexter dela Cruz</v>
      </c>
      <c r="I105" s="153" t="s">
        <v>6272</v>
      </c>
      <c r="J105" s="153" t="s">
        <v>143</v>
      </c>
      <c r="K105" s="153" t="s">
        <v>144</v>
      </c>
      <c r="L105" s="153" t="s">
        <v>230</v>
      </c>
      <c r="M105" s="157" t="s">
        <v>231</v>
      </c>
      <c r="N105" s="153" t="s">
        <v>6221</v>
      </c>
      <c r="O105" s="153" t="s">
        <v>197</v>
      </c>
      <c r="P105" s="153" t="s">
        <v>247</v>
      </c>
      <c r="Q105" s="169">
        <v>2016.0</v>
      </c>
      <c r="R105" s="175" t="s">
        <v>6064</v>
      </c>
      <c r="S105" s="175" t="s">
        <v>6273</v>
      </c>
      <c r="T105" s="156" t="s">
        <v>199</v>
      </c>
      <c r="U105" s="153">
        <f>IFERROR(__xludf.DUMMYFUNCTION("""COMPUTED_VALUE"""),87.0)</f>
        <v>87</v>
      </c>
      <c r="V105" s="191" t="s">
        <v>3299</v>
      </c>
      <c r="W105" s="179" t="s">
        <v>154</v>
      </c>
      <c r="X105" s="180"/>
      <c r="Y105" s="180" t="s">
        <v>154</v>
      </c>
      <c r="Z105" s="158" t="s">
        <v>224</v>
      </c>
      <c r="AA105" s="158" t="s">
        <v>200</v>
      </c>
      <c r="AB105" s="153" t="s">
        <v>248</v>
      </c>
      <c r="AC105" s="153" t="s">
        <v>203</v>
      </c>
      <c r="AD105" s="158" t="s">
        <v>6154</v>
      </c>
      <c r="AE105" s="158" t="s">
        <v>206</v>
      </c>
      <c r="AF105" s="158" t="s">
        <v>159</v>
      </c>
      <c r="AG105" s="164" t="s">
        <v>149</v>
      </c>
      <c r="AH105" s="158" t="s">
        <v>149</v>
      </c>
      <c r="AI105" s="158" t="s">
        <v>149</v>
      </c>
      <c r="AJ105" s="153" t="s">
        <v>208</v>
      </c>
      <c r="AK105" s="158" t="s">
        <v>6068</v>
      </c>
      <c r="AL105" s="153" t="s">
        <v>6274</v>
      </c>
      <c r="AM105" s="3" t="s">
        <v>149</v>
      </c>
      <c r="AN105" s="3" t="s">
        <v>149</v>
      </c>
      <c r="AO105" s="156">
        <v>1.0</v>
      </c>
      <c r="AP105" s="156" t="s">
        <v>6037</v>
      </c>
      <c r="AQ105" s="158" t="s">
        <v>6214</v>
      </c>
      <c r="AR105" s="153" t="s">
        <v>250</v>
      </c>
      <c r="AS105" s="165" t="s">
        <v>251</v>
      </c>
      <c r="AT105" s="153" t="s">
        <v>252</v>
      </c>
      <c r="AU105" s="3" t="s">
        <v>149</v>
      </c>
    </row>
    <row r="106" ht="14.25" customHeight="1">
      <c r="A106" s="186">
        <v>53.0</v>
      </c>
      <c r="B106" s="152">
        <v>2023.0</v>
      </c>
      <c r="D106" s="152"/>
      <c r="E106" s="151">
        <v>53.0</v>
      </c>
      <c r="F106" s="129" t="s">
        <v>140</v>
      </c>
      <c r="G106" s="3" t="s">
        <v>6029</v>
      </c>
      <c r="H106" s="8" t="str">
        <f>IFERROR(__xludf.DUMMYFUNCTION("""COMPUTED_VALUE"""),"")</f>
        <v/>
      </c>
      <c r="I106" s="8" t="s">
        <v>6275</v>
      </c>
      <c r="J106" s="8" t="s">
        <v>143</v>
      </c>
      <c r="K106" s="8" t="s">
        <v>144</v>
      </c>
      <c r="L106" s="8" t="s">
        <v>230</v>
      </c>
      <c r="M106" s="173" t="s">
        <v>231</v>
      </c>
      <c r="N106" s="8" t="s">
        <v>6062</v>
      </c>
      <c r="O106" s="8" t="s">
        <v>934</v>
      </c>
      <c r="P106" s="3" t="s">
        <v>149</v>
      </c>
      <c r="Q106" s="142" t="s">
        <v>6229</v>
      </c>
      <c r="R106" s="142" t="s">
        <v>6229</v>
      </c>
      <c r="S106" s="142" t="s">
        <v>6230</v>
      </c>
      <c r="T106" s="8"/>
      <c r="U106" s="8">
        <f>IFERROR(__xludf.DUMMYFUNCTION("""COMPUTED_VALUE"""),88.0)</f>
        <v>88</v>
      </c>
      <c r="V106" s="8"/>
      <c r="W106" s="8"/>
      <c r="X106" s="8"/>
      <c r="Y106" s="8"/>
      <c r="AA106" s="8" t="s">
        <v>6276</v>
      </c>
      <c r="AB106" s="8" t="s">
        <v>939</v>
      </c>
      <c r="AC106" s="8" t="s">
        <v>940</v>
      </c>
      <c r="AG106" s="3" t="s">
        <v>149</v>
      </c>
      <c r="AH106" s="3" t="s">
        <v>149</v>
      </c>
      <c r="AI106" s="3" t="s">
        <v>149</v>
      </c>
      <c r="AJ106" s="8" t="s">
        <v>233</v>
      </c>
      <c r="AL106" s="3" t="s">
        <v>149</v>
      </c>
      <c r="AM106" s="3" t="s">
        <v>149</v>
      </c>
      <c r="AN106" s="3" t="s">
        <v>149</v>
      </c>
      <c r="AO106" s="8"/>
      <c r="AP106" s="8"/>
      <c r="AR106" s="8" t="s">
        <v>6214</v>
      </c>
      <c r="AS106" s="8" t="s">
        <v>942</v>
      </c>
      <c r="AT106" s="8" t="s">
        <v>943</v>
      </c>
      <c r="AU106" s="3" t="s">
        <v>149</v>
      </c>
    </row>
    <row r="107">
      <c r="A107" s="186">
        <v>53.0</v>
      </c>
      <c r="B107" s="152">
        <v>2025.0</v>
      </c>
      <c r="C107" s="153" t="str">
        <f>CONCATENATE(D107, "-", M107, "-", A107)
</f>
        <v>2023-PH015505000-53</v>
      </c>
      <c r="D107" s="152">
        <f>IF(OR(F106="Published", F106="Unpublished"), 2023, IF(F106="New", 2025, ""))
</f>
        <v>2023</v>
      </c>
      <c r="E107" s="151">
        <v>53.0</v>
      </c>
      <c r="F107" s="176" t="s">
        <v>140</v>
      </c>
      <c r="G107" s="176" t="s">
        <v>141</v>
      </c>
      <c r="H107" s="158" t="str">
        <f>IFERROR(__xludf.DUMMYFUNCTION("""COMPUTED_VALUE"""),"**Restoration_project** changed from Coral Reef Habitat and Productivity Enhancement through Coral Transplantation and Giant Clam Restocking to ACIAR Coral Reef Restoration Project, **Year of establishment** changed from 2001 to Unknown, **Project Start**"&amp;" changed from 2001 to 2021, **Project End** changed from 2005 to 2025, **Restoration method** changed from Asexual Reproduction to Sexual Reproduction, **Technique/Material Type** changed from Direct transplantation; to Larval Enhancement, **Restoration o"&amp;"bjective** changed from Improve biodiversity and productivity of stressed coral reef habitats in 10 selected demonstration sites to Unknown, **Funding agency** changed from Pew Marine Conservation Fellowship to ACIAR, **Implementing institution** changed "&amp;"from UP MSI to Southern Cross University, **Partners_public** changed from Unknown to University of the Philippines Diliman; UP MSI, **Reference** changed from Published article to Unknown, **Website** changed from https://aquadocs.org/bitstream/handle/18"&amp;"34/40478/GomezED2006.pdf?sequence=1&amp;isAllowed=y to Unknown, **Contact_name** changed from Dr. Patrick Cabaitan to Unknown")</f>
        <v>**Restoration_project** changed from Coral Reef Habitat and Productivity Enhancement through Coral Transplantation and Giant Clam Restocking to ACIAR Coral Reef Restoration Project, **Year of establishment** changed from 2001 to Unknown, **Project Start** changed from 2001 to 2021, **Project End** changed from 2005 to 2025, **Restoration method** changed from Asexual Reproduction to Sexual Reproduction, **Technique/Material Type** changed from Direct transplantation; to Larval Enhancement, **Restoration objective** changed from Improve biodiversity and productivity of stressed coral reef habitats in 10 selected demonstration sites to Unknown, **Funding agency** changed from Pew Marine Conservation Fellowship to ACIAR, **Implementing institution** changed from UP MSI to Southern Cross University, **Partners_public** changed from Unknown to University of the Philippines Diliman; UP MSI, **Reference** changed from Published article to Unknown, **Website** changed from https://aquadocs.org/bitstream/handle/1834/40478/GomezED2006.pdf?sequence=1&amp;isAllowed=y to Unknown, **Contact_name** changed from Dr. Patrick Cabaitan to Unknown</v>
      </c>
      <c r="I107" s="158" t="s">
        <v>6277</v>
      </c>
      <c r="J107" s="158" t="s">
        <v>143</v>
      </c>
      <c r="K107" s="158" t="s">
        <v>144</v>
      </c>
      <c r="L107" s="158" t="s">
        <v>230</v>
      </c>
      <c r="M107" s="194" t="s">
        <v>231</v>
      </c>
      <c r="N107" s="158" t="s">
        <v>6221</v>
      </c>
      <c r="O107" s="153" t="s">
        <v>197</v>
      </c>
      <c r="P107" s="3" t="s">
        <v>149</v>
      </c>
      <c r="Q107" s="195" t="s">
        <v>149</v>
      </c>
      <c r="R107" s="160" t="s">
        <v>6030</v>
      </c>
      <c r="S107" s="160" t="s">
        <v>14</v>
      </c>
      <c r="T107" s="176" t="s">
        <v>199</v>
      </c>
      <c r="U107" s="158">
        <f>IFERROR(__xludf.DUMMYFUNCTION("""COMPUTED_VALUE"""),89.0)</f>
        <v>89</v>
      </c>
      <c r="V107" s="191" t="s">
        <v>3299</v>
      </c>
      <c r="W107" s="179" t="s">
        <v>154</v>
      </c>
      <c r="X107" s="180"/>
      <c r="Y107" s="180" t="s">
        <v>154</v>
      </c>
      <c r="Z107" s="158" t="s">
        <v>224</v>
      </c>
      <c r="AA107" s="158" t="s">
        <v>200</v>
      </c>
      <c r="AB107" s="158" t="s">
        <v>149</v>
      </c>
      <c r="AC107" s="158" t="s">
        <v>203</v>
      </c>
      <c r="AD107" s="158" t="s">
        <v>6154</v>
      </c>
      <c r="AE107" s="158" t="s">
        <v>206</v>
      </c>
      <c r="AF107" s="158" t="s">
        <v>159</v>
      </c>
      <c r="AG107" s="164" t="s">
        <v>149</v>
      </c>
      <c r="AH107" s="158" t="s">
        <v>149</v>
      </c>
      <c r="AI107" s="158" t="s">
        <v>149</v>
      </c>
      <c r="AJ107" s="158" t="s">
        <v>208</v>
      </c>
      <c r="AK107" s="158" t="s">
        <v>6068</v>
      </c>
      <c r="AL107" s="158" t="s">
        <v>255</v>
      </c>
      <c r="AM107" s="3" t="s">
        <v>149</v>
      </c>
      <c r="AN107" s="3" t="s">
        <v>149</v>
      </c>
      <c r="AO107" s="156">
        <v>1.0</v>
      </c>
      <c r="AP107" s="156" t="s">
        <v>6037</v>
      </c>
      <c r="AQ107" s="158" t="s">
        <v>214</v>
      </c>
      <c r="AR107" s="3" t="s">
        <v>149</v>
      </c>
      <c r="AS107" s="3" t="s">
        <v>149</v>
      </c>
      <c r="AT107" s="3" t="s">
        <v>149</v>
      </c>
      <c r="AU107" s="3" t="s">
        <v>149</v>
      </c>
    </row>
    <row r="108">
      <c r="A108" s="186">
        <v>54.0</v>
      </c>
      <c r="B108" s="152">
        <v>2023.0</v>
      </c>
      <c r="D108" s="152"/>
      <c r="E108" s="151">
        <v>54.0</v>
      </c>
      <c r="F108" s="129" t="s">
        <v>140</v>
      </c>
      <c r="G108" s="3" t="s">
        <v>6029</v>
      </c>
      <c r="H108" s="8" t="str">
        <f>IFERROR(__xludf.DUMMYFUNCTION("""COMPUTED_VALUE"""),"")</f>
        <v/>
      </c>
      <c r="I108" s="8" t="s">
        <v>6278</v>
      </c>
      <c r="J108" s="8" t="s">
        <v>143</v>
      </c>
      <c r="K108" s="8" t="s">
        <v>144</v>
      </c>
      <c r="L108" s="8" t="s">
        <v>230</v>
      </c>
      <c r="M108" s="173" t="s">
        <v>231</v>
      </c>
      <c r="N108" s="3" t="s">
        <v>149</v>
      </c>
      <c r="O108" s="158" t="s">
        <v>6279</v>
      </c>
      <c r="P108" s="3" t="s">
        <v>149</v>
      </c>
      <c r="Q108" s="3" t="s">
        <v>149</v>
      </c>
      <c r="R108" s="3" t="s">
        <v>149</v>
      </c>
      <c r="S108" s="3" t="s">
        <v>149</v>
      </c>
      <c r="T108" s="3"/>
      <c r="U108" s="8">
        <f>IFERROR(__xludf.DUMMYFUNCTION("""COMPUTED_VALUE"""),90.0)</f>
        <v>90</v>
      </c>
      <c r="V108" s="3"/>
      <c r="W108" s="3"/>
      <c r="X108" s="8"/>
      <c r="Y108" s="8"/>
      <c r="AA108" s="3" t="s">
        <v>149</v>
      </c>
      <c r="AB108" s="3" t="s">
        <v>149</v>
      </c>
      <c r="AC108" s="3" t="s">
        <v>149</v>
      </c>
      <c r="AG108" s="3" t="s">
        <v>149</v>
      </c>
      <c r="AH108" s="3" t="s">
        <v>149</v>
      </c>
      <c r="AI108" s="3" t="s">
        <v>149</v>
      </c>
      <c r="AJ108" s="8" t="s">
        <v>233</v>
      </c>
      <c r="AL108" s="3" t="s">
        <v>149</v>
      </c>
      <c r="AM108" s="3" t="s">
        <v>149</v>
      </c>
      <c r="AN108" s="3" t="s">
        <v>149</v>
      </c>
      <c r="AO108" s="3"/>
      <c r="AP108" s="3"/>
      <c r="AR108" s="8" t="s">
        <v>6214</v>
      </c>
      <c r="AS108" s="8" t="s">
        <v>6280</v>
      </c>
      <c r="AT108" s="8" t="s">
        <v>943</v>
      </c>
      <c r="AU108" s="3" t="s">
        <v>149</v>
      </c>
    </row>
    <row r="109">
      <c r="A109" s="186">
        <v>54.0</v>
      </c>
      <c r="B109" s="152">
        <v>2025.0</v>
      </c>
      <c r="C109" s="153" t="str">
        <f>CONCATENATE(D109, "-", M109, "-", A109)
</f>
        <v>2023-PH015505000-54</v>
      </c>
      <c r="D109" s="152">
        <f>IF(OR(F108="Published", F108="Unpublished"), 2023, IF(F108="New", 2025, ""))
</f>
        <v>2023</v>
      </c>
      <c r="E109" s="151">
        <v>54.0</v>
      </c>
      <c r="F109" s="156" t="s">
        <v>140</v>
      </c>
      <c r="G109" s="156" t="s">
        <v>141</v>
      </c>
      <c r="H109" s="153" t="str">
        <f>IFERROR(__xludf.DUMMYFUNCTION("""COMPUTED_VALUE"""),"**Restoration_project** changed from *Mention of ""Enhancing Recovery by Transplantation of Corals"" project under Dr. Gomez but it seems to be the same project with above ""Coral Reef Habitat and Productivity Enhancement"" Pew Project; located in Tondol "&amp;"Anda, Pangasinan to Unknown, **Restoration_project_short** changed from Unknown to Source of coral spawn from Magsaysay Reef, **Year of establishment** changed from Unknown to 2016, **Restoration method** changed from Unknown to Sexual Reproduction; Asexu"&amp;"al Reproduction, **Technique/Material Type** changed from Unknown to Larval collection; in situ nursery; ""coral plug-ins""; transplantation, **Restoration objective** changed from Unknown to Research; Understand early developmental stages of corals and e"&amp;"stablish parent colonies that can provide sustainable source of gametes; Successfully cultured and reared coral embryos from wild caugh spawn slick in the Philippines, **Funding agency** changed from Unknown to DOST-PCAARRD, **Total units** changed from U"&amp;"nknown to 270 plug-ins, **Reference** changed from Published article to Tabalanza, T. D., Jamodiong, E. A., Diaz, L., Tanedo, M. C., Leriorato, J., Villanueva, R., &amp; Cabaitan, P. (2020). Successfully cultured and reared coral embryos from wild caught spaw"&amp;"n slick in the Philippines. Aquaculture, 525. https://doi.org/10.1016/j.aquaculture.2020.735354, **Website** changed from https://gefcoral.org/Portals/25/%20Appendix%20C%20-%20Cabaitan,Gomez,Ali%C3%B1o%202008%20JEMBE.pdf to https://www.sciencedirect.com/s"&amp;"cience/article/abs/pii/S0044848619332533, **Contact_name** changed from Dr. Patrick Cabaitan to Tracy D. Tablanza")</f>
        <v>**Restoration_project** changed from *Mention of "Enhancing Recovery by Transplantation of Corals" project under Dr. Gomez but it seems to be the same project with above "Coral Reef Habitat and Productivity Enhancement" Pew Project; located in Tondol Anda, Pangasinan to Unknown, **Restoration_project_short** changed from Unknown to Source of coral spawn from Magsaysay Reef, **Year of establishment** changed from Unknown to 2016, **Restoration method** changed from Unknown to Sexual Reproduction; Asexual Reproduction, **Technique/Material Type** changed from Unknown to Larval collection; in situ nursery; "coral plug-ins"; transplantation, **Restoration objective** changed from Unknown to Research; Understand early developmental stages of corals and establish parent colonies that can provide sustainable source of gametes; Successfully cultured and reared coral embryos from wild caugh spawn slick in the Philippines, **Funding agency** changed from Unknown to DOST-PCAARRD, **Total units** changed from Unknown to 270 plug-ins, **Reference** changed from Published article to Tabalanza, T. D., Jamodiong, E. A., Diaz, L., Tanedo, M. C., Leriorato, J., Villanueva, R., &amp; Cabaitan, P. (2020). Successfully cultured and reared coral embryos from wild caught spawn slick in the Philippines. Aquaculture, 525. https://doi.org/10.1016/j.aquaculture.2020.735354, **Website** changed from https://gefcoral.org/Portals/25/%20Appendix%20C%20-%20Cabaitan,Gomez,Ali%C3%B1o%202008%20JEMBE.pdf to https://www.sciencedirect.com/science/article/abs/pii/S0044848619332533, **Contact_name** changed from Dr. Patrick Cabaitan to Tracy D. Tablanza</v>
      </c>
      <c r="I109" s="153" t="s">
        <v>6281</v>
      </c>
      <c r="J109" s="153" t="s">
        <v>143</v>
      </c>
      <c r="K109" s="153" t="s">
        <v>144</v>
      </c>
      <c r="L109" s="153" t="s">
        <v>230</v>
      </c>
      <c r="M109" s="157" t="s">
        <v>231</v>
      </c>
      <c r="N109" s="153" t="s">
        <v>6282</v>
      </c>
      <c r="O109" s="158" t="s">
        <v>149</v>
      </c>
      <c r="P109" s="158" t="s">
        <v>6283</v>
      </c>
      <c r="Q109" s="169">
        <v>2016.0</v>
      </c>
      <c r="R109" s="160" t="s">
        <v>149</v>
      </c>
      <c r="S109" s="160" t="s">
        <v>149</v>
      </c>
      <c r="T109" s="156" t="s">
        <v>298</v>
      </c>
      <c r="U109" s="153">
        <f>IFERROR(__xludf.DUMMYFUNCTION("""COMPUTED_VALUE"""),91.0)</f>
        <v>91</v>
      </c>
      <c r="V109" s="191" t="s">
        <v>6261</v>
      </c>
      <c r="W109" s="179" t="s">
        <v>154</v>
      </c>
      <c r="X109" s="180"/>
      <c r="Y109" s="180" t="s">
        <v>154</v>
      </c>
      <c r="Z109" s="158" t="s">
        <v>2913</v>
      </c>
      <c r="AA109" s="153" t="s">
        <v>2913</v>
      </c>
      <c r="AB109" s="156" t="s">
        <v>6284</v>
      </c>
      <c r="AC109" s="153" t="s">
        <v>321</v>
      </c>
      <c r="AD109" s="158" t="s">
        <v>160</v>
      </c>
      <c r="AE109" s="158" t="s">
        <v>6035</v>
      </c>
      <c r="AF109" s="158" t="s">
        <v>204</v>
      </c>
      <c r="AG109" s="164" t="s">
        <v>149</v>
      </c>
      <c r="AH109" s="158" t="s">
        <v>149</v>
      </c>
      <c r="AI109" s="153" t="s">
        <v>2915</v>
      </c>
      <c r="AJ109" s="153" t="s">
        <v>233</v>
      </c>
      <c r="AK109" s="158" t="s">
        <v>6068</v>
      </c>
      <c r="AL109" s="3" t="s">
        <v>149</v>
      </c>
      <c r="AM109" s="3" t="s">
        <v>149</v>
      </c>
      <c r="AN109" s="3" t="s">
        <v>149</v>
      </c>
      <c r="AO109" s="156">
        <v>2.0</v>
      </c>
      <c r="AP109" s="156" t="s">
        <v>6264</v>
      </c>
      <c r="AQ109" s="158" t="s">
        <v>6214</v>
      </c>
      <c r="AR109" s="153" t="s">
        <v>2916</v>
      </c>
      <c r="AS109" s="165" t="s">
        <v>2917</v>
      </c>
      <c r="AT109" s="153" t="s">
        <v>2918</v>
      </c>
      <c r="AU109" s="3" t="s">
        <v>149</v>
      </c>
    </row>
    <row r="110">
      <c r="A110" s="186">
        <v>55.0</v>
      </c>
      <c r="B110" s="152">
        <v>2023.0</v>
      </c>
      <c r="D110" s="152"/>
      <c r="E110" s="151">
        <v>55.0</v>
      </c>
      <c r="F110" s="129" t="s">
        <v>140</v>
      </c>
      <c r="G110" s="3" t="s">
        <v>6029</v>
      </c>
      <c r="H110" s="8" t="str">
        <f>IFERROR(__xludf.DUMMYFUNCTION("""COMPUTED_VALUE"""),"")</f>
        <v/>
      </c>
      <c r="I110" s="8" t="s">
        <v>6285</v>
      </c>
      <c r="J110" s="8" t="s">
        <v>143</v>
      </c>
      <c r="K110" s="8" t="s">
        <v>144</v>
      </c>
      <c r="L110" s="8" t="s">
        <v>230</v>
      </c>
      <c r="M110" s="153" t="s">
        <v>231</v>
      </c>
      <c r="N110" s="8" t="s">
        <v>6259</v>
      </c>
      <c r="O110" s="3" t="s">
        <v>149</v>
      </c>
      <c r="P110" s="8" t="s">
        <v>6286</v>
      </c>
      <c r="Q110" s="142" t="s">
        <v>6287</v>
      </c>
      <c r="R110" s="3" t="s">
        <v>149</v>
      </c>
      <c r="S110" s="3" t="s">
        <v>149</v>
      </c>
      <c r="T110" s="8"/>
      <c r="U110" s="8">
        <f>IFERROR(__xludf.DUMMYFUNCTION("""COMPUTED_VALUE"""),92.0)</f>
        <v>92</v>
      </c>
      <c r="V110" s="8"/>
      <c r="W110" s="8"/>
      <c r="X110" s="8"/>
      <c r="Y110" s="8"/>
      <c r="AA110" s="8" t="s">
        <v>6288</v>
      </c>
      <c r="AB110" s="8" t="s">
        <v>6289</v>
      </c>
      <c r="AC110" s="8" t="s">
        <v>2909</v>
      </c>
      <c r="AG110" s="3" t="s">
        <v>149</v>
      </c>
      <c r="AH110" s="3" t="s">
        <v>149</v>
      </c>
      <c r="AI110" s="3" t="s">
        <v>149</v>
      </c>
      <c r="AJ110" s="8" t="s">
        <v>233</v>
      </c>
      <c r="AL110" s="8" t="s">
        <v>321</v>
      </c>
      <c r="AM110" s="3" t="s">
        <v>149</v>
      </c>
      <c r="AN110" s="3" t="s">
        <v>149</v>
      </c>
      <c r="AO110" s="8"/>
      <c r="AP110" s="8"/>
      <c r="AR110" s="8" t="s">
        <v>6214</v>
      </c>
      <c r="AS110" s="8" t="s">
        <v>2911</v>
      </c>
      <c r="AT110" s="8" t="s">
        <v>1061</v>
      </c>
      <c r="AU110" s="3" t="s">
        <v>149</v>
      </c>
    </row>
    <row r="111">
      <c r="A111" s="186">
        <v>55.0</v>
      </c>
      <c r="B111" s="152">
        <v>2025.0</v>
      </c>
      <c r="C111" s="153" t="str">
        <f>CONCATENATE(D111, "-", M111, "-", A111)
</f>
        <v>2023-PH015505000-55</v>
      </c>
      <c r="D111" s="152">
        <f>IF(OR(F110="Published", F110="Unpublished"), 2023, IF(F110="New", 2025, ""))
</f>
        <v>2023</v>
      </c>
      <c r="E111" s="151">
        <v>55.0</v>
      </c>
      <c r="F111" s="156" t="s">
        <v>140</v>
      </c>
      <c r="G111" s="156" t="s">
        <v>141</v>
      </c>
      <c r="H111" s="153" t="str">
        <f>IFERROR(__xludf.DUMMYFUNCTION("""COMPUTED_VALUE"""),"**Restoration_project_short** changed from Growth and survivorship of juvenile corals outplanted to degraded reef areas in Bolinao-Anda Reef Complex, Philippines to Site at Marcos sandbar, **Year of establishment** changed from 2012 (publication year) to "&amp;"2011, **Project Start** changed from Unknown to 2010, **Project End** changed from Unknown to 2012, **Technique/Material Type** changed from Transplantation to Larval collection; hatchery rearing; in situ nursery; out-planting using plastic masonry wall p"&amp;"lugs (""tox""); adhesive putty using marine epoxy, cement and sand, **Restoration objective** changed from Research; Determine growth and survivorship of juveniles of the reef-building coral Acropora valida to Research; Performance and cost-effectiveness "&amp;"of sexually produced Acropora granulosa juveniles compared with asexually generated coral fragments in restoring degraded reefs, **Funding agency** changed from University of the Philippines Diliman Office of the Vice Chancellor for Research and Developme"&amp;"nt to DOST-PCAARRD, **Total units** changed from Unknown to 150 juveniles; 150 nubbins, **Partners_public** changed from DOST-PCAARRD to Unknown, **Reference** changed from Published article to Baria, M. V., Dela Cruz, D. W., Dizon, R., Yap, H., &amp; Villanu"&amp;"eva, R. D. (2019). Performanceand cost-effectivenessof sexually produced Acropora granulosa juveniles compared with asexually generated coral fragments in restoring degraded reef areas. Aquatic Conservation: Marine and Freshwater Ecosystems, 29, 891-900. "&amp;"https://doi.org/10.1002/aqc.3132, **Website** changed from https://www.tandfonline.com/doi/abs/10.1080/17451000.2012.682582 to https://www.researchgate.net/publication/333481989_Performance_and_cost-effectiveness_of_sexually_produced_Acropora_granulosa_ju"&amp;"veniles_compared_with_asexually_generated_coral_fragments_in_restoring_degraded_reef_areas, **Contact_name** changed from Dr. Maria Vanessa Baria Rodriguez to Dr. Maria Vanessa Baria-Rodriguez")</f>
        <v>**Restoration_project_short** changed from Growth and survivorship of juvenile corals outplanted to degraded reef areas in Bolinao-Anda Reef Complex, Philippines to Site at Marcos sandbar, **Year of establishment** changed from 2012 (publication year) to 2011, **Project Start** changed from Unknown to 2010, **Project End** changed from Unknown to 2012, **Technique/Material Type** changed from Transplantation to Larval collection; hatchery rearing; in situ nursery; out-planting using plastic masonry wall plugs ("tox"); adhesive putty using marine epoxy, cement and sand, **Restoration objective** changed from Research; Determine growth and survivorship of juveniles of the reef-building coral Acropora valida to Research; Performance and cost-effectiveness of sexually produced Acropora granulosa juveniles compared with asexually generated coral fragments in restoring degraded reefs, **Funding agency** changed from University of the Philippines Diliman Office of the Vice Chancellor for Research and Development to DOST-PCAARRD, **Total units** changed from Unknown to 150 juveniles; 150 nubbins, **Partners_public** changed from DOST-PCAARRD to Unknown, **Reference** changed from Published article to Baria, M. V., Dela Cruz, D. W., Dizon, R., Yap, H., &amp; Villanueva, R. D. (2019). Performanceand cost-effectivenessof sexually produced Acropora granulosa juveniles compared with asexually generated coral fragments in restoring degraded reef areas. Aquatic Conservation: Marine and Freshwater Ecosystems, 29, 891-900. https://doi.org/10.1002/aqc.3132, **Website** changed from https://www.tandfonline.com/doi/abs/10.1080/17451000.2012.682582 to https://www.researchgate.net/publication/333481989_Performance_and_cost-effectiveness_of_sexually_produced_Acropora_granulosa_juveniles_compared_with_asexually_generated_coral_fragments_in_restoring_degraded_reef_areas, **Contact_name** changed from Dr. Maria Vanessa Baria Rodriguez to Dr. Maria Vanessa Baria-Rodriguez</v>
      </c>
      <c r="I111" s="153" t="s">
        <v>6290</v>
      </c>
      <c r="J111" s="153" t="s">
        <v>143</v>
      </c>
      <c r="K111" s="153" t="s">
        <v>144</v>
      </c>
      <c r="L111" s="153" t="s">
        <v>230</v>
      </c>
      <c r="M111" s="157" t="s">
        <v>231</v>
      </c>
      <c r="N111" s="153" t="s">
        <v>6259</v>
      </c>
      <c r="O111" s="158" t="s">
        <v>149</v>
      </c>
      <c r="P111" s="153" t="s">
        <v>6291</v>
      </c>
      <c r="Q111" s="169">
        <v>2011.0</v>
      </c>
      <c r="R111" s="175" t="s">
        <v>6114</v>
      </c>
      <c r="S111" s="175" t="s">
        <v>6151</v>
      </c>
      <c r="T111" s="156" t="s">
        <v>298</v>
      </c>
      <c r="U111" s="153">
        <f>IFERROR(__xludf.DUMMYFUNCTION("""COMPUTED_VALUE"""),93.0)</f>
        <v>93</v>
      </c>
      <c r="V111" s="191" t="s">
        <v>6261</v>
      </c>
      <c r="W111" s="179" t="s">
        <v>154</v>
      </c>
      <c r="X111" s="180"/>
      <c r="Y111" s="180" t="s">
        <v>154</v>
      </c>
      <c r="Z111" s="158" t="s">
        <v>2922</v>
      </c>
      <c r="AA111" s="153" t="s">
        <v>6292</v>
      </c>
      <c r="AB111" s="153" t="s">
        <v>6293</v>
      </c>
      <c r="AC111" s="153" t="s">
        <v>321</v>
      </c>
      <c r="AD111" s="158" t="s">
        <v>160</v>
      </c>
      <c r="AE111" s="158" t="s">
        <v>6035</v>
      </c>
      <c r="AF111" s="158" t="s">
        <v>204</v>
      </c>
      <c r="AG111" s="164" t="s">
        <v>149</v>
      </c>
      <c r="AH111" s="158" t="s">
        <v>149</v>
      </c>
      <c r="AI111" s="153" t="s">
        <v>2924</v>
      </c>
      <c r="AJ111" s="153" t="s">
        <v>233</v>
      </c>
      <c r="AK111" s="158" t="s">
        <v>6068</v>
      </c>
      <c r="AL111" s="3" t="s">
        <v>149</v>
      </c>
      <c r="AM111" s="3" t="s">
        <v>149</v>
      </c>
      <c r="AN111" s="3" t="s">
        <v>149</v>
      </c>
      <c r="AO111" s="156">
        <v>2.0</v>
      </c>
      <c r="AP111" s="156" t="s">
        <v>6264</v>
      </c>
      <c r="AQ111" s="158" t="s">
        <v>6214</v>
      </c>
      <c r="AR111" s="153" t="s">
        <v>2925</v>
      </c>
      <c r="AS111" s="165" t="s">
        <v>2926</v>
      </c>
      <c r="AT111" s="153" t="s">
        <v>2927</v>
      </c>
      <c r="AU111" s="3" t="s">
        <v>149</v>
      </c>
    </row>
    <row r="112">
      <c r="A112" s="186">
        <v>56.0</v>
      </c>
      <c r="B112" s="152">
        <v>2023.0</v>
      </c>
      <c r="D112" s="152"/>
      <c r="E112" s="151">
        <v>56.0</v>
      </c>
      <c r="F112" s="129" t="s">
        <v>140</v>
      </c>
      <c r="G112" s="3" t="s">
        <v>6029</v>
      </c>
      <c r="H112" s="8" t="str">
        <f>IFERROR(__xludf.DUMMYFUNCTION("""COMPUTED_VALUE"""),"")</f>
        <v/>
      </c>
      <c r="I112" s="8" t="s">
        <v>6294</v>
      </c>
      <c r="J112" s="8" t="s">
        <v>143</v>
      </c>
      <c r="K112" s="8" t="s">
        <v>144</v>
      </c>
      <c r="L112" s="8" t="s">
        <v>230</v>
      </c>
      <c r="M112" s="173" t="s">
        <v>231</v>
      </c>
      <c r="N112" s="8" t="s">
        <v>6221</v>
      </c>
      <c r="O112" s="8" t="s">
        <v>197</v>
      </c>
      <c r="P112" s="8" t="s">
        <v>6295</v>
      </c>
      <c r="Q112" s="142" t="s">
        <v>6089</v>
      </c>
      <c r="R112" s="142" t="s">
        <v>6089</v>
      </c>
      <c r="S112" s="142" t="s">
        <v>6268</v>
      </c>
      <c r="T112" s="8"/>
      <c r="U112" s="8">
        <f>IFERROR(__xludf.DUMMYFUNCTION("""COMPUTED_VALUE"""),94.0)</f>
        <v>94</v>
      </c>
      <c r="V112" s="8"/>
      <c r="W112" s="8"/>
      <c r="X112" s="8"/>
      <c r="Y112" s="8"/>
      <c r="AA112" s="8" t="s">
        <v>6296</v>
      </c>
      <c r="AB112" s="8" t="s">
        <v>6297</v>
      </c>
      <c r="AC112" s="8" t="s">
        <v>203</v>
      </c>
      <c r="AG112" s="3" t="s">
        <v>149</v>
      </c>
      <c r="AH112" s="3" t="s">
        <v>149</v>
      </c>
      <c r="AI112" s="3" t="s">
        <v>149</v>
      </c>
      <c r="AJ112" s="8" t="s">
        <v>208</v>
      </c>
      <c r="AL112" s="8" t="s">
        <v>1833</v>
      </c>
      <c r="AM112" s="3" t="s">
        <v>149</v>
      </c>
      <c r="AN112" s="3" t="s">
        <v>149</v>
      </c>
      <c r="AO112" s="8"/>
      <c r="AP112" s="8"/>
      <c r="AR112" s="8" t="s">
        <v>6214</v>
      </c>
      <c r="AS112" s="172" t="s">
        <v>244</v>
      </c>
      <c r="AT112" s="8" t="s">
        <v>245</v>
      </c>
      <c r="AU112" s="3" t="s">
        <v>149</v>
      </c>
    </row>
    <row r="113">
      <c r="A113" s="186">
        <v>56.0</v>
      </c>
      <c r="B113" s="152">
        <v>2025.0</v>
      </c>
      <c r="C113" s="153" t="str">
        <f>CONCATENATE(D113, "-", M113, "-", A113)
</f>
        <v>2023-PH015505000-56</v>
      </c>
      <c r="D113" s="152">
        <f>IF(OR(F112="Published", F112="Unpublished"), 2023, IF(F112="New", 2025, ""))
</f>
        <v>2023</v>
      </c>
      <c r="E113" s="151">
        <v>56.0</v>
      </c>
      <c r="F113" s="156" t="s">
        <v>140</v>
      </c>
      <c r="G113" s="156" t="s">
        <v>141</v>
      </c>
      <c r="H113" s="153" t="str">
        <f>IFERROR(__xludf.DUMMYFUNCTION("""COMPUTED_VALUE"""),"**Restoration_project** changed from ACIAR Coral Reef Restoration Project to Unknown, **Restoration_project_short** changed from Enhanced larval supply and recruitment can replenish reef corals on degraded reefs to Site in Caniogan and Cabungan, **Year of"&amp;" establishment** changed from 2013 to 2015, **Project Start** changed from 2013 to Unknown, **Project End** changed from 2015 to Unknown, **Technique/Material Type** changed from Larval collection and culture; to Ex-situ nursery; outplanting, **Restoratio"&amp;"n objective** changed from Research; Test the effect of supplying large numbers of coral larvae on replicate degraded reef areas to Research; Feasibility of early outplanting of sexually propagated Acropora verweyi for coral reef restoration, **Funding ag"&amp;"ency** changed from ACIAR to Unknown, **Total units** changed from Unknown to 240 colonies, **Implementing institution** changed from Southern Cross University to UP MSI, **Partners_public** changed from University of the Philippines Diliman to Unknown, *"&amp;"*Reference** changed from Published article to Ligson, C., Tabalanza, T., Villanueva, R. &amp; Cabaitan, P. (2020). Feasibility of early outplanting of sexually propagated Acropora verweyi for coral reef restoration demonstrated in the Philippines. Restoratio"&amp;"n Ecology, 28(1). https://doi.org/10.1111/rec.13054, **Website** changed from https://www.researchgate.net/publication/320629634_Enhanced_larval_supply_and_recruitment_can_replenish_reef_corals_on_degraded_reefs; https://www.ncbi.nlm.nih.gov/pmc/articles/"&amp;"PMC7685485/ to https://onlinelibrary.wiley.com/doi/epdf/10.1111/rec.13054, **Contact_name** changed from Dr. Dexter dela Cruz to Charlon Ligson")</f>
        <v>**Restoration_project** changed from ACIAR Coral Reef Restoration Project to Unknown, **Restoration_project_short** changed from Enhanced larval supply and recruitment can replenish reef corals on degraded reefs to Site in Caniogan and Cabungan, **Year of establishment** changed from 2013 to 2015, **Project Start** changed from 2013 to Unknown, **Project End** changed from 2015 to Unknown, **Technique/Material Type** changed from Larval collection and culture; to Ex-situ nursery; outplanting, **Restoration objective** changed from Research; Test the effect of supplying large numbers of coral larvae on replicate degraded reef areas to Research; Feasibility of early outplanting of sexually propagated Acropora verweyi for coral reef restoration, **Funding agency** changed from ACIAR to Unknown, **Total units** changed from Unknown to 240 colonies, **Implementing institution** changed from Southern Cross University to UP MSI, **Partners_public** changed from University of the Philippines Diliman to Unknown, **Reference** changed from Published article to Ligson, C., Tabalanza, T., Villanueva, R. &amp; Cabaitan, P. (2020). Feasibility of early outplanting of sexually propagated Acropora verweyi for coral reef restoration demonstrated in the Philippines. Restoration Ecology, 28(1). https://doi.org/10.1111/rec.13054, **Website** changed from https://www.researchgate.net/publication/320629634_Enhanced_larval_supply_and_recruitment_can_replenish_reef_corals_on_degraded_reefs; https://www.ncbi.nlm.nih.gov/pmc/articles/PMC7685485/ to https://onlinelibrary.wiley.com/doi/epdf/10.1111/rec.13054, **Contact_name** changed from Dr. Dexter dela Cruz to Charlon Ligson</v>
      </c>
      <c r="I113" s="153" t="s">
        <v>6298</v>
      </c>
      <c r="J113" s="153" t="s">
        <v>143</v>
      </c>
      <c r="K113" s="153" t="s">
        <v>144</v>
      </c>
      <c r="L113" s="153" t="s">
        <v>230</v>
      </c>
      <c r="M113" s="157" t="s">
        <v>231</v>
      </c>
      <c r="N113" s="153" t="s">
        <v>6221</v>
      </c>
      <c r="O113" s="158" t="s">
        <v>149</v>
      </c>
      <c r="P113" s="153" t="s">
        <v>2929</v>
      </c>
      <c r="Q113" s="169">
        <v>2015.0</v>
      </c>
      <c r="R113" s="160" t="s">
        <v>149</v>
      </c>
      <c r="S113" s="160" t="s">
        <v>149</v>
      </c>
      <c r="T113" s="156" t="s">
        <v>199</v>
      </c>
      <c r="U113" s="153">
        <f>IFERROR(__xludf.DUMMYFUNCTION("""COMPUTED_VALUE"""),95.0)</f>
        <v>95</v>
      </c>
      <c r="V113" s="191" t="s">
        <v>3299</v>
      </c>
      <c r="W113" s="184" t="s">
        <v>154</v>
      </c>
      <c r="X113" s="180"/>
      <c r="Y113" s="180" t="s">
        <v>154</v>
      </c>
      <c r="Z113" s="153" t="s">
        <v>6299</v>
      </c>
      <c r="AA113" s="158" t="s">
        <v>6300</v>
      </c>
      <c r="AB113" s="153" t="s">
        <v>6301</v>
      </c>
      <c r="AC113" s="158" t="s">
        <v>149</v>
      </c>
      <c r="AD113" s="158" t="s">
        <v>149</v>
      </c>
      <c r="AE113" s="158" t="s">
        <v>149</v>
      </c>
      <c r="AF113" s="158" t="s">
        <v>149</v>
      </c>
      <c r="AG113" s="164" t="s">
        <v>149</v>
      </c>
      <c r="AH113" s="158" t="s">
        <v>149</v>
      </c>
      <c r="AI113" s="153" t="s">
        <v>6302</v>
      </c>
      <c r="AJ113" s="153" t="s">
        <v>233</v>
      </c>
      <c r="AK113" s="158" t="s">
        <v>6068</v>
      </c>
      <c r="AL113" s="3" t="s">
        <v>149</v>
      </c>
      <c r="AM113" s="3" t="s">
        <v>149</v>
      </c>
      <c r="AN113" s="3" t="s">
        <v>149</v>
      </c>
      <c r="AO113" s="156">
        <v>1.0</v>
      </c>
      <c r="AP113" s="156" t="s">
        <v>6037</v>
      </c>
      <c r="AQ113" s="158" t="s">
        <v>6214</v>
      </c>
      <c r="AR113" s="153" t="s">
        <v>6303</v>
      </c>
      <c r="AS113" s="177" t="s">
        <v>2934</v>
      </c>
      <c r="AT113" s="153" t="s">
        <v>2935</v>
      </c>
      <c r="AU113" s="3" t="s">
        <v>149</v>
      </c>
    </row>
    <row r="114">
      <c r="A114" s="186">
        <v>57.0</v>
      </c>
      <c r="B114" s="152">
        <v>2023.0</v>
      </c>
      <c r="D114" s="152"/>
      <c r="E114" s="151">
        <v>57.0</v>
      </c>
      <c r="F114" s="129" t="s">
        <v>140</v>
      </c>
      <c r="G114" s="3" t="s">
        <v>6029</v>
      </c>
      <c r="H114" s="8" t="str">
        <f>IFERROR(__xludf.DUMMYFUNCTION("""COMPUTED_VALUE"""),"")</f>
        <v/>
      </c>
      <c r="I114" s="8" t="s">
        <v>6304</v>
      </c>
      <c r="J114" s="8" t="s">
        <v>143</v>
      </c>
      <c r="K114" s="8" t="s">
        <v>144</v>
      </c>
      <c r="L114" s="8" t="s">
        <v>230</v>
      </c>
      <c r="M114" s="173" t="s">
        <v>231</v>
      </c>
      <c r="N114" s="8" t="s">
        <v>6221</v>
      </c>
      <c r="O114" s="8" t="s">
        <v>6305</v>
      </c>
      <c r="P114" s="3" t="s">
        <v>247</v>
      </c>
      <c r="Q114" s="142" t="s">
        <v>6064</v>
      </c>
      <c r="R114" s="142" t="s">
        <v>6064</v>
      </c>
      <c r="S114" s="142" t="s">
        <v>6273</v>
      </c>
      <c r="T114" s="8"/>
      <c r="U114" s="8">
        <f>IFERROR(__xludf.DUMMYFUNCTION("""COMPUTED_VALUE"""),96.0)</f>
        <v>96</v>
      </c>
      <c r="V114" s="8"/>
      <c r="W114" s="8"/>
      <c r="X114" s="8"/>
      <c r="Y114" s="8"/>
      <c r="AA114" s="8" t="s">
        <v>6306</v>
      </c>
      <c r="AB114" s="8" t="s">
        <v>6307</v>
      </c>
      <c r="AC114" s="8" t="s">
        <v>203</v>
      </c>
      <c r="AG114" s="3" t="s">
        <v>149</v>
      </c>
      <c r="AH114" s="3" t="s">
        <v>149</v>
      </c>
      <c r="AI114" s="3" t="s">
        <v>149</v>
      </c>
      <c r="AJ114" s="8" t="s">
        <v>208</v>
      </c>
      <c r="AL114" s="8" t="s">
        <v>1833</v>
      </c>
      <c r="AM114" s="3" t="s">
        <v>149</v>
      </c>
      <c r="AN114" s="3" t="s">
        <v>149</v>
      </c>
      <c r="AO114" s="8"/>
      <c r="AP114" s="8"/>
      <c r="AR114" s="8" t="s">
        <v>6214</v>
      </c>
      <c r="AS114" s="172" t="s">
        <v>251</v>
      </c>
      <c r="AT114" s="8" t="s">
        <v>252</v>
      </c>
      <c r="AU114" s="3" t="s">
        <v>149</v>
      </c>
    </row>
    <row r="115">
      <c r="A115" s="186">
        <v>57.0</v>
      </c>
      <c r="B115" s="152">
        <v>2025.0</v>
      </c>
      <c r="C115" s="153" t="str">
        <f>CONCATENATE(D115, "-", M115, "-", A115)
</f>
        <v>2023-PH015508000-57</v>
      </c>
      <c r="D115" s="152">
        <f>IF(OR(F114="Published", F114="Unpublished"), 2023, IF(F114="New", 2025, ""))
</f>
        <v>2023</v>
      </c>
      <c r="E115" s="151">
        <v>57.0</v>
      </c>
      <c r="F115" s="156" t="s">
        <v>140</v>
      </c>
      <c r="G115" s="156" t="s">
        <v>141</v>
      </c>
      <c r="H115" s="153" t="str">
        <f>IFERROR(__xludf.DUMMYFUNCTION("""COMPUTED_VALUE"""),"**Restoration_project** changed from ACIAR Coral Reef Restoration Project (FIS/2014/063) to Artificial Reef Development Program, **Restoration_project_short** changed from Site in Magsaysay Reef to Site in Centro Toma, **Year of establishment** changed fr"&amp;"om 2016 to 1985, **Project Start** changed from 2016 to 1985, **Project End** changed from 2019 to 1987, **Restoration method** changed from Sexual Reproduction to Artificial Reef, **Technique/Material Type** changed from Larval collection; to tires, **Re"&amp;"storation objective** changed from Research; Build on pilot study to quantify effects of increased larval supply, assess long term restoration outcomes and develop techniques for capturing large volume of coral spaws to Unknown, **Funding agency** changed"&amp;" from ACIAR to BFAR, **Total units** changed from Unknown to 6 TM, **Implementing institution** changed from Southern Cross University to BFAR, **Partners_public** changed from University of the Philippines Diliman to Ministry of Human Settlements, **Part"&amp;"ners_communities** changed from Unknown to Samahang Kabuhayan, **Reference** changed from Published article to Balgos, M.C. (1995). Evaluation of artificial reef development in the Philippines. In Munro, J.L. &amp; Balgos, M. (eds.) Artificial reefs in the Ph"&amp;"ilippines. ICLARM Conf. Proc. 49, pp. 6-22., **Website** changed from https://www.researchgate.net/publication/356725969_Increased_Coral_Larval_Supply_Enhances_Recruitment_for_Coral_and_Fish_Habitat_Restoration to https://core.ac.uk/download/pdf/6515223.p"&amp;"df; https://www.ircwash.org/sites/default/files/802-PH90-8920.pdf, **Contact_name** changed from Dr. Peter Harrison / Dr. Dexter dela Cruz to Miriam Balgos")</f>
        <v>**Restoration_project** changed from ACIAR Coral Reef Restoration Project (FIS/2014/063) to Artificial Reef Development Program, **Restoration_project_short** changed from Site in Magsaysay Reef to Site in Centro Toma, **Year of establishment** changed from 2016 to 1985, **Project Start** changed from 2016 to 1985, **Project End** changed from 2019 to 1987, **Restoration method** changed from Sexual Reproduction to Artificial Reef, **Technique/Material Type** changed from Larval collection; to tires, **Restoration objective** changed from Research; Build on pilot study to quantify effects of increased larval supply, assess long term restoration outcomes and develop techniques for capturing large volume of coral spaws to Unknown, **Funding agency** changed from ACIAR to BFAR, **Total units** changed from Unknown to 6 TM, **Implementing institution** changed from Southern Cross University to BFAR, **Partners_public** changed from University of the Philippines Diliman to Ministry of Human Settlements, **Partners_communities** changed from Unknown to Samahang Kabuhayan, **Reference** changed from Published article to Balgos, M.C. (1995). Evaluation of artificial reef development in the Philippines. In Munro, J.L. &amp; Balgos, M. (eds.) Artificial reefs in the Philippines. ICLARM Conf. Proc. 49, pp. 6-22., **Website** changed from https://www.researchgate.net/publication/356725969_Increased_Coral_Larval_Supply_Enhances_Recruitment_for_Coral_and_Fish_Habitat_Restoration to https://core.ac.uk/download/pdf/6515223.pdf; https://www.ircwash.org/sites/default/files/802-PH90-8920.pdf, **Contact_name** changed from Dr. Peter Harrison / Dr. Dexter dela Cruz to Miriam Balgos</v>
      </c>
      <c r="I115" s="153" t="s">
        <v>6308</v>
      </c>
      <c r="J115" s="153" t="s">
        <v>143</v>
      </c>
      <c r="K115" s="153" t="s">
        <v>144</v>
      </c>
      <c r="L115" s="153" t="s">
        <v>463</v>
      </c>
      <c r="M115" s="157" t="s">
        <v>464</v>
      </c>
      <c r="N115" s="153" t="s">
        <v>151</v>
      </c>
      <c r="O115" s="153" t="s">
        <v>384</v>
      </c>
      <c r="P115" s="153" t="s">
        <v>465</v>
      </c>
      <c r="Q115" s="169">
        <v>1985.0</v>
      </c>
      <c r="R115" s="175" t="s">
        <v>6052</v>
      </c>
      <c r="S115" s="175" t="s">
        <v>6053</v>
      </c>
      <c r="T115" s="161" t="s">
        <v>150</v>
      </c>
      <c r="U115" s="153">
        <f>IFERROR(__xludf.DUMMYFUNCTION("""COMPUTED_VALUE"""),97.0)</f>
        <v>97</v>
      </c>
      <c r="V115" s="162" t="s">
        <v>3311</v>
      </c>
      <c r="W115" s="170" t="s">
        <v>6059</v>
      </c>
      <c r="X115" s="28" t="s">
        <v>6033</v>
      </c>
      <c r="Y115" s="28" t="s">
        <v>386</v>
      </c>
      <c r="Z115" s="176" t="s">
        <v>386</v>
      </c>
      <c r="AA115" s="153" t="s">
        <v>6054</v>
      </c>
      <c r="AB115" s="158" t="s">
        <v>149</v>
      </c>
      <c r="AC115" s="153" t="s">
        <v>390</v>
      </c>
      <c r="AD115" s="158" t="s">
        <v>160</v>
      </c>
      <c r="AE115" s="158" t="s">
        <v>6035</v>
      </c>
      <c r="AF115" s="158" t="s">
        <v>159</v>
      </c>
      <c r="AG115" s="164" t="s">
        <v>149</v>
      </c>
      <c r="AH115" s="158" t="s">
        <v>149</v>
      </c>
      <c r="AI115" s="153" t="s">
        <v>450</v>
      </c>
      <c r="AJ115" s="153" t="s">
        <v>390</v>
      </c>
      <c r="AK115" s="153" t="s">
        <v>6035</v>
      </c>
      <c r="AL115" s="153" t="s">
        <v>6055</v>
      </c>
      <c r="AM115" s="3" t="s">
        <v>149</v>
      </c>
      <c r="AN115" s="153" t="s">
        <v>6056</v>
      </c>
      <c r="AO115" s="156">
        <v>1.0</v>
      </c>
      <c r="AP115" s="156" t="s">
        <v>6037</v>
      </c>
      <c r="AQ115" s="158" t="s">
        <v>395</v>
      </c>
      <c r="AR115" s="153" t="s">
        <v>6060</v>
      </c>
      <c r="AS115" s="158" t="s">
        <v>397</v>
      </c>
      <c r="AT115" s="153" t="s">
        <v>398</v>
      </c>
      <c r="AU115" s="3" t="s">
        <v>149</v>
      </c>
    </row>
    <row r="116">
      <c r="A116" s="186">
        <v>58.0</v>
      </c>
      <c r="B116" s="152">
        <v>2023.0</v>
      </c>
      <c r="D116" s="152"/>
      <c r="E116" s="151">
        <v>58.0</v>
      </c>
      <c r="F116" s="129" t="s">
        <v>140</v>
      </c>
      <c r="G116" s="3" t="s">
        <v>6029</v>
      </c>
      <c r="H116" s="8" t="str">
        <f>IFERROR(__xludf.DUMMYFUNCTION("""COMPUTED_VALUE"""),"")</f>
        <v/>
      </c>
      <c r="I116" s="8" t="s">
        <v>6309</v>
      </c>
      <c r="J116" s="8" t="s">
        <v>143</v>
      </c>
      <c r="K116" s="8" t="s">
        <v>144</v>
      </c>
      <c r="L116" s="8" t="s">
        <v>230</v>
      </c>
      <c r="M116" s="173" t="s">
        <v>231</v>
      </c>
      <c r="N116" s="8" t="s">
        <v>6221</v>
      </c>
      <c r="O116" s="3" t="s">
        <v>149</v>
      </c>
      <c r="P116" s="8" t="s">
        <v>6310</v>
      </c>
      <c r="Q116" s="142" t="s">
        <v>6064</v>
      </c>
      <c r="R116" s="3" t="s">
        <v>149</v>
      </c>
      <c r="S116" s="3" t="s">
        <v>149</v>
      </c>
      <c r="T116" s="8"/>
      <c r="U116" s="8">
        <f>IFERROR(__xludf.DUMMYFUNCTION("""COMPUTED_VALUE"""),98.0)</f>
        <v>98</v>
      </c>
      <c r="V116" s="8"/>
      <c r="W116" s="8"/>
      <c r="X116" s="8"/>
      <c r="Y116" s="8"/>
      <c r="AA116" s="8" t="s">
        <v>2913</v>
      </c>
      <c r="AB116" s="8" t="s">
        <v>6311</v>
      </c>
      <c r="AC116" s="8" t="s">
        <v>321</v>
      </c>
      <c r="AG116" s="3" t="s">
        <v>149</v>
      </c>
      <c r="AH116" s="3" t="s">
        <v>149</v>
      </c>
      <c r="AI116" s="8" t="s">
        <v>2915</v>
      </c>
      <c r="AJ116" s="8" t="s">
        <v>233</v>
      </c>
      <c r="AL116" s="3" t="s">
        <v>149</v>
      </c>
      <c r="AM116" s="3" t="s">
        <v>149</v>
      </c>
      <c r="AN116" s="3" t="s">
        <v>149</v>
      </c>
      <c r="AO116" s="8"/>
      <c r="AP116" s="8"/>
      <c r="AR116" s="8" t="s">
        <v>6214</v>
      </c>
      <c r="AS116" s="172" t="s">
        <v>2917</v>
      </c>
      <c r="AT116" s="8" t="s">
        <v>2918</v>
      </c>
      <c r="AU116" s="3" t="s">
        <v>149</v>
      </c>
    </row>
    <row r="117">
      <c r="A117" s="186">
        <v>58.0</v>
      </c>
      <c r="B117" s="152">
        <v>2025.0</v>
      </c>
      <c r="C117" s="153" t="str">
        <f>CONCATENATE(D117, "-", M117, "-", A117)
</f>
        <v>2023-PH015508000-58</v>
      </c>
      <c r="D117" s="152">
        <f>IF(OR(F116="Published", F116="Unpublished"), 2023, IF(F116="New", 2025, ""))
</f>
        <v>2023</v>
      </c>
      <c r="E117" s="151">
        <v>58.0</v>
      </c>
      <c r="F117" s="156" t="s">
        <v>140</v>
      </c>
      <c r="G117" s="156" t="s">
        <v>141</v>
      </c>
      <c r="H117" s="153" t="str">
        <f>IFERROR(__xludf.DUMMYFUNCTION("""COMPUTED_VALUE"""),"**Restoration_project** changed from Unknown to Artificial Reef Development Program, **Restoration_project_short** changed from Successfully cultured and reared coral embryos from wild caugh spawn slick in the Philippines to Site in Surip, **Year of estab"&amp;"lishment** changed from 2016 to 1985, **Project Start** changed from Unknown to 1985, **Project End** changed from Unknown to 1987, **Restoration method** changed from Sexual Reproduction to Artificial Reef, **Technique/Material Type** changed from Larval"&amp;" collection; in situ nursery; ""coral plug-ins""; transplantation to tires; bamboo, **Restoration objective** changed from Research; Understand early developmental stages of corals and establish parent colonies that can provide sustainable source of gamet"&amp;"es to Unknown, **Funding agency** changed from DOST-PCAARRD to BFAR, **Total units** changed from 270 plug-ins to 14 TM and 1 BM, **Implementing institution** changed from UP MSI to BFAR, **Partners_public** changed from Unknown to Ministry of Human Settl"&amp;"ements, **Reference** changed from Published article to Balgos, M.C. (1995). Evaluation of artificial reef development in the Philippines. In Munro, J.L. &amp; Balgos, M. (eds.) Artificial reefs in the Philippines. ICLARM Conf. Proc. 49, pp. 6-22., **Website*"&amp;"* changed from https://www.sciencedirect.com/science/article/abs/pii/S0044848619332533 to https://core.ac.uk/download/pdf/6515223.pdf; https://www.ircwash.org/sites/default/files/802-PH90-8920.pdf, **Contact_name** changed from Tracy D. Tablanza to Miriam"&amp;" Balgos")</f>
        <v>**Restoration_project** changed from Unknown to Artificial Reef Development Program, **Restoration_project_short** changed from Successfully cultured and reared coral embryos from wild caugh spawn slick in the Philippines to Site in Surip, **Year of establishment** changed from 2016 to 1985, **Project Start** changed from Unknown to 1985, **Project End** changed from Unknown to 1987, **Restoration method** changed from Sexual Reproduction to Artificial Reef, **Technique/Material Type** changed from Larval collection; in situ nursery; "coral plug-ins"; transplantation to tires; bamboo, **Restoration objective** changed from Research; Understand early developmental stages of corals and establish parent colonies that can provide sustainable source of gametes to Unknown, **Funding agency** changed from DOST-PCAARRD to BFAR, **Total units** changed from 270 plug-ins to 14 TM and 1 BM, **Implementing institution** changed from UP MSI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https://www.sciencedirect.com/science/article/abs/pii/S0044848619332533 to https://core.ac.uk/download/pdf/6515223.pdf; https://www.ircwash.org/sites/default/files/802-PH90-8920.pdf, **Contact_name** changed from Tracy D. Tablanza to Miriam Balgos</v>
      </c>
      <c r="I117" s="153" t="s">
        <v>6312</v>
      </c>
      <c r="J117" s="153" t="s">
        <v>143</v>
      </c>
      <c r="K117" s="153" t="s">
        <v>144</v>
      </c>
      <c r="L117" s="153" t="s">
        <v>463</v>
      </c>
      <c r="M117" s="157" t="s">
        <v>464</v>
      </c>
      <c r="N117" s="153" t="s">
        <v>151</v>
      </c>
      <c r="O117" s="153" t="s">
        <v>384</v>
      </c>
      <c r="P117" s="153" t="s">
        <v>6313</v>
      </c>
      <c r="Q117" s="169">
        <v>1985.0</v>
      </c>
      <c r="R117" s="175" t="s">
        <v>6052</v>
      </c>
      <c r="S117" s="175" t="s">
        <v>6053</v>
      </c>
      <c r="T117" s="161" t="s">
        <v>150</v>
      </c>
      <c r="U117" s="153">
        <f>IFERROR(__xludf.DUMMYFUNCTION("""COMPUTED_VALUE"""),99.0)</f>
        <v>99</v>
      </c>
      <c r="V117" s="162" t="s">
        <v>3311</v>
      </c>
      <c r="W117" s="179" t="s">
        <v>6081</v>
      </c>
      <c r="X117" s="28" t="s">
        <v>6082</v>
      </c>
      <c r="Y117" s="32" t="s">
        <v>468</v>
      </c>
      <c r="Z117" s="158" t="s">
        <v>469</v>
      </c>
      <c r="AA117" s="153" t="s">
        <v>469</v>
      </c>
      <c r="AB117" s="158" t="s">
        <v>149</v>
      </c>
      <c r="AC117" s="153" t="s">
        <v>390</v>
      </c>
      <c r="AD117" s="158" t="s">
        <v>160</v>
      </c>
      <c r="AE117" s="158" t="s">
        <v>6035</v>
      </c>
      <c r="AF117" s="158" t="s">
        <v>159</v>
      </c>
      <c r="AG117" s="164" t="s">
        <v>149</v>
      </c>
      <c r="AH117" s="158" t="s">
        <v>149</v>
      </c>
      <c r="AI117" s="153" t="s">
        <v>6314</v>
      </c>
      <c r="AJ117" s="153" t="s">
        <v>390</v>
      </c>
      <c r="AK117" s="153" t="s">
        <v>6035</v>
      </c>
      <c r="AL117" s="153" t="s">
        <v>6055</v>
      </c>
      <c r="AM117" s="3" t="s">
        <v>149</v>
      </c>
      <c r="AN117" s="3" t="s">
        <v>149</v>
      </c>
      <c r="AO117" s="156">
        <v>1.0</v>
      </c>
      <c r="AP117" s="156" t="s">
        <v>6037</v>
      </c>
      <c r="AQ117" s="158" t="s">
        <v>395</v>
      </c>
      <c r="AR117" s="153" t="s">
        <v>6060</v>
      </c>
      <c r="AS117" s="158" t="s">
        <v>397</v>
      </c>
      <c r="AT117" s="153" t="s">
        <v>398</v>
      </c>
      <c r="AU117" s="3" t="s">
        <v>149</v>
      </c>
    </row>
    <row r="118">
      <c r="A118" s="186">
        <v>59.0</v>
      </c>
      <c r="B118" s="152">
        <v>2023.0</v>
      </c>
      <c r="D118" s="152"/>
      <c r="E118" s="151">
        <v>59.0</v>
      </c>
      <c r="F118" s="129" t="s">
        <v>140</v>
      </c>
      <c r="G118" s="3" t="s">
        <v>6029</v>
      </c>
      <c r="H118" s="8" t="str">
        <f>IFERROR(__xludf.DUMMYFUNCTION("""COMPUTED_VALUE"""),"")</f>
        <v/>
      </c>
      <c r="I118" s="8" t="s">
        <v>6315</v>
      </c>
      <c r="J118" s="8" t="s">
        <v>143</v>
      </c>
      <c r="K118" s="8" t="s">
        <v>144</v>
      </c>
      <c r="L118" s="8" t="s">
        <v>230</v>
      </c>
      <c r="M118" s="173" t="s">
        <v>231</v>
      </c>
      <c r="N118" s="8" t="s">
        <v>6259</v>
      </c>
      <c r="O118" s="3" t="s">
        <v>149</v>
      </c>
      <c r="P118" s="8" t="s">
        <v>6316</v>
      </c>
      <c r="Q118" s="142" t="s">
        <v>6042</v>
      </c>
      <c r="R118" s="142" t="s">
        <v>6114</v>
      </c>
      <c r="S118" s="142" t="s">
        <v>6151</v>
      </c>
      <c r="T118" s="8"/>
      <c r="U118" s="8">
        <f>IFERROR(__xludf.DUMMYFUNCTION("""COMPUTED_VALUE"""),100.0)</f>
        <v>100</v>
      </c>
      <c r="V118" s="8"/>
      <c r="W118" s="8"/>
      <c r="X118" s="8"/>
      <c r="Y118" s="8"/>
      <c r="AA118" s="8" t="s">
        <v>6317</v>
      </c>
      <c r="AB118" s="8" t="s">
        <v>6318</v>
      </c>
      <c r="AC118" s="8" t="s">
        <v>321</v>
      </c>
      <c r="AG118" s="3" t="s">
        <v>149</v>
      </c>
      <c r="AH118" s="3" t="s">
        <v>149</v>
      </c>
      <c r="AI118" s="8" t="s">
        <v>2924</v>
      </c>
      <c r="AJ118" s="8" t="s">
        <v>233</v>
      </c>
      <c r="AL118" s="3" t="s">
        <v>149</v>
      </c>
      <c r="AM118" s="3" t="s">
        <v>149</v>
      </c>
      <c r="AN118" s="3" t="s">
        <v>149</v>
      </c>
      <c r="AO118" s="8"/>
      <c r="AP118" s="8"/>
      <c r="AR118" s="8" t="s">
        <v>6214</v>
      </c>
      <c r="AS118" s="8" t="s">
        <v>2926</v>
      </c>
      <c r="AT118" s="8" t="s">
        <v>2927</v>
      </c>
      <c r="AU118" s="3" t="s">
        <v>149</v>
      </c>
    </row>
    <row r="119">
      <c r="A119" s="186">
        <v>59.0</v>
      </c>
      <c r="B119" s="152">
        <v>2025.0</v>
      </c>
      <c r="C119" s="153" t="str">
        <f>CONCATENATE(D119, "-", M119, "-", A119)
</f>
        <v>2023-PH015514000-59</v>
      </c>
      <c r="D119" s="152">
        <f>IF(OR(F118="Published", F118="Unpublished"), 2023, IF(F118="New", 2025, ""))
</f>
        <v>2023</v>
      </c>
      <c r="E119" s="151">
        <v>59.0</v>
      </c>
      <c r="F119" s="156" t="s">
        <v>140</v>
      </c>
      <c r="G119" s="156" t="s">
        <v>141</v>
      </c>
      <c r="H119" s="153" t="str">
        <f>IFERROR(__xludf.DUMMYFUNCTION("""COMPUTED_VALUE"""),"**Restoration_project_short** changed from Site at Marcos sandbar; Performance and cost-effectiveness of sexually produced Acropora granulosa juveniles compared with asexually generated coral fragments in restoring degraded reefs to Unknown, **Year of est"&amp;"ablishment** changed from 2011 to 1978, **Project Start** changed from 2010 to Unknown, **Project End** changed from 2012 to Unknown, **Restoration method** changed from Sexual Reproduction; Asexual Reproduction to Artificial Reef, **Technique/Material Ty"&amp;"pe** changed from Larval collection; hatchery rearing; in situ nursery; out-planting to tires, **Restoration objective** changed from Research; Evaluate and compare the performance of sexually and asexually derived colonies of A. granulosa in terms of gro"&amp;"wth and survivorship to Experimental, **Funding agency** changed from DOST-PCAARRD to US Peace Corps, **Total units** changed from 150 juveniles; 150 nubbins to 80 modules, **Partners_public** changed from Unknown to Ministry of Human Settlements; Natural"&amp;" Resources Management Center, **Partners_private** changed from Unknown to Japan Overseas Cooperation Volunteers, **Reference** changed from Published article to Balgos, M.C. (1995). Evaluation of artificial reef development in the Philippines. In Munro, "&amp;"J.L. &amp; Balgos, M. (eds.) Artificial reefs in the Philippines. ICLARM Conf. Proc. 49, pp. 6-22., **Website** changed from https://www.researchgate.net/publication/333481989_Performance_and_cost-effectiveness_of_sexually_produced_Acropora_granulosa_juvenile"&amp;"s_compared_with_asexually_generated_coral_fragments_in_restoring_degraded_reef_areas to https://core.ac.uk/download/pdf/6515223.pdf; https://www.ircwash.org/sites/default/files/802-PH90-8920.pdf, **Contact_name** changed from Dr. Maria Vanessa Baria-Rodri"&amp;"guez to Miriam Balgos")</f>
        <v>**Restoration_project_short** changed from Site at Marcos sandbar; Performance and cost-effectiveness of sexually produced Acropora granulosa juveniles compared with asexually generated coral fragments in restoring degraded reefs to Unknown, **Year of establishment** changed from 2011 to 1978, **Project Start** changed from 2010 to Unknown, **Project End** changed from 2012 to Unknown, **Restoration method** changed from Sexual Reproduction; Asexual Reproduction to Artificial Reef, **Technique/Material Type** changed from Larval collection; hatchery rearing; in situ nursery; out-planting to tires, **Restoration objective** changed from Research; Evaluate and compare the performance of sexually and asexually derived colonies of A. granulosa in terms of growth and survivorship to Experimental, **Funding agency** changed from DOST-PCAARRD to US Peace Corps, **Total units** changed from 150 juveniles; 150 nubbins to 80 modules, **Partners_public** changed from Unknown to Ministry of Human Settlements; Natural Resources Management Center, **Partners_private** changed from Unknown to Japan Overseas Cooperation Volunteers, **Reference** changed from Published article to Balgos, M.C. (1995). Evaluation of artificial reef development in the Philippines. In Munro, J.L. &amp; Balgos, M. (eds.) Artificial reefs in the Philippines. ICLARM Conf. Proc. 49, pp. 6-22., **Website** changed from https://www.researchgate.net/publication/333481989_Performance_and_cost-effectiveness_of_sexually_produced_Acropora_granulosa_juveniles_compared_with_asexually_generated_coral_fragments_in_restoring_degraded_reef_areas to https://core.ac.uk/download/pdf/6515223.pdf; https://www.ircwash.org/sites/default/files/802-PH90-8920.pdf, **Contact_name** changed from Dr. Maria Vanessa Baria-Rodriguez to Miriam Balgos</v>
      </c>
      <c r="I119" s="153" t="s">
        <v>6319</v>
      </c>
      <c r="J119" s="153" t="s">
        <v>143</v>
      </c>
      <c r="K119" s="153" t="s">
        <v>144</v>
      </c>
      <c r="L119" s="153" t="s">
        <v>693</v>
      </c>
      <c r="M119" s="157" t="s">
        <v>694</v>
      </c>
      <c r="N119" s="153" t="s">
        <v>151</v>
      </c>
      <c r="O119" s="158" t="s">
        <v>149</v>
      </c>
      <c r="P119" s="3" t="s">
        <v>149</v>
      </c>
      <c r="Q119" s="169">
        <v>1978.0</v>
      </c>
      <c r="R119" s="160" t="s">
        <v>149</v>
      </c>
      <c r="S119" s="160" t="s">
        <v>149</v>
      </c>
      <c r="T119" s="161" t="s">
        <v>150</v>
      </c>
      <c r="U119" s="153">
        <f>IFERROR(__xludf.DUMMYFUNCTION("""COMPUTED_VALUE"""),101.0)</f>
        <v>101</v>
      </c>
      <c r="V119" s="162" t="s">
        <v>3311</v>
      </c>
      <c r="W119" s="170" t="s">
        <v>6059</v>
      </c>
      <c r="X119" s="28" t="s">
        <v>6033</v>
      </c>
      <c r="Y119" s="28" t="s">
        <v>386</v>
      </c>
      <c r="Z119" s="176" t="s">
        <v>386</v>
      </c>
      <c r="AA119" s="158" t="s">
        <v>6054</v>
      </c>
      <c r="AB119" s="153" t="s">
        <v>699</v>
      </c>
      <c r="AC119" s="153" t="s">
        <v>2111</v>
      </c>
      <c r="AD119" s="158" t="s">
        <v>6154</v>
      </c>
      <c r="AE119" s="158" t="s">
        <v>206</v>
      </c>
      <c r="AF119" s="158" t="s">
        <v>159</v>
      </c>
      <c r="AG119" s="164" t="s">
        <v>149</v>
      </c>
      <c r="AH119" s="158" t="s">
        <v>149</v>
      </c>
      <c r="AI119" s="153" t="s">
        <v>2938</v>
      </c>
      <c r="AJ119" s="158" t="s">
        <v>233</v>
      </c>
      <c r="AK119" s="158" t="s">
        <v>6068</v>
      </c>
      <c r="AL119" s="158" t="s">
        <v>6320</v>
      </c>
      <c r="AM119" s="158" t="s">
        <v>6321</v>
      </c>
      <c r="AN119" s="176" t="s">
        <v>149</v>
      </c>
      <c r="AO119" s="156">
        <v>1.0</v>
      </c>
      <c r="AP119" s="156" t="s">
        <v>6037</v>
      </c>
      <c r="AQ119" s="158" t="s">
        <v>395</v>
      </c>
      <c r="AR119" s="153" t="s">
        <v>6060</v>
      </c>
      <c r="AS119" s="158" t="s">
        <v>397</v>
      </c>
      <c r="AT119" s="153" t="s">
        <v>398</v>
      </c>
      <c r="AU119" s="3" t="s">
        <v>149</v>
      </c>
    </row>
    <row r="120">
      <c r="A120" s="186">
        <v>60.0</v>
      </c>
      <c r="B120" s="152">
        <v>2023.0</v>
      </c>
      <c r="D120" s="152"/>
      <c r="E120" s="151">
        <v>60.0</v>
      </c>
      <c r="F120" s="129" t="s">
        <v>140</v>
      </c>
      <c r="G120" s="3" t="s">
        <v>6029</v>
      </c>
      <c r="H120" s="8" t="str">
        <f>IFERROR(__xludf.DUMMYFUNCTION("""COMPUTED_VALUE"""),"")</f>
        <v/>
      </c>
      <c r="I120" s="8" t="s">
        <v>6322</v>
      </c>
      <c r="J120" s="8" t="s">
        <v>143</v>
      </c>
      <c r="K120" s="8" t="s">
        <v>144</v>
      </c>
      <c r="L120" s="8" t="s">
        <v>230</v>
      </c>
      <c r="M120" s="173" t="s">
        <v>231</v>
      </c>
      <c r="N120" s="8" t="s">
        <v>6221</v>
      </c>
      <c r="O120" s="3" t="s">
        <v>149</v>
      </c>
      <c r="P120" s="8" t="s">
        <v>6323</v>
      </c>
      <c r="Q120" s="142" t="s">
        <v>6268</v>
      </c>
      <c r="R120" s="3" t="s">
        <v>149</v>
      </c>
      <c r="S120" s="3" t="s">
        <v>149</v>
      </c>
      <c r="T120" s="8"/>
      <c r="U120" s="8">
        <f>IFERROR(__xludf.DUMMYFUNCTION("""COMPUTED_VALUE"""),102.0)</f>
        <v>102</v>
      </c>
      <c r="V120" s="8"/>
      <c r="W120" s="8"/>
      <c r="X120" s="8"/>
      <c r="Y120" s="8"/>
      <c r="AA120" s="8" t="s">
        <v>6324</v>
      </c>
      <c r="AB120" s="8" t="s">
        <v>204</v>
      </c>
      <c r="AC120" s="3" t="s">
        <v>149</v>
      </c>
      <c r="AG120" s="3" t="s">
        <v>149</v>
      </c>
      <c r="AH120" s="3" t="s">
        <v>149</v>
      </c>
      <c r="AI120" s="8" t="s">
        <v>6325</v>
      </c>
      <c r="AJ120" s="8" t="s">
        <v>233</v>
      </c>
      <c r="AL120" s="3" t="s">
        <v>149</v>
      </c>
      <c r="AM120" s="3" t="s">
        <v>149</v>
      </c>
      <c r="AN120" s="3" t="s">
        <v>149</v>
      </c>
      <c r="AO120" s="8"/>
      <c r="AP120" s="8"/>
      <c r="AR120" s="8" t="s">
        <v>6214</v>
      </c>
      <c r="AS120" s="8" t="s">
        <v>6326</v>
      </c>
      <c r="AT120" s="8" t="s">
        <v>2935</v>
      </c>
      <c r="AU120" s="3" t="s">
        <v>149</v>
      </c>
    </row>
    <row r="121">
      <c r="A121" s="186">
        <v>60.0</v>
      </c>
      <c r="B121" s="152">
        <v>2025.0</v>
      </c>
      <c r="C121" s="153" t="str">
        <f>CONCATENATE(D121, "-", M121, "-", A121)
</f>
        <v>2023-PH015514000-60</v>
      </c>
      <c r="D121" s="152">
        <f>IF(OR(F120="Published", F120="Unpublished"), 2023, IF(F120="New", 2025, ""))
</f>
        <v>2023</v>
      </c>
      <c r="E121" s="151">
        <v>60.0</v>
      </c>
      <c r="F121" s="156" t="s">
        <v>140</v>
      </c>
      <c r="G121" s="156" t="s">
        <v>141</v>
      </c>
      <c r="H121" s="153" t="str">
        <f>IFERROR(__xludf.DUMMYFUNCTION("""COMPUTED_VALUE"""),"**Restoration_project** changed from Unknown to Bolinao Coral Reef Targeted Research, **Restoration_project_short** changed from Site in Caniogan and Cabungan; Feasibility of early outplanting of sexually propagated Acropora verweyi for coral reef restora"&amp;"tion demonstrated in the Philippines to Unknown, **Year of establishment** changed from 2015 to 2004, **Project Start** changed from Unknown to 2004, **Project End** changed from Unknown to 2009, **Restoration method** changed from Sexual Reproduction to "&amp;"Asexual Reproduction, **Technique/Material Type** changed from Outplanting to CNU; coral planting, **Restoration objective** changed from Research to Unknown, **Total units** changed from 240 juveniles to Unknown, **Implementing institution** changed from"&amp;" UP MSI to Unknown, **Reference** changed from Published article to Mickelfield, A. (n.d.) An Evaluation of Coral Reef Restoration Methods &amp; Artificial Reefs. Retrieved from https://www.marineconservationphilippines.org/wp-content/uploads/2018/02/an-evalu"&amp;"ation-of-coral-reef-restoration-methods.pdf, **Website** changed from https://onlinelibrary.wiley.com/doi/10.1111/rec.13363 to https://www.marineconservationphilippines.org/wp-content/uploads/2018/02/an-evaluation-of-coral-reef-restoration-methods.pdf, **"&amp;"Contact_name** changed from Charlon Ligson to Marine Conservation Philippines")</f>
        <v>**Restoration_project** changed from Unknown to Bolinao Coral Reef Targeted Research, **Restoration_project_short** changed from Site in Caniogan and Cabungan; Feasibility of early outplanting of sexually propagated Acropora verweyi for coral reef restoration demonstrated in the Philippines to Unknown, **Year of establishment** changed from 2015 to 2004, **Project Start** changed from Unknown to 2004, **Project End** changed from Unknown to 2009, **Restoration method** changed from Sexual Reproduction to Asexual Reproduction, **Technique/Material Type** changed from Outplanting to CNU; coral planting, **Restoration objective** changed from Research to Unknown, **Total units** changed from 240 juveniles to Unknown, **Implementing institution** changed from UP MSI to Unknown, **Reference** changed from Published article to Mickelfield, A. (n.d.) An Evaluation of Coral Reef Restoration Methods &amp; Artificial Reefs. Retrieved from https://www.marineconservationphilippines.org/wp-content/uploads/2018/02/an-evaluation-of-coral-reef-restoration-methods.pdf, **Website** changed from https://onlinelibrary.wiley.com/doi/10.1111/rec.13363 to https://www.marineconservationphilippines.org/wp-content/uploads/2018/02/an-evaluation-of-coral-reef-restoration-methods.pdf, **Contact_name** changed from Charlon Ligson to Marine Conservation Philippines</v>
      </c>
      <c r="I121" s="153" t="s">
        <v>6327</v>
      </c>
      <c r="J121" s="153" t="s">
        <v>143</v>
      </c>
      <c r="K121" s="153" t="s">
        <v>144</v>
      </c>
      <c r="L121" s="153" t="s">
        <v>693</v>
      </c>
      <c r="M121" s="181" t="s">
        <v>694</v>
      </c>
      <c r="N121" s="153" t="s">
        <v>6062</v>
      </c>
      <c r="O121" s="153" t="s">
        <v>729</v>
      </c>
      <c r="P121" s="3" t="s">
        <v>149</v>
      </c>
      <c r="Q121" s="169">
        <v>2004.0</v>
      </c>
      <c r="R121" s="175" t="s">
        <v>6328</v>
      </c>
      <c r="S121" s="175" t="s">
        <v>6329</v>
      </c>
      <c r="T121" s="156" t="s">
        <v>177</v>
      </c>
      <c r="U121" s="153">
        <f>IFERROR(__xludf.DUMMYFUNCTION("""COMPUTED_VALUE"""),103.0)</f>
        <v>103</v>
      </c>
      <c r="V121" s="191" t="s">
        <v>1359</v>
      </c>
      <c r="W121" s="179" t="s">
        <v>6066</v>
      </c>
      <c r="X121" s="180"/>
      <c r="Y121" s="180" t="s">
        <v>154</v>
      </c>
      <c r="Z121" s="158" t="s">
        <v>730</v>
      </c>
      <c r="AA121" s="153" t="s">
        <v>730</v>
      </c>
      <c r="AB121" s="158" t="s">
        <v>149</v>
      </c>
      <c r="AC121" s="158" t="s">
        <v>149</v>
      </c>
      <c r="AD121" s="158" t="s">
        <v>149</v>
      </c>
      <c r="AE121" s="158" t="s">
        <v>149</v>
      </c>
      <c r="AF121" s="158" t="s">
        <v>149</v>
      </c>
      <c r="AG121" s="164" t="s">
        <v>149</v>
      </c>
      <c r="AH121" s="158" t="s">
        <v>149</v>
      </c>
      <c r="AI121" s="158" t="s">
        <v>149</v>
      </c>
      <c r="AJ121" s="158" t="s">
        <v>149</v>
      </c>
      <c r="AK121" s="158" t="s">
        <v>149</v>
      </c>
      <c r="AL121" s="3" t="s">
        <v>149</v>
      </c>
      <c r="AM121" s="3" t="s">
        <v>149</v>
      </c>
      <c r="AN121" s="3" t="s">
        <v>149</v>
      </c>
      <c r="AO121" s="156">
        <v>1.0</v>
      </c>
      <c r="AP121" s="156" t="s">
        <v>6037</v>
      </c>
      <c r="AQ121" s="153" t="s">
        <v>6084</v>
      </c>
      <c r="AR121" s="153" t="s">
        <v>732</v>
      </c>
      <c r="AS121" s="165" t="s">
        <v>733</v>
      </c>
      <c r="AT121" s="153" t="s">
        <v>734</v>
      </c>
      <c r="AU121" s="3" t="s">
        <v>149</v>
      </c>
    </row>
    <row r="122">
      <c r="A122" s="186">
        <v>61.0</v>
      </c>
      <c r="B122" s="152">
        <v>2023.0</v>
      </c>
      <c r="D122" s="152"/>
      <c r="E122" s="151">
        <v>61.0</v>
      </c>
      <c r="F122" s="129" t="s">
        <v>140</v>
      </c>
      <c r="G122" s="3" t="s">
        <v>6029</v>
      </c>
      <c r="H122" s="8" t="str">
        <f>IFERROR(__xludf.DUMMYFUNCTION("""COMPUTED_VALUE"""),"")</f>
        <v/>
      </c>
      <c r="I122" s="8" t="s">
        <v>6330</v>
      </c>
      <c r="J122" s="8" t="s">
        <v>143</v>
      </c>
      <c r="K122" s="8" t="s">
        <v>144</v>
      </c>
      <c r="L122" s="8" t="s">
        <v>463</v>
      </c>
      <c r="M122" s="153" t="s">
        <v>464</v>
      </c>
      <c r="N122" s="8" t="s">
        <v>151</v>
      </c>
      <c r="O122" s="8" t="s">
        <v>384</v>
      </c>
      <c r="P122" s="8" t="s">
        <v>465</v>
      </c>
      <c r="Q122" s="142" t="s">
        <v>6052</v>
      </c>
      <c r="R122" s="142" t="s">
        <v>6052</v>
      </c>
      <c r="S122" s="142" t="s">
        <v>6053</v>
      </c>
      <c r="T122" s="8"/>
      <c r="U122" s="8">
        <f>IFERROR(__xludf.DUMMYFUNCTION("""COMPUTED_VALUE"""),104.0)</f>
        <v>104</v>
      </c>
      <c r="V122" s="8"/>
      <c r="W122" s="8"/>
      <c r="X122" s="8"/>
      <c r="Y122" s="8"/>
      <c r="AA122" s="8" t="s">
        <v>6054</v>
      </c>
      <c r="AB122" s="3" t="s">
        <v>149</v>
      </c>
      <c r="AC122" s="8" t="s">
        <v>390</v>
      </c>
      <c r="AG122" s="3" t="s">
        <v>149</v>
      </c>
      <c r="AH122" s="3" t="s">
        <v>149</v>
      </c>
      <c r="AI122" s="8" t="s">
        <v>450</v>
      </c>
      <c r="AJ122" s="8" t="s">
        <v>390</v>
      </c>
      <c r="AL122" s="8" t="s">
        <v>6055</v>
      </c>
      <c r="AM122" s="3" t="s">
        <v>149</v>
      </c>
      <c r="AN122" s="8" t="s">
        <v>6056</v>
      </c>
      <c r="AO122" s="8"/>
      <c r="AP122" s="8"/>
      <c r="AR122" s="8" t="s">
        <v>6057</v>
      </c>
      <c r="AS122" s="8" t="s">
        <v>2873</v>
      </c>
      <c r="AT122" s="8" t="s">
        <v>398</v>
      </c>
      <c r="AU122" s="3" t="s">
        <v>149</v>
      </c>
    </row>
    <row r="123">
      <c r="A123" s="186">
        <v>61.0</v>
      </c>
      <c r="B123" s="152">
        <v>2025.0</v>
      </c>
      <c r="C123" s="153" t="str">
        <f>CONCATENATE(D123, "-", M123, "-", A123)
</f>
        <v>2023-PH015514000-61</v>
      </c>
      <c r="D123" s="152">
        <f>IF(OR(F122="Published", F122="Unpublished"), 2023, IF(F122="New", 2025, ""))
</f>
        <v>2023</v>
      </c>
      <c r="E123" s="151">
        <v>61.0</v>
      </c>
      <c r="F123" s="156" t="s">
        <v>140</v>
      </c>
      <c r="G123" s="156" t="s">
        <v>141</v>
      </c>
      <c r="H123" s="153" t="str">
        <f>IFERROR(__xludf.DUMMYFUNCTION("""COMPUTED_VALUE"""),"**Restoration_project** changed from Artificial Reef Development Program to ASEAN Australia Economic Cooperation Program Living Coastal Resources Project, **Restoration_project_short** changed from Site in Centro Toma to Site at Silaqui Island and Guiguiw"&amp;"anen Bay (E 119.875, 120: N 16.375, 16.4583333), **Year of establishment** changed from 1985 to 1991, **Project Start** changed from 1985 to 1991, **Project End** changed from 1987 to 1991, **Technique/Material Type** changed from tires to Concrete tent-l"&amp;"ike, **Restoration objective** changed from Unknown to Experimental, **Funding agency** changed from BFAR to ASEAN Australia Economic Cooperation Program Living Coastal Resources Project, **Total units** changed from 6 TM to 4 blocks, **Implementing insti"&amp;"tution** changed from BFAR to UP MSI, **Partners_public** changed from Ministry of Human Settlements to Unknown, **Partners_communities** changed from Samahang Kabuhayan to Unknown, **Reference** changed from Conference Proceediing to Pamintuan, I., Alino"&amp;", P., Gomez, E., &amp; Rollon, R. (1994). Early Successional Patterns of Invertebrates in Artificial Reefs Established at Clear and Silty Areas in Bolinao, Pangasinan, Northern Philippines. Bulletin of Marine Science, 55(2-3), 867-877. Retrieved from https://"&amp;"www.researchgate.net/publication/233624454_Early_Successional_Patterns_of_Invertebrates_in_Artificial_Reefs_Established_at_Clear_and_Silty_Areas_in_Bolinao_Pangasinan_Northern_Philippines, **Website** changed from http://pubs.iclarm.net/libinfo/Pdf/Pub%20"&amp;"CP6%2049.pdf to https://www.researchgate.net/publication/233624454_Early_Successional_Patterns_of_Invertebrates_in_Artificial_Reefs_Established_at_Clear_and_Silty_Areas_in_Bolinao_Pangasinan_Northern_Philippines; https://www.academia.edu/49933389/Early_su"&amp;"ccessional_patterns_of_invertebrates_in_artificial_reefs_established_at_clear_and_silty_areas_in_Bolinao_Pangasinan_Northern_Philippines, **Contact_name** changed from Miriam Balgos to I. Pamintuan; R. Rollon; P. Alino")</f>
        <v>**Restoration_project** changed from Artificial Reef Development Program to ASEAN Australia Economic Cooperation Program Living Coastal Resources Project, **Restoration_project_short** changed from Site in Centro Toma to Site at Silaqui Island and Guiguiwanen Bay (E 119.875, 120: N 16.375, 16.4583333), **Year of establishment** changed from 1985 to 1991, **Project Start** changed from 1985 to 1991, **Project End** changed from 1987 to 1991, **Technique/Material Type** changed from tires to Concrete tent-like, **Restoration objective** changed from Unknown to Experimental, **Funding agency** changed from BFAR to ASEAN Australia Economic Cooperation Program Living Coastal Resources Project, **Total units** changed from 6 TM to 4 blocks, **Implementing institution** changed from BFAR to UP MSI, **Partners_public** changed from Ministry of Human Settlements to Unknown, **Partners_communities** changed from Samahang Kabuhayan to Unknown, **Reference** changed from Conference Proceediing to Pamintuan, I., Alino, P., Gomez, E., &amp; Rollon, R. (1994). Early Successional Patterns of Invertebrates in Artificial Reefs Established at Clear and Silty Areas in Bolinao, Pangasinan, Northern Philippines. Bulletin of Marine Science, 55(2-3), 867-877. Retrieved from https://www.researchgate.net/publication/233624454_Early_Successional_Patterns_of_Invertebrates_in_Artificial_Reefs_Established_at_Clear_and_Silty_Areas_in_Bolinao_Pangasinan_Northern_Philippines, **Website** changed from http://pubs.iclarm.net/libinfo/Pdf/Pub%20CP6%2049.pdf to 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 **Contact_name** changed from Miriam Balgos to I. Pamintuan; R. Rollon; P. Alino</v>
      </c>
      <c r="I123" s="153" t="s">
        <v>6331</v>
      </c>
      <c r="J123" s="153" t="s">
        <v>143</v>
      </c>
      <c r="K123" s="153" t="s">
        <v>144</v>
      </c>
      <c r="L123" s="153" t="s">
        <v>693</v>
      </c>
      <c r="M123" s="181" t="s">
        <v>694</v>
      </c>
      <c r="N123" s="153" t="s">
        <v>151</v>
      </c>
      <c r="O123" s="153" t="s">
        <v>695</v>
      </c>
      <c r="P123" s="153" t="s">
        <v>6332</v>
      </c>
      <c r="Q123" s="169">
        <v>1991.0</v>
      </c>
      <c r="R123" s="160" t="s">
        <v>6333</v>
      </c>
      <c r="S123" s="160" t="s">
        <v>6333</v>
      </c>
      <c r="T123" s="161" t="s">
        <v>150</v>
      </c>
      <c r="U123" s="153">
        <f>IFERROR(__xludf.DUMMYFUNCTION("""COMPUTED_VALUE"""),105.0)</f>
        <v>105</v>
      </c>
      <c r="V123" s="162" t="s">
        <v>3311</v>
      </c>
      <c r="W123" s="179" t="s">
        <v>6032</v>
      </c>
      <c r="X123" s="28" t="s">
        <v>6033</v>
      </c>
      <c r="Y123" s="32" t="s">
        <v>697</v>
      </c>
      <c r="Z123" s="158" t="s">
        <v>697</v>
      </c>
      <c r="AA123" s="153" t="s">
        <v>697</v>
      </c>
      <c r="AB123" s="153" t="s">
        <v>699</v>
      </c>
      <c r="AC123" s="158" t="s">
        <v>695</v>
      </c>
      <c r="AD123" s="158" t="s">
        <v>6154</v>
      </c>
      <c r="AE123" s="158" t="s">
        <v>206</v>
      </c>
      <c r="AF123" s="158" t="s">
        <v>204</v>
      </c>
      <c r="AG123" s="164" t="s">
        <v>149</v>
      </c>
      <c r="AH123" s="158" t="s">
        <v>149</v>
      </c>
      <c r="AI123" s="158" t="s">
        <v>700</v>
      </c>
      <c r="AJ123" s="153" t="s">
        <v>233</v>
      </c>
      <c r="AK123" s="158" t="s">
        <v>6068</v>
      </c>
      <c r="AL123" s="3" t="s">
        <v>149</v>
      </c>
      <c r="AM123" s="3" t="s">
        <v>149</v>
      </c>
      <c r="AN123" s="3" t="s">
        <v>149</v>
      </c>
      <c r="AO123" s="156">
        <v>1.0</v>
      </c>
      <c r="AP123" s="156" t="s">
        <v>6037</v>
      </c>
      <c r="AQ123" s="158" t="s">
        <v>6214</v>
      </c>
      <c r="AR123" s="153" t="s">
        <v>701</v>
      </c>
      <c r="AS123" s="153" t="s">
        <v>6334</v>
      </c>
      <c r="AT123" s="153" t="s">
        <v>703</v>
      </c>
      <c r="AU123" s="3" t="s">
        <v>149</v>
      </c>
    </row>
    <row r="124">
      <c r="A124" s="186">
        <v>62.0</v>
      </c>
      <c r="B124" s="152">
        <v>2023.0</v>
      </c>
      <c r="D124" s="152"/>
      <c r="E124" s="151">
        <v>62.0</v>
      </c>
      <c r="F124" s="129" t="s">
        <v>140</v>
      </c>
      <c r="G124" s="3" t="s">
        <v>6029</v>
      </c>
      <c r="H124" s="8" t="str">
        <f>IFERROR(__xludf.DUMMYFUNCTION("""COMPUTED_VALUE"""),"")</f>
        <v/>
      </c>
      <c r="I124" s="8" t="s">
        <v>6335</v>
      </c>
      <c r="J124" s="8" t="s">
        <v>143</v>
      </c>
      <c r="K124" s="8" t="s">
        <v>144</v>
      </c>
      <c r="L124" s="8" t="s">
        <v>463</v>
      </c>
      <c r="M124" s="153" t="s">
        <v>464</v>
      </c>
      <c r="N124" s="8" t="s">
        <v>151</v>
      </c>
      <c r="O124" s="8" t="s">
        <v>384</v>
      </c>
      <c r="P124" s="8" t="s">
        <v>6336</v>
      </c>
      <c r="Q124" s="142" t="s">
        <v>6052</v>
      </c>
      <c r="R124" s="142" t="s">
        <v>6052</v>
      </c>
      <c r="S124" s="142" t="s">
        <v>6053</v>
      </c>
      <c r="T124" s="8"/>
      <c r="U124" s="8">
        <f>IFERROR(__xludf.DUMMYFUNCTION("""COMPUTED_VALUE"""),106.0)</f>
        <v>106</v>
      </c>
      <c r="V124" s="8"/>
      <c r="W124" s="8"/>
      <c r="X124" s="8"/>
      <c r="Y124" s="8"/>
      <c r="AA124" s="8" t="s">
        <v>469</v>
      </c>
      <c r="AB124" s="3" t="s">
        <v>149</v>
      </c>
      <c r="AC124" s="8" t="s">
        <v>390</v>
      </c>
      <c r="AG124" s="3" t="s">
        <v>149</v>
      </c>
      <c r="AH124" s="3" t="s">
        <v>149</v>
      </c>
      <c r="AI124" s="8" t="s">
        <v>6314</v>
      </c>
      <c r="AJ124" s="8" t="s">
        <v>390</v>
      </c>
      <c r="AL124" s="8" t="s">
        <v>6055</v>
      </c>
      <c r="AM124" s="3" t="s">
        <v>149</v>
      </c>
      <c r="AN124" s="3" t="s">
        <v>149</v>
      </c>
      <c r="AO124" s="8"/>
      <c r="AP124" s="8"/>
      <c r="AR124" s="8" t="s">
        <v>6057</v>
      </c>
      <c r="AS124" s="8" t="s">
        <v>2873</v>
      </c>
      <c r="AT124" s="8" t="s">
        <v>398</v>
      </c>
      <c r="AU124" s="3" t="s">
        <v>149</v>
      </c>
    </row>
    <row r="125">
      <c r="A125" s="186">
        <v>62.0</v>
      </c>
      <c r="B125" s="152">
        <v>2025.0</v>
      </c>
      <c r="C125" s="153" t="str">
        <f t="shared" ref="C125:C126" si="7">CONCATENATE(D125, "-", M125, "-", A125)
</f>
        <v>2023-PH015514000-62</v>
      </c>
      <c r="D125" s="152">
        <f t="shared" ref="D125:D126" si="8">IF(OR(F124="Published", F124="Unpublished"), 2023, IF(F124="New", 2025, ""))
</f>
        <v>2023</v>
      </c>
      <c r="E125" s="151">
        <v>62.0</v>
      </c>
      <c r="F125" s="156" t="s">
        <v>140</v>
      </c>
      <c r="G125" s="156" t="s">
        <v>141</v>
      </c>
      <c r="H125" s="153" t="str">
        <f>IFERROR(__xludf.DUMMYFUNCTION("""COMPUTED_VALUE"""),"**Restoration_project** changed from Artificial Reef Development Program to Fisheries Sector Program, **Restoration_project_short** changed from Site in Sunip to Site at Lucero Reef Flat, Santiago Island, **Year of establishment** changed from 1985 to 199"&amp;"4, **Project Start** changed from 1985 to 1994, **Project End** changed from 1987 to 1995, **Restoration method** changed from Artificial Reef to Asexual Reproduction, **Technique/Material Type** changed from tires; bamboo to Coral transplantation, **Rest"&amp;"oration objective** changed from Unknown to Research; Determine growth and mortality of transplants of two species of scleractinian corals, **Funding agency** changed from BFAR to ADB, Overseas Economic Cooperation Fund of Japan , **Total units** changed "&amp;"from 14 TM and 1 BM to Unknown, **Implementing institution** changed from BFAR to UP MSI, **Partners_public** changed from Ministry of Human Settlements to DA, **Reference** changed from Conference Proceediing to Yap, H. T., Alvarez, R. M., Custodio III, "&amp;"H. M., &amp; Dizon, R. (1998). Physiological and ecological aspects of coral transplantation. Journal of Experimental Marine Biology and Ecology, 229(1), 69-84. https://doi.org/10.1016/S0022-0981(98)00041-0, **Website** changed from http://pubs.iclarm.net/lib"&amp;"info/Pdf/Pub%20CP6%2049.pdf to Physiological and ecological aspects of coral transplantation - ScienceDirect, **Contact_name** changed from Miriam Balgos to Dr. H.T. Yap")</f>
        <v>**Restoration_project** changed from Artificial Reef Development Program to Fisheries Sector Program, **Restoration_project_short** changed from Site in Sunip to Site at Lucero Reef Flat, Santiago Island, **Year of establishment** changed from 1985 to 1994, **Project Start** changed from 1985 to 1994, **Project End** changed from 1987 to 1995, **Restoration method** changed from Artificial Reef to Asexual Reproduction, **Technique/Material Type** changed from tires; bamboo to Coral transplantation, **Restoration objective** changed from Unknown to Research; Determine growth and mortality of transplants of two species of scleractinian corals, **Funding agency** changed from BFAR to ADB, Overseas Economic Cooperation Fund of Japan , **Total units** changed from 14 TM and 1 BM to Unknown, **Implementing institution** changed from BFAR to UP MSI, **Partners_public** changed from Ministry of Human Settlements to DA, **Reference** changed from Conference Proceediing to Yap, H. T., Alvarez, R. M., Custodio III, H. M., &amp; Dizon, R. (1998). Physiological and ecological aspects of coral transplantation. Journal of Experimental Marine Biology and Ecology, 229(1), 69-84. https://doi.org/10.1016/S0022-0981(98)00041-0, **Website** changed from http://pubs.iclarm.net/libinfo/Pdf/Pub%20CP6%2049.pdf to Physiological and ecological aspects of coral transplantation - ScienceDirect, **Contact_name** changed from Miriam Balgos to Dr. H.T. Yap</v>
      </c>
      <c r="I125" s="153" t="s">
        <v>6337</v>
      </c>
      <c r="J125" s="153" t="s">
        <v>143</v>
      </c>
      <c r="K125" s="153" t="s">
        <v>144</v>
      </c>
      <c r="L125" s="153" t="s">
        <v>693</v>
      </c>
      <c r="M125" s="181" t="s">
        <v>694</v>
      </c>
      <c r="N125" s="153" t="s">
        <v>6062</v>
      </c>
      <c r="O125" s="153" t="s">
        <v>1377</v>
      </c>
      <c r="P125" s="153" t="s">
        <v>6338</v>
      </c>
      <c r="Q125" s="169">
        <v>1994.0</v>
      </c>
      <c r="R125" s="175" t="s">
        <v>6199</v>
      </c>
      <c r="S125" s="175" t="s">
        <v>6339</v>
      </c>
      <c r="T125" s="156" t="s">
        <v>177</v>
      </c>
      <c r="U125" s="153">
        <f>IFERROR(__xludf.DUMMYFUNCTION("""COMPUTED_VALUE"""),107.0)</f>
        <v>107</v>
      </c>
      <c r="V125" s="191" t="s">
        <v>3245</v>
      </c>
      <c r="W125" s="184" t="s">
        <v>149</v>
      </c>
      <c r="X125" s="180"/>
      <c r="Y125" s="180" t="s">
        <v>154</v>
      </c>
      <c r="Z125" s="158" t="s">
        <v>179</v>
      </c>
      <c r="AA125" s="153" t="s">
        <v>179</v>
      </c>
      <c r="AB125" s="153" t="s">
        <v>6340</v>
      </c>
      <c r="AC125" s="153" t="s">
        <v>1381</v>
      </c>
      <c r="AD125" s="158" t="s">
        <v>6154</v>
      </c>
      <c r="AE125" s="158" t="s">
        <v>206</v>
      </c>
      <c r="AF125" s="158" t="s">
        <v>204</v>
      </c>
      <c r="AG125" s="164" t="s">
        <v>149</v>
      </c>
      <c r="AH125" s="158" t="s">
        <v>149</v>
      </c>
      <c r="AI125" s="158" t="s">
        <v>149</v>
      </c>
      <c r="AJ125" s="153" t="s">
        <v>233</v>
      </c>
      <c r="AK125" s="158" t="s">
        <v>6068</v>
      </c>
      <c r="AL125" s="153" t="s">
        <v>660</v>
      </c>
      <c r="AM125" s="3" t="s">
        <v>149</v>
      </c>
      <c r="AN125" s="3" t="s">
        <v>149</v>
      </c>
      <c r="AO125" s="156">
        <v>1.0</v>
      </c>
      <c r="AP125" s="156" t="s">
        <v>6037</v>
      </c>
      <c r="AQ125" s="158" t="s">
        <v>6214</v>
      </c>
      <c r="AR125" s="153" t="s">
        <v>1513</v>
      </c>
      <c r="AS125" s="196" t="s">
        <v>6341</v>
      </c>
      <c r="AT125" s="153" t="s">
        <v>1068</v>
      </c>
      <c r="AU125" s="3" t="s">
        <v>149</v>
      </c>
    </row>
    <row r="126">
      <c r="A126" s="186">
        <v>63.0</v>
      </c>
      <c r="B126" s="152">
        <v>2025.0</v>
      </c>
      <c r="C126" s="153" t="str">
        <f t="shared" si="7"/>
        <v>2023-PH015514000-63</v>
      </c>
      <c r="D126" s="152">
        <f t="shared" si="8"/>
        <v>2023</v>
      </c>
      <c r="E126" s="151">
        <v>63.0</v>
      </c>
      <c r="F126" s="156" t="s">
        <v>140</v>
      </c>
      <c r="G126" s="156" t="s">
        <v>141</v>
      </c>
      <c r="H126" s="153" t="str">
        <f>IFERROR(__xludf.DUMMYFUNCTION("""COMPUTED_VALUE"""),"**Restoration_project** changed from Fisheries Sector Program to Unknown, **Restoration_project_short** changed from Site at Lucero Reef Flat, Santiago Island to Site in a lagoon in Santiago Island, **Year of establishment** changed from 1994 to 1980, **P"&amp;"roject Start** changed from 1994 to 1980, **Project End** changed from 1995 to 1982, **Restoration objective** changed from Research; Determine growth and mortality of transplants of two species of scleractinian corals to Research; Investigated the growth"&amp;" rate of transplanted Acropora pulchra, **Funding agency** changed from ADB, Overseas Economic Cooperation Fund of Japan to Unknown, **Partners_public** changed from DA to Unknown, **Reference** changed from Yap, H. T., Alvarez, R. M., Custodio III, H. M."&amp;", &amp; Dizon, R. (1998). Physiological and ecological aspects of coral transplantation. Journal of Experimental Marine Biology and Ecology, 229(1), 69-84. https://doi.org/10.1016/S0022-0981(98)00041-0 to Yap, H. T., &amp; Gomez, E. D. (1984). Growth of Acropora "&amp;"pulchra. Marine Biology, 81, 209-215. https://doi.org/10.1007/BF00393119, **Website** changed from Physiological and ecological aspects of coral transplantation - ScienceDirect to https://link.springer.com/article/10.1007/BF00539430")</f>
        <v>**Restoration_project** changed from Fisheries Sector Program to Unknown, **Restoration_project_short** changed from Site at Lucero Reef Flat, Santiago Island to Site in a lagoon in Santiago Island, **Year of establishment** changed from 1994 to 1980, **Project Start** changed from 1994 to 1980, **Project End** changed from 1995 to 1982, **Restoration objective** changed from Research; Determine growth and mortality of transplants of two species of scleractinian corals to Research; Investigated the growth rate of transplanted Acropora pulchra, **Funding agency** changed from ADB, Overseas Economic Cooperation Fund of Japan to Unknown, **Partners_public** changed from DA to Unknown, **Reference** changed from Yap, H. T., Alvarez, R. M., Custodio III, H. M., &amp; Dizon, R. (1998). Physiological and ecological aspects of coral transplantation. Journal of Experimental Marine Biology and Ecology, 229(1), 69-84. https://doi.org/10.1016/S0022-0981(98)00041-0 to Yap, H. T., &amp; Gomez, E. D. (1984). Growth of Acropora pulchra. Marine Biology, 81, 209-215. https://doi.org/10.1007/BF00393119, **Website** changed from Physiological and ecological aspects of coral transplantation - ScienceDirect to https://link.springer.com/article/10.1007/BF00539430</v>
      </c>
      <c r="I126" s="153" t="s">
        <v>6342</v>
      </c>
      <c r="J126" s="153" t="s">
        <v>143</v>
      </c>
      <c r="K126" s="153" t="s">
        <v>144</v>
      </c>
      <c r="L126" s="153" t="s">
        <v>693</v>
      </c>
      <c r="M126" s="157" t="s">
        <v>694</v>
      </c>
      <c r="N126" s="153" t="s">
        <v>6062</v>
      </c>
      <c r="O126" s="158" t="s">
        <v>149</v>
      </c>
      <c r="P126" s="158" t="s">
        <v>2941</v>
      </c>
      <c r="Q126" s="178">
        <v>1980.0</v>
      </c>
      <c r="R126" s="175" t="s">
        <v>6343</v>
      </c>
      <c r="S126" s="175" t="s">
        <v>6073</v>
      </c>
      <c r="T126" s="156" t="s">
        <v>177</v>
      </c>
      <c r="U126" s="153">
        <f>IFERROR(__xludf.DUMMYFUNCTION("""COMPUTED_VALUE"""),108.0)</f>
        <v>108</v>
      </c>
      <c r="V126" s="191" t="s">
        <v>3245</v>
      </c>
      <c r="W126" s="184" t="s">
        <v>149</v>
      </c>
      <c r="X126" s="180"/>
      <c r="Y126" s="180" t="s">
        <v>154</v>
      </c>
      <c r="Z126" s="158" t="s">
        <v>179</v>
      </c>
      <c r="AA126" s="153" t="s">
        <v>179</v>
      </c>
      <c r="AB126" s="153" t="s">
        <v>6344</v>
      </c>
      <c r="AC126" s="158" t="s">
        <v>149</v>
      </c>
      <c r="AD126" s="158" t="s">
        <v>149</v>
      </c>
      <c r="AE126" s="158" t="s">
        <v>149</v>
      </c>
      <c r="AF126" s="158" t="s">
        <v>204</v>
      </c>
      <c r="AG126" s="164" t="s">
        <v>149</v>
      </c>
      <c r="AH126" s="158" t="s">
        <v>149</v>
      </c>
      <c r="AI126" s="158" t="s">
        <v>149</v>
      </c>
      <c r="AJ126" s="153" t="s">
        <v>233</v>
      </c>
      <c r="AK126" s="158" t="s">
        <v>6068</v>
      </c>
      <c r="AL126" s="3" t="s">
        <v>149</v>
      </c>
      <c r="AM126" s="3" t="s">
        <v>149</v>
      </c>
      <c r="AN126" s="3" t="s">
        <v>149</v>
      </c>
      <c r="AO126" s="156">
        <v>1.0</v>
      </c>
      <c r="AP126" s="156" t="s">
        <v>6037</v>
      </c>
      <c r="AQ126" s="158" t="s">
        <v>6214</v>
      </c>
      <c r="AR126" s="153" t="s">
        <v>2943</v>
      </c>
      <c r="AS126" s="177" t="s">
        <v>2944</v>
      </c>
      <c r="AT126" s="153" t="s">
        <v>1068</v>
      </c>
      <c r="AU126" s="3" t="s">
        <v>149</v>
      </c>
    </row>
    <row r="127">
      <c r="A127" s="186">
        <v>63.0</v>
      </c>
      <c r="B127" s="152">
        <v>2023.0</v>
      </c>
      <c r="D127" s="152"/>
      <c r="E127" s="151">
        <v>63.0</v>
      </c>
      <c r="F127" s="129" t="s">
        <v>140</v>
      </c>
      <c r="G127" s="3" t="s">
        <v>3279</v>
      </c>
      <c r="H127" s="8" t="str">
        <f>IFERROR(__xludf.DUMMYFUNCTION("""COMPUTED_VALUE"""),"")</f>
        <v/>
      </c>
      <c r="I127" s="8" t="s">
        <v>6345</v>
      </c>
      <c r="J127" s="8" t="s">
        <v>143</v>
      </c>
      <c r="K127" s="8" t="s">
        <v>144</v>
      </c>
      <c r="L127" s="8" t="s">
        <v>3750</v>
      </c>
      <c r="M127" s="153" t="s">
        <v>3751</v>
      </c>
      <c r="N127" s="8" t="s">
        <v>151</v>
      </c>
      <c r="O127" s="8" t="s">
        <v>6113</v>
      </c>
      <c r="Q127" s="142" t="s">
        <v>6268</v>
      </c>
      <c r="R127" s="142"/>
      <c r="S127" s="142"/>
      <c r="U127" s="8">
        <f>IFERROR(__xludf.DUMMYFUNCTION("""COMPUTED_VALUE"""),109.0)</f>
        <v>109</v>
      </c>
      <c r="V127" s="8"/>
      <c r="W127" s="8"/>
      <c r="AG127" s="142"/>
      <c r="AJ127" s="8" t="s">
        <v>369</v>
      </c>
      <c r="AL127" s="8" t="s">
        <v>660</v>
      </c>
      <c r="AO127" s="8"/>
      <c r="AP127" s="8"/>
    </row>
    <row r="128">
      <c r="A128" s="186">
        <v>64.0</v>
      </c>
      <c r="B128" s="152">
        <v>2023.0</v>
      </c>
      <c r="D128" s="152"/>
      <c r="E128" s="151">
        <v>64.0</v>
      </c>
      <c r="F128" s="129" t="s">
        <v>140</v>
      </c>
      <c r="G128" s="3" t="s">
        <v>6029</v>
      </c>
      <c r="H128" s="8" t="str">
        <f>IFERROR(__xludf.DUMMYFUNCTION("""COMPUTED_VALUE"""),"")</f>
        <v/>
      </c>
      <c r="I128" s="8" t="s">
        <v>6346</v>
      </c>
      <c r="J128" s="8" t="s">
        <v>143</v>
      </c>
      <c r="K128" s="8" t="s">
        <v>144</v>
      </c>
      <c r="L128" s="8" t="s">
        <v>693</v>
      </c>
      <c r="M128" s="153" t="s">
        <v>694</v>
      </c>
      <c r="N128" s="8" t="s">
        <v>151</v>
      </c>
      <c r="O128" s="3" t="s">
        <v>149</v>
      </c>
      <c r="P128" s="3" t="s">
        <v>149</v>
      </c>
      <c r="Q128" s="142" t="s">
        <v>6347</v>
      </c>
      <c r="R128" s="3" t="s">
        <v>149</v>
      </c>
      <c r="S128" s="3" t="s">
        <v>149</v>
      </c>
      <c r="T128" s="8"/>
      <c r="U128" s="8">
        <f>IFERROR(__xludf.DUMMYFUNCTION("""COMPUTED_VALUE"""),110.0)</f>
        <v>110</v>
      </c>
      <c r="V128" s="8"/>
      <c r="W128" s="3"/>
      <c r="X128" s="8"/>
      <c r="Y128" s="8"/>
      <c r="AA128" s="3" t="s">
        <v>149</v>
      </c>
      <c r="AB128" s="8" t="s">
        <v>699</v>
      </c>
      <c r="AC128" s="8" t="s">
        <v>2111</v>
      </c>
      <c r="AG128" s="3" t="s">
        <v>149</v>
      </c>
      <c r="AH128" s="3" t="s">
        <v>149</v>
      </c>
      <c r="AI128" s="8" t="s">
        <v>2938</v>
      </c>
      <c r="AJ128" s="8" t="s">
        <v>6348</v>
      </c>
      <c r="AL128" s="3" t="s">
        <v>149</v>
      </c>
      <c r="AM128" s="3" t="s">
        <v>149</v>
      </c>
      <c r="AN128" s="3" t="s">
        <v>149</v>
      </c>
      <c r="AO128" s="8"/>
      <c r="AP128" s="8"/>
      <c r="AR128" s="8" t="s">
        <v>395</v>
      </c>
      <c r="AS128" s="172" t="s">
        <v>6349</v>
      </c>
      <c r="AT128" s="8" t="s">
        <v>398</v>
      </c>
      <c r="AU128" s="3" t="s">
        <v>149</v>
      </c>
    </row>
    <row r="129">
      <c r="A129" s="186">
        <v>64.0</v>
      </c>
      <c r="B129" s="152">
        <v>2025.0</v>
      </c>
      <c r="C129" s="153" t="str">
        <f t="shared" ref="C129:C130" si="9">CONCATENATE(D129, "-", M129, "-", A129)
</f>
        <v>2023-PH015514000-64</v>
      </c>
      <c r="D129" s="152">
        <f t="shared" ref="D129:D130" si="10">IF(OR(F128="Published", F128="Unpublished"), 2023, IF(F128="New", 2025, ""))
</f>
        <v>2023</v>
      </c>
      <c r="E129" s="151">
        <v>64.0</v>
      </c>
      <c r="F129" s="156" t="s">
        <v>140</v>
      </c>
      <c r="G129" s="156" t="s">
        <v>141</v>
      </c>
      <c r="H129" s="153" t="str">
        <f>IFERROR(__xludf.DUMMYFUNCTION("""COMPUTED_VALUE"""),"**Restoration_project_short** changed from Unknown to Site at Cangaluyan Island; (N 16.3666667, E 120), **Year of establishment** changed from 1978 to 1983, **Project Start** changed from Unknown to 1983, **Project End** changed from Unknown to 1984, **Re"&amp;"storation method** changed from Artificial Reef to Asexual Reproduction, **Technique/Material Type** changed from Unknown to Coral transplantation, **Restoration objective** changed from Experimental to Research; Examine the feasibility of using the speci"&amp;"es concerned in establishing new coral populations through deliberate fragmentation, **Funding agency** changed from US Peace Corps to DOST-PCAARRD, **Total units** changed from 80 modules to Unknown, **Implementing institution** changed from UP Marine Sc"&amp;"iences Center to UP MSI, **Reference** changed from Conference Proceeding to Yap, H. T., Alino, P., &amp; Gomez, E. D. (1992). Trends in growth and mortality of three coral species (Anthozoa: Scleractinia), including effects of transplantation. Marine Ecology"&amp;" Progress Series, 83, 91-101. Retrieved from https://www.int-res.com/articles/meps/83/m083p091.pdf, **Website** changed from https://pdf.usaid.gov/pdf_docs/pnabx173.pdf to https://www.int-res.com/articles/meps/83/m083p091.pdf, **Contact_name** changed fro"&amp;"m Miriam Balgos to Dr. H.T. Yap")</f>
        <v>**Restoration_project_short** changed from Unknown to Site at Cangaluyan Island; (N 16.3666667, E 120), **Year of establishment** changed from 1978 to 1983, **Project Start** changed from Unknown to 1983, **Project End** changed from Unknown to 1984, **Restoration method** changed from Artificial Reef to Asexual Reproduction, **Technique/Material Type** changed from Unknown to Coral transplantation, **Restoration objective** changed from Experimental to Research; Examine the feasibility of using the species concerned in establishing new coral populations through deliberate fragmentation, **Funding agency** changed from US Peace Corps to DOST-PCAARRD, **Total units** changed from 80 modules to Unknown, **Implementing institution** changed from UP Marine Sciences Center to UP MSI, **Reference** changed from Conference Proceeding to Yap, H. T., Alino, P., &amp; Gomez, E. D. (1992). Trends in growth and mortality of three coral species (Anthozoa: Scleractinia), including effects of transplantation. Marine Ecology Progress Series, 83, 91-101. Retrieved from https://www.int-res.com/articles/meps/83/m083p091.pdf, **Website** changed from https://pdf.usaid.gov/pdf_docs/pnabx173.pdf to https://www.int-res.com/articles/meps/83/m083p091.pdf, **Contact_name** changed from Miriam Balgos to Dr. H.T. Yap</v>
      </c>
      <c r="I129" s="153" t="s">
        <v>6350</v>
      </c>
      <c r="J129" s="153" t="s">
        <v>143</v>
      </c>
      <c r="K129" s="153" t="s">
        <v>144</v>
      </c>
      <c r="L129" s="153" t="s">
        <v>693</v>
      </c>
      <c r="M129" s="157" t="s">
        <v>694</v>
      </c>
      <c r="N129" s="153" t="s">
        <v>6062</v>
      </c>
      <c r="O129" s="158" t="s">
        <v>149</v>
      </c>
      <c r="P129" s="153" t="s">
        <v>6351</v>
      </c>
      <c r="Q129" s="169">
        <v>1983.0</v>
      </c>
      <c r="R129" s="160" t="s">
        <v>6078</v>
      </c>
      <c r="S129" s="160" t="s">
        <v>6352</v>
      </c>
      <c r="T129" s="156" t="s">
        <v>177</v>
      </c>
      <c r="U129" s="153">
        <f>IFERROR(__xludf.DUMMYFUNCTION("""COMPUTED_VALUE"""),111.0)</f>
        <v>111</v>
      </c>
      <c r="V129" s="191" t="s">
        <v>3245</v>
      </c>
      <c r="W129" s="184" t="s">
        <v>149</v>
      </c>
      <c r="X129" s="180"/>
      <c r="Y129" s="180" t="s">
        <v>154</v>
      </c>
      <c r="Z129" s="158" t="s">
        <v>179</v>
      </c>
      <c r="AA129" s="153" t="s">
        <v>179</v>
      </c>
      <c r="AB129" s="158" t="s">
        <v>2947</v>
      </c>
      <c r="AC129" s="158" t="s">
        <v>321</v>
      </c>
      <c r="AD129" s="158" t="s">
        <v>160</v>
      </c>
      <c r="AE129" s="158" t="s">
        <v>6035</v>
      </c>
      <c r="AF129" s="158" t="s">
        <v>204</v>
      </c>
      <c r="AG129" s="164" t="s">
        <v>149</v>
      </c>
      <c r="AH129" s="158" t="s">
        <v>149</v>
      </c>
      <c r="AI129" s="158" t="s">
        <v>149</v>
      </c>
      <c r="AJ129" s="153" t="s">
        <v>233</v>
      </c>
      <c r="AK129" s="158" t="s">
        <v>6068</v>
      </c>
      <c r="AL129" s="3" t="s">
        <v>149</v>
      </c>
      <c r="AM129" s="3" t="s">
        <v>149</v>
      </c>
      <c r="AN129" s="3" t="s">
        <v>149</v>
      </c>
      <c r="AO129" s="156">
        <v>1.0</v>
      </c>
      <c r="AP129" s="156" t="s">
        <v>6037</v>
      </c>
      <c r="AQ129" s="158" t="s">
        <v>6214</v>
      </c>
      <c r="AR129" s="153" t="s">
        <v>2948</v>
      </c>
      <c r="AS129" s="177" t="s">
        <v>2949</v>
      </c>
      <c r="AT129" s="153" t="s">
        <v>1068</v>
      </c>
      <c r="AU129" s="3" t="s">
        <v>149</v>
      </c>
    </row>
    <row r="130">
      <c r="A130" s="186">
        <v>65.0</v>
      </c>
      <c r="B130" s="152">
        <v>2025.0</v>
      </c>
      <c r="C130" s="153" t="str">
        <f t="shared" si="9"/>
        <v>2023-PH015514000-65</v>
      </c>
      <c r="D130" s="152">
        <f t="shared" si="10"/>
        <v>2023</v>
      </c>
      <c r="E130" s="151">
        <v>65.0</v>
      </c>
      <c r="F130" s="156" t="s">
        <v>140</v>
      </c>
      <c r="G130" s="156" t="s">
        <v>141</v>
      </c>
      <c r="H130" s="153" t="str">
        <f>IFERROR(__xludf.DUMMYFUNCTION("""COMPUTED_VALUE"""),"**Restoration_project_short** changed from Site at Cangaluyan Island; (N 16.3666667, E 120) to Site at Santiago Island; (N 16.342, E 119.90), **Year of establishment** changed from 1983 to 1996, **Project Start** changed from 1983 to 1996, **Project End**"&amp;" changed from 1984 to 1998, **Technique/Material Type** changed from Coral transplantation to Coral transplantation; initial tank culture, **Restoration objective** changed from Research; Examine the feasibility of using the species concerned in establish"&amp;"ing new coral populations through deliberate fragmentation to Research; Survival and growth of Porites scleratinian coral transplants, **Funding agency** changed from DOST-PCAARRD to International Foundation for Science (Sweden), **Reference** changed fro"&amp;"m Yap, H. T., Alino, P., &amp; Gomez, E. D. (1992). Trends in growth and mortality of three coral species (Anthozoa: Scleractinia), including effects of transplantation. Marine Ecology Progress Series, 83, 91-101. Retrieved from https://www.int-res.com/articl"&amp;"es/meps/83/m083p091.pdf to Yap, H. T., &amp; Molina, R. A. (2003). Comparison of coral growth and survival under enclosed, semi-natural conditions and in the field. Marine Pollution Bulletin, 46(7), 858-864. https://doi.org/10.1016/S0025-326X(03)00064-X, **We"&amp;"bsite** changed from https://www.int-res.com/articles/meps/83/m083p091.pdf to Comparison of coral growth and survival under enclosed, semi-natural conditions and in the field - ScienceDirect")</f>
        <v>**Restoration_project_short** changed from Site at Cangaluyan Island; (N 16.3666667, E 120) to Site at Santiago Island; (N 16.342, E 119.90), **Year of establishment** changed from 1983 to 1996, **Project Start** changed from 1983 to 1996, **Project End** changed from 1984 to 1998, **Technique/Material Type** changed from Coral transplantation to Coral transplantation; initial tank culture, **Restoration objective** changed from Research; Examine the feasibility of using the species concerned in establishing new coral populations through deliberate fragmentation to Research; Survival and growth of Porites scleratinian coral transplants, **Funding agency** changed from DOST-PCAARRD to International Foundation for Science (Sweden), **Reference** changed from Yap, H. T., Alino, P., &amp; Gomez, E. D. (1992). Trends in growth and mortality of three coral species (Anthozoa: Scleractinia), including effects of transplantation. Marine Ecology Progress Series, 83, 91-101. Retrieved from https://www.int-res.com/articles/meps/83/m083p091.pdf to Yap, H. T., &amp; Molina, R. A. (2003). Comparison of coral growth and survival under enclosed, semi-natural conditions and in the field. Marine Pollution Bulletin, 46(7), 858-864. https://doi.org/10.1016/S0025-326X(03)00064-X, **Website** changed from https://www.int-res.com/articles/meps/83/m083p091.pdf to Comparison of coral growth and survival under enclosed, semi-natural conditions and in the field - ScienceDirect</v>
      </c>
      <c r="I130" s="153" t="s">
        <v>6353</v>
      </c>
      <c r="J130" s="153" t="s">
        <v>143</v>
      </c>
      <c r="K130" s="153" t="s">
        <v>144</v>
      </c>
      <c r="L130" s="153" t="s">
        <v>693</v>
      </c>
      <c r="M130" s="181" t="s">
        <v>694</v>
      </c>
      <c r="N130" s="153" t="s">
        <v>6062</v>
      </c>
      <c r="O130" s="158" t="s">
        <v>149</v>
      </c>
      <c r="P130" s="153" t="s">
        <v>6354</v>
      </c>
      <c r="Q130" s="178">
        <v>1996.0</v>
      </c>
      <c r="R130" s="160" t="s">
        <v>6355</v>
      </c>
      <c r="S130" s="160" t="s">
        <v>6356</v>
      </c>
      <c r="T130" s="156" t="s">
        <v>177</v>
      </c>
      <c r="U130" s="153">
        <f>IFERROR(__xludf.DUMMYFUNCTION("""COMPUTED_VALUE"""),112.0)</f>
        <v>112</v>
      </c>
      <c r="V130" s="191" t="s">
        <v>3245</v>
      </c>
      <c r="W130" s="184" t="s">
        <v>149</v>
      </c>
      <c r="X130" s="180"/>
      <c r="Y130" s="180" t="s">
        <v>154</v>
      </c>
      <c r="Z130" s="158" t="s">
        <v>179</v>
      </c>
      <c r="AA130" s="153" t="s">
        <v>6357</v>
      </c>
      <c r="AB130" s="153" t="s">
        <v>6358</v>
      </c>
      <c r="AC130" s="158" t="s">
        <v>2953</v>
      </c>
      <c r="AD130" s="158" t="s">
        <v>6154</v>
      </c>
      <c r="AE130" s="158" t="s">
        <v>206</v>
      </c>
      <c r="AF130" s="158" t="s">
        <v>204</v>
      </c>
      <c r="AG130" s="164" t="s">
        <v>149</v>
      </c>
      <c r="AH130" s="158" t="s">
        <v>149</v>
      </c>
      <c r="AI130" s="158" t="s">
        <v>149</v>
      </c>
      <c r="AJ130" s="153" t="s">
        <v>233</v>
      </c>
      <c r="AK130" s="158" t="s">
        <v>6068</v>
      </c>
      <c r="AL130" s="3" t="s">
        <v>149</v>
      </c>
      <c r="AM130" s="3" t="s">
        <v>149</v>
      </c>
      <c r="AN130" s="3" t="s">
        <v>149</v>
      </c>
      <c r="AO130" s="156">
        <v>1.0</v>
      </c>
      <c r="AP130" s="156" t="s">
        <v>6037</v>
      </c>
      <c r="AQ130" s="158" t="s">
        <v>6214</v>
      </c>
      <c r="AR130" s="153" t="s">
        <v>2954</v>
      </c>
      <c r="AS130" s="165" t="s">
        <v>6359</v>
      </c>
      <c r="AT130" s="153" t="s">
        <v>1068</v>
      </c>
      <c r="AU130" s="3" t="s">
        <v>149</v>
      </c>
    </row>
    <row r="131">
      <c r="A131" s="186">
        <v>65.0</v>
      </c>
      <c r="B131" s="152">
        <v>2023.0</v>
      </c>
      <c r="D131" s="152"/>
      <c r="E131" s="151">
        <v>65.0</v>
      </c>
      <c r="F131" s="129" t="s">
        <v>648</v>
      </c>
      <c r="G131" s="3" t="s">
        <v>3279</v>
      </c>
      <c r="H131" s="8" t="str">
        <f>IFERROR(__xludf.DUMMYFUNCTION("""COMPUTED_VALUE"""),"")</f>
        <v/>
      </c>
      <c r="I131" s="8" t="s">
        <v>6360</v>
      </c>
      <c r="J131" s="8" t="s">
        <v>143</v>
      </c>
      <c r="K131" s="8" t="s">
        <v>144</v>
      </c>
      <c r="L131" s="8" t="s">
        <v>693</v>
      </c>
      <c r="M131" s="153" t="s">
        <v>694</v>
      </c>
      <c r="N131" s="8" t="s">
        <v>151</v>
      </c>
      <c r="O131" s="8" t="s">
        <v>6113</v>
      </c>
      <c r="Q131" s="142" t="s">
        <v>6333</v>
      </c>
      <c r="R131" s="142"/>
      <c r="S131" s="142"/>
      <c r="U131" s="8">
        <f>IFERROR(__xludf.DUMMYFUNCTION("""COMPUTED_VALUE"""),113.0)</f>
        <v>113</v>
      </c>
      <c r="V131" s="8"/>
      <c r="W131" s="8"/>
      <c r="AA131" s="8" t="s">
        <v>697</v>
      </c>
      <c r="AG131" s="142"/>
      <c r="AJ131" s="8" t="s">
        <v>6113</v>
      </c>
      <c r="AO131" s="8"/>
      <c r="AP131" s="8"/>
      <c r="AR131" s="8" t="s">
        <v>395</v>
      </c>
      <c r="AS131" s="172" t="s">
        <v>2873</v>
      </c>
    </row>
    <row r="132">
      <c r="A132" s="186">
        <v>66.0</v>
      </c>
      <c r="B132" s="152">
        <v>2023.0</v>
      </c>
      <c r="D132" s="152"/>
      <c r="E132" s="151">
        <v>66.0</v>
      </c>
      <c r="F132" s="129" t="s">
        <v>140</v>
      </c>
      <c r="G132" s="3" t="s">
        <v>6029</v>
      </c>
      <c r="H132" s="8" t="str">
        <f>IFERROR(__xludf.DUMMYFUNCTION("""COMPUTED_VALUE"""),"")</f>
        <v/>
      </c>
      <c r="I132" s="8" t="s">
        <v>6361</v>
      </c>
      <c r="J132" s="8" t="s">
        <v>143</v>
      </c>
      <c r="K132" s="8" t="s">
        <v>144</v>
      </c>
      <c r="L132" s="8" t="s">
        <v>693</v>
      </c>
      <c r="M132" s="173" t="s">
        <v>694</v>
      </c>
      <c r="N132" s="8" t="s">
        <v>6062</v>
      </c>
      <c r="O132" s="8" t="s">
        <v>729</v>
      </c>
      <c r="P132" s="3" t="s">
        <v>149</v>
      </c>
      <c r="Q132" s="174" t="s">
        <v>6328</v>
      </c>
      <c r="R132" s="142" t="s">
        <v>6328</v>
      </c>
      <c r="S132" s="142" t="s">
        <v>6329</v>
      </c>
      <c r="T132" s="8"/>
      <c r="U132" s="8">
        <f>IFERROR(__xludf.DUMMYFUNCTION("""COMPUTED_VALUE"""),114.0)</f>
        <v>114</v>
      </c>
      <c r="V132" s="8"/>
      <c r="W132" s="8"/>
      <c r="X132" s="8"/>
      <c r="Y132" s="8"/>
      <c r="AA132" s="8" t="s">
        <v>730</v>
      </c>
      <c r="AB132" s="3" t="s">
        <v>149</v>
      </c>
      <c r="AC132" s="3" t="s">
        <v>149</v>
      </c>
      <c r="AG132" s="3" t="s">
        <v>149</v>
      </c>
      <c r="AH132" s="3" t="s">
        <v>149</v>
      </c>
      <c r="AI132" s="3" t="s">
        <v>149</v>
      </c>
      <c r="AJ132" s="3" t="s">
        <v>149</v>
      </c>
      <c r="AL132" s="3" t="s">
        <v>149</v>
      </c>
      <c r="AM132" s="3" t="s">
        <v>149</v>
      </c>
      <c r="AN132" s="3" t="s">
        <v>149</v>
      </c>
      <c r="AO132" s="8"/>
      <c r="AP132" s="8"/>
      <c r="AR132" s="8" t="s">
        <v>6257</v>
      </c>
      <c r="AS132" s="172" t="s">
        <v>733</v>
      </c>
      <c r="AT132" s="8" t="s">
        <v>734</v>
      </c>
      <c r="AU132" s="3" t="s">
        <v>149</v>
      </c>
    </row>
    <row r="133">
      <c r="A133" s="186">
        <v>66.0</v>
      </c>
      <c r="B133" s="152">
        <v>2025.0</v>
      </c>
      <c r="C133" s="153" t="str">
        <f>CONCATENATE(D133, "-", M133, "-", A133)
</f>
        <v>2023-PH015514000-66</v>
      </c>
      <c r="D133" s="152">
        <f>IF(OR(F132="Published", F132="Unpublished"), 2023, IF(F132="New", 2025, ""))
</f>
        <v>2023</v>
      </c>
      <c r="E133" s="151">
        <v>66.0</v>
      </c>
      <c r="F133" s="156" t="s">
        <v>140</v>
      </c>
      <c r="G133" s="156" t="s">
        <v>141</v>
      </c>
      <c r="H133" s="153" t="str">
        <f>IFERROR(__xludf.DUMMYFUNCTION("""COMPUTED_VALUE"""),"**Restoration_project** changed from Bolinao Coral Reef Targeted Research to Unknown, **Restoration_project_short** changed from Unknown to Site at Santiago Island (N 16.4113889, E 119.90694444444445), **Year of establishment** changed from 2004 to 1998, "&amp;"**Project Start** changed from 2004 to 1998, **Project End** changed from 2009 to 1998, **Technique/Material Type** changed from CNU; coral planting to Coral transplantation in natural and artificial substrate (metal grids), **Restoration objective** chan"&amp;"ged from Unknown to Research; Compare survival of coral transplants attached to natural and artificial substrates, **Implementing institution** changed from Unknown to UP MSI, **Reference** changed from Technical Report to Yap, H. T. (2004). Differential "&amp;"survival of coral transplants on various substrates under elevated water temperatures. Marine Pollution Bulletin, 49(4), 306-312. https://doi.org/10.1016/j.marpolbul.2004.02.017, **Website** changed from https://www.marineconservationphilippines.org/wp-co"&amp;"ntent/uploads/2018/02/an-evaluation-of-coral-reef-restoration-methods.pdf to Differential survival of coral transplants on various substrates under elevated water temperatures - ScienceDirect, **Contact_name** changed from Marine Conservation Philippines "&amp;"to Dr. H.T. Yap")</f>
        <v>**Restoration_project** changed from Bolinao Coral Reef Targeted Research to Unknown, **Restoration_project_short** changed from Unknown to Site at Santiago Island (N 16.4113889, E 119.90694444444445), **Year of establishment** changed from 2004 to 1998, **Project Start** changed from 2004 to 1998, **Project End** changed from 2009 to 1998, **Technique/Material Type** changed from CNU; coral planting to Coral transplantation in natural and artificial substrate (metal grids), **Restoration objective** changed from Unknown to Research; Compare survival of coral transplants attached to natural and artificial substrates, **Implementing institution** changed from Unknown to UP MSI, **Reference** changed from Technical Report to Yap, H. T. (2004). Differential survival of coral transplants on various substrates under elevated water temperatures. Marine Pollution Bulletin, 49(4), 306-312. https://doi.org/10.1016/j.marpolbul.2004.02.017, **Website** changed from https://www.marineconservationphilippines.org/wp-content/uploads/2018/02/an-evaluation-of-coral-reef-restoration-methods.pdf to Differential survival of coral transplants on various substrates under elevated water temperatures - ScienceDirect, **Contact_name** changed from Marine Conservation Philippines to Dr. H.T. Yap</v>
      </c>
      <c r="I133" s="153" t="s">
        <v>6362</v>
      </c>
      <c r="J133" s="153" t="s">
        <v>143</v>
      </c>
      <c r="K133" s="153" t="s">
        <v>144</v>
      </c>
      <c r="L133" s="153" t="s">
        <v>693</v>
      </c>
      <c r="M133" s="157" t="s">
        <v>694</v>
      </c>
      <c r="N133" s="153" t="s">
        <v>6062</v>
      </c>
      <c r="O133" s="158" t="s">
        <v>149</v>
      </c>
      <c r="P133" s="153" t="s">
        <v>6363</v>
      </c>
      <c r="Q133" s="178">
        <v>1998.0</v>
      </c>
      <c r="R133" s="160" t="s">
        <v>6356</v>
      </c>
      <c r="S133" s="160" t="s">
        <v>6356</v>
      </c>
      <c r="T133" s="156" t="s">
        <v>177</v>
      </c>
      <c r="U133" s="153">
        <f>IFERROR(__xludf.DUMMYFUNCTION("""COMPUTED_VALUE"""),115.0)</f>
        <v>115</v>
      </c>
      <c r="V133" s="191" t="s">
        <v>3245</v>
      </c>
      <c r="W133" s="184" t="s">
        <v>149</v>
      </c>
      <c r="X133" s="180"/>
      <c r="Y133" s="180" t="s">
        <v>154</v>
      </c>
      <c r="Z133" s="158" t="s">
        <v>2958</v>
      </c>
      <c r="AA133" s="153" t="s">
        <v>6364</v>
      </c>
      <c r="AB133" s="153" t="s">
        <v>6365</v>
      </c>
      <c r="AC133" s="158" t="s">
        <v>149</v>
      </c>
      <c r="AD133" s="158" t="s">
        <v>149</v>
      </c>
      <c r="AE133" s="158" t="s">
        <v>149</v>
      </c>
      <c r="AF133" s="158" t="s">
        <v>149</v>
      </c>
      <c r="AG133" s="164" t="s">
        <v>149</v>
      </c>
      <c r="AH133" s="158" t="s">
        <v>149</v>
      </c>
      <c r="AI133" s="158" t="s">
        <v>149</v>
      </c>
      <c r="AJ133" s="153" t="s">
        <v>233</v>
      </c>
      <c r="AK133" s="158" t="s">
        <v>6068</v>
      </c>
      <c r="AL133" s="3" t="s">
        <v>149</v>
      </c>
      <c r="AM133" s="3" t="s">
        <v>149</v>
      </c>
      <c r="AN133" s="3" t="s">
        <v>149</v>
      </c>
      <c r="AO133" s="156">
        <v>1.0</v>
      </c>
      <c r="AP133" s="156" t="s">
        <v>6037</v>
      </c>
      <c r="AQ133" s="158" t="s">
        <v>6214</v>
      </c>
      <c r="AR133" s="153" t="s">
        <v>2960</v>
      </c>
      <c r="AS133" s="165" t="s">
        <v>6366</v>
      </c>
      <c r="AT133" s="153" t="s">
        <v>1068</v>
      </c>
      <c r="AU133" s="3" t="s">
        <v>149</v>
      </c>
    </row>
    <row r="134">
      <c r="A134" s="186">
        <v>67.0</v>
      </c>
      <c r="B134" s="152">
        <v>2023.0</v>
      </c>
      <c r="D134" s="152"/>
      <c r="E134" s="151">
        <v>67.0</v>
      </c>
      <c r="F134" s="129" t="s">
        <v>140</v>
      </c>
      <c r="G134" s="3" t="s">
        <v>6029</v>
      </c>
      <c r="H134" s="8" t="str">
        <f>IFERROR(__xludf.DUMMYFUNCTION("""COMPUTED_VALUE"""),"")</f>
        <v/>
      </c>
      <c r="I134" s="8" t="s">
        <v>6367</v>
      </c>
      <c r="J134" s="8" t="s">
        <v>143</v>
      </c>
      <c r="K134" s="8" t="s">
        <v>144</v>
      </c>
      <c r="L134" s="8" t="s">
        <v>693</v>
      </c>
      <c r="M134" s="153" t="s">
        <v>694</v>
      </c>
      <c r="N134" s="8" t="s">
        <v>151</v>
      </c>
      <c r="O134" s="8" t="s">
        <v>6368</v>
      </c>
      <c r="P134" s="8" t="s">
        <v>6369</v>
      </c>
      <c r="Q134" s="142" t="s">
        <v>6333</v>
      </c>
      <c r="R134" s="3" t="s">
        <v>149</v>
      </c>
      <c r="S134" s="3" t="s">
        <v>149</v>
      </c>
      <c r="T134" s="8"/>
      <c r="U134" s="8">
        <f>IFERROR(__xludf.DUMMYFUNCTION("""COMPUTED_VALUE"""),116.0)</f>
        <v>116</v>
      </c>
      <c r="V134" s="8"/>
      <c r="W134" s="8"/>
      <c r="X134" s="8"/>
      <c r="Y134" s="8"/>
      <c r="AA134" s="8" t="s">
        <v>697</v>
      </c>
      <c r="AB134" s="8" t="s">
        <v>699</v>
      </c>
      <c r="AC134" s="3" t="s">
        <v>149</v>
      </c>
      <c r="AG134" s="3" t="s">
        <v>149</v>
      </c>
      <c r="AH134" s="3" t="s">
        <v>149</v>
      </c>
      <c r="AI134" s="8" t="s">
        <v>6370</v>
      </c>
      <c r="AJ134" s="8" t="s">
        <v>233</v>
      </c>
      <c r="AL134" s="3" t="s">
        <v>149</v>
      </c>
      <c r="AM134" s="3" t="s">
        <v>149</v>
      </c>
      <c r="AN134" s="3" t="s">
        <v>149</v>
      </c>
      <c r="AO134" s="8"/>
      <c r="AP134" s="8"/>
      <c r="AR134" s="8" t="s">
        <v>395</v>
      </c>
      <c r="AS134" s="8" t="s">
        <v>6371</v>
      </c>
      <c r="AT134" s="8" t="s">
        <v>703</v>
      </c>
      <c r="AU134" s="3" t="s">
        <v>149</v>
      </c>
    </row>
    <row r="135">
      <c r="A135" s="186">
        <v>67.0</v>
      </c>
      <c r="B135" s="152">
        <v>2025.0</v>
      </c>
      <c r="C135" s="153" t="str">
        <f>CONCATENATE(D135, "-", M135, "-", A135)
</f>
        <v>2023-PH015514000-67</v>
      </c>
      <c r="D135" s="152">
        <f>IF(OR(F134="Published", F134="Unpublished"), 2023, IF(F134="New", 2025, ""))
</f>
        <v>2023</v>
      </c>
      <c r="E135" s="151">
        <v>67.0</v>
      </c>
      <c r="F135" s="156" t="s">
        <v>140</v>
      </c>
      <c r="G135" s="156" t="s">
        <v>141</v>
      </c>
      <c r="H135" s="153" t="str">
        <f>IFERROR(__xludf.DUMMYFUNCTION("""COMPUTED_VALUE"""),"**Restoration_project** changed from ASEAN Australia Living Coastal Resources Project to Project 2A. Sexual Reproduction in Selected Reef Coral Species Across the Archipelago, **Restoration_project_short** changed from Site at Silaqui Island and Guiguiwan"&amp;"en Bay to Unknown, **Year of establishment** changed from 1991 to 2014, **Project Start** changed from Unknown to 2014, **Project End** changed from Unknown to 2017, **Restoration method** changed from Artificial Reef to Sexual Reproduction, **Technique/M"&amp;"aterial Type** changed from Concrete tent-like to Direct observation and histological examination, **Restoration objective** changed from Experimental to Research; Determine the timing of spawning / planulation of representative coral species, **Funding a"&amp;"gency** changed from Unknown to DOST-PCAARRD, **Total funding** changed from Unknown to 2,682,661.50, **Total units** changed from 32 modules to Unknown, **Partners_public** changed from Unknown to University of the Philippines Diliman; Mindanao State Uni"&amp;"versity - Tawi-Tawi, **Partners_private** changed from Unknown to University of San Carlos, **Reference** changed from Conference Proceeding to Marine Science Institute (n.d.). Project 2A. Sexual Reproduction in Selected Reef Coral Species across the Arch"&amp;"ipelago. College of Science, University of Philippines., **Website** changed from https://pdf.usaid.gov/pdf_docs/pnabx173.pdf; https://www.researchgate.net/publication/233624454_Early_Successional_Patterns_of_Invertebrates_in_Artificial_Reefs_Established_"&amp;"at_Clear_and_Silty_Areas_in_Bolinao_Pangasinan_Northern_Philippines; https://www.academia.edu/49933389/Early_successional_patterns_of_invertebrates_in_artificial_reefs_established_at_clear_and_silty_areas_in_Bolinao_Pangasinan_Northern_Philippines to Repo"&amp;"rt uploaded in the Google Drive, **Contact_name** changed from I. Pamintuan; R. Rollon; P. Alino to Dr. Patrick Cabaitan")</f>
        <v>**Restoration_project** changed from ASEAN Australia Living Coastal Resources Project to Project 2A. Sexual Reproduction in Selected Reef Coral Species Across the Archipelago, **Restoration_project_short** changed from Site at Silaqui Island and Guiguiwanen Bay to Unknown, **Year of establishment** changed from 1991 to 2014, **Project Start** changed from Unknown to 2014, **Project End** changed from Unknown to 2017, **Restoration method** changed from Artificial Reef to Sexual Reproduction, **Technique/Material Type** changed from Concrete tent-like to Direct observation and histological examination, **Restoration objective** changed from Experimental to Research; Determine the timing of spawning / planulation of representative coral species, **Funding agency** changed from Unknown to DOST-PCAARRD, **Total funding** changed from Unknown to 2,682,661.50, **Total units** changed from 32 modules to Unknown, **Partners_public** changed from Unknown to University of the Philippines Diliman; Mindanao State University - Tawi-Tawi, **Partners_private** changed from Unknown to University of San Carlos, **Reference** changed from Conference Proceeding to Marine Science Institute (n.d.). Project 2A. Sexual Reproduction in Selected Reef Coral Species across the Archipelago. College of Science, University of Philippines., **Website** changed from https://pdf.usaid.gov/pdf_docs/pnabx173.pdf; https://www.researchgate.net/publication/233624454_Early_Successional_Patterns_of_Invertebrates_in_Artificial_Reefs_Established_at_Clear_and_Silty_Areas_in_Bolinao_Pangasinan_Northern_Philippines; https://www.academia.edu/49933389/Early_successional_patterns_of_invertebrates_in_artificial_reefs_established_at_clear_and_silty_areas_in_Bolinao_Pangasinan_Northern_Philippines to Report uploaded in the Google Drive, **Contact_name** changed from I. Pamintuan; R. Rollon; P. Alino to Dr. Patrick Cabaitan</v>
      </c>
      <c r="I135" s="153" t="s">
        <v>6372</v>
      </c>
      <c r="J135" s="153" t="s">
        <v>143</v>
      </c>
      <c r="K135" s="153" t="s">
        <v>144</v>
      </c>
      <c r="L135" s="153" t="s">
        <v>693</v>
      </c>
      <c r="M135" s="157" t="s">
        <v>694</v>
      </c>
      <c r="N135" s="153" t="s">
        <v>6221</v>
      </c>
      <c r="O135" s="153" t="s">
        <v>1846</v>
      </c>
      <c r="P135" s="176" t="s">
        <v>149</v>
      </c>
      <c r="Q135" s="169">
        <v>2014.0</v>
      </c>
      <c r="R135" s="175" t="s">
        <v>6063</v>
      </c>
      <c r="S135" s="175" t="s">
        <v>6152</v>
      </c>
      <c r="T135" s="156" t="s">
        <v>199</v>
      </c>
      <c r="U135" s="153">
        <f>IFERROR(__xludf.DUMMYFUNCTION("""COMPUTED_VALUE"""),117.0)</f>
        <v>117</v>
      </c>
      <c r="V135" s="191" t="s">
        <v>3299</v>
      </c>
      <c r="W135" s="184" t="s">
        <v>154</v>
      </c>
      <c r="X135" s="180"/>
      <c r="Y135" s="180" t="s">
        <v>154</v>
      </c>
      <c r="Z135" s="158" t="s">
        <v>1847</v>
      </c>
      <c r="AA135" s="158" t="s">
        <v>1847</v>
      </c>
      <c r="AB135" s="153" t="s">
        <v>1848</v>
      </c>
      <c r="AC135" s="153" t="s">
        <v>321</v>
      </c>
      <c r="AD135" s="158" t="s">
        <v>160</v>
      </c>
      <c r="AE135" s="158" t="s">
        <v>6035</v>
      </c>
      <c r="AF135" s="158" t="s">
        <v>204</v>
      </c>
      <c r="AG135" s="175" t="s">
        <v>6246</v>
      </c>
      <c r="AH135" s="158" t="s">
        <v>149</v>
      </c>
      <c r="AI135" s="158" t="s">
        <v>149</v>
      </c>
      <c r="AJ135" s="153" t="s">
        <v>233</v>
      </c>
      <c r="AK135" s="158" t="s">
        <v>6068</v>
      </c>
      <c r="AL135" s="153" t="s">
        <v>1854</v>
      </c>
      <c r="AM135" s="153" t="s">
        <v>885</v>
      </c>
      <c r="AN135" s="3" t="s">
        <v>149</v>
      </c>
      <c r="AO135" s="156">
        <v>1.0</v>
      </c>
      <c r="AP135" s="156" t="s">
        <v>6037</v>
      </c>
      <c r="AQ135" s="153" t="s">
        <v>6084</v>
      </c>
      <c r="AR135" s="153" t="s">
        <v>1851</v>
      </c>
      <c r="AS135" s="153" t="s">
        <v>6070</v>
      </c>
      <c r="AT135" s="153" t="s">
        <v>943</v>
      </c>
      <c r="AU135" s="3" t="s">
        <v>149</v>
      </c>
    </row>
    <row r="136">
      <c r="A136" s="186">
        <v>68.0</v>
      </c>
      <c r="B136" s="152">
        <v>2023.0</v>
      </c>
      <c r="D136" s="152"/>
      <c r="E136" s="151">
        <v>68.0</v>
      </c>
      <c r="F136" s="129" t="s">
        <v>140</v>
      </c>
      <c r="G136" s="3" t="s">
        <v>6029</v>
      </c>
      <c r="H136" s="8" t="str">
        <f>IFERROR(__xludf.DUMMYFUNCTION("""COMPUTED_VALUE"""),"")</f>
        <v/>
      </c>
      <c r="I136" s="8" t="s">
        <v>6373</v>
      </c>
      <c r="J136" s="8" t="s">
        <v>143</v>
      </c>
      <c r="K136" s="8" t="s">
        <v>144</v>
      </c>
      <c r="L136" s="8" t="s">
        <v>693</v>
      </c>
      <c r="M136" s="153" t="s">
        <v>694</v>
      </c>
      <c r="N136" s="8" t="s">
        <v>6062</v>
      </c>
      <c r="O136" s="8" t="s">
        <v>1377</v>
      </c>
      <c r="P136" s="8" t="s">
        <v>6374</v>
      </c>
      <c r="Q136" s="181" t="s">
        <v>6199</v>
      </c>
      <c r="R136" s="142" t="s">
        <v>6199</v>
      </c>
      <c r="S136" s="142" t="s">
        <v>6339</v>
      </c>
      <c r="T136" s="8"/>
      <c r="U136" s="8">
        <f>IFERROR(__xludf.DUMMYFUNCTION("""COMPUTED_VALUE"""),118.0)</f>
        <v>118</v>
      </c>
      <c r="V136" s="8"/>
      <c r="W136" s="8"/>
      <c r="X136" s="8"/>
      <c r="Y136" s="8"/>
      <c r="AA136" s="8" t="s">
        <v>179</v>
      </c>
      <c r="AB136" s="8" t="s">
        <v>204</v>
      </c>
      <c r="AC136" s="8" t="s">
        <v>1381</v>
      </c>
      <c r="AG136" s="3" t="s">
        <v>149</v>
      </c>
      <c r="AH136" s="3" t="s">
        <v>149</v>
      </c>
      <c r="AI136" s="3" t="s">
        <v>149</v>
      </c>
      <c r="AJ136" s="8" t="s">
        <v>233</v>
      </c>
      <c r="AL136" s="8" t="s">
        <v>660</v>
      </c>
      <c r="AM136" s="3" t="s">
        <v>149</v>
      </c>
      <c r="AN136" s="3" t="s">
        <v>149</v>
      </c>
      <c r="AO136" s="8"/>
      <c r="AP136" s="8"/>
      <c r="AR136" s="8" t="s">
        <v>6214</v>
      </c>
      <c r="AS136" s="172" t="s">
        <v>6341</v>
      </c>
      <c r="AT136" s="8" t="s">
        <v>1068</v>
      </c>
      <c r="AU136" s="3" t="s">
        <v>149</v>
      </c>
    </row>
    <row r="137">
      <c r="A137" s="186">
        <v>68.0</v>
      </c>
      <c r="B137" s="152">
        <v>2025.0</v>
      </c>
      <c r="C137" s="153" t="str">
        <f>CONCATENATE(D137, "-", M137, "-", A137)
</f>
        <v>2023-PH015514000-68</v>
      </c>
      <c r="D137" s="152">
        <f>IF(OR(F136="Published", F136="Unpublished"), 2023, IF(F136="New", 2025, ""))
</f>
        <v>2023</v>
      </c>
      <c r="E137" s="151">
        <v>68.0</v>
      </c>
      <c r="F137" s="156" t="s">
        <v>140</v>
      </c>
      <c r="G137" s="156" t="s">
        <v>141</v>
      </c>
      <c r="H137" s="153" t="str">
        <f>IFERROR(__xludf.DUMMYFUNCTION("""COMPUTED_VALUE"""),"**Restoration_project** changed from Fisheries Sector Program to Project 1. Culture Technologies for Coral Propagules from Eggs and Larvae, **Restoration_project_short** changed from Site at Santiago Island to Project was conceptualized to contribute to t"&amp;"he development of techniques in restoring degraded reef areas with the use of sexually-derived coral propagules, **Year of establishment** changed from 1994 to 2014, **Project Start** changed from 1994 to 2014, **Project End** changed from 1995 to 2017, *"&amp;"*Restoration method** changed from Asexual Reproduction to Sexual Reproduction, **Technique/Material Type** changed from Coral transplantation to Gravid colony and broadcasting species collection, **Restoration objective** changed from Research to Researc"&amp;"h; Develop culture technologies for sexually-derived coral propagules for reef restoration; Increase the production rate of cultured juvenile corals, **Funding agency** changed from ADB, Overseas Economic Cooperation Fund of Japan to DOST-PCAARRD, **Total"&amp;" funding** changed from Unknown to 2,803,661.28, **Partners_public** changed from DA to University of the Philippines Diliman; , **Reference** changed from Published article to Marine Science Institute (n.d.). Project 1. Culture technologies for coral pro"&amp;"pagules from eggs and larvae. College of Science, University of the Philippines Diliman., **Website** changed from Physiological and ecological aspects of coral transplantation - ScienceDirect to Report uploaded in the Google Drive, **Contact_name** chang"&amp;"ed from Dr. H.T. Yap to Dr. Patrick Cabaitan")</f>
        <v>**Restoration_project** changed from Fisheries Sector Program to Project 1. Culture Technologies for Coral Propagules from Eggs and Larvae, **Restoration_project_short** changed from Site at Santiago Island to Project was conceptualized to contribute to the development of techniques in restoring degraded reef areas with the use of sexually-derived coral propagules, **Year of establishment** changed from 1994 to 2014, **Project Start** changed from 1994 to 2014, **Project End** changed from 1995 to 2017, **Restoration method** changed from Asexual Reproduction to Sexual Reproduction, **Technique/Material Type** changed from Coral transplantation to Gravid colony and broadcasting species collection, **Restoration objective** changed from Research to Research; Develop culture technologies for sexually-derived coral propagules for reef restoration; Increase the production rate of cultured juvenile corals, **Funding agency** changed from ADB, Overseas Economic Cooperation Fund of Japan to DOST-PCAARRD, **Total funding** changed from Unknown to 2,803,661.28, **Partners_public** changed from DA to University of the Philippines Diliman; , **Reference** changed from Published article to Marine Science Institute (n.d.). Project 1. Culture technologies for coral propagules from eggs and larvae. College of Science, University of the Philippines Diliman., **Website** changed from Physiological and ecological aspects of coral transplantation - ScienceDirect to Report uploaded in the Google Drive, **Contact_name** changed from Dr. H.T. Yap to Dr. Patrick Cabaitan</v>
      </c>
      <c r="I137" s="153" t="s">
        <v>6375</v>
      </c>
      <c r="J137" s="153" t="s">
        <v>143</v>
      </c>
      <c r="K137" s="153" t="s">
        <v>144</v>
      </c>
      <c r="L137" s="153" t="s">
        <v>693</v>
      </c>
      <c r="M137" s="181" t="s">
        <v>694</v>
      </c>
      <c r="N137" s="153" t="s">
        <v>6221</v>
      </c>
      <c r="O137" s="153" t="s">
        <v>1828</v>
      </c>
      <c r="P137" s="153" t="s">
        <v>6256</v>
      </c>
      <c r="Q137" s="169">
        <v>2014.0</v>
      </c>
      <c r="R137" s="175" t="s">
        <v>6063</v>
      </c>
      <c r="S137" s="175" t="s">
        <v>6152</v>
      </c>
      <c r="T137" s="156" t="s">
        <v>199</v>
      </c>
      <c r="U137" s="153">
        <f>IFERROR(__xludf.DUMMYFUNCTION("""COMPUTED_VALUE"""),119.0)</f>
        <v>119</v>
      </c>
      <c r="V137" s="191" t="s">
        <v>3299</v>
      </c>
      <c r="W137" s="184" t="s">
        <v>154</v>
      </c>
      <c r="X137" s="180"/>
      <c r="Y137" s="180" t="s">
        <v>154</v>
      </c>
      <c r="Z137" s="158" t="s">
        <v>1830</v>
      </c>
      <c r="AA137" s="158" t="s">
        <v>1830</v>
      </c>
      <c r="AB137" s="153" t="s">
        <v>1831</v>
      </c>
      <c r="AC137" s="153" t="s">
        <v>321</v>
      </c>
      <c r="AD137" s="158" t="s">
        <v>160</v>
      </c>
      <c r="AE137" s="158" t="s">
        <v>6035</v>
      </c>
      <c r="AF137" s="158" t="s">
        <v>204</v>
      </c>
      <c r="AG137" s="175" t="s">
        <v>6243</v>
      </c>
      <c r="AH137" s="158" t="s">
        <v>149</v>
      </c>
      <c r="AI137" s="158" t="s">
        <v>149</v>
      </c>
      <c r="AJ137" s="153" t="s">
        <v>233</v>
      </c>
      <c r="AK137" s="158" t="s">
        <v>6068</v>
      </c>
      <c r="AL137" s="153" t="s">
        <v>1837</v>
      </c>
      <c r="AM137" s="3" t="s">
        <v>149</v>
      </c>
      <c r="AN137" s="3" t="s">
        <v>149</v>
      </c>
      <c r="AO137" s="156">
        <v>1.0</v>
      </c>
      <c r="AP137" s="156" t="s">
        <v>6037</v>
      </c>
      <c r="AQ137" s="153" t="s">
        <v>6084</v>
      </c>
      <c r="AR137" s="153" t="s">
        <v>1834</v>
      </c>
      <c r="AS137" s="153" t="s">
        <v>6070</v>
      </c>
      <c r="AT137" s="153" t="s">
        <v>943</v>
      </c>
      <c r="AU137" s="3" t="s">
        <v>149</v>
      </c>
    </row>
    <row r="138">
      <c r="A138" s="186">
        <v>69.0</v>
      </c>
      <c r="B138" s="152">
        <v>2023.0</v>
      </c>
      <c r="D138" s="152"/>
      <c r="E138" s="151">
        <v>69.0</v>
      </c>
      <c r="F138" s="129" t="s">
        <v>140</v>
      </c>
      <c r="G138" s="3" t="s">
        <v>6029</v>
      </c>
      <c r="H138" s="8" t="str">
        <f>IFERROR(__xludf.DUMMYFUNCTION("""COMPUTED_VALUE"""),"")</f>
        <v/>
      </c>
      <c r="I138" s="8" t="s">
        <v>6376</v>
      </c>
      <c r="J138" s="8" t="s">
        <v>143</v>
      </c>
      <c r="K138" s="8" t="s">
        <v>144</v>
      </c>
      <c r="L138" s="8" t="s">
        <v>693</v>
      </c>
      <c r="M138" s="173" t="s">
        <v>694</v>
      </c>
      <c r="N138" s="8" t="s">
        <v>6062</v>
      </c>
      <c r="O138" s="3" t="s">
        <v>149</v>
      </c>
      <c r="P138" s="3" t="s">
        <v>149</v>
      </c>
      <c r="Q138" s="3" t="s">
        <v>149</v>
      </c>
      <c r="R138" s="142" t="s">
        <v>6343</v>
      </c>
      <c r="S138" s="142" t="s">
        <v>6073</v>
      </c>
      <c r="T138" s="8"/>
      <c r="U138" s="8">
        <f>IFERROR(__xludf.DUMMYFUNCTION("""COMPUTED_VALUE"""),120.0)</f>
        <v>120</v>
      </c>
      <c r="V138" s="8"/>
      <c r="W138" s="8"/>
      <c r="X138" s="8"/>
      <c r="Y138" s="8"/>
      <c r="AA138" s="8" t="s">
        <v>179</v>
      </c>
      <c r="AB138" s="8" t="s">
        <v>204</v>
      </c>
      <c r="AC138" s="3" t="s">
        <v>149</v>
      </c>
      <c r="AG138" s="3" t="s">
        <v>149</v>
      </c>
      <c r="AH138" s="3" t="s">
        <v>149</v>
      </c>
      <c r="AI138" s="3" t="s">
        <v>149</v>
      </c>
      <c r="AJ138" s="8" t="s">
        <v>233</v>
      </c>
      <c r="AL138" s="3" t="s">
        <v>149</v>
      </c>
      <c r="AM138" s="3" t="s">
        <v>149</v>
      </c>
      <c r="AN138" s="3" t="s">
        <v>149</v>
      </c>
      <c r="AO138" s="8"/>
      <c r="AP138" s="8"/>
      <c r="AR138" s="8" t="s">
        <v>6214</v>
      </c>
      <c r="AS138" s="172" t="s">
        <v>6377</v>
      </c>
      <c r="AT138" s="8" t="s">
        <v>1068</v>
      </c>
      <c r="AU138" s="3" t="s">
        <v>149</v>
      </c>
    </row>
    <row r="139">
      <c r="A139" s="186">
        <v>69.0</v>
      </c>
      <c r="B139" s="152">
        <v>2025.0</v>
      </c>
      <c r="C139" s="153" t="str">
        <f>CONCATENATE(D139, "-", M139, "-", A139)
</f>
        <v>2023-PH015514000-69</v>
      </c>
      <c r="D139" s="152">
        <f>IF(OR(F138="Published", F138="Unpublished"), 2023, IF(F138="New", 2025, ""))
</f>
        <v>2023</v>
      </c>
      <c r="E139" s="151">
        <v>69.0</v>
      </c>
      <c r="F139" s="156" t="s">
        <v>140</v>
      </c>
      <c r="G139" s="156" t="s">
        <v>141</v>
      </c>
      <c r="H139" s="153" t="str">
        <f>IFERROR(__xludf.DUMMYFUNCTION("""COMPUTED_VALUE"""),"**Restoration_project_short** changed from Unknown to Site at Riripayan Point (N 16.3833333; E 119.91805555555555); Survivorship of coral juveniles in a fish farm environment, **Year of establishment** changed from Unknown to 2004, **Project Start** chang"&amp;"ed from 1980 to 2004, **Project End** changed from 1982 to 2004, **Restoration method** changed from Asexual Reproduction to Sexual Reproduction; Asexual Reproduction, **Technique/Material Type** changed from Coral transplantation to Larval settlement in "&amp;"terracota tiles; metal grid platforms in replicate sites, **Restoration objective** changed from Research to Research; Investigate the effect of fish farm effluent on the juvenile survivorship of the reef-building coral Seriatopora caliendrum, **Funding a"&amp;"gency** changed from Unknown to Shell Philippines Exploration B.V., **Total units** changed from Unknown to 212 juveniles, **Reference** changed from Published article to Villanueva, R. D., Yap, H. T., &amp; Montano, M. N. (2005). Survivorship of coral juveni"&amp;"les in a fish farm environment. Marine Pollution Bulletin, 51(5-7), 580-589. https://doi.org/10.1016/j.marpolbul.2005.04.033, **Website** changed from Growth of Acropora pulchra | SpringerLink; https://link.springer.com/article/10.1007/BF00539430 to https"&amp;"://www.sciencedirect.com/science/article/abs/pii/S0025326X05001669?via%3Dihub, **Contact_name** changed from Dr. H.T. Yap to Dr. Ronald Villanueva; Dr. H.T. Yap")</f>
        <v>**Restoration_project_short** changed from Unknown to Site at Riripayan Point (N 16.3833333; E 119.91805555555555); Survivorship of coral juveniles in a fish farm environment, **Year of establishment** changed from Unknown to 2004, **Project Start** changed from 1980 to 2004, **Project End** changed from 1982 to 2004, **Restoration method** changed from Asexual Reproduction to Sexual Reproduction; Asexual Reproduction, **Technique/Material Type** changed from Coral transplantation to Larval settlement in terracota tiles; metal grid platforms in replicate sites, **Restoration objective** changed from Research to Research; Investigate the effect of fish farm effluent on the juvenile survivorship of the reef-building coral Seriatopora caliendrum, **Funding agency** changed from Unknown to Shell Philippines Exploration B.V., **Total units** changed from Unknown to 212 juveniles, **Reference** changed from Published article to Villanueva, R. D., Yap, H. T., &amp; Montano, M. N. (2005). Survivorship of coral juveniles in a fish farm environment. Marine Pollution Bulletin, 51(5-7), 580-589. https://doi.org/10.1016/j.marpolbul.2005.04.033, **Website** changed from Growth of Acropora pulchra | SpringerLink; https://link.springer.com/article/10.1007/BF00539430 to https://www.sciencedirect.com/science/article/abs/pii/S0025326X05001669?via%3Dihub, **Contact_name** changed from Dr. H.T. Yap to Dr. Ronald Villanueva; Dr. H.T. Yap</v>
      </c>
      <c r="I139" s="153" t="s">
        <v>6378</v>
      </c>
      <c r="J139" s="153" t="s">
        <v>143</v>
      </c>
      <c r="K139" s="153" t="s">
        <v>144</v>
      </c>
      <c r="L139" s="153" t="s">
        <v>693</v>
      </c>
      <c r="M139" s="181" t="s">
        <v>694</v>
      </c>
      <c r="N139" s="158" t="s">
        <v>6259</v>
      </c>
      <c r="O139" s="158" t="s">
        <v>149</v>
      </c>
      <c r="P139" s="153" t="s">
        <v>6379</v>
      </c>
      <c r="Q139" s="178">
        <v>2004.0</v>
      </c>
      <c r="R139" s="160" t="s">
        <v>6328</v>
      </c>
      <c r="S139" s="160" t="s">
        <v>6328</v>
      </c>
      <c r="T139" s="156" t="s">
        <v>298</v>
      </c>
      <c r="U139" s="153">
        <f>IFERROR(__xludf.DUMMYFUNCTION("""COMPUTED_VALUE"""),121.0)</f>
        <v>121</v>
      </c>
      <c r="V139" s="191" t="s">
        <v>6261</v>
      </c>
      <c r="W139" s="179" t="s">
        <v>154</v>
      </c>
      <c r="X139" s="180"/>
      <c r="Y139" s="180" t="s">
        <v>154</v>
      </c>
      <c r="Z139" s="158" t="s">
        <v>2964</v>
      </c>
      <c r="AA139" s="158" t="s">
        <v>2964</v>
      </c>
      <c r="AB139" s="153" t="s">
        <v>2965</v>
      </c>
      <c r="AC139" s="158" t="s">
        <v>2966</v>
      </c>
      <c r="AD139" s="158" t="s">
        <v>160</v>
      </c>
      <c r="AE139" s="158" t="s">
        <v>184</v>
      </c>
      <c r="AF139" s="158" t="s">
        <v>204</v>
      </c>
      <c r="AG139" s="164" t="s">
        <v>149</v>
      </c>
      <c r="AH139" s="158" t="s">
        <v>149</v>
      </c>
      <c r="AI139" s="158" t="s">
        <v>2967</v>
      </c>
      <c r="AJ139" s="153" t="s">
        <v>233</v>
      </c>
      <c r="AK139" s="158" t="s">
        <v>6068</v>
      </c>
      <c r="AL139" s="3" t="s">
        <v>149</v>
      </c>
      <c r="AM139" s="3" t="s">
        <v>149</v>
      </c>
      <c r="AN139" s="3" t="s">
        <v>149</v>
      </c>
      <c r="AO139" s="156">
        <v>2.0</v>
      </c>
      <c r="AP139" s="156" t="s">
        <v>6264</v>
      </c>
      <c r="AQ139" s="158" t="s">
        <v>6214</v>
      </c>
      <c r="AR139" s="153" t="s">
        <v>2968</v>
      </c>
      <c r="AS139" s="165" t="s">
        <v>2969</v>
      </c>
      <c r="AT139" s="153" t="s">
        <v>2970</v>
      </c>
      <c r="AU139" s="3" t="s">
        <v>149</v>
      </c>
    </row>
    <row r="140">
      <c r="A140" s="186">
        <v>70.0</v>
      </c>
      <c r="B140" s="152">
        <v>2023.0</v>
      </c>
      <c r="D140" s="152"/>
      <c r="E140" s="151">
        <v>70.0</v>
      </c>
      <c r="F140" s="129" t="s">
        <v>140</v>
      </c>
      <c r="G140" s="3" t="s">
        <v>6029</v>
      </c>
      <c r="H140" s="8" t="str">
        <f>IFERROR(__xludf.DUMMYFUNCTION("""COMPUTED_VALUE"""),"")</f>
        <v/>
      </c>
      <c r="I140" s="8" t="s">
        <v>6380</v>
      </c>
      <c r="J140" s="8" t="s">
        <v>143</v>
      </c>
      <c r="K140" s="8" t="s">
        <v>144</v>
      </c>
      <c r="L140" s="8" t="s">
        <v>693</v>
      </c>
      <c r="M140" s="153" t="s">
        <v>694</v>
      </c>
      <c r="N140" s="8" t="s">
        <v>6062</v>
      </c>
      <c r="O140" s="3" t="s">
        <v>149</v>
      </c>
      <c r="P140" s="8" t="s">
        <v>6381</v>
      </c>
      <c r="Q140" s="142" t="s">
        <v>6078</v>
      </c>
      <c r="R140" s="3" t="s">
        <v>149</v>
      </c>
      <c r="S140" s="3" t="s">
        <v>149</v>
      </c>
      <c r="T140" s="8"/>
      <c r="U140" s="8">
        <f>IFERROR(__xludf.DUMMYFUNCTION("""COMPUTED_VALUE"""),122.0)</f>
        <v>122</v>
      </c>
      <c r="V140" s="8"/>
      <c r="W140" s="8"/>
      <c r="X140" s="8"/>
      <c r="Y140" s="8"/>
      <c r="AA140" s="8" t="s">
        <v>179</v>
      </c>
      <c r="AB140" s="8" t="s">
        <v>204</v>
      </c>
      <c r="AC140" s="3" t="s">
        <v>149</v>
      </c>
      <c r="AG140" s="3" t="s">
        <v>149</v>
      </c>
      <c r="AH140" s="3" t="s">
        <v>149</v>
      </c>
      <c r="AI140" s="3" t="s">
        <v>149</v>
      </c>
      <c r="AJ140" s="8" t="s">
        <v>233</v>
      </c>
      <c r="AL140" s="3" t="s">
        <v>149</v>
      </c>
      <c r="AM140" s="3" t="s">
        <v>149</v>
      </c>
      <c r="AN140" s="3" t="s">
        <v>149</v>
      </c>
      <c r="AO140" s="8"/>
      <c r="AP140" s="8"/>
      <c r="AR140" s="8" t="s">
        <v>6214</v>
      </c>
      <c r="AS140" s="172" t="s">
        <v>6382</v>
      </c>
      <c r="AT140" s="8" t="s">
        <v>1068</v>
      </c>
      <c r="AU140" s="3" t="s">
        <v>149</v>
      </c>
      <c r="AV140" s="8" t="s">
        <v>6109</v>
      </c>
    </row>
    <row r="141">
      <c r="A141" s="186">
        <v>70.0</v>
      </c>
      <c r="B141" s="152">
        <v>2025.0</v>
      </c>
      <c r="C141" s="153" t="str">
        <f>CONCATENATE(D141, "-", M141, "-", A141)
</f>
        <v>2023-PH015514000-70</v>
      </c>
      <c r="D141" s="152">
        <f>IF(OR(F140="Published", F140="Unpublished"), 2023, IF(F140="New", 2025, ""))
</f>
        <v>2023</v>
      </c>
      <c r="E141" s="151">
        <v>70.0</v>
      </c>
      <c r="F141" s="156" t="s">
        <v>140</v>
      </c>
      <c r="G141" s="156" t="s">
        <v>141</v>
      </c>
      <c r="H141" s="153" t="str">
        <f>IFERROR(__xludf.DUMMYFUNCTION("""COMPUTED_VALUE"""),"**Restoration_project_short** changed from Site at Cangaluyan Island, Bolinao; Different site from previous study of H.T. Yap and E. Gomez to Site in Guiguiwanen Channel (N 16.3866667; E 119.91694444444445); Fish farm effluents alter reef benthic assembla"&amp;"ges and reduce coral settlement, **Year of establishment** changed from 1983 to 2018, **Project Start** changed from Unknown to 2018, **Project End** changed from Unknown to 2018, **Restoration method** changed from Asexual Reproduction to Sexual Reproduc"&amp;"tion; Asexual Reproduction, **Technique/Material Type** changed from Coral transplantation to Larval settlement in fiber cement tiles; transplantation of tiles in replicate sites, **Restoration objective** changed from Research to Research; Test the settl"&amp;"ement rate of Pocillopora acuta larvae on artificial substrate near fish farms, **Funding agency** changed from Unknown to UP OVPAA, **Partners_public** changed from Unknown to DOST-PCAARRD, **Reference** changed from Published article to Quimpo, T. R., L"&amp;"igson, C., Manogan, D., Requilme, J. N., Albelda, R., Conaco, C., &amp; Cabaitan, P. (2020). Fish farm effluents alter reef benthic assemblages and reduce coral settlement. Marine Pollution Bulletin, 153. doi: 10.1016/j.marpolbul.2020.111025, **Website** chan"&amp;"ged from m083p091.pdf (int-res.com) to https://pubmed.ncbi.nlm.nih.gov/32275570/, **Contact_name** changed from Dr. H.T. Yap to Dr. Timothy James Quimpo")</f>
        <v>**Restoration_project_short** changed from Site at Cangaluyan Island, Bolinao; Different site from previous study of H.T. Yap and E. Gomez to Site in Guiguiwanen Channel (N 16.3866667; E 119.91694444444445); Fish farm effluents alter reef benthic assemblages and reduce coral settlement, **Year of establishment** changed from 1983 to 2018, **Project Start** changed from Unknown to 2018, **Project End** changed from Unknown to 2018, **Restoration method** changed from Asexual Reproduction to Sexual Reproduction; Asexual Reproduction, **Technique/Material Type** changed from Coral transplantation to Larval settlement in fiber cement tiles; transplantation of tiles in replicate sites, **Restoration objective** changed from Research to Research; Test the settlement rate of Pocillopora acuta larvae on artificial substrate near fish farms, **Funding agency** changed from Unknown to UP OVPAA, **Partners_public** changed from Unknown to DOST-PCAARRD, **Reference** changed from Published article to Quimpo, T. R., Ligson, C., Manogan, D., Requilme, J. N., Albelda, R., Conaco, C., &amp; Cabaitan, P. (2020). Fish farm effluents alter reef benthic assemblages and reduce coral settlement. Marine Pollution Bulletin, 153. doi: 10.1016/j.marpolbul.2020.111025, **Website** changed from m083p091.pdf (int-res.com) to https://pubmed.ncbi.nlm.nih.gov/32275570/, **Contact_name** changed from Dr. H.T. Yap to Dr. Timothy James Quimpo</v>
      </c>
      <c r="I141" s="153" t="s">
        <v>6383</v>
      </c>
      <c r="J141" s="153" t="s">
        <v>143</v>
      </c>
      <c r="K141" s="153" t="s">
        <v>144</v>
      </c>
      <c r="L141" s="153" t="s">
        <v>693</v>
      </c>
      <c r="M141" s="157" t="s">
        <v>694</v>
      </c>
      <c r="N141" s="158" t="s">
        <v>6259</v>
      </c>
      <c r="O141" s="158" t="s">
        <v>149</v>
      </c>
      <c r="P141" s="153" t="s">
        <v>6384</v>
      </c>
      <c r="Q141" s="178">
        <v>2018.0</v>
      </c>
      <c r="R141" s="160" t="s">
        <v>6098</v>
      </c>
      <c r="S141" s="160" t="s">
        <v>6098</v>
      </c>
      <c r="T141" s="156" t="s">
        <v>298</v>
      </c>
      <c r="U141" s="153">
        <f>IFERROR(__xludf.DUMMYFUNCTION("""COMPUTED_VALUE"""),123.0)</f>
        <v>123</v>
      </c>
      <c r="V141" s="191" t="s">
        <v>3299</v>
      </c>
      <c r="W141" s="179" t="s">
        <v>154</v>
      </c>
      <c r="X141" s="180"/>
      <c r="Y141" s="180" t="s">
        <v>154</v>
      </c>
      <c r="Z141" s="156" t="s">
        <v>149</v>
      </c>
      <c r="AA141" s="153" t="s">
        <v>6385</v>
      </c>
      <c r="AB141" s="153" t="s">
        <v>2973</v>
      </c>
      <c r="AC141" s="158" t="s">
        <v>2974</v>
      </c>
      <c r="AD141" s="158" t="s">
        <v>160</v>
      </c>
      <c r="AE141" s="158" t="s">
        <v>209</v>
      </c>
      <c r="AF141" s="158" t="s">
        <v>204</v>
      </c>
      <c r="AG141" s="164" t="s">
        <v>149</v>
      </c>
      <c r="AH141" s="158" t="s">
        <v>149</v>
      </c>
      <c r="AI141" s="158" t="s">
        <v>149</v>
      </c>
      <c r="AJ141" s="158" t="s">
        <v>233</v>
      </c>
      <c r="AK141" s="158" t="s">
        <v>6068</v>
      </c>
      <c r="AL141" s="153" t="s">
        <v>321</v>
      </c>
      <c r="AM141" s="3" t="s">
        <v>149</v>
      </c>
      <c r="AN141" s="3" t="s">
        <v>149</v>
      </c>
      <c r="AO141" s="156">
        <v>2.0</v>
      </c>
      <c r="AP141" s="156" t="s">
        <v>6264</v>
      </c>
      <c r="AQ141" s="158" t="s">
        <v>6214</v>
      </c>
      <c r="AR141" s="153" t="s">
        <v>2975</v>
      </c>
      <c r="AS141" s="165" t="s">
        <v>2976</v>
      </c>
      <c r="AT141" s="153" t="s">
        <v>2977</v>
      </c>
      <c r="AU141" s="3" t="s">
        <v>149</v>
      </c>
    </row>
    <row r="142">
      <c r="A142" s="186">
        <v>71.0</v>
      </c>
      <c r="B142" s="152">
        <v>2023.0</v>
      </c>
      <c r="D142" s="152"/>
      <c r="E142" s="151">
        <v>71.0</v>
      </c>
      <c r="F142" s="129" t="s">
        <v>140</v>
      </c>
      <c r="G142" s="3" t="s">
        <v>6029</v>
      </c>
      <c r="H142" s="8" t="str">
        <f>IFERROR(__xludf.DUMMYFUNCTION("""COMPUTED_VALUE"""),"")</f>
        <v/>
      </c>
      <c r="I142" s="8" t="s">
        <v>6386</v>
      </c>
      <c r="J142" s="8" t="s">
        <v>143</v>
      </c>
      <c r="K142" s="8" t="s">
        <v>144</v>
      </c>
      <c r="L142" s="8" t="s">
        <v>693</v>
      </c>
      <c r="M142" s="173" t="s">
        <v>694</v>
      </c>
      <c r="N142" s="8" t="s">
        <v>6062</v>
      </c>
      <c r="O142" s="3" t="s">
        <v>149</v>
      </c>
      <c r="P142" s="8" t="s">
        <v>6387</v>
      </c>
      <c r="Q142" s="142" t="s">
        <v>6388</v>
      </c>
      <c r="R142" s="3" t="s">
        <v>149</v>
      </c>
      <c r="S142" s="3" t="s">
        <v>149</v>
      </c>
      <c r="T142" s="8"/>
      <c r="U142" s="8">
        <f>IFERROR(__xludf.DUMMYFUNCTION("""COMPUTED_VALUE"""),124.0)</f>
        <v>124</v>
      </c>
      <c r="V142" s="8"/>
      <c r="W142" s="8"/>
      <c r="X142" s="8"/>
      <c r="Y142" s="8"/>
      <c r="AA142" s="8" t="s">
        <v>6389</v>
      </c>
      <c r="AB142" s="8" t="s">
        <v>204</v>
      </c>
      <c r="AC142" s="3" t="s">
        <v>149</v>
      </c>
      <c r="AG142" s="3" t="s">
        <v>149</v>
      </c>
      <c r="AH142" s="3" t="s">
        <v>149</v>
      </c>
      <c r="AI142" s="3" t="s">
        <v>149</v>
      </c>
      <c r="AJ142" s="8" t="s">
        <v>233</v>
      </c>
      <c r="AL142" s="3" t="s">
        <v>149</v>
      </c>
      <c r="AM142" s="3" t="s">
        <v>149</v>
      </c>
      <c r="AN142" s="3" t="s">
        <v>149</v>
      </c>
      <c r="AO142" s="8"/>
      <c r="AP142" s="8"/>
      <c r="AR142" s="8" t="s">
        <v>6214</v>
      </c>
      <c r="AS142" s="172" t="s">
        <v>6359</v>
      </c>
      <c r="AT142" s="8" t="s">
        <v>1068</v>
      </c>
      <c r="AU142" s="3" t="s">
        <v>149</v>
      </c>
    </row>
    <row r="143">
      <c r="A143" s="186">
        <v>71.0</v>
      </c>
      <c r="B143" s="152">
        <v>2025.0</v>
      </c>
      <c r="C143" s="153" t="str">
        <f>CONCATENATE(D143, "-", M143, "-", A143)
</f>
        <v>2023-PH015514000-71</v>
      </c>
      <c r="D143" s="152">
        <f>IF(OR(F142="Published", F142="Unpublished"), 2023, IF(F142="New", 2025, ""))
</f>
        <v>2023</v>
      </c>
      <c r="E143" s="151">
        <v>71.0</v>
      </c>
      <c r="F143" s="156" t="s">
        <v>140</v>
      </c>
      <c r="G143" s="156" t="s">
        <v>141</v>
      </c>
      <c r="H143" s="153" t="str">
        <f>IFERROR(__xludf.DUMMYFUNCTION("""COMPUTED_VALUE"""),"**Restoration_project_short** changed from Tank culture; Natural site at Santiago Island to Three sites in Silaqui (N 1820191, E 811925), Binabalian (N 1818242, E 811084), Malilnep (N 1819479, E 813857); Comparison of three types of adhesive in attaching "&amp;"coral transplants to clam shell substrates, **Year of establishment** changed from 2003 (publication year) to 2005, **Project Start** changed from Unknown to 2005, **Project End** changed from Unknown to 2006, **Technique/Material Type** changed from Tank"&amp;" culture; Coral transplantation to Nubbin collection through fragmentation; attachment using cyanoacrylate glue, epoxy putty, and marine epoxy, **Restoration objective** changed from Research to Research; Comparison of three types of adhesives in attachin"&amp;"g coral transplants, **Funding agency** changed from Unknown to European Commission INCO-DEV REEFRES, **Total units** changed from Unknown to 540 nubbins, **Reference** changed from Published article to Dizon, R. M., Edwards, A., &amp; Gomez, E. (2008). Compa"&amp;"rison of three types of adhesive in attaching coral transplants to clam shell substrates. Aquatic Conservation: Marine and Freshwater Ecosystems. DOI: 10.1002/aqc.944, **Website** changed from Comparison of coral growth and survival under enclosed, semi-n"&amp;"atural conditions and in the field - ScienceDirect to https://www.researchgate.net/publication/227686360_Comparison_of_three_types_of_adhesive_in_attaching_coral_transplants_to_clam_shell_substrates, **Contact_name** changed from Dr. H.T. Yap to Dr. Romeo"&amp;" Dizon")</f>
        <v>**Restoration_project_short** changed from Tank culture; Natural site at Santiago Island to Three sites in Silaqui (N 1820191, E 811925), Binabalian (N 1818242, E 811084), Malilnep (N 1819479, E 813857); Comparison of three types of adhesive in attaching coral transplants to clam shell substrates, **Year of establishment** changed from 2003 (publication year) to 2005, **Project Start** changed from Unknown to 2005, **Project End** changed from Unknown to 2006, **Technique/Material Type** changed from Tank culture; Coral transplantation to Nubbin collection through fragmentation; attachment using cyanoacrylate glue, epoxy putty, and marine epoxy, **Restoration objective** changed from Research to Research; Comparison of three types of adhesives in attaching coral transplants, **Funding agency** changed from Unknown to European Commission INCO-DEV REEFRES, **Total units** changed from Unknown to 540 nubbins, **Reference** changed from Published article to Dizon, R. M., Edwards, A., &amp; Gomez, E. (2008). Comparison of three types of adhesive in attaching coral transplants to clam shell substrates. Aquatic Conservation: Marine and Freshwater Ecosystems. DOI: 10.1002/aqc.944, **Website** changed from Comparison of coral growth and survival under enclosed, semi-natural conditions and in the field - ScienceDirect to https://www.researchgate.net/publication/227686360_Comparison_of_three_types_of_adhesive_in_attaching_coral_transplants_to_clam_shell_substrates, **Contact_name** changed from Dr. H.T. Yap to Dr. Romeo Dizon</v>
      </c>
      <c r="I143" s="153" t="s">
        <v>6390</v>
      </c>
      <c r="J143" s="153" t="s">
        <v>143</v>
      </c>
      <c r="K143" s="153" t="s">
        <v>144</v>
      </c>
      <c r="L143" s="153" t="s">
        <v>693</v>
      </c>
      <c r="M143" s="181" t="s">
        <v>694</v>
      </c>
      <c r="N143" s="153" t="s">
        <v>6062</v>
      </c>
      <c r="O143" s="158" t="s">
        <v>149</v>
      </c>
      <c r="P143" s="153" t="s">
        <v>6391</v>
      </c>
      <c r="Q143" s="178">
        <v>2005.0</v>
      </c>
      <c r="R143" s="160" t="s">
        <v>6230</v>
      </c>
      <c r="S143" s="160" t="s">
        <v>6392</v>
      </c>
      <c r="T143" s="156" t="s">
        <v>177</v>
      </c>
      <c r="U143" s="153">
        <f>IFERROR(__xludf.DUMMYFUNCTION("""COMPUTED_VALUE"""),125.0)</f>
        <v>125</v>
      </c>
      <c r="V143" s="191" t="s">
        <v>3245</v>
      </c>
      <c r="W143" s="184" t="s">
        <v>149</v>
      </c>
      <c r="X143" s="180"/>
      <c r="Y143" s="180" t="s">
        <v>154</v>
      </c>
      <c r="Z143" s="158" t="s">
        <v>2980</v>
      </c>
      <c r="AA143" s="158" t="s">
        <v>2980</v>
      </c>
      <c r="AB143" s="153" t="s">
        <v>6393</v>
      </c>
      <c r="AC143" s="158" t="s">
        <v>2982</v>
      </c>
      <c r="AD143" s="158" t="s">
        <v>6154</v>
      </c>
      <c r="AE143" s="158" t="s">
        <v>206</v>
      </c>
      <c r="AF143" s="158" t="s">
        <v>204</v>
      </c>
      <c r="AG143" s="164" t="s">
        <v>149</v>
      </c>
      <c r="AH143" s="158" t="s">
        <v>149</v>
      </c>
      <c r="AI143" s="158" t="s">
        <v>2983</v>
      </c>
      <c r="AJ143" s="158" t="s">
        <v>233</v>
      </c>
      <c r="AK143" s="158" t="s">
        <v>6068</v>
      </c>
      <c r="AL143" s="3" t="s">
        <v>149</v>
      </c>
      <c r="AM143" s="3" t="s">
        <v>149</v>
      </c>
      <c r="AN143" s="3" t="s">
        <v>149</v>
      </c>
      <c r="AO143" s="156">
        <v>1.0</v>
      </c>
      <c r="AP143" s="156" t="s">
        <v>6037</v>
      </c>
      <c r="AQ143" s="158" t="s">
        <v>6214</v>
      </c>
      <c r="AR143" s="153" t="s">
        <v>2984</v>
      </c>
      <c r="AS143" s="172" t="s">
        <v>2985</v>
      </c>
      <c r="AT143" s="153" t="s">
        <v>2986</v>
      </c>
      <c r="AU143" s="3" t="s">
        <v>149</v>
      </c>
    </row>
    <row r="144">
      <c r="A144" s="186">
        <v>72.0</v>
      </c>
      <c r="B144" s="152">
        <v>2023.0</v>
      </c>
      <c r="D144" s="152"/>
      <c r="E144" s="151">
        <v>72.0</v>
      </c>
      <c r="F144" s="129" t="s">
        <v>140</v>
      </c>
      <c r="G144" s="3" t="s">
        <v>6029</v>
      </c>
      <c r="H144" s="8" t="str">
        <f>IFERROR(__xludf.DUMMYFUNCTION("""COMPUTED_VALUE"""),"")</f>
        <v/>
      </c>
      <c r="I144" s="8" t="s">
        <v>6394</v>
      </c>
      <c r="J144" s="8" t="s">
        <v>143</v>
      </c>
      <c r="K144" s="8" t="s">
        <v>144</v>
      </c>
      <c r="L144" s="8" t="s">
        <v>693</v>
      </c>
      <c r="M144" s="153" t="s">
        <v>694</v>
      </c>
      <c r="N144" s="8" t="s">
        <v>6062</v>
      </c>
      <c r="O144" s="3" t="s">
        <v>149</v>
      </c>
      <c r="P144" s="8" t="s">
        <v>6374</v>
      </c>
      <c r="Q144" s="142" t="s">
        <v>6395</v>
      </c>
      <c r="R144" s="3" t="s">
        <v>149</v>
      </c>
      <c r="S144" s="3" t="s">
        <v>149</v>
      </c>
      <c r="T144" s="8"/>
      <c r="U144" s="8">
        <f>IFERROR(__xludf.DUMMYFUNCTION("""COMPUTED_VALUE"""),126.0)</f>
        <v>126</v>
      </c>
      <c r="V144" s="8"/>
      <c r="W144" s="8"/>
      <c r="X144" s="8"/>
      <c r="Y144" s="8"/>
      <c r="AA144" s="8" t="s">
        <v>179</v>
      </c>
      <c r="AB144" s="8" t="s">
        <v>204</v>
      </c>
      <c r="AC144" s="3" t="s">
        <v>149</v>
      </c>
      <c r="AG144" s="3" t="s">
        <v>149</v>
      </c>
      <c r="AH144" s="3" t="s">
        <v>149</v>
      </c>
      <c r="AI144" s="3" t="s">
        <v>149</v>
      </c>
      <c r="AJ144" s="8" t="s">
        <v>233</v>
      </c>
      <c r="AL144" s="3" t="s">
        <v>149</v>
      </c>
      <c r="AM144" s="3" t="s">
        <v>149</v>
      </c>
      <c r="AN144" s="3" t="s">
        <v>149</v>
      </c>
      <c r="AO144" s="8"/>
      <c r="AP144" s="8"/>
      <c r="AR144" s="8" t="s">
        <v>6214</v>
      </c>
      <c r="AS144" s="172" t="s">
        <v>6366</v>
      </c>
      <c r="AT144" s="8" t="s">
        <v>1068</v>
      </c>
      <c r="AU144" s="3" t="s">
        <v>149</v>
      </c>
    </row>
    <row r="145">
      <c r="A145" s="186">
        <v>72.0</v>
      </c>
      <c r="B145" s="152">
        <v>2025.0</v>
      </c>
      <c r="C145" s="153" t="str">
        <f>CONCATENATE(D145, "-", M145, "-", A145)
</f>
        <v>2023-PH015514000-72</v>
      </c>
      <c r="D145" s="152">
        <f>IF(OR(F144="Published", F144="Unpublished"), 2023, IF(F144="New", 2025, ""))
</f>
        <v>2023</v>
      </c>
      <c r="E145" s="151">
        <v>72.0</v>
      </c>
      <c r="F145" s="156" t="s">
        <v>140</v>
      </c>
      <c r="G145" s="156" t="s">
        <v>141</v>
      </c>
      <c r="H145" s="153" t="str">
        <f>IFERROR(__xludf.DUMMYFUNCTION("""COMPUTED_VALUE"""),"**Restoration_project** changed from Unknown to Enhancing Recovery by Transplantation of Corals / Coral Reef Targeted Research and Capacity Building for Management Program, **Restoration_project_short** changed from Site at Santiago Island to Site in Sila"&amp;"qui Island (N 16.4454167, E 119.92408333333334); Fixed and suspended coral nurseries in the Philippines: Establishing the first step in the ""gardening concept"" of reef restoration , **Year of establishment** changed from 2004 (publication year) to 2005,"&amp;" **Project Start** changed from Unknown to 2005, **Technique/Material Type** changed from Coral transplantation to CNU; suspended nursery and leg-fixed nursery (plastic mesh and PVC pipe frames), **Restoration objective** changed from Research to Research"&amp;"; Analyzed and compared survivorship, bleaching and growth rates of fragments between the different nurseries, species and genotypes, **Funding agency** changed from Unknown to Global Environment Facility / World Bank, **Total units** changed from Unknown"&amp;" to 6,824 ramets, **Partners_private** changed from Unknown to European Union INCO-DEV Project, **Reference** changed from Published article to Shaish, L., Levy, G., Gomez, E., &amp; Rinkevich, B. (2008). Fixed and suspended coral nurseries in the Philippines"&amp;": Establishing the first step in the ""gardening concept"" of reef restoration. Journal of Experimental Marine Biology and Ecology, 358(1), 86-97. https://doi.org/10.1016/j.jembe.2008.01.024, **Website** changed from Differential survival of coral transpl"&amp;"ants on various substrates under elevated water temperatures - ScienceDirect to https://www.sciencedirect.com/science/article/abs/pii/S002209810800066X?via%3Dihub, **Contact_name** changed from Dr. H.T. Yap to Lee Shaish, **Contact_details** changed from "&amp;"Unknown to lishaish@yahoo.com")</f>
        <v>**Restoration_project** changed from Unknown to Enhancing Recovery by Transplantation of Corals / Coral Reef Targeted Research and Capacity Building for Management Program, **Restoration_project_short** changed from Site at Santiago Island to Site in Silaqui Island (N 16.4454167, E 119.92408333333334); Fixed and suspended coral nurseries in the Philippines: Establishing the first step in the "gardening concept" of reef restoration , **Year of establishment** changed from 2004 (publication year) to 2005, **Project Start** changed from Unknown to 2005, **Technique/Material Type** changed from Coral transplantation to CNU; suspended nursery and leg-fixed nursery (plastic mesh and PVC pipe frames), **Restoration objective** changed from Research to Research; Analyzed and compared survivorship, bleaching and growth rates of fragments between the different nurseries, species and genotypes, **Funding agency** changed from Unknown to Global Environment Facility / World Bank, **Total units** changed from Unknown to 6,824 ramets, **Partners_private** changed from Unknown to European Union INCO-DEV Project, **Reference** changed from Published article to Shaish, L., Levy, G., Gomez, E., &amp; Rinkevich, B. (2008). Fixed and suspended coral nurseries in the Philippines: Establishing the first step in the "gardening concept" of reef restoration. Journal of Experimental Marine Biology and Ecology, 358(1), 86-97. https://doi.org/10.1016/j.jembe.2008.01.024, **Website** changed from Differential survival of coral transplants on various substrates under elevated water temperatures - ScienceDirect to https://www.sciencedirect.com/science/article/abs/pii/S002209810800066X?via%3Dihub, **Contact_name** changed from Dr. H.T. Yap to Lee Shaish, **Contact_details** changed from Unknown to lishaish@yahoo.com</v>
      </c>
      <c r="I145" s="153" t="s">
        <v>6396</v>
      </c>
      <c r="J145" s="153" t="s">
        <v>143</v>
      </c>
      <c r="K145" s="153" t="s">
        <v>144</v>
      </c>
      <c r="L145" s="153" t="s">
        <v>693</v>
      </c>
      <c r="M145" s="181" t="s">
        <v>694</v>
      </c>
      <c r="N145" s="153" t="s">
        <v>6062</v>
      </c>
      <c r="O145" s="158" t="s">
        <v>6397</v>
      </c>
      <c r="P145" s="153" t="s">
        <v>6398</v>
      </c>
      <c r="Q145" s="182">
        <v>2005.0</v>
      </c>
      <c r="R145" s="175" t="s">
        <v>6230</v>
      </c>
      <c r="S145" s="160" t="s">
        <v>149</v>
      </c>
      <c r="T145" s="156" t="s">
        <v>177</v>
      </c>
      <c r="U145" s="153">
        <f>IFERROR(__xludf.DUMMYFUNCTION("""COMPUTED_VALUE"""),127.0)</f>
        <v>127</v>
      </c>
      <c r="V145" s="191" t="s">
        <v>1359</v>
      </c>
      <c r="W145" s="179" t="s">
        <v>6066</v>
      </c>
      <c r="X145" s="180"/>
      <c r="Y145" s="180" t="s">
        <v>154</v>
      </c>
      <c r="Z145" s="153" t="s">
        <v>6399</v>
      </c>
      <c r="AA145" s="153" t="s">
        <v>6400</v>
      </c>
      <c r="AB145" s="153" t="s">
        <v>1019</v>
      </c>
      <c r="AC145" s="153" t="s">
        <v>1020</v>
      </c>
      <c r="AD145" s="158" t="s">
        <v>6154</v>
      </c>
      <c r="AE145" s="158" t="s">
        <v>206</v>
      </c>
      <c r="AF145" s="158" t="s">
        <v>204</v>
      </c>
      <c r="AG145" s="164" t="s">
        <v>149</v>
      </c>
      <c r="AH145" s="158" t="s">
        <v>149</v>
      </c>
      <c r="AI145" s="158" t="s">
        <v>1021</v>
      </c>
      <c r="AJ145" s="158" t="s">
        <v>233</v>
      </c>
      <c r="AK145" s="158" t="s">
        <v>6068</v>
      </c>
      <c r="AL145" s="3" t="s">
        <v>149</v>
      </c>
      <c r="AM145" s="153" t="s">
        <v>1022</v>
      </c>
      <c r="AN145" s="3" t="s">
        <v>149</v>
      </c>
      <c r="AO145" s="156">
        <v>1.0</v>
      </c>
      <c r="AP145" s="156" t="s">
        <v>6037</v>
      </c>
      <c r="AQ145" s="158" t="s">
        <v>6214</v>
      </c>
      <c r="AR145" s="153" t="s">
        <v>1023</v>
      </c>
      <c r="AS145" s="172" t="s">
        <v>1024</v>
      </c>
      <c r="AT145" s="153" t="s">
        <v>1025</v>
      </c>
      <c r="AU145" s="165" t="s">
        <v>1026</v>
      </c>
    </row>
    <row r="146">
      <c r="A146" s="186">
        <v>73.0</v>
      </c>
      <c r="B146" s="152">
        <v>2023.0</v>
      </c>
      <c r="D146" s="152"/>
      <c r="E146" s="151">
        <v>73.0</v>
      </c>
      <c r="F146" s="129" t="s">
        <v>140</v>
      </c>
      <c r="G146" s="3" t="s">
        <v>6029</v>
      </c>
      <c r="H146" s="8" t="str">
        <f>IFERROR(__xludf.DUMMYFUNCTION("""COMPUTED_VALUE"""),"")</f>
        <v/>
      </c>
      <c r="I146" s="8" t="s">
        <v>6401</v>
      </c>
      <c r="J146" s="8" t="s">
        <v>143</v>
      </c>
      <c r="K146" s="8" t="s">
        <v>144</v>
      </c>
      <c r="L146" s="8" t="s">
        <v>693</v>
      </c>
      <c r="M146" s="153" t="s">
        <v>694</v>
      </c>
      <c r="N146" s="8" t="s">
        <v>6221</v>
      </c>
      <c r="O146" s="8" t="s">
        <v>1846</v>
      </c>
      <c r="Q146" s="142" t="s">
        <v>6063</v>
      </c>
      <c r="R146" s="142" t="s">
        <v>6063</v>
      </c>
      <c r="S146" s="142" t="s">
        <v>6152</v>
      </c>
      <c r="T146" s="8"/>
      <c r="U146" s="8">
        <f>IFERROR(__xludf.DUMMYFUNCTION("""COMPUTED_VALUE"""),128.0)</f>
        <v>128</v>
      </c>
      <c r="V146" s="8"/>
      <c r="W146" s="3"/>
      <c r="X146" s="8"/>
      <c r="Y146" s="8"/>
      <c r="AA146" s="3" t="s">
        <v>149</v>
      </c>
      <c r="AB146" s="8" t="s">
        <v>1848</v>
      </c>
      <c r="AC146" s="8" t="s">
        <v>321</v>
      </c>
      <c r="AD146" s="193" t="s">
        <v>149</v>
      </c>
      <c r="AE146" s="193" t="s">
        <v>149</v>
      </c>
      <c r="AF146" s="193" t="s">
        <v>149</v>
      </c>
      <c r="AG146" s="181" t="s">
        <v>6246</v>
      </c>
      <c r="AH146" s="3" t="s">
        <v>149</v>
      </c>
      <c r="AI146" s="3" t="s">
        <v>149</v>
      </c>
      <c r="AJ146" s="8" t="s">
        <v>233</v>
      </c>
      <c r="AL146" s="8" t="s">
        <v>1854</v>
      </c>
      <c r="AM146" s="8" t="s">
        <v>885</v>
      </c>
      <c r="AN146" s="3" t="s">
        <v>149</v>
      </c>
      <c r="AO146" s="8"/>
      <c r="AP146" s="8"/>
      <c r="AR146" s="8" t="s">
        <v>6257</v>
      </c>
      <c r="AS146" s="3" t="s">
        <v>149</v>
      </c>
      <c r="AT146" s="8" t="s">
        <v>943</v>
      </c>
      <c r="AU146" s="3" t="s">
        <v>149</v>
      </c>
    </row>
    <row r="147">
      <c r="A147" s="186">
        <v>73.0</v>
      </c>
      <c r="B147" s="152">
        <v>2025.0</v>
      </c>
      <c r="C147" s="153" t="str">
        <f>CONCATENATE(D147, "-", M147, "-", A147)
</f>
        <v>2023-PH015514000-73</v>
      </c>
      <c r="D147" s="152">
        <f>IF(OR(F146="Published", F146="Unpublished"), 2023, IF(F146="New", 2025, ""))
</f>
        <v>2023</v>
      </c>
      <c r="E147" s="151">
        <v>73.0</v>
      </c>
      <c r="F147" s="156" t="s">
        <v>140</v>
      </c>
      <c r="G147" s="156" t="s">
        <v>141</v>
      </c>
      <c r="H147" s="153" t="str">
        <f>IFERROR(__xludf.DUMMYFUNCTION("""COMPUTED_VALUE"""),"**Restoration_project** changed from Project 2A. Sexual Reproduction in Selected Reef Coral Species Across the Archipelago to Enhancing Recovery by Transplantation of Corals / Coral Reef Targeted Research and Capacity Building for Management Program, **Re"&amp;"storation_project_short** changed from to Site in Santiago Island (N 16.4454167, E 119.92408333333334); Employing a highly fragmented, weedy coral species in reef restoration, **Year of establishment** changed from 2014 to 2005, **Project Start** changed "&amp;"from 2014 to 2005, **Project End** changed from 2017 to 2007, **Restoration method** changed from Sexual Reproduction to Asexual Reproduction, **Technique/Material Type** changed from Unknown to CNU; transplantation, **Restoration objective** changed from"&amp;" Research; Determine the timing of spawning / planulation of representative coral species to Research; Study the use of Montipora digitata coral species in restoration, **Funding agency** changed from DOST-PCAARRD to Global Environment Facility / World Ba"&amp;"nk, **Total funding** changed from 2,682,661.50 to Unknown, **Total units** changed from Unknown to 1,960 ramets, **Implementing institution** changed from UP MSI to University of Haifa, **Partners_public** changed from University of the Philippines Dilim"&amp;"an; Mindanao State University - Tawi-Tawi to UP MSI, **Partners_private** changed from University of San Carlos to European Union INCO-DEV Project, **Reference** changed from Technical Report to Shaish, L., Levy, G., Katzir, G., &amp; Rinkevich, B. (2010). Em"&amp;"ploying a highly fragmented, weedy coral species in reef restoration. Ecological Engineering, 36(10), 1424-1432. https://doi.org/10.1016/j.ecoleng.2010.06.022, **Website** changed from Unknown to https://www.sciencedirect.com/science/article/abs/pii/S0925"&amp;"85741000176X, **Contact_name** changed from Dr. Patrick Cabaitan to Lee Shaish, **Contact_details** changed from Unknown to lishaish@yahoo.com")</f>
        <v>**Restoration_project** changed from Project 2A. Sexual Reproduction in Selected Reef Coral Species Across the Archipelago to Enhancing Recovery by Transplantation of Corals / Coral Reef Targeted Research and Capacity Building for Management Program, **Restoration_project_short** changed from to Site in Santiago Island (N 16.4454167, E 119.92408333333334); Employing a highly fragmented, weedy coral species in reef restoration, **Year of establishment** changed from 2014 to 2005, **Project Start** changed from 2014 to 2005, **Project End** changed from 2017 to 2007, **Restoration method** changed from Sexual Reproduction to Asexual Reproduction, **Technique/Material Type** changed from Unknown to CNU; transplantation, **Restoration objective** changed from Research; Determine the timing of spawning / planulation of representative coral species to Research; Study the use of Montipora digitata coral species in restoration, **Funding agency** changed from DOST-PCAARRD to Global Environment Facility / World Bank, **Total funding** changed from 2,682,661.50 to Unknown, **Total units** changed from Unknown to 1,960 ramets, **Implementing institution** changed from UP MSI to University of Haifa, **Partners_public** changed from University of the Philippines Diliman; Mindanao State University - Tawi-Tawi to UP MSI, **Partners_private** changed from University of San Carlos to European Union INCO-DEV Project, **Reference** changed from Technical Report to Shaish, L., Levy, G., Katzir, G., &amp; Rinkevich, B. (2010). Employing a highly fragmented, weedy coral species in reef restoration. Ecological Engineering, 36(10), 1424-1432. https://doi.org/10.1016/j.ecoleng.2010.06.022, **Website** changed from Unknown to https://www.sciencedirect.com/science/article/abs/pii/S092585741000176X, **Contact_name** changed from Dr. Patrick Cabaitan to Lee Shaish, **Contact_details** changed from Unknown to lishaish@yahoo.com</v>
      </c>
      <c r="I147" s="153" t="s">
        <v>6402</v>
      </c>
      <c r="J147" s="153" t="s">
        <v>143</v>
      </c>
      <c r="K147" s="153" t="s">
        <v>144</v>
      </c>
      <c r="L147" s="153" t="s">
        <v>693</v>
      </c>
      <c r="M147" s="157" t="s">
        <v>694</v>
      </c>
      <c r="N147" s="153" t="s">
        <v>6062</v>
      </c>
      <c r="O147" s="158" t="s">
        <v>6397</v>
      </c>
      <c r="P147" s="153" t="s">
        <v>6403</v>
      </c>
      <c r="Q147" s="169">
        <v>2005.0</v>
      </c>
      <c r="R147" s="160" t="s">
        <v>6230</v>
      </c>
      <c r="S147" s="160" t="s">
        <v>6404</v>
      </c>
      <c r="T147" s="156" t="s">
        <v>177</v>
      </c>
      <c r="U147" s="153">
        <f>IFERROR(__xludf.DUMMYFUNCTION("""COMPUTED_VALUE"""),129.0)</f>
        <v>129</v>
      </c>
      <c r="V147" s="191" t="s">
        <v>1359</v>
      </c>
      <c r="W147" s="179" t="s">
        <v>6066</v>
      </c>
      <c r="X147" s="180"/>
      <c r="Y147" s="180" t="s">
        <v>154</v>
      </c>
      <c r="Z147" s="158" t="s">
        <v>1029</v>
      </c>
      <c r="AA147" s="153" t="s">
        <v>1029</v>
      </c>
      <c r="AB147" s="153" t="s">
        <v>1030</v>
      </c>
      <c r="AC147" s="158" t="s">
        <v>1020</v>
      </c>
      <c r="AD147" s="158" t="s">
        <v>6154</v>
      </c>
      <c r="AE147" s="158" t="s">
        <v>206</v>
      </c>
      <c r="AF147" s="158" t="s">
        <v>204</v>
      </c>
      <c r="AG147" s="164" t="s">
        <v>149</v>
      </c>
      <c r="AH147" s="158" t="s">
        <v>149</v>
      </c>
      <c r="AI147" s="153" t="s">
        <v>1031</v>
      </c>
      <c r="AJ147" s="158" t="s">
        <v>1032</v>
      </c>
      <c r="AK147" s="158" t="s">
        <v>6068</v>
      </c>
      <c r="AL147" s="158" t="s">
        <v>233</v>
      </c>
      <c r="AM147" s="153" t="s">
        <v>1022</v>
      </c>
      <c r="AN147" s="3" t="s">
        <v>149</v>
      </c>
      <c r="AO147" s="156">
        <v>1.0</v>
      </c>
      <c r="AP147" s="156" t="s">
        <v>6037</v>
      </c>
      <c r="AQ147" s="158" t="s">
        <v>6214</v>
      </c>
      <c r="AR147" s="153" t="s">
        <v>1033</v>
      </c>
      <c r="AS147" s="165" t="s">
        <v>1034</v>
      </c>
      <c r="AT147" s="153" t="s">
        <v>1025</v>
      </c>
      <c r="AU147" s="165" t="s">
        <v>1026</v>
      </c>
    </row>
    <row r="148">
      <c r="A148" s="186">
        <v>74.0</v>
      </c>
      <c r="B148" s="152">
        <v>2023.0</v>
      </c>
      <c r="D148" s="152"/>
      <c r="E148" s="151">
        <v>74.0</v>
      </c>
      <c r="F148" s="129" t="s">
        <v>140</v>
      </c>
      <c r="G148" s="3" t="s">
        <v>6029</v>
      </c>
      <c r="H148" s="8" t="str">
        <f>IFERROR(__xludf.DUMMYFUNCTION("""COMPUTED_VALUE"""),"")</f>
        <v/>
      </c>
      <c r="I148" s="8" t="s">
        <v>6405</v>
      </c>
      <c r="J148" s="8" t="s">
        <v>143</v>
      </c>
      <c r="K148" s="8" t="s">
        <v>144</v>
      </c>
      <c r="L148" s="8" t="s">
        <v>693</v>
      </c>
      <c r="M148" s="173" t="s">
        <v>694</v>
      </c>
      <c r="N148" s="8" t="s">
        <v>6221</v>
      </c>
      <c r="O148" s="8" t="s">
        <v>1828</v>
      </c>
      <c r="P148" s="8" t="s">
        <v>6256</v>
      </c>
      <c r="Q148" s="142" t="s">
        <v>6063</v>
      </c>
      <c r="R148" s="142" t="s">
        <v>6063</v>
      </c>
      <c r="S148" s="142" t="s">
        <v>6152</v>
      </c>
      <c r="T148" s="8"/>
      <c r="U148" s="8">
        <f>IFERROR(__xludf.DUMMYFUNCTION("""COMPUTED_VALUE"""),130.0)</f>
        <v>130</v>
      </c>
      <c r="V148" s="8"/>
      <c r="W148" s="3"/>
      <c r="X148" s="8"/>
      <c r="Y148" s="8"/>
      <c r="AA148" s="3" t="s">
        <v>149</v>
      </c>
      <c r="AB148" s="8" t="s">
        <v>1831</v>
      </c>
      <c r="AC148" s="8" t="s">
        <v>321</v>
      </c>
      <c r="AD148" s="193" t="s">
        <v>149</v>
      </c>
      <c r="AE148" s="193" t="s">
        <v>149</v>
      </c>
      <c r="AF148" s="193" t="s">
        <v>149</v>
      </c>
      <c r="AG148" s="181" t="s">
        <v>6243</v>
      </c>
      <c r="AH148" s="3" t="s">
        <v>149</v>
      </c>
      <c r="AI148" s="3" t="s">
        <v>149</v>
      </c>
      <c r="AJ148" s="8" t="s">
        <v>233</v>
      </c>
      <c r="AL148" s="8" t="s">
        <v>1837</v>
      </c>
      <c r="AM148" s="3" t="s">
        <v>149</v>
      </c>
      <c r="AN148" s="3" t="s">
        <v>149</v>
      </c>
      <c r="AO148" s="8"/>
      <c r="AP148" s="8"/>
      <c r="AR148" s="8" t="s">
        <v>6257</v>
      </c>
      <c r="AS148" s="3" t="s">
        <v>149</v>
      </c>
      <c r="AT148" s="8" t="s">
        <v>943</v>
      </c>
      <c r="AU148" s="3" t="s">
        <v>149</v>
      </c>
    </row>
    <row r="149">
      <c r="A149" s="186">
        <v>74.0</v>
      </c>
      <c r="B149" s="152">
        <v>2025.0</v>
      </c>
      <c r="C149" s="153" t="str">
        <f>CONCATENATE(D149, "-", M149, "-", A149)
</f>
        <v>2023-PH015514000-74</v>
      </c>
      <c r="D149" s="152">
        <f>IF(OR(F148="Published", F148="Unpublished"), 2023, IF(F148="New", 2025, ""))
</f>
        <v>2023</v>
      </c>
      <c r="E149" s="151">
        <v>74.0</v>
      </c>
      <c r="F149" s="156" t="s">
        <v>140</v>
      </c>
      <c r="G149" s="156" t="s">
        <v>141</v>
      </c>
      <c r="H149" s="153" t="str">
        <f>IFERROR(__xludf.DUMMYFUNCTION("""COMPUTED_VALUE"""),"**Restoration_project** changed from Project 1. Culture Technologies for Coral Propagules from Eggs and Larvae to Enhancing Recovery by Transplantation of Corals / Coral Reef Targeted Research and Capacity Building for Management Program, **Restoration_pr"&amp;"oject_short** changed from Project was conceptualized to contribute to the development of techniques in restoring degraded reef areas with the use of sexually-derived coral propagules to Caging enhances post-settlement survival of juveniles of the sclerat"&amp;"inian coral Acropora tenuis, **Year of establishment** changed from 2014 to 2007, **Project Start** changed from 2014 to 2007, **Project End** changed from 2017 to 2007, **Restoration method** changed from Sexual Reproduction to Asexual Reproduction; Sexu"&amp;"al Reproduction, **Technique/Material Type** changed from Unknown to Larval settlement in fiber cement tiles; in-situ tile installation inside PVC mesh cages, **Restoration objective** changed from Research; Develop culture technologies for sexually-deriv"&amp;"ed coral propagules for reef restoration; Increase the production rate of cultured juvenile corals to Research; Examine the effect of herbivore exclusion on the survival of 6-week old spat of Acropora tenuis, **Funding agency** changed from DOST-PCAARRD t"&amp;"o Global Environment Facility / World Bank, **Total funding** changed from 2,803,661.28 to Unknown, **Total units** changed from Unknown to 120 tiles each with 20 coral spats, **Partners_public** changed from University of the Philippines Diliman; to Unkn"&amp;"own, **Partners_private** changed from Unknown to European Union INCO-DEV Project; Singapore Ministry of Education Academic Research Fund Tier 1 FRC, **Reference** changed from Technical Report to Baria, M. V., Guest, J. R., Edwards, A., Alino, P., Heywar"&amp;"d, A. &amp; Gomez, E. (2010). Caging enhances post-settlement survival of juveniles of the scleractinian coral Acropora tenuis. Journal of Experimental Marine Biology and Ecology, 394, 149-153. DOI:10.1016/j.jembe.2010.08.003, **Website** changed from Unknown"&amp;" to https://www.researchgate.net/publication/223475676_Caging_enhances_post-settlement_survival_of_juveniles_of_the_scleractinian_coral_Acropora_tenuis, **Contact_name** changed from Dr. Patrick Cabaitan to Dr. Maria Vanessa Baria Rodriguez")</f>
        <v>**Restoration_project** changed from Project 1. Culture Technologies for Coral Propagules from Eggs and Larvae to Enhancing Recovery by Transplantation of Corals / Coral Reef Targeted Research and Capacity Building for Management Program, **Restoration_project_short** changed from Project was conceptualized to contribute to the development of techniques in restoring degraded reef areas with the use of sexually-derived coral propagules to Caging enhances post-settlement survival of juveniles of the scleratinian coral Acropora tenuis, **Year of establishment** changed from 2014 to 2007, **Project Start** changed from 2014 to 2007, **Project End** changed from 2017 to 2007, **Restoration method** changed from Sexual Reproduction to Asexual Reproduction; Sexual Reproduction, **Technique/Material Type** changed from Unknown to Larval settlement in fiber cement tiles; in-situ tile installation inside PVC mesh cages, **Restoration objective** changed from Research; Develop culture technologies for sexually-derived coral propagules for reef restoration; Increase the production rate of cultured juvenile corals to Research; Examine the effect of herbivore exclusion on the survival of 6-week old spat of Acropora tenuis, **Funding agency** changed from DOST-PCAARRD to Global Environment Facility / World Bank, **Total funding** changed from 2,803,661.28 to Unknown, **Total units** changed from Unknown to 120 tiles each with 20 coral spats, **Partners_public** changed from University of the Philippines Diliman; to Unknown, **Partners_private** changed from Unknown to European Union INCO-DEV Project; Singapore Ministry of Education Academic Research Fund Tier 1 FRC, **Reference** changed from Technical Report to Baria, M. V., Guest, J. R., Edwards, A., Alino, P., Heyward, A. &amp; Gomez, E. (2010). Caging enhances post-settlement survival of juveniles of the scleractinian coral Acropora tenuis. Journal of Experimental Marine Biology and Ecology, 394, 149-153. DOI:10.1016/j.jembe.2010.08.003, **Website** changed from Unknown to https://www.researchgate.net/publication/223475676_Caging_enhances_post-settlement_survival_of_juveniles_of_the_scleractinian_coral_Acropora_tenuis, **Contact_name** changed from Dr. Patrick Cabaitan to Dr. Maria Vanessa Baria Rodriguez</v>
      </c>
      <c r="I149" s="153" t="s">
        <v>6406</v>
      </c>
      <c r="J149" s="153" t="s">
        <v>143</v>
      </c>
      <c r="K149" s="153" t="s">
        <v>144</v>
      </c>
      <c r="L149" s="153" t="s">
        <v>693</v>
      </c>
      <c r="M149" s="157" t="s">
        <v>694</v>
      </c>
      <c r="N149" s="153" t="s">
        <v>6407</v>
      </c>
      <c r="O149" s="158" t="s">
        <v>6397</v>
      </c>
      <c r="P149" s="153" t="s">
        <v>6408</v>
      </c>
      <c r="Q149" s="169">
        <v>2007.0</v>
      </c>
      <c r="R149" s="160" t="s">
        <v>6404</v>
      </c>
      <c r="S149" s="175" t="s">
        <v>6404</v>
      </c>
      <c r="T149" s="156" t="s">
        <v>298</v>
      </c>
      <c r="U149" s="153">
        <f>IFERROR(__xludf.DUMMYFUNCTION("""COMPUTED_VALUE"""),131.0)</f>
        <v>131</v>
      </c>
      <c r="V149" s="191" t="s">
        <v>3299</v>
      </c>
      <c r="W149" s="179" t="s">
        <v>154</v>
      </c>
      <c r="X149" s="180"/>
      <c r="Y149" s="180" t="s">
        <v>154</v>
      </c>
      <c r="Z149" s="158" t="s">
        <v>1055</v>
      </c>
      <c r="AA149" s="158" t="s">
        <v>1055</v>
      </c>
      <c r="AB149" s="153" t="s">
        <v>1056</v>
      </c>
      <c r="AC149" s="153" t="s">
        <v>1020</v>
      </c>
      <c r="AD149" s="158" t="s">
        <v>6154</v>
      </c>
      <c r="AE149" s="158" t="s">
        <v>206</v>
      </c>
      <c r="AF149" s="158" t="s">
        <v>204</v>
      </c>
      <c r="AG149" s="164" t="s">
        <v>149</v>
      </c>
      <c r="AH149" s="158" t="s">
        <v>149</v>
      </c>
      <c r="AI149" s="158" t="s">
        <v>1057</v>
      </c>
      <c r="AJ149" s="153" t="s">
        <v>233</v>
      </c>
      <c r="AK149" s="158" t="s">
        <v>6068</v>
      </c>
      <c r="AL149" s="3" t="s">
        <v>149</v>
      </c>
      <c r="AM149" s="153" t="s">
        <v>6409</v>
      </c>
      <c r="AN149" s="3" t="s">
        <v>149</v>
      </c>
      <c r="AO149" s="156">
        <v>2.0</v>
      </c>
      <c r="AP149" s="156" t="s">
        <v>6264</v>
      </c>
      <c r="AQ149" s="158" t="s">
        <v>6214</v>
      </c>
      <c r="AR149" s="153" t="s">
        <v>1059</v>
      </c>
      <c r="AS149" s="172" t="s">
        <v>1060</v>
      </c>
      <c r="AT149" s="153" t="s">
        <v>1061</v>
      </c>
      <c r="AU149" s="3" t="s">
        <v>149</v>
      </c>
    </row>
    <row r="150">
      <c r="A150" s="186">
        <v>75.0</v>
      </c>
      <c r="B150" s="152">
        <v>2023.0</v>
      </c>
      <c r="D150" s="152"/>
      <c r="E150" s="151">
        <v>75.0</v>
      </c>
      <c r="F150" s="129" t="s">
        <v>140</v>
      </c>
      <c r="G150" s="3" t="s">
        <v>6029</v>
      </c>
      <c r="H150" s="8" t="str">
        <f>IFERROR(__xludf.DUMMYFUNCTION("""COMPUTED_VALUE"""),"")</f>
        <v/>
      </c>
      <c r="I150" s="8" t="s">
        <v>6410</v>
      </c>
      <c r="J150" s="8" t="s">
        <v>143</v>
      </c>
      <c r="K150" s="8" t="s">
        <v>144</v>
      </c>
      <c r="L150" s="8" t="s">
        <v>693</v>
      </c>
      <c r="M150" s="173" t="s">
        <v>694</v>
      </c>
      <c r="N150" s="8" t="s">
        <v>6062</v>
      </c>
      <c r="O150" s="3" t="s">
        <v>149</v>
      </c>
      <c r="P150" s="8" t="s">
        <v>6411</v>
      </c>
      <c r="Q150" s="142" t="s">
        <v>6412</v>
      </c>
      <c r="R150" s="3" t="s">
        <v>149</v>
      </c>
      <c r="S150" s="3" t="s">
        <v>149</v>
      </c>
      <c r="T150" s="8"/>
      <c r="U150" s="8">
        <f>IFERROR(__xludf.DUMMYFUNCTION("""COMPUTED_VALUE"""),132.0)</f>
        <v>132</v>
      </c>
      <c r="V150" s="8"/>
      <c r="W150" s="8"/>
      <c r="X150" s="8"/>
      <c r="Y150" s="8"/>
      <c r="AA150" s="8" t="s">
        <v>6288</v>
      </c>
      <c r="AB150" s="8" t="s">
        <v>2965</v>
      </c>
      <c r="AC150" s="3" t="s">
        <v>149</v>
      </c>
      <c r="AD150" s="193" t="s">
        <v>149</v>
      </c>
      <c r="AE150" s="193" t="s">
        <v>149</v>
      </c>
      <c r="AF150" s="193" t="s">
        <v>149</v>
      </c>
      <c r="AG150" s="3" t="s">
        <v>149</v>
      </c>
      <c r="AH150" s="3" t="s">
        <v>149</v>
      </c>
      <c r="AI150" s="3" t="s">
        <v>149</v>
      </c>
      <c r="AJ150" s="8" t="s">
        <v>233</v>
      </c>
      <c r="AL150" s="3" t="s">
        <v>149</v>
      </c>
      <c r="AM150" s="3" t="s">
        <v>149</v>
      </c>
      <c r="AN150" s="3" t="s">
        <v>149</v>
      </c>
      <c r="AO150" s="8"/>
      <c r="AP150" s="8"/>
      <c r="AR150" s="8" t="s">
        <v>6214</v>
      </c>
      <c r="AS150" s="172" t="s">
        <v>2969</v>
      </c>
      <c r="AT150" s="8" t="s">
        <v>2970</v>
      </c>
      <c r="AU150" s="3" t="s">
        <v>149</v>
      </c>
    </row>
    <row r="151">
      <c r="A151" s="186">
        <v>75.0</v>
      </c>
      <c r="B151" s="152">
        <v>2025.0</v>
      </c>
      <c r="C151" s="153" t="str">
        <f>CONCATENATE(D151, "-", M151, "-", A151)
</f>
        <v>2023-PH015514000-75</v>
      </c>
      <c r="D151" s="152">
        <f>IF(OR(F150="Published", F150="Unpublished"), 2023, IF(F150="New", 2025, ""))
</f>
        <v>2023</v>
      </c>
      <c r="E151" s="151">
        <v>75.0</v>
      </c>
      <c r="F151" s="156" t="s">
        <v>140</v>
      </c>
      <c r="G151" s="156" t="s">
        <v>141</v>
      </c>
      <c r="H151" s="153" t="str">
        <f>IFERROR(__xludf.DUMMYFUNCTION("""COMPUTED_VALUE"""),"**Restoration_project** changed from Unknown to Enhancing Recovery by Transplantation of Corals / Coral Reef Targeted Research and Capacity Building for Management Program, **Restoration_project_short** changed from Survivorship of coral juveniles in a fi"&amp;"sh farm environment to Site in Silaqui Island; ""fixed to bottom"" nursery installed in Binabalian Labas; Mid-water rope nursery - testing design and performance of a novel reef restoration instrument, **Year of establishment** changed from 2005 (publicat"&amp;"ion year) to 2007, **Project Start** changed from Unknown to 2007, **Project End** changed from Unknown to 2008, **Technique/Material Type** changed from Transplantation to Mid-water rope nursery; ""fixed to bottom"" rope nursery, **Restoration objective*"&amp;"* changed from Research; Investigate the effect of fish farm effluent on the juvenile survivorship of the reef-building coral Seriatopora caliendrum to Research; Tested the design and performance of novel prototypes of floating nursery instruments, **Fund"&amp;"ing agency** changed from Unknown to Global Environment Facility / World Bank, **Total units** changed from Unknown to 1,200 fragments, **Implementing institution** changed from UP MSI to University of Haifa, **Partners_public** changed from Unknown to UP"&amp;" MSI, **Partners_private** changed from Unknown to European Union INCO-DEV Project, **Reference** changed from Published article to Levy, G., Shaish, L., Haim, A., &amp; Rinkevich, B. (2010). Mid-water rope nursery - testing design and performance of a novel "&amp;"reef restoration instrument. Ecological Engineering, 36(4), 560-569. https://doi.org/10.1016/j.ecoleng.2009.12.003, **Website** changed from https://www.sciencedirect.com/science/article/abs/pii/S0025326X05001669?via%3Dihub to https://www.sciencedirect.co"&amp;"m/science/article/abs/pii/S0925857409003498, **Contact_name** changed from Dr. Ronald Villanueva; Dr. H.T. Yap to Gideon Levy, **Contact_details** changed from Unknown to gidi.levi@gmail.com")</f>
        <v>**Restoration_project** changed from Unknown to Enhancing Recovery by Transplantation of Corals / Coral Reef Targeted Research and Capacity Building for Management Program, **Restoration_project_short** changed from Survivorship of coral juveniles in a fish farm environment to Site in Silaqui Island; "fixed to bottom" nursery installed in Binabalian Labas; Mid-water rope nursery - testing design and performance of a novel reef restoration instrument, **Year of establishment** changed from 2005 (publication year) to 2007, **Project Start** changed from Unknown to 2007, **Project End** changed from Unknown to 2008, **Technique/Material Type** changed from Transplantation to Mid-water rope nursery; "fixed to bottom" rope nursery, **Restoration objective** changed from Research; Investigate the effect of fish farm effluent on the juvenile survivorship of the reef-building coral Seriatopora caliendrum to Research; Tested the design and performance of novel prototypes of floating nursery instruments, **Funding agency** changed from Unknown to Global Environment Facility / World Bank, **Total units** changed from Unknown to 1,200 fragments, **Implementing institution** changed from UP MSI to University of Haifa, **Partners_public** changed from Unknown to UP MSI, **Partners_private** changed from Unknown to European Union INCO-DEV Project, **Reference** changed from Published article to Levy, G., Shaish, L., Haim, A., &amp; Rinkevich, B. (2010). Mid-water rope nursery - testing design and performance of a novel reef restoration instrument. Ecological Engineering, 36(4), 560-569. https://doi.org/10.1016/j.ecoleng.2009.12.003, **Website** changed from https://www.sciencedirect.com/science/article/abs/pii/S0025326X05001669?via%3Dihub to https://www.sciencedirect.com/science/article/abs/pii/S0925857409003498, **Contact_name** changed from Dr. Ronald Villanueva; Dr. H.T. Yap to Gideon Levy, **Contact_details** changed from Unknown to gidi.levi@gmail.com</v>
      </c>
      <c r="I151" s="153" t="s">
        <v>6413</v>
      </c>
      <c r="J151" s="153" t="s">
        <v>143</v>
      </c>
      <c r="K151" s="153" t="s">
        <v>144</v>
      </c>
      <c r="L151" s="153" t="s">
        <v>693</v>
      </c>
      <c r="M151" s="181" t="s">
        <v>694</v>
      </c>
      <c r="N151" s="153" t="s">
        <v>6062</v>
      </c>
      <c r="O151" s="158" t="s">
        <v>6397</v>
      </c>
      <c r="P151" s="153" t="s">
        <v>6414</v>
      </c>
      <c r="Q151" s="178">
        <v>2007.0</v>
      </c>
      <c r="R151" s="160" t="s">
        <v>6404</v>
      </c>
      <c r="S151" s="160" t="s">
        <v>6415</v>
      </c>
      <c r="T151" s="156" t="s">
        <v>177</v>
      </c>
      <c r="U151" s="153">
        <f>IFERROR(__xludf.DUMMYFUNCTION("""COMPUTED_VALUE"""),133.0)</f>
        <v>133</v>
      </c>
      <c r="V151" s="191" t="s">
        <v>1359</v>
      </c>
      <c r="W151" s="184" t="s">
        <v>1037</v>
      </c>
      <c r="X151" s="180"/>
      <c r="Y151" s="180" t="s">
        <v>154</v>
      </c>
      <c r="Z151" s="158" t="s">
        <v>1038</v>
      </c>
      <c r="AA151" s="158" t="s">
        <v>1038</v>
      </c>
      <c r="AB151" s="153" t="s">
        <v>1039</v>
      </c>
      <c r="AC151" s="153" t="s">
        <v>1020</v>
      </c>
      <c r="AD151" s="158" t="s">
        <v>6154</v>
      </c>
      <c r="AE151" s="158" t="s">
        <v>206</v>
      </c>
      <c r="AF151" s="158" t="s">
        <v>204</v>
      </c>
      <c r="AG151" s="164" t="s">
        <v>149</v>
      </c>
      <c r="AH151" s="158" t="s">
        <v>149</v>
      </c>
      <c r="AI151" s="158" t="s">
        <v>6416</v>
      </c>
      <c r="AJ151" s="158" t="s">
        <v>1032</v>
      </c>
      <c r="AK151" s="158" t="s">
        <v>6068</v>
      </c>
      <c r="AL151" s="158" t="s">
        <v>233</v>
      </c>
      <c r="AM151" s="153" t="s">
        <v>1022</v>
      </c>
      <c r="AN151" s="3" t="s">
        <v>149</v>
      </c>
      <c r="AO151" s="156">
        <v>1.0</v>
      </c>
      <c r="AP151" s="156" t="s">
        <v>6037</v>
      </c>
      <c r="AQ151" s="158" t="s">
        <v>6214</v>
      </c>
      <c r="AR151" s="153" t="s">
        <v>1041</v>
      </c>
      <c r="AS151" s="172" t="s">
        <v>1042</v>
      </c>
      <c r="AT151" s="153" t="s">
        <v>1043</v>
      </c>
      <c r="AU151" s="165" t="s">
        <v>1044</v>
      </c>
    </row>
    <row r="152">
      <c r="A152" s="151">
        <v>76.0</v>
      </c>
      <c r="B152" s="152">
        <v>2023.0</v>
      </c>
      <c r="D152" s="152"/>
      <c r="E152" s="151">
        <v>76.0</v>
      </c>
      <c r="F152" s="129" t="s">
        <v>140</v>
      </c>
      <c r="G152" s="3" t="s">
        <v>6029</v>
      </c>
      <c r="H152" s="8" t="str">
        <f>IFERROR(__xludf.DUMMYFUNCTION("""COMPUTED_VALUE"""),"")</f>
        <v/>
      </c>
      <c r="I152" s="8" t="s">
        <v>6417</v>
      </c>
      <c r="J152" s="8" t="s">
        <v>143</v>
      </c>
      <c r="K152" s="8" t="s">
        <v>144</v>
      </c>
      <c r="L152" s="8" t="s">
        <v>693</v>
      </c>
      <c r="M152" s="153" t="s">
        <v>694</v>
      </c>
      <c r="N152" s="8" t="s">
        <v>6221</v>
      </c>
      <c r="O152" s="3" t="s">
        <v>149</v>
      </c>
      <c r="P152" s="8" t="s">
        <v>6418</v>
      </c>
      <c r="Q152" s="142" t="s">
        <v>6419</v>
      </c>
      <c r="R152" s="3" t="s">
        <v>149</v>
      </c>
      <c r="S152" s="3" t="s">
        <v>149</v>
      </c>
      <c r="T152" s="8"/>
      <c r="U152" s="8">
        <f>IFERROR(__xludf.DUMMYFUNCTION("""COMPUTED_VALUE"""),134.0)</f>
        <v>134</v>
      </c>
      <c r="V152" s="8"/>
      <c r="W152" s="3"/>
      <c r="X152" s="8"/>
      <c r="Y152" s="8"/>
      <c r="AA152" s="3" t="s">
        <v>149</v>
      </c>
      <c r="AB152" s="8" t="s">
        <v>2973</v>
      </c>
      <c r="AC152" s="3" t="s">
        <v>149</v>
      </c>
      <c r="AD152" s="193" t="s">
        <v>149</v>
      </c>
      <c r="AE152" s="193" t="s">
        <v>149</v>
      </c>
      <c r="AF152" s="193" t="s">
        <v>149</v>
      </c>
      <c r="AG152" s="3" t="s">
        <v>149</v>
      </c>
      <c r="AH152" s="3" t="s">
        <v>149</v>
      </c>
      <c r="AI152" s="3" t="s">
        <v>149</v>
      </c>
      <c r="AJ152" s="3" t="s">
        <v>149</v>
      </c>
      <c r="AL152" s="3" t="s">
        <v>149</v>
      </c>
      <c r="AM152" s="3" t="s">
        <v>149</v>
      </c>
      <c r="AN152" s="3" t="s">
        <v>149</v>
      </c>
      <c r="AO152" s="8"/>
      <c r="AP152" s="8"/>
      <c r="AR152" s="8" t="s">
        <v>6214</v>
      </c>
      <c r="AS152" s="172" t="s">
        <v>2976</v>
      </c>
      <c r="AT152" s="8" t="s">
        <v>2977</v>
      </c>
      <c r="AU152" s="3" t="s">
        <v>149</v>
      </c>
    </row>
    <row r="153">
      <c r="A153" s="186">
        <v>76.0</v>
      </c>
      <c r="B153" s="152">
        <v>2025.0</v>
      </c>
      <c r="C153" s="153" t="str">
        <f>CONCATENATE(D153, "-", M153, "-", A153)
</f>
        <v>2023-PH015514000-76</v>
      </c>
      <c r="D153" s="152">
        <f>IF(OR(F152="Published", F152="Unpublished"), 2023, IF(F152="New", 2025, ""))
</f>
        <v>2023</v>
      </c>
      <c r="E153" s="151">
        <v>76.0</v>
      </c>
      <c r="F153" s="156" t="s">
        <v>140</v>
      </c>
      <c r="G153" s="156" t="s">
        <v>141</v>
      </c>
      <c r="H153" s="153" t="str">
        <f>IFERROR(__xludf.DUMMYFUNCTION("""COMPUTED_VALUE"""),"**Restoration_project** changed from Unknown to Enhancing Recovery by Transplantation of Corals / Coral Reef Targeted Research and Capacity Building for Management Program, **Restoration_project_short** changed from Fish farm effluents alter reef benthic "&amp;"assemblages and reduce coral settlement to Site at Binlab and Malilnep Ac; Successful Transplantation of a Fragmenting Coral, Montipora digitata, for reef rehabilitation, **Year of establishment** changed from 2010 (publication year) to 2006, **Project St"&amp;"art** changed from Unknown to 2007, **Project End** changed from Unknown to 2007, **Restoration method** changed from Sexual Reproduction to Asexual Reproduction, **Technique/Material Type** changed from Unknown to Fragment collection; transplantation usi"&amp;"ng epoxy clay, **Restoration objective** changed from Research; Test the settlement rate of Pocillopora acuta larvae on artificial substrate near fish farms to Research; Growth and survival of Montipora digitata during transplantation; Restore a degraded "&amp;"lagoon environment; , **Funding agency** changed from Unknown to Global Environment Facility / World Bank, **Implementing institution** changed from Unknown to UP MSI, **Reference** changed from Published article to Gomez, E., Yap, H. T., Cabaitan, P., &amp; "&amp;"Dizon, R. (2011). Successful Transplantation of a Fragmenting Coral, Montipora digitata, for Reef Rehabilitation. Coastal Management, 39(5), 556-574. https://doi.org/10.1080/08920753.2011.600240, **Website** changed from https://pubmed.ncbi.nlm.nih.gov/32"&amp;"275570/ to https://www.tandfonline.com/doi/abs/10.1080/08920753.2011.600240?journalCode=ucmg20, **Contact_name** changed from Dr. Timothy James Quimpo to Dr. H.T. Yap")</f>
        <v>**Restoration_project** changed from Unknown to Enhancing Recovery by Transplantation of Corals / Coral Reef Targeted Research and Capacity Building for Management Program, **Restoration_project_short** changed from Fish farm effluents alter reef benthic assemblages and reduce coral settlement to Site at Binlab and Malilnep Ac; Successful Transplantation of a Fragmenting Coral, Montipora digitata, for reef rehabilitation, **Year of establishment** changed from 2010 (publication year) to 2006, **Project Start** changed from Unknown to 2007, **Project End** changed from Unknown to 2007, **Restoration method** changed from Sexual Reproduction to Asexual Reproduction, **Technique/Material Type** changed from Unknown to Fragment collection; transplantation using epoxy clay, **Restoration objective** changed from Research; Test the settlement rate of Pocillopora acuta larvae on artificial substrate near fish farms to Research; Growth and survival of Montipora digitata during transplantation; Restore a degraded lagoon environment; , **Funding agency** changed from Unknown to Global Environment Facility / World Bank, **Implementing institution** changed from Unknown to UP MSI, **Reference** changed from Published article to Gomez, E., Yap, H. T., Cabaitan, P., &amp; Dizon, R. (2011). Successful Transplantation of a Fragmenting Coral, Montipora digitata, for Reef Rehabilitation. Coastal Management, 39(5), 556-574. https://doi.org/10.1080/08920753.2011.600240, **Website** changed from https://pubmed.ncbi.nlm.nih.gov/32275570/ to https://www.tandfonline.com/doi/abs/10.1080/08920753.2011.600240?journalCode=ucmg20, **Contact_name** changed from Dr. Timothy James Quimpo to Dr. H.T. Yap</v>
      </c>
      <c r="I153" s="153" t="s">
        <v>6420</v>
      </c>
      <c r="J153" s="153" t="s">
        <v>143</v>
      </c>
      <c r="K153" s="153" t="s">
        <v>144</v>
      </c>
      <c r="L153" s="153" t="s">
        <v>693</v>
      </c>
      <c r="M153" s="181" t="s">
        <v>694</v>
      </c>
      <c r="N153" s="153" t="s">
        <v>6062</v>
      </c>
      <c r="O153" s="153" t="s">
        <v>6397</v>
      </c>
      <c r="P153" s="153" t="s">
        <v>6421</v>
      </c>
      <c r="Q153" s="178">
        <v>2006.0</v>
      </c>
      <c r="R153" s="160" t="s">
        <v>6404</v>
      </c>
      <c r="S153" s="160" t="s">
        <v>6404</v>
      </c>
      <c r="T153" s="156" t="s">
        <v>177</v>
      </c>
      <c r="U153" s="153">
        <f>IFERROR(__xludf.DUMMYFUNCTION("""COMPUTED_VALUE"""),135.0)</f>
        <v>135</v>
      </c>
      <c r="V153" s="191" t="s">
        <v>3245</v>
      </c>
      <c r="W153" s="184" t="s">
        <v>149</v>
      </c>
      <c r="X153" s="180"/>
      <c r="Y153" s="180" t="s">
        <v>154</v>
      </c>
      <c r="Z153" s="158" t="s">
        <v>1064</v>
      </c>
      <c r="AA153" s="158" t="s">
        <v>1064</v>
      </c>
      <c r="AB153" s="153" t="s">
        <v>6422</v>
      </c>
      <c r="AC153" s="153" t="s">
        <v>1020</v>
      </c>
      <c r="AD153" s="158" t="s">
        <v>6154</v>
      </c>
      <c r="AE153" s="158" t="s">
        <v>206</v>
      </c>
      <c r="AF153" s="158" t="s">
        <v>204</v>
      </c>
      <c r="AG153" s="164" t="s">
        <v>149</v>
      </c>
      <c r="AH153" s="158" t="s">
        <v>149</v>
      </c>
      <c r="AI153" s="158" t="s">
        <v>149</v>
      </c>
      <c r="AJ153" s="153" t="s">
        <v>233</v>
      </c>
      <c r="AK153" s="158" t="s">
        <v>6068</v>
      </c>
      <c r="AL153" s="3" t="s">
        <v>149</v>
      </c>
      <c r="AM153" s="3" t="s">
        <v>149</v>
      </c>
      <c r="AN153" s="3" t="s">
        <v>149</v>
      </c>
      <c r="AO153" s="156">
        <v>1.0</v>
      </c>
      <c r="AP153" s="156" t="s">
        <v>6037</v>
      </c>
      <c r="AQ153" s="158" t="s">
        <v>6214</v>
      </c>
      <c r="AR153" s="153" t="s">
        <v>1066</v>
      </c>
      <c r="AS153" s="172" t="s">
        <v>1067</v>
      </c>
      <c r="AT153" s="153" t="s">
        <v>1068</v>
      </c>
      <c r="AU153" s="3" t="s">
        <v>149</v>
      </c>
    </row>
    <row r="154">
      <c r="A154" s="186">
        <v>77.0</v>
      </c>
      <c r="B154" s="152">
        <v>2023.0</v>
      </c>
      <c r="D154" s="152"/>
      <c r="E154" s="151">
        <v>77.0</v>
      </c>
      <c r="F154" s="129" t="s">
        <v>140</v>
      </c>
      <c r="G154" s="3" t="s">
        <v>6029</v>
      </c>
      <c r="H154" s="8" t="str">
        <f>IFERROR(__xludf.DUMMYFUNCTION("""COMPUTED_VALUE"""),"")</f>
        <v/>
      </c>
      <c r="I154" s="8" t="s">
        <v>6423</v>
      </c>
      <c r="J154" s="8" t="s">
        <v>143</v>
      </c>
      <c r="K154" s="8" t="s">
        <v>144</v>
      </c>
      <c r="L154" s="8" t="s">
        <v>693</v>
      </c>
      <c r="M154" s="153" t="s">
        <v>694</v>
      </c>
      <c r="N154" s="8" t="s">
        <v>6062</v>
      </c>
      <c r="O154" s="3" t="s">
        <v>149</v>
      </c>
      <c r="P154" s="8" t="s">
        <v>6424</v>
      </c>
      <c r="Q154" s="142" t="s">
        <v>6425</v>
      </c>
      <c r="R154" s="3" t="s">
        <v>149</v>
      </c>
      <c r="S154" s="3" t="s">
        <v>149</v>
      </c>
      <c r="T154" s="8"/>
      <c r="U154" s="8">
        <f>IFERROR(__xludf.DUMMYFUNCTION("""COMPUTED_VALUE"""),136.0)</f>
        <v>136</v>
      </c>
      <c r="V154" s="8"/>
      <c r="W154" s="8"/>
      <c r="X154" s="8"/>
      <c r="Y154" s="8"/>
      <c r="AA154" s="8" t="s">
        <v>6288</v>
      </c>
      <c r="AB154" s="8" t="s">
        <v>6426</v>
      </c>
      <c r="AC154" s="3" t="s">
        <v>149</v>
      </c>
      <c r="AD154" s="193" t="s">
        <v>149</v>
      </c>
      <c r="AE154" s="193" t="s">
        <v>149</v>
      </c>
      <c r="AF154" s="193" t="s">
        <v>149</v>
      </c>
      <c r="AG154" s="3" t="s">
        <v>149</v>
      </c>
      <c r="AH154" s="3" t="s">
        <v>149</v>
      </c>
      <c r="AI154" s="3" t="s">
        <v>149</v>
      </c>
      <c r="AJ154" s="3" t="s">
        <v>149</v>
      </c>
      <c r="AL154" s="3" t="s">
        <v>149</v>
      </c>
      <c r="AM154" s="3" t="s">
        <v>149</v>
      </c>
      <c r="AN154" s="3" t="s">
        <v>149</v>
      </c>
      <c r="AO154" s="8"/>
      <c r="AP154" s="8"/>
      <c r="AR154" s="8" t="s">
        <v>6214</v>
      </c>
      <c r="AS154" s="8" t="s">
        <v>2985</v>
      </c>
      <c r="AT154" s="8" t="s">
        <v>2986</v>
      </c>
      <c r="AU154" s="3" t="s">
        <v>149</v>
      </c>
    </row>
    <row r="155">
      <c r="A155" s="186">
        <v>77.0</v>
      </c>
      <c r="B155" s="152">
        <v>2025.0</v>
      </c>
      <c r="C155" s="153" t="str">
        <f>CONCATENATE(D155, "-", M155, "-", A155)
</f>
        <v>2023-PH015514000-77</v>
      </c>
      <c r="D155" s="152">
        <f>IF(OR(F154="Published", F154="Unpublished"), 2023, IF(F154="New", 2025, ""))
</f>
        <v>2023</v>
      </c>
      <c r="E155" s="151">
        <v>77.0</v>
      </c>
      <c r="F155" s="156" t="s">
        <v>140</v>
      </c>
      <c r="G155" s="156" t="s">
        <v>141</v>
      </c>
      <c r="H155" s="153" t="str">
        <f>IFERROR(__xludf.DUMMYFUNCTION("""COMPUTED_VALUE"""),"**Restoration_project** changed from Unknown to European Union INCO-DEV Project, **Restoration_project_short** changed from Comparison of three types of adhesive in attaching coral transplants to clam shell substrates to Site in Silaqui Island (N 16.44591"&amp;"67, E 119.92394444444444); How Quickly do Fragments of Coral ""Self-Attach"" after Transplantation, **Year of establishment** changed from 2008 (publication year) to 2005, **Project Start** changed from Unknown to 2005, **Project End** changed from Unknow"&amp;"n to 2007, **Technique/Material Type** changed from Transplantation to Coral transplantation; Attachment to dead giant clam shells; frames made of PVC pipes and mesh, angle iron for anchor, **Restoration objective** changed from Research; Selecting the ap"&amp;"propriate means of attaching corals to substrates and to Research; Compare the self-attachment times of different coral species to natural calcium carbonate substrate, **Funding agency** changed from Unknown to European Union INCO-DEV Project, **Implement"&amp;"ing institution** changed from Unknown to National University of Singapore, **Partners_public** changed from Unknown to UP MSI, **Partners_private** changed from Unknown to GEF/WB Coral Reef Targeted Research, **Reference** changed from Published article "&amp;"to Guest, J. R., Dizon, R., Edwards, A. J., Franco, C., &amp; Gomez, E. (2011). How Quickly do Fragments of Coral ""Self-Attach"" after Transplantation?. Restoration Ecology, 19(2), 234-242. https://doi.org/10.1111/j.1526-100X.2009.00562.x, **Website** change"&amp;"d from https://www.researchgate.net/publication/227686360_Comparison_of_three_types_of_adhesive_in_attaching_coral_transplants_to_clam_shell_substrates to https://www.academia.edu/25026620/How_Quickly_do_Fragments_of_Coral_Self_Attach_after_Transplantatio"&amp;"n, **Contact_name** changed from Dr. Romeo Dizon to Dr. James Guest, **Contact_details** changed from Unknown to james.guest@nus.edu.sg")</f>
        <v>**Restoration_project** changed from Unknown to European Union INCO-DEV Project, **Restoration_project_short** changed from Comparison of three types of adhesive in attaching coral transplants to clam shell substrates to Site in Silaqui Island (N 16.4459167, E 119.92394444444444); How Quickly do Fragments of Coral "Self-Attach" after Transplantation, **Year of establishment** changed from 2008 (publication year) to 2005, **Project Start** changed from Unknown to 2005, **Project End** changed from Unknown to 2007, **Technique/Material Type** changed from Transplantation to Coral transplantation; Attachment to dead giant clam shells; frames made of PVC pipes and mesh, angle iron for anchor, **Restoration objective** changed from Research; Selecting the appropriate means of attaching corals to substrates and to Research; Compare the self-attachment times of different coral species to natural calcium carbonate substrate, **Funding agency** changed from Unknown to European Union INCO-DEV Project, **Implementing institution** changed from Unknown to National University of Singapore, **Partners_public** changed from Unknown to UP MSI, **Partners_private** changed from Unknown to GEF/WB Coral Reef Targeted Research, **Reference** changed from Published article to Guest, J. R., Dizon, R., Edwards, A. J., Franco, C., &amp; Gomez, E. (2011). How Quickly do Fragments of Coral "Self-Attach" after Transplantation?. Restoration Ecology, 19(2), 234-242. https://doi.org/10.1111/j.1526-100X.2009.00562.x, **Website** changed from https://www.researchgate.net/publication/227686360_Comparison_of_three_types_of_adhesive_in_attaching_coral_transplants_to_clam_shell_substrates to https://www.academia.edu/25026620/How_Quickly_do_Fragments_of_Coral_Self_Attach_after_Transplantation, **Contact_name** changed from Dr. Romeo Dizon to Dr. James Guest, **Contact_details** changed from Unknown to james.guest@nus.edu.sg</v>
      </c>
      <c r="I155" s="153" t="s">
        <v>6427</v>
      </c>
      <c r="J155" s="153" t="s">
        <v>143</v>
      </c>
      <c r="K155" s="153" t="s">
        <v>144</v>
      </c>
      <c r="L155" s="153" t="s">
        <v>693</v>
      </c>
      <c r="M155" s="181" t="s">
        <v>694</v>
      </c>
      <c r="N155" s="153" t="s">
        <v>6062</v>
      </c>
      <c r="O155" s="153" t="s">
        <v>1022</v>
      </c>
      <c r="P155" s="153" t="s">
        <v>6428</v>
      </c>
      <c r="Q155" s="178">
        <v>2005.0</v>
      </c>
      <c r="R155" s="160" t="s">
        <v>6230</v>
      </c>
      <c r="S155" s="160" t="s">
        <v>6404</v>
      </c>
      <c r="T155" s="156" t="s">
        <v>177</v>
      </c>
      <c r="U155" s="153">
        <f>IFERROR(__xludf.DUMMYFUNCTION("""COMPUTED_VALUE"""),137.0)</f>
        <v>137</v>
      </c>
      <c r="V155" s="191" t="s">
        <v>3245</v>
      </c>
      <c r="W155" s="184" t="s">
        <v>149</v>
      </c>
      <c r="X155" s="180"/>
      <c r="Y155" s="180" t="s">
        <v>154</v>
      </c>
      <c r="Z155" s="156" t="s">
        <v>6429</v>
      </c>
      <c r="AA155" s="156" t="s">
        <v>6430</v>
      </c>
      <c r="AB155" s="153" t="s">
        <v>6431</v>
      </c>
      <c r="AC155" s="153" t="s">
        <v>1022</v>
      </c>
      <c r="AD155" s="158" t="s">
        <v>6154</v>
      </c>
      <c r="AE155" s="158" t="s">
        <v>206</v>
      </c>
      <c r="AF155" s="158" t="s">
        <v>204</v>
      </c>
      <c r="AG155" s="164" t="s">
        <v>149</v>
      </c>
      <c r="AH155" s="158" t="s">
        <v>149</v>
      </c>
      <c r="AI155" s="158" t="s">
        <v>149</v>
      </c>
      <c r="AJ155" s="158" t="s">
        <v>1166</v>
      </c>
      <c r="AK155" s="158" t="s">
        <v>6068</v>
      </c>
      <c r="AL155" s="158" t="s">
        <v>233</v>
      </c>
      <c r="AM155" s="153" t="s">
        <v>1167</v>
      </c>
      <c r="AN155" s="3" t="s">
        <v>149</v>
      </c>
      <c r="AO155" s="156">
        <v>1.0</v>
      </c>
      <c r="AP155" s="156" t="s">
        <v>6037</v>
      </c>
      <c r="AQ155" s="158" t="s">
        <v>6214</v>
      </c>
      <c r="AR155" s="153" t="s">
        <v>1168</v>
      </c>
      <c r="AS155" s="172" t="s">
        <v>1169</v>
      </c>
      <c r="AT155" s="153" t="s">
        <v>1077</v>
      </c>
      <c r="AU155" s="165" t="s">
        <v>1170</v>
      </c>
    </row>
    <row r="156">
      <c r="A156" s="186">
        <v>78.0</v>
      </c>
      <c r="B156" s="152">
        <v>2023.0</v>
      </c>
      <c r="D156" s="152"/>
      <c r="E156" s="151">
        <v>78.0</v>
      </c>
      <c r="F156" s="129" t="s">
        <v>140</v>
      </c>
      <c r="G156" s="3" t="s">
        <v>6029</v>
      </c>
      <c r="H156" s="8" t="str">
        <f>IFERROR(__xludf.DUMMYFUNCTION("""COMPUTED_VALUE"""),"")</f>
        <v/>
      </c>
      <c r="I156" s="8" t="s">
        <v>6432</v>
      </c>
      <c r="J156" s="8" t="s">
        <v>143</v>
      </c>
      <c r="K156" s="8" t="s">
        <v>144</v>
      </c>
      <c r="L156" s="8" t="s">
        <v>693</v>
      </c>
      <c r="M156" s="153" t="s">
        <v>694</v>
      </c>
      <c r="N156" s="8" t="s">
        <v>6062</v>
      </c>
      <c r="O156" s="8" t="s">
        <v>6433</v>
      </c>
      <c r="P156" s="8" t="s">
        <v>6434</v>
      </c>
      <c r="Q156" s="142" t="s">
        <v>6230</v>
      </c>
      <c r="R156" s="142" t="s">
        <v>6230</v>
      </c>
      <c r="S156" s="142" t="s">
        <v>6404</v>
      </c>
      <c r="T156" s="8"/>
      <c r="U156" s="8">
        <f>IFERROR(__xludf.DUMMYFUNCTION("""COMPUTED_VALUE"""),138.0)</f>
        <v>138</v>
      </c>
      <c r="V156" s="8"/>
      <c r="W156" s="8"/>
      <c r="X156" s="8"/>
      <c r="Y156" s="8"/>
      <c r="AA156" s="8" t="s">
        <v>1029</v>
      </c>
      <c r="AB156" s="8" t="s">
        <v>1019</v>
      </c>
      <c r="AC156" s="8" t="s">
        <v>1020</v>
      </c>
      <c r="AD156" s="193" t="s">
        <v>149</v>
      </c>
      <c r="AE156" s="193" t="s">
        <v>149</v>
      </c>
      <c r="AF156" s="193" t="s">
        <v>149</v>
      </c>
      <c r="AG156" s="3" t="s">
        <v>149</v>
      </c>
      <c r="AH156" s="3" t="s">
        <v>149</v>
      </c>
      <c r="AI156" s="8" t="s">
        <v>6435</v>
      </c>
      <c r="AJ156" s="3" t="s">
        <v>149</v>
      </c>
      <c r="AL156" s="3" t="s">
        <v>149</v>
      </c>
      <c r="AM156" s="8" t="s">
        <v>1022</v>
      </c>
      <c r="AN156" s="3" t="s">
        <v>149</v>
      </c>
      <c r="AO156" s="8"/>
      <c r="AP156" s="8"/>
      <c r="AR156" s="8" t="s">
        <v>6214</v>
      </c>
      <c r="AS156" s="8" t="s">
        <v>1024</v>
      </c>
      <c r="AT156" s="8" t="s">
        <v>1025</v>
      </c>
      <c r="AU156" s="172" t="s">
        <v>1026</v>
      </c>
    </row>
    <row r="157">
      <c r="A157" s="186">
        <v>78.0</v>
      </c>
      <c r="B157" s="152">
        <v>2025.0</v>
      </c>
      <c r="C157" s="153" t="str">
        <f>CONCATENATE(D157, "-", M157, "-", A157)
</f>
        <v>2023-PH015514000-78</v>
      </c>
      <c r="D157" s="152">
        <f>IF(OR(F156="Published", F156="Unpublished"), 2023, IF(F156="New", 2025, ""))
</f>
        <v>2023</v>
      </c>
      <c r="E157" s="151">
        <v>78.0</v>
      </c>
      <c r="F157" s="156" t="s">
        <v>140</v>
      </c>
      <c r="G157" s="156" t="s">
        <v>141</v>
      </c>
      <c r="H157" s="153" t="str">
        <f>IFERROR(__xludf.DUMMYFUNCTION("""COMPUTED_VALUE"""),"**Restoration_project** changed from GEF/WB Coral Reef Targeted Research for Capacity Building and Management Programme to Unknown, **Restoration_project_short** changed from Fixed and suspended coral nurseries in the Philippines: Establishing the first s"&amp;"tep in the ""gardening concept"" of reef restoration to Site of nursery in Binabalian Labas (N 16.4269444, E 119.91444444444446); Effects of grazing by herbivorous gastropod (Trochus niloticus) on the survivorship of cultured coral spat, **Year of establi"&amp;"shment** changed from 2005 to 2010, **Project Start** changed from 2005 to 2010, **Project End** changed from 2007 to 2010, **Restoration method** changed from Asexual Reproduction to Sexual Reproduction; Asexual Reproduction, **Technique/Material Type** "&amp;"changed from CNU; transplantation to Coral colony collection; ex situ spawning, gamete collection and larval settlement in rubble; angle bar in-situ nursery, **Restoration objective** changed from Research; Analyzed and compared survivorship, bleaching an"&amp;"d growth rates of fragments between the different nurseries, species and genotypes to Research; Determine the effects of trochus on the survivorship and growth of coral spat, **Funding agency** changed from Global Environment Facility / World Bank to DOST"&amp;"-PCAARRD, **Total units** changed from 7,000 COPs to Unknown, **Implementing institution** changed from Unknown to UP MSI, **Partners_private** changed from European Union INCO-DEV Project to Unknown, **Reference** changed from Published article to Villan"&amp;"ueva, R. D., Baria, M. V. B., &amp; Dela Cruz, D. W. (2013). Effects of grazing by herbivorous gastropod (Trochus niloticus) on the survivorship of cultured coral spat. Zoological Studies, 52. https://doi.org/10.1186/1810-522X-52-44, **Website** changed from "&amp;"https://www.sciencedirect.com/science/article/abs/pii/S002209810800066X?via%3Dihub to https://zoologicalstudies.springeropen.com/articles/10.1186/1810-522X-52-44, **Contact_name** changed from Lee Shaish to Dr. Maria Vanessa Baria Rodriguez, **Contact_det"&amp;"ails** changed from lishaish@yahoo.com to Unknown")</f>
        <v>**Restoration_project** changed from GEF/WB Coral Reef Targeted Research for Capacity Building and Management Programme to Unknown, **Restoration_project_short** changed from Fixed and suspended coral nurseries in the Philippines: Establishing the first step in the "gardening concept" of reef restoration to Site of nursery in Binabalian Labas (N 16.4269444, E 119.91444444444446); Effects of grazing by herbivorous gastropod (Trochus niloticus) on the survivorship of cultured coral spat, **Year of establishment** changed from 2005 to 2010, **Project Start** changed from 2005 to 2010, **Project End** changed from 2007 to 2010, **Restoration method** changed from Asexual Reproduction to Sexual Reproduction; Asexual Reproduction, **Technique/Material Type** changed from CNU; transplantation to Coral colony collection; ex situ spawning, gamete collection and larval settlement in rubble; angle bar in-situ nursery, **Restoration objective** changed from Research; Analyzed and compared survivorship, bleaching and growth rates of fragments between the different nurseries, species and genotypes to Research; Determine the effects of trochus on the survivorship and growth of coral spat, **Funding agency** changed from Global Environment Facility / World Bank to DOST-PCAARRD, **Total units** changed from 7,000 COPs to Unknown, **Implementing institution** changed from Unknown to UP MSI, **Partners_private** changed from European Union INCO-DEV Project to Unknown, **Reference** changed from Published article to Villanueva, R. D., Baria, M. V. B., &amp; Dela Cruz, D. W. (2013). Effects of grazing by herbivorous gastropod (Trochus niloticus) on the survivorship of cultured coral spat. Zoological Studies, 52. https://doi.org/10.1186/1810-522X-52-44, **Website** changed from https://www.sciencedirect.com/science/article/abs/pii/S002209810800066X?via%3Dihub to https://zoologicalstudies.springeropen.com/articles/10.1186/1810-522X-52-44, **Contact_name** changed from Lee Shaish to Dr. Maria Vanessa Baria Rodriguez, **Contact_details** changed from lishaish@yahoo.com to Unknown</v>
      </c>
      <c r="I157" s="153" t="s">
        <v>6436</v>
      </c>
      <c r="J157" s="153" t="s">
        <v>143</v>
      </c>
      <c r="K157" s="153" t="s">
        <v>144</v>
      </c>
      <c r="L157" s="153" t="s">
        <v>693</v>
      </c>
      <c r="M157" s="181" t="s">
        <v>694</v>
      </c>
      <c r="N157" s="153" t="s">
        <v>6437</v>
      </c>
      <c r="O157" s="158" t="s">
        <v>149</v>
      </c>
      <c r="P157" s="153" t="s">
        <v>6438</v>
      </c>
      <c r="Q157" s="169">
        <v>2010.0</v>
      </c>
      <c r="R157" s="160" t="s">
        <v>6114</v>
      </c>
      <c r="S157" s="160" t="s">
        <v>6114</v>
      </c>
      <c r="T157" s="156" t="s">
        <v>298</v>
      </c>
      <c r="U157" s="153">
        <f>IFERROR(__xludf.DUMMYFUNCTION("""COMPUTED_VALUE"""),139.0)</f>
        <v>139</v>
      </c>
      <c r="V157" s="191" t="s">
        <v>6261</v>
      </c>
      <c r="W157" s="184" t="s">
        <v>6066</v>
      </c>
      <c r="X157" s="180"/>
      <c r="Y157" s="180" t="s">
        <v>154</v>
      </c>
      <c r="Z157" s="158" t="s">
        <v>6439</v>
      </c>
      <c r="AA157" s="158" t="s">
        <v>6439</v>
      </c>
      <c r="AB157" s="153" t="s">
        <v>2992</v>
      </c>
      <c r="AC157" s="153" t="s">
        <v>321</v>
      </c>
      <c r="AD157" s="158" t="s">
        <v>160</v>
      </c>
      <c r="AE157" s="158" t="s">
        <v>6035</v>
      </c>
      <c r="AF157" s="158" t="s">
        <v>204</v>
      </c>
      <c r="AG157" s="164" t="s">
        <v>149</v>
      </c>
      <c r="AH157" s="158" t="s">
        <v>149</v>
      </c>
      <c r="AI157" s="158" t="s">
        <v>149</v>
      </c>
      <c r="AJ157" s="158" t="s">
        <v>233</v>
      </c>
      <c r="AK157" s="158" t="s">
        <v>6068</v>
      </c>
      <c r="AL157" s="3" t="s">
        <v>149</v>
      </c>
      <c r="AM157" s="3" t="s">
        <v>149</v>
      </c>
      <c r="AN157" s="3" t="s">
        <v>149</v>
      </c>
      <c r="AO157" s="156">
        <v>2.0</v>
      </c>
      <c r="AP157" s="156" t="s">
        <v>6264</v>
      </c>
      <c r="AQ157" s="158" t="s">
        <v>6214</v>
      </c>
      <c r="AR157" s="153" t="s">
        <v>2993</v>
      </c>
      <c r="AS157" s="165" t="s">
        <v>2994</v>
      </c>
      <c r="AT157" s="153" t="s">
        <v>1061</v>
      </c>
      <c r="AU157" s="3" t="s">
        <v>149</v>
      </c>
    </row>
    <row r="158">
      <c r="A158" s="186">
        <v>79.0</v>
      </c>
      <c r="B158" s="152">
        <v>2023.0</v>
      </c>
      <c r="D158" s="152"/>
      <c r="E158" s="151">
        <v>79.0</v>
      </c>
      <c r="F158" s="129" t="s">
        <v>140</v>
      </c>
      <c r="G158" s="3" t="s">
        <v>6029</v>
      </c>
      <c r="H158" s="8" t="str">
        <f>IFERROR(__xludf.DUMMYFUNCTION("""COMPUTED_VALUE"""),"")</f>
        <v/>
      </c>
      <c r="I158" s="8" t="s">
        <v>6440</v>
      </c>
      <c r="J158" s="8" t="s">
        <v>143</v>
      </c>
      <c r="K158" s="8" t="s">
        <v>144</v>
      </c>
      <c r="L158" s="8" t="s">
        <v>693</v>
      </c>
      <c r="M158" s="153" t="s">
        <v>694</v>
      </c>
      <c r="N158" s="8" t="s">
        <v>6062</v>
      </c>
      <c r="O158" s="8" t="s">
        <v>6433</v>
      </c>
      <c r="P158" s="8" t="s">
        <v>6441</v>
      </c>
      <c r="Q158" s="142" t="s">
        <v>6230</v>
      </c>
      <c r="R158" s="3" t="s">
        <v>149</v>
      </c>
      <c r="S158" s="3" t="s">
        <v>149</v>
      </c>
      <c r="T158" s="8"/>
      <c r="U158" s="8">
        <f>IFERROR(__xludf.DUMMYFUNCTION("""COMPUTED_VALUE"""),140.0)</f>
        <v>140</v>
      </c>
      <c r="V158" s="8"/>
      <c r="W158" s="8"/>
      <c r="X158" s="8"/>
      <c r="Y158" s="8"/>
      <c r="AA158" s="8" t="s">
        <v>1029</v>
      </c>
      <c r="AB158" s="8" t="s">
        <v>1030</v>
      </c>
      <c r="AC158" s="3" t="s">
        <v>149</v>
      </c>
      <c r="AD158" s="193" t="s">
        <v>149</v>
      </c>
      <c r="AE158" s="193" t="s">
        <v>149</v>
      </c>
      <c r="AF158" s="193" t="s">
        <v>149</v>
      </c>
      <c r="AG158" s="3" t="s">
        <v>149</v>
      </c>
      <c r="AH158" s="3" t="s">
        <v>149</v>
      </c>
      <c r="AI158" s="8" t="s">
        <v>1031</v>
      </c>
      <c r="AJ158" s="3" t="s">
        <v>149</v>
      </c>
      <c r="AL158" s="3" t="s">
        <v>149</v>
      </c>
      <c r="AM158" s="8" t="s">
        <v>1022</v>
      </c>
      <c r="AN158" s="3" t="s">
        <v>149</v>
      </c>
      <c r="AO158" s="8"/>
      <c r="AP158" s="8"/>
      <c r="AR158" s="8" t="s">
        <v>6214</v>
      </c>
      <c r="AS158" s="172" t="s">
        <v>1034</v>
      </c>
      <c r="AT158" s="8" t="s">
        <v>1025</v>
      </c>
      <c r="AU158" s="172" t="s">
        <v>1026</v>
      </c>
    </row>
    <row r="159">
      <c r="A159" s="186">
        <v>79.0</v>
      </c>
      <c r="B159" s="152">
        <v>2025.0</v>
      </c>
      <c r="C159" s="153" t="str">
        <f>CONCATENATE(D159, "-", M159, "-", A159)
</f>
        <v>2023-PH015514000-79</v>
      </c>
      <c r="D159" s="152">
        <f>IF(OR(F158="Published", F158="Unpublished"), 2023, IF(F158="New", 2025, ""))
</f>
        <v>2023</v>
      </c>
      <c r="E159" s="151">
        <v>79.0</v>
      </c>
      <c r="F159" s="156" t="s">
        <v>140</v>
      </c>
      <c r="G159" s="156" t="s">
        <v>141</v>
      </c>
      <c r="H159" s="153" t="str">
        <f>IFERROR(__xludf.DUMMYFUNCTION("""COMPUTED_VALUE"""),"**Restoration_project** changed from GEF/WB Coral Reef Targeted Research for Capacity Building and Management Programme to Unknown, **Restoration_project_short** changed from Employing a highly fragmented, weedy coral species in reef restoration to Site i"&amp;"n Lucero (N 16.4161111, E 119.90722222222223); Community-based, low-tech method of restoring a lost thicket of Acropora corals, **Year of establishment** changed from 2005 to 2010, **Project Start** changed from Unknown to 2010, **Project End** changed fr"&amp;"om Unknown to 2012, **Technique/Material Type** changed from CNU; transplantation to Coral transplantation, **Restoration objective** changed from Research; Study the use of Montipora digitata coral species in restoration to Research; Develop cost-effecti"&amp;"ve, low-tech restoration method transferable to the community using A. pulchra and A. intermedia species, **Funding agency** changed from Unknown to DOST-PCAARRD, **Total units** changed from 1,960 ramets to 450 COPs, **Implementing institution** changed "&amp;"from Unknown to UP MSI, **Partners_public** changed from Unknown to Australian Centre for International Agricultural Research, **Partners_private** changed from European Union INCO-DEV Project to Unknown, **Reference** changed from Published article to De"&amp;"la Cruz, D. W., Villanueva, R., Baria, M. V. B. (2014). Community-based, low-tech method of restoring a lost thicket of Acropora corals. ICES Journal of Marine Science, 71(7), 1866-1875. https://doi.org/10.1093/icesjms/fst228, **Website** changed from htt"&amp;"ps://www.sciencedirect.com/science/article/abs/pii/S092585741000176X to https://academic.oup.com/icesjms/article/71/7/1866/664250, **Contact_name** changed from Lee Shaish to Dr. Dexter dela Cruz, **Contact_details** changed from lishaish@yahoo.com to Unk"&amp;"nown")</f>
        <v>**Restoration_project** changed from GEF/WB Coral Reef Targeted Research for Capacity Building and Management Programme to Unknown, **Restoration_project_short** changed from Employing a highly fragmented, weedy coral species in reef restoration to Site in Lucero (N 16.4161111, E 119.90722222222223); Community-based, low-tech method of restoring a lost thicket of Acropora corals, **Year of establishment** changed from 2005 to 2010, **Project Start** changed from Unknown to 2010, **Project End** changed from Unknown to 2012, **Technique/Material Type** changed from CNU; transplantation to Coral transplantation, **Restoration objective** changed from Research; Study the use of Montipora digitata coral species in restoration to Research; Develop cost-effective, low-tech restoration method transferable to the community using A. pulchra and A. intermedia species, **Funding agency** changed from Unknown to DOST-PCAARRD, **Total units** changed from 1,960 ramets to 450 COPs, **Implementing institution** changed from Unknown to UP MSI, **Partners_public** changed from Unknown to Australian Centre for International Agricultural Research, **Partners_private** changed from European Union INCO-DEV Project to Unknown, **Reference** changed from Published article to Dela Cruz, D. W., Villanueva, R., Baria, M. V. B. (2014). Community-based, low-tech method of restoring a lost thicket of Acropora corals. ICES Journal of Marine Science, 71(7), 1866-1875. https://doi.org/10.1093/icesjms/fst228, **Website** changed from https://www.sciencedirect.com/science/article/abs/pii/S092585741000176X to https://academic.oup.com/icesjms/article/71/7/1866/664250, **Contact_name** changed from Lee Shaish to Dr. Dexter dela Cruz, **Contact_details** changed from lishaish@yahoo.com to Unknown</v>
      </c>
      <c r="I159" s="153" t="s">
        <v>6442</v>
      </c>
      <c r="J159" s="153" t="s">
        <v>143</v>
      </c>
      <c r="K159" s="153" t="s">
        <v>144</v>
      </c>
      <c r="L159" s="153" t="s">
        <v>693</v>
      </c>
      <c r="M159" s="181" t="s">
        <v>694</v>
      </c>
      <c r="N159" s="153" t="s">
        <v>6062</v>
      </c>
      <c r="O159" s="158" t="s">
        <v>149</v>
      </c>
      <c r="P159" s="153" t="s">
        <v>6443</v>
      </c>
      <c r="Q159" s="169">
        <v>2010.0</v>
      </c>
      <c r="R159" s="175" t="s">
        <v>6114</v>
      </c>
      <c r="S159" s="175" t="s">
        <v>6151</v>
      </c>
      <c r="T159" s="156" t="s">
        <v>177</v>
      </c>
      <c r="U159" s="153">
        <f>IFERROR(__xludf.DUMMYFUNCTION("""COMPUTED_VALUE"""),141.0)</f>
        <v>141</v>
      </c>
      <c r="V159" s="191" t="s">
        <v>3245</v>
      </c>
      <c r="W159" s="184" t="s">
        <v>149</v>
      </c>
      <c r="X159" s="180"/>
      <c r="Y159" s="180" t="s">
        <v>154</v>
      </c>
      <c r="Z159" s="153" t="s">
        <v>179</v>
      </c>
      <c r="AA159" s="153" t="s">
        <v>179</v>
      </c>
      <c r="AB159" s="153" t="s">
        <v>6444</v>
      </c>
      <c r="AC159" s="153" t="s">
        <v>321</v>
      </c>
      <c r="AD159" s="158" t="s">
        <v>160</v>
      </c>
      <c r="AE159" s="158" t="s">
        <v>6035</v>
      </c>
      <c r="AF159" s="158" t="s">
        <v>204</v>
      </c>
      <c r="AG159" s="164" t="s">
        <v>149</v>
      </c>
      <c r="AH159" s="158" t="s">
        <v>149</v>
      </c>
      <c r="AI159" s="153" t="s">
        <v>2998</v>
      </c>
      <c r="AJ159" s="153" t="s">
        <v>233</v>
      </c>
      <c r="AK159" s="158" t="s">
        <v>6068</v>
      </c>
      <c r="AL159" s="153" t="s">
        <v>2999</v>
      </c>
      <c r="AM159" s="3" t="s">
        <v>149</v>
      </c>
      <c r="AN159" s="3" t="s">
        <v>149</v>
      </c>
      <c r="AO159" s="156">
        <v>1.0</v>
      </c>
      <c r="AP159" s="156" t="s">
        <v>6037</v>
      </c>
      <c r="AQ159" s="158" t="s">
        <v>6214</v>
      </c>
      <c r="AR159" s="153" t="s">
        <v>3000</v>
      </c>
      <c r="AS159" s="165" t="s">
        <v>3001</v>
      </c>
      <c r="AT159" s="153" t="s">
        <v>245</v>
      </c>
      <c r="AU159" s="3" t="s">
        <v>149</v>
      </c>
    </row>
    <row r="160">
      <c r="A160" s="186">
        <v>80.0</v>
      </c>
      <c r="B160" s="152">
        <v>2023.0</v>
      </c>
      <c r="D160" s="152"/>
      <c r="E160" s="151">
        <v>80.0</v>
      </c>
      <c r="F160" s="129" t="s">
        <v>140</v>
      </c>
      <c r="G160" s="3" t="s">
        <v>6029</v>
      </c>
      <c r="H160" s="8" t="str">
        <f>IFERROR(__xludf.DUMMYFUNCTION("""COMPUTED_VALUE"""),"")</f>
        <v/>
      </c>
      <c r="I160" s="8" t="s">
        <v>6445</v>
      </c>
      <c r="J160" s="8" t="s">
        <v>143</v>
      </c>
      <c r="K160" s="8" t="s">
        <v>144</v>
      </c>
      <c r="L160" s="8" t="s">
        <v>693</v>
      </c>
      <c r="M160" s="153" t="s">
        <v>694</v>
      </c>
      <c r="N160" s="8" t="s">
        <v>6221</v>
      </c>
      <c r="O160" s="8" t="s">
        <v>6433</v>
      </c>
      <c r="P160" s="8" t="s">
        <v>6408</v>
      </c>
      <c r="Q160" s="142" t="s">
        <v>6404</v>
      </c>
      <c r="R160" s="3" t="s">
        <v>149</v>
      </c>
      <c r="S160" s="142" t="s">
        <v>6404</v>
      </c>
      <c r="T160" s="8"/>
      <c r="U160" s="8">
        <f>IFERROR(__xludf.DUMMYFUNCTION("""COMPUTED_VALUE"""),142.0)</f>
        <v>142</v>
      </c>
      <c r="V160" s="8"/>
      <c r="W160" s="3"/>
      <c r="X160" s="8"/>
      <c r="Y160" s="8"/>
      <c r="AA160" s="3" t="s">
        <v>149</v>
      </c>
      <c r="AB160" s="8" t="s">
        <v>1056</v>
      </c>
      <c r="AC160" s="8" t="s">
        <v>1020</v>
      </c>
      <c r="AD160" s="193" t="s">
        <v>149</v>
      </c>
      <c r="AE160" s="193" t="s">
        <v>149</v>
      </c>
      <c r="AF160" s="193" t="s">
        <v>149</v>
      </c>
      <c r="AG160" s="3" t="s">
        <v>149</v>
      </c>
      <c r="AH160" s="3" t="s">
        <v>149</v>
      </c>
      <c r="AI160" s="3" t="s">
        <v>149</v>
      </c>
      <c r="AJ160" s="8" t="s">
        <v>233</v>
      </c>
      <c r="AL160" s="3" t="s">
        <v>149</v>
      </c>
      <c r="AM160" s="8" t="s">
        <v>1022</v>
      </c>
      <c r="AN160" s="3" t="s">
        <v>149</v>
      </c>
      <c r="AO160" s="8"/>
      <c r="AP160" s="8"/>
      <c r="AR160" s="8" t="s">
        <v>6214</v>
      </c>
      <c r="AS160" s="172" t="s">
        <v>1060</v>
      </c>
      <c r="AT160" s="8" t="s">
        <v>1061</v>
      </c>
      <c r="AU160" s="3" t="s">
        <v>149</v>
      </c>
    </row>
    <row r="161">
      <c r="A161" s="186">
        <v>80.0</v>
      </c>
      <c r="B161" s="152">
        <v>2025.0</v>
      </c>
      <c r="C161" s="153" t="str">
        <f>CONCATENATE(D161, "-", M161, "-", A161)
</f>
        <v>2023-PH015514000-80</v>
      </c>
      <c r="D161" s="152">
        <f>IF(OR(F160="Published", F160="Unpublished"), 2023, IF(F160="New", 2025, ""))
</f>
        <v>2023</v>
      </c>
      <c r="E161" s="151">
        <v>80.0</v>
      </c>
      <c r="F161" s="156" t="s">
        <v>140</v>
      </c>
      <c r="G161" s="156" t="s">
        <v>141</v>
      </c>
      <c r="H161" s="153" t="str">
        <f>IFERROR(__xludf.DUMMYFUNCTION("""COMPUTED_VALUE"""),"**Restoration_project** changed from GEF/WB Coral Reef Targeted Research for Capacity Building and Management Programme to Enhancing Recovery by Transplantation of Corals / Coral Reef Targeted Research and Capacity Building for Management Program, **Resto"&amp;"ration_project_short** changed from Caging enhances post-settlement survival of juveniles of the scleratinian coral Acropora tenuis to Site in Malilnep Channel; Closing the circle: is it feasible to rehabilitate reefs with sexually propagated corals, **Ye"&amp;"ar of establishment** changed from 2007 to 2008, **Project Start** changed from Unknown to 2008, **Project End** changed from 2007 to 2010, **Restoration method** changed from Sexual Reproduction to Sexual Reproduction; Asexual Reproduction, **Technique/M"&amp;"aterial Type** changed from Unknown to Gravid colony collection; larval culture and rearing; Transplantation using plastic wall plug ""coral plug-in""; in-situ installation cement and PVC mesh, **Restoration objective** changed from Research; Examine the "&amp;"effect of herbivore exclusion on the survival of 6-week old spat of Acropora tenuis to Research; Develop a coral settlement substrate called ""coral plug-in"" to be used for rearing corals in nurseries and transplant directly to the reef, **Total units** "&amp;"changed from Unknown to 150 plug-ins, **Partners_private** changed from European Union INCO-DEV Project to Unknown, **Reference** changed from Published article to Guest, J., R., Baria, M. V., Gomez, E., Heyward, A. J., Edwards, A. J. (2014). Closing the "&amp;"circle: is it feasible to rehabilitate reefs with sexually propagated corals?. Coral Reefs, 33, 45-55. https://doi.org/10.1007/s00338-013-1114-1, **Website** changed from https://www.researchgate.net/publication/223475676_Caging_enhances_post-settlement_s"&amp;"urvival_of_juveniles_of_the_scleractinian_coral_Acropora_tenuis to https://link.springer.com/article/10.1007/s00338-013-1114-1, **Contact_name** changed from Dr. Maria Vanessa Baria Rodriguez to Dr. James Guest, **Contact_details** changed from Unknown to"&amp;" jrguest@gmail.com")</f>
        <v>**Restoration_project** changed from GEF/WB Coral Reef Targeted Research for Capacity Building and Management Programme to Enhancing Recovery by Transplantation of Corals / Coral Reef Targeted Research and Capacity Building for Management Program, **Restoration_project_short** changed from Caging enhances post-settlement survival of juveniles of the scleratinian coral Acropora tenuis to Site in Malilnep Channel; Closing the circle: is it feasible to rehabilitate reefs with sexually propagated corals, **Year of establishment** changed from 2007 to 2008, **Project Start** changed from Unknown to 2008, **Project End** changed from 2007 to 2010, **Restoration method** changed from Sexual Reproduction to Sexual Reproduction; Asexual Reproduction, **Technique/Material Type** changed from Unknown to Gravid colony collection; larval culture and rearing; Transplantation using plastic wall plug "coral plug-in"; in-situ installation cement and PVC mesh, **Restoration objective** changed from Research; Examine the effect of herbivore exclusion on the survival of 6-week old spat of Acropora tenuis to Research; Develop a coral settlement substrate called "coral plug-in" to be used for rearing corals in nurseries and transplant directly to the reef, **Total units** changed from Unknown to 150 plug-ins, **Partners_private** changed from European Union INCO-DEV Project to Unknown, **Reference** changed from Published article to Guest, J., R., Baria, M. V., Gomez, E., Heyward, A. J., Edwards, A. J. (2014). Closing the circle: is it feasible to rehabilitate reefs with sexually propagated corals?. Coral Reefs, 33, 45-55. https://doi.org/10.1007/s00338-013-1114-1, **Website** changed from https://www.researchgate.net/publication/223475676_Caging_enhances_post-settlement_survival_of_juveniles_of_the_scleractinian_coral_Acropora_tenuis to https://link.springer.com/article/10.1007/s00338-013-1114-1, **Contact_name** changed from Dr. Maria Vanessa Baria Rodriguez to Dr. James Guest, **Contact_details** changed from Unknown to jrguest@gmail.com</v>
      </c>
      <c r="I161" s="153" t="s">
        <v>6446</v>
      </c>
      <c r="J161" s="153" t="s">
        <v>143</v>
      </c>
      <c r="K161" s="153" t="s">
        <v>144</v>
      </c>
      <c r="L161" s="153" t="s">
        <v>693</v>
      </c>
      <c r="M161" s="181" t="s">
        <v>694</v>
      </c>
      <c r="N161" s="153" t="s">
        <v>6259</v>
      </c>
      <c r="O161" s="158" t="s">
        <v>6397</v>
      </c>
      <c r="P161" s="153" t="s">
        <v>6447</v>
      </c>
      <c r="Q161" s="169">
        <v>2008.0</v>
      </c>
      <c r="R161" s="175" t="s">
        <v>6415</v>
      </c>
      <c r="S161" s="175" t="s">
        <v>6114</v>
      </c>
      <c r="T161" s="156" t="s">
        <v>298</v>
      </c>
      <c r="U161" s="153">
        <f>IFERROR(__xludf.DUMMYFUNCTION("""COMPUTED_VALUE"""),143.0)</f>
        <v>143</v>
      </c>
      <c r="V161" s="191" t="s">
        <v>6261</v>
      </c>
      <c r="W161" s="184" t="s">
        <v>154</v>
      </c>
      <c r="X161" s="180"/>
      <c r="Y161" s="180" t="s">
        <v>154</v>
      </c>
      <c r="Z161" s="153" t="s">
        <v>6448</v>
      </c>
      <c r="AA161" s="153" t="s">
        <v>6449</v>
      </c>
      <c r="AB161" s="153" t="s">
        <v>1073</v>
      </c>
      <c r="AC161" s="153" t="s">
        <v>1020</v>
      </c>
      <c r="AD161" s="158" t="s">
        <v>6154</v>
      </c>
      <c r="AE161" s="158" t="s">
        <v>206</v>
      </c>
      <c r="AF161" s="158" t="s">
        <v>204</v>
      </c>
      <c r="AG161" s="164" t="s">
        <v>149</v>
      </c>
      <c r="AH161" s="158" t="s">
        <v>149</v>
      </c>
      <c r="AI161" s="153" t="s">
        <v>1074</v>
      </c>
      <c r="AJ161" s="153" t="s">
        <v>233</v>
      </c>
      <c r="AK161" s="158" t="s">
        <v>6068</v>
      </c>
      <c r="AL161" s="3" t="s">
        <v>149</v>
      </c>
      <c r="AM161" s="3" t="s">
        <v>149</v>
      </c>
      <c r="AN161" s="3" t="s">
        <v>149</v>
      </c>
      <c r="AO161" s="156">
        <v>2.0</v>
      </c>
      <c r="AP161" s="156" t="s">
        <v>6264</v>
      </c>
      <c r="AQ161" s="158" t="s">
        <v>6214</v>
      </c>
      <c r="AR161" s="153" t="s">
        <v>1075</v>
      </c>
      <c r="AS161" s="172" t="s">
        <v>1076</v>
      </c>
      <c r="AT161" s="153" t="s">
        <v>1077</v>
      </c>
      <c r="AU161" s="165" t="s">
        <v>1078</v>
      </c>
    </row>
    <row r="162">
      <c r="A162" s="186">
        <v>81.0</v>
      </c>
      <c r="B162" s="152">
        <v>2023.0</v>
      </c>
      <c r="D162" s="152"/>
      <c r="E162" s="151">
        <v>81.0</v>
      </c>
      <c r="F162" s="129" t="s">
        <v>140</v>
      </c>
      <c r="G162" s="3" t="s">
        <v>6029</v>
      </c>
      <c r="H162" s="8" t="str">
        <f>IFERROR(__xludf.DUMMYFUNCTION("""COMPUTED_VALUE"""),"")</f>
        <v/>
      </c>
      <c r="I162" s="8" t="s">
        <v>6450</v>
      </c>
      <c r="J162" s="8" t="s">
        <v>143</v>
      </c>
      <c r="K162" s="8" t="s">
        <v>144</v>
      </c>
      <c r="L162" s="8" t="s">
        <v>693</v>
      </c>
      <c r="M162" s="153" t="s">
        <v>694</v>
      </c>
      <c r="N162" s="8" t="s">
        <v>6062</v>
      </c>
      <c r="O162" s="8" t="s">
        <v>6433</v>
      </c>
      <c r="P162" s="8" t="s">
        <v>6451</v>
      </c>
      <c r="Q162" s="3" t="s">
        <v>149</v>
      </c>
      <c r="R162" s="3" t="s">
        <v>149</v>
      </c>
      <c r="S162" s="3" t="s">
        <v>149</v>
      </c>
      <c r="T162" s="8"/>
      <c r="U162" s="8">
        <f>IFERROR(__xludf.DUMMYFUNCTION("""COMPUTED_VALUE"""),144.0)</f>
        <v>144</v>
      </c>
      <c r="V162" s="8"/>
      <c r="W162" s="3"/>
      <c r="X162" s="8"/>
      <c r="Y162" s="8"/>
      <c r="AA162" s="3" t="s">
        <v>149</v>
      </c>
      <c r="AB162" s="8" t="s">
        <v>6452</v>
      </c>
      <c r="AC162" s="8" t="s">
        <v>1020</v>
      </c>
      <c r="AD162" s="193" t="s">
        <v>149</v>
      </c>
      <c r="AE162" s="193" t="s">
        <v>149</v>
      </c>
      <c r="AF162" s="193" t="s">
        <v>149</v>
      </c>
      <c r="AG162" s="3" t="s">
        <v>149</v>
      </c>
      <c r="AH162" s="3" t="s">
        <v>149</v>
      </c>
      <c r="AI162" s="3" t="s">
        <v>149</v>
      </c>
      <c r="AJ162" s="3" t="s">
        <v>149</v>
      </c>
      <c r="AL162" s="3" t="s">
        <v>149</v>
      </c>
      <c r="AM162" s="8" t="s">
        <v>1022</v>
      </c>
      <c r="AN162" s="3" t="s">
        <v>149</v>
      </c>
      <c r="AO162" s="8"/>
      <c r="AP162" s="8"/>
      <c r="AR162" s="8" t="s">
        <v>6214</v>
      </c>
      <c r="AS162" s="8" t="s">
        <v>1042</v>
      </c>
      <c r="AT162" s="8" t="s">
        <v>1043</v>
      </c>
      <c r="AU162" s="172" t="s">
        <v>1044</v>
      </c>
    </row>
    <row r="163">
      <c r="A163" s="186">
        <v>81.0</v>
      </c>
      <c r="B163" s="152">
        <v>2025.0</v>
      </c>
      <c r="C163" s="153" t="str">
        <f>CONCATENATE(D163, "-", M163, "-", A163)
</f>
        <v>2023-PH015514000-81</v>
      </c>
      <c r="D163" s="152">
        <f>IF(OR(F162="Published", F162="Unpublished"), 2023, IF(F162="New", 2025, ""))
</f>
        <v>2023</v>
      </c>
      <c r="E163" s="151">
        <v>81.0</v>
      </c>
      <c r="F163" s="156" t="s">
        <v>140</v>
      </c>
      <c r="G163" s="156" t="s">
        <v>141</v>
      </c>
      <c r="H163" s="153" t="str">
        <f>IFERROR(__xludf.DUMMYFUNCTION("""COMPUTED_VALUE"""),"**Restoration_project** changed from GEF/WB Coral Reef Targeted Research for Capacity Building and Management Programme to Enhancing Recovery by Transplantation of Corals / Coral Reef Targeted Research and Capacity Building for Management Program, **Resto"&amp;"ration_project_short** changed from Mid-water rope nursery - testing design and performance of a novel reef restoration instrument to Site in Silaqui Island and Lucero; Assessing the abridged nursery phase for slow growing corals used in coral restoration"&amp;", **Year of establishment** changed from Unknown to 2006, **Project Start** changed from Unknown to 2006, **Project End** changed from Unknown to 2007, **Technique/Material Type** changed from Unknown to Nubbin collection; coral nurseries; direct transpla"&amp;"ntation, **Restoration objective** changed from Research; Tested the design and performance of a novel mid-water floating nursery instrument to Research; Test gardening method vis a vis direct transplantation method, **Total units** changed from Unknown t"&amp;"o 360 COPs, **Implementing institution** changed from Unknown to UP MSI, **Reference** changed from Published article to Dela Cruz, D. W., Rinkevich, B., Gomez, E. &amp; Yap, H. (2015). Assessing an abridged nursery phase for slow growing corals used in coral"&amp;" restoration. Ecological Engineering, 84, 408-415. https://doi.org/10.1016/j.ecoleng.2015.09.042, **Website** changed from https://www.sciencedirect.com/science/article/abs/pii/S0925857409003498 to https://www.researchgate.net/publication/282149376_Assess"&amp;"ing_an_abridged_nursery_phase_for_slow_growing_corals_used_in_coral_restoration, **Contact_name** changed from Gideon Levy to Dr. Dexter dela Cruz, **Contact_details** changed from gidi.levi@gmail.com to Unknown")</f>
        <v>**Restoration_project** changed from GEF/WB Coral Reef Targeted Research for Capacity Building and Management Programme to Enhancing Recovery by Transplantation of Corals / Coral Reef Targeted Research and Capacity Building for Management Program, **Restoration_project_short** changed from Mid-water rope nursery - testing design and performance of a novel reef restoration instrument to Site in Silaqui Island and Lucero; Assessing the abridged nursery phase for slow growing corals used in coral restoration, **Year of establishment** changed from Unknown to 2006, **Project Start** changed from Unknown to 2006, **Project End** changed from Unknown to 2007, **Technique/Material Type** changed from Unknown to Nubbin collection; coral nurseries; direct transplantation, **Restoration objective** changed from Research; Tested the design and performance of a novel mid-water floating nursery instrument to Research; Test gardening method vis a vis direct transplantation method, **Total units** changed from Unknown to 360 COPs, **Implementing institution** changed from Unknown to UP MSI, **Reference** changed from Published article to Dela Cruz, D. W., Rinkevich, B., Gomez, E. &amp; Yap, H. (2015). Assessing an abridged nursery phase for slow growing corals used in coral restoration. Ecological Engineering, 84, 408-415. https://doi.org/10.1016/j.ecoleng.2015.09.042, **Website** changed from https://www.sciencedirect.com/science/article/abs/pii/S0925857409003498 to https://www.researchgate.net/publication/282149376_Assessing_an_abridged_nursery_phase_for_slow_growing_corals_used_in_coral_restoration, **Contact_name** changed from Gideon Levy to Dr. Dexter dela Cruz, **Contact_details** changed from gidi.levi@gmail.com to Unknown</v>
      </c>
      <c r="I163" s="153" t="s">
        <v>6453</v>
      </c>
      <c r="J163" s="153" t="s">
        <v>143</v>
      </c>
      <c r="K163" s="153" t="s">
        <v>144</v>
      </c>
      <c r="L163" s="153" t="s">
        <v>693</v>
      </c>
      <c r="M163" s="181" t="s">
        <v>694</v>
      </c>
      <c r="N163" s="153" t="s">
        <v>6062</v>
      </c>
      <c r="O163" s="158" t="s">
        <v>6397</v>
      </c>
      <c r="P163" s="153" t="s">
        <v>6454</v>
      </c>
      <c r="Q163" s="169">
        <v>2006.0</v>
      </c>
      <c r="R163" s="175" t="s">
        <v>6392</v>
      </c>
      <c r="S163" s="175" t="s">
        <v>6404</v>
      </c>
      <c r="T163" s="156" t="s">
        <v>177</v>
      </c>
      <c r="U163" s="153">
        <f>IFERROR(__xludf.DUMMYFUNCTION("""COMPUTED_VALUE"""),145.0)</f>
        <v>145</v>
      </c>
      <c r="V163" s="191" t="s">
        <v>6455</v>
      </c>
      <c r="W163" s="184" t="s">
        <v>149</v>
      </c>
      <c r="X163" s="180"/>
      <c r="Y163" s="180" t="s">
        <v>154</v>
      </c>
      <c r="Z163" s="158" t="s">
        <v>1048</v>
      </c>
      <c r="AA163" s="158" t="s">
        <v>1048</v>
      </c>
      <c r="AB163" s="153" t="s">
        <v>1049</v>
      </c>
      <c r="AC163" s="153" t="s">
        <v>1020</v>
      </c>
      <c r="AD163" s="158" t="s">
        <v>6154</v>
      </c>
      <c r="AE163" s="158" t="s">
        <v>206</v>
      </c>
      <c r="AF163" s="158" t="s">
        <v>204</v>
      </c>
      <c r="AG163" s="164" t="s">
        <v>149</v>
      </c>
      <c r="AH163" s="158" t="s">
        <v>149</v>
      </c>
      <c r="AI163" s="153" t="s">
        <v>1050</v>
      </c>
      <c r="AJ163" s="153" t="s">
        <v>233</v>
      </c>
      <c r="AK163" s="158" t="s">
        <v>6068</v>
      </c>
      <c r="AL163" s="3" t="s">
        <v>149</v>
      </c>
      <c r="AM163" s="153" t="s">
        <v>1022</v>
      </c>
      <c r="AN163" s="3" t="s">
        <v>149</v>
      </c>
      <c r="AO163" s="156">
        <v>1.0</v>
      </c>
      <c r="AP163" s="156" t="s">
        <v>6037</v>
      </c>
      <c r="AQ163" s="158" t="s">
        <v>6214</v>
      </c>
      <c r="AR163" s="153" t="s">
        <v>1051</v>
      </c>
      <c r="AS163" s="172" t="s">
        <v>1052</v>
      </c>
      <c r="AT163" s="153" t="s">
        <v>245</v>
      </c>
      <c r="AU163" s="3" t="s">
        <v>149</v>
      </c>
    </row>
    <row r="164">
      <c r="A164" s="186">
        <v>82.0</v>
      </c>
      <c r="B164" s="152">
        <v>2023.0</v>
      </c>
      <c r="D164" s="152"/>
      <c r="E164" s="151">
        <v>82.0</v>
      </c>
      <c r="F164" s="129" t="s">
        <v>140</v>
      </c>
      <c r="G164" s="3" t="s">
        <v>6029</v>
      </c>
      <c r="H164" s="8" t="str">
        <f>IFERROR(__xludf.DUMMYFUNCTION("""COMPUTED_VALUE"""),"")</f>
        <v/>
      </c>
      <c r="I164" s="8" t="s">
        <v>6456</v>
      </c>
      <c r="J164" s="8" t="s">
        <v>143</v>
      </c>
      <c r="K164" s="8" t="s">
        <v>144</v>
      </c>
      <c r="L164" s="8" t="s">
        <v>693</v>
      </c>
      <c r="M164" s="153" t="s">
        <v>694</v>
      </c>
      <c r="N164" s="8" t="s">
        <v>6062</v>
      </c>
      <c r="O164" s="8" t="s">
        <v>6397</v>
      </c>
      <c r="P164" s="8" t="s">
        <v>6421</v>
      </c>
      <c r="Q164" s="142" t="s">
        <v>6457</v>
      </c>
      <c r="R164" s="3" t="s">
        <v>149</v>
      </c>
      <c r="S164" s="3" t="s">
        <v>149</v>
      </c>
      <c r="T164" s="8"/>
      <c r="U164" s="8">
        <f>IFERROR(__xludf.DUMMYFUNCTION("""COMPUTED_VALUE"""),146.0)</f>
        <v>146</v>
      </c>
      <c r="V164" s="8"/>
      <c r="W164" s="8"/>
      <c r="X164" s="8"/>
      <c r="Y164" s="8"/>
      <c r="AA164" s="8" t="s">
        <v>6288</v>
      </c>
      <c r="AB164" s="8" t="s">
        <v>6458</v>
      </c>
      <c r="AC164" s="8" t="s">
        <v>1020</v>
      </c>
      <c r="AD164" s="193" t="s">
        <v>149</v>
      </c>
      <c r="AE164" s="193" t="s">
        <v>149</v>
      </c>
      <c r="AF164" s="193" t="s">
        <v>149</v>
      </c>
      <c r="AG164" s="3" t="s">
        <v>149</v>
      </c>
      <c r="AH164" s="3" t="s">
        <v>149</v>
      </c>
      <c r="AI164" s="3" t="s">
        <v>149</v>
      </c>
      <c r="AJ164" s="8" t="s">
        <v>233</v>
      </c>
      <c r="AL164" s="3" t="s">
        <v>149</v>
      </c>
      <c r="AM164" s="3" t="s">
        <v>149</v>
      </c>
      <c r="AN164" s="3" t="s">
        <v>149</v>
      </c>
      <c r="AO164" s="8"/>
      <c r="AP164" s="8"/>
      <c r="AR164" s="8" t="s">
        <v>6214</v>
      </c>
      <c r="AS164" s="172" t="s">
        <v>1067</v>
      </c>
      <c r="AT164" s="8" t="s">
        <v>1068</v>
      </c>
      <c r="AU164" s="3" t="s">
        <v>149</v>
      </c>
    </row>
    <row r="165">
      <c r="A165" s="186">
        <v>82.0</v>
      </c>
      <c r="B165" s="152">
        <v>2025.0</v>
      </c>
      <c r="C165" s="153" t="str">
        <f>CONCATENATE(D165, "-", M165, "-", A165)
</f>
        <v>2023-PH015514000-82</v>
      </c>
      <c r="D165" s="152">
        <f>IF(OR(F164="Published", F164="Unpublished"), 2023, IF(F164="New", 2025, ""))
</f>
        <v>2023</v>
      </c>
      <c r="E165" s="151">
        <v>82.0</v>
      </c>
      <c r="F165" s="156" t="s">
        <v>140</v>
      </c>
      <c r="G165" s="156" t="s">
        <v>141</v>
      </c>
      <c r="H165" s="153" t="str">
        <f>IFERROR(__xludf.DUMMYFUNCTION("""COMPUTED_VALUE"""),"**Restoration_project** changed from Enhancing Recovery by Transplantation of Corals / Coral Reef Targeted Research and Capacity Building for Management Program to Unknown, **Restoration_project_short** changed from Site at Binlab and Malilnep Ac; Success"&amp;"ful Transplantation of a Fragmenting Coral, Montipora digitata, for reef rehabilitation to No restoration activity; experiment conducted in laboratory; coral colonies collected from Cangaluyan (N 16.38205, E 120.0038); Effects of coral extracts on survivo"&amp;"rship, swimming behavior and settlement of Pocillopora damicornis larvae, **Year of establishment** changed from *Not indicated (2011 publication year) to 2015, **Project Start** changed from Unknown to 2015, **Project End** changed from Unknown to 2015, "&amp;"**Restoration method** changed from Asexual Reproduction to Sexual Reproduction, **Technique/Material Type** changed from Transplantation to Coral collection, spawning and larval culture, **Restoration objective** changed from Research; Restore a degraded"&amp;" lagoon environment to Research; Explore the effects of crude ethanolic extracts derived from P. damicornis and P. cylindrica, as well as from the soft coral, S. glaucum, on (1) larval survivorship, (2) larval swimming behavior, and (3) settlement of P. d"&amp;"amicornis larvae, **Funding agency** changed from Global Environment Facility / World Bank to UP MSI, **Reference** changed from Published article to Da-Anoy, J. P., Villanueva, R. D., Cabaitan, P., &amp; Conaco, C. (2017). Effects of coral extracts on surviv"&amp;"orship, swimming behavior, and settlement of Pocillopora damicornis larvae. Journal of Experimental Marine Biology and Ecology, 486, 93-97. https://doi.org/10.1016/j.jembe.2016.10.006, **Website** changed from https://www.tandfonline.com/doi/abs/10.1080/0"&amp;"8920753.2011.600240?journalCode=ucmg20 to https://www.sciencedirect.com/science/article/abs/pii/S0022098116301873, **Contact_name** changed from Dr. H.T. Yap to Jeric Da-Anoy/Dr. Patrick Cabaitan")</f>
        <v>**Restoration_project** changed from Enhancing Recovery by Transplantation of Corals / Coral Reef Targeted Research and Capacity Building for Management Program to Unknown, **Restoration_project_short** changed from Site at Binlab and Malilnep Ac; Successful Transplantation of a Fragmenting Coral, Montipora digitata, for reef rehabilitation to No restoration activity; experiment conducted in laboratory; coral colonies collected from Cangaluyan (N 16.38205, E 120.0038); Effects of coral extracts on survivorship, swimming behavior and settlement of Pocillopora damicornis larvae, **Year of establishment** changed from *Not indicated (2011 publication year) to 2015, **Project Start** changed from Unknown to 2015, **Project End** changed from Unknown to 2015, **Restoration method** changed from Asexual Reproduction to Sexual Reproduction, **Technique/Material Type** changed from Transplantation to Coral collection, spawning and larval culture, **Restoration objective** changed from Research; Restore a degraded lagoon environment to Research; Explore the effects of crude ethanolic extracts derived from P. damicornis and P. cylindrica, as well as from the soft coral, S. glaucum, on (1) larval survivorship, (2) larval swimming behavior, and (3) settlement of P. damicornis larvae, **Funding agency** changed from Global Environment Facility / World Bank to UP MSI, **Reference** changed from Published article to Da-Anoy, J. P., Villanueva, R. D., Cabaitan, P., &amp; Conaco, C. (2017). Effects of coral extracts on survivorship, swimming behavior, and settlement of Pocillopora damicornis larvae. Journal of Experimental Marine Biology and Ecology, 486, 93-97. https://doi.org/10.1016/j.jembe.2016.10.006, **Website** changed from https://www.tandfonline.com/doi/abs/10.1080/08920753.2011.600240?journalCode=ucmg20 to https://www.sciencedirect.com/science/article/abs/pii/S0022098116301873, **Contact_name** changed from Dr. H.T. Yap to Jeric Da-Anoy/Dr. Patrick Cabaitan</v>
      </c>
      <c r="I165" s="153" t="s">
        <v>6459</v>
      </c>
      <c r="J165" s="153" t="s">
        <v>143</v>
      </c>
      <c r="K165" s="153" t="s">
        <v>144</v>
      </c>
      <c r="L165" s="153" t="s">
        <v>693</v>
      </c>
      <c r="M165" s="181" t="s">
        <v>694</v>
      </c>
      <c r="N165" s="153" t="s">
        <v>6221</v>
      </c>
      <c r="O165" s="158" t="s">
        <v>149</v>
      </c>
      <c r="P165" s="153" t="s">
        <v>6460</v>
      </c>
      <c r="Q165" s="169">
        <v>2015.0</v>
      </c>
      <c r="R165" s="160" t="s">
        <v>6268</v>
      </c>
      <c r="S165" s="160" t="s">
        <v>6268</v>
      </c>
      <c r="T165" s="156" t="s">
        <v>199</v>
      </c>
      <c r="U165" s="153">
        <f>IFERROR(__xludf.DUMMYFUNCTION("""COMPUTED_VALUE"""),147.0)</f>
        <v>147</v>
      </c>
      <c r="V165" s="191" t="s">
        <v>3299</v>
      </c>
      <c r="W165" s="184" t="s">
        <v>154</v>
      </c>
      <c r="X165" s="180"/>
      <c r="Y165" s="180" t="s">
        <v>154</v>
      </c>
      <c r="Z165" s="158" t="s">
        <v>3004</v>
      </c>
      <c r="AA165" s="158" t="s">
        <v>3004</v>
      </c>
      <c r="AB165" s="153" t="s">
        <v>3005</v>
      </c>
      <c r="AC165" s="158" t="s">
        <v>233</v>
      </c>
      <c r="AD165" s="158" t="s">
        <v>160</v>
      </c>
      <c r="AE165" s="158" t="s">
        <v>209</v>
      </c>
      <c r="AF165" s="158" t="s">
        <v>204</v>
      </c>
      <c r="AG165" s="164" t="s">
        <v>149</v>
      </c>
      <c r="AH165" s="158" t="s">
        <v>149</v>
      </c>
      <c r="AI165" s="158" t="s">
        <v>149</v>
      </c>
      <c r="AJ165" s="158" t="s">
        <v>233</v>
      </c>
      <c r="AK165" s="158" t="s">
        <v>6068</v>
      </c>
      <c r="AL165" s="3" t="s">
        <v>149</v>
      </c>
      <c r="AM165" s="3" t="s">
        <v>149</v>
      </c>
      <c r="AN165" s="3" t="s">
        <v>149</v>
      </c>
      <c r="AO165" s="156">
        <v>1.0</v>
      </c>
      <c r="AP165" s="156" t="s">
        <v>6037</v>
      </c>
      <c r="AQ165" s="158" t="s">
        <v>6214</v>
      </c>
      <c r="AR165" s="153" t="s">
        <v>3006</v>
      </c>
      <c r="AS165" s="165" t="s">
        <v>3007</v>
      </c>
      <c r="AT165" s="153" t="s">
        <v>3008</v>
      </c>
      <c r="AU165" s="3" t="s">
        <v>149</v>
      </c>
    </row>
    <row r="166">
      <c r="A166" s="186">
        <v>83.0</v>
      </c>
      <c r="B166" s="152">
        <v>2023.0</v>
      </c>
      <c r="D166" s="152"/>
      <c r="E166" s="151">
        <v>83.0</v>
      </c>
      <c r="F166" s="129" t="s">
        <v>140</v>
      </c>
      <c r="G166" s="3" t="s">
        <v>6029</v>
      </c>
      <c r="H166" s="8" t="str">
        <f>IFERROR(__xludf.DUMMYFUNCTION("""COMPUTED_VALUE"""),"")</f>
        <v/>
      </c>
      <c r="I166" s="8" t="s">
        <v>6461</v>
      </c>
      <c r="J166" s="8" t="s">
        <v>143</v>
      </c>
      <c r="K166" s="8" t="s">
        <v>144</v>
      </c>
      <c r="L166" s="8" t="s">
        <v>693</v>
      </c>
      <c r="M166" s="153" t="s">
        <v>694</v>
      </c>
      <c r="N166" s="8" t="s">
        <v>6062</v>
      </c>
      <c r="O166" s="8" t="s">
        <v>1022</v>
      </c>
      <c r="P166" s="8" t="s">
        <v>6462</v>
      </c>
      <c r="Q166" s="142" t="s">
        <v>6457</v>
      </c>
      <c r="R166" s="3" t="s">
        <v>149</v>
      </c>
      <c r="S166" s="3" t="s">
        <v>149</v>
      </c>
      <c r="T166" s="8"/>
      <c r="U166" s="8">
        <f>IFERROR(__xludf.DUMMYFUNCTION("""COMPUTED_VALUE"""),148.0)</f>
        <v>148</v>
      </c>
      <c r="V166" s="8"/>
      <c r="W166" s="8"/>
      <c r="X166" s="8"/>
      <c r="Y166" s="8"/>
      <c r="AA166" s="8" t="s">
        <v>6288</v>
      </c>
      <c r="AB166" s="8" t="s">
        <v>6463</v>
      </c>
      <c r="AC166" s="8" t="s">
        <v>6464</v>
      </c>
      <c r="AD166" s="193" t="s">
        <v>149</v>
      </c>
      <c r="AE166" s="193" t="s">
        <v>149</v>
      </c>
      <c r="AF166" s="193" t="s">
        <v>149</v>
      </c>
      <c r="AG166" s="3" t="s">
        <v>149</v>
      </c>
      <c r="AH166" s="3" t="s">
        <v>149</v>
      </c>
      <c r="AI166" s="3" t="s">
        <v>149</v>
      </c>
      <c r="AJ166" s="3" t="s">
        <v>149</v>
      </c>
      <c r="AL166" s="3" t="s">
        <v>149</v>
      </c>
      <c r="AM166" s="8" t="s">
        <v>1167</v>
      </c>
      <c r="AN166" s="3" t="s">
        <v>149</v>
      </c>
      <c r="AO166" s="8"/>
      <c r="AP166" s="8"/>
      <c r="AR166" s="8" t="s">
        <v>6214</v>
      </c>
      <c r="AS166" s="8" t="s">
        <v>1169</v>
      </c>
      <c r="AT166" s="8" t="s">
        <v>1077</v>
      </c>
      <c r="AU166" s="172" t="s">
        <v>1170</v>
      </c>
    </row>
    <row r="167">
      <c r="A167" s="186">
        <v>83.0</v>
      </c>
      <c r="B167" s="152">
        <v>2025.0</v>
      </c>
      <c r="C167" s="153" t="str">
        <f>CONCATENATE(D167, "-", M167, "-", A167)
</f>
        <v>2023-PH015520000-83</v>
      </c>
      <c r="D167" s="152">
        <f>IF(OR(F166="Published", F166="Unpublished"), 2023, IF(F166="New", 2025, ""))
</f>
        <v>2023</v>
      </c>
      <c r="E167" s="151">
        <v>83.0</v>
      </c>
      <c r="F167" s="156" t="s">
        <v>140</v>
      </c>
      <c r="G167" s="156" t="s">
        <v>141</v>
      </c>
      <c r="H167" s="153" t="str">
        <f>IFERROR(__xludf.DUMMYFUNCTION("""COMPUTED_VALUE"""),"**Restoration_project** changed from European Union INCO-DEV Project to Artificial Reef Development Program, **Restoration_project_short** changed from How Quickly do Fragments of Coral ""Self-Attach"" after Transplantation to Site in Cato, **Year of esta"&amp;"blishment** changed from *Not indicated (2011 publication year) to 1986, **Project Start** changed from Unknown to 1985, **Project End** changed from Unknown to 1987, **Restoration method** changed from Asexual Reproduction to Artificial Reef, **Technique"&amp;"/Material Type** changed from Transplantation to tires, **Restoration objective** changed from Research; Examine the self-attachment times to natural calcium carbonate substrate to Unknown, **Funding agency** changed from European Union to BFAR, **Total u"&amp;"nits** changed from Unknown to 14 TM, **Implementing institution** changed from Unknown to BFAR, **Partners_public** changed from Unknown to Ministry of Human Settlements, **Partners_private** changed from GEF/WB Coral Reef Targeted Research to Unknown, *"&amp;"*Partners_communities** changed from Unknown to Samahang Kabuhayan, **Reference** changed from Published article to Balgos, M.C. (1995). Evaluation of artificial reef development in the Philippines. In Munro, J.L. &amp; Balgos, M. (eds.) Artificial reefs in t"&amp;"he Philippines. ICLARM Conf. Proc. 49, pp. 6-22., **Website** changed from https://www.academia.edu/25026620/How_Quickly_do_Fragments_of_Coral_Self_Attach_after_Transplantation to https://core.ac.uk/download/pdf/6515223.pdf; https://www.ircwash.org/sites/"&amp;"default/files/802-PH90-8920.pdf, **Contact_name** changed from Dr. James Guest to Miriam Balgos, **Contact_details** changed from james.guest@nus.edu.sg to Unknown")</f>
        <v>**Restoration_project** changed from European Union INCO-DEV Project to Artificial Reef Development Program, **Restoration_project_short** changed from How Quickly do Fragments of Coral "Self-Attach" after Transplantation to Site in Cato, **Year of establishment** changed from *Not indicated (2011 publication year) to 1986, **Project Start** changed from Unknown to 1985, **Project End** changed from Unknown to 1987, **Restoration method** changed from Asexual Reproduction to Artificial Reef, **Technique/Material Type** changed from Transplantation to tires, **Restoration objective** changed from Research; Examine the self-attachment times to natural calcium carbonate substrate to Unknown, **Funding agency** changed from European Union to BFAR, **Total units** changed from Unknown to 14 TM, **Implementing institution** changed from Unknown to BFAR, **Partners_public** changed from Unknown to Ministry of Human Settlements, **Partners_private** changed from GEF/WB Coral Reef Targeted Research to Unknown, **Partners_communities** changed from Unknown to Samahang Kabuhayan, **Reference** changed from Published article to Balgos, M.C. (1995). Evaluation of artificial reef development in the Philippines. In Munro, J.L. &amp; Balgos, M. (eds.) Artificial reefs in the Philippines. ICLARM Conf. Proc. 49, pp. 6-22., **Website** changed from https://www.academia.edu/25026620/How_Quickly_do_Fragments_of_Coral_Self_Attach_after_Transplantation to https://core.ac.uk/download/pdf/6515223.pdf; https://www.ircwash.org/sites/default/files/802-PH90-8920.pdf, **Contact_name** changed from Dr. James Guest to Miriam Balgos, **Contact_details** changed from james.guest@nus.edu.sg to Unknown</v>
      </c>
      <c r="I167" s="153" t="s">
        <v>6465</v>
      </c>
      <c r="J167" s="153" t="s">
        <v>143</v>
      </c>
      <c r="K167" s="153" t="s">
        <v>144</v>
      </c>
      <c r="L167" s="153" t="s">
        <v>472</v>
      </c>
      <c r="M167" s="181" t="s">
        <v>473</v>
      </c>
      <c r="N167" s="153" t="s">
        <v>151</v>
      </c>
      <c r="O167" s="153" t="s">
        <v>384</v>
      </c>
      <c r="P167" s="153" t="s">
        <v>474</v>
      </c>
      <c r="Q167" s="169">
        <v>1986.0</v>
      </c>
      <c r="R167" s="175" t="s">
        <v>6052</v>
      </c>
      <c r="S167" s="175" t="s">
        <v>6053</v>
      </c>
      <c r="T167" s="161" t="s">
        <v>150</v>
      </c>
      <c r="U167" s="153">
        <f>IFERROR(__xludf.DUMMYFUNCTION("""COMPUTED_VALUE"""),149.0)</f>
        <v>149</v>
      </c>
      <c r="V167" s="162" t="s">
        <v>3311</v>
      </c>
      <c r="W167" s="170" t="s">
        <v>6059</v>
      </c>
      <c r="X167" s="28" t="s">
        <v>6033</v>
      </c>
      <c r="Y167" s="28" t="s">
        <v>386</v>
      </c>
      <c r="Z167" s="176" t="s">
        <v>386</v>
      </c>
      <c r="AA167" s="153" t="s">
        <v>6054</v>
      </c>
      <c r="AB167" s="158" t="s">
        <v>149</v>
      </c>
      <c r="AC167" s="153" t="s">
        <v>390</v>
      </c>
      <c r="AD167" s="158" t="s">
        <v>160</v>
      </c>
      <c r="AE167" s="158" t="s">
        <v>6035</v>
      </c>
      <c r="AF167" s="158" t="s">
        <v>159</v>
      </c>
      <c r="AG167" s="164" t="s">
        <v>149</v>
      </c>
      <c r="AH167" s="158" t="s">
        <v>149</v>
      </c>
      <c r="AI167" s="153" t="s">
        <v>475</v>
      </c>
      <c r="AJ167" s="153" t="s">
        <v>390</v>
      </c>
      <c r="AK167" s="153" t="s">
        <v>6035</v>
      </c>
      <c r="AL167" s="153" t="s">
        <v>6055</v>
      </c>
      <c r="AM167" s="3" t="s">
        <v>149</v>
      </c>
      <c r="AN167" s="153" t="s">
        <v>6056</v>
      </c>
      <c r="AO167" s="156">
        <v>1.0</v>
      </c>
      <c r="AP167" s="156" t="s">
        <v>6037</v>
      </c>
      <c r="AQ167" s="158" t="s">
        <v>395</v>
      </c>
      <c r="AR167" s="153" t="s">
        <v>6060</v>
      </c>
      <c r="AS167" s="158" t="s">
        <v>397</v>
      </c>
      <c r="AT167" s="153" t="s">
        <v>398</v>
      </c>
      <c r="AU167" s="3" t="s">
        <v>149</v>
      </c>
    </row>
    <row r="168">
      <c r="A168" s="186">
        <v>84.0</v>
      </c>
      <c r="B168" s="152">
        <v>2023.0</v>
      </c>
      <c r="D168" s="152"/>
      <c r="E168" s="151">
        <v>84.0</v>
      </c>
      <c r="F168" s="129" t="s">
        <v>140</v>
      </c>
      <c r="G168" s="3" t="s">
        <v>6029</v>
      </c>
      <c r="H168" s="8" t="str">
        <f>IFERROR(__xludf.DUMMYFUNCTION("""COMPUTED_VALUE"""),"")</f>
        <v/>
      </c>
      <c r="I168" s="8" t="s">
        <v>6466</v>
      </c>
      <c r="J168" s="8" t="s">
        <v>143</v>
      </c>
      <c r="K168" s="8" t="s">
        <v>144</v>
      </c>
      <c r="L168" s="8" t="s">
        <v>693</v>
      </c>
      <c r="M168" s="173" t="s">
        <v>694</v>
      </c>
      <c r="N168" s="8" t="s">
        <v>6221</v>
      </c>
      <c r="O168" s="3" t="s">
        <v>149</v>
      </c>
      <c r="P168" s="8" t="s">
        <v>6467</v>
      </c>
      <c r="Q168" s="142" t="s">
        <v>6114</v>
      </c>
      <c r="R168" s="3" t="s">
        <v>149</v>
      </c>
      <c r="S168" s="3" t="s">
        <v>149</v>
      </c>
      <c r="T168" s="8"/>
      <c r="U168" s="8">
        <f>IFERROR(__xludf.DUMMYFUNCTION("""COMPUTED_VALUE"""),150.0)</f>
        <v>150</v>
      </c>
      <c r="V168" s="8"/>
      <c r="W168" s="3"/>
      <c r="X168" s="8"/>
      <c r="Y168" s="8"/>
      <c r="AA168" s="3" t="s">
        <v>149</v>
      </c>
      <c r="AB168" s="8" t="s">
        <v>2992</v>
      </c>
      <c r="AC168" s="8" t="s">
        <v>321</v>
      </c>
      <c r="AD168" s="193" t="s">
        <v>149</v>
      </c>
      <c r="AE168" s="193" t="s">
        <v>149</v>
      </c>
      <c r="AF168" s="193" t="s">
        <v>149</v>
      </c>
      <c r="AG168" s="3" t="s">
        <v>149</v>
      </c>
      <c r="AH168" s="3" t="s">
        <v>149</v>
      </c>
      <c r="AI168" s="3" t="s">
        <v>149</v>
      </c>
      <c r="AJ168" s="8" t="s">
        <v>233</v>
      </c>
      <c r="AL168" s="8" t="s">
        <v>321</v>
      </c>
      <c r="AM168" s="3" t="s">
        <v>149</v>
      </c>
      <c r="AN168" s="3" t="s">
        <v>149</v>
      </c>
      <c r="AO168" s="8"/>
      <c r="AP168" s="8"/>
      <c r="AR168" s="8" t="s">
        <v>6214</v>
      </c>
      <c r="AS168" s="8" t="s">
        <v>2994</v>
      </c>
      <c r="AT168" s="8" t="s">
        <v>1061</v>
      </c>
      <c r="AU168" s="3" t="s">
        <v>149</v>
      </c>
    </row>
    <row r="169">
      <c r="A169" s="186">
        <v>84.0</v>
      </c>
      <c r="B169" s="152">
        <v>2025.0</v>
      </c>
      <c r="C169" s="153" t="str">
        <f>CONCATENATE(D169, "-", M169, "-", A169)
</f>
        <v>2023-PH015521000-84</v>
      </c>
      <c r="D169" s="152">
        <f>IF(OR(F168="Published", F168="Unpublished"), 2023, IF(F168="New", 2025, ""))
</f>
        <v>2023</v>
      </c>
      <c r="E169" s="151">
        <v>84.0</v>
      </c>
      <c r="F169" s="156" t="s">
        <v>140</v>
      </c>
      <c r="G169" s="156" t="s">
        <v>141</v>
      </c>
      <c r="H169" s="153" t="str">
        <f>IFERROR(__xludf.DUMMYFUNCTION("""COMPUTED_VALUE"""),"**Restoration_project** changed from Unknown to Artificial Reef Development Program, **Restoration_project_short** changed from Effects of grazing by herbivorous gastropod (Trochus niloticus) on the survivorship of cultured coral spat to Site in Tobuan, *"&amp;"*Year of establishment** changed from 2010 to 1981, **Project Start** changed from Unknown to 1985, **Project End** changed from Unknown to 1987, **Restoration method** changed from Sexual Reproduction to Artificial Reef, **Technique/Material Type** chang"&amp;"ed from Unknown to tires, **Restoration objective** changed from Research; Determine the effects of trochus on the survivorship and growth of coral spat to Unknown, **Funding agency** changed from DOST-PCAARRD to BFAR, **Total units** changed from Unknown"&amp;" to 800 units, **Implementing institution** changed from UP MSI to BFAR, **Partners_public** changed from DOST-PCAARRD to Ministry of Human Settlements, **Reference** changed from Published article to Balgos, M.C. (1995). Evaluation of artificial reef dev"&amp;"elopment in the Philippines. In Munro, J.L. &amp; Balgos, M. (eds.) Artificial reefs in the Philippines. ICLARM Conf. Proc. 49, pp. 6-22., **Website** changed from https://zoologicalstudies.springeropen.com/articles/10.1186/1810-522X-52-44 to https://core.ac."&amp;"uk/download/pdf/6515223.pdf; https://www.ircwash.org/sites/default/files/802-PH90-8920.pdf, **Contact_name** changed from Dr. Maria Vanessa Baria Rodriguez to Miriam Balgos")</f>
        <v>**Restoration_project** changed from Unknown to Artificial Reef Development Program, **Restoration_project_short** changed from Effects of grazing by herbivorous gastropod (Trochus niloticus) on the survivorship of cultured coral spat to Site in Tobuan, **Year of establishment** changed from 2010 to 1981, **Project Start** changed from Unknown to 1985, **Project End** changed from Unknown to 1987, **Restoration method** changed from Sexual Reproduction to Artificial Reef, **Technique/Material Type** changed from Unknown to tires, **Restoration objective** changed from Research; Determine the effects of trochus on the survivorship and growth of coral spat to Unknown, **Funding agency** changed from DOST-PCAARRD to BFAR, **Total units** changed from Unknown to 800 units, **Implementing institution** changed from UP MSI to BFAR, **Partners_public** changed from DOST-PCAARRD to Ministry of Human Settlements, **Reference** changed from Published article to Balgos, M.C. (1995). Evaluation of artificial reef development in the Philippines. In Munro, J.L. &amp; Balgos, M. (eds.) Artificial reefs in the Philippines. ICLARM Conf. Proc. 49, pp. 6-22., **Website** changed from https://zoologicalstudies.springeropen.com/articles/10.1186/1810-522X-52-44 to https://core.ac.uk/download/pdf/6515223.pdf; https://www.ircwash.org/sites/default/files/802-PH90-8920.pdf, **Contact_name** changed from Dr. Maria Vanessa Baria Rodriguez to Miriam Balgos</v>
      </c>
      <c r="I169" s="153" t="s">
        <v>6468</v>
      </c>
      <c r="J169" s="153" t="s">
        <v>143</v>
      </c>
      <c r="K169" s="153" t="s">
        <v>144</v>
      </c>
      <c r="L169" s="153" t="s">
        <v>2857</v>
      </c>
      <c r="M169" s="181" t="s">
        <v>2858</v>
      </c>
      <c r="N169" s="153" t="s">
        <v>151</v>
      </c>
      <c r="O169" s="153" t="s">
        <v>384</v>
      </c>
      <c r="P169" s="153" t="s">
        <v>6469</v>
      </c>
      <c r="Q169" s="169">
        <v>1981.0</v>
      </c>
      <c r="R169" s="175" t="s">
        <v>6052</v>
      </c>
      <c r="S169" s="175" t="s">
        <v>6053</v>
      </c>
      <c r="T169" s="161" t="s">
        <v>150</v>
      </c>
      <c r="U169" s="153">
        <f>IFERROR(__xludf.DUMMYFUNCTION("""COMPUTED_VALUE"""),151.0)</f>
        <v>151</v>
      </c>
      <c r="V169" s="162" t="s">
        <v>3311</v>
      </c>
      <c r="W169" s="170" t="s">
        <v>6059</v>
      </c>
      <c r="X169" s="28" t="s">
        <v>6033</v>
      </c>
      <c r="Y169" s="28" t="s">
        <v>386</v>
      </c>
      <c r="Z169" s="176" t="s">
        <v>386</v>
      </c>
      <c r="AA169" s="153" t="s">
        <v>6054</v>
      </c>
      <c r="AB169" s="158" t="s">
        <v>149</v>
      </c>
      <c r="AC169" s="153" t="s">
        <v>390</v>
      </c>
      <c r="AD169" s="158" t="s">
        <v>160</v>
      </c>
      <c r="AE169" s="158" t="s">
        <v>6035</v>
      </c>
      <c r="AF169" s="158" t="s">
        <v>159</v>
      </c>
      <c r="AG169" s="164" t="s">
        <v>149</v>
      </c>
      <c r="AH169" s="158" t="s">
        <v>149</v>
      </c>
      <c r="AI169" s="153" t="s">
        <v>2860</v>
      </c>
      <c r="AJ169" s="153" t="s">
        <v>390</v>
      </c>
      <c r="AK169" s="153" t="s">
        <v>6035</v>
      </c>
      <c r="AL169" s="153" t="s">
        <v>6055</v>
      </c>
      <c r="AM169" s="3" t="s">
        <v>149</v>
      </c>
      <c r="AN169" s="3" t="s">
        <v>149</v>
      </c>
      <c r="AO169" s="156">
        <v>1.0</v>
      </c>
      <c r="AP169" s="156" t="s">
        <v>6037</v>
      </c>
      <c r="AQ169" s="158" t="s">
        <v>395</v>
      </c>
      <c r="AR169" s="153" t="s">
        <v>6060</v>
      </c>
      <c r="AS169" s="158" t="s">
        <v>397</v>
      </c>
      <c r="AT169" s="153" t="s">
        <v>398</v>
      </c>
      <c r="AU169" s="3" t="s">
        <v>149</v>
      </c>
    </row>
    <row r="170">
      <c r="A170" s="186">
        <v>85.0</v>
      </c>
      <c r="B170" s="152">
        <v>2023.0</v>
      </c>
      <c r="D170" s="152"/>
      <c r="E170" s="151">
        <v>85.0</v>
      </c>
      <c r="F170" s="129" t="s">
        <v>140</v>
      </c>
      <c r="G170" s="3" t="s">
        <v>6029</v>
      </c>
      <c r="H170" s="8" t="str">
        <f>IFERROR(__xludf.DUMMYFUNCTION("""COMPUTED_VALUE"""),"")</f>
        <v/>
      </c>
      <c r="I170" s="8" t="s">
        <v>6470</v>
      </c>
      <c r="J170" s="8" t="s">
        <v>143</v>
      </c>
      <c r="K170" s="8" t="s">
        <v>144</v>
      </c>
      <c r="L170" s="8" t="s">
        <v>693</v>
      </c>
      <c r="M170" s="153" t="s">
        <v>694</v>
      </c>
      <c r="N170" s="8" t="s">
        <v>6062</v>
      </c>
      <c r="O170" s="3" t="s">
        <v>149</v>
      </c>
      <c r="P170" s="8" t="s">
        <v>6471</v>
      </c>
      <c r="Q170" s="142" t="s">
        <v>6114</v>
      </c>
      <c r="R170" s="142" t="s">
        <v>6114</v>
      </c>
      <c r="S170" s="142" t="s">
        <v>6151</v>
      </c>
      <c r="T170" s="8"/>
      <c r="U170" s="8">
        <f>IFERROR(__xludf.DUMMYFUNCTION("""COMPUTED_VALUE"""),152.0)</f>
        <v>152</v>
      </c>
      <c r="V170" s="8"/>
      <c r="W170" s="8"/>
      <c r="X170" s="8"/>
      <c r="Y170" s="8"/>
      <c r="AA170" s="8" t="s">
        <v>6288</v>
      </c>
      <c r="AB170" s="8" t="s">
        <v>6472</v>
      </c>
      <c r="AC170" s="8" t="s">
        <v>321</v>
      </c>
      <c r="AD170" s="193" t="s">
        <v>149</v>
      </c>
      <c r="AE170" s="193" t="s">
        <v>149</v>
      </c>
      <c r="AF170" s="193" t="s">
        <v>149</v>
      </c>
      <c r="AG170" s="3" t="s">
        <v>149</v>
      </c>
      <c r="AH170" s="3" t="s">
        <v>149</v>
      </c>
      <c r="AI170" s="8" t="s">
        <v>2998</v>
      </c>
      <c r="AJ170" s="8" t="s">
        <v>233</v>
      </c>
      <c r="AL170" s="8" t="s">
        <v>2999</v>
      </c>
      <c r="AM170" s="3" t="s">
        <v>149</v>
      </c>
      <c r="AN170" s="3" t="s">
        <v>149</v>
      </c>
      <c r="AO170" s="8"/>
      <c r="AP170" s="8"/>
      <c r="AR170" s="8" t="s">
        <v>6214</v>
      </c>
      <c r="AS170" s="8" t="s">
        <v>3001</v>
      </c>
      <c r="AT170" s="8" t="s">
        <v>245</v>
      </c>
      <c r="AU170" s="3" t="s">
        <v>149</v>
      </c>
    </row>
    <row r="171">
      <c r="A171" s="186">
        <v>85.0</v>
      </c>
      <c r="B171" s="152">
        <v>2025.0</v>
      </c>
      <c r="C171" s="153" t="str">
        <f>CONCATENATE(D171, "-", M171, "-", A171)
</f>
        <v>2023-PH015522000-85</v>
      </c>
      <c r="D171" s="152">
        <f>IF(OR(F170="Published", F170="Unpublished"), 2023, IF(F170="New", 2025, ""))
</f>
        <v>2023</v>
      </c>
      <c r="E171" s="151">
        <v>85.0</v>
      </c>
      <c r="F171" s="156" t="s">
        <v>140</v>
      </c>
      <c r="G171" s="156" t="s">
        <v>141</v>
      </c>
      <c r="H171" s="153" t="str">
        <f>IFERROR(__xludf.DUMMYFUNCTION("""COMPUTED_VALUE"""),"**Restoration_project** changed from Unknown to Lingayen Fish Sanctuary, **Restoration_project_short** changed from Site in Lucero; Community-based, low-tech method of restoring a lost thicket of Acropora corals to Site in Lingayen Fish Sanctuary, **Year "&amp;"of establishment** changed from 2010 to 2022, **Project Start** changed from 2010 to Unknown, **Project End** changed from 2012 to Unknown, **Restoration method** changed from Asexual Reproduction to Artificial Reef, **Technique/Material Type** changed fr"&amp;"om Transplantation to Concrete, **Restoration objective** changed from Research; Develop cost-effective, low-tech restoration method transferable to the community to Creation of MPA; Boost the marine ecosystem and increase local fish catch, **Funding agen"&amp;"cy** changed from DOST-PCAARRD to MLGU, **Total units** changed from 450 COPs to 45 units, **Implementing institution** changed from UP MSI to MLGU, **Partners_public** changed from Australian Centre for International Agricultural Research to BFAR, PLGU, "&amp;"**Reference** changed from Published article to Pasiliao, J. J. (2022, Mar 7). Artificial reefs, watch tower in coastal Pangasinan town launched. Manila Bulletin. https://mb.com.ph/2022/3/7/artificial-reefs-watch-tower-in-coastal-pangasinan-town-launched,"&amp;" **Website** changed from https://academic.oup.com/icesjms/article/71/7/1866/664250 to https://mb.com.ph/2022/3/7/artificial-reefs-watch-tower-in-coastal-pangasinan-town-launched, **Contact_name** changed from Dr. Dexter dela Cruz to Unknown")</f>
        <v>**Restoration_project** changed from Unknown to Lingayen Fish Sanctuary, **Restoration_project_short** changed from Site in Lucero; Community-based, low-tech method of restoring a lost thicket of Acropora corals to Site in Lingayen Fish Sanctuary, **Year of establishment** changed from 2010 to 2022, **Project Start** changed from 2010 to Unknown, **Project End** changed from 2012 to Unknown, **Restoration method** changed from Asexual Reproduction to Artificial Reef, **Technique/Material Type** changed from Transplantation to Concrete, **Restoration objective** changed from Research; Develop cost-effective, low-tech restoration method transferable to the community to Creation of MPA; Boost the marine ecosystem and increase local fish catch, **Funding agency** changed from DOST-PCAARRD to MLGU, **Total units** changed from 450 COPs to 45 units, **Implementing institution** changed from UP MSI to MLGU, **Partners_public** changed from Australian Centre for International Agricultural Research to BFAR, PLGU, **Reference** changed from Published article to Pasiliao, J. J. (2022, Mar 7). Artificial reefs, watch tower in coastal Pangasinan town launched. Manila Bulletin. https://mb.com.ph/2022/3/7/artificial-reefs-watch-tower-in-coastal-pangasinan-town-launched, **Website** changed from https://academic.oup.com/icesjms/article/71/7/1866/664250 to https://mb.com.ph/2022/3/7/artificial-reefs-watch-tower-in-coastal-pangasinan-town-launched, **Contact_name** changed from Dr. Dexter dela Cruz to Unknown</v>
      </c>
      <c r="I171" s="153" t="s">
        <v>6473</v>
      </c>
      <c r="J171" s="153" t="s">
        <v>143</v>
      </c>
      <c r="K171" s="153" t="s">
        <v>144</v>
      </c>
      <c r="L171" s="153" t="s">
        <v>1649</v>
      </c>
      <c r="M171" s="181" t="s">
        <v>1650</v>
      </c>
      <c r="N171" s="153" t="s">
        <v>151</v>
      </c>
      <c r="O171" s="153" t="s">
        <v>1651</v>
      </c>
      <c r="P171" s="158" t="s">
        <v>1652</v>
      </c>
      <c r="Q171" s="169">
        <v>2022.0</v>
      </c>
      <c r="R171" s="160" t="s">
        <v>149</v>
      </c>
      <c r="S171" s="160" t="s">
        <v>149</v>
      </c>
      <c r="T171" s="161" t="s">
        <v>150</v>
      </c>
      <c r="U171" s="153">
        <f>IFERROR(__xludf.DUMMYFUNCTION("""COMPUTED_VALUE"""),153.0)</f>
        <v>153</v>
      </c>
      <c r="V171" s="162" t="s">
        <v>3311</v>
      </c>
      <c r="W171" s="184" t="s">
        <v>6032</v>
      </c>
      <c r="X171" s="28" t="s">
        <v>6173</v>
      </c>
      <c r="Y171" s="32" t="s">
        <v>6474</v>
      </c>
      <c r="Z171" s="158" t="s">
        <v>152</v>
      </c>
      <c r="AA171" s="158" t="s">
        <v>152</v>
      </c>
      <c r="AB171" s="153" t="s">
        <v>6475</v>
      </c>
      <c r="AC171" s="153" t="s">
        <v>369</v>
      </c>
      <c r="AD171" s="158" t="s">
        <v>160</v>
      </c>
      <c r="AE171" s="158" t="s">
        <v>6035</v>
      </c>
      <c r="AF171" s="158" t="s">
        <v>159</v>
      </c>
      <c r="AG171" s="164" t="s">
        <v>149</v>
      </c>
      <c r="AH171" s="158" t="s">
        <v>149</v>
      </c>
      <c r="AI171" s="158" t="s">
        <v>162</v>
      </c>
      <c r="AJ171" s="153" t="s">
        <v>369</v>
      </c>
      <c r="AK171" s="153" t="s">
        <v>6035</v>
      </c>
      <c r="AL171" s="153" t="s">
        <v>6476</v>
      </c>
      <c r="AM171" s="3" t="s">
        <v>149</v>
      </c>
      <c r="AN171" s="3" t="s">
        <v>149</v>
      </c>
      <c r="AO171" s="156">
        <v>1.0</v>
      </c>
      <c r="AP171" s="156" t="s">
        <v>6037</v>
      </c>
      <c r="AQ171" s="158" t="s">
        <v>166</v>
      </c>
      <c r="AR171" s="153" t="s">
        <v>6477</v>
      </c>
      <c r="AS171" s="165" t="s">
        <v>1657</v>
      </c>
      <c r="AT171" s="3" t="s">
        <v>149</v>
      </c>
      <c r="AU171" s="3" t="s">
        <v>149</v>
      </c>
    </row>
    <row r="172">
      <c r="A172" s="186">
        <v>86.0</v>
      </c>
      <c r="B172" s="152">
        <v>2023.0</v>
      </c>
      <c r="D172" s="152"/>
      <c r="E172" s="151">
        <v>86.0</v>
      </c>
      <c r="F172" s="129" t="s">
        <v>140</v>
      </c>
      <c r="G172" s="3" t="s">
        <v>6029</v>
      </c>
      <c r="H172" s="8" t="str">
        <f>IFERROR(__xludf.DUMMYFUNCTION("""COMPUTED_VALUE"""),"")</f>
        <v/>
      </c>
      <c r="I172" s="8" t="s">
        <v>6478</v>
      </c>
      <c r="J172" s="8" t="s">
        <v>143</v>
      </c>
      <c r="K172" s="8" t="s">
        <v>144</v>
      </c>
      <c r="L172" s="8" t="s">
        <v>693</v>
      </c>
      <c r="M172" s="153" t="s">
        <v>694</v>
      </c>
      <c r="N172" s="8" t="s">
        <v>6259</v>
      </c>
      <c r="O172" s="8" t="s">
        <v>6433</v>
      </c>
      <c r="P172" s="8" t="s">
        <v>6479</v>
      </c>
      <c r="Q172" s="142" t="s">
        <v>6415</v>
      </c>
      <c r="R172" s="142" t="s">
        <v>6415</v>
      </c>
      <c r="S172" s="142" t="s">
        <v>6114</v>
      </c>
      <c r="T172" s="8"/>
      <c r="U172" s="8">
        <f>IFERROR(__xludf.DUMMYFUNCTION("""COMPUTED_VALUE"""),154.0)</f>
        <v>154</v>
      </c>
      <c r="V172" s="8"/>
      <c r="W172" s="8"/>
      <c r="X172" s="8"/>
      <c r="Y172" s="8"/>
      <c r="AA172" s="8" t="s">
        <v>6480</v>
      </c>
      <c r="AB172" s="8" t="s">
        <v>1073</v>
      </c>
      <c r="AC172" s="8" t="s">
        <v>1020</v>
      </c>
      <c r="AD172" s="193" t="s">
        <v>149</v>
      </c>
      <c r="AE172" s="193" t="s">
        <v>149</v>
      </c>
      <c r="AF172" s="193" t="s">
        <v>149</v>
      </c>
      <c r="AG172" s="3" t="s">
        <v>149</v>
      </c>
      <c r="AH172" s="3" t="s">
        <v>149</v>
      </c>
      <c r="AI172" s="8" t="s">
        <v>1074</v>
      </c>
      <c r="AJ172" s="8" t="s">
        <v>233</v>
      </c>
      <c r="AL172" s="3" t="s">
        <v>149</v>
      </c>
      <c r="AM172" s="3" t="s">
        <v>149</v>
      </c>
      <c r="AN172" s="3" t="s">
        <v>149</v>
      </c>
      <c r="AO172" s="8"/>
      <c r="AP172" s="8"/>
      <c r="AR172" s="8" t="s">
        <v>6214</v>
      </c>
      <c r="AS172" s="8" t="s">
        <v>1076</v>
      </c>
      <c r="AT172" s="8" t="s">
        <v>1077</v>
      </c>
      <c r="AU172" s="172" t="s">
        <v>1078</v>
      </c>
    </row>
    <row r="173">
      <c r="A173" s="186">
        <v>86.0</v>
      </c>
      <c r="B173" s="152">
        <v>2025.0</v>
      </c>
      <c r="C173" s="153" t="str">
        <f>CONCATENATE(D173, "-", M173, "-", A173)
</f>
        <v>2023-PH015533000-86</v>
      </c>
      <c r="D173" s="152">
        <f>IF(OR(F172="Published", F172="Unpublished"), 2023, IF(F172="New", 2025, ""))
</f>
        <v>2023</v>
      </c>
      <c r="E173" s="151">
        <v>86.0</v>
      </c>
      <c r="F173" s="156" t="s">
        <v>140</v>
      </c>
      <c r="G173" s="156" t="s">
        <v>141</v>
      </c>
      <c r="H173" s="153" t="str">
        <f>IFERROR(__xludf.DUMMYFUNCTION("""COMPUTED_VALUE"""),"**Restoration_project** changed from GEF/WB Coral Reef Targeted Research for Capacity Building and Management Programme to Unknown, **Restoration_project_short** changed from Site in BML; Closing the circle: is it feasible to rehabilitate reefs with sexua"&amp;"lly propagated corals to Unknown, **Year of establishment** changed from 2008 to 2018, **Project Start** changed from 2008 to Unknown, **Project End** changed from 2010 to Unknown, **Restoration method** changed from Sexual Reproduction; Asexual Reproduct"&amp;"ion to Artificial Reef, **Technique/Material Type** changed from CNU; ""coral plug-in"" to Concrete tripod, **Restoration objective** changed from Research; Develop a coral settlement substrate called ""coral plug-in"" to be used for rearing corals in nur"&amp;"series and transplant directly to the reef to Fish shelter and breeding ground, **Funding agency** changed from Global Environment Facility / World Bank to Unknown, **Total units** changed from 150 plug-ins to 70 units, **Implementing institution** change"&amp;"d from UP MSI to Unknown, **Partners_public** changed from Unknown to PLGU, MLGU, BFAR, **Reference** changed from Published article to Fulgencio-Espanol, E. (2018, Jan. 31). Paglalagay ng artificial reef sa dagat sa Pangasinan, sinimulan na. ABS-CBN News"&amp;". https://news.abs-cbn.com/news/01/31/18/paglalagay-ng-artificial-reef-sa-dagat-sa-pangasinan-sinimulan-na, **Website** changed from https://link.springer.com/article/10.1007/s00338-013-1114-1 to https://www.abs-cbn.com/news/nation/2025/2/5/ilang-device-n"&amp;"a-gamit-umano-sa-pang-eespiya-nakuha-mula-sa-hinihinalang-chinese-spy-1912, **Contact_name** changed from Dr. James Guest to Unknown, **Contact_details** changed from jrguest@gmail.com to Unknown")</f>
        <v>**Restoration_project** changed from GEF/WB Coral Reef Targeted Research for Capacity Building and Management Programme to Unknown, **Restoration_project_short** changed from Site in BML; Closing the circle: is it feasible to rehabilitate reefs with sexually propagated corals to Unknown, **Year of establishment** changed from 2008 to 2018, **Project Start** changed from 2008 to Unknown, **Project End** changed from 2010 to Unknown, **Restoration method** changed from Sexual Reproduction; Asexual Reproduction to Artificial Reef, **Technique/Material Type** changed from CNU; "coral plug-in" to Concrete tripod, **Restoration objective** changed from Research; Develop a coral settlement substrate called "coral plug-in" to be used for rearing corals in nurseries and transplant directly to the reef to Fish shelter and breeding ground, **Funding agency** changed from Global Environment Facility / World Bank to Unknown, **Total units** changed from 150 plug-ins to 70 units, **Implementing institution** changed from UP MSI to Unknown, **Partners_public** changed from Unknown to PLGU, MLGU, BFAR, **Reference** changed from Published article to Fulgencio-Espanol, E. (2018, Jan. 31). Paglalagay ng artificial reef sa dagat sa Pangasinan, sinimulan na. ABS-CBN News. https://news.abs-cbn.com/news/01/31/18/paglalagay-ng-artificial-reef-sa-dagat-sa-pangasinan-sinimulan-na, **Website** changed from https://link.springer.com/article/10.1007/s00338-013-1114-1 to https://www.abs-cbn.com/news/nation/2025/2/5/ilang-device-na-gamit-umano-sa-pang-eespiya-nakuha-mula-sa-hinihinalang-chinese-spy-1912, **Contact_name** changed from Dr. James Guest to Unknown, **Contact_details** changed from jrguest@gmail.com to Unknown</v>
      </c>
      <c r="I173" s="153" t="s">
        <v>6481</v>
      </c>
      <c r="J173" s="153" t="s">
        <v>143</v>
      </c>
      <c r="K173" s="153" t="s">
        <v>144</v>
      </c>
      <c r="L173" s="153" t="s">
        <v>2545</v>
      </c>
      <c r="M173" s="181" t="s">
        <v>2546</v>
      </c>
      <c r="N173" s="153" t="s">
        <v>151</v>
      </c>
      <c r="O173" s="158" t="s">
        <v>149</v>
      </c>
      <c r="P173" s="3" t="s">
        <v>149</v>
      </c>
      <c r="Q173" s="169">
        <v>2018.0</v>
      </c>
      <c r="R173" s="160" t="s">
        <v>149</v>
      </c>
      <c r="S173" s="160" t="s">
        <v>149</v>
      </c>
      <c r="T173" s="161" t="s">
        <v>150</v>
      </c>
      <c r="U173" s="153">
        <f>IFERROR(__xludf.DUMMYFUNCTION("""COMPUTED_VALUE"""),155.0)</f>
        <v>155</v>
      </c>
      <c r="V173" s="162" t="s">
        <v>3311</v>
      </c>
      <c r="W173" s="184" t="s">
        <v>6032</v>
      </c>
      <c r="X173" s="28" t="s">
        <v>6033</v>
      </c>
      <c r="Y173" s="32" t="s">
        <v>153</v>
      </c>
      <c r="Z173" s="158" t="s">
        <v>153</v>
      </c>
      <c r="AA173" s="158" t="s">
        <v>153</v>
      </c>
      <c r="AB173" s="158" t="s">
        <v>6482</v>
      </c>
      <c r="AC173" s="158" t="s">
        <v>149</v>
      </c>
      <c r="AD173" s="158" t="s">
        <v>149</v>
      </c>
      <c r="AE173" s="158" t="s">
        <v>149</v>
      </c>
      <c r="AF173" s="158" t="s">
        <v>159</v>
      </c>
      <c r="AG173" s="164" t="s">
        <v>149</v>
      </c>
      <c r="AH173" s="158" t="s">
        <v>149</v>
      </c>
      <c r="AI173" s="158" t="s">
        <v>2548</v>
      </c>
      <c r="AJ173" s="158" t="s">
        <v>149</v>
      </c>
      <c r="AK173" s="158" t="s">
        <v>149</v>
      </c>
      <c r="AL173" s="153" t="s">
        <v>6483</v>
      </c>
      <c r="AM173" s="3" t="s">
        <v>149</v>
      </c>
      <c r="AN173" s="3" t="s">
        <v>149</v>
      </c>
      <c r="AO173" s="156">
        <v>1.0</v>
      </c>
      <c r="AP173" s="156" t="s">
        <v>6037</v>
      </c>
      <c r="AQ173" s="158" t="s">
        <v>166</v>
      </c>
      <c r="AR173" s="153" t="s">
        <v>6484</v>
      </c>
      <c r="AS173" s="177" t="s">
        <v>6485</v>
      </c>
      <c r="AT173" s="3" t="s">
        <v>149</v>
      </c>
      <c r="AU173" s="3" t="s">
        <v>149</v>
      </c>
    </row>
    <row r="174">
      <c r="A174" s="186">
        <v>87.0</v>
      </c>
      <c r="B174" s="152">
        <v>2023.0</v>
      </c>
      <c r="D174" s="152"/>
      <c r="E174" s="151">
        <v>87.0</v>
      </c>
      <c r="F174" s="129" t="s">
        <v>140</v>
      </c>
      <c r="G174" s="3" t="s">
        <v>6029</v>
      </c>
      <c r="H174" s="8" t="str">
        <f>IFERROR(__xludf.DUMMYFUNCTION("""COMPUTED_VALUE"""),"")</f>
        <v/>
      </c>
      <c r="I174" s="8" t="s">
        <v>6486</v>
      </c>
      <c r="J174" s="8" t="s">
        <v>143</v>
      </c>
      <c r="K174" s="8" t="s">
        <v>144</v>
      </c>
      <c r="L174" s="8" t="s">
        <v>693</v>
      </c>
      <c r="M174" s="153" t="s">
        <v>694</v>
      </c>
      <c r="N174" s="8" t="s">
        <v>6062</v>
      </c>
      <c r="O174" s="8" t="s">
        <v>6433</v>
      </c>
      <c r="P174" s="8" t="s">
        <v>6454</v>
      </c>
      <c r="Q174" s="142" t="s">
        <v>6392</v>
      </c>
      <c r="R174" s="142" t="s">
        <v>6392</v>
      </c>
      <c r="S174" s="142" t="s">
        <v>6404</v>
      </c>
      <c r="T174" s="8"/>
      <c r="U174" s="8">
        <f>IFERROR(__xludf.DUMMYFUNCTION("""COMPUTED_VALUE"""),156.0)</f>
        <v>156</v>
      </c>
      <c r="V174" s="8"/>
      <c r="W174" s="8"/>
      <c r="X174" s="8"/>
      <c r="Y174" s="8"/>
      <c r="AA174" s="8" t="s">
        <v>6487</v>
      </c>
      <c r="AB174" s="8" t="s">
        <v>1049</v>
      </c>
      <c r="AC174" s="8" t="s">
        <v>1020</v>
      </c>
      <c r="AD174" s="193" t="s">
        <v>149</v>
      </c>
      <c r="AE174" s="193" t="s">
        <v>149</v>
      </c>
      <c r="AF174" s="193" t="s">
        <v>149</v>
      </c>
      <c r="AG174" s="3" t="s">
        <v>149</v>
      </c>
      <c r="AH174" s="3" t="s">
        <v>149</v>
      </c>
      <c r="AI174" s="8" t="s">
        <v>1050</v>
      </c>
      <c r="AJ174" s="8" t="s">
        <v>233</v>
      </c>
      <c r="AL174" s="3" t="s">
        <v>149</v>
      </c>
      <c r="AM174" s="8" t="s">
        <v>1022</v>
      </c>
      <c r="AN174" s="3" t="s">
        <v>149</v>
      </c>
      <c r="AO174" s="8"/>
      <c r="AP174" s="8"/>
      <c r="AR174" s="8" t="s">
        <v>6214</v>
      </c>
      <c r="AS174" s="8" t="s">
        <v>1052</v>
      </c>
      <c r="AT174" s="8" t="s">
        <v>245</v>
      </c>
      <c r="AU174" s="3" t="s">
        <v>149</v>
      </c>
    </row>
    <row r="175">
      <c r="A175" s="186">
        <v>87.0</v>
      </c>
      <c r="B175" s="152">
        <v>2025.0</v>
      </c>
      <c r="C175" s="153" t="str">
        <f>CONCATENATE(D175, "-", M175, "-", A175)
</f>
        <v>2023-PH015542000-87</v>
      </c>
      <c r="D175" s="152">
        <f>IF(OR(F174="Published", F174="Unpublished"), 2023, IF(F174="New", 2025, ""))
</f>
        <v>2023</v>
      </c>
      <c r="E175" s="151">
        <v>87.0</v>
      </c>
      <c r="F175" s="156" t="s">
        <v>140</v>
      </c>
      <c r="G175" s="156" t="s">
        <v>141</v>
      </c>
      <c r="H175" s="153" t="str">
        <f>IFERROR(__xludf.DUMMYFUNCTION("""COMPUTED_VALUE"""),"**Restoration_project** changed from GEF/WB Coral Reef Targeted Research for Capacity Building and Management Programme to Artificial Reef Development Program, **Restoration_project_short** changed from Site in Silaqui Island and Lucero; Assessing the abr"&amp;"idged nursery phase for slow growing corals used in coral restoration to Site in Baquioen, **Year of establishment** changed from 2006 to 1985, **Project Start** changed from 2006 to 1985, **Project End** changed from 2007 to 1987, **Restoration method** "&amp;"changed from Asexual Reproduction to Artificial Reef, **Technique/Material Type** changed from CNU; direct transplantation to tires, **Restoration objective** changed from Research; Test gardening method vis a vis direct transplantation method to Unknown,"&amp;" **Funding agency** changed from Global Environment Facility / World Bank to BFAR, **Total units** changed from 360 COPs to 10 TM, **Implementing institution** changed from UP MSI to BFAR, **Partners_public** changed from Unknown to Ministry of Human Sett"&amp;"lements, **Partners_private** changed from European Union INCO-DEV Project to Unknown, **Partners_communities** changed from Unknown to Samahang Kabuhayan, **Reference** changed from Published article to Balgos, M.C. (1995). Evaluation of artificial reef "&amp;"development in the Philippines. In Munro, J.L. &amp; Balgos, M. (eds.) Artificial reefs in the Philippines. ICLARM Conf. Proc. 49, pp. 6-22., **Website** changed from https://www.researchgate.net/publication/282149376_Assessing_an_abridged_nursery_phase_for_s"&amp;"low_growing_corals_used_in_coral_restoration to https://core.ac.uk/download/pdf/6515223.pdf; https://www.ircwash.org/sites/default/files/802-PH90-8920.pdf, **Contact_name** changed from Dr. Dexter dela Cruz to Miriam Balgos")</f>
        <v>**Restoration_project** changed from GEF/WB Coral Reef Targeted Research for Capacity Building and Management Programme to Artificial Reef Development Program, **Restoration_project_short** changed from Site in Silaqui Island and Lucero; Assessing the abridged nursery phase for slow growing corals used in coral restoration to Site in Baquioen, **Year of establishment** changed from 2006 to 1985, **Project Start** changed from 2006 to 1985, **Project End** changed from 2007 to 1987, **Restoration method** changed from Asexual Reproduction to Artificial Reef, **Technique/Material Type** changed from CNU; direct transplantation to tires, **Restoration objective** changed from Research; Test gardening method vis a vis direct transplantation method to Unknown, **Funding agency** changed from Global Environment Facility / World Bank to BFAR, **Total units** changed from 360 COPs to 10 TM, **Implementing institution** changed from UP MSI to BFAR, **Partners_public** changed from Unknown to Ministry of Human Settlements, **Partners_private** changed from European Union INCO-DEV Project to Unknown, **Partners_communities** changed from Unknown to Samahang Kabuhayan, **Reference** changed from Published article to Balgos, M.C. (1995). Evaluation of artificial reef development in the Philippines. In Munro, J.L. &amp; Balgos, M. (eds.) Artificial reefs in the Philippines. ICLARM Conf. Proc. 49, pp. 6-22., **Website** changed from https://www.researchgate.net/publication/282149376_Assessing_an_abridged_nursery_phase_for_slow_growing_corals_used_in_coral_restoration to https://core.ac.uk/download/pdf/6515223.pdf; https://www.ircwash.org/sites/default/files/802-PH90-8920.pdf, **Contact_name** changed from Dr. Dexter dela Cruz to Miriam Balgos</v>
      </c>
      <c r="I175" s="153" t="s">
        <v>6488</v>
      </c>
      <c r="J175" s="153" t="s">
        <v>143</v>
      </c>
      <c r="K175" s="153" t="s">
        <v>144</v>
      </c>
      <c r="L175" s="153" t="s">
        <v>477</v>
      </c>
      <c r="M175" s="157" t="s">
        <v>478</v>
      </c>
      <c r="N175" s="153" t="s">
        <v>151</v>
      </c>
      <c r="O175" s="153" t="s">
        <v>384</v>
      </c>
      <c r="P175" s="153" t="s">
        <v>479</v>
      </c>
      <c r="Q175" s="169">
        <v>1985.0</v>
      </c>
      <c r="R175" s="175" t="s">
        <v>6052</v>
      </c>
      <c r="S175" s="175" t="s">
        <v>6053</v>
      </c>
      <c r="T175" s="161" t="s">
        <v>150</v>
      </c>
      <c r="U175" s="153">
        <f>IFERROR(__xludf.DUMMYFUNCTION("""COMPUTED_VALUE"""),157.0)</f>
        <v>157</v>
      </c>
      <c r="V175" s="162" t="s">
        <v>3311</v>
      </c>
      <c r="W175" s="170" t="s">
        <v>6059</v>
      </c>
      <c r="X175" s="28" t="s">
        <v>6033</v>
      </c>
      <c r="Y175" s="28" t="s">
        <v>386</v>
      </c>
      <c r="Z175" s="176" t="s">
        <v>386</v>
      </c>
      <c r="AA175" s="153" t="s">
        <v>6054</v>
      </c>
      <c r="AB175" s="158" t="s">
        <v>149</v>
      </c>
      <c r="AC175" s="153" t="s">
        <v>390</v>
      </c>
      <c r="AD175" s="158" t="s">
        <v>160</v>
      </c>
      <c r="AE175" s="158" t="s">
        <v>6035</v>
      </c>
      <c r="AF175" s="158" t="s">
        <v>159</v>
      </c>
      <c r="AG175" s="164" t="s">
        <v>149</v>
      </c>
      <c r="AH175" s="158" t="s">
        <v>149</v>
      </c>
      <c r="AI175" s="153" t="s">
        <v>391</v>
      </c>
      <c r="AJ175" s="153" t="s">
        <v>390</v>
      </c>
      <c r="AK175" s="153" t="s">
        <v>6035</v>
      </c>
      <c r="AL175" s="153" t="s">
        <v>6055</v>
      </c>
      <c r="AM175" s="3" t="s">
        <v>149</v>
      </c>
      <c r="AN175" s="153" t="s">
        <v>6056</v>
      </c>
      <c r="AO175" s="156">
        <v>1.0</v>
      </c>
      <c r="AP175" s="156" t="s">
        <v>6037</v>
      </c>
      <c r="AQ175" s="158" t="s">
        <v>395</v>
      </c>
      <c r="AR175" s="153" t="s">
        <v>6060</v>
      </c>
      <c r="AS175" s="158" t="s">
        <v>397</v>
      </c>
      <c r="AT175" s="153" t="s">
        <v>398</v>
      </c>
      <c r="AU175" s="3" t="s">
        <v>149</v>
      </c>
    </row>
    <row r="176">
      <c r="A176" s="186">
        <v>88.0</v>
      </c>
      <c r="B176" s="152">
        <v>2023.0</v>
      </c>
      <c r="D176" s="152"/>
      <c r="E176" s="151">
        <v>88.0</v>
      </c>
      <c r="F176" s="129" t="s">
        <v>140</v>
      </c>
      <c r="G176" s="3" t="s">
        <v>6029</v>
      </c>
      <c r="H176" s="8" t="str">
        <f>IFERROR(__xludf.DUMMYFUNCTION("""COMPUTED_VALUE"""),"")</f>
        <v/>
      </c>
      <c r="I176" s="8" t="s">
        <v>6489</v>
      </c>
      <c r="J176" s="8" t="s">
        <v>143</v>
      </c>
      <c r="K176" s="8" t="s">
        <v>144</v>
      </c>
      <c r="L176" s="8" t="s">
        <v>693</v>
      </c>
      <c r="M176" s="153" t="s">
        <v>694</v>
      </c>
      <c r="N176" s="8" t="s">
        <v>6221</v>
      </c>
      <c r="O176" s="3" t="s">
        <v>149</v>
      </c>
      <c r="P176" s="8" t="s">
        <v>6490</v>
      </c>
      <c r="Q176" s="142" t="s">
        <v>6268</v>
      </c>
      <c r="R176" s="3" t="s">
        <v>149</v>
      </c>
      <c r="S176" s="3" t="s">
        <v>149</v>
      </c>
      <c r="T176" s="8"/>
      <c r="U176" s="8">
        <f>IFERROR(__xludf.DUMMYFUNCTION("""COMPUTED_VALUE"""),158.0)</f>
        <v>158</v>
      </c>
      <c r="V176" s="8"/>
      <c r="W176" s="3"/>
      <c r="X176" s="8"/>
      <c r="Y176" s="8"/>
      <c r="AA176" s="3" t="s">
        <v>149</v>
      </c>
      <c r="AB176" s="8" t="s">
        <v>3005</v>
      </c>
      <c r="AC176" s="8" t="s">
        <v>6491</v>
      </c>
      <c r="AD176" s="193" t="s">
        <v>149</v>
      </c>
      <c r="AE176" s="193" t="s">
        <v>149</v>
      </c>
      <c r="AF176" s="193" t="s">
        <v>149</v>
      </c>
      <c r="AG176" s="3" t="s">
        <v>149</v>
      </c>
      <c r="AH176" s="3" t="s">
        <v>149</v>
      </c>
      <c r="AI176" s="3" t="s">
        <v>149</v>
      </c>
      <c r="AJ176" s="8" t="s">
        <v>233</v>
      </c>
      <c r="AL176" s="3" t="s">
        <v>149</v>
      </c>
      <c r="AM176" s="3" t="s">
        <v>149</v>
      </c>
      <c r="AN176" s="3" t="s">
        <v>149</v>
      </c>
      <c r="AO176" s="8"/>
      <c r="AP176" s="8"/>
      <c r="AR176" s="8" t="s">
        <v>6214</v>
      </c>
      <c r="AS176" s="8" t="s">
        <v>3007</v>
      </c>
      <c r="AT176" s="8" t="s">
        <v>3008</v>
      </c>
      <c r="AU176" s="3" t="s">
        <v>149</v>
      </c>
    </row>
    <row r="177">
      <c r="A177" s="186">
        <v>88.0</v>
      </c>
      <c r="B177" s="152">
        <v>2025.0</v>
      </c>
      <c r="C177" s="153" t="str">
        <f>CONCATENATE(D177, "-", M177, "-", A177)
</f>
        <v>2023-PH021523000-88</v>
      </c>
      <c r="D177" s="152">
        <f>IF(OR(F176="Published", F176="Unpublished"), 2023, IF(F176="New", 2025, ""))
</f>
        <v>2023</v>
      </c>
      <c r="E177" s="151">
        <v>88.0</v>
      </c>
      <c r="F177" s="156" t="s">
        <v>140</v>
      </c>
      <c r="G177" s="156" t="s">
        <v>141</v>
      </c>
      <c r="H177" s="153" t="str">
        <f>IFERROR(__xludf.DUMMYFUNCTION("""COMPUTED_VALUE"""),"**Region** changed from I to II, **Restoration_project** changed from Unknown to Artificial Reef Development Program, **Restoration_project_short** changed from Effects of coral extracts on survivorship, swimming behavior and settlement of Pocillopora dam"&amp;"icornis larvae to Stated as San Vicente municipality in Cagayan province in the literature but probably means Santa Ana, **Year of establishment** changed from 2015 to 1986, **Project Start** changed from Unknown to 1985, **Project End** changed from Unkn"&amp;"own to 1987, **Restoration method** changed from Sexual Reproduction to Artificial Reef, **Technique/Material Type** changed from Unknown to tires, **Restoration objective** changed from Research; Explore the effects of crude ethanolic extracts derived fr"&amp;"om P. damicornis and P. cylindrica, as well as from the soft coral, S. glaucum, on (1) larval survivorship, (2) larval swimming behavior, and (3) settlement of P. damicornis larvae to Unknown, **Funding agency** changed from University of the Philippines "&amp;"Diliman to BFAR, **Total units** changed from Unknown to 10 TM, **Implementing institution** changed from UP MSI to BFAR, **Partners_public** changed from Unknown to Ministry of Human Settlements, **Reference** changed from Published article to Balgos, M."&amp;"C. (1995). Evaluation of artificial reef development in the Philippines. In Munro, J.L. &amp; Balgos, M. (eds.) Artificial reefs in the Philippines. ICLARM Conf. Proc. 49, pp. 6-22., **Website** changed from https://www.sciencedirect.com/science/article/abs/p"&amp;"ii/S0022098116301873 to https://core.ac.uk/download/pdf/6515223.pdf; https://www.ircwash.org/sites/default/files/802-PH90-8920.pdf, **Contact_name** changed from Jeric Da-Anoy/Dr. Patrick Cabaitan to Miriam Balgos")</f>
        <v>**Region** changed from I to II, **Restoration_project** changed from Unknown to Artificial Reef Development Program, **Restoration_project_short** changed from Effects of coral extracts on survivorship, swimming behavior and settlement of Pocillopora damicornis larvae to Stated as San Vicente municipality in Cagayan province in the literature but probably means Santa Ana, **Year of establishment** changed from 2015 to 1986, **Project Start** changed from Unknown to 1985, **Project End** changed from Unknown to 1987, **Restoration method** changed from Sexual Reproduction to Artificial Reef, **Technique/Material Type** changed from Unknown to tires, **Restoration objective** changed from Research; Explore the effects of crude ethanolic extracts derived from P. damicornis and P. cylindrica, as well as from the soft coral, S. glaucum, on (1) larval survivorship, (2) larval swimming behavior, and (3) settlement of P. damicornis larvae to Unknown, **Funding agency** changed from University of the Philippines Diliman to BFAR, **Total units** changed from Unknown to 10 TM, **Implementing institution** changed from UP MSI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https://www.sciencedirect.com/science/article/abs/pii/S0022098116301873 to https://core.ac.uk/download/pdf/6515223.pdf; https://www.ircwash.org/sites/default/files/802-PH90-8920.pdf, **Contact_name** changed from Jeric Da-Anoy/Dr. Patrick Cabaitan to Miriam Balgos</v>
      </c>
      <c r="I177" s="153" t="s">
        <v>6492</v>
      </c>
      <c r="J177" s="153" t="s">
        <v>481</v>
      </c>
      <c r="K177" s="153" t="s">
        <v>482</v>
      </c>
      <c r="L177" s="153" t="s">
        <v>483</v>
      </c>
      <c r="M177" s="181" t="s">
        <v>484</v>
      </c>
      <c r="N177" s="153" t="s">
        <v>151</v>
      </c>
      <c r="O177" s="153" t="s">
        <v>384</v>
      </c>
      <c r="P177" s="153" t="s">
        <v>6493</v>
      </c>
      <c r="Q177" s="169">
        <v>1986.0</v>
      </c>
      <c r="R177" s="175" t="s">
        <v>6052</v>
      </c>
      <c r="S177" s="175" t="s">
        <v>6053</v>
      </c>
      <c r="T177" s="161" t="s">
        <v>150</v>
      </c>
      <c r="U177" s="153">
        <f>IFERROR(__xludf.DUMMYFUNCTION("""COMPUTED_VALUE"""),159.0)</f>
        <v>159</v>
      </c>
      <c r="V177" s="162" t="s">
        <v>3311</v>
      </c>
      <c r="W177" s="170" t="s">
        <v>6059</v>
      </c>
      <c r="X177" s="28" t="s">
        <v>6033</v>
      </c>
      <c r="Y177" s="28" t="s">
        <v>386</v>
      </c>
      <c r="Z177" s="176" t="s">
        <v>386</v>
      </c>
      <c r="AA177" s="153" t="s">
        <v>6054</v>
      </c>
      <c r="AB177" s="158" t="s">
        <v>149</v>
      </c>
      <c r="AC177" s="153" t="s">
        <v>390</v>
      </c>
      <c r="AD177" s="158" t="s">
        <v>160</v>
      </c>
      <c r="AE177" s="158" t="s">
        <v>6035</v>
      </c>
      <c r="AF177" s="158" t="s">
        <v>159</v>
      </c>
      <c r="AG177" s="164" t="s">
        <v>149</v>
      </c>
      <c r="AH177" s="158" t="s">
        <v>149</v>
      </c>
      <c r="AI177" s="153" t="s">
        <v>391</v>
      </c>
      <c r="AJ177" s="153" t="s">
        <v>390</v>
      </c>
      <c r="AK177" s="153" t="s">
        <v>6035</v>
      </c>
      <c r="AL177" s="153" t="s">
        <v>6055</v>
      </c>
      <c r="AM177" s="158" t="s">
        <v>149</v>
      </c>
      <c r="AN177" s="158" t="s">
        <v>149</v>
      </c>
      <c r="AO177" s="156">
        <v>1.0</v>
      </c>
      <c r="AP177" s="156" t="s">
        <v>6037</v>
      </c>
      <c r="AQ177" s="158" t="s">
        <v>395</v>
      </c>
      <c r="AR177" s="153" t="s">
        <v>6060</v>
      </c>
      <c r="AS177" s="158" t="s">
        <v>397</v>
      </c>
      <c r="AT177" s="153" t="s">
        <v>398</v>
      </c>
      <c r="AU177" s="158" t="s">
        <v>149</v>
      </c>
    </row>
    <row r="178">
      <c r="A178" s="186">
        <v>89.0</v>
      </c>
      <c r="B178" s="152">
        <v>2023.0</v>
      </c>
      <c r="D178" s="152"/>
      <c r="E178" s="151">
        <v>89.0</v>
      </c>
      <c r="F178" s="129" t="s">
        <v>140</v>
      </c>
      <c r="G178" s="3" t="s">
        <v>6029</v>
      </c>
      <c r="H178" s="8" t="str">
        <f>IFERROR(__xludf.DUMMYFUNCTION("""COMPUTED_VALUE"""),"")</f>
        <v/>
      </c>
      <c r="I178" s="8" t="s">
        <v>6494</v>
      </c>
      <c r="J178" s="8" t="s">
        <v>143</v>
      </c>
      <c r="K178" s="8" t="s">
        <v>144</v>
      </c>
      <c r="L178" s="8" t="s">
        <v>472</v>
      </c>
      <c r="M178" s="153" t="s">
        <v>473</v>
      </c>
      <c r="N178" s="8" t="s">
        <v>151</v>
      </c>
      <c r="O178" s="8" t="s">
        <v>384</v>
      </c>
      <c r="P178" s="8" t="s">
        <v>474</v>
      </c>
      <c r="Q178" s="142" t="s">
        <v>6051</v>
      </c>
      <c r="R178" s="142" t="s">
        <v>6052</v>
      </c>
      <c r="S178" s="142" t="s">
        <v>6053</v>
      </c>
      <c r="T178" s="8"/>
      <c r="U178" s="8">
        <f>IFERROR(__xludf.DUMMYFUNCTION("""COMPUTED_VALUE"""),160.0)</f>
        <v>160</v>
      </c>
      <c r="V178" s="8"/>
      <c r="W178" s="8"/>
      <c r="X178" s="8"/>
      <c r="Y178" s="8"/>
      <c r="AA178" s="8" t="s">
        <v>6054</v>
      </c>
      <c r="AB178" s="3" t="s">
        <v>149</v>
      </c>
      <c r="AC178" s="8" t="s">
        <v>390</v>
      </c>
      <c r="AG178" s="3" t="s">
        <v>149</v>
      </c>
      <c r="AH178" s="3" t="s">
        <v>149</v>
      </c>
      <c r="AI178" s="8" t="s">
        <v>475</v>
      </c>
      <c r="AJ178" s="8" t="s">
        <v>390</v>
      </c>
      <c r="AL178" s="8" t="s">
        <v>6055</v>
      </c>
      <c r="AM178" s="3" t="s">
        <v>149</v>
      </c>
      <c r="AN178" s="8" t="s">
        <v>6056</v>
      </c>
      <c r="AO178" s="8"/>
      <c r="AP178" s="8"/>
      <c r="AR178" s="8" t="s">
        <v>6057</v>
      </c>
      <c r="AS178" s="8" t="s">
        <v>2873</v>
      </c>
      <c r="AT178" s="8" t="s">
        <v>398</v>
      </c>
      <c r="AU178" s="3" t="s">
        <v>149</v>
      </c>
    </row>
    <row r="179">
      <c r="A179" s="151">
        <v>89.0</v>
      </c>
      <c r="B179" s="152">
        <v>2025.0</v>
      </c>
      <c r="C179" s="153" t="str">
        <f>CONCATENATE(D179, "-", M179, "-", A179)
</f>
        <v>2023-PH037701000-89</v>
      </c>
      <c r="D179" s="152">
        <f>IF(OR(F178="Published", F178="Unpublished"), 2023, IF(F178="New", 2025, ""))
</f>
        <v>2023</v>
      </c>
      <c r="E179" s="151">
        <v>89.0</v>
      </c>
      <c r="F179" s="156" t="s">
        <v>140</v>
      </c>
      <c r="G179" s="156" t="s">
        <v>141</v>
      </c>
      <c r="H179" s="153" t="str">
        <f>IFERROR(__xludf.DUMMYFUNCTION("""COMPUTED_VALUE"""),"**Region** changed from I to III, **Restoration_project** changed from Artificial Reef Development Program to Filipinnovation on Coral Reef Restoration, **Restoration_project_short** changed from Site in Cato to Unknown, **Year of establishment** changed "&amp;"from 1986 to 2013, **Project Start** changed from 1985 to 2012, **Project End** changed from 1987 to 2013, **Restoration method** changed from Artificial Reef to Asexual Reproduction, **Technique/Material Type** changed from tires to CNU, **Restoration ob"&amp;"jective** changed from Unknown to Coral reef management; technology demonstration; experimental, **Funding agency** changed from BFAR to DOST-PCAARRD, **Total units** changed from 14 TM to 12 CNUs; 17,588 COPs, **Implementing institution** changed from BF"&amp;"AR to University of San Carlos, **Partners_public** changed from Ministry of Human Settlements to Aurora State College of Technology, **Partners_communities** changed from Samahang Kabuhayan to Unknown, **Reference** changed from Conference Proceediing to"&amp;" DOST-PCAARRD (2013a). Project 1: Pilot Technology Demonstration on Coral Reef Restoration in Baler, Aurora., **Website** changed from http://pubs.iclarm.net/libinfo/Pdf/Pub%20CP6%2049.pdf to Report uploaded in the Google Drive, **Contact_name** changed f"&amp;"rom Miriam Balgos to Unknown")</f>
        <v>**Region** changed from I to III, **Restoration_project** changed from Artificial Reef Development Program to Filipinnovation on Coral Reef Restoration, **Restoration_project_short** changed from Site in Cato to Unknown, **Year of establishment** changed from 1986 to 2013, **Project Start** changed from 1985 to 2012, **Project End** changed from 1987 to 2013, **Restoration method** changed from Artificial Reef to Asexual Reproduction, **Technique/Material Type** changed from tires to CNU, **Restoration objective** changed from Unknown to Coral reef management; technology demonstration; experimental, **Funding agency** changed from BFAR to DOST-PCAARRD, **Total units** changed from 14 TM to 12 CNUs; 17,588 COPs, **Implementing institution** changed from BFAR to University of San Carlos, **Partners_public** changed from Ministry of Human Settlements to Aurora State College of Technology, **Partners_communities** changed from Samahang Kabuhayan to Unknown, **Reference** changed from Conference Proceediing to DOST-PCAARRD (2013a). Project 1: Pilot Technology Demonstration on Coral Reef Restoration in Baler, Aurora., **Website** changed from http://pubs.iclarm.net/libinfo/Pdf/Pub%20CP6%2049.pdf to Report uploaded in the Google Drive, **Contact_name** changed from Miriam Balgos to Unknown</v>
      </c>
      <c r="I179" s="153" t="s">
        <v>6495</v>
      </c>
      <c r="J179" s="153" t="s">
        <v>293</v>
      </c>
      <c r="K179" s="153" t="s">
        <v>1208</v>
      </c>
      <c r="L179" s="153" t="s">
        <v>1209</v>
      </c>
      <c r="M179" s="157" t="s">
        <v>1210</v>
      </c>
      <c r="N179" s="153" t="s">
        <v>6062</v>
      </c>
      <c r="O179" s="153" t="s">
        <v>1174</v>
      </c>
      <c r="P179" s="158" t="s">
        <v>149</v>
      </c>
      <c r="Q179" s="178">
        <v>2013.0</v>
      </c>
      <c r="R179" s="175" t="s">
        <v>6151</v>
      </c>
      <c r="S179" s="175" t="s">
        <v>6089</v>
      </c>
      <c r="T179" s="156" t="s">
        <v>177</v>
      </c>
      <c r="U179" s="153">
        <f>IFERROR(__xludf.DUMMYFUNCTION("""COMPUTED_VALUE"""),161.0)</f>
        <v>161</v>
      </c>
      <c r="V179" s="191" t="s">
        <v>1359</v>
      </c>
      <c r="W179" s="179" t="s">
        <v>6066</v>
      </c>
      <c r="X179" s="180"/>
      <c r="Y179" s="180" t="s">
        <v>154</v>
      </c>
      <c r="Z179" s="153" t="s">
        <v>179</v>
      </c>
      <c r="AA179" s="153" t="s">
        <v>320</v>
      </c>
      <c r="AB179" s="153" t="s">
        <v>1211</v>
      </c>
      <c r="AC179" s="153" t="s">
        <v>321</v>
      </c>
      <c r="AD179" s="158" t="s">
        <v>160</v>
      </c>
      <c r="AE179" s="158" t="s">
        <v>6035</v>
      </c>
      <c r="AF179" s="158" t="s">
        <v>159</v>
      </c>
      <c r="AG179" s="164" t="s">
        <v>149</v>
      </c>
      <c r="AH179" s="158" t="s">
        <v>149</v>
      </c>
      <c r="AI179" s="153" t="s">
        <v>6496</v>
      </c>
      <c r="AJ179" s="153" t="s">
        <v>885</v>
      </c>
      <c r="AK179" s="158" t="s">
        <v>6068</v>
      </c>
      <c r="AL179" s="153" t="s">
        <v>1213</v>
      </c>
      <c r="AM179" s="158" t="s">
        <v>149</v>
      </c>
      <c r="AN179" s="158" t="s">
        <v>149</v>
      </c>
      <c r="AO179" s="156">
        <v>1.0</v>
      </c>
      <c r="AP179" s="156" t="s">
        <v>6037</v>
      </c>
      <c r="AQ179" s="158" t="s">
        <v>6069</v>
      </c>
      <c r="AR179" s="153" t="s">
        <v>1214</v>
      </c>
      <c r="AS179" s="153" t="s">
        <v>6070</v>
      </c>
      <c r="AT179" s="158" t="s">
        <v>149</v>
      </c>
      <c r="AU179" s="158" t="s">
        <v>149</v>
      </c>
    </row>
    <row r="180">
      <c r="A180" s="186">
        <v>90.0</v>
      </c>
      <c r="B180" s="152">
        <v>2023.0</v>
      </c>
      <c r="D180" s="152"/>
      <c r="E180" s="151">
        <v>90.0</v>
      </c>
      <c r="F180" s="129" t="s">
        <v>140</v>
      </c>
      <c r="G180" s="3" t="s">
        <v>6029</v>
      </c>
      <c r="H180" s="8" t="str">
        <f>IFERROR(__xludf.DUMMYFUNCTION("""COMPUTED_VALUE"""),"")</f>
        <v/>
      </c>
      <c r="I180" s="8" t="s">
        <v>6497</v>
      </c>
      <c r="J180" s="8" t="s">
        <v>143</v>
      </c>
      <c r="K180" s="8" t="s">
        <v>144</v>
      </c>
      <c r="L180" s="8" t="s">
        <v>2857</v>
      </c>
      <c r="M180" s="153" t="s">
        <v>2858</v>
      </c>
      <c r="N180" s="8" t="s">
        <v>151</v>
      </c>
      <c r="O180" s="8" t="s">
        <v>384</v>
      </c>
      <c r="P180" s="8" t="s">
        <v>6469</v>
      </c>
      <c r="Q180" s="181" t="s">
        <v>6169</v>
      </c>
      <c r="R180" s="142" t="s">
        <v>6052</v>
      </c>
      <c r="S180" s="142" t="s">
        <v>6053</v>
      </c>
      <c r="T180" s="8"/>
      <c r="U180" s="8">
        <f>IFERROR(__xludf.DUMMYFUNCTION("""COMPUTED_VALUE"""),162.0)</f>
        <v>162</v>
      </c>
      <c r="V180" s="8"/>
      <c r="W180" s="8"/>
      <c r="X180" s="8"/>
      <c r="Y180" s="8"/>
      <c r="AA180" s="8" t="s">
        <v>6054</v>
      </c>
      <c r="AB180" s="3" t="s">
        <v>149</v>
      </c>
      <c r="AC180" s="8" t="s">
        <v>390</v>
      </c>
      <c r="AG180" s="3" t="s">
        <v>149</v>
      </c>
      <c r="AH180" s="3" t="s">
        <v>149</v>
      </c>
      <c r="AI180" s="8" t="s">
        <v>2860</v>
      </c>
      <c r="AJ180" s="8" t="s">
        <v>390</v>
      </c>
      <c r="AL180" s="8" t="s">
        <v>6055</v>
      </c>
      <c r="AM180" s="3" t="s">
        <v>149</v>
      </c>
      <c r="AN180" s="3" t="s">
        <v>149</v>
      </c>
      <c r="AO180" s="8"/>
      <c r="AP180" s="8"/>
      <c r="AR180" s="8" t="s">
        <v>6057</v>
      </c>
      <c r="AS180" s="8" t="s">
        <v>2873</v>
      </c>
      <c r="AT180" s="8" t="s">
        <v>398</v>
      </c>
      <c r="AU180" s="3" t="s">
        <v>149</v>
      </c>
    </row>
    <row r="181">
      <c r="A181" s="186">
        <v>90.0</v>
      </c>
      <c r="B181" s="152">
        <v>2025.0</v>
      </c>
      <c r="C181" s="153" t="str">
        <f>CONCATENATE(D181, "-", M181, "-", A181)
</f>
        <v>2023-PH030802000-90</v>
      </c>
      <c r="D181" s="152">
        <f>IF(OR(F180="Published", F180="Unpublished"), 2023, IF(F180="New", 2025, ""))
</f>
        <v>2023</v>
      </c>
      <c r="E181" s="151">
        <v>90.0</v>
      </c>
      <c r="F181" s="156" t="s">
        <v>140</v>
      </c>
      <c r="G181" s="156" t="s">
        <v>141</v>
      </c>
      <c r="H181" s="153" t="str">
        <f>IFERROR(__xludf.DUMMYFUNCTION("""COMPUTED_VALUE"""),"**Region** changed from I to III, **Restoration_project** changed from Artificial Reef Development Program to Filipinnovation on Coral Reef Restoration, **Restoration_project_short** changed from Site in Tobuan to Unknown, **Year of establishment** change"&amp;"d from 1981 to 2013, **Project Start** changed from 1985 to 2012, **Project End** changed from 1987 to 2013, **Restoration method** changed from Artificial Reef to Asexual Reproduction, **Technique/Material Type** changed from tires to CNU, **Funding agen"&amp;"cy** changed from BFAR to DOST-PCAARRD, **Total units** changed from 800 units to 10 CNUs; 22,000 COPs, **Implementing institution** changed from BFAR to University of San Carlos, **Partners_public** changed from Ministry of Human Settlements to Bataan Pe"&amp;"ninsula State University, **Reference** changed from Conference Proceediing to DOST-PCAARRD (2013b). Project 2: Pilot Technology Demonstration on Coral Nursery Units Management in Bagac, Bataan and Subic, Zambales, Philippines., **Website** changed from h"&amp;"ttp://pubs.iclarm.net/libinfo/Pdf/Pub%20CP6%2049.pdf to Report uploaded in the Google Drive, **Contact_name** changed from Miriam Balgos to Unknown")</f>
        <v>**Region** changed from I to III, **Restoration_project** changed from Artificial Reef Development Program to Filipinnovation on Coral Reef Restoration, **Restoration_project_short** changed from Site in Tobuan to Unknown, **Year of establishment** changed from 1981 to 2013, **Project Start** changed from 1985 to 2012, **Project End** changed from 1987 to 2013, **Restoration method** changed from Artificial Reef to Asexual Reproduction, **Technique/Material Type** changed from tires to CNU, **Funding agency** changed from BFAR to DOST-PCAARRD, **Total units** changed from 800 units to 10 CNUs; 22,000 COPs, **Implementing institution** changed from BFAR to University of San Carlos, **Partners_public** changed from Ministry of Human Settlements to Bataan Peninsula State University, **Reference** changed from Conference Proceediing to DOST-PCAARRD (2013b). Project 2: Pilot Technology Demonstration on Coral Nursery Units Management in Bagac, Bataan and Subic, Zambales, Philippines., **Website** changed from http://pubs.iclarm.net/libinfo/Pdf/Pub%20CP6%2049.pdf to Report uploaded in the Google Drive, **Contact_name** changed from Miriam Balgos to Unknown</v>
      </c>
      <c r="I181" s="153" t="s">
        <v>6498</v>
      </c>
      <c r="J181" s="153" t="s">
        <v>293</v>
      </c>
      <c r="K181" s="153" t="s">
        <v>1283</v>
      </c>
      <c r="L181" s="153" t="s">
        <v>1284</v>
      </c>
      <c r="M181" s="181" t="s">
        <v>1285</v>
      </c>
      <c r="N181" s="153" t="s">
        <v>6062</v>
      </c>
      <c r="O181" s="153" t="s">
        <v>1174</v>
      </c>
      <c r="P181" s="158" t="s">
        <v>149</v>
      </c>
      <c r="Q181" s="178">
        <v>2013.0</v>
      </c>
      <c r="R181" s="175" t="s">
        <v>6151</v>
      </c>
      <c r="S181" s="175" t="s">
        <v>6089</v>
      </c>
      <c r="T181" s="156" t="s">
        <v>177</v>
      </c>
      <c r="U181" s="153">
        <f>IFERROR(__xludf.DUMMYFUNCTION("""COMPUTED_VALUE"""),163.0)</f>
        <v>163</v>
      </c>
      <c r="V181" s="191" t="s">
        <v>1359</v>
      </c>
      <c r="W181" s="179" t="s">
        <v>6066</v>
      </c>
      <c r="X181" s="180"/>
      <c r="Y181" s="180" t="s">
        <v>154</v>
      </c>
      <c r="Z181" s="153" t="s">
        <v>179</v>
      </c>
      <c r="AA181" s="153" t="s">
        <v>320</v>
      </c>
      <c r="AB181" s="158" t="s">
        <v>149</v>
      </c>
      <c r="AC181" s="153" t="s">
        <v>321</v>
      </c>
      <c r="AD181" s="158" t="s">
        <v>160</v>
      </c>
      <c r="AE181" s="158" t="s">
        <v>6035</v>
      </c>
      <c r="AF181" s="158" t="s">
        <v>159</v>
      </c>
      <c r="AG181" s="164" t="s">
        <v>149</v>
      </c>
      <c r="AH181" s="158" t="s">
        <v>149</v>
      </c>
      <c r="AI181" s="156" t="s">
        <v>6499</v>
      </c>
      <c r="AJ181" s="153" t="s">
        <v>885</v>
      </c>
      <c r="AK181" s="158" t="s">
        <v>6068</v>
      </c>
      <c r="AL181" s="153" t="s">
        <v>1287</v>
      </c>
      <c r="AM181" s="158" t="s">
        <v>149</v>
      </c>
      <c r="AN181" s="158" t="s">
        <v>149</v>
      </c>
      <c r="AO181" s="156">
        <v>1.0</v>
      </c>
      <c r="AP181" s="156" t="s">
        <v>6037</v>
      </c>
      <c r="AQ181" s="158" t="s">
        <v>6069</v>
      </c>
      <c r="AR181" s="153" t="s">
        <v>1288</v>
      </c>
      <c r="AS181" s="153" t="s">
        <v>6070</v>
      </c>
      <c r="AT181" s="158" t="s">
        <v>149</v>
      </c>
      <c r="AU181" s="158" t="s">
        <v>149</v>
      </c>
    </row>
    <row r="182">
      <c r="A182" s="186">
        <v>91.0</v>
      </c>
      <c r="B182" s="152">
        <v>2023.0</v>
      </c>
      <c r="D182" s="152"/>
      <c r="E182" s="151">
        <v>91.0</v>
      </c>
      <c r="F182" s="129" t="s">
        <v>140</v>
      </c>
      <c r="G182" s="3" t="s">
        <v>3279</v>
      </c>
      <c r="H182" s="8" t="str">
        <f>IFERROR(__xludf.DUMMYFUNCTION("""COMPUTED_VALUE"""),"")</f>
        <v/>
      </c>
      <c r="I182" s="8" t="s">
        <v>6500</v>
      </c>
      <c r="J182" s="8" t="s">
        <v>143</v>
      </c>
      <c r="K182" s="8" t="s">
        <v>144</v>
      </c>
      <c r="L182" s="8" t="s">
        <v>1649</v>
      </c>
      <c r="M182" s="173" t="s">
        <v>1650</v>
      </c>
      <c r="N182" s="8" t="s">
        <v>151</v>
      </c>
      <c r="O182" s="8" t="s">
        <v>6113</v>
      </c>
      <c r="Q182" s="174" t="s">
        <v>6152</v>
      </c>
      <c r="R182" s="142"/>
      <c r="S182" s="142"/>
      <c r="U182" s="8">
        <f>IFERROR(__xludf.DUMMYFUNCTION("""COMPUTED_VALUE"""),164.0)</f>
        <v>164</v>
      </c>
      <c r="V182" s="8"/>
      <c r="W182" s="8"/>
      <c r="AG182" s="142"/>
      <c r="AJ182" s="8" t="s">
        <v>390</v>
      </c>
      <c r="AL182" s="8" t="s">
        <v>158</v>
      </c>
      <c r="AO182" s="8"/>
      <c r="AP182" s="8"/>
    </row>
    <row r="183">
      <c r="A183" s="186">
        <v>91.0</v>
      </c>
      <c r="B183" s="152">
        <v>2025.0</v>
      </c>
      <c r="C183" s="153" t="str">
        <f>CONCATENATE(D183, "-", M183, "-", A183)
</f>
        <v>2023-PH030802000-91</v>
      </c>
      <c r="D183" s="152">
        <f>IF(OR(F182="Published", F182="Unpublished"), 2023, IF(F182="New", 2025, ""))
</f>
        <v>2023</v>
      </c>
      <c r="E183" s="151">
        <v>91.0</v>
      </c>
      <c r="F183" s="156" t="s">
        <v>140</v>
      </c>
      <c r="G183" s="156" t="s">
        <v>141</v>
      </c>
      <c r="H183" s="153" t="str">
        <f>IFERROR(__xludf.DUMMYFUNCTION("""COMPUTED_VALUE"""),"**Region** changed from I to III, **Restoration_project** changed from *Not indicated to National Coral Reef Rehabilitation Roll-Out Program, **Restoration_project_short** changed from to Unknown, **Year of establishment** changed from 2017 to 2015, **Pro"&amp;"ject Start** changed from to 2014, **Project End** changed from to 2016, **Restoration method** changed from Artificial Reef to Asexual Reproduction, **Technique/Material Type** changed from to CNU, **Restoration objective** changed from to Unknown, **Fun"&amp;"ding agency** changed from to DOST-PCAARRD, **Total funding** changed from to Unknown, **Total area of restoration** changed from to Unknown, **Total units** changed from to Unknown, **Implementing institution** changed from BFAR to Sangkalikasan Producer"&amp;" Cooperative, **Partners_public** changed from PLGU to Bataan Peninsula State University, **Partners_private** changed from to Unknown, **Partners_communities** changed from to Unknown, **Reference** changed from to DOST-PCAARRD. (n.d.). DOST-PCAARRD Nati"&amp;"onal Corals Rehabilitation Program Briefer Report. , **Website** changed from to Report uploaded in the Google Drive, **Contact_name** changed from to Unknown, **Contact_details** changed from to Unknown")</f>
        <v>**Region** changed from I to III, **Restoration_project** changed from *Not indicated to National Coral Reef Rehabilitation Roll-Out Program, **Restoration_project_short** changed from to Unknown, **Year of establishment** changed from 2017 to 2015, **Project Start** changed from to 2014, **Project End** changed from to 2016, **Restoration method** changed from Artificial Reef to Asexual Reproduction, **Technique/Material Type** changed from to CNU, **Restoration objective** changed from to Unknown, **Funding agency** changed from to DOST-PCAARRD, **Total funding** changed from to Unknown, **Total area of restoration** changed from to Unknown, **Total units** changed from to Unknown, **Implementing institution** changed from BFAR to Sangkalikasan Producer Cooperative, **Partners_public** changed from PLGU to Bataan Peninsula State University, **Partners_private** changed from to Unknown, **Partners_communities** changed from to Unknown, **Reference** changed from to DOST-PCAARRD. (n.d.). DOST-PCAARRD National Corals Rehabilitation Program Briefer Report. , **Website** changed from to Report uploaded in the Google Drive, **Contact_name** changed from to Unknown, **Contact_details** changed from to Unknown</v>
      </c>
      <c r="I183" s="153" t="s">
        <v>6501</v>
      </c>
      <c r="J183" s="153" t="s">
        <v>293</v>
      </c>
      <c r="K183" s="153" t="s">
        <v>1283</v>
      </c>
      <c r="L183" s="153" t="s">
        <v>1284</v>
      </c>
      <c r="M183" s="181" t="s">
        <v>1285</v>
      </c>
      <c r="N183" s="153" t="s">
        <v>6062</v>
      </c>
      <c r="O183" s="153" t="s">
        <v>1683</v>
      </c>
      <c r="P183" s="158" t="s">
        <v>149</v>
      </c>
      <c r="Q183" s="178">
        <v>2015.0</v>
      </c>
      <c r="R183" s="175" t="s">
        <v>6063</v>
      </c>
      <c r="S183" s="175" t="s">
        <v>6064</v>
      </c>
      <c r="T183" s="156" t="s">
        <v>177</v>
      </c>
      <c r="U183" s="153">
        <f>IFERROR(__xludf.DUMMYFUNCTION("""COMPUTED_VALUE"""),165.0)</f>
        <v>165</v>
      </c>
      <c r="V183" s="191" t="s">
        <v>1359</v>
      </c>
      <c r="W183" s="179" t="s">
        <v>6066</v>
      </c>
      <c r="X183" s="180"/>
      <c r="Y183" s="180" t="s">
        <v>154</v>
      </c>
      <c r="Z183" s="158" t="s">
        <v>179</v>
      </c>
      <c r="AA183" s="153" t="s">
        <v>320</v>
      </c>
      <c r="AB183" s="154" t="s">
        <v>149</v>
      </c>
      <c r="AC183" s="153" t="s">
        <v>321</v>
      </c>
      <c r="AD183" s="158" t="s">
        <v>160</v>
      </c>
      <c r="AE183" s="158" t="s">
        <v>6035</v>
      </c>
      <c r="AF183" s="158" t="s">
        <v>159</v>
      </c>
      <c r="AG183" s="164" t="s">
        <v>149</v>
      </c>
      <c r="AH183" s="158" t="s">
        <v>149</v>
      </c>
      <c r="AI183" s="158" t="s">
        <v>149</v>
      </c>
      <c r="AJ183" s="153" t="s">
        <v>1703</v>
      </c>
      <c r="AK183" s="153" t="s">
        <v>306</v>
      </c>
      <c r="AL183" s="153" t="s">
        <v>1287</v>
      </c>
      <c r="AM183" s="158" t="s">
        <v>149</v>
      </c>
      <c r="AN183" s="158" t="s">
        <v>149</v>
      </c>
      <c r="AO183" s="156">
        <v>1.0</v>
      </c>
      <c r="AP183" s="156" t="s">
        <v>6037</v>
      </c>
      <c r="AQ183" s="153" t="s">
        <v>6069</v>
      </c>
      <c r="AR183" s="153" t="s">
        <v>1300</v>
      </c>
      <c r="AS183" s="153" t="s">
        <v>6070</v>
      </c>
      <c r="AT183" s="158" t="s">
        <v>149</v>
      </c>
      <c r="AU183" s="158" t="s">
        <v>149</v>
      </c>
    </row>
    <row r="184">
      <c r="A184" s="186">
        <v>92.0</v>
      </c>
      <c r="B184" s="152">
        <v>2023.0</v>
      </c>
      <c r="D184" s="152"/>
      <c r="E184" s="151">
        <v>92.0</v>
      </c>
      <c r="F184" s="129" t="s">
        <v>140</v>
      </c>
      <c r="G184" s="3" t="s">
        <v>6029</v>
      </c>
      <c r="H184" s="8" t="str">
        <f>IFERROR(__xludf.DUMMYFUNCTION("""COMPUTED_VALUE"""),"")</f>
        <v/>
      </c>
      <c r="I184" s="8" t="s">
        <v>6502</v>
      </c>
      <c r="J184" s="8" t="s">
        <v>143</v>
      </c>
      <c r="K184" s="8" t="s">
        <v>144</v>
      </c>
      <c r="L184" s="8" t="s">
        <v>1649</v>
      </c>
      <c r="M184" s="153" t="s">
        <v>1650</v>
      </c>
      <c r="N184" s="8" t="s">
        <v>151</v>
      </c>
      <c r="O184" s="8" t="s">
        <v>1651</v>
      </c>
      <c r="P184" s="3" t="s">
        <v>149</v>
      </c>
      <c r="Q184" s="142" t="s">
        <v>6145</v>
      </c>
      <c r="R184" s="3" t="s">
        <v>149</v>
      </c>
      <c r="S184" s="3" t="s">
        <v>149</v>
      </c>
      <c r="T184" s="8"/>
      <c r="U184" s="8">
        <f>IFERROR(__xludf.DUMMYFUNCTION("""COMPUTED_VALUE"""),166.0)</f>
        <v>166</v>
      </c>
      <c r="V184" s="8"/>
      <c r="W184" s="3"/>
      <c r="X184" s="8"/>
      <c r="Y184" s="8"/>
      <c r="AA184" s="3" t="s">
        <v>149</v>
      </c>
      <c r="AB184" s="8" t="s">
        <v>6503</v>
      </c>
      <c r="AC184" s="8" t="s">
        <v>369</v>
      </c>
      <c r="AG184" s="3" t="s">
        <v>149</v>
      </c>
      <c r="AH184" s="3" t="s">
        <v>149</v>
      </c>
      <c r="AI184" s="3" t="s">
        <v>149</v>
      </c>
      <c r="AJ184" s="8" t="s">
        <v>369</v>
      </c>
      <c r="AL184" s="8" t="s">
        <v>6476</v>
      </c>
      <c r="AM184" s="3" t="s">
        <v>149</v>
      </c>
      <c r="AN184" s="3" t="s">
        <v>149</v>
      </c>
      <c r="AO184" s="8"/>
      <c r="AP184" s="8"/>
      <c r="AR184" s="8" t="s">
        <v>166</v>
      </c>
      <c r="AS184" s="172" t="s">
        <v>6504</v>
      </c>
      <c r="AT184" s="3" t="s">
        <v>149</v>
      </c>
      <c r="AU184" s="3" t="s">
        <v>149</v>
      </c>
    </row>
    <row r="185">
      <c r="A185" s="151">
        <v>92.0</v>
      </c>
      <c r="B185" s="152">
        <v>2025.0</v>
      </c>
      <c r="C185" s="153" t="str">
        <f>CONCATENATE(D185, "-", M185, "-", A185)
</f>
        <v>2023-PH030806000-92</v>
      </c>
      <c r="D185" s="152">
        <f>IF(OR(F184="Published", F184="Unpublished"), 2023, IF(F184="New", 2025, ""))
</f>
        <v>2023</v>
      </c>
      <c r="E185" s="151">
        <v>92.0</v>
      </c>
      <c r="F185" s="156" t="s">
        <v>140</v>
      </c>
      <c r="G185" s="156" t="s">
        <v>141</v>
      </c>
      <c r="H185" s="153" t="str">
        <f>IFERROR(__xludf.DUMMYFUNCTION("""COMPUTED_VALUE"""),"**Region** changed from I to III, **Restoration_project** changed from Lingayen Fish Sanctuary to Unknown, **Year of establishment** changed from 2022 to 1990, **Technique/Material Type** changed from Unknown to tires, **Restoration objective** changed fr"&amp;"om Creation of MPA to Fishing, **Funding agency** changed from MLGU to Unknown, **Implementing institution** changed from MLGU to National Power Corporation, **Partners_public** changed from BFAR, PLGU to BFAR, DA, MLGU, BLGU, **Reference** changed from N"&amp;"ews/Press Release to Balgos, M.C. (1995). Evaluation of artificial reef development in the Philippines. In Munro, J.L. &amp; Balgos, M. (eds.) Artificial reefs in the Philippines. ICLARM Conf. Proc. 49, pp. 6-22., **Website** changed from https://headtopics.c"&amp;"om/ph/artificial-reefs-watch-tower-in-coastal-pangasinan-town-launched-24563096 to https://core.ac.uk/download/pdf/6515223.pdf; https://www.ircwash.org/sites/default/files/802-PH90-8920.pdf")</f>
        <v>**Region** changed from I to III, **Restoration_project** changed from Lingayen Fish Sanctuary to Unknown, **Year of establishment** changed from 2022 to 1990, **Technique/Material Type** changed from Unknown to tires, **Restoration objective** changed from Creation of MPA to Fishing, **Funding agency** changed from MLGU to Unknown, **Implementing institution** changed from MLGU to National Power Corporation, **Partners_public** changed from BFAR, PLGU to BFAR, DA, MLGU, BLGU, **Reference** changed from News/Press Release to Balgos, M.C. (1995). Evaluation of artificial reef development in the Philippines. In Munro, J.L. &amp; Balgos, M. (eds.) Artificial reefs in the Philippines. ICLARM Conf. Proc. 49, pp. 6-22., **Website** changed from https://headtopics.com/ph/artificial-reefs-watch-tower-in-coastal-pangasinan-town-launched-24563096 to https://core.ac.uk/download/pdf/6515223.pdf; https://www.ircwash.org/sites/default/files/802-PH90-8920.pdf</v>
      </c>
      <c r="I185" s="153" t="s">
        <v>6505</v>
      </c>
      <c r="J185" s="153" t="s">
        <v>293</v>
      </c>
      <c r="K185" s="153" t="s">
        <v>1283</v>
      </c>
      <c r="L185" s="153" t="s">
        <v>2300</v>
      </c>
      <c r="M185" s="181" t="s">
        <v>2301</v>
      </c>
      <c r="N185" s="153" t="s">
        <v>151</v>
      </c>
      <c r="O185" s="158" t="s">
        <v>149</v>
      </c>
      <c r="P185" s="154" t="s">
        <v>149</v>
      </c>
      <c r="Q185" s="169">
        <v>1990.0</v>
      </c>
      <c r="R185" s="160" t="s">
        <v>149</v>
      </c>
      <c r="S185" s="160" t="s">
        <v>149</v>
      </c>
      <c r="T185" s="161" t="s">
        <v>150</v>
      </c>
      <c r="U185" s="153">
        <f>IFERROR(__xludf.DUMMYFUNCTION("""COMPUTED_VALUE"""),167.0)</f>
        <v>167</v>
      </c>
      <c r="V185" s="162" t="s">
        <v>3311</v>
      </c>
      <c r="W185" s="170" t="s">
        <v>6059</v>
      </c>
      <c r="X185" s="28" t="s">
        <v>6033</v>
      </c>
      <c r="Y185" s="28" t="s">
        <v>386</v>
      </c>
      <c r="Z185" s="176" t="s">
        <v>386</v>
      </c>
      <c r="AA185" s="158" t="s">
        <v>6054</v>
      </c>
      <c r="AB185" s="153" t="s">
        <v>6506</v>
      </c>
      <c r="AC185" s="158" t="s">
        <v>149</v>
      </c>
      <c r="AD185" s="158" t="s">
        <v>149</v>
      </c>
      <c r="AE185" s="158" t="s">
        <v>149</v>
      </c>
      <c r="AF185" s="158" t="s">
        <v>149</v>
      </c>
      <c r="AG185" s="164" t="s">
        <v>149</v>
      </c>
      <c r="AH185" s="158" t="s">
        <v>149</v>
      </c>
      <c r="AI185" s="158" t="s">
        <v>149</v>
      </c>
      <c r="AJ185" s="153" t="s">
        <v>2304</v>
      </c>
      <c r="AK185" s="158" t="s">
        <v>184</v>
      </c>
      <c r="AL185" s="153" t="s">
        <v>6507</v>
      </c>
      <c r="AM185" s="154" t="s">
        <v>149</v>
      </c>
      <c r="AN185" s="154" t="s">
        <v>149</v>
      </c>
      <c r="AO185" s="156">
        <v>1.0</v>
      </c>
      <c r="AP185" s="156" t="s">
        <v>6037</v>
      </c>
      <c r="AQ185" s="158" t="s">
        <v>395</v>
      </c>
      <c r="AR185" s="153" t="s">
        <v>6060</v>
      </c>
      <c r="AS185" s="158" t="s">
        <v>397</v>
      </c>
      <c r="AT185" s="154" t="s">
        <v>149</v>
      </c>
      <c r="AU185" s="154" t="s">
        <v>149</v>
      </c>
    </row>
    <row r="186">
      <c r="A186" s="186">
        <v>93.0</v>
      </c>
      <c r="B186" s="152">
        <v>2023.0</v>
      </c>
      <c r="D186" s="152"/>
      <c r="E186" s="151">
        <v>93.0</v>
      </c>
      <c r="F186" s="129" t="s">
        <v>140</v>
      </c>
      <c r="G186" s="3" t="s">
        <v>6029</v>
      </c>
      <c r="H186" s="8" t="str">
        <f>IFERROR(__xludf.DUMMYFUNCTION("""COMPUTED_VALUE"""),"")</f>
        <v/>
      </c>
      <c r="I186" s="8" t="s">
        <v>6508</v>
      </c>
      <c r="J186" s="8" t="s">
        <v>143</v>
      </c>
      <c r="K186" s="8" t="s">
        <v>144</v>
      </c>
      <c r="L186" s="8" t="s">
        <v>2545</v>
      </c>
      <c r="M186" s="153" t="s">
        <v>2546</v>
      </c>
      <c r="N186" s="8" t="s">
        <v>151</v>
      </c>
      <c r="O186" s="3" t="s">
        <v>149</v>
      </c>
      <c r="P186" s="3" t="s">
        <v>149</v>
      </c>
      <c r="Q186" s="142" t="s">
        <v>6152</v>
      </c>
      <c r="R186" s="3" t="s">
        <v>149</v>
      </c>
      <c r="S186" s="3" t="s">
        <v>149</v>
      </c>
      <c r="T186" s="8"/>
      <c r="U186" s="8">
        <f>IFERROR(__xludf.DUMMYFUNCTION("""COMPUTED_VALUE"""),168.0)</f>
        <v>168</v>
      </c>
      <c r="V186" s="8"/>
      <c r="W186" s="3"/>
      <c r="X186" s="8"/>
      <c r="Y186" s="8"/>
      <c r="AA186" s="3" t="s">
        <v>149</v>
      </c>
      <c r="AB186" s="3" t="s">
        <v>149</v>
      </c>
      <c r="AC186" s="3" t="s">
        <v>149</v>
      </c>
      <c r="AG186" s="3" t="s">
        <v>149</v>
      </c>
      <c r="AH186" s="3" t="s">
        <v>149</v>
      </c>
      <c r="AI186" s="3" t="s">
        <v>149</v>
      </c>
      <c r="AJ186" s="8" t="s">
        <v>390</v>
      </c>
      <c r="AL186" s="8" t="s">
        <v>158</v>
      </c>
      <c r="AM186" s="3" t="s">
        <v>149</v>
      </c>
      <c r="AN186" s="3" t="s">
        <v>149</v>
      </c>
      <c r="AO186" s="8"/>
      <c r="AP186" s="8"/>
      <c r="AR186" s="3" t="s">
        <v>149</v>
      </c>
      <c r="AS186" s="3" t="s">
        <v>149</v>
      </c>
      <c r="AT186" s="3" t="s">
        <v>149</v>
      </c>
      <c r="AU186" s="3" t="s">
        <v>149</v>
      </c>
    </row>
    <row r="187">
      <c r="A187" s="151">
        <v>93.0</v>
      </c>
      <c r="B187" s="152">
        <v>2025.0</v>
      </c>
      <c r="C187" s="153" t="str">
        <f>CONCATENATE(D187, "-", M187, "-", A187)
</f>
        <v>2023-PH030807000-93</v>
      </c>
      <c r="D187" s="152">
        <f>IF(OR(F186="Published", F186="Unpublished"), 2023, IF(F186="New", 2025, ""))
</f>
        <v>2023</v>
      </c>
      <c r="E187" s="151">
        <v>93.0</v>
      </c>
      <c r="F187" s="156" t="s">
        <v>140</v>
      </c>
      <c r="G187" s="156" t="s">
        <v>141</v>
      </c>
      <c r="H187" s="153" t="str">
        <f>IFERROR(__xludf.DUMMYFUNCTION("""COMPUTED_VALUE"""),"**Region** changed from I to III, **Restoration_project** changed from Unknown to Fisheries Sector Program, **Year of establishment** changed from 2017 to 1992, **Project Start** changed from Unknown to 1990, **Project End** changed from Unknown to 1994, "&amp;"**Funding agency** changed from Unknown to ADB, Overseas Economic Cooperation Fund of Japan , **Implementing institution** changed from BFAR to DA, **Partners_public** changed from PLGU to MLGU, **Reference** changed from Unknown to Balgos, M.C. (1995). E"&amp;"valuation of artificial reef development in the Philippines. In Munro, J.L. &amp; Balgos, M. (eds.) Artificial reefs in the Philippines. ICLARM Conf. Proc. 49, pp. 6-22., **Website** changed from Unknown to https://core.ac.uk/download/pdf/6515223.pdf; https:/"&amp;"/www.ircwash.org/sites/default/files/802-PH90-8920.pdf, **Contact_name** changed from Unknown to Miriam Balgos")</f>
        <v>**Region** changed from I to III, **Restoration_project** changed from Unknown to Fisheries Sector Program, **Year of establishment** changed from 2017 to 1992, **Project Start** changed from Unknown to 1990, **Project End** changed from Unknown to 1994, **Funding agency** changed from Unknown to ADB, Overseas Economic Cooperation Fund of Japan , **Implementing institution** changed from BFAR to DA, **Partners_public** changed from PLGU to MLGU, **Reference** changed from Unknown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187" s="153" t="s">
        <v>6509</v>
      </c>
      <c r="J187" s="153" t="s">
        <v>293</v>
      </c>
      <c r="K187" s="153" t="s">
        <v>1283</v>
      </c>
      <c r="L187" s="153" t="s">
        <v>1375</v>
      </c>
      <c r="M187" s="157" t="s">
        <v>1376</v>
      </c>
      <c r="N187" s="153" t="s">
        <v>151</v>
      </c>
      <c r="O187" s="153" t="s">
        <v>1377</v>
      </c>
      <c r="P187" s="154" t="s">
        <v>149</v>
      </c>
      <c r="Q187" s="178">
        <v>1992.0</v>
      </c>
      <c r="R187" s="175" t="s">
        <v>6198</v>
      </c>
      <c r="S187" s="175" t="s">
        <v>6199</v>
      </c>
      <c r="T187" s="161" t="s">
        <v>150</v>
      </c>
      <c r="U187" s="153">
        <f>IFERROR(__xludf.DUMMYFUNCTION("""COMPUTED_VALUE"""),169.0)</f>
        <v>169</v>
      </c>
      <c r="V187" s="162" t="s">
        <v>3311</v>
      </c>
      <c r="W187" s="187" t="s">
        <v>149</v>
      </c>
      <c r="X187" s="184"/>
      <c r="Y187" s="184" t="s">
        <v>149</v>
      </c>
      <c r="Z187" s="158" t="s">
        <v>149</v>
      </c>
      <c r="AA187" s="158" t="s">
        <v>149</v>
      </c>
      <c r="AB187" s="158" t="s">
        <v>149</v>
      </c>
      <c r="AC187" s="153" t="s">
        <v>1381</v>
      </c>
      <c r="AD187" s="158" t="s">
        <v>6154</v>
      </c>
      <c r="AE187" s="158" t="s">
        <v>206</v>
      </c>
      <c r="AF187" s="158" t="s">
        <v>159</v>
      </c>
      <c r="AG187" s="164" t="s">
        <v>149</v>
      </c>
      <c r="AH187" s="158" t="s">
        <v>149</v>
      </c>
      <c r="AI187" s="158" t="s">
        <v>149</v>
      </c>
      <c r="AJ187" s="153" t="s">
        <v>660</v>
      </c>
      <c r="AK187" s="153" t="s">
        <v>6035</v>
      </c>
      <c r="AL187" s="153" t="s">
        <v>369</v>
      </c>
      <c r="AM187" s="154" t="s">
        <v>149</v>
      </c>
      <c r="AN187" s="154" t="s">
        <v>149</v>
      </c>
      <c r="AO187" s="156">
        <v>1.0</v>
      </c>
      <c r="AP187" s="156" t="s">
        <v>6037</v>
      </c>
      <c r="AQ187" s="158" t="s">
        <v>395</v>
      </c>
      <c r="AR187" s="153" t="s">
        <v>6060</v>
      </c>
      <c r="AS187" s="158" t="s">
        <v>397</v>
      </c>
      <c r="AT187" s="153" t="s">
        <v>398</v>
      </c>
      <c r="AU187" s="154" t="s">
        <v>149</v>
      </c>
    </row>
    <row r="188">
      <c r="A188" s="186">
        <v>94.0</v>
      </c>
      <c r="B188" s="152">
        <v>2023.0</v>
      </c>
      <c r="D188" s="152"/>
      <c r="E188" s="151">
        <v>94.0</v>
      </c>
      <c r="F188" s="129" t="s">
        <v>140</v>
      </c>
      <c r="G188" s="3" t="s">
        <v>6029</v>
      </c>
      <c r="H188" s="8" t="str">
        <f>IFERROR(__xludf.DUMMYFUNCTION("""COMPUTED_VALUE"""),"")</f>
        <v/>
      </c>
      <c r="I188" s="8" t="s">
        <v>6510</v>
      </c>
      <c r="J188" s="8" t="s">
        <v>143</v>
      </c>
      <c r="K188" s="8" t="s">
        <v>144</v>
      </c>
      <c r="L188" s="8" t="s">
        <v>477</v>
      </c>
      <c r="M188" s="153" t="s">
        <v>478</v>
      </c>
      <c r="N188" s="8" t="s">
        <v>151</v>
      </c>
      <c r="O188" s="8" t="s">
        <v>384</v>
      </c>
      <c r="P188" s="8" t="s">
        <v>479</v>
      </c>
      <c r="Q188" s="142" t="s">
        <v>6052</v>
      </c>
      <c r="R188" s="142" t="s">
        <v>6052</v>
      </c>
      <c r="S188" s="142" t="s">
        <v>6053</v>
      </c>
      <c r="T188" s="8"/>
      <c r="U188" s="8">
        <f>IFERROR(__xludf.DUMMYFUNCTION("""COMPUTED_VALUE"""),170.0)</f>
        <v>170</v>
      </c>
      <c r="V188" s="8"/>
      <c r="W188" s="8"/>
      <c r="X188" s="8"/>
      <c r="Y188" s="8"/>
      <c r="AA188" s="8" t="s">
        <v>6054</v>
      </c>
      <c r="AB188" s="3" t="s">
        <v>149</v>
      </c>
      <c r="AC188" s="8" t="s">
        <v>390</v>
      </c>
      <c r="AG188" s="3" t="s">
        <v>149</v>
      </c>
      <c r="AH188" s="3" t="s">
        <v>149</v>
      </c>
      <c r="AI188" s="8" t="s">
        <v>391</v>
      </c>
      <c r="AJ188" s="8" t="s">
        <v>390</v>
      </c>
      <c r="AL188" s="8" t="s">
        <v>6055</v>
      </c>
      <c r="AM188" s="3" t="s">
        <v>149</v>
      </c>
      <c r="AN188" s="8" t="s">
        <v>6056</v>
      </c>
      <c r="AO188" s="8"/>
      <c r="AP188" s="8"/>
      <c r="AR188" s="8" t="s">
        <v>6057</v>
      </c>
      <c r="AS188" s="8" t="s">
        <v>2873</v>
      </c>
      <c r="AT188" s="8" t="s">
        <v>398</v>
      </c>
      <c r="AU188" s="3" t="s">
        <v>149</v>
      </c>
    </row>
    <row r="189">
      <c r="A189" s="151">
        <v>94.0</v>
      </c>
      <c r="B189" s="152">
        <v>2025.0</v>
      </c>
      <c r="C189" s="153" t="str">
        <f>CONCATENATE(D189, "-", M189, "-", A189)
</f>
        <v>2023-PH030807000-94</v>
      </c>
      <c r="D189" s="152">
        <f>IF(OR(F188="Published", F188="Unpublished"), 2023, IF(F188="New", 2025, ""))
</f>
        <v>2023</v>
      </c>
      <c r="E189" s="151">
        <v>94.0</v>
      </c>
      <c r="F189" s="156" t="s">
        <v>140</v>
      </c>
      <c r="G189" s="156" t="s">
        <v>141</v>
      </c>
      <c r="H189" s="153" t="str">
        <f>IFERROR(__xludf.DUMMYFUNCTION("""COMPUTED_VALUE"""),"**Region** changed from I to III, **Restoration_project** changed from Artificial Reef Development Program to Unknown, **Restoration_project_short** changed from Site in Baquioen to Site in Alas-asin, **Year of establishment** changed from 1985 to Unknown"&amp;", **Project Start** changed from 1985 to Unknown, **Project End** changed from 1987 to Unknown, **Restoration method** changed from Artificial Reef to Asexual Reproduction, **Technique/Material Type** changed from tires to CNU, **Funding agency** changed "&amp;"from BFAR to Total &amp; Liquigaz, **Total units** changed from 10 TM to Unknown, **Implementing institution** changed from BFAR to PENRO , **Partners_public** changed from Ministry of Human Settlements to Unknown, **Partners_communities** changed from Samaha"&amp;"ng Kabuhayan to Unknown, **Reference** changed from Conference Proceediing to PEMSEA &amp; Provincial Government of Bataan, Philippines (2017). State of the Coasts of Bataan Province. Partnerships in Environmental Management for the Seas of East Asia (PEMSEA)"&amp;", Quezon City., **Website** changed from http://pubs.iclarm.net/libinfo/Pdf/Pub%20CP6%2049.pdf to http://pemsea.org/sites/default/files/SOC%20Bataan.pdf, **Contact_name** changed from Miriam Balgos to Unknown")</f>
        <v>**Region** changed from I to III, **Restoration_project** changed from Artificial Reef Development Program to Unknown, **Restoration_project_short** changed from Site in Baquioen to Site in Alas-asin, **Year of establishment** changed from 1985 to Unknown, **Project Start** changed from 1985 to Unknown, **Project End** changed from 1987 to Unknown, **Restoration method** changed from Artificial Reef to Asexual Reproduction, **Technique/Material Type** changed from tires to CNU, **Funding agency** changed from BFAR to Total &amp; Liquigaz, **Total units** changed from 10 TM to Unknown, **Implementing institution** changed from BFAR to PENRO , **Partners_public** changed from Ministry of Human Settlements to Unknown, **Partners_communities** changed from Samahang Kabuhayan to Unknown, **Reference** changed from Conference Proceediing to PEMSEA &amp; Provincial Government of Bataan, Philippines (2017). State of the Coasts of Bataan Province. Partnerships in Environmental Management for the Seas of East Asia (PEMSEA), Quezon City., **Website** changed from http://pubs.iclarm.net/libinfo/Pdf/Pub%20CP6%2049.pdf to http://pemsea.org/sites/default/files/SOC%20Bataan.pdf, **Contact_name** changed from Miriam Balgos to Unknown</v>
      </c>
      <c r="I189" s="153" t="s">
        <v>6511</v>
      </c>
      <c r="J189" s="153" t="s">
        <v>293</v>
      </c>
      <c r="K189" s="153" t="s">
        <v>1283</v>
      </c>
      <c r="L189" s="153" t="s">
        <v>1375</v>
      </c>
      <c r="M189" s="157" t="s">
        <v>1376</v>
      </c>
      <c r="N189" s="153" t="s">
        <v>6062</v>
      </c>
      <c r="O189" s="158" t="s">
        <v>149</v>
      </c>
      <c r="P189" s="153" t="s">
        <v>3059</v>
      </c>
      <c r="Q189" s="197" t="s">
        <v>149</v>
      </c>
      <c r="R189" s="160" t="s">
        <v>149</v>
      </c>
      <c r="S189" s="160" t="s">
        <v>149</v>
      </c>
      <c r="T189" s="156" t="s">
        <v>177</v>
      </c>
      <c r="U189" s="153">
        <f>IFERROR(__xludf.DUMMYFUNCTION("""COMPUTED_VALUE"""),171.0)</f>
        <v>171</v>
      </c>
      <c r="V189" s="191" t="s">
        <v>1359</v>
      </c>
      <c r="W189" s="179" t="s">
        <v>6066</v>
      </c>
      <c r="X189" s="180"/>
      <c r="Y189" s="180" t="s">
        <v>154</v>
      </c>
      <c r="Z189" s="158" t="s">
        <v>179</v>
      </c>
      <c r="AA189" s="153" t="s">
        <v>320</v>
      </c>
      <c r="AB189" s="158" t="s">
        <v>149</v>
      </c>
      <c r="AC189" s="153" t="s">
        <v>3060</v>
      </c>
      <c r="AD189" s="158" t="s">
        <v>160</v>
      </c>
      <c r="AE189" s="158" t="s">
        <v>184</v>
      </c>
      <c r="AF189" s="158" t="s">
        <v>159</v>
      </c>
      <c r="AG189" s="164" t="s">
        <v>149</v>
      </c>
      <c r="AH189" s="158" t="s">
        <v>149</v>
      </c>
      <c r="AI189" s="158" t="s">
        <v>149</v>
      </c>
      <c r="AJ189" s="153" t="s">
        <v>3061</v>
      </c>
      <c r="AK189" s="153" t="s">
        <v>6035</v>
      </c>
      <c r="AL189" s="154" t="s">
        <v>149</v>
      </c>
      <c r="AM189" s="154" t="s">
        <v>149</v>
      </c>
      <c r="AN189" s="154" t="s">
        <v>149</v>
      </c>
      <c r="AO189" s="156">
        <v>1.0</v>
      </c>
      <c r="AP189" s="156" t="s">
        <v>6037</v>
      </c>
      <c r="AQ189" s="153" t="s">
        <v>6084</v>
      </c>
      <c r="AR189" s="153" t="s">
        <v>3062</v>
      </c>
      <c r="AS189" s="165" t="s">
        <v>3063</v>
      </c>
      <c r="AT189" s="154" t="s">
        <v>149</v>
      </c>
      <c r="AU189" s="154" t="s">
        <v>149</v>
      </c>
    </row>
    <row r="190">
      <c r="A190" s="186">
        <v>95.0</v>
      </c>
      <c r="B190" s="152">
        <v>2023.0</v>
      </c>
      <c r="D190" s="152"/>
      <c r="E190" s="151">
        <v>95.0</v>
      </c>
      <c r="F190" s="129" t="s">
        <v>140</v>
      </c>
      <c r="G190" s="3" t="s">
        <v>6029</v>
      </c>
      <c r="H190" s="8" t="str">
        <f>IFERROR(__xludf.DUMMYFUNCTION("""COMPUTED_VALUE"""),"")</f>
        <v/>
      </c>
      <c r="I190" s="8" t="s">
        <v>6512</v>
      </c>
      <c r="J190" s="8" t="s">
        <v>481</v>
      </c>
      <c r="K190" s="8" t="s">
        <v>482</v>
      </c>
      <c r="L190" s="8" t="s">
        <v>483</v>
      </c>
      <c r="M190" s="198" t="s">
        <v>484</v>
      </c>
      <c r="N190" s="8" t="s">
        <v>151</v>
      </c>
      <c r="O190" s="8" t="s">
        <v>384</v>
      </c>
      <c r="P190" s="3" t="s">
        <v>6493</v>
      </c>
      <c r="Q190" s="142" t="s">
        <v>6051</v>
      </c>
      <c r="R190" s="142" t="s">
        <v>6052</v>
      </c>
      <c r="S190" s="142" t="s">
        <v>6053</v>
      </c>
      <c r="T190" s="8"/>
      <c r="U190" s="8">
        <f>IFERROR(__xludf.DUMMYFUNCTION("""COMPUTED_VALUE"""),172.0)</f>
        <v>172</v>
      </c>
      <c r="V190" s="8"/>
      <c r="W190" s="8"/>
      <c r="X190" s="8"/>
      <c r="Y190" s="8"/>
      <c r="AA190" s="8" t="s">
        <v>6054</v>
      </c>
      <c r="AB190" s="154" t="s">
        <v>149</v>
      </c>
      <c r="AC190" s="8" t="s">
        <v>390</v>
      </c>
      <c r="AG190" s="158" t="s">
        <v>149</v>
      </c>
      <c r="AH190" s="158" t="s">
        <v>149</v>
      </c>
      <c r="AI190" s="8" t="s">
        <v>391</v>
      </c>
      <c r="AJ190" s="8" t="s">
        <v>390</v>
      </c>
      <c r="AL190" s="8" t="s">
        <v>6055</v>
      </c>
      <c r="AM190" s="158" t="s">
        <v>149</v>
      </c>
      <c r="AN190" s="158" t="s">
        <v>149</v>
      </c>
      <c r="AO190" s="8"/>
      <c r="AP190" s="8"/>
      <c r="AR190" s="8" t="s">
        <v>6057</v>
      </c>
      <c r="AS190" s="8" t="s">
        <v>2873</v>
      </c>
      <c r="AT190" s="8" t="s">
        <v>398</v>
      </c>
      <c r="AU190" s="158" t="s">
        <v>149</v>
      </c>
    </row>
    <row r="191">
      <c r="A191" s="186">
        <v>95.0</v>
      </c>
      <c r="B191" s="152">
        <v>2025.0</v>
      </c>
      <c r="C191" s="153" t="str">
        <f>CONCATENATE(D191, "-", M191, "-", A191)
</f>
        <v>2023-PH030808000-95</v>
      </c>
      <c r="D191" s="152">
        <f>IF(OR(F190="Published", F190="Unpublished"), 2023, IF(F190="New", 2025, ""))
</f>
        <v>2023</v>
      </c>
      <c r="E191" s="151">
        <v>95.0</v>
      </c>
      <c r="F191" s="156" t="s">
        <v>140</v>
      </c>
      <c r="G191" s="156" t="s">
        <v>141</v>
      </c>
      <c r="H191" s="153" t="str">
        <f>IFERROR(__xludf.DUMMYFUNCTION("""COMPUTED_VALUE"""),"**Region** changed from II to III, **Restoration_project** changed from Artificial Reef Development Program to Unknown, **Restoration_project_short** changed from Stated as San Vicente municipality in Cagayan province in the literature but probably means "&amp;"Santa Ana to Unknown, **Year of establishment** changed from 1986 to 2011, **Project Start** changed from 1985 to Unknown, **Project End** changed from 1987 to Unknown, **Technique/Material Type** changed from tires to Unknown, **Restoration objective** c"&amp;"hanged from Unknown to Fish productivity; tourism, **Funding agency** changed from BFAR to Unknown, **Total units** changed from 10 TM to Unknown, **Implementing institution** changed from BFAR to CLGU, **Partners_public** changed from Ministry of Human S"&amp;"ettlements to BFAR, **Reference** changed from Conference Proceediing to Reblando, J. (2012, January 17). Artificial reef, itinanim sa Subic Bay. Punto Pananaw ng Malayang Pilipino Central Luzon. https://punto.com.ph/artificial-reef-itinanim-sa-subic-bay/"&amp;", **Website** changed from http://pubs.iclarm.net/libinfo/Pdf/Pub%20CP6%2049.pdf to https://punto.com.ph/artificial-reef-itinanim-sa-subic-bay/, **Contact_name** changed from Miriam Balgos to Unknown")</f>
        <v>**Region** changed from II to III, **Restoration_project** changed from Artificial Reef Development Program to Unknown, **Restoration_project_short** changed from Stated as San Vicente municipality in Cagayan province in the literature but probably means Santa Ana to Unknown, **Year of establishment** changed from 1986 to 2011, **Project Start** changed from 1985 to Unknown, **Project End** changed from 1987 to Unknown, **Technique/Material Type** changed from tires to Unknown, **Restoration objective** changed from Unknown to Fish productivity; tourism, **Funding agency** changed from BFAR to Unknown, **Total units** changed from 10 TM to Unknown, **Implementing institution** changed from BFAR to CLGU, **Partners_public** changed from Ministry of Human Settlements to BFAR, **Reference** changed from Conference Proceediing to Reblando, J. (2012, January 17). Artificial reef, itinanim sa Subic Bay. Punto Pananaw ng Malayang Pilipino Central Luzon. https://punto.com.ph/artificial-reef-itinanim-sa-subic-bay/, **Website** changed from http://pubs.iclarm.net/libinfo/Pdf/Pub%20CP6%2049.pdf to https://punto.com.ph/artificial-reef-itinanim-sa-subic-bay/, **Contact_name** changed from Miriam Balgos to Unknown</v>
      </c>
      <c r="I191" s="153" t="s">
        <v>6513</v>
      </c>
      <c r="J191" s="153" t="s">
        <v>293</v>
      </c>
      <c r="K191" s="153" t="s">
        <v>1283</v>
      </c>
      <c r="L191" s="153" t="s">
        <v>1795</v>
      </c>
      <c r="M191" s="181" t="s">
        <v>1796</v>
      </c>
      <c r="N191" s="153" t="s">
        <v>151</v>
      </c>
      <c r="O191" s="158" t="s">
        <v>149</v>
      </c>
      <c r="P191" s="154" t="s">
        <v>149</v>
      </c>
      <c r="Q191" s="169">
        <v>2011.0</v>
      </c>
      <c r="R191" s="160" t="s">
        <v>149</v>
      </c>
      <c r="S191" s="160" t="s">
        <v>149</v>
      </c>
      <c r="T191" s="161" t="s">
        <v>150</v>
      </c>
      <c r="U191" s="153">
        <f>IFERROR(__xludf.DUMMYFUNCTION("""COMPUTED_VALUE"""),173.0)</f>
        <v>173</v>
      </c>
      <c r="V191" s="162" t="s">
        <v>3311</v>
      </c>
      <c r="W191" s="187" t="s">
        <v>149</v>
      </c>
      <c r="X191" s="184"/>
      <c r="Y191" s="184" t="s">
        <v>149</v>
      </c>
      <c r="Z191" s="158" t="s">
        <v>149</v>
      </c>
      <c r="AA191" s="158" t="s">
        <v>149</v>
      </c>
      <c r="AB191" s="153" t="s">
        <v>2735</v>
      </c>
      <c r="AC191" s="158" t="s">
        <v>149</v>
      </c>
      <c r="AD191" s="158" t="s">
        <v>149</v>
      </c>
      <c r="AE191" s="158" t="s">
        <v>149</v>
      </c>
      <c r="AF191" s="158" t="s">
        <v>149</v>
      </c>
      <c r="AG191" s="164" t="s">
        <v>149</v>
      </c>
      <c r="AH191" s="158" t="s">
        <v>149</v>
      </c>
      <c r="AI191" s="158" t="s">
        <v>149</v>
      </c>
      <c r="AJ191" s="153" t="s">
        <v>228</v>
      </c>
      <c r="AK191" s="153" t="s">
        <v>6035</v>
      </c>
      <c r="AL191" s="153" t="s">
        <v>390</v>
      </c>
      <c r="AM191" s="154" t="s">
        <v>149</v>
      </c>
      <c r="AN191" s="154" t="s">
        <v>149</v>
      </c>
      <c r="AO191" s="156">
        <v>1.0</v>
      </c>
      <c r="AP191" s="156" t="s">
        <v>6037</v>
      </c>
      <c r="AQ191" s="158" t="s">
        <v>166</v>
      </c>
      <c r="AR191" s="153" t="s">
        <v>2736</v>
      </c>
      <c r="AS191" s="165" t="s">
        <v>2737</v>
      </c>
      <c r="AT191" s="154" t="s">
        <v>149</v>
      </c>
      <c r="AU191" s="154" t="s">
        <v>149</v>
      </c>
    </row>
    <row r="192">
      <c r="A192" s="186">
        <v>96.0</v>
      </c>
      <c r="B192" s="152">
        <v>2023.0</v>
      </c>
      <c r="D192" s="152"/>
      <c r="E192" s="151">
        <v>96.0</v>
      </c>
      <c r="F192" s="129" t="s">
        <v>140</v>
      </c>
      <c r="G192" s="3" t="s">
        <v>6029</v>
      </c>
      <c r="H192" s="8" t="str">
        <f>IFERROR(__xludf.DUMMYFUNCTION("""COMPUTED_VALUE"""),"")</f>
        <v/>
      </c>
      <c r="I192" s="8" t="s">
        <v>6514</v>
      </c>
      <c r="J192" s="8" t="s">
        <v>293</v>
      </c>
      <c r="K192" s="8" t="s">
        <v>1208</v>
      </c>
      <c r="L192" s="8" t="s">
        <v>1209</v>
      </c>
      <c r="M192" s="153" t="s">
        <v>1210</v>
      </c>
      <c r="N192" s="8" t="s">
        <v>6062</v>
      </c>
      <c r="O192" s="8" t="s">
        <v>6515</v>
      </c>
      <c r="P192" s="158" t="s">
        <v>149</v>
      </c>
      <c r="Q192" s="158" t="s">
        <v>149</v>
      </c>
      <c r="R192" s="142" t="s">
        <v>6151</v>
      </c>
      <c r="S192" s="142" t="s">
        <v>6089</v>
      </c>
      <c r="T192" s="8"/>
      <c r="U192" s="8">
        <f>IFERROR(__xludf.DUMMYFUNCTION("""COMPUTED_VALUE"""),174.0)</f>
        <v>174</v>
      </c>
      <c r="V192" s="8"/>
      <c r="W192" s="8"/>
      <c r="X192" s="8"/>
      <c r="Y192" s="8"/>
      <c r="AA192" s="8" t="s">
        <v>320</v>
      </c>
      <c r="AB192" s="8" t="s">
        <v>1211</v>
      </c>
      <c r="AC192" s="8" t="s">
        <v>321</v>
      </c>
      <c r="AG192" s="158" t="s">
        <v>149</v>
      </c>
      <c r="AH192" s="158" t="s">
        <v>149</v>
      </c>
      <c r="AI192" s="8" t="s">
        <v>1212</v>
      </c>
      <c r="AJ192" s="8" t="s">
        <v>885</v>
      </c>
      <c r="AL192" s="8" t="s">
        <v>1213</v>
      </c>
      <c r="AM192" s="158" t="s">
        <v>149</v>
      </c>
      <c r="AN192" s="158" t="s">
        <v>149</v>
      </c>
      <c r="AO192" s="8"/>
      <c r="AP192" s="8"/>
      <c r="AR192" s="8" t="s">
        <v>6069</v>
      </c>
      <c r="AS192" s="158" t="s">
        <v>149</v>
      </c>
      <c r="AT192" s="158" t="s">
        <v>149</v>
      </c>
      <c r="AU192" s="158" t="s">
        <v>149</v>
      </c>
    </row>
    <row r="193">
      <c r="A193" s="151">
        <v>96.0</v>
      </c>
      <c r="B193" s="152">
        <v>2025.0</v>
      </c>
      <c r="C193" s="153" t="str">
        <f>CONCATENATE(D193, "-", M193, "-", A193)
</f>
        <v>2023-PH030808000-96</v>
      </c>
      <c r="D193" s="152">
        <f>IF(OR(F192="Published", F192="Unpublished"), 2023, IF(F192="New", 2025, ""))
</f>
        <v>2023</v>
      </c>
      <c r="E193" s="151">
        <v>96.0</v>
      </c>
      <c r="F193" s="156" t="s">
        <v>140</v>
      </c>
      <c r="G193" s="156" t="s">
        <v>141</v>
      </c>
      <c r="H193" s="153" t="str">
        <f>IFERROR(__xludf.DUMMYFUNCTION("""COMPUTED_VALUE"""),"**Restoration_project** changed from Filipinnovation on Coral Reef Restoration to Unknown, **Restoration_project_short** changed from Unknown to Site in Sabang, **Year of establishment** changed from Unknown to 2015, **Project Start** changed from 2012 to"&amp;" Unknown, **Project End** changed from 2013 to Unknown, **Restoration method** changed from Asexual Reproduction to Artificial Reef, **Technique/Material Type** changed from CNU to Unknown, **Restoration objective** changed from Coral reef management; tec"&amp;"hnology demonstration; experimental to Unknown, **Funding agency** changed from DOST-PCAARRD to PLGU, **Total units** changed from 12 CNUs/17,588 COPs to Unknown, **Implementing institution** changed from University of San Carlos to PLGU, **Partners_publi"&amp;"c** changed from Aurora State College of Technology to Unknown, **Reference** changed from Briefer Report to Soriano, Z. (n.d.). Morong town, soon to be a diving spot. 1Bataan. https://1bataan.com/morong-town-soon-to-be-a-diving-spot/, **Website** changed"&amp;" from Unknown to https://1bataan.com/morong-town-soon-to-be-a-diving-spot/")</f>
        <v>**Restoration_project** changed from Filipinnovation on Coral Reef Restoration to Unknown, **Restoration_project_short** changed from Unknown to Site in Sabang, **Year of establishment** changed from Unknown to 2015, **Project Start** changed from 2012 to Unknown, **Project End** changed from 2013 to Unknown, **Restoration method** changed from Asexual Reproduction to Artificial Reef, **Technique/Material Type** changed from CNU to Unknown, **Restoration objective** changed from Coral reef management; technology demonstration; experimental to Unknown, **Funding agency** changed from DOST-PCAARRD to PLGU, **Total units** changed from 12 CNUs/17,588 COPs to Unknown, **Implementing institution** changed from University of San Carlos to PLGU, **Partners_public** changed from Aurora State College of Technology to Unknown, **Reference** changed from Briefer Report to Soriano, Z. (n.d.). Morong town, soon to be a diving spot. 1Bataan. https://1bataan.com/morong-town-soon-to-be-a-diving-spot/, **Website** changed from Unknown to https://1bataan.com/morong-town-soon-to-be-a-diving-spot/</v>
      </c>
      <c r="I193" s="153" t="s">
        <v>6516</v>
      </c>
      <c r="J193" s="153" t="s">
        <v>293</v>
      </c>
      <c r="K193" s="153" t="s">
        <v>1283</v>
      </c>
      <c r="L193" s="153" t="s">
        <v>1795</v>
      </c>
      <c r="M193" s="181" t="s">
        <v>1796</v>
      </c>
      <c r="N193" s="153" t="s">
        <v>151</v>
      </c>
      <c r="O193" s="154" t="s">
        <v>149</v>
      </c>
      <c r="P193" s="153" t="s">
        <v>507</v>
      </c>
      <c r="Q193" s="169">
        <v>2015.0</v>
      </c>
      <c r="R193" s="160" t="s">
        <v>149</v>
      </c>
      <c r="S193" s="160" t="s">
        <v>149</v>
      </c>
      <c r="T193" s="161" t="s">
        <v>150</v>
      </c>
      <c r="U193" s="153">
        <f>IFERROR(__xludf.DUMMYFUNCTION("""COMPUTED_VALUE"""),175.0)</f>
        <v>175</v>
      </c>
      <c r="V193" s="162" t="s">
        <v>3311</v>
      </c>
      <c r="W193" s="187" t="s">
        <v>149</v>
      </c>
      <c r="X193" s="184"/>
      <c r="Y193" s="184" t="s">
        <v>149</v>
      </c>
      <c r="Z193" s="158" t="s">
        <v>149</v>
      </c>
      <c r="AA193" s="158" t="s">
        <v>149</v>
      </c>
      <c r="AB193" s="158" t="s">
        <v>149</v>
      </c>
      <c r="AC193" s="153" t="s">
        <v>158</v>
      </c>
      <c r="AD193" s="158" t="s">
        <v>160</v>
      </c>
      <c r="AE193" s="158" t="s">
        <v>6035</v>
      </c>
      <c r="AF193" s="158" t="s">
        <v>159</v>
      </c>
      <c r="AG193" s="164" t="s">
        <v>149</v>
      </c>
      <c r="AH193" s="158" t="s">
        <v>149</v>
      </c>
      <c r="AI193" s="158" t="s">
        <v>149</v>
      </c>
      <c r="AJ193" s="153" t="s">
        <v>158</v>
      </c>
      <c r="AK193" s="153" t="s">
        <v>6035</v>
      </c>
      <c r="AL193" s="154" t="s">
        <v>149</v>
      </c>
      <c r="AM193" s="154" t="s">
        <v>149</v>
      </c>
      <c r="AN193" s="154" t="s">
        <v>149</v>
      </c>
      <c r="AO193" s="156">
        <v>1.0</v>
      </c>
      <c r="AP193" s="156" t="s">
        <v>6037</v>
      </c>
      <c r="AQ193" s="158" t="s">
        <v>6517</v>
      </c>
      <c r="AR193" s="153" t="s">
        <v>3065</v>
      </c>
      <c r="AS193" s="165" t="s">
        <v>3066</v>
      </c>
      <c r="AT193" s="154" t="s">
        <v>149</v>
      </c>
      <c r="AU193" s="154" t="s">
        <v>149</v>
      </c>
    </row>
    <row r="194">
      <c r="A194" s="186">
        <v>97.0</v>
      </c>
      <c r="B194" s="152">
        <v>2023.0</v>
      </c>
      <c r="D194" s="152"/>
      <c r="E194" s="151">
        <v>97.0</v>
      </c>
      <c r="F194" s="129" t="s">
        <v>140</v>
      </c>
      <c r="G194" s="3" t="s">
        <v>6029</v>
      </c>
      <c r="H194" s="8" t="str">
        <f>IFERROR(__xludf.DUMMYFUNCTION("""COMPUTED_VALUE"""),"")</f>
        <v/>
      </c>
      <c r="I194" s="8" t="s">
        <v>6518</v>
      </c>
      <c r="J194" s="8" t="s">
        <v>293</v>
      </c>
      <c r="K194" s="8" t="s">
        <v>1283</v>
      </c>
      <c r="L194" s="8" t="s">
        <v>1284</v>
      </c>
      <c r="M194" s="153" t="s">
        <v>1285</v>
      </c>
      <c r="N194" s="8" t="s">
        <v>6062</v>
      </c>
      <c r="O194" s="8" t="s">
        <v>1174</v>
      </c>
      <c r="P194" s="158" t="s">
        <v>149</v>
      </c>
      <c r="Q194" s="158" t="s">
        <v>149</v>
      </c>
      <c r="R194" s="142" t="s">
        <v>6151</v>
      </c>
      <c r="S194" s="142" t="s">
        <v>6089</v>
      </c>
      <c r="T194" s="8"/>
      <c r="U194" s="8">
        <f>IFERROR(__xludf.DUMMYFUNCTION("""COMPUTED_VALUE"""),176.0)</f>
        <v>176</v>
      </c>
      <c r="V194" s="8"/>
      <c r="W194" s="8"/>
      <c r="X194" s="8"/>
      <c r="Y194" s="8"/>
      <c r="AA194" s="8" t="s">
        <v>320</v>
      </c>
      <c r="AB194" s="158" t="s">
        <v>149</v>
      </c>
      <c r="AC194" s="8" t="s">
        <v>321</v>
      </c>
      <c r="AG194" s="158" t="s">
        <v>149</v>
      </c>
      <c r="AH194" s="158" t="s">
        <v>149</v>
      </c>
      <c r="AI194" s="8" t="s">
        <v>1286</v>
      </c>
      <c r="AJ194" s="8" t="s">
        <v>885</v>
      </c>
      <c r="AL194" s="8" t="s">
        <v>1287</v>
      </c>
      <c r="AM194" s="158" t="s">
        <v>149</v>
      </c>
      <c r="AN194" s="158" t="s">
        <v>149</v>
      </c>
      <c r="AO194" s="8"/>
      <c r="AP194" s="8"/>
      <c r="AR194" s="8" t="s">
        <v>6069</v>
      </c>
      <c r="AS194" s="158" t="s">
        <v>149</v>
      </c>
      <c r="AT194" s="158" t="s">
        <v>149</v>
      </c>
      <c r="AU194" s="158" t="s">
        <v>149</v>
      </c>
    </row>
    <row r="195">
      <c r="A195" s="186">
        <v>97.0</v>
      </c>
      <c r="B195" s="152">
        <v>2025.0</v>
      </c>
      <c r="C195" s="153" t="str">
        <f>CONCATENATE(D195, "-", M195, "-", A195)
</f>
        <v>2023-PH030808000-97</v>
      </c>
      <c r="D195" s="152">
        <f>IF(OR(F194="Published", F194="Unpublished"), 2023, IF(F194="New", 2025, ""))
</f>
        <v>2023</v>
      </c>
      <c r="E195" s="151">
        <v>97.0</v>
      </c>
      <c r="F195" s="156" t="s">
        <v>140</v>
      </c>
      <c r="G195" s="156" t="s">
        <v>141</v>
      </c>
      <c r="H195" s="153" t="str">
        <f>IFERROR(__xludf.DUMMYFUNCTION("""COMPUTED_VALUE"""),"**Restoration_project** changed from Filipinnovation on Coral Reef Restoration to Unknown, **Restoration_project_short** changed from Unknown to Site in Nagbalayong, **Year of establishment** changed from Unknown to 2017, **Project Start** changed from 20"&amp;"12 to Unknown, **Project End** changed from 2013 to Unknown, **Restoration method** changed from Asexual Reproduction to Artificial Reef, **Technique/Material Type** changed from CNU to Unknown, **Funding agency** changed from DOST-PCAARRD to PLGU, **Tota"&amp;"l units** changed from 10 CNUs/22,000 COPs to Unknown, **Implementing institution** changed from University of San Carlos to PLGU, **Partners_public** changed from Bataan Peninsula State University to Unknown, **Reference** changed from Briefer Report to "&amp;"Soriano, Z. (n.d.). Morong town, soon to be a diving spot. 1Bataan. https://1bataan.com/morong-town-soon-to-be-a-diving-spot/, **Website** changed from Unknown to https://1bataan.com/morong-town-soon-to-be-a-diving-spot/")</f>
        <v>**Restoration_project** changed from Filipinnovation on Coral Reef Restoration to Unknown, **Restoration_project_short** changed from Unknown to Site in Nagbalayong, **Year of establishment** changed from Unknown to 2017, **Project Start** changed from 2012 to Unknown, **Project End** changed from 2013 to Unknown, **Restoration method** changed from Asexual Reproduction to Artificial Reef, **Technique/Material Type** changed from CNU to Unknown, **Funding agency** changed from DOST-PCAARRD to PLGU, **Total units** changed from 10 CNUs/22,000 COPs to Unknown, **Implementing institution** changed from University of San Carlos to PLGU, **Partners_public** changed from Bataan Peninsula State University to Unknown, **Reference** changed from Briefer Report to Soriano, Z. (n.d.). Morong town, soon to be a diving spot. 1Bataan. https://1bataan.com/morong-town-soon-to-be-a-diving-spot/, **Website** changed from Unknown to https://1bataan.com/morong-town-soon-to-be-a-diving-spot/</v>
      </c>
      <c r="I195" s="153" t="s">
        <v>6519</v>
      </c>
      <c r="J195" s="153" t="s">
        <v>293</v>
      </c>
      <c r="K195" s="153" t="s">
        <v>1283</v>
      </c>
      <c r="L195" s="153" t="s">
        <v>1795</v>
      </c>
      <c r="M195" s="181" t="s">
        <v>1796</v>
      </c>
      <c r="N195" s="153" t="s">
        <v>151</v>
      </c>
      <c r="O195" s="158" t="s">
        <v>149</v>
      </c>
      <c r="P195" s="153" t="s">
        <v>3068</v>
      </c>
      <c r="Q195" s="169">
        <v>2017.0</v>
      </c>
      <c r="R195" s="160" t="s">
        <v>149</v>
      </c>
      <c r="S195" s="160" t="s">
        <v>149</v>
      </c>
      <c r="T195" s="161" t="s">
        <v>150</v>
      </c>
      <c r="U195" s="153">
        <f>IFERROR(__xludf.DUMMYFUNCTION("""COMPUTED_VALUE"""),177.0)</f>
        <v>177</v>
      </c>
      <c r="V195" s="162" t="s">
        <v>3311</v>
      </c>
      <c r="W195" s="187" t="s">
        <v>149</v>
      </c>
      <c r="X195" s="184"/>
      <c r="Y195" s="184" t="s">
        <v>149</v>
      </c>
      <c r="Z195" s="158" t="s">
        <v>149</v>
      </c>
      <c r="AA195" s="158" t="s">
        <v>149</v>
      </c>
      <c r="AB195" s="158" t="s">
        <v>149</v>
      </c>
      <c r="AC195" s="153" t="s">
        <v>158</v>
      </c>
      <c r="AD195" s="158" t="s">
        <v>160</v>
      </c>
      <c r="AE195" s="158" t="s">
        <v>6035</v>
      </c>
      <c r="AF195" s="158" t="s">
        <v>159</v>
      </c>
      <c r="AG195" s="164" t="s">
        <v>149</v>
      </c>
      <c r="AH195" s="158" t="s">
        <v>149</v>
      </c>
      <c r="AI195" s="158" t="s">
        <v>149</v>
      </c>
      <c r="AJ195" s="153" t="s">
        <v>158</v>
      </c>
      <c r="AK195" s="153" t="s">
        <v>6035</v>
      </c>
      <c r="AL195" s="154" t="s">
        <v>149</v>
      </c>
      <c r="AM195" s="154" t="s">
        <v>149</v>
      </c>
      <c r="AN195" s="154" t="s">
        <v>149</v>
      </c>
      <c r="AO195" s="156">
        <v>1.0</v>
      </c>
      <c r="AP195" s="156" t="s">
        <v>6037</v>
      </c>
      <c r="AQ195" s="158" t="s">
        <v>6517</v>
      </c>
      <c r="AR195" s="153" t="s">
        <v>3065</v>
      </c>
      <c r="AS195" s="165" t="s">
        <v>3066</v>
      </c>
      <c r="AT195" s="154" t="s">
        <v>149</v>
      </c>
      <c r="AU195" s="154" t="s">
        <v>149</v>
      </c>
    </row>
    <row r="196">
      <c r="A196" s="186">
        <v>98.0</v>
      </c>
      <c r="B196" s="152">
        <v>2023.0</v>
      </c>
      <c r="D196" s="152"/>
      <c r="E196" s="151">
        <v>98.0</v>
      </c>
      <c r="F196" s="129" t="s">
        <v>140</v>
      </c>
      <c r="G196" s="3" t="s">
        <v>6029</v>
      </c>
      <c r="H196" s="8" t="str">
        <f>IFERROR(__xludf.DUMMYFUNCTION("""COMPUTED_VALUE"""),"")</f>
        <v/>
      </c>
      <c r="I196" s="8" t="s">
        <v>6520</v>
      </c>
      <c r="J196" s="8" t="s">
        <v>293</v>
      </c>
      <c r="K196" s="8" t="s">
        <v>1283</v>
      </c>
      <c r="L196" s="8" t="s">
        <v>1284</v>
      </c>
      <c r="M196" s="153" t="s">
        <v>1285</v>
      </c>
      <c r="N196" s="8" t="s">
        <v>6062</v>
      </c>
      <c r="O196" s="8" t="s">
        <v>1683</v>
      </c>
      <c r="P196" s="158" t="s">
        <v>149</v>
      </c>
      <c r="Q196" s="158" t="s">
        <v>149</v>
      </c>
      <c r="R196" s="142" t="s">
        <v>6063</v>
      </c>
      <c r="S196" s="142" t="s">
        <v>6064</v>
      </c>
      <c r="T196" s="8"/>
      <c r="U196" s="8">
        <f>IFERROR(__xludf.DUMMYFUNCTION("""COMPUTED_VALUE"""),178.0)</f>
        <v>178</v>
      </c>
      <c r="V196" s="8"/>
      <c r="W196" s="8"/>
      <c r="X196" s="8"/>
      <c r="Y196" s="8"/>
      <c r="AA196" s="8" t="s">
        <v>320</v>
      </c>
      <c r="AB196" s="158" t="s">
        <v>149</v>
      </c>
      <c r="AC196" s="8" t="s">
        <v>321</v>
      </c>
      <c r="AG196" s="158" t="s">
        <v>149</v>
      </c>
      <c r="AH196" s="158" t="s">
        <v>149</v>
      </c>
      <c r="AI196" s="158" t="s">
        <v>149</v>
      </c>
      <c r="AJ196" s="8" t="s">
        <v>1703</v>
      </c>
      <c r="AL196" s="8" t="s">
        <v>1287</v>
      </c>
      <c r="AM196" s="158" t="s">
        <v>149</v>
      </c>
      <c r="AN196" s="158" t="s">
        <v>149</v>
      </c>
      <c r="AO196" s="8"/>
      <c r="AP196" s="8"/>
      <c r="AR196" s="8" t="s">
        <v>6069</v>
      </c>
      <c r="AS196" s="158" t="s">
        <v>149</v>
      </c>
      <c r="AT196" s="158" t="s">
        <v>149</v>
      </c>
      <c r="AU196" s="158" t="s">
        <v>149</v>
      </c>
    </row>
    <row r="197">
      <c r="A197" s="186">
        <v>98.0</v>
      </c>
      <c r="B197" s="152">
        <v>2025.0</v>
      </c>
      <c r="C197" s="153" t="str">
        <f t="shared" ref="C197:C198" si="11">CONCATENATE(D197, "-", M197, "-", A197)
</f>
        <v>2023-PH030808000-98</v>
      </c>
      <c r="D197" s="152">
        <f t="shared" ref="D197:D198" si="12">IF(OR(F196="Published", F196="Unpublished"), 2023, IF(F196="New", 2025, ""))
</f>
        <v>2023</v>
      </c>
      <c r="E197" s="151">
        <v>98.0</v>
      </c>
      <c r="F197" s="156" t="s">
        <v>140</v>
      </c>
      <c r="G197" s="156" t="s">
        <v>141</v>
      </c>
      <c r="H197" s="153" t="str">
        <f>IFERROR(__xludf.DUMMYFUNCTION("""COMPUTED_VALUE"""),"**Restoration_project** changed from National Coral Reef Rehabilitation Roll-Out Program to PLC Artificial Reef Program, **Restoration_project_short** changed from Unknown to ""GaREEFata"", **Year of establishment** changed from Unknown to 2022, **Project"&amp;" Start** changed from 2014 to Unknown, **Project End** changed from 2016 to Unknown, **Restoration method** changed from Asexual Reproduction to Artificial Reef, **Technique/Material Type** changed from CNU to Unknown, **Restoration objective** changed fr"&amp;"om Unknown to Habitat for coral and marine species, **Funding agency** changed from DOST-PCAARRD to Playa la Caleta Bataan, **Implementing institution** changed from Sangkalikasan Producer Cooperative to Playa la Caleta Bataan, **Partners_public** changed"&amp;" from Bataan Peninsula State University to Unknown, **Reference** changed from Briefer Report to Playa la Caleta Bataan (2022, March 6). Garapata x PLC [Picture Album]. https://web.facebook.com/media/set/?set=a.3079007832314520&amp;type=3, **Website** changed"&amp;" from Unknown to https://mobile.facebook.com/playalacaletabataan/posts/3079682972247006/?_rdc=1&amp;_rdr")</f>
        <v>**Restoration_project** changed from National Coral Reef Rehabilitation Roll-Out Program to PLC Artificial Reef Program, **Restoration_project_short** changed from Unknown to "GaREEFata", **Year of establishment** changed from Unknown to 2022, **Project Start** changed from 2014 to Unknown, **Project End** changed from 2016 to Unknown, **Restoration method** changed from Asexual Reproduction to Artificial Reef, **Technique/Material Type** changed from CNU to Unknown, **Restoration objective** changed from Unknown to Habitat for coral and marine species, **Funding agency** changed from DOST-PCAARRD to Playa la Caleta Bataan, **Implementing institution** changed from Sangkalikasan Producer Cooperative to Playa la Caleta Bataan, **Partners_public** changed from Bataan Peninsula State University to Unknown, **Reference** changed from Briefer Report to Playa la Caleta Bataan (2022, March 6). Garapata x PLC [Picture Album]. https://web.facebook.com/media/set/?set=a.3079007832314520&amp;type=3, **Website** changed from Unknown to https://mobile.facebook.com/playalacaletabataan/posts/3079682972247006/?_rdc=1&amp;_rdr</v>
      </c>
      <c r="I197" s="153" t="s">
        <v>6521</v>
      </c>
      <c r="J197" s="153" t="s">
        <v>293</v>
      </c>
      <c r="K197" s="153" t="s">
        <v>1283</v>
      </c>
      <c r="L197" s="153" t="s">
        <v>1795</v>
      </c>
      <c r="M197" s="181" t="s">
        <v>1796</v>
      </c>
      <c r="N197" s="153" t="s">
        <v>151</v>
      </c>
      <c r="O197" s="153" t="s">
        <v>1797</v>
      </c>
      <c r="P197" s="153" t="s">
        <v>6522</v>
      </c>
      <c r="Q197" s="169">
        <v>2022.0</v>
      </c>
      <c r="R197" s="160" t="s">
        <v>149</v>
      </c>
      <c r="S197" s="160" t="s">
        <v>149</v>
      </c>
      <c r="T197" s="161" t="s">
        <v>150</v>
      </c>
      <c r="U197" s="153">
        <f>IFERROR(__xludf.DUMMYFUNCTION("""COMPUTED_VALUE"""),179.0)</f>
        <v>179</v>
      </c>
      <c r="V197" s="162" t="s">
        <v>3311</v>
      </c>
      <c r="W197" s="187" t="s">
        <v>149</v>
      </c>
      <c r="X197" s="184"/>
      <c r="Y197" s="184" t="s">
        <v>149</v>
      </c>
      <c r="Z197" s="158" t="s">
        <v>149</v>
      </c>
      <c r="AA197" s="158" t="s">
        <v>149</v>
      </c>
      <c r="AB197" s="153" t="s">
        <v>6523</v>
      </c>
      <c r="AC197" s="153" t="s">
        <v>1802</v>
      </c>
      <c r="AD197" s="158" t="s">
        <v>160</v>
      </c>
      <c r="AE197" s="158" t="s">
        <v>184</v>
      </c>
      <c r="AF197" s="158" t="s">
        <v>159</v>
      </c>
      <c r="AG197" s="164" t="s">
        <v>149</v>
      </c>
      <c r="AH197" s="158" t="s">
        <v>149</v>
      </c>
      <c r="AI197" s="158" t="s">
        <v>149</v>
      </c>
      <c r="AJ197" s="153" t="s">
        <v>1802</v>
      </c>
      <c r="AK197" s="158" t="s">
        <v>184</v>
      </c>
      <c r="AL197" s="156" t="s">
        <v>149</v>
      </c>
      <c r="AM197" s="154" t="s">
        <v>149</v>
      </c>
      <c r="AN197" s="154" t="s">
        <v>149</v>
      </c>
      <c r="AO197" s="156">
        <v>1.0</v>
      </c>
      <c r="AP197" s="156" t="s">
        <v>6037</v>
      </c>
      <c r="AQ197" s="153" t="s">
        <v>6038</v>
      </c>
      <c r="AR197" s="153" t="s">
        <v>1803</v>
      </c>
      <c r="AS197" s="165" t="s">
        <v>1804</v>
      </c>
      <c r="AT197" s="154" t="s">
        <v>149</v>
      </c>
      <c r="AU197" s="154" t="s">
        <v>149</v>
      </c>
    </row>
    <row r="198">
      <c r="A198" s="186">
        <v>99.0</v>
      </c>
      <c r="B198" s="152">
        <v>2025.0</v>
      </c>
      <c r="C198" s="153" t="str">
        <f t="shared" si="11"/>
        <v>2023-PH030810000-99</v>
      </c>
      <c r="D198" s="152">
        <f t="shared" si="12"/>
        <v>2023</v>
      </c>
      <c r="E198" s="151">
        <v>99.0</v>
      </c>
      <c r="F198" s="156" t="s">
        <v>191</v>
      </c>
      <c r="G198" s="156" t="s">
        <v>191</v>
      </c>
      <c r="H198" s="153" t="str">
        <f>IFERROR(__xludf.DUMMYFUNCTION("""COMPUTED_VALUE"""),"**Restoration_project** changed from PLC Artificial Reef Program to Sagip Bakawan Project, **Restoration_project_short** changed from ""GaREEFata"" to Site in Orion Kent Fish Sanctuary, **Year of establishment** changed from 2022 to Unknown, **Restoration"&amp;" objective** changed from Habitat for coral and marine species to Coastal resource management, **Funding agency** changed from Playa la Caleta Bataan to MLGU, **Total units** changed from Unknown to 10 modules, **Implementing institution** changed from Pl"&amp;"aya la Caleta Bataan to MLGU, **Reference** changed from Playa la Caleta Bataan (2022, March 6). Garapata x PLC [Picture Album]. https://web.facebook.com/media/set/?set=a.3079007832314520&amp;type=3 to LMP, FISH Project, WWF-Philippines and CI-Philippines (20"&amp;"09). Directory of CRM Learning Destinations in the Philippines, 2nd Edition. Cebu City Philippines. http://oneocean.org/download/db_files/directory_of_crm_destinations2Ed.pdf, **Website** changed from https://mobile.facebook.com/playalacaletabataan/posts/"&amp;"3079682972247006/?_rdc=1&amp;_rdr to http://oneocean.org/download/db_files/directory_of_crm_destinations2Ed.pdf")</f>
        <v>**Restoration_project** changed from PLC Artificial Reef Program to Sagip Bakawan Project, **Restoration_project_short** changed from "GaREEFata" to Site in Orion Kent Fish Sanctuary, **Year of establishment** changed from 2022 to Unknown, **Restoration objective** changed from Habitat for coral and marine species to Coastal resource management, **Funding agency** changed from Playa la Caleta Bataan to MLGU, **Total units** changed from Unknown to 10 modules, **Implementing institution** changed from Playa la Caleta Bataan to MLGU, **Reference** changed from Playa la Caleta Bataan (2022, March 6). Garapata x PLC [Picture Album]. https://web.facebook.com/media/set/?set=a.3079007832314520&amp;type=3 to LMP, FISH Project, WWF-Philippines and CI-Philippines (2009). Directory of CRM Learning Destinations in the Philippines, 2nd Edition. Cebu City Philippines. http://oneocean.org/download/db_files/directory_of_crm_destinations2Ed.pdf, **Website** changed from https://mobile.facebook.com/playalacaletabataan/posts/3079682972247006/?_rdc=1&amp;_rdr to http://oneocean.org/download/db_files/directory_of_crm_destinations2Ed.pdf</v>
      </c>
      <c r="I198" s="153" t="s">
        <v>6524</v>
      </c>
      <c r="J198" s="153" t="s">
        <v>293</v>
      </c>
      <c r="K198" s="153" t="s">
        <v>1283</v>
      </c>
      <c r="L198" s="153" t="s">
        <v>1979</v>
      </c>
      <c r="M198" s="157" t="s">
        <v>1980</v>
      </c>
      <c r="N198" s="153" t="s">
        <v>151</v>
      </c>
      <c r="O198" s="153" t="s">
        <v>1981</v>
      </c>
      <c r="P198" s="153" t="s">
        <v>1982</v>
      </c>
      <c r="Q198" s="197" t="s">
        <v>149</v>
      </c>
      <c r="R198" s="160" t="s">
        <v>149</v>
      </c>
      <c r="S198" s="160" t="s">
        <v>149</v>
      </c>
      <c r="T198" s="161" t="s">
        <v>150</v>
      </c>
      <c r="U198" s="153">
        <f>IFERROR(__xludf.DUMMYFUNCTION("""COMPUTED_VALUE"""),180.0)</f>
        <v>180</v>
      </c>
      <c r="V198" s="162" t="s">
        <v>3311</v>
      </c>
      <c r="W198" s="187" t="s">
        <v>149</v>
      </c>
      <c r="X198" s="184"/>
      <c r="Y198" s="184" t="s">
        <v>149</v>
      </c>
      <c r="Z198" s="158" t="s">
        <v>149</v>
      </c>
      <c r="AA198" s="158" t="s">
        <v>149</v>
      </c>
      <c r="AB198" s="153" t="s">
        <v>819</v>
      </c>
      <c r="AC198" s="158" t="s">
        <v>369</v>
      </c>
      <c r="AD198" s="158" t="s">
        <v>160</v>
      </c>
      <c r="AE198" s="158" t="s">
        <v>6035</v>
      </c>
      <c r="AF198" s="158" t="s">
        <v>159</v>
      </c>
      <c r="AG198" s="164" t="s">
        <v>149</v>
      </c>
      <c r="AH198" s="158" t="s">
        <v>149</v>
      </c>
      <c r="AI198" s="153" t="s">
        <v>1984</v>
      </c>
      <c r="AJ198" s="153" t="s">
        <v>369</v>
      </c>
      <c r="AK198" s="153" t="s">
        <v>6035</v>
      </c>
      <c r="AL198" s="156" t="s">
        <v>149</v>
      </c>
      <c r="AM198" s="156" t="s">
        <v>149</v>
      </c>
      <c r="AN198" s="156" t="s">
        <v>149</v>
      </c>
      <c r="AO198" s="156">
        <v>1.0</v>
      </c>
      <c r="AP198" s="156" t="s">
        <v>6037</v>
      </c>
      <c r="AQ198" s="153" t="s">
        <v>6084</v>
      </c>
      <c r="AR198" s="153" t="s">
        <v>823</v>
      </c>
      <c r="AS198" s="172" t="s">
        <v>824</v>
      </c>
      <c r="AT198" s="156" t="s">
        <v>149</v>
      </c>
      <c r="AU198" s="156" t="s">
        <v>149</v>
      </c>
    </row>
    <row r="199">
      <c r="A199" s="186">
        <v>99.0</v>
      </c>
      <c r="B199" s="152">
        <v>2023.0</v>
      </c>
      <c r="D199" s="152"/>
      <c r="E199" s="151">
        <v>99.0</v>
      </c>
      <c r="F199" s="129" t="s">
        <v>140</v>
      </c>
      <c r="G199" s="3" t="s">
        <v>6029</v>
      </c>
      <c r="H199" s="8" t="str">
        <f>IFERROR(__xludf.DUMMYFUNCTION("""COMPUTED_VALUE"""),"")</f>
        <v/>
      </c>
      <c r="I199" s="8" t="s">
        <v>6525</v>
      </c>
      <c r="J199" s="8" t="s">
        <v>293</v>
      </c>
      <c r="K199" s="8" t="s">
        <v>1283</v>
      </c>
      <c r="L199" s="8" t="s">
        <v>2300</v>
      </c>
      <c r="M199" s="153" t="s">
        <v>2301</v>
      </c>
      <c r="N199" s="8" t="s">
        <v>151</v>
      </c>
      <c r="O199" s="154" t="s">
        <v>149</v>
      </c>
      <c r="P199" s="154" t="s">
        <v>149</v>
      </c>
      <c r="Q199" s="142" t="s">
        <v>6198</v>
      </c>
      <c r="R199" s="154" t="s">
        <v>149</v>
      </c>
      <c r="S199" s="154" t="s">
        <v>149</v>
      </c>
      <c r="T199" s="8"/>
      <c r="U199" s="8">
        <f>IFERROR(__xludf.DUMMYFUNCTION("""COMPUTED_VALUE"""),181.0)</f>
        <v>181</v>
      </c>
      <c r="V199" s="8"/>
      <c r="W199" s="3"/>
      <c r="X199" s="8"/>
      <c r="Y199" s="8"/>
      <c r="AA199" s="3" t="s">
        <v>6054</v>
      </c>
      <c r="AB199" s="8" t="s">
        <v>6506</v>
      </c>
      <c r="AC199" s="154" t="s">
        <v>149</v>
      </c>
      <c r="AG199" s="154" t="s">
        <v>149</v>
      </c>
      <c r="AH199" s="154" t="s">
        <v>149</v>
      </c>
      <c r="AI199" s="154" t="s">
        <v>149</v>
      </c>
      <c r="AJ199" s="8" t="s">
        <v>2304</v>
      </c>
      <c r="AL199" s="8" t="s">
        <v>6507</v>
      </c>
      <c r="AM199" s="154" t="s">
        <v>149</v>
      </c>
      <c r="AN199" s="154" t="s">
        <v>149</v>
      </c>
      <c r="AO199" s="8"/>
      <c r="AP199" s="8"/>
      <c r="AR199" s="8" t="s">
        <v>395</v>
      </c>
      <c r="AS199" s="8" t="s">
        <v>2873</v>
      </c>
      <c r="AT199" s="154" t="s">
        <v>149</v>
      </c>
      <c r="AU199" s="154" t="s">
        <v>149</v>
      </c>
    </row>
    <row r="200">
      <c r="A200" s="186">
        <v>100.0</v>
      </c>
      <c r="B200" s="152">
        <v>2025.0</v>
      </c>
      <c r="C200" s="153" t="str">
        <f>CONCATENATE(D200, "-", M200, "-", A200)
</f>
        <v>2023-PH037101000-100</v>
      </c>
      <c r="D200" s="152">
        <f>IF(OR(F199="Published", F199="Unpublished"), 2023, IF(F199="New", 2025, ""))
</f>
        <v>2023</v>
      </c>
      <c r="E200" s="151">
        <v>100.0</v>
      </c>
      <c r="F200" s="156" t="s">
        <v>191</v>
      </c>
      <c r="G200" s="156" t="s">
        <v>191</v>
      </c>
      <c r="H200" s="153" t="str">
        <f>IFERROR(__xludf.DUMMYFUNCTION("""COMPUTED_VALUE"""),"**Restoration_project_short** changed from Unknown to Site in Brgy Panan, **Year of establishment** changed from 1990 to Unknown, **Technique/Material Type** changed from tires to Concrete, **Restoration objective** changed from Fishing to Enrich marine l"&amp;"ife; livelihood, **Funding agency** changed from Unknown to MLGU, **Implementing institution** changed from National Power Corporation to MLGU, **Partners_public** changed from BFAR, DA, MLGU, BLGU to Unknown, **Reference** changed from Conference Proceed"&amp;"ing to Mawis-Aliston, V. (2022, August 6). Sustainability as the key to resiliency. Philippine Daily Inquirer. https://business.inquirer.net/356210/sustainability-as-the-key-to-resiliency, **Website** changed from http://pubs.iclarm.net/libinfo/Pdf/Pub%20"&amp;"CP6%2049.pdf to https://business.inquirer.net/356210/sustainability-as-the-key-to-resiliency")</f>
        <v>**Restoration_project_short** changed from Unknown to Site in Brgy Panan, **Year of establishment** changed from 1990 to Unknown, **Technique/Material Type** changed from tires to Concrete, **Restoration objective** changed from Fishing to Enrich marine life; livelihood, **Funding agency** changed from Unknown to MLGU, **Implementing institution** changed from National Power Corporation to MLGU, **Partners_public** changed from BFAR, DA, MLGU, BLGU to Unknown, **Reference** changed from Conference Proceeding to Mawis-Aliston, V. (2022, August 6). Sustainability as the key to resiliency. Philippine Daily Inquirer. https://business.inquirer.net/356210/sustainability-as-the-key-to-resiliency, **Website** changed from http://pubs.iclarm.net/libinfo/Pdf/Pub%20CP6%2049.pdf to https://business.inquirer.net/356210/sustainability-as-the-key-to-resiliency</v>
      </c>
      <c r="I200" s="153" t="s">
        <v>6526</v>
      </c>
      <c r="J200" s="153" t="s">
        <v>293</v>
      </c>
      <c r="K200" s="153" t="s">
        <v>294</v>
      </c>
      <c r="L200" s="153" t="s">
        <v>2602</v>
      </c>
      <c r="M200" s="181" t="s">
        <v>2603</v>
      </c>
      <c r="N200" s="153" t="s">
        <v>151</v>
      </c>
      <c r="O200" s="158" t="s">
        <v>149</v>
      </c>
      <c r="P200" s="153" t="s">
        <v>2604</v>
      </c>
      <c r="Q200" s="197" t="s">
        <v>149</v>
      </c>
      <c r="R200" s="164" t="s">
        <v>149</v>
      </c>
      <c r="S200" s="164" t="s">
        <v>149</v>
      </c>
      <c r="T200" s="161" t="s">
        <v>150</v>
      </c>
      <c r="U200" s="153">
        <f>IFERROR(__xludf.DUMMYFUNCTION("""COMPUTED_VALUE"""),182.0)</f>
        <v>182</v>
      </c>
      <c r="V200" s="162" t="s">
        <v>3311</v>
      </c>
      <c r="W200" s="184" t="s">
        <v>6032</v>
      </c>
      <c r="X200" s="28" t="s">
        <v>6173</v>
      </c>
      <c r="Y200" s="32" t="s">
        <v>6474</v>
      </c>
      <c r="Z200" s="158" t="s">
        <v>152</v>
      </c>
      <c r="AA200" s="153" t="s">
        <v>152</v>
      </c>
      <c r="AB200" s="153" t="s">
        <v>2605</v>
      </c>
      <c r="AC200" s="158" t="s">
        <v>369</v>
      </c>
      <c r="AD200" s="158" t="s">
        <v>160</v>
      </c>
      <c r="AE200" s="158" t="s">
        <v>6035</v>
      </c>
      <c r="AF200" s="158" t="s">
        <v>159</v>
      </c>
      <c r="AG200" s="164" t="s">
        <v>149</v>
      </c>
      <c r="AH200" s="158" t="s">
        <v>149</v>
      </c>
      <c r="AI200" s="158" t="s">
        <v>149</v>
      </c>
      <c r="AJ200" s="153" t="s">
        <v>369</v>
      </c>
      <c r="AK200" s="153" t="s">
        <v>6035</v>
      </c>
      <c r="AL200" s="156" t="s">
        <v>149</v>
      </c>
      <c r="AM200" s="156" t="s">
        <v>149</v>
      </c>
      <c r="AN200" s="156" t="s">
        <v>149</v>
      </c>
      <c r="AO200" s="156">
        <v>1.0</v>
      </c>
      <c r="AP200" s="156" t="s">
        <v>6037</v>
      </c>
      <c r="AQ200" s="158" t="s">
        <v>166</v>
      </c>
      <c r="AR200" s="153" t="s">
        <v>2606</v>
      </c>
      <c r="AS200" s="172" t="s">
        <v>2607</v>
      </c>
      <c r="AT200" s="156" t="s">
        <v>149</v>
      </c>
      <c r="AU200" s="156" t="s">
        <v>149</v>
      </c>
    </row>
    <row r="201">
      <c r="A201" s="186">
        <v>100.0</v>
      </c>
      <c r="B201" s="152">
        <v>2023.0</v>
      </c>
      <c r="D201" s="152"/>
      <c r="E201" s="151">
        <v>100.0</v>
      </c>
      <c r="F201" s="129" t="s">
        <v>140</v>
      </c>
      <c r="G201" s="3" t="s">
        <v>6029</v>
      </c>
      <c r="H201" s="8" t="str">
        <f>IFERROR(__xludf.DUMMYFUNCTION("""COMPUTED_VALUE"""),"")</f>
        <v/>
      </c>
      <c r="I201" s="8" t="s">
        <v>6527</v>
      </c>
      <c r="J201" s="8" t="s">
        <v>293</v>
      </c>
      <c r="K201" s="8" t="s">
        <v>1283</v>
      </c>
      <c r="L201" s="8" t="s">
        <v>1375</v>
      </c>
      <c r="M201" s="153" t="s">
        <v>1376</v>
      </c>
      <c r="N201" s="8" t="s">
        <v>151</v>
      </c>
      <c r="O201" s="8" t="s">
        <v>1377</v>
      </c>
      <c r="P201" s="154" t="s">
        <v>149</v>
      </c>
      <c r="Q201" s="154" t="s">
        <v>149</v>
      </c>
      <c r="R201" s="142" t="s">
        <v>6198</v>
      </c>
      <c r="S201" s="142" t="s">
        <v>6199</v>
      </c>
      <c r="T201" s="8"/>
      <c r="U201" s="8">
        <f>IFERROR(__xludf.DUMMYFUNCTION("""COMPUTED_VALUE"""),183.0)</f>
        <v>183</v>
      </c>
      <c r="V201" s="8"/>
      <c r="W201" s="154"/>
      <c r="X201" s="8"/>
      <c r="Y201" s="8"/>
      <c r="AA201" s="154" t="s">
        <v>149</v>
      </c>
      <c r="AB201" s="154" t="s">
        <v>149</v>
      </c>
      <c r="AC201" s="8" t="s">
        <v>1381</v>
      </c>
      <c r="AG201" s="154" t="s">
        <v>149</v>
      </c>
      <c r="AH201" s="154" t="s">
        <v>149</v>
      </c>
      <c r="AI201" s="154" t="s">
        <v>149</v>
      </c>
      <c r="AJ201" s="8" t="s">
        <v>660</v>
      </c>
      <c r="AL201" s="8" t="s">
        <v>369</v>
      </c>
      <c r="AM201" s="154" t="s">
        <v>149</v>
      </c>
      <c r="AN201" s="154" t="s">
        <v>149</v>
      </c>
      <c r="AO201" s="8"/>
      <c r="AP201" s="8"/>
      <c r="AR201" s="8" t="s">
        <v>395</v>
      </c>
      <c r="AS201" s="8" t="s">
        <v>2873</v>
      </c>
      <c r="AT201" s="8" t="s">
        <v>398</v>
      </c>
      <c r="AU201" s="154" t="s">
        <v>149</v>
      </c>
    </row>
    <row r="202">
      <c r="A202" s="186">
        <v>101.0</v>
      </c>
      <c r="B202" s="152">
        <v>2025.0</v>
      </c>
      <c r="C202" s="153" t="str">
        <f>CONCATENATE(D202, "-", M202, "-", A202)
</f>
        <v>2023-PH037103000-101</v>
      </c>
      <c r="D202" s="152">
        <f>IF(OR(F201="Published", F201="Unpublished"), 2023, IF(F201="New", 2025, ""))
</f>
        <v>2023</v>
      </c>
      <c r="E202" s="151">
        <v>101.0</v>
      </c>
      <c r="F202" s="156" t="s">
        <v>140</v>
      </c>
      <c r="G202" s="156" t="s">
        <v>141</v>
      </c>
      <c r="H202" s="153" t="str">
        <f>IFERROR(__xludf.DUMMYFUNCTION("""COMPUTED_VALUE"""),"**Restoration_project** changed from Fisheries Sector Program to Artificial Reef Development Program, **Restoration_project_short** changed from Unknown to Site in Uacon, **Year of establishment** changed from Unknown to 1985, **Project Start** changed fr"&amp;"om 1990 to 1985, **Project End** changed from 1994 to 1987, **Technique/Material Type** changed from Unknown to tires, **Funding agency** changed from ADB, Overseas Economic Cooperation Fund of Japan to BFAR, **Total units** changed from Unknown to 5 TM, "&amp;"**Implementing institution** changed from DA to BFAR, **Partners_public** changed from MLGU to Ministry of Human Settlements, **Reference** changed from Conference Proceeding to Balgos, M.C. (1995). Evaluation of artificial reef development in the Philipp"&amp;"ines. In Munro, J.L. &amp; Balgos, M. (eds.) Artificial reefs in the Philippines. ICLARM Conf. Proc. 49, pp. 6-22., **Website** changed from http://pubs.iclarm.net/libinfo/Pdf/Pub%20CP6%2049.pdf to https://core.ac.uk/download/pdf/6515223.pdf; https://www.ircw"&amp;"ash.org/sites/default/files/802-PH90-8920.pdf")</f>
        <v>**Restoration_project** changed from Fisheries Sector Program to Artificial Reef Development Program, **Restoration_project_short** changed from Unknown to Site in Uacon, **Year of establishment** changed from Unknown to 1985, **Project Start** changed from 1990 to 1985, **Project End** changed from 1994 to 1987, **Technique/Material Type** changed from Unknown to tires, **Funding agency** changed from ADB, Overseas Economic Cooperation Fund of Japan to BFAR, **Total units** changed from Unknown to 5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02" s="153" t="s">
        <v>6528</v>
      </c>
      <c r="J202" s="153" t="s">
        <v>293</v>
      </c>
      <c r="K202" s="153" t="s">
        <v>294</v>
      </c>
      <c r="L202" s="153" t="s">
        <v>486</v>
      </c>
      <c r="M202" s="181" t="s">
        <v>487</v>
      </c>
      <c r="N202" s="153" t="s">
        <v>151</v>
      </c>
      <c r="O202" s="153" t="s">
        <v>384</v>
      </c>
      <c r="P202" s="153" t="s">
        <v>488</v>
      </c>
      <c r="Q202" s="169">
        <v>1985.0</v>
      </c>
      <c r="R202" s="175" t="s">
        <v>6052</v>
      </c>
      <c r="S202" s="175" t="s">
        <v>6053</v>
      </c>
      <c r="T202" s="161" t="s">
        <v>150</v>
      </c>
      <c r="U202" s="153">
        <f>IFERROR(__xludf.DUMMYFUNCTION("""COMPUTED_VALUE"""),184.0)</f>
        <v>184</v>
      </c>
      <c r="V202" s="162" t="s">
        <v>3311</v>
      </c>
      <c r="W202" s="170" t="s">
        <v>6059</v>
      </c>
      <c r="X202" s="28" t="s">
        <v>6033</v>
      </c>
      <c r="Y202" s="28" t="s">
        <v>386</v>
      </c>
      <c r="Z202" s="176" t="s">
        <v>386</v>
      </c>
      <c r="AA202" s="153" t="s">
        <v>6054</v>
      </c>
      <c r="AB202" s="158" t="s">
        <v>149</v>
      </c>
      <c r="AC202" s="153" t="s">
        <v>390</v>
      </c>
      <c r="AD202" s="158" t="s">
        <v>160</v>
      </c>
      <c r="AE202" s="158" t="s">
        <v>6035</v>
      </c>
      <c r="AF202" s="158" t="s">
        <v>159</v>
      </c>
      <c r="AG202" s="164" t="s">
        <v>149</v>
      </c>
      <c r="AH202" s="158" t="s">
        <v>149</v>
      </c>
      <c r="AI202" s="153" t="s">
        <v>489</v>
      </c>
      <c r="AJ202" s="153" t="s">
        <v>390</v>
      </c>
      <c r="AK202" s="153" t="s">
        <v>6035</v>
      </c>
      <c r="AL202" s="153" t="s">
        <v>6055</v>
      </c>
      <c r="AM202" s="154" t="s">
        <v>149</v>
      </c>
      <c r="AN202" s="154" t="s">
        <v>149</v>
      </c>
      <c r="AO202" s="156">
        <v>1.0</v>
      </c>
      <c r="AP202" s="156" t="s">
        <v>6037</v>
      </c>
      <c r="AQ202" s="158" t="s">
        <v>395</v>
      </c>
      <c r="AR202" s="153" t="s">
        <v>6060</v>
      </c>
      <c r="AS202" s="158" t="s">
        <v>397</v>
      </c>
      <c r="AT202" s="153" t="s">
        <v>398</v>
      </c>
      <c r="AU202" s="154" t="s">
        <v>149</v>
      </c>
    </row>
    <row r="203">
      <c r="A203" s="186">
        <v>101.0</v>
      </c>
      <c r="B203" s="152">
        <v>2023.0</v>
      </c>
      <c r="D203" s="152"/>
      <c r="E203" s="151">
        <v>101.0</v>
      </c>
      <c r="F203" s="129" t="s">
        <v>140</v>
      </c>
      <c r="G203" s="3" t="s">
        <v>6029</v>
      </c>
      <c r="H203" s="8" t="str">
        <f>IFERROR(__xludf.DUMMYFUNCTION("""COMPUTED_VALUE"""),"")</f>
        <v/>
      </c>
      <c r="I203" s="8" t="s">
        <v>6529</v>
      </c>
      <c r="J203" s="8" t="s">
        <v>293</v>
      </c>
      <c r="K203" s="8" t="s">
        <v>1283</v>
      </c>
      <c r="L203" s="8" t="s">
        <v>1375</v>
      </c>
      <c r="M203" s="153" t="s">
        <v>1376</v>
      </c>
      <c r="N203" s="8" t="s">
        <v>6062</v>
      </c>
      <c r="O203" s="154" t="s">
        <v>149</v>
      </c>
      <c r="P203" s="154" t="s">
        <v>149</v>
      </c>
      <c r="Q203" s="154" t="s">
        <v>149</v>
      </c>
      <c r="R203" s="154" t="s">
        <v>149</v>
      </c>
      <c r="S203" s="154" t="s">
        <v>149</v>
      </c>
      <c r="T203" s="8"/>
      <c r="U203" s="8">
        <f>IFERROR(__xludf.DUMMYFUNCTION("""COMPUTED_VALUE"""),185.0)</f>
        <v>185</v>
      </c>
      <c r="V203" s="8"/>
      <c r="W203" s="8"/>
      <c r="X203" s="8"/>
      <c r="Y203" s="8"/>
      <c r="AA203" s="8" t="s">
        <v>320</v>
      </c>
      <c r="AB203" s="154" t="s">
        <v>149</v>
      </c>
      <c r="AC203" s="154" t="s">
        <v>149</v>
      </c>
      <c r="AG203" s="154" t="s">
        <v>149</v>
      </c>
      <c r="AH203" s="154" t="s">
        <v>149</v>
      </c>
      <c r="AI203" s="154" t="s">
        <v>149</v>
      </c>
      <c r="AJ203" s="8" t="s">
        <v>3061</v>
      </c>
      <c r="AL203" s="154" t="s">
        <v>149</v>
      </c>
      <c r="AM203" s="154" t="s">
        <v>149</v>
      </c>
      <c r="AN203" s="154" t="s">
        <v>149</v>
      </c>
      <c r="AO203" s="8"/>
      <c r="AP203" s="8"/>
      <c r="AR203" s="8" t="s">
        <v>6084</v>
      </c>
      <c r="AS203" s="172" t="s">
        <v>3063</v>
      </c>
      <c r="AT203" s="154" t="s">
        <v>149</v>
      </c>
      <c r="AU203" s="154" t="s">
        <v>149</v>
      </c>
    </row>
    <row r="204">
      <c r="A204" s="186">
        <v>102.0</v>
      </c>
      <c r="B204" s="152">
        <v>2025.0</v>
      </c>
      <c r="C204" s="153" t="str">
        <f>CONCATENATE(D204, "-", M204, "-", A204)
</f>
        <v>2023-PH037105000-102</v>
      </c>
      <c r="D204" s="152">
        <f>IF(OR(F203="Published", F203="Unpublished"), 2023, IF(F203="New", 2025, ""))
</f>
        <v>2023</v>
      </c>
      <c r="E204" s="151">
        <v>102.0</v>
      </c>
      <c r="F204" s="156" t="s">
        <v>140</v>
      </c>
      <c r="G204" s="156" t="s">
        <v>141</v>
      </c>
      <c r="H204" s="153" t="str">
        <f>IFERROR(__xludf.DUMMYFUNCTION("""COMPUTED_VALUE"""),"**Restoration_project** changed from Unknown to An Integrated Approach to Marine Resource Conservation and Sustainable Fisheries Management to Strengthen Coastal Communities in Zambales, **Year of establishment** changed from Unknown to 2022, **Project St"&amp;"art** changed from Unknown to 2022, **Project End** changed from Unknown to 2024, **Restoration method** changed from Asexual Reproduction to Sexual Reproduction; Asexual Reproduction, **Technique/Material Type** changed from CNU to Coral trees; tree nurs"&amp;"ery, **Restoration objective** changed from Unknown to Enhance fish stock; community education/engagement, **Funding agency** changed from Unknown to Mead Foundation, **Implementing institution** changed from PENRO to Mead Foundation, UP MSI, **Partners_p"&amp;"ublic** changed from Unknown to MLGU, DFAT, **Partners_private** changed from Unknown to MERF, University of Southern Cross, ACIAR, **Reference** changed from Report to Survey, **Website** changed from http://pemsea.org/sites/default/files/SOC%20Bataan.pd"&amp;"f to Unknown, **Contact_name** changed from Unknown to Karen Chan; Mead Foundation, **Contact_details** changed from Unknown to karen@mead-foundation.org; 09175111210")</f>
        <v>**Restoration_project** changed from Unknown to An Integrated Approach to Marine Resource Conservation and Sustainable Fisheries Management to Strengthen Coastal Communities in Zambales, **Year of establishment** changed from Unknown to 2022, **Project Start** changed from Unknown to 2022, **Project End** changed from Unknown to 2024, **Restoration method** changed from Asexual Reproduction to Sexual Reproduction; Asexual Reproduction, **Technique/Material Type** changed from CNU to Coral trees; tree nursery, **Restoration objective** changed from Unknown to Enhance fish stock; community education/engagement, **Funding agency** changed from Unknown to Mead Foundation, **Implementing institution** changed from PENRO to Mead Foundation, UP MSI, **Partners_public** changed from Unknown to MLGU, DFAT, **Partners_private** changed from Unknown to MERF, University of Southern Cross, ACIAR, **Reference** changed from Report to Survey, **Website** changed from http://pemsea.org/sites/default/files/SOC%20Bataan.pdf to Unknown, **Contact_name** changed from Unknown to Karen Chan; Mead Foundation, **Contact_details** changed from Unknown to karen@mead-foundation.org; 09175111210</v>
      </c>
      <c r="I204" s="153" t="s">
        <v>6530</v>
      </c>
      <c r="J204" s="153" t="s">
        <v>293</v>
      </c>
      <c r="K204" s="153" t="s">
        <v>294</v>
      </c>
      <c r="L204" s="153" t="s">
        <v>295</v>
      </c>
      <c r="M204" s="181" t="s">
        <v>296</v>
      </c>
      <c r="N204" s="153" t="s">
        <v>6259</v>
      </c>
      <c r="O204" s="156" t="s">
        <v>297</v>
      </c>
      <c r="P204" s="154" t="s">
        <v>149</v>
      </c>
      <c r="Q204" s="169">
        <v>2022.0</v>
      </c>
      <c r="R204" s="175" t="s">
        <v>6145</v>
      </c>
      <c r="S204" s="175" t="s">
        <v>16</v>
      </c>
      <c r="T204" s="156" t="s">
        <v>298</v>
      </c>
      <c r="U204" s="153">
        <f>IFERROR(__xludf.DUMMYFUNCTION("""COMPUTED_VALUE"""),186.0)</f>
        <v>186</v>
      </c>
      <c r="V204" s="191" t="s">
        <v>6261</v>
      </c>
      <c r="W204" s="184" t="s">
        <v>6066</v>
      </c>
      <c r="X204" s="180"/>
      <c r="Y204" s="180" t="s">
        <v>154</v>
      </c>
      <c r="Z204" s="158" t="s">
        <v>301</v>
      </c>
      <c r="AA204" s="158" t="s">
        <v>301</v>
      </c>
      <c r="AB204" s="153" t="s">
        <v>304</v>
      </c>
      <c r="AC204" s="158" t="s">
        <v>305</v>
      </c>
      <c r="AD204" s="158" t="s">
        <v>6154</v>
      </c>
      <c r="AE204" s="158" t="s">
        <v>306</v>
      </c>
      <c r="AF204" s="158" t="s">
        <v>159</v>
      </c>
      <c r="AG204" s="164" t="s">
        <v>149</v>
      </c>
      <c r="AH204" s="158" t="s">
        <v>149</v>
      </c>
      <c r="AI204" s="158" t="s">
        <v>149</v>
      </c>
      <c r="AJ204" s="153" t="s">
        <v>6531</v>
      </c>
      <c r="AK204" s="153" t="s">
        <v>306</v>
      </c>
      <c r="AL204" s="153" t="s">
        <v>6532</v>
      </c>
      <c r="AM204" s="153" t="s">
        <v>6533</v>
      </c>
      <c r="AN204" s="154" t="s">
        <v>149</v>
      </c>
      <c r="AO204" s="156">
        <v>2.0</v>
      </c>
      <c r="AP204" s="156" t="s">
        <v>6264</v>
      </c>
      <c r="AQ204" s="153" t="s">
        <v>213</v>
      </c>
      <c r="AR204" s="153" t="s">
        <v>213</v>
      </c>
      <c r="AS204" s="154" t="s">
        <v>149</v>
      </c>
      <c r="AT204" s="153" t="s">
        <v>311</v>
      </c>
      <c r="AU204" s="153" t="s">
        <v>312</v>
      </c>
    </row>
    <row r="205">
      <c r="A205" s="186">
        <v>102.0</v>
      </c>
      <c r="B205" s="152">
        <v>2023.0</v>
      </c>
      <c r="D205" s="152"/>
      <c r="E205" s="151">
        <v>102.0</v>
      </c>
      <c r="F205" s="129" t="s">
        <v>140</v>
      </c>
      <c r="G205" s="3" t="s">
        <v>3279</v>
      </c>
      <c r="H205" s="8" t="str">
        <f>IFERROR(__xludf.DUMMYFUNCTION("""COMPUTED_VALUE"""),"")</f>
        <v/>
      </c>
      <c r="I205" s="8" t="s">
        <v>6534</v>
      </c>
      <c r="J205" s="8" t="s">
        <v>293</v>
      </c>
      <c r="K205" s="8" t="s">
        <v>1283</v>
      </c>
      <c r="L205" s="8" t="s">
        <v>1375</v>
      </c>
      <c r="M205" s="153" t="s">
        <v>1376</v>
      </c>
      <c r="N205" s="8" t="s">
        <v>151</v>
      </c>
      <c r="O205" s="8" t="s">
        <v>652</v>
      </c>
      <c r="Q205" s="142" t="s">
        <v>6404</v>
      </c>
      <c r="R205" s="142"/>
      <c r="S205" s="142"/>
      <c r="U205" s="8">
        <f>IFERROR(__xludf.DUMMYFUNCTION("""COMPUTED_VALUE"""),187.0)</f>
        <v>187</v>
      </c>
      <c r="V205" s="8"/>
      <c r="W205" s="8"/>
      <c r="AB205" s="8" t="s">
        <v>6535</v>
      </c>
      <c r="AC205" s="8" t="s">
        <v>6536</v>
      </c>
      <c r="AG205" s="142"/>
      <c r="AM205" s="8" t="s">
        <v>6537</v>
      </c>
      <c r="AO205" s="8"/>
      <c r="AP205" s="8"/>
      <c r="AR205" s="8" t="s">
        <v>166</v>
      </c>
      <c r="AS205" s="8" t="s">
        <v>6538</v>
      </c>
    </row>
    <row r="206">
      <c r="A206" s="186">
        <v>103.0</v>
      </c>
      <c r="B206" s="152">
        <v>2025.0</v>
      </c>
      <c r="C206" s="153" t="str">
        <f>CONCATENATE(D206, "-", M206, "-", A206)
</f>
        <v>2023-PH037106000-103</v>
      </c>
      <c r="D206" s="152">
        <f>IF(OR(F205="Published", F205="Unpublished"), 2023, IF(F205="New", 2025, ""))
</f>
        <v>2023</v>
      </c>
      <c r="E206" s="151">
        <v>103.0</v>
      </c>
      <c r="F206" s="156" t="s">
        <v>140</v>
      </c>
      <c r="G206" s="156" t="s">
        <v>141</v>
      </c>
      <c r="H206" s="153" t="str">
        <f>IFERROR(__xludf.DUMMYFUNCTION("""COMPUTED_VALUE"""),"**Restoration_project** changed from Artificial Reef Project to Coral Reef Habitat and Productivity Enhancement through Coral Transplantation and Giant Clam Restocking, **Restoration_project_short** changed from to Unknown, **Year of establishment** chang"&amp;"ed from 2007 to 2001, **Project Start** changed from to 2001, **Project End** changed from to 2005, **Restoration method** changed from Artificial Reef to Asexual Reproduction, **Technique/Material Type** changed from to Direct transplantation, **Restorat"&amp;"ion objective** changed from Rehabilitate fish stocks; address illegal fishing to Improve biodiversity and productivity of stressed coral reef habitats in 10 selected demonstration sites, **Funding agency** changed from BFAR 3 to Pew Marine Conservation F"&amp;"ellowship, **Total funding** changed from to Unknown, **Total area of restoration** changed from to Unknown, **Total units** changed from to Unknown, **Implementing institution** changed from to UP MSI, **Partners_public** changed from to Unknown, **Partn"&amp;"ers_private** changed from Maritime Academy of Asia and the Pacific. Total Philippines, Liquigaz to Unknown, **Partners_communities** changed from to Unknown, **Reference** changed from News/Press Release to Gomez, E., Cabaitan, P., &amp; Vicentuan, K. (2006)"&amp;". Coral culture and transplantation and restocking of giant clams in the Philippines. In J.H. Primavera, E.T. Quinitio, &amp; M. R. R. Eguia (Eds.). Proceedings of the Regional Technical Consultation on Stock Enhancement for Threatened Species of Internationa"&amp;"l Concern, Iloilo City, Philippines, 13-15 July 2005 (pp. 39-48). Tigbaua, Iloilo, Philippines: Aquaculture Department, Southeast Asian Fisheries Development Center. Retrieved from https://aquadocs.org/bitstream/handle/1834/40478/GomezED2006.pdf?sequence="&amp;"1&amp;isAllowed=y, **Website** changed from https://www.philstar.com/business/agriculture/2007/11/18/28085/building-new-home-fish-bataan to https://aquadocs.org/bitstream/handle/1834/40478/GomezED2006.pdf?sequence=1&amp;isAllowed=y, **Contact_name** changed from "&amp;"to Dr. Patrick Cabaitan, **Contact_details** changed from to Unknown")</f>
        <v>**Restoration_project** changed from Artificial Reef Project to Coral Reef Habitat and Productivity Enhancement through Coral Transplantation and Giant Clam Restocking, **Restoration_project_short** changed from to Unknown, **Year of establishment** changed from 2007 to 2001, **Project Start** changed from to 2001, **Project End** changed from to 2005, **Restoration method** changed from Artificial Reef to Asexual Reproduction, **Technique/Material Type** changed from to Direct transplantation, **Restoration objective** changed from Rehabilitate fish stocks; address illegal fishing to Improve biodiversity and productivity of stressed coral reef habitats in 10 selected demonstration sites, **Funding agency** changed from BFAR 3 to Pew Marine Conservation Fellowship, **Total funding** changed from to Unknown, **Total area of restoration** changed from to Unknown, **Total units** changed from to Unknown, **Implementing institution** changed from to UP MSI, **Partners_public** changed from to Unknown, **Partners_private** changed from Maritime Academy of Asia and the Pacific. Total Philippines, Liquigaz to Unknown, **Partners_communities** changed from to Unknown,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https://www.philstar.com/business/agriculture/2007/11/18/28085/building-new-home-fish-bataan to https://aquadocs.org/bitstream/handle/1834/40478/GomezED2006.pdf?sequence=1&amp;isAllowed=y, **Contact_name** changed from to Dr. Patrick Cabaitan, **Contact_details** changed from to Unknown</v>
      </c>
      <c r="I206" s="153" t="s">
        <v>6539</v>
      </c>
      <c r="J206" s="153" t="s">
        <v>293</v>
      </c>
      <c r="K206" s="153" t="s">
        <v>294</v>
      </c>
      <c r="L206" s="153" t="s">
        <v>950</v>
      </c>
      <c r="M206" s="181" t="s">
        <v>951</v>
      </c>
      <c r="N206" s="153" t="s">
        <v>6062</v>
      </c>
      <c r="O206" s="153" t="s">
        <v>934</v>
      </c>
      <c r="P206" s="154" t="s">
        <v>149</v>
      </c>
      <c r="Q206" s="169">
        <v>2001.0</v>
      </c>
      <c r="R206" s="175" t="s">
        <v>6229</v>
      </c>
      <c r="S206" s="175" t="s">
        <v>6230</v>
      </c>
      <c r="T206" s="156" t="s">
        <v>177</v>
      </c>
      <c r="U206" s="153">
        <f>IFERROR(__xludf.DUMMYFUNCTION("""COMPUTED_VALUE"""),188.0)</f>
        <v>188</v>
      </c>
      <c r="V206" s="191" t="s">
        <v>3245</v>
      </c>
      <c r="W206" s="179" t="s">
        <v>149</v>
      </c>
      <c r="X206" s="180"/>
      <c r="Y206" s="180" t="s">
        <v>154</v>
      </c>
      <c r="Z206" s="158" t="s">
        <v>179</v>
      </c>
      <c r="AA206" s="153" t="s">
        <v>3245</v>
      </c>
      <c r="AB206" s="153" t="s">
        <v>939</v>
      </c>
      <c r="AC206" s="153" t="s">
        <v>940</v>
      </c>
      <c r="AD206" s="158" t="s">
        <v>6154</v>
      </c>
      <c r="AE206" s="158" t="s">
        <v>206</v>
      </c>
      <c r="AF206" s="158" t="s">
        <v>204</v>
      </c>
      <c r="AG206" s="164" t="s">
        <v>149</v>
      </c>
      <c r="AH206" s="158" t="s">
        <v>149</v>
      </c>
      <c r="AI206" s="158" t="s">
        <v>149</v>
      </c>
      <c r="AJ206" s="153" t="s">
        <v>233</v>
      </c>
      <c r="AK206" s="158" t="s">
        <v>6068</v>
      </c>
      <c r="AL206" s="154" t="s">
        <v>149</v>
      </c>
      <c r="AM206" s="154" t="s">
        <v>149</v>
      </c>
      <c r="AN206" s="154" t="s">
        <v>149</v>
      </c>
      <c r="AO206" s="156">
        <v>1.0</v>
      </c>
      <c r="AP206" s="156" t="s">
        <v>6037</v>
      </c>
      <c r="AQ206" s="158" t="s">
        <v>6214</v>
      </c>
      <c r="AR206" s="153" t="s">
        <v>941</v>
      </c>
      <c r="AS206" s="153" t="s">
        <v>942</v>
      </c>
      <c r="AT206" s="153" t="s">
        <v>943</v>
      </c>
      <c r="AU206" s="154" t="s">
        <v>149</v>
      </c>
    </row>
    <row r="207">
      <c r="A207" s="186">
        <v>103.0</v>
      </c>
      <c r="B207" s="152">
        <v>2023.0</v>
      </c>
      <c r="D207" s="152"/>
      <c r="E207" s="151">
        <v>103.0</v>
      </c>
      <c r="F207" s="129" t="s">
        <v>140</v>
      </c>
      <c r="G207" s="3" t="s">
        <v>6029</v>
      </c>
      <c r="H207" s="8" t="str">
        <f>IFERROR(__xludf.DUMMYFUNCTION("""COMPUTED_VALUE"""),"")</f>
        <v/>
      </c>
      <c r="I207" s="8" t="s">
        <v>6540</v>
      </c>
      <c r="J207" s="8" t="s">
        <v>293</v>
      </c>
      <c r="K207" s="8" t="s">
        <v>1283</v>
      </c>
      <c r="L207" s="8" t="s">
        <v>1795</v>
      </c>
      <c r="M207" s="173" t="s">
        <v>1796</v>
      </c>
      <c r="N207" s="8" t="s">
        <v>151</v>
      </c>
      <c r="O207" s="154" t="s">
        <v>149</v>
      </c>
      <c r="P207" s="154" t="s">
        <v>149</v>
      </c>
      <c r="Q207" s="142" t="s">
        <v>6042</v>
      </c>
      <c r="R207" s="154" t="s">
        <v>149</v>
      </c>
      <c r="S207" s="154" t="s">
        <v>149</v>
      </c>
      <c r="T207" s="8"/>
      <c r="U207" s="8">
        <f>IFERROR(__xludf.DUMMYFUNCTION("""COMPUTED_VALUE"""),189.0)</f>
        <v>189</v>
      </c>
      <c r="V207" s="8"/>
      <c r="W207" s="154"/>
      <c r="X207" s="8"/>
      <c r="Y207" s="8"/>
      <c r="AA207" s="154" t="s">
        <v>149</v>
      </c>
      <c r="AB207" s="154" t="s">
        <v>149</v>
      </c>
      <c r="AC207" s="154" t="s">
        <v>149</v>
      </c>
      <c r="AG207" s="154" t="s">
        <v>149</v>
      </c>
      <c r="AH207" s="154" t="s">
        <v>149</v>
      </c>
      <c r="AI207" s="154" t="s">
        <v>149</v>
      </c>
      <c r="AJ207" s="154" t="s">
        <v>149</v>
      </c>
      <c r="AL207" s="154" t="s">
        <v>149</v>
      </c>
      <c r="AM207" s="154" t="s">
        <v>149</v>
      </c>
      <c r="AN207" s="154" t="s">
        <v>149</v>
      </c>
      <c r="AO207" s="8"/>
      <c r="AP207" s="8"/>
      <c r="AR207" s="8" t="s">
        <v>166</v>
      </c>
      <c r="AS207" s="8" t="s">
        <v>2737</v>
      </c>
      <c r="AT207" s="154" t="s">
        <v>149</v>
      </c>
      <c r="AU207" s="154" t="s">
        <v>149</v>
      </c>
    </row>
    <row r="208">
      <c r="A208" s="186">
        <v>104.0</v>
      </c>
      <c r="B208" s="152">
        <v>2023.0</v>
      </c>
      <c r="D208" s="152"/>
      <c r="E208" s="151">
        <v>104.0</v>
      </c>
      <c r="F208" s="129" t="s">
        <v>140</v>
      </c>
      <c r="G208" s="3" t="s">
        <v>6029</v>
      </c>
      <c r="H208" s="8" t="str">
        <f>IFERROR(__xludf.DUMMYFUNCTION("""COMPUTED_VALUE"""),"")</f>
        <v/>
      </c>
      <c r="I208" s="8" t="s">
        <v>6541</v>
      </c>
      <c r="J208" s="8" t="s">
        <v>293</v>
      </c>
      <c r="K208" s="8" t="s">
        <v>1283</v>
      </c>
      <c r="L208" s="8" t="s">
        <v>1795</v>
      </c>
      <c r="M208" s="173" t="s">
        <v>1796</v>
      </c>
      <c r="N208" s="8" t="s">
        <v>151</v>
      </c>
      <c r="O208" s="154" t="s">
        <v>149</v>
      </c>
      <c r="P208" s="154" t="s">
        <v>149</v>
      </c>
      <c r="Q208" s="142" t="s">
        <v>6268</v>
      </c>
      <c r="R208" s="154" t="s">
        <v>149</v>
      </c>
      <c r="S208" s="154" t="s">
        <v>149</v>
      </c>
      <c r="T208" s="8"/>
      <c r="U208" s="8">
        <f>IFERROR(__xludf.DUMMYFUNCTION("""COMPUTED_VALUE"""),190.0)</f>
        <v>190</v>
      </c>
      <c r="V208" s="8"/>
      <c r="W208" s="154"/>
      <c r="X208" s="8"/>
      <c r="Y208" s="8"/>
      <c r="AA208" s="154" t="s">
        <v>149</v>
      </c>
      <c r="AB208" s="154" t="s">
        <v>149</v>
      </c>
      <c r="AC208" s="8" t="s">
        <v>158</v>
      </c>
      <c r="AG208" s="154" t="s">
        <v>149</v>
      </c>
      <c r="AH208" s="154" t="s">
        <v>149</v>
      </c>
      <c r="AI208" s="154" t="s">
        <v>149</v>
      </c>
      <c r="AJ208" s="154" t="s">
        <v>149</v>
      </c>
      <c r="AL208" s="154" t="s">
        <v>149</v>
      </c>
      <c r="AM208" s="154" t="s">
        <v>149</v>
      </c>
      <c r="AN208" s="154" t="s">
        <v>149</v>
      </c>
      <c r="AO208" s="8"/>
      <c r="AP208" s="8"/>
      <c r="AR208" s="8" t="s">
        <v>6517</v>
      </c>
      <c r="AS208" s="8" t="s">
        <v>3066</v>
      </c>
      <c r="AT208" s="154" t="s">
        <v>149</v>
      </c>
      <c r="AU208" s="154" t="s">
        <v>149</v>
      </c>
    </row>
    <row r="209">
      <c r="A209" s="186">
        <v>104.0</v>
      </c>
      <c r="B209" s="152">
        <v>2025.0</v>
      </c>
      <c r="C209" s="153" t="str">
        <f>CONCATENATE(D209, "-", M209, "-", A209)
</f>
        <v>2023-PH037109000-104</v>
      </c>
      <c r="D209" s="152">
        <f>IF(OR(F208="Published", F208="Unpublished"), 2023, IF(F208="New", 2025, ""))
</f>
        <v>2023</v>
      </c>
      <c r="E209" s="151">
        <v>104.0</v>
      </c>
      <c r="F209" s="156" t="s">
        <v>140</v>
      </c>
      <c r="G209" s="156" t="s">
        <v>141</v>
      </c>
      <c r="H209" s="153" t="str">
        <f>IFERROR(__xludf.DUMMYFUNCTION("""COMPUTED_VALUE"""),"**Year of establishment** changed from 2015 to Unknown, **Funding agency** changed from PLGU to CLGU, **Total units** changed from Unknown to 30 modules, **Implementing institution** changed from Unknown to CLGU, **Partners_public** changed from Unknown t"&amp;"o BFAR, **Reference** changed from Feature to Reblando, J. (2012, January 17). Artificial reef, itinanim sa Subic Bay. Punto Pananaw ng Malayang Pilipino Central Luzon. https://punto.com.ph/artificial-reef-itinanim-sa-subic-bay/, **Website** changed from "&amp;"https://1bataan.com/morong-town-soon-to-be-a-diving-spot/ to https://punto.com.ph/artificial-reef-itinanim-sa-subic-bay/")</f>
        <v>**Year of establishment** changed from 2015 to Unknown, **Funding agency** changed from PLGU to CLGU, **Total units** changed from Unknown to 30 modules, **Implementing institution** changed from Unknown to CLGU, **Partners_public** changed from Unknown to BFAR, **Reference** changed from Feature to Reblando, J. (2012, January 17). Artificial reef, itinanim sa Subic Bay. Punto Pananaw ng Malayang Pilipino Central Luzon. https://punto.com.ph/artificial-reef-itinanim-sa-subic-bay/, **Website** changed from https://1bataan.com/morong-town-soon-to-be-a-diving-spot/ to https://punto.com.ph/artificial-reef-itinanim-sa-subic-bay/</v>
      </c>
      <c r="I209" s="153" t="s">
        <v>6542</v>
      </c>
      <c r="J209" s="153" t="s">
        <v>293</v>
      </c>
      <c r="K209" s="153" t="s">
        <v>294</v>
      </c>
      <c r="L209" s="153" t="s">
        <v>3070</v>
      </c>
      <c r="M209" s="157" t="s">
        <v>3071</v>
      </c>
      <c r="N209" s="153" t="s">
        <v>151</v>
      </c>
      <c r="O209" s="158" t="s">
        <v>149</v>
      </c>
      <c r="P209" s="154" t="s">
        <v>149</v>
      </c>
      <c r="Q209" s="197" t="s">
        <v>149</v>
      </c>
      <c r="R209" s="160" t="s">
        <v>149</v>
      </c>
      <c r="S209" s="160" t="s">
        <v>149</v>
      </c>
      <c r="T209" s="161" t="s">
        <v>150</v>
      </c>
      <c r="U209" s="153">
        <f>IFERROR(__xludf.DUMMYFUNCTION("""COMPUTED_VALUE"""),191.0)</f>
        <v>191</v>
      </c>
      <c r="V209" s="162" t="s">
        <v>3311</v>
      </c>
      <c r="W209" s="187" t="s">
        <v>149</v>
      </c>
      <c r="X209" s="184"/>
      <c r="Y209" s="184" t="s">
        <v>149</v>
      </c>
      <c r="Z209" s="158" t="s">
        <v>149</v>
      </c>
      <c r="AA209" s="158" t="s">
        <v>149</v>
      </c>
      <c r="AB209" s="158" t="s">
        <v>149</v>
      </c>
      <c r="AC209" s="158" t="s">
        <v>228</v>
      </c>
      <c r="AD209" s="158" t="s">
        <v>160</v>
      </c>
      <c r="AE209" s="158" t="s">
        <v>6035</v>
      </c>
      <c r="AF209" s="158" t="s">
        <v>159</v>
      </c>
      <c r="AG209" s="164" t="s">
        <v>149</v>
      </c>
      <c r="AH209" s="158" t="s">
        <v>149</v>
      </c>
      <c r="AI209" s="153" t="s">
        <v>3072</v>
      </c>
      <c r="AJ209" s="153" t="s">
        <v>228</v>
      </c>
      <c r="AK209" s="153" t="s">
        <v>6035</v>
      </c>
      <c r="AL209" s="153" t="s">
        <v>390</v>
      </c>
      <c r="AM209" s="154" t="s">
        <v>149</v>
      </c>
      <c r="AN209" s="154" t="s">
        <v>149</v>
      </c>
      <c r="AO209" s="156">
        <v>1.0</v>
      </c>
      <c r="AP209" s="156" t="s">
        <v>6037</v>
      </c>
      <c r="AQ209" s="158" t="s">
        <v>166</v>
      </c>
      <c r="AR209" s="153" t="s">
        <v>2736</v>
      </c>
      <c r="AS209" s="153" t="s">
        <v>2737</v>
      </c>
      <c r="AT209" s="154" t="s">
        <v>149</v>
      </c>
      <c r="AU209" s="154" t="s">
        <v>149</v>
      </c>
    </row>
    <row r="210">
      <c r="A210" s="186">
        <v>105.0</v>
      </c>
      <c r="B210" s="152">
        <v>2023.0</v>
      </c>
      <c r="D210" s="152"/>
      <c r="E210" s="151">
        <v>105.0</v>
      </c>
      <c r="F210" s="129" t="s">
        <v>140</v>
      </c>
      <c r="G210" s="3" t="s">
        <v>6029</v>
      </c>
      <c r="H210" s="8" t="str">
        <f>IFERROR(__xludf.DUMMYFUNCTION("""COMPUTED_VALUE"""),"")</f>
        <v/>
      </c>
      <c r="I210" s="8" t="s">
        <v>6543</v>
      </c>
      <c r="J210" s="8" t="s">
        <v>293</v>
      </c>
      <c r="K210" s="8" t="s">
        <v>1283</v>
      </c>
      <c r="L210" s="8" t="s">
        <v>1795</v>
      </c>
      <c r="M210" s="173" t="s">
        <v>1796</v>
      </c>
      <c r="N210" s="8" t="s">
        <v>151</v>
      </c>
      <c r="O210" s="154" t="s">
        <v>149</v>
      </c>
      <c r="P210" s="154" t="s">
        <v>149</v>
      </c>
      <c r="Q210" s="142" t="s">
        <v>6152</v>
      </c>
      <c r="R210" s="154" t="s">
        <v>149</v>
      </c>
      <c r="S210" s="154" t="s">
        <v>149</v>
      </c>
      <c r="T210" s="8"/>
      <c r="U210" s="8">
        <f>IFERROR(__xludf.DUMMYFUNCTION("""COMPUTED_VALUE"""),192.0)</f>
        <v>192</v>
      </c>
      <c r="V210" s="8"/>
      <c r="W210" s="154"/>
      <c r="X210" s="8"/>
      <c r="Y210" s="8"/>
      <c r="AA210" s="154" t="s">
        <v>149</v>
      </c>
      <c r="AB210" s="154" t="s">
        <v>149</v>
      </c>
      <c r="AC210" s="8" t="s">
        <v>158</v>
      </c>
      <c r="AG210" s="154" t="s">
        <v>149</v>
      </c>
      <c r="AH210" s="154" t="s">
        <v>149</v>
      </c>
      <c r="AI210" s="154" t="s">
        <v>149</v>
      </c>
      <c r="AJ210" s="154" t="s">
        <v>149</v>
      </c>
      <c r="AL210" s="154" t="s">
        <v>149</v>
      </c>
      <c r="AM210" s="154" t="s">
        <v>149</v>
      </c>
      <c r="AN210" s="154" t="s">
        <v>149</v>
      </c>
      <c r="AO210" s="8"/>
      <c r="AP210" s="8"/>
      <c r="AR210" s="8" t="s">
        <v>6517</v>
      </c>
      <c r="AS210" s="172" t="s">
        <v>3066</v>
      </c>
      <c r="AT210" s="154" t="s">
        <v>149</v>
      </c>
      <c r="AU210" s="154" t="s">
        <v>149</v>
      </c>
    </row>
    <row r="211">
      <c r="A211" s="186">
        <v>105.0</v>
      </c>
      <c r="B211" s="152">
        <v>2025.0</v>
      </c>
      <c r="C211" s="153" t="str">
        <f>CONCATENATE(D211, "-", M211, "-", A211)
</f>
        <v>2023-PH037113000-105</v>
      </c>
      <c r="D211" s="152">
        <f>IF(OR(F210="Published", F210="Unpublished"), 2023, IF(F210="New", 2025, ""))
</f>
        <v>2023</v>
      </c>
      <c r="E211" s="151">
        <v>105.0</v>
      </c>
      <c r="F211" s="156" t="s">
        <v>140</v>
      </c>
      <c r="G211" s="156" t="s">
        <v>707</v>
      </c>
      <c r="H211" s="153" t="str">
        <f>IFERROR(__xludf.DUMMYFUNCTION("""COMPUTED_VALUE"""),"**Restoration_project** changed from Unknown to Bioconservation Project under DENR ICRM, **Year of establishment** changed from 2017 to 2012, **Restoration objective** changed from Unknown to Restore degraded reef, **Funding agency** changed from PLGU to "&amp;"MLGU, **Implementing institution** changed from Unknown to MLGU, **Partners_public** changed from Unknown to DENR 3, **Reference** changed from Feature to Survey, **Website** changed from https://1bataan.com/morong-town-soon-to-be-a-diving-spot/ to Unknow"&amp;"n, **Contact_name** changed from Unknown to Linos Mejos, **Contact_details** changed from Unknown to 9503417670")</f>
        <v>**Restoration_project** changed from Unknown to Bioconservation Project under DENR ICRM, **Year of establishment** changed from 2017 to 2012, **Restoration objective** changed from Unknown to Restore degraded reef, **Funding agency** changed from PLGU to MLGU, **Implementing institution** changed from Unknown to MLGU, **Partners_public** changed from Unknown to DENR 3, **Reference** changed from Feature to Survey, **Website** changed from https://1bataan.com/morong-town-soon-to-be-a-diving-spot/ to Unknown, **Contact_name** changed from Unknown to Linos Mejos, **Contact_details** changed from Unknown to 9503417670</v>
      </c>
      <c r="I211" s="153" t="s">
        <v>6544</v>
      </c>
      <c r="J211" s="153" t="s">
        <v>293</v>
      </c>
      <c r="K211" s="153" t="s">
        <v>294</v>
      </c>
      <c r="L211" s="153" t="s">
        <v>420</v>
      </c>
      <c r="M211" s="157" t="s">
        <v>708</v>
      </c>
      <c r="N211" s="153" t="s">
        <v>151</v>
      </c>
      <c r="O211" s="153" t="s">
        <v>709</v>
      </c>
      <c r="P211" s="154" t="s">
        <v>149</v>
      </c>
      <c r="Q211" s="169">
        <v>2012.0</v>
      </c>
      <c r="R211" s="160" t="s">
        <v>149</v>
      </c>
      <c r="S211" s="160" t="s">
        <v>149</v>
      </c>
      <c r="T211" s="161" t="s">
        <v>150</v>
      </c>
      <c r="U211" s="153">
        <f>IFERROR(__xludf.DUMMYFUNCTION("""COMPUTED_VALUE"""),193.0)</f>
        <v>193</v>
      </c>
      <c r="V211" s="162" t="s">
        <v>3311</v>
      </c>
      <c r="W211" s="187" t="s">
        <v>149</v>
      </c>
      <c r="X211" s="184"/>
      <c r="Y211" s="184" t="s">
        <v>149</v>
      </c>
      <c r="Z211" s="158" t="s">
        <v>149</v>
      </c>
      <c r="AA211" s="158" t="s">
        <v>149</v>
      </c>
      <c r="AB211" s="153" t="s">
        <v>710</v>
      </c>
      <c r="AC211" s="153" t="s">
        <v>369</v>
      </c>
      <c r="AD211" s="158" t="s">
        <v>160</v>
      </c>
      <c r="AE211" s="158" t="s">
        <v>6035</v>
      </c>
      <c r="AF211" s="158" t="s">
        <v>159</v>
      </c>
      <c r="AG211" s="164" t="s">
        <v>149</v>
      </c>
      <c r="AH211" s="158" t="s">
        <v>149</v>
      </c>
      <c r="AI211" s="158" t="s">
        <v>149</v>
      </c>
      <c r="AJ211" s="153" t="s">
        <v>369</v>
      </c>
      <c r="AK211" s="153" t="s">
        <v>6035</v>
      </c>
      <c r="AL211" s="153" t="s">
        <v>711</v>
      </c>
      <c r="AM211" s="154" t="s">
        <v>149</v>
      </c>
      <c r="AN211" s="154" t="s">
        <v>149</v>
      </c>
      <c r="AO211" s="156">
        <v>1.0</v>
      </c>
      <c r="AP211" s="156" t="s">
        <v>6037</v>
      </c>
      <c r="AQ211" s="153" t="s">
        <v>213</v>
      </c>
      <c r="AR211" s="153" t="s">
        <v>213</v>
      </c>
      <c r="AS211" s="154" t="s">
        <v>149</v>
      </c>
      <c r="AT211" s="153" t="s">
        <v>712</v>
      </c>
      <c r="AU211" s="199">
        <v>9.50341767E9</v>
      </c>
    </row>
    <row r="212">
      <c r="A212" s="186">
        <v>106.0</v>
      </c>
      <c r="B212" s="152">
        <v>2023.0</v>
      </c>
      <c r="D212" s="152"/>
      <c r="E212" s="151">
        <v>106.0</v>
      </c>
      <c r="F212" s="129" t="s">
        <v>140</v>
      </c>
      <c r="G212" s="3" t="s">
        <v>6029</v>
      </c>
      <c r="H212" s="8" t="str">
        <f>IFERROR(__xludf.DUMMYFUNCTION("""COMPUTED_VALUE"""),"")</f>
        <v/>
      </c>
      <c r="I212" s="8" t="s">
        <v>6545</v>
      </c>
      <c r="J212" s="8" t="s">
        <v>293</v>
      </c>
      <c r="K212" s="8" t="s">
        <v>1283</v>
      </c>
      <c r="L212" s="8" t="s">
        <v>1795</v>
      </c>
      <c r="M212" s="173" t="s">
        <v>1796</v>
      </c>
      <c r="N212" s="8" t="s">
        <v>151</v>
      </c>
      <c r="O212" s="8" t="s">
        <v>1797</v>
      </c>
      <c r="P212" s="154" t="s">
        <v>149</v>
      </c>
      <c r="Q212" s="142" t="s">
        <v>6145</v>
      </c>
      <c r="R212" s="154" t="s">
        <v>149</v>
      </c>
      <c r="S212" s="154" t="s">
        <v>149</v>
      </c>
      <c r="T212" s="8"/>
      <c r="U212" s="8">
        <f>IFERROR(__xludf.DUMMYFUNCTION("""COMPUTED_VALUE"""),194.0)</f>
        <v>194</v>
      </c>
      <c r="V212" s="8"/>
      <c r="W212" s="154"/>
      <c r="X212" s="8"/>
      <c r="Y212" s="8"/>
      <c r="AA212" s="154" t="s">
        <v>149</v>
      </c>
      <c r="AB212" s="8" t="s">
        <v>6523</v>
      </c>
      <c r="AC212" s="8" t="s">
        <v>1802</v>
      </c>
      <c r="AG212" s="154" t="s">
        <v>149</v>
      </c>
      <c r="AH212" s="154" t="s">
        <v>149</v>
      </c>
      <c r="AI212" s="154" t="s">
        <v>149</v>
      </c>
      <c r="AJ212" s="8" t="s">
        <v>1802</v>
      </c>
      <c r="AM212" s="154" t="s">
        <v>149</v>
      </c>
      <c r="AN212" s="154" t="s">
        <v>149</v>
      </c>
      <c r="AO212" s="8"/>
      <c r="AP212" s="8"/>
      <c r="AR212" s="8" t="s">
        <v>6038</v>
      </c>
      <c r="AS212" s="8" t="s">
        <v>1804</v>
      </c>
      <c r="AT212" s="154" t="s">
        <v>149</v>
      </c>
      <c r="AU212" s="154" t="s">
        <v>149</v>
      </c>
    </row>
    <row r="213">
      <c r="A213" s="186">
        <v>106.0</v>
      </c>
      <c r="B213" s="152">
        <v>2025.0</v>
      </c>
      <c r="C213" s="153" t="str">
        <f>CONCATENATE(D213, "-", M213, "-", A213)
</f>
        <v>2023-PH037114000-106</v>
      </c>
      <c r="D213" s="152">
        <f>IF(OR(F212="Published", F212="Unpublished"), 2023, IF(F212="New", 2025, ""))
</f>
        <v>2023</v>
      </c>
      <c r="E213" s="151">
        <v>106.0</v>
      </c>
      <c r="F213" s="156" t="s">
        <v>140</v>
      </c>
      <c r="G213" s="156" t="s">
        <v>141</v>
      </c>
      <c r="H213" s="153" t="str">
        <f>IFERROR(__xludf.DUMMYFUNCTION("""COMPUTED_VALUE"""),"**Restoration_project** changed from PLC Artificial Reef Program to Filipinnovation on Coral Reef Restoration, **Year of establishment** changed from 2022 to 2013, **Project Start** changed from Unknown to 2012, **Project End** changed from Unknown to 201"&amp;"3, **Restoration method** changed from Artificial Reef to Asexual Reproduction, **Technique/Material Type** changed from Unknown to CNU, **Restoration objective** changed from Habitat for coral and marine species to Unknown, **Funding agency** changed fro"&amp;"m Playa la Caleta Bataan to DOST-PCAARRD, **Implementing institution** changed from Playa la Caleta Bataan to University of San Carlos, **Partners_public** changed from to Bataan Peninsula State University, **Reference** changed from Social Media to DOST-"&amp;"PCAARRD (2013b). Project 2: Pilot Technology Demonstration on Coral Nursery Units Management in Bagac, Bataan and Subic, Zambales, Philippines., **Website** changed from https://mobile.facebook.com/playalacaletabataan/posts/3079682972247006/?_rdc=1&amp;_rdr t"&amp;"o Report uploaded in the Google Drive")</f>
        <v>**Restoration_project** changed from PLC Artificial Reef Program to Filipinnovation on Coral Reef Restoration, **Year of establishment** changed from 2022 to 2013, **Project Start** changed from Unknown to 2012, **Project End** changed from Unknown to 2013, **Restoration method** changed from Artificial Reef to Asexual Reproduction, **Technique/Material Type** changed from Unknown to CNU, **Restoration objective** changed from Habitat for coral and marine species to Unknown, **Funding agency** changed from Playa la Caleta Bataan to DOST-PCAARRD, **Implementing institution** changed from Playa la Caleta Bataan to University of San Carlos, **Partners_public** changed from to Bataan Peninsula State University, **Reference** changed from Social Media to DOST-PCAARRD (2013b). Project 2: Pilot Technology Demonstration on Coral Nursery Units Management in Bagac, Bataan and Subic, Zambales, Philippines., **Website** changed from https://mobile.facebook.com/playalacaletabataan/posts/3079682972247006/?_rdc=1&amp;_rdr to Report uploaded in the Google Drive</v>
      </c>
      <c r="I213" s="153" t="s">
        <v>6546</v>
      </c>
      <c r="J213" s="153" t="s">
        <v>293</v>
      </c>
      <c r="K213" s="153" t="s">
        <v>294</v>
      </c>
      <c r="L213" s="153" t="s">
        <v>1291</v>
      </c>
      <c r="M213" s="157" t="s">
        <v>1292</v>
      </c>
      <c r="N213" s="153" t="s">
        <v>6062</v>
      </c>
      <c r="O213" s="153" t="s">
        <v>1174</v>
      </c>
      <c r="P213" s="154" t="s">
        <v>149</v>
      </c>
      <c r="Q213" s="178">
        <v>2013.0</v>
      </c>
      <c r="R213" s="175" t="s">
        <v>6151</v>
      </c>
      <c r="S213" s="175" t="s">
        <v>6089</v>
      </c>
      <c r="T213" s="156" t="s">
        <v>177</v>
      </c>
      <c r="U213" s="153">
        <f>IFERROR(__xludf.DUMMYFUNCTION("""COMPUTED_VALUE"""),195.0)</f>
        <v>195</v>
      </c>
      <c r="V213" s="191" t="s">
        <v>1359</v>
      </c>
      <c r="W213" s="179" t="s">
        <v>6066</v>
      </c>
      <c r="X213" s="180"/>
      <c r="Y213" s="180" t="s">
        <v>154</v>
      </c>
      <c r="Z213" s="158" t="s">
        <v>179</v>
      </c>
      <c r="AA213" s="153" t="s">
        <v>320</v>
      </c>
      <c r="AB213" s="158" t="s">
        <v>149</v>
      </c>
      <c r="AC213" s="153" t="s">
        <v>321</v>
      </c>
      <c r="AD213" s="158" t="s">
        <v>160</v>
      </c>
      <c r="AE213" s="158" t="s">
        <v>6035</v>
      </c>
      <c r="AF213" s="158" t="s">
        <v>159</v>
      </c>
      <c r="AG213" s="164" t="s">
        <v>149</v>
      </c>
      <c r="AH213" s="158" t="s">
        <v>149</v>
      </c>
      <c r="AI213" s="158" t="s">
        <v>149</v>
      </c>
      <c r="AJ213" s="153" t="s">
        <v>885</v>
      </c>
      <c r="AK213" s="158" t="s">
        <v>6068</v>
      </c>
      <c r="AL213" s="153" t="s">
        <v>1287</v>
      </c>
      <c r="AM213" s="154" t="s">
        <v>149</v>
      </c>
      <c r="AN213" s="154" t="s">
        <v>149</v>
      </c>
      <c r="AO213" s="156">
        <v>1.0</v>
      </c>
      <c r="AP213" s="156" t="s">
        <v>6037</v>
      </c>
      <c r="AQ213" s="158" t="s">
        <v>6069</v>
      </c>
      <c r="AR213" s="200" t="s">
        <v>6547</v>
      </c>
      <c r="AS213" s="153" t="s">
        <v>6070</v>
      </c>
      <c r="AT213" s="154" t="s">
        <v>149</v>
      </c>
      <c r="AU213" s="154" t="s">
        <v>149</v>
      </c>
    </row>
    <row r="214">
      <c r="A214" s="186">
        <v>107.0</v>
      </c>
      <c r="B214" s="152">
        <v>2023.0</v>
      </c>
      <c r="D214" s="152"/>
      <c r="E214" s="151">
        <v>107.0</v>
      </c>
      <c r="F214" s="129" t="s">
        <v>140</v>
      </c>
      <c r="G214" s="3" t="s">
        <v>6029</v>
      </c>
      <c r="H214" s="8" t="str">
        <f>IFERROR(__xludf.DUMMYFUNCTION("""COMPUTED_VALUE"""),"")</f>
        <v/>
      </c>
      <c r="I214" s="8" t="s">
        <v>6548</v>
      </c>
      <c r="J214" s="8" t="s">
        <v>293</v>
      </c>
      <c r="K214" s="8" t="s">
        <v>294</v>
      </c>
      <c r="L214" s="8" t="s">
        <v>486</v>
      </c>
      <c r="M214" s="173" t="s">
        <v>487</v>
      </c>
      <c r="N214" s="8" t="s">
        <v>151</v>
      </c>
      <c r="O214" s="8" t="s">
        <v>384</v>
      </c>
      <c r="P214" s="8" t="s">
        <v>488</v>
      </c>
      <c r="Q214" s="142" t="s">
        <v>6052</v>
      </c>
      <c r="R214" s="142" t="s">
        <v>6052</v>
      </c>
      <c r="S214" s="142" t="s">
        <v>6053</v>
      </c>
      <c r="T214" s="8"/>
      <c r="U214" s="8">
        <f>IFERROR(__xludf.DUMMYFUNCTION("""COMPUTED_VALUE"""),196.0)</f>
        <v>196</v>
      </c>
      <c r="V214" s="8"/>
      <c r="W214" s="8"/>
      <c r="X214" s="8"/>
      <c r="Y214" s="8"/>
      <c r="AA214" s="8" t="s">
        <v>6054</v>
      </c>
      <c r="AB214" s="154" t="s">
        <v>149</v>
      </c>
      <c r="AC214" s="8" t="s">
        <v>390</v>
      </c>
      <c r="AG214" s="154" t="s">
        <v>149</v>
      </c>
      <c r="AH214" s="154" t="s">
        <v>149</v>
      </c>
      <c r="AI214" s="8" t="s">
        <v>489</v>
      </c>
      <c r="AJ214" s="8" t="s">
        <v>390</v>
      </c>
      <c r="AL214" s="8" t="s">
        <v>6055</v>
      </c>
      <c r="AM214" s="154" t="s">
        <v>149</v>
      </c>
      <c r="AN214" s="154" t="s">
        <v>149</v>
      </c>
      <c r="AO214" s="8"/>
      <c r="AP214" s="8"/>
      <c r="AR214" s="8" t="s">
        <v>6057</v>
      </c>
      <c r="AS214" s="8" t="s">
        <v>2873</v>
      </c>
      <c r="AT214" s="8" t="s">
        <v>398</v>
      </c>
      <c r="AU214" s="154" t="s">
        <v>149</v>
      </c>
    </row>
    <row r="215">
      <c r="A215" s="186">
        <v>107.0</v>
      </c>
      <c r="B215" s="152">
        <v>2025.0</v>
      </c>
      <c r="C215" s="153" t="str">
        <f t="shared" ref="C215:C216" si="13">CONCATENATE(D215, "-", M215, "-", A215)
</f>
        <v>2023-PH037114000-107</v>
      </c>
      <c r="D215" s="152">
        <f t="shared" ref="D215:D216" si="14">IF(OR(F214="Published", F214="Unpublished"), 2023, IF(F214="New", 2025, ""))
</f>
        <v>2023</v>
      </c>
      <c r="E215" s="151">
        <v>107.0</v>
      </c>
      <c r="F215" s="156" t="s">
        <v>140</v>
      </c>
      <c r="G215" s="156" t="s">
        <v>141</v>
      </c>
      <c r="H215" s="153" t="str">
        <f>IFERROR(__xludf.DUMMYFUNCTION("""COMPUTED_VALUE"""),"**Restoration_project** changed from Artificial Reef Development Program to National Coral Reef Rehabilitation Roll-Out Program, **Restoration_project_short** changed from Site in Uacon to Unknown, **Year of establishment** changed from 1985 to 2015, **Pr"&amp;"oject Start** changed from 1985 to 2014, **Project End** changed from 1987 to 2016, **Restoration method** changed from Artificial Reef to Asexual Reproduction, **Technique/Material Type** changed from tires to CNU, **Funding agency** changed from BFAR to"&amp;" DOST-PCAARRD, **Total units** changed from 5 TM to 7 CNUs/7,800 COPs, **Implementing institution** changed from BFAR to Sangkalikasan Producer Cooperative, **Partners_public** changed from Ministry of Human Settlements to Bataan Peninsula State Universit"&amp;"y, **Reference** changed from Conference Proceediing to DOST-PCAARRD. (n.d.). DOST-PCAARRD National Corals Rehabilitation Program Briefer Report. , **Website** changed from http://pubs.iclarm.net/libinfo/Pdf/Pub%20CP6%2049.pdf to Report uploaded in the Go"&amp;"ogle Drive, **Contact_name** changed from Miriam Balgos to Unknown")</f>
        <v>**Restoration_project** changed from Artificial Reef Development Program to National Coral Reef Rehabilitation Roll-Out Program, **Restoration_project_short** changed from Site in Uacon to Unknown, **Year of establishment** changed from 1985 to 2015, **Project Start** changed from 1985 to 2014, **Project End** changed from 1987 to 2016, **Restoration method** changed from Artificial Reef to Asexual Reproduction, **Technique/Material Type** changed from tires to CNU, **Funding agency** changed from BFAR to DOST-PCAARRD, **Total units** changed from 5 TM to 7 CNUs/7,800 COPs, **Implementing institution** changed from BFAR to Sangkalikasan Producer Cooperative, **Partners_public** changed from Ministry of Human Settlements to Bataan Peninsula State University, **Reference** changed from Conference Proceediing to DOST-PCAARRD. (n.d.). DOST-PCAARRD National Corals Rehabilitation Program Briefer Report. , **Website** changed from http://pubs.iclarm.net/libinfo/Pdf/Pub%20CP6%2049.pdf to Report uploaded in the Google Drive, **Contact_name** changed from Miriam Balgos to Unknown</v>
      </c>
      <c r="I215" s="153" t="s">
        <v>6549</v>
      </c>
      <c r="J215" s="153" t="s">
        <v>293</v>
      </c>
      <c r="K215" s="153" t="s">
        <v>294</v>
      </c>
      <c r="L215" s="153" t="s">
        <v>1291</v>
      </c>
      <c r="M215" s="181" t="s">
        <v>1292</v>
      </c>
      <c r="N215" s="153" t="s">
        <v>6062</v>
      </c>
      <c r="O215" s="153" t="s">
        <v>1683</v>
      </c>
      <c r="P215" s="154" t="s">
        <v>149</v>
      </c>
      <c r="Q215" s="178">
        <v>2015.0</v>
      </c>
      <c r="R215" s="175" t="s">
        <v>6063</v>
      </c>
      <c r="S215" s="175" t="s">
        <v>6064</v>
      </c>
      <c r="T215" s="156" t="s">
        <v>177</v>
      </c>
      <c r="U215" s="153">
        <f>IFERROR(__xludf.DUMMYFUNCTION("""COMPUTED_VALUE"""),197.0)</f>
        <v>197</v>
      </c>
      <c r="V215" s="191" t="s">
        <v>1359</v>
      </c>
      <c r="W215" s="179" t="s">
        <v>6066</v>
      </c>
      <c r="X215" s="180"/>
      <c r="Y215" s="180" t="s">
        <v>154</v>
      </c>
      <c r="Z215" s="158" t="s">
        <v>179</v>
      </c>
      <c r="AA215" s="153" t="s">
        <v>320</v>
      </c>
      <c r="AB215" s="158" t="s">
        <v>149</v>
      </c>
      <c r="AC215" s="153" t="s">
        <v>321</v>
      </c>
      <c r="AD215" s="158" t="s">
        <v>160</v>
      </c>
      <c r="AE215" s="158" t="s">
        <v>6035</v>
      </c>
      <c r="AF215" s="158" t="s">
        <v>159</v>
      </c>
      <c r="AG215" s="164" t="s">
        <v>149</v>
      </c>
      <c r="AH215" s="158" t="s">
        <v>149</v>
      </c>
      <c r="AI215" s="153" t="s">
        <v>1706</v>
      </c>
      <c r="AJ215" s="153" t="s">
        <v>1703</v>
      </c>
      <c r="AK215" s="153" t="s">
        <v>306</v>
      </c>
      <c r="AL215" s="153" t="s">
        <v>1287</v>
      </c>
      <c r="AM215" s="154" t="s">
        <v>149</v>
      </c>
      <c r="AN215" s="154" t="s">
        <v>149</v>
      </c>
      <c r="AO215" s="156">
        <v>1.0</v>
      </c>
      <c r="AP215" s="156" t="s">
        <v>6037</v>
      </c>
      <c r="AQ215" s="158" t="s">
        <v>6069</v>
      </c>
      <c r="AR215" s="153" t="s">
        <v>1300</v>
      </c>
      <c r="AS215" s="153" t="s">
        <v>6070</v>
      </c>
      <c r="AT215" s="154" t="s">
        <v>149</v>
      </c>
      <c r="AU215" s="154" t="s">
        <v>149</v>
      </c>
    </row>
    <row r="216">
      <c r="A216" s="186">
        <v>108.0</v>
      </c>
      <c r="B216" s="152">
        <v>2025.0</v>
      </c>
      <c r="C216" s="153" t="str">
        <f t="shared" si="13"/>
        <v>2023-PH037114000-108</v>
      </c>
      <c r="D216" s="152">
        <f t="shared" si="14"/>
        <v>2023</v>
      </c>
      <c r="E216" s="151">
        <v>108.0</v>
      </c>
      <c r="F216" s="156" t="s">
        <v>140</v>
      </c>
      <c r="G216" s="156" t="s">
        <v>141</v>
      </c>
      <c r="H216" s="153" t="str">
        <f>IFERROR(__xludf.DUMMYFUNCTION("""COMPUTED_VALUE"""),"**Restoration_project** changed from National Coral Reef Rehabilitation Roll-Out Program to Unknown, **Year of establishment** changed from 2015 to 2012, **Project Start** changed from 2014 to Unknown, **Project End** changed from 2016 to Unknown, **Resto"&amp;"ration method** changed from Asexual Reproduction to Artificial Reef, **Technique/Material Type** changed from CNU to Unknown, **Restoration objective** changed from Unknown to Enhance tourism, **Funding agency** changed from DOST-PCAARRD to CLGU, **Total"&amp;" units** changed from 7 CNUs/7,800 COPs to Unknown, **Implementing institution** changed from Sangkalikasan Producer Cooperative to CLGU, **Partners_public** changed from Bataan Peninsula State University to PNP, **Reference** changed from DOST-PCAARRD. ("&amp;"n.d.). DOST-PCAARRD National Corals Rehabilitation Program Briefer Report. to Reblando, J. (2012, January 17). Artificial reef, itinanim sa Subic Bay. Punto Pananaw ng Malayang Pilipino Central Luzon. https://punto.com.ph/artificial-reef-itinanim-sa-subic"&amp;"-bay/, **Website** changed from Report uploaded in the Google Drive to https://punto.com.ph/artificial-reef-itinanim-sa-subic-bay/")</f>
        <v>**Restoration_project** changed from National Coral Reef Rehabilitation Roll-Out Program to Unknown, **Year of establishment** changed from 2015 to 2012, **Project Start** changed from 2014 to Unknown, **Project End** changed from 2016 to Unknown, **Restoration method** changed from Asexual Reproduction to Artificial Reef, **Technique/Material Type** changed from CNU to Unknown, **Restoration objective** changed from Unknown to Enhance tourism, **Funding agency** changed from DOST-PCAARRD to CLGU, **Total units** changed from 7 CNUs/7,800 COPs to Unknown, **Implementing institution** changed from Sangkalikasan Producer Cooperative to CLGU, **Partners_public** changed from Bataan Peninsula State University to PNP, **Reference** changed from DOST-PCAARRD. (n.d.). DOST-PCAARRD National Corals Rehabilitation Program Briefer Report. to Reblando, J. (2012, January 17). Artificial reef, itinanim sa Subic Bay. Punto Pananaw ng Malayang Pilipino Central Luzon. https://punto.com.ph/artificial-reef-itinanim-sa-subic-bay/, **Website** changed from Report uploaded in the Google Drive to https://punto.com.ph/artificial-reef-itinanim-sa-subic-bay/</v>
      </c>
      <c r="I216" s="153" t="s">
        <v>6550</v>
      </c>
      <c r="J216" s="153" t="s">
        <v>293</v>
      </c>
      <c r="K216" s="153" t="s">
        <v>294</v>
      </c>
      <c r="L216" s="153" t="s">
        <v>1291</v>
      </c>
      <c r="M216" s="181" t="s">
        <v>1292</v>
      </c>
      <c r="N216" s="153" t="s">
        <v>151</v>
      </c>
      <c r="O216" s="158" t="s">
        <v>149</v>
      </c>
      <c r="P216" s="154" t="s">
        <v>149</v>
      </c>
      <c r="Q216" s="169">
        <v>2012.0</v>
      </c>
      <c r="R216" s="160" t="s">
        <v>149</v>
      </c>
      <c r="S216" s="160" t="s">
        <v>149</v>
      </c>
      <c r="T216" s="161" t="s">
        <v>150</v>
      </c>
      <c r="U216" s="153">
        <f>IFERROR(__xludf.DUMMYFUNCTION("""COMPUTED_VALUE"""),198.0)</f>
        <v>198</v>
      </c>
      <c r="V216" s="162" t="s">
        <v>3311</v>
      </c>
      <c r="W216" s="187" t="s">
        <v>149</v>
      </c>
      <c r="X216" s="184"/>
      <c r="Y216" s="184" t="s">
        <v>149</v>
      </c>
      <c r="Z216" s="158" t="s">
        <v>149</v>
      </c>
      <c r="AA216" s="158" t="s">
        <v>149</v>
      </c>
      <c r="AB216" s="153" t="s">
        <v>6551</v>
      </c>
      <c r="AC216" s="153" t="s">
        <v>228</v>
      </c>
      <c r="AD216" s="158" t="s">
        <v>160</v>
      </c>
      <c r="AE216" s="158" t="s">
        <v>6035</v>
      </c>
      <c r="AF216" s="158" t="s">
        <v>159</v>
      </c>
      <c r="AG216" s="164" t="s">
        <v>149</v>
      </c>
      <c r="AH216" s="158" t="s">
        <v>149</v>
      </c>
      <c r="AI216" s="158" t="s">
        <v>149</v>
      </c>
      <c r="AJ216" s="153" t="s">
        <v>228</v>
      </c>
      <c r="AK216" s="153" t="s">
        <v>6035</v>
      </c>
      <c r="AL216" s="153" t="s">
        <v>1628</v>
      </c>
      <c r="AM216" s="154" t="s">
        <v>149</v>
      </c>
      <c r="AN216" s="154" t="s">
        <v>149</v>
      </c>
      <c r="AO216" s="156">
        <v>1.0</v>
      </c>
      <c r="AP216" s="156" t="s">
        <v>6037</v>
      </c>
      <c r="AQ216" s="158" t="s">
        <v>166</v>
      </c>
      <c r="AR216" s="153" t="s">
        <v>2736</v>
      </c>
      <c r="AS216" s="165" t="s">
        <v>2737</v>
      </c>
      <c r="AT216" s="154" t="s">
        <v>149</v>
      </c>
      <c r="AU216" s="154" t="s">
        <v>149</v>
      </c>
    </row>
    <row r="217">
      <c r="A217" s="186">
        <v>108.0</v>
      </c>
      <c r="B217" s="152">
        <v>2023.0</v>
      </c>
      <c r="D217" s="152"/>
      <c r="E217" s="151">
        <v>108.0</v>
      </c>
      <c r="F217" s="129" t="s">
        <v>140</v>
      </c>
      <c r="G217" s="3" t="s">
        <v>3279</v>
      </c>
      <c r="H217" s="8" t="str">
        <f>IFERROR(__xludf.DUMMYFUNCTION("""COMPUTED_VALUE"""),"")</f>
        <v/>
      </c>
      <c r="I217" s="8" t="s">
        <v>6552</v>
      </c>
      <c r="J217" s="8" t="s">
        <v>293</v>
      </c>
      <c r="K217" s="8" t="s">
        <v>294</v>
      </c>
      <c r="L217" s="8" t="s">
        <v>295</v>
      </c>
      <c r="M217" s="153" t="s">
        <v>296</v>
      </c>
      <c r="N217" s="8" t="s">
        <v>6062</v>
      </c>
      <c r="O217" s="8" t="s">
        <v>6553</v>
      </c>
      <c r="P217" s="154" t="s">
        <v>149</v>
      </c>
      <c r="Q217" s="142" t="s">
        <v>6145</v>
      </c>
      <c r="R217" s="142" t="s">
        <v>6145</v>
      </c>
      <c r="S217" s="142" t="s">
        <v>16</v>
      </c>
      <c r="U217" s="8">
        <f>IFERROR(__xludf.DUMMYFUNCTION("""COMPUTED_VALUE"""),199.0)</f>
        <v>199</v>
      </c>
      <c r="V217" s="8"/>
      <c r="W217" s="8"/>
      <c r="AA217" s="8" t="s">
        <v>1112</v>
      </c>
      <c r="AB217" s="8" t="s">
        <v>304</v>
      </c>
      <c r="AC217" s="8" t="s">
        <v>305</v>
      </c>
      <c r="AG217" s="154" t="s">
        <v>149</v>
      </c>
      <c r="AH217" s="154" t="s">
        <v>149</v>
      </c>
      <c r="AI217" s="154" t="s">
        <v>149</v>
      </c>
      <c r="AJ217" s="8" t="s">
        <v>6531</v>
      </c>
      <c r="AL217" s="8" t="s">
        <v>6532</v>
      </c>
      <c r="AM217" s="8" t="s">
        <v>6533</v>
      </c>
      <c r="AN217" s="154" t="s">
        <v>149</v>
      </c>
      <c r="AO217" s="8"/>
      <c r="AP217" s="8"/>
      <c r="AR217" s="8" t="s">
        <v>213</v>
      </c>
      <c r="AS217" s="154" t="s">
        <v>149</v>
      </c>
      <c r="AT217" s="8" t="s">
        <v>311</v>
      </c>
      <c r="AU217" s="172" t="s">
        <v>312</v>
      </c>
    </row>
    <row r="218">
      <c r="A218" s="186">
        <v>109.0</v>
      </c>
      <c r="B218" s="152">
        <v>2023.0</v>
      </c>
      <c r="D218" s="152"/>
      <c r="E218" s="151">
        <v>109.0</v>
      </c>
      <c r="F218" s="129" t="s">
        <v>140</v>
      </c>
      <c r="G218" s="3" t="s">
        <v>6029</v>
      </c>
      <c r="H218" s="8" t="str">
        <f>IFERROR(__xludf.DUMMYFUNCTION("""COMPUTED_VALUE"""),"")</f>
        <v/>
      </c>
      <c r="I218" s="8" t="s">
        <v>6554</v>
      </c>
      <c r="J218" s="8" t="s">
        <v>293</v>
      </c>
      <c r="K218" s="8" t="s">
        <v>294</v>
      </c>
      <c r="L218" s="8" t="s">
        <v>295</v>
      </c>
      <c r="M218" s="153" t="s">
        <v>296</v>
      </c>
      <c r="N218" s="8" t="s">
        <v>6221</v>
      </c>
      <c r="O218" s="8" t="s">
        <v>6553</v>
      </c>
      <c r="P218" s="154" t="s">
        <v>149</v>
      </c>
      <c r="Q218" s="142" t="s">
        <v>6145</v>
      </c>
      <c r="R218" s="142" t="s">
        <v>6145</v>
      </c>
      <c r="S218" s="142" t="s">
        <v>16</v>
      </c>
      <c r="T218" s="8"/>
      <c r="U218" s="8">
        <f>IFERROR(__xludf.DUMMYFUNCTION("""COMPUTED_VALUE"""),200.0)</f>
        <v>200</v>
      </c>
      <c r="V218" s="8"/>
      <c r="W218" s="154"/>
      <c r="X218" s="8"/>
      <c r="Y218" s="8"/>
      <c r="AA218" s="154" t="s">
        <v>149</v>
      </c>
      <c r="AB218" s="8" t="s">
        <v>304</v>
      </c>
      <c r="AC218" s="8" t="s">
        <v>305</v>
      </c>
      <c r="AG218" s="154" t="s">
        <v>149</v>
      </c>
      <c r="AH218" s="3" t="s">
        <v>149</v>
      </c>
      <c r="AI218" s="154" t="s">
        <v>149</v>
      </c>
      <c r="AJ218" s="8" t="s">
        <v>6531</v>
      </c>
      <c r="AL218" s="8" t="s">
        <v>6532</v>
      </c>
      <c r="AM218" s="8" t="s">
        <v>6533</v>
      </c>
      <c r="AN218" s="154" t="s">
        <v>149</v>
      </c>
      <c r="AO218" s="8"/>
      <c r="AP218" s="8"/>
      <c r="AR218" s="8" t="s">
        <v>213</v>
      </c>
      <c r="AS218" s="3" t="s">
        <v>149</v>
      </c>
      <c r="AT218" s="8" t="s">
        <v>311</v>
      </c>
      <c r="AU218" s="8" t="s">
        <v>312</v>
      </c>
    </row>
    <row r="219">
      <c r="A219" s="186">
        <v>109.0</v>
      </c>
      <c r="B219" s="152">
        <v>2025.0</v>
      </c>
      <c r="C219" s="153" t="str">
        <f t="shared" ref="C219:C220" si="15">CONCATENATE(D219, "-", M219, "-", A219)
</f>
        <v>2023-PH037114000-109</v>
      </c>
      <c r="D219" s="152">
        <f t="shared" ref="D219:D220" si="16">IF(OR(F218="Published", F218="Unpublished"), 2023, IF(F218="New", 2025, ""))
</f>
        <v>2023</v>
      </c>
      <c r="E219" s="151">
        <v>109.0</v>
      </c>
      <c r="F219" s="156" t="s">
        <v>140</v>
      </c>
      <c r="G219" s="156" t="s">
        <v>141</v>
      </c>
      <c r="H219" s="153" t="str">
        <f>IFERROR(__xludf.DUMMYFUNCTION("""COMPUTED_VALUE"""),"**Restoration_project** changed from An Integrated Approach to Marine Resource Conservation and Sustainable Fisheries Management, to Strengthen Coastal Communities in Zambales to Unknown, **Year of establishment** changed from 2022 to 2021, **Project Star"&amp;"t** changed from 2022 to Unknown, **Project End** changed from 2024 to Unknown, **Restoration method** changed from Sexual Reproduction to Artificial Reef, **Technique/Material Type** changed from Unknown to Reefbuds, **Restoration objective** changed fro"&amp;"m Enhance fish stock; community education/engagement to Fish sanctuary, **Funding agency** changed from Mead Foundation to All Hands Beach Resort, **Total units** changed from Unknown to 58 buds, **Implementing institution** changed from Mead Foundation, "&amp;"UP MSI to All Hands Beach Resort, **Partners_public** changed from MLGU, DFAT to Unknown, **Partners_private** changed from MERF, University of Southern Cross, ACIAR to Sangkalikasan Producer Cooperative, **Reference** changed from Survey to Aglibot, J. R"&amp;". (2021, April 8). Beach resort in Subic Bay turns to artificial coral reefs to preserve marine ecosystem. https://newsinfo.inquirer.net/1416313/beach-resort-in-subic-bay-turns-to-artificial-coral-reefs-to-preserve-marine-ecosystem, **Website** changed fr"&amp;"om Unknown to https://newsinfo.inquirer.net/1416313/beach-resort-in-subic-bay-turns-to-artificial-coral-reefs-to-preserve-marine-ecosystem, **Contact_name** changed from Karen Chan; Mead Foundation to Unknown, **Contact_details** changed from karen@mead-f"&amp;"oundation.org; 09175111210 to Unknown")</f>
        <v>**Restoration_project** changed from An Integrated Approach to Marine Resource Conservation and Sustainable Fisheries Management, to Strengthen Coastal Communities in Zambales to Unknown, **Year of establishment** changed from 2022 to 2021, **Project Start** changed from 2022 to Unknown, **Project End** changed from 2024 to Unknown, **Restoration method** changed from Sexual Reproduction to Artificial Reef, **Technique/Material Type** changed from Unknown to Reefbuds, **Restoration objective** changed from Enhance fish stock; community education/engagement to Fish sanctuary, **Funding agency** changed from Mead Foundation to All Hands Beach Resort, **Total units** changed from Unknown to 58 buds, **Implementing institution** changed from Mead Foundation, UP MSI to All Hands Beach Resort, **Partners_public** changed from MLGU, DFAT to Unknown, **Partners_private** changed from MERF, University of Southern Cross, ACIAR to Sangkalikasan Producer Cooperative, **Reference** changed from Survey to Aglibot, J. R. (2021, April 8). Beach resort in Subic Bay turns to artificial coral reefs to preserve marine ecosystem. https://newsinfo.inquirer.net/1416313/beach-resort-in-subic-bay-turns-to-artificial-coral-reefs-to-preserve-marine-ecosystem, **Website** changed from Unknown to https://newsinfo.inquirer.net/1416313/beach-resort-in-subic-bay-turns-to-artificial-coral-reefs-to-preserve-marine-ecosystem, **Contact_name** changed from Karen Chan; Mead Foundation to Unknown, **Contact_details** changed from karen@mead-foundation.org; 09175111210 to Unknown</v>
      </c>
      <c r="I219" s="153" t="s">
        <v>6555</v>
      </c>
      <c r="J219" s="153" t="s">
        <v>293</v>
      </c>
      <c r="K219" s="153" t="s">
        <v>294</v>
      </c>
      <c r="L219" s="153" t="s">
        <v>1291</v>
      </c>
      <c r="M219" s="157" t="s">
        <v>1292</v>
      </c>
      <c r="N219" s="153" t="s">
        <v>151</v>
      </c>
      <c r="O219" s="158" t="s">
        <v>149</v>
      </c>
      <c r="P219" s="154" t="s">
        <v>149</v>
      </c>
      <c r="Q219" s="169">
        <v>2021.0</v>
      </c>
      <c r="R219" s="160" t="s">
        <v>149</v>
      </c>
      <c r="S219" s="160" t="s">
        <v>149</v>
      </c>
      <c r="T219" s="161" t="s">
        <v>150</v>
      </c>
      <c r="U219" s="153">
        <f>IFERROR(__xludf.DUMMYFUNCTION("""COMPUTED_VALUE"""),201.0)</f>
        <v>201</v>
      </c>
      <c r="V219" s="162" t="s">
        <v>3311</v>
      </c>
      <c r="W219" s="179" t="s">
        <v>6032</v>
      </c>
      <c r="X219" s="28" t="s">
        <v>6033</v>
      </c>
      <c r="Y219" s="32" t="s">
        <v>851</v>
      </c>
      <c r="Z219" s="158" t="s">
        <v>851</v>
      </c>
      <c r="AA219" s="153" t="s">
        <v>851</v>
      </c>
      <c r="AB219" s="153" t="s">
        <v>6556</v>
      </c>
      <c r="AC219" s="153" t="s">
        <v>1941</v>
      </c>
      <c r="AD219" s="158" t="s">
        <v>160</v>
      </c>
      <c r="AE219" s="158" t="s">
        <v>184</v>
      </c>
      <c r="AF219" s="158" t="s">
        <v>159</v>
      </c>
      <c r="AG219" s="164" t="s">
        <v>149</v>
      </c>
      <c r="AH219" s="158" t="s">
        <v>149</v>
      </c>
      <c r="AI219" s="153" t="s">
        <v>6557</v>
      </c>
      <c r="AJ219" s="153" t="s">
        <v>1941</v>
      </c>
      <c r="AK219" s="158" t="s">
        <v>184</v>
      </c>
      <c r="AL219" s="154" t="s">
        <v>149</v>
      </c>
      <c r="AM219" s="153" t="s">
        <v>1703</v>
      </c>
      <c r="AN219" s="154" t="s">
        <v>149</v>
      </c>
      <c r="AO219" s="156">
        <v>1.0</v>
      </c>
      <c r="AP219" s="156" t="s">
        <v>6037</v>
      </c>
      <c r="AQ219" s="158" t="s">
        <v>166</v>
      </c>
      <c r="AR219" s="153" t="s">
        <v>6558</v>
      </c>
      <c r="AS219" s="165" t="s">
        <v>1945</v>
      </c>
      <c r="AT219" s="154" t="s">
        <v>149</v>
      </c>
      <c r="AU219" s="154" t="s">
        <v>149</v>
      </c>
    </row>
    <row r="220">
      <c r="A220" s="186">
        <v>110.0</v>
      </c>
      <c r="B220" s="152">
        <v>2025.0</v>
      </c>
      <c r="C220" s="153" t="str">
        <f t="shared" si="15"/>
        <v>2023-PH041003000-110</v>
      </c>
      <c r="D220" s="152">
        <f t="shared" si="16"/>
        <v>2023</v>
      </c>
      <c r="E220" s="151">
        <v>110.0</v>
      </c>
      <c r="F220" s="156" t="s">
        <v>191</v>
      </c>
      <c r="G220" s="156" t="s">
        <v>191</v>
      </c>
      <c r="H220" s="153" t="str">
        <f>IFERROR(__xludf.DUMMYFUNCTION("""COMPUTED_VALUE"""),"**Region** changed from III to IV-A, **Restoration_project_short** changed from Unknown to Site in Brgy Carenahan; inside MPA, **Year of establishment** changed from 2021 to 2022, **Technique/Material Type** changed from Reefbuds to Unknown, **Restoration"&amp;" objective** changed from Fish sanctuary to Unknown, **Funding agency** changed from All Hands Beach Resort to Semirara Mining and Power Corporation, **Total units** changed from 58 buds to 100 units, **Implementing institution** changed from All Hands Be"&amp;"ach Resort to Sem-Calaca Power Corporation &amp; Southwest Luzon Power Generation Corporation, **Partners_public** changed from Unknown to Department of Energy, **Partners_private** changed from Sangkalikasan Producer Cooperative to Unknown, **Reference** cha"&amp;"nged from Aglibot, J. R. (2021, April 8). Beach resort in Subic Bay turns to artificial coral reefs to preserve marine ecosystem. https://newsinfo.inquirer.net/1416313/beach-resort-in-subic-bay-turns-to-artificial-coral-reefs-to-preserve-marine-ecosystem "&amp;"to Panay News (2022, October 7). SMPC turns over 40 fiberglass bancas for fishing livelihood. Panay News. https://www.panaynews.net/smpc-turns-over-40-fiberglass-bancas-for-fishing-livelihood/, **Website** changed from https://newsinfo.inquirer.net/141631"&amp;"3/beach-resort-in-subic-bay-turns-to-artificial-coral-reefs-to-preserve-marine-ecosystem to https://www.panaynews.net/smpc-turns-over-40-fiberglass-bancas-for-fishing-livelihood/")</f>
        <v>**Region** changed from III to IV-A, **Restoration_project_short** changed from Unknown to Site in Brgy Carenahan; inside MPA, **Year of establishment** changed from 2021 to 2022, **Technique/Material Type** changed from Reefbuds to Unknown, **Restoration objective** changed from Fish sanctuary to Unknown, **Funding agency** changed from All Hands Beach Resort to Semirara Mining and Power Corporation, **Total units** changed from 58 buds to 100 units, **Implementing institution** changed from All Hands Beach Resort to Sem-Calaca Power Corporation &amp; Southwest Luzon Power Generation Corporation, **Partners_public** changed from Unknown to Department of Energy, **Partners_private** changed from Sangkalikasan Producer Cooperative to Unknown, **Reference** changed from Aglibot, J. R. (2021, April 8). Beach resort in Subic Bay turns to artificial coral reefs to preserve marine ecosystem. https://newsinfo.inquirer.net/1416313/beach-resort-in-subic-bay-turns-to-artificial-coral-reefs-to-preserve-marine-ecosystem to Panay News (2022, October 7). SMPC turns over 40 fiberglass bancas for fishing livelihood. Panay News. https://www.panaynews.net/smpc-turns-over-40-fiberglass-bancas-for-fishing-livelihood/, **Website** changed from https://newsinfo.inquirer.net/1416313/beach-resort-in-subic-bay-turns-to-artificial-coral-reefs-to-preserve-marine-ecosystem to https://www.panaynews.net/smpc-turns-over-40-fiberglass-bancas-for-fishing-livelihood/</v>
      </c>
      <c r="I220" s="153" t="s">
        <v>6559</v>
      </c>
      <c r="J220" s="153" t="s">
        <v>257</v>
      </c>
      <c r="K220" s="153" t="s">
        <v>258</v>
      </c>
      <c r="L220" s="153" t="s">
        <v>3075</v>
      </c>
      <c r="M220" s="157" t="s">
        <v>3076</v>
      </c>
      <c r="N220" s="153" t="s">
        <v>151</v>
      </c>
      <c r="O220" s="158" t="s">
        <v>149</v>
      </c>
      <c r="P220" s="153" t="s">
        <v>6560</v>
      </c>
      <c r="Q220" s="169">
        <v>2022.0</v>
      </c>
      <c r="R220" s="160" t="s">
        <v>149</v>
      </c>
      <c r="S220" s="160" t="s">
        <v>149</v>
      </c>
      <c r="T220" s="161" t="s">
        <v>150</v>
      </c>
      <c r="U220" s="153">
        <f>IFERROR(__xludf.DUMMYFUNCTION("""COMPUTED_VALUE"""),202.0)</f>
        <v>202</v>
      </c>
      <c r="V220" s="162" t="s">
        <v>3311</v>
      </c>
      <c r="W220" s="187" t="s">
        <v>149</v>
      </c>
      <c r="X220" s="184"/>
      <c r="Y220" s="184" t="s">
        <v>149</v>
      </c>
      <c r="Z220" s="158" t="s">
        <v>149</v>
      </c>
      <c r="AA220" s="158" t="s">
        <v>149</v>
      </c>
      <c r="AB220" s="158" t="s">
        <v>149</v>
      </c>
      <c r="AC220" s="153" t="s">
        <v>2664</v>
      </c>
      <c r="AD220" s="158" t="s">
        <v>160</v>
      </c>
      <c r="AE220" s="158" t="s">
        <v>184</v>
      </c>
      <c r="AF220" s="158" t="s">
        <v>159</v>
      </c>
      <c r="AG220" s="164" t="s">
        <v>149</v>
      </c>
      <c r="AH220" s="158" t="s">
        <v>149</v>
      </c>
      <c r="AI220" s="153" t="s">
        <v>795</v>
      </c>
      <c r="AJ220" s="153" t="s">
        <v>3078</v>
      </c>
      <c r="AK220" s="153" t="s">
        <v>184</v>
      </c>
      <c r="AL220" s="153" t="s">
        <v>3079</v>
      </c>
      <c r="AM220" s="156" t="s">
        <v>149</v>
      </c>
      <c r="AN220" s="156" t="s">
        <v>149</v>
      </c>
      <c r="AO220" s="156">
        <v>1.0</v>
      </c>
      <c r="AP220" s="156" t="s">
        <v>6037</v>
      </c>
      <c r="AQ220" s="158" t="s">
        <v>166</v>
      </c>
      <c r="AR220" s="153" t="s">
        <v>2665</v>
      </c>
      <c r="AS220" s="172" t="s">
        <v>2666</v>
      </c>
      <c r="AT220" s="156" t="s">
        <v>149</v>
      </c>
      <c r="AU220" s="156" t="s">
        <v>149</v>
      </c>
    </row>
    <row r="221">
      <c r="A221" s="186">
        <v>110.0</v>
      </c>
      <c r="B221" s="152">
        <v>2023.0</v>
      </c>
      <c r="D221" s="152"/>
      <c r="E221" s="151">
        <v>110.0</v>
      </c>
      <c r="F221" s="129" t="s">
        <v>140</v>
      </c>
      <c r="G221" s="3" t="s">
        <v>6029</v>
      </c>
      <c r="H221" s="8" t="str">
        <f>IFERROR(__xludf.DUMMYFUNCTION("""COMPUTED_VALUE"""),"")</f>
        <v/>
      </c>
      <c r="I221" s="8" t="s">
        <v>6561</v>
      </c>
      <c r="J221" s="8" t="s">
        <v>293</v>
      </c>
      <c r="K221" s="8" t="s">
        <v>294</v>
      </c>
      <c r="L221" s="8" t="s">
        <v>950</v>
      </c>
      <c r="M221" s="201" t="s">
        <v>951</v>
      </c>
      <c r="N221" s="8" t="s">
        <v>6062</v>
      </c>
      <c r="O221" s="8" t="s">
        <v>934</v>
      </c>
      <c r="P221" s="154" t="s">
        <v>149</v>
      </c>
      <c r="Q221" s="142" t="s">
        <v>6229</v>
      </c>
      <c r="R221" s="142" t="s">
        <v>6229</v>
      </c>
      <c r="S221" s="142" t="s">
        <v>6230</v>
      </c>
      <c r="T221" s="8"/>
      <c r="U221" s="8">
        <f>IFERROR(__xludf.DUMMYFUNCTION("""COMPUTED_VALUE"""),203.0)</f>
        <v>203</v>
      </c>
      <c r="V221" s="8"/>
      <c r="W221" s="3"/>
      <c r="X221" s="8"/>
      <c r="Y221" s="8"/>
      <c r="AA221" s="3" t="s">
        <v>3245</v>
      </c>
      <c r="AB221" s="8" t="s">
        <v>939</v>
      </c>
      <c r="AC221" s="8" t="s">
        <v>940</v>
      </c>
      <c r="AG221" s="154" t="s">
        <v>149</v>
      </c>
      <c r="AH221" s="154" t="s">
        <v>149</v>
      </c>
      <c r="AI221" s="154" t="s">
        <v>149</v>
      </c>
      <c r="AJ221" s="8" t="s">
        <v>233</v>
      </c>
      <c r="AL221" s="154" t="s">
        <v>149</v>
      </c>
      <c r="AM221" s="154" t="s">
        <v>149</v>
      </c>
      <c r="AN221" s="154" t="s">
        <v>149</v>
      </c>
      <c r="AO221" s="8"/>
      <c r="AP221" s="8"/>
      <c r="AR221" s="8" t="s">
        <v>6214</v>
      </c>
      <c r="AS221" s="8" t="s">
        <v>942</v>
      </c>
      <c r="AT221" s="8" t="s">
        <v>943</v>
      </c>
      <c r="AU221" s="154" t="s">
        <v>149</v>
      </c>
    </row>
    <row r="222">
      <c r="A222" s="186">
        <v>111.0</v>
      </c>
      <c r="B222" s="152">
        <v>2023.0</v>
      </c>
      <c r="D222" s="152"/>
      <c r="E222" s="151">
        <v>111.0</v>
      </c>
      <c r="F222" s="129" t="s">
        <v>140</v>
      </c>
      <c r="G222" s="3" t="s">
        <v>6029</v>
      </c>
      <c r="H222" s="8" t="str">
        <f>IFERROR(__xludf.DUMMYFUNCTION("""COMPUTED_VALUE"""),"")</f>
        <v/>
      </c>
      <c r="I222" s="8" t="s">
        <v>6562</v>
      </c>
      <c r="J222" s="8" t="s">
        <v>293</v>
      </c>
      <c r="K222" s="8" t="s">
        <v>294</v>
      </c>
      <c r="L222" s="8" t="s">
        <v>3070</v>
      </c>
      <c r="M222" s="153" t="s">
        <v>3071</v>
      </c>
      <c r="N222" s="8" t="s">
        <v>151</v>
      </c>
      <c r="O222" s="154" t="s">
        <v>149</v>
      </c>
      <c r="P222" s="154" t="s">
        <v>149</v>
      </c>
      <c r="Q222" s="154" t="s">
        <v>149</v>
      </c>
      <c r="R222" s="154" t="s">
        <v>149</v>
      </c>
      <c r="S222" s="154" t="s">
        <v>149</v>
      </c>
      <c r="T222" s="8"/>
      <c r="U222" s="8">
        <f>IFERROR(__xludf.DUMMYFUNCTION("""COMPUTED_VALUE"""),204.0)</f>
        <v>204</v>
      </c>
      <c r="V222" s="8"/>
      <c r="W222" s="154"/>
      <c r="X222" s="8"/>
      <c r="Y222" s="8"/>
      <c r="AA222" s="154" t="s">
        <v>149</v>
      </c>
      <c r="AB222" s="154" t="s">
        <v>149</v>
      </c>
      <c r="AC222" s="154" t="s">
        <v>149</v>
      </c>
      <c r="AG222" s="154" t="s">
        <v>149</v>
      </c>
      <c r="AH222" s="154" t="s">
        <v>149</v>
      </c>
      <c r="AI222" s="154" t="s">
        <v>149</v>
      </c>
      <c r="AJ222" s="154" t="s">
        <v>149</v>
      </c>
      <c r="AL222" s="154" t="s">
        <v>149</v>
      </c>
      <c r="AM222" s="154" t="s">
        <v>149</v>
      </c>
      <c r="AN222" s="154" t="s">
        <v>149</v>
      </c>
      <c r="AO222" s="8"/>
      <c r="AP222" s="8"/>
      <c r="AR222" s="8" t="s">
        <v>166</v>
      </c>
      <c r="AS222" s="8" t="s">
        <v>2737</v>
      </c>
      <c r="AT222" s="154" t="s">
        <v>149</v>
      </c>
      <c r="AU222" s="154" t="s">
        <v>149</v>
      </c>
    </row>
    <row r="223">
      <c r="A223" s="151">
        <v>111.0</v>
      </c>
      <c r="B223" s="152">
        <v>2025.0</v>
      </c>
      <c r="C223" s="153" t="str">
        <f>CONCATENATE(D223, "-", M223, "-", A223)
</f>
        <v>2023-PH041005000-111</v>
      </c>
      <c r="D223" s="152">
        <f>IF(OR(F222="Published", F222="Unpublished"), 2023, IF(F222="New", 2025, ""))
</f>
        <v>2023</v>
      </c>
      <c r="E223" s="151">
        <v>111.0</v>
      </c>
      <c r="F223" s="156" t="s">
        <v>140</v>
      </c>
      <c r="G223" s="156" t="s">
        <v>141</v>
      </c>
      <c r="H223" s="153" t="str">
        <f>IFERROR(__xludf.DUMMYFUNCTION("""COMPUTED_VALUE"""),"**Region** changed from III to IV-A, **Restoration_project_short** changed from Unknown to Site in Brgy Simlong, **Year of establishment** changed from Unknown to 2002, **Technique/Material Type** changed from Unknown to Concrete pyramid, **Restoration ob"&amp;"jective** changed from Unknown to Enhance the immediate shallow water coastal habitat of Simlong by providing a stable substrate for coral settlement and growth, as well as acting as shelter for reef fish, **Funding agency** changed from Unknown to JG Sum"&amp;"mit Petrochemicals, **Total area of restoration** changed from Unknown to 12.5 sq. m., **Total units** changed from Unknown to 23 blocks, **Implementing institution** changed from Unknown to JG Summit Petrochemicals, **Reference** changed from News/Press "&amp;"Release to JG Summit Team (2019, June 29). JGSPG's Artificial Reef Project Continues to Attract Marine Life. https://www.jgsummit.com.ph/impact/jgspg-s-artificial-reef-project-continues-to-attract-marine-life-20190629, **Website** changed from https://pun"&amp;"to.com.ph/artificial-reef-itinanim-sa-subic-bay/ to https://www.jgsummit.com.ph/impact/jgspg-s-artificial-reef-project-continues-to-attract-marine-life-20190629")</f>
        <v>**Region** changed from III to IV-A, **Restoration_project_short** changed from Unknown to Site in Brgy Simlong, **Year of establishment** changed from Unknown to 2002, **Technique/Material Type** changed from Unknown to Concrete pyramid, **Restoration objective** changed from Unknown to Enhance the immediate shallow water coastal habitat of Simlong by providing a stable substrate for coral settlement and growth, as well as acting as shelter for reef fish, **Funding agency** changed from Unknown to JG Summit Petrochemicals, **Total area of restoration** changed from Unknown to 12.5 sq. m., **Total units** changed from Unknown to 23 blocks, **Implementing institution** changed from Unknown to JG Summit Petrochemicals, **Reference** changed from News/Press Release to JG Summit Team (2019, June 29). JGSPG's Artificial Reef Project Continues to Attract Marine Life. https://www.jgsummit.com.ph/impact/jgspg-s-artificial-reef-project-continues-to-attract-marine-life-20190629, **Website** changed from https://punto.com.ph/artificial-reef-itinanim-sa-subic-bay/ to https://www.jgsummit.com.ph/impact/jgspg-s-artificial-reef-project-continues-to-attract-marine-life-20190629</v>
      </c>
      <c r="I223" s="153" t="s">
        <v>6563</v>
      </c>
      <c r="J223" s="153" t="s">
        <v>257</v>
      </c>
      <c r="K223" s="153" t="s">
        <v>258</v>
      </c>
      <c r="L223" s="153" t="s">
        <v>2424</v>
      </c>
      <c r="M223" s="181" t="s">
        <v>2425</v>
      </c>
      <c r="N223" s="153" t="s">
        <v>151</v>
      </c>
      <c r="O223" s="158" t="s">
        <v>149</v>
      </c>
      <c r="P223" s="158" t="s">
        <v>2426</v>
      </c>
      <c r="Q223" s="169">
        <v>2002.0</v>
      </c>
      <c r="R223" s="164" t="s">
        <v>149</v>
      </c>
      <c r="S223" s="164" t="s">
        <v>149</v>
      </c>
      <c r="T223" s="161" t="s">
        <v>150</v>
      </c>
      <c r="U223" s="153">
        <f>IFERROR(__xludf.DUMMYFUNCTION("""COMPUTED_VALUE"""),205.0)</f>
        <v>205</v>
      </c>
      <c r="V223" s="162" t="s">
        <v>3311</v>
      </c>
      <c r="W223" s="184" t="s">
        <v>6032</v>
      </c>
      <c r="X223" s="28" t="s">
        <v>6033</v>
      </c>
      <c r="Y223" s="32" t="s">
        <v>2427</v>
      </c>
      <c r="Z223" s="158" t="s">
        <v>2427</v>
      </c>
      <c r="AA223" s="158" t="s">
        <v>2427</v>
      </c>
      <c r="AB223" s="158" t="s">
        <v>2428</v>
      </c>
      <c r="AC223" s="153" t="s">
        <v>2429</v>
      </c>
      <c r="AD223" s="153" t="s">
        <v>160</v>
      </c>
      <c r="AE223" s="153" t="s">
        <v>184</v>
      </c>
      <c r="AF223" s="153" t="s">
        <v>159</v>
      </c>
      <c r="AG223" s="164" t="s">
        <v>149</v>
      </c>
      <c r="AH223" s="158" t="s">
        <v>6564</v>
      </c>
      <c r="AI223" s="153" t="s">
        <v>2431</v>
      </c>
      <c r="AJ223" s="153" t="s">
        <v>2429</v>
      </c>
      <c r="AK223" s="158" t="s">
        <v>184</v>
      </c>
      <c r="AL223" s="154" t="s">
        <v>149</v>
      </c>
      <c r="AM223" s="154" t="s">
        <v>149</v>
      </c>
      <c r="AN223" s="154" t="s">
        <v>149</v>
      </c>
      <c r="AO223" s="156">
        <v>1.0</v>
      </c>
      <c r="AP223" s="156" t="s">
        <v>6037</v>
      </c>
      <c r="AQ223" s="158" t="s">
        <v>6027</v>
      </c>
      <c r="AR223" s="153" t="s">
        <v>2432</v>
      </c>
      <c r="AS223" s="165" t="s">
        <v>2433</v>
      </c>
      <c r="AT223" s="154" t="s">
        <v>149</v>
      </c>
      <c r="AU223" s="154" t="s">
        <v>149</v>
      </c>
    </row>
    <row r="224">
      <c r="A224" s="186">
        <v>112.0</v>
      </c>
      <c r="B224" s="152">
        <v>2023.0</v>
      </c>
      <c r="D224" s="152"/>
      <c r="E224" s="151">
        <v>112.0</v>
      </c>
      <c r="F224" s="129" t="s">
        <v>140</v>
      </c>
      <c r="G224" s="3" t="s">
        <v>6029</v>
      </c>
      <c r="H224" s="8" t="str">
        <f>IFERROR(__xludf.DUMMYFUNCTION("""COMPUTED_VALUE"""),"")</f>
        <v/>
      </c>
      <c r="I224" s="8" t="s">
        <v>6565</v>
      </c>
      <c r="J224" s="8" t="s">
        <v>293</v>
      </c>
      <c r="K224" s="8" t="s">
        <v>294</v>
      </c>
      <c r="L224" s="8" t="s">
        <v>420</v>
      </c>
      <c r="M224" s="153" t="s">
        <v>708</v>
      </c>
      <c r="N224" s="8" t="s">
        <v>151</v>
      </c>
      <c r="O224" s="8" t="s">
        <v>709</v>
      </c>
      <c r="P224" s="154" t="s">
        <v>149</v>
      </c>
      <c r="Q224" s="142" t="s">
        <v>6151</v>
      </c>
      <c r="R224" s="154" t="s">
        <v>149</v>
      </c>
      <c r="S224" s="154" t="s">
        <v>149</v>
      </c>
      <c r="T224" s="8"/>
      <c r="U224" s="8">
        <f>IFERROR(__xludf.DUMMYFUNCTION("""COMPUTED_VALUE"""),206.0)</f>
        <v>206</v>
      </c>
      <c r="V224" s="8"/>
      <c r="W224" s="154"/>
      <c r="X224" s="8"/>
      <c r="Y224" s="8"/>
      <c r="AA224" s="154" t="s">
        <v>149</v>
      </c>
      <c r="AB224" s="8" t="s">
        <v>710</v>
      </c>
      <c r="AC224" s="8" t="s">
        <v>369</v>
      </c>
      <c r="AG224" s="154" t="s">
        <v>149</v>
      </c>
      <c r="AH224" s="154" t="s">
        <v>149</v>
      </c>
      <c r="AI224" s="154" t="s">
        <v>149</v>
      </c>
      <c r="AJ224" s="8" t="s">
        <v>369</v>
      </c>
      <c r="AL224" s="8" t="s">
        <v>711</v>
      </c>
      <c r="AM224" s="154" t="s">
        <v>149</v>
      </c>
      <c r="AN224" s="154" t="s">
        <v>149</v>
      </c>
      <c r="AO224" s="8"/>
      <c r="AP224" s="8"/>
      <c r="AR224" s="8" t="s">
        <v>213</v>
      </c>
      <c r="AS224" s="154" t="s">
        <v>149</v>
      </c>
      <c r="AT224" s="8" t="s">
        <v>712</v>
      </c>
      <c r="AU224" s="199">
        <v>9.50341767E9</v>
      </c>
    </row>
    <row r="225">
      <c r="A225" s="151">
        <v>112.0</v>
      </c>
      <c r="B225" s="152">
        <v>2025.0</v>
      </c>
      <c r="C225" s="153" t="str">
        <f>CONCATENATE(D225, "-", M225, "-", A225)
</f>
        <v>2023-PH041005000-112</v>
      </c>
      <c r="D225" s="152">
        <f>IF(OR(F224="Published", F224="Unpublished"), 2023, IF(F224="New", 2025, ""))
</f>
        <v>2023</v>
      </c>
      <c r="E225" s="151">
        <v>112.0</v>
      </c>
      <c r="F225" s="156" t="s">
        <v>140</v>
      </c>
      <c r="G225" s="156" t="s">
        <v>141</v>
      </c>
      <c r="H225" s="153" t="str">
        <f>IFERROR(__xludf.DUMMYFUNCTION("""COMPUTED_VALUE"""),"**Region** changed from III to IV-A, **Restoration_project** changed from Bioconservation Project under DENR ICRM to Unknown, **Restoration_project_short** changed from Unknown to Site in Brgy Simlong, **Year of establishment** changed from 2012 to 2015, "&amp;"**Technique/Material Type** changed from Unknown to Concrete pyramid, **Restoration objective** changed from Restore degraded reef to Enhance the immediate shallow water coastal habitat of Simlong by providing a stable substrate for coral settlement and g"&amp;"rowth, as well as acting as shelter for reef fish, **Funding agency** changed from MLGU to JG Summit Petrochemicals, **Total area of restoration** changed from Unknown to 100 sq. m., **Total units** changed from Unknown to 220 blocks, **Implementing insti"&amp;"tution** changed from MLGU to JG Summit Petrochemicals, **Partners_public** changed from DENR 3 to Unknown, **Reference** changed from Survey to JG Summit Team (2019, June 29). JGSPG's Artificial Reef Project Continues to Attract Marine Life. https://www."&amp;"jgsummit.com.ph/impact/jgspg-s-artificial-reef-project-continues-to-attract-marine-life-20190629, **Website** changed from Unknown to https://www.jgsummit.com.ph/impact/jgspg-s-artificial-reef-project-continues-to-attract-marine-life-20190629, **Contact_n"&amp;"ame** changed from Linos Mejos to Unknown, **Contact_details** changed from 9503417670 to Unknown")</f>
        <v>**Region** changed from III to IV-A, **Restoration_project** changed from Bioconservation Project under DENR ICRM to Unknown, **Restoration_project_short** changed from Unknown to Site in Brgy Simlong, **Year of establishment** changed from 2012 to 2015, **Technique/Material Type** changed from Unknown to Concrete pyramid, **Restoration objective** changed from Restore degraded reef to Enhance the immediate shallow water coastal habitat of Simlong by providing a stable substrate for coral settlement and growth, as well as acting as shelter for reef fish, **Funding agency** changed from MLGU to JG Summit Petrochemicals, **Total area of restoration** changed from Unknown to 100 sq. m., **Total units** changed from Unknown to 220 blocks, **Implementing institution** changed from MLGU to JG Summit Petrochemicals, **Partners_public** changed from DENR 3 to Unknown, **Reference** changed from Survey to JG Summit Team (2019, June 29). JGSPG's Artificial Reef Project Continues to Attract Marine Life. https://www.jgsummit.com.ph/impact/jgspg-s-artificial-reef-project-continues-to-attract-marine-life-20190629, **Website** changed from Unknown to https://www.jgsummit.com.ph/impact/jgspg-s-artificial-reef-project-continues-to-attract-marine-life-20190629, **Contact_name** changed from Linos Mejos to Unknown, **Contact_details** changed from 9503417670 to Unknown</v>
      </c>
      <c r="I225" s="153" t="s">
        <v>6566</v>
      </c>
      <c r="J225" s="153" t="s">
        <v>257</v>
      </c>
      <c r="K225" s="153" t="s">
        <v>258</v>
      </c>
      <c r="L225" s="153" t="s">
        <v>2424</v>
      </c>
      <c r="M225" s="181" t="s">
        <v>2425</v>
      </c>
      <c r="N225" s="153" t="s">
        <v>151</v>
      </c>
      <c r="O225" s="158" t="s">
        <v>149</v>
      </c>
      <c r="P225" s="158" t="s">
        <v>2426</v>
      </c>
      <c r="Q225" s="169">
        <v>2015.0</v>
      </c>
      <c r="R225" s="160" t="s">
        <v>149</v>
      </c>
      <c r="S225" s="160" t="s">
        <v>149</v>
      </c>
      <c r="T225" s="161" t="s">
        <v>150</v>
      </c>
      <c r="U225" s="153">
        <f>IFERROR(__xludf.DUMMYFUNCTION("""COMPUTED_VALUE"""),207.0)</f>
        <v>207</v>
      </c>
      <c r="V225" s="162" t="s">
        <v>3311</v>
      </c>
      <c r="W225" s="184" t="s">
        <v>6032</v>
      </c>
      <c r="X225" s="28" t="s">
        <v>6033</v>
      </c>
      <c r="Y225" s="32" t="s">
        <v>2427</v>
      </c>
      <c r="Z225" s="158" t="s">
        <v>2427</v>
      </c>
      <c r="AA225" s="158" t="s">
        <v>2427</v>
      </c>
      <c r="AB225" s="158" t="s">
        <v>2428</v>
      </c>
      <c r="AC225" s="153" t="s">
        <v>2429</v>
      </c>
      <c r="AD225" s="158" t="s">
        <v>160</v>
      </c>
      <c r="AE225" s="158" t="s">
        <v>184</v>
      </c>
      <c r="AF225" s="158" t="s">
        <v>159</v>
      </c>
      <c r="AG225" s="164" t="s">
        <v>149</v>
      </c>
      <c r="AH225" s="158" t="s">
        <v>6567</v>
      </c>
      <c r="AI225" s="153" t="s">
        <v>2435</v>
      </c>
      <c r="AJ225" s="153" t="s">
        <v>2429</v>
      </c>
      <c r="AK225" s="158" t="s">
        <v>184</v>
      </c>
      <c r="AL225" s="154" t="s">
        <v>149</v>
      </c>
      <c r="AM225" s="154" t="s">
        <v>149</v>
      </c>
      <c r="AN225" s="154" t="s">
        <v>149</v>
      </c>
      <c r="AO225" s="156">
        <v>1.0</v>
      </c>
      <c r="AP225" s="156" t="s">
        <v>6037</v>
      </c>
      <c r="AQ225" s="158" t="s">
        <v>6027</v>
      </c>
      <c r="AR225" s="153" t="s">
        <v>2432</v>
      </c>
      <c r="AS225" s="165" t="s">
        <v>2433</v>
      </c>
      <c r="AT225" s="154" t="s">
        <v>149</v>
      </c>
      <c r="AU225" s="154" t="s">
        <v>149</v>
      </c>
    </row>
    <row r="226">
      <c r="A226" s="186">
        <v>113.0</v>
      </c>
      <c r="B226" s="152">
        <v>2023.0</v>
      </c>
      <c r="D226" s="152"/>
      <c r="E226" s="151">
        <v>113.0</v>
      </c>
      <c r="F226" s="129" t="s">
        <v>140</v>
      </c>
      <c r="G226" s="3" t="s">
        <v>6029</v>
      </c>
      <c r="H226" s="8" t="str">
        <f>IFERROR(__xludf.DUMMYFUNCTION("""COMPUTED_VALUE"""),"")</f>
        <v/>
      </c>
      <c r="I226" s="8" t="s">
        <v>6568</v>
      </c>
      <c r="J226" s="8" t="s">
        <v>293</v>
      </c>
      <c r="K226" s="8" t="s">
        <v>294</v>
      </c>
      <c r="L226" s="8" t="s">
        <v>1291</v>
      </c>
      <c r="M226" s="153" t="s">
        <v>1292</v>
      </c>
      <c r="N226" s="8" t="s">
        <v>6062</v>
      </c>
      <c r="O226" s="8" t="s">
        <v>1174</v>
      </c>
      <c r="P226" s="154" t="s">
        <v>149</v>
      </c>
      <c r="Q226" s="154" t="s">
        <v>149</v>
      </c>
      <c r="R226" s="142" t="s">
        <v>6151</v>
      </c>
      <c r="S226" s="142" t="s">
        <v>6089</v>
      </c>
      <c r="T226" s="8"/>
      <c r="U226" s="8">
        <f>IFERROR(__xludf.DUMMYFUNCTION("""COMPUTED_VALUE"""),208.0)</f>
        <v>208</v>
      </c>
      <c r="V226" s="8"/>
      <c r="W226" s="8"/>
      <c r="X226" s="8"/>
      <c r="Y226" s="8"/>
      <c r="AA226" s="8" t="s">
        <v>320</v>
      </c>
      <c r="AB226" s="154" t="s">
        <v>149</v>
      </c>
      <c r="AC226" s="8" t="s">
        <v>321</v>
      </c>
      <c r="AG226" s="154" t="s">
        <v>149</v>
      </c>
      <c r="AH226" s="154" t="s">
        <v>149</v>
      </c>
      <c r="AI226" s="154" t="s">
        <v>149</v>
      </c>
      <c r="AJ226" s="8" t="s">
        <v>885</v>
      </c>
      <c r="AL226" s="8" t="s">
        <v>1287</v>
      </c>
      <c r="AM226" s="154" t="s">
        <v>149</v>
      </c>
      <c r="AN226" s="154" t="s">
        <v>149</v>
      </c>
      <c r="AO226" s="8"/>
      <c r="AP226" s="8"/>
      <c r="AR226" s="8" t="s">
        <v>6069</v>
      </c>
      <c r="AS226" s="154" t="s">
        <v>149</v>
      </c>
      <c r="AT226" s="154" t="s">
        <v>149</v>
      </c>
      <c r="AU226" s="154" t="s">
        <v>149</v>
      </c>
    </row>
    <row r="227">
      <c r="A227" s="151">
        <v>113.0</v>
      </c>
      <c r="B227" s="152">
        <v>2025.0</v>
      </c>
      <c r="C227" s="153" t="str">
        <f>CONCATENATE(D227, "-", M227, "-", A227)
</f>
        <v>2023-PH041006000-113</v>
      </c>
      <c r="D227" s="152">
        <f>IF(OR(F226="Published", F226="Unpublished"), 2023, IF(F226="New", 2025, ""))
</f>
        <v>2023</v>
      </c>
      <c r="E227" s="151">
        <v>113.0</v>
      </c>
      <c r="F227" s="156" t="s">
        <v>140</v>
      </c>
      <c r="G227" s="156" t="s">
        <v>141</v>
      </c>
      <c r="H227" s="153" t="str">
        <f>IFERROR(__xludf.DUMMYFUNCTION("""COMPUTED_VALUE"""),"**Region** changed from III to IV-A, **Restoration_project** changed from Filipinnovation on Coral Reef Restoration to Unknown, **Restoration_project_short** changed from Unknown to Mention of deploying artificial reef structures (made from wine bottles) "&amp;"as reef extensions; Also sank boat and old steel pipes, **Project Start** changed from 2012 to Unknown, **Project End** changed from 2013 to Unknown, **Restoration method** changed from Asexual Reproduction to Artificial Reef, **Technique/Material Type** "&amp;"changed from CNU to Concrete &amp; wine bottles; boat &amp; old steel pipes, **Restoration objective** changed from Unknown to Breeding ground for small fish and coral growth; tourism, **Funding agency** changed from DOST-PCAARRD to Portulano Dive Resort, **Imple"&amp;"menting institution** changed from University of San Carlos to Portulano Dive Resort, **Partners_public** changed from Bataan Peninsula State University to Unknown, **Reference** changed from Briefer Report to Portulano Dive Resort (n.d.). Activities. htt"&amp;"ps://www.portulano.com/activities, **Website** changed from Unknown to https://www.portulano.com/activities")</f>
        <v>**Region** changed from III to IV-A, **Restoration_project** changed from Filipinnovation on Coral Reef Restoration to Unknown, **Restoration_project_short** changed from Unknown to Mention of deploying artificial reef structures (made from wine bottles) as reef extensions; Also sank boat and old steel pipes, **Project Start** changed from 2012 to Unknown, **Project End** changed from 2013 to Unknown, **Restoration method** changed from Asexual Reproduction to Artificial Reef, **Technique/Material Type** changed from CNU to Concrete &amp; wine bottles; boat &amp; old steel pipes, **Restoration objective** changed from Unknown to Breeding ground for small fish and coral growth; tourism, **Funding agency** changed from DOST-PCAARRD to Portulano Dive Resort, **Implementing institution** changed from University of San Carlos to Portulano Dive Resort, **Partners_public** changed from Bataan Peninsula State University to Unknown, **Reference** changed from Briefer Report to Portulano Dive Resort (n.d.). Activities. https://www.portulano.com/activities, **Website** changed from Unknown to https://www.portulano.com/activities</v>
      </c>
      <c r="I227" s="153" t="s">
        <v>6569</v>
      </c>
      <c r="J227" s="153" t="s">
        <v>257</v>
      </c>
      <c r="K227" s="153" t="s">
        <v>258</v>
      </c>
      <c r="L227" s="153" t="s">
        <v>2609</v>
      </c>
      <c r="M227" s="181" t="s">
        <v>2610</v>
      </c>
      <c r="N227" s="153" t="s">
        <v>151</v>
      </c>
      <c r="O227" s="158" t="s">
        <v>149</v>
      </c>
      <c r="P227" s="153" t="s">
        <v>6570</v>
      </c>
      <c r="Q227" s="178" t="s">
        <v>149</v>
      </c>
      <c r="R227" s="160" t="s">
        <v>149</v>
      </c>
      <c r="S227" s="160" t="s">
        <v>149</v>
      </c>
      <c r="T227" s="161" t="s">
        <v>150</v>
      </c>
      <c r="U227" s="153">
        <f>IFERROR(__xludf.DUMMYFUNCTION("""COMPUTED_VALUE"""),209.0)</f>
        <v>209</v>
      </c>
      <c r="V227" s="162" t="s">
        <v>3311</v>
      </c>
      <c r="W227" s="179" t="s">
        <v>6571</v>
      </c>
      <c r="X227" s="28" t="s">
        <v>6173</v>
      </c>
      <c r="Y227" s="32" t="s">
        <v>6572</v>
      </c>
      <c r="Z227" s="158" t="s">
        <v>2612</v>
      </c>
      <c r="AA227" s="153" t="s">
        <v>2612</v>
      </c>
      <c r="AB227" s="153" t="s">
        <v>6573</v>
      </c>
      <c r="AC227" s="153" t="s">
        <v>2614</v>
      </c>
      <c r="AD227" s="158" t="s">
        <v>160</v>
      </c>
      <c r="AE227" s="158" t="s">
        <v>184</v>
      </c>
      <c r="AF227" s="158" t="s">
        <v>159</v>
      </c>
      <c r="AG227" s="164" t="s">
        <v>149</v>
      </c>
      <c r="AH227" s="158" t="s">
        <v>149</v>
      </c>
      <c r="AI227" s="158" t="s">
        <v>149</v>
      </c>
      <c r="AJ227" s="153" t="s">
        <v>2614</v>
      </c>
      <c r="AK227" s="158" t="s">
        <v>184</v>
      </c>
      <c r="AL227" s="158" t="s">
        <v>149</v>
      </c>
      <c r="AM227" s="158" t="s">
        <v>149</v>
      </c>
      <c r="AN227" s="158" t="s">
        <v>149</v>
      </c>
      <c r="AO227" s="156">
        <v>1.0</v>
      </c>
      <c r="AP227" s="156" t="s">
        <v>6037</v>
      </c>
      <c r="AQ227" s="158" t="s">
        <v>6027</v>
      </c>
      <c r="AR227" s="153" t="s">
        <v>2615</v>
      </c>
      <c r="AS227" s="165" t="s">
        <v>2616</v>
      </c>
      <c r="AT227" s="158" t="s">
        <v>149</v>
      </c>
      <c r="AU227" s="158" t="s">
        <v>149</v>
      </c>
    </row>
    <row r="228">
      <c r="A228" s="186">
        <v>114.0</v>
      </c>
      <c r="B228" s="152">
        <v>2023.0</v>
      </c>
      <c r="D228" s="152"/>
      <c r="E228" s="151">
        <v>114.0</v>
      </c>
      <c r="F228" s="129" t="s">
        <v>140</v>
      </c>
      <c r="G228" s="3" t="s">
        <v>6029</v>
      </c>
      <c r="H228" s="8" t="str">
        <f>IFERROR(__xludf.DUMMYFUNCTION("""COMPUTED_VALUE"""),"")</f>
        <v/>
      </c>
      <c r="I228" s="8" t="s">
        <v>6574</v>
      </c>
      <c r="J228" s="8" t="s">
        <v>293</v>
      </c>
      <c r="K228" s="8" t="s">
        <v>294</v>
      </c>
      <c r="L228" s="8" t="s">
        <v>1291</v>
      </c>
      <c r="M228" s="173" t="s">
        <v>1292</v>
      </c>
      <c r="N228" s="8" t="s">
        <v>6062</v>
      </c>
      <c r="O228" s="8" t="s">
        <v>1683</v>
      </c>
      <c r="P228" s="154" t="s">
        <v>149</v>
      </c>
      <c r="Q228" s="154" t="s">
        <v>149</v>
      </c>
      <c r="R228" s="142" t="s">
        <v>6063</v>
      </c>
      <c r="S228" s="142" t="s">
        <v>6064</v>
      </c>
      <c r="T228" s="8"/>
      <c r="U228" s="8">
        <f>IFERROR(__xludf.DUMMYFUNCTION("""COMPUTED_VALUE"""),210.0)</f>
        <v>210</v>
      </c>
      <c r="V228" s="8"/>
      <c r="W228" s="8"/>
      <c r="X228" s="8"/>
      <c r="Y228" s="8"/>
      <c r="AA228" s="8" t="s">
        <v>320</v>
      </c>
      <c r="AB228" s="154" t="s">
        <v>149</v>
      </c>
      <c r="AC228" s="8" t="s">
        <v>321</v>
      </c>
      <c r="AG228" s="154" t="s">
        <v>149</v>
      </c>
      <c r="AH228" s="154" t="s">
        <v>149</v>
      </c>
      <c r="AI228" s="8" t="s">
        <v>1706</v>
      </c>
      <c r="AJ228" s="8" t="s">
        <v>1703</v>
      </c>
      <c r="AL228" s="8" t="s">
        <v>1287</v>
      </c>
      <c r="AM228" s="154" t="s">
        <v>149</v>
      </c>
      <c r="AN228" s="154" t="s">
        <v>149</v>
      </c>
      <c r="AO228" s="8"/>
      <c r="AP228" s="8"/>
      <c r="AR228" s="8" t="s">
        <v>6027</v>
      </c>
      <c r="AS228" s="8" t="s">
        <v>6575</v>
      </c>
      <c r="AT228" s="154" t="s">
        <v>149</v>
      </c>
      <c r="AU228" s="154" t="s">
        <v>149</v>
      </c>
    </row>
    <row r="229">
      <c r="A229" s="151">
        <v>114.0</v>
      </c>
      <c r="B229" s="152">
        <v>2025.0</v>
      </c>
      <c r="C229" s="153" t="str">
        <f>CONCATENATE(D229, "-", M229, "-", A229)
</f>
        <v>2023-PH041007000-114</v>
      </c>
      <c r="D229" s="152">
        <f>IF(OR(F228="Published", F228="Unpublished"), 2023, IF(F228="New", 2025, ""))
</f>
        <v>2023</v>
      </c>
      <c r="E229" s="151">
        <v>114.0</v>
      </c>
      <c r="F229" s="156" t="s">
        <v>140</v>
      </c>
      <c r="G229" s="156" t="s">
        <v>141</v>
      </c>
      <c r="H229" s="153" t="str">
        <f>IFERROR(__xludf.DUMMYFUNCTION("""COMPUTED_VALUE"""),"**Region** changed from III to IV-A, **Restoration_project** changed from National Coral Reef Rehabilitation Roll-Out Program to Unknown, **Year of establishment** changed from Unknown to 1990, **Project Start** changed from 2014 to 1990, **Project End** "&amp;"changed from 2016 to 1990, **Restoration method** changed from Asexual Reproduction to Artificial Reef, **Technique/Material Type** changed from CNU to Unknown, **Restoration objective** changed from Unknown to Fishing, **Funding agency** changed from DOS"&amp;"T-PCAARRD to Unknown, **Total units** changed from 7 CNUs/7,800 COPs to Unknown, **Implementing institution** changed from Sangkalikasan Producer Cooperative to National Power Corporation, **Partners_public** changed from Bataan Peninsula State University"&amp;" to BFAR, DA, MLGU, BLGU, FAs, **Reference** changed from Website to Balgos, M.C. (1995). Evaluation of artificial reef development in the Philippines. In Munro, J.L. &amp; Balgos, M. (eds.) Artificial reefs in the Philippines. ICLARM Conf. Proc. 49, pp. 6-22"&amp;"., **Website** changed from http://www.pcaarrd.dost.gov.ph/home/portal/index.php/quick-information-dispatch/2664-restoring-the-country-s-coral-reefs-through-filipinnovation to https://core.ac.uk/download/pdf/6515223.pdf; https://www.ircwash.org/sites/defa"&amp;"ult/files/802-PH90-8920.pdf")</f>
        <v>**Region** changed from III to IV-A, **Restoration_project** changed from National Coral Reef Rehabilitation Roll-Out Program to Unknown, **Year of establishment** changed from Unknown to 1990, **Project Start** changed from 2014 to 1990, **Project End** changed from 2016 to 1990, **Restoration method** changed from Asexual Reproduction to Artificial Reef, **Technique/Material Type** changed from CNU to Unknown, **Restoration objective** changed from Unknown to Fishing, **Funding agency** changed from DOST-PCAARRD to Unknown, **Total units** changed from 7 CNUs/7,800 COPs to Unknown, **Implementing institution** changed from Sangkalikasan Producer Cooperative to National Power Corporation, **Partners_public** changed from Bataan Peninsula State University to BFAR, DA, MLGU, BLGU, FAs, **Reference** changed from Website to Balgos, M.C. (1995). Evaluation of artificial reef development in the Philippines. In Munro, J.L. &amp; Balgos, M. (eds.) Artificial reefs in the Philippines. ICLARM Conf. Proc. 49, pp. 6-22., **Website** changed from http://www.pcaarrd.dost.gov.ph/home/portal/index.php/quick-information-dispatch/2664-restoring-the-country-s-coral-reefs-through-filipinnovation to https://core.ac.uk/download/pdf/6515223.pdf; https://www.ircwash.org/sites/default/files/802-PH90-8920.pdf</v>
      </c>
      <c r="I229" s="153" t="s">
        <v>6576</v>
      </c>
      <c r="J229" s="153" t="s">
        <v>257</v>
      </c>
      <c r="K229" s="153" t="s">
        <v>258</v>
      </c>
      <c r="L229" s="153" t="s">
        <v>6577</v>
      </c>
      <c r="M229" s="181" t="s">
        <v>2310</v>
      </c>
      <c r="N229" s="153" t="s">
        <v>151</v>
      </c>
      <c r="O229" s="158" t="s">
        <v>149</v>
      </c>
      <c r="P229" s="158" t="s">
        <v>149</v>
      </c>
      <c r="Q229" s="169">
        <v>1990.0</v>
      </c>
      <c r="R229" s="160" t="s">
        <v>6198</v>
      </c>
      <c r="S229" s="160" t="s">
        <v>6198</v>
      </c>
      <c r="T229" s="161" t="s">
        <v>150</v>
      </c>
      <c r="U229" s="153">
        <f>IFERROR(__xludf.DUMMYFUNCTION("""COMPUTED_VALUE"""),211.0)</f>
        <v>211</v>
      </c>
      <c r="V229" s="162" t="s">
        <v>3311</v>
      </c>
      <c r="W229" s="187" t="s">
        <v>149</v>
      </c>
      <c r="X229" s="184"/>
      <c r="Y229" s="184" t="s">
        <v>149</v>
      </c>
      <c r="Z229" s="158" t="s">
        <v>149</v>
      </c>
      <c r="AA229" s="158" t="s">
        <v>149</v>
      </c>
      <c r="AB229" s="153" t="s">
        <v>6506</v>
      </c>
      <c r="AC229" s="158" t="s">
        <v>149</v>
      </c>
      <c r="AD229" s="158" t="s">
        <v>149</v>
      </c>
      <c r="AE229" s="158" t="s">
        <v>149</v>
      </c>
      <c r="AF229" s="158" t="s">
        <v>149</v>
      </c>
      <c r="AG229" s="164" t="s">
        <v>149</v>
      </c>
      <c r="AH229" s="158" t="s">
        <v>149</v>
      </c>
      <c r="AI229" s="158" t="s">
        <v>149</v>
      </c>
      <c r="AJ229" s="153" t="s">
        <v>2304</v>
      </c>
      <c r="AK229" s="158" t="s">
        <v>6035</v>
      </c>
      <c r="AL229" s="153" t="s">
        <v>6578</v>
      </c>
      <c r="AM229" s="158" t="s">
        <v>149</v>
      </c>
      <c r="AN229" s="158" t="s">
        <v>149</v>
      </c>
      <c r="AO229" s="156">
        <v>1.0</v>
      </c>
      <c r="AP229" s="156" t="s">
        <v>6037</v>
      </c>
      <c r="AQ229" s="158" t="s">
        <v>395</v>
      </c>
      <c r="AR229" s="153" t="s">
        <v>6060</v>
      </c>
      <c r="AS229" s="177" t="s">
        <v>397</v>
      </c>
      <c r="AT229" s="158" t="s">
        <v>149</v>
      </c>
      <c r="AU229" s="158" t="s">
        <v>149</v>
      </c>
    </row>
    <row r="230">
      <c r="A230" s="186">
        <v>115.0</v>
      </c>
      <c r="B230" s="152">
        <v>2023.0</v>
      </c>
      <c r="D230" s="152"/>
      <c r="E230" s="151">
        <v>115.0</v>
      </c>
      <c r="F230" s="129" t="s">
        <v>140</v>
      </c>
      <c r="G230" s="3" t="s">
        <v>6029</v>
      </c>
      <c r="H230" s="8" t="str">
        <f>IFERROR(__xludf.DUMMYFUNCTION("""COMPUTED_VALUE"""),"")</f>
        <v/>
      </c>
      <c r="I230" s="8" t="s">
        <v>6579</v>
      </c>
      <c r="J230" s="8" t="s">
        <v>293</v>
      </c>
      <c r="K230" s="8" t="s">
        <v>294</v>
      </c>
      <c r="L230" s="8" t="s">
        <v>1291</v>
      </c>
      <c r="M230" s="153" t="s">
        <v>1292</v>
      </c>
      <c r="N230" s="8" t="s">
        <v>151</v>
      </c>
      <c r="O230" s="154" t="s">
        <v>149</v>
      </c>
      <c r="P230" s="154" t="s">
        <v>149</v>
      </c>
      <c r="Q230" s="142" t="s">
        <v>6151</v>
      </c>
      <c r="R230" s="154" t="s">
        <v>149</v>
      </c>
      <c r="S230" s="154" t="s">
        <v>149</v>
      </c>
      <c r="T230" s="8"/>
      <c r="U230" s="8">
        <f>IFERROR(__xludf.DUMMYFUNCTION("""COMPUTED_VALUE"""),212.0)</f>
        <v>212</v>
      </c>
      <c r="V230" s="8"/>
      <c r="W230" s="154"/>
      <c r="X230" s="8"/>
      <c r="Y230" s="8"/>
      <c r="AA230" s="154" t="s">
        <v>149</v>
      </c>
      <c r="AB230" s="8" t="s">
        <v>6551</v>
      </c>
      <c r="AC230" s="8" t="s">
        <v>228</v>
      </c>
      <c r="AG230" s="154" t="s">
        <v>149</v>
      </c>
      <c r="AH230" s="154" t="s">
        <v>149</v>
      </c>
      <c r="AI230" s="154" t="s">
        <v>149</v>
      </c>
      <c r="AJ230" s="8" t="s">
        <v>228</v>
      </c>
      <c r="AL230" s="8" t="s">
        <v>1628</v>
      </c>
      <c r="AM230" s="154" t="s">
        <v>149</v>
      </c>
      <c r="AN230" s="154" t="s">
        <v>149</v>
      </c>
      <c r="AO230" s="8"/>
      <c r="AP230" s="8"/>
      <c r="AR230" s="8" t="s">
        <v>166</v>
      </c>
      <c r="AS230" s="172" t="s">
        <v>2737</v>
      </c>
      <c r="AT230" s="154" t="s">
        <v>149</v>
      </c>
      <c r="AU230" s="154" t="s">
        <v>149</v>
      </c>
    </row>
    <row r="231">
      <c r="A231" s="151">
        <v>115.0</v>
      </c>
      <c r="B231" s="152">
        <v>2025.0</v>
      </c>
      <c r="C231" s="153" t="str">
        <f>CONCATENATE(D231, "-", M231, "-", A231)
</f>
        <v>2023-PH041008000-115</v>
      </c>
      <c r="D231" s="152">
        <f>IF(OR(F230="Published", F230="Unpublished"), 2023, IF(F230="New", 2025, ""))
</f>
        <v>2023</v>
      </c>
      <c r="E231" s="151">
        <v>115.0</v>
      </c>
      <c r="F231" s="156" t="s">
        <v>140</v>
      </c>
      <c r="G231" s="156" t="s">
        <v>141</v>
      </c>
      <c r="H231" s="153" t="str">
        <f>IFERROR(__xludf.DUMMYFUNCTION("""COMPUTED_VALUE"""),"**Region** changed from III to IV-A, **Restoration_project** changed from Unknown to Operation Pamamalakaya, **Restoration_project_short** changed from Unknown to Site in Brgy Hukay, **Year of establishment** changed from 2012 to 2019, **Technique/Materia"&amp;"l Type** changed from Unknown to Concrete jackstone, **Restoration objective** changed from Enhance tourism to Shelter, food source, and breeding area for underwater wildlife, **Funding agency** changed from CLGU to Philippine Air Force, **Total units** c"&amp;"hanged from Unknown to 30 units, **Implementing institution** changed from CLGU to Philippine Air Force, **Partners_public** changed from PNP to BFAR, MGLU, CENRO, United States Navy, **Partners_private** changed from Unknown to DV Boer Farm, **Reference*"&amp;"* changed from News/Press Release to Mabasa, R. (2020, July 1). PH, US military forces join hands in undertaking ""Operation Pamalakaya"" in Cavite. Manila Bulletin. https://mb.com.ph/2020/06/30/ph-us-military-forces-join-hands-in-undertaking-operation-pa"&amp;"malakaya-in-cavite/, **Website** changed from https://punto.com.ph/artificial-reef-itinanim-sa-subic-bay/ to https://mb.com.ph/2019/08/16/ph-us-join-forces-in-installing-artificial-reefs-in-calatagan-batangas/; https://www.philstar.com/headlines/2019/08/1"&amp;"8/1944305/philippines-us-troops-install-artificial-habitat-reefs")</f>
        <v>**Region** changed from III to IV-A, **Restoration_project** changed from Unknown to Operation Pamamalakaya, **Restoration_project_short** changed from Unknown to Site in Brgy Hukay, **Year of establishment** changed from 2012 to 2019, **Technique/Material Type** changed from Unknown to Concrete jackstone, **Restoration objective** changed from Enhance tourism to Shelter, food source, and breeding area for underwater wildlife, **Funding agency** changed from CLGU to Philippine Air Force, **Total units** changed from Unknown to 30 units, **Implementing institution** changed from CLGU to Philippine Air Force, **Partners_public** changed from PNP to BFAR, MGLU, CENRO, United States Navy, **Partners_private** changed from Unknown to DV Boer Farm, **Reference** changed from News/Press Release to Mabasa, R. (2020, July 1). PH, US military forces join hands in undertaking "Operation Pamalakaya" in Cavite. Manila Bulletin. https://mb.com.ph/2020/06/30/ph-us-military-forces-join-hands-in-undertaking-operation-pamalakaya-in-cavite/, **Website** changed from https://punto.com.ph/artificial-reef-itinanim-sa-subic-bay/ to https://mb.com.ph/2019/08/16/ph-us-join-forces-in-installing-artificial-reefs-in-calatagan-batangas/; https://www.philstar.com/headlines/2019/08/18/1944305/philippines-us-troops-install-artificial-habitat-reefs</v>
      </c>
      <c r="I231" s="153" t="s">
        <v>6580</v>
      </c>
      <c r="J231" s="153" t="s">
        <v>257</v>
      </c>
      <c r="K231" s="153" t="s">
        <v>258</v>
      </c>
      <c r="L231" s="153" t="s">
        <v>1752</v>
      </c>
      <c r="M231" s="181" t="s">
        <v>1753</v>
      </c>
      <c r="N231" s="153" t="s">
        <v>151</v>
      </c>
      <c r="O231" s="153" t="s">
        <v>1754</v>
      </c>
      <c r="P231" s="158" t="s">
        <v>1755</v>
      </c>
      <c r="Q231" s="169">
        <v>2019.0</v>
      </c>
      <c r="R231" s="160" t="s">
        <v>149</v>
      </c>
      <c r="S231" s="160" t="s">
        <v>149</v>
      </c>
      <c r="T231" s="161" t="s">
        <v>150</v>
      </c>
      <c r="U231" s="153">
        <f>IFERROR(__xludf.DUMMYFUNCTION("""COMPUTED_VALUE"""),213.0)</f>
        <v>213</v>
      </c>
      <c r="V231" s="162" t="s">
        <v>3311</v>
      </c>
      <c r="W231" s="179" t="s">
        <v>6032</v>
      </c>
      <c r="X231" s="28" t="s">
        <v>6033</v>
      </c>
      <c r="Y231" s="32" t="s">
        <v>789</v>
      </c>
      <c r="Z231" s="158" t="s">
        <v>789</v>
      </c>
      <c r="AA231" s="153" t="s">
        <v>789</v>
      </c>
      <c r="AB231" s="158" t="s">
        <v>6581</v>
      </c>
      <c r="AC231" s="153" t="s">
        <v>1757</v>
      </c>
      <c r="AD231" s="158" t="s">
        <v>160</v>
      </c>
      <c r="AE231" s="158" t="s">
        <v>6035</v>
      </c>
      <c r="AF231" s="158" t="s">
        <v>159</v>
      </c>
      <c r="AG231" s="164" t="s">
        <v>149</v>
      </c>
      <c r="AH231" s="158" t="s">
        <v>149</v>
      </c>
      <c r="AI231" s="158" t="s">
        <v>782</v>
      </c>
      <c r="AJ231" s="153" t="s">
        <v>1757</v>
      </c>
      <c r="AK231" s="153" t="s">
        <v>6035</v>
      </c>
      <c r="AL231" s="153" t="s">
        <v>6582</v>
      </c>
      <c r="AM231" s="153" t="s">
        <v>1759</v>
      </c>
      <c r="AN231" s="158" t="s">
        <v>149</v>
      </c>
      <c r="AO231" s="156">
        <v>1.0</v>
      </c>
      <c r="AP231" s="156" t="s">
        <v>6037</v>
      </c>
      <c r="AQ231" s="158" t="s">
        <v>166</v>
      </c>
      <c r="AR231" s="153" t="s">
        <v>1760</v>
      </c>
      <c r="AS231" s="153" t="s">
        <v>6583</v>
      </c>
      <c r="AT231" s="158" t="s">
        <v>149</v>
      </c>
      <c r="AU231" s="158" t="s">
        <v>149</v>
      </c>
    </row>
    <row r="232">
      <c r="A232" s="186">
        <v>116.0</v>
      </c>
      <c r="B232" s="152">
        <v>2023.0</v>
      </c>
      <c r="D232" s="152"/>
      <c r="E232" s="151">
        <v>116.0</v>
      </c>
      <c r="F232" s="129" t="s">
        <v>140</v>
      </c>
      <c r="G232" s="3" t="s">
        <v>6029</v>
      </c>
      <c r="H232" s="8" t="str">
        <f>IFERROR(__xludf.DUMMYFUNCTION("""COMPUTED_VALUE"""),"")</f>
        <v/>
      </c>
      <c r="I232" s="8" t="s">
        <v>6584</v>
      </c>
      <c r="J232" s="8" t="s">
        <v>293</v>
      </c>
      <c r="K232" s="8" t="s">
        <v>294</v>
      </c>
      <c r="L232" s="8" t="s">
        <v>1291</v>
      </c>
      <c r="M232" s="153" t="s">
        <v>1292</v>
      </c>
      <c r="N232" s="8" t="s">
        <v>151</v>
      </c>
      <c r="O232" s="154" t="s">
        <v>149</v>
      </c>
      <c r="P232" s="154" t="s">
        <v>149</v>
      </c>
      <c r="Q232" s="142" t="s">
        <v>6030</v>
      </c>
      <c r="R232" s="154" t="s">
        <v>149</v>
      </c>
      <c r="S232" s="154" t="s">
        <v>149</v>
      </c>
      <c r="T232" s="8"/>
      <c r="U232" s="8">
        <f>IFERROR(__xludf.DUMMYFUNCTION("""COMPUTED_VALUE"""),214.0)</f>
        <v>214</v>
      </c>
      <c r="V232" s="8"/>
      <c r="W232" s="3"/>
      <c r="X232" s="8"/>
      <c r="Y232" s="8"/>
      <c r="AA232" s="3" t="s">
        <v>851</v>
      </c>
      <c r="AB232" s="8" t="s">
        <v>6556</v>
      </c>
      <c r="AC232" s="8" t="s">
        <v>1941</v>
      </c>
      <c r="AG232" s="154" t="s">
        <v>149</v>
      </c>
      <c r="AH232" s="154" t="s">
        <v>149</v>
      </c>
      <c r="AI232" s="8" t="s">
        <v>6557</v>
      </c>
      <c r="AJ232" s="8" t="s">
        <v>1941</v>
      </c>
      <c r="AL232" s="154" t="s">
        <v>149</v>
      </c>
      <c r="AM232" s="8" t="s">
        <v>1703</v>
      </c>
      <c r="AN232" s="154" t="s">
        <v>149</v>
      </c>
      <c r="AO232" s="8"/>
      <c r="AP232" s="8"/>
      <c r="AR232" s="8" t="s">
        <v>166</v>
      </c>
      <c r="AS232" s="8" t="s">
        <v>1945</v>
      </c>
      <c r="AT232" s="154" t="s">
        <v>149</v>
      </c>
      <c r="AU232" s="154" t="s">
        <v>149</v>
      </c>
    </row>
    <row r="233">
      <c r="A233" s="151">
        <v>116.0</v>
      </c>
      <c r="B233" s="152">
        <v>2025.0</v>
      </c>
      <c r="C233" s="153" t="str">
        <f t="shared" ref="C233:C234" si="17">CONCATENATE(D233, "-", M233, "-", A233)
</f>
        <v>2023-PH041008000-116</v>
      </c>
      <c r="D233" s="152">
        <f t="shared" ref="D233:D234" si="18">IF(OR(F232="Published", F232="Unpublished"), 2023, IF(F232="New", 2025, ""))
</f>
        <v>2023</v>
      </c>
      <c r="E233" s="151">
        <v>116.0</v>
      </c>
      <c r="F233" s="156" t="s">
        <v>140</v>
      </c>
      <c r="G233" s="156" t="s">
        <v>141</v>
      </c>
      <c r="H233" s="153" t="str">
        <f>IFERROR(__xludf.DUMMYFUNCTION("""COMPUTED_VALUE"""),"**Region** changed from III to IV-A, **Restoration_project** changed from Unknown to Oplan CORAL Park Project, **Restoration_project_short** changed from Unknown to Site in Lago de Oro Resort, Brgy Balibago, **Year of establishment** changed from 2021 to "&amp;"2022, **Project Start** changed from Unknown to 2022, **Technique/Material Type** changed from Reefbuds to Concrete triangle, **Restoration objective** changed from Fish sanctuary to Unknown, **Funding agency** changed from All Hands Beach Resort to Conse"&amp;"rvation of Ocean Resources and Aquatic Life (C.O.R.A.L.), **Total units** changed from 58 buds to Unknown, **Implementing institution** changed from All Hands Beach Resort to Conservation of Ocean Resources and Aquatic Life (C.O.R.A.L.), **Partners_public"&amp;"** changed from Unknown to Philippine Coast Guard, **Partners_private** changed from Sangkalikasan Producer Cooperative to Miss Earth Philippines, **Reference** changed from News/Press Release to CORAL (n.d.). Conservation of Ocean's Resources &amp; Aquatic L"&amp;"ife How We Do It. http://www.coralmovement.org/, **Website** changed from https://newsinfo.inquirer.net/1416313/beach-resort-in-subic-bay-turns-to-artificial-coral-reefs-to-preserve-marine-ecosystem to http://www.coralmovement.org/; https://youtu.be/SCwy6"&amp;"txSeGc")</f>
        <v>**Region** changed from III to IV-A, **Restoration_project** changed from Unknown to Oplan CORAL Park Project, **Restoration_project_short** changed from Unknown to Site in Lago de Oro Resort, Brgy Balibago, **Year of establishment** changed from 2021 to 2022, **Project Start** changed from Unknown to 2022, **Technique/Material Type** changed from Reefbuds to Concrete triangle, **Restoration objective** changed from Fish sanctuary to Unknown, **Funding agency** changed from All Hands Beach Resort to Conservation of Ocean Resources and Aquatic Life (C.O.R.A.L.), **Total units** changed from 58 buds to Unknown, **Implementing institution** changed from All Hands Beach Resort to Conservation of Ocean Resources and Aquatic Life (C.O.R.A.L.), **Partners_public** changed from Unknown to Philippine Coast Guard, **Partners_private** changed from Sangkalikasan Producer Cooperative to Miss Earth Philippines, **Reference** changed from News/Press Release to CORAL (n.d.). Conservation of Ocean's Resources &amp; Aquatic Life How We Do It. http://www.coralmovement.org/, **Website** changed from https://newsinfo.inquirer.net/1416313/beach-resort-in-subic-bay-turns-to-artificial-coral-reefs-to-preserve-marine-ecosystem to http://www.coralmovement.org/; https://youtu.be/SCwy6txSeGc</v>
      </c>
      <c r="I233" s="153" t="s">
        <v>6585</v>
      </c>
      <c r="J233" s="153" t="s">
        <v>257</v>
      </c>
      <c r="K233" s="153" t="s">
        <v>258</v>
      </c>
      <c r="L233" s="153" t="s">
        <v>1752</v>
      </c>
      <c r="M233" s="157" t="s">
        <v>1753</v>
      </c>
      <c r="N233" s="153" t="s">
        <v>151</v>
      </c>
      <c r="O233" s="158" t="s">
        <v>1770</v>
      </c>
      <c r="P233" s="158" t="s">
        <v>1771</v>
      </c>
      <c r="Q233" s="178">
        <v>2022.0</v>
      </c>
      <c r="R233" s="160" t="s">
        <v>6145</v>
      </c>
      <c r="S233" s="160" t="s">
        <v>149</v>
      </c>
      <c r="T233" s="161" t="s">
        <v>150</v>
      </c>
      <c r="U233" s="153">
        <f>IFERROR(__xludf.DUMMYFUNCTION("""COMPUTED_VALUE"""),215.0)</f>
        <v>215</v>
      </c>
      <c r="V233" s="162" t="s">
        <v>3311</v>
      </c>
      <c r="W233" s="184" t="s">
        <v>6032</v>
      </c>
      <c r="X233" s="28" t="s">
        <v>6033</v>
      </c>
      <c r="Y233" s="32" t="s">
        <v>654</v>
      </c>
      <c r="Z233" s="158" t="s">
        <v>654</v>
      </c>
      <c r="AA233" s="158" t="s">
        <v>654</v>
      </c>
      <c r="AB233" s="158" t="s">
        <v>149</v>
      </c>
      <c r="AC233" s="153" t="s">
        <v>872</v>
      </c>
      <c r="AD233" s="158" t="s">
        <v>160</v>
      </c>
      <c r="AE233" s="158" t="s">
        <v>306</v>
      </c>
      <c r="AF233" s="158" t="s">
        <v>159</v>
      </c>
      <c r="AG233" s="164" t="s">
        <v>149</v>
      </c>
      <c r="AH233" s="158" t="s">
        <v>149</v>
      </c>
      <c r="AI233" s="158" t="s">
        <v>149</v>
      </c>
      <c r="AJ233" s="153" t="s">
        <v>872</v>
      </c>
      <c r="AK233" s="153" t="s">
        <v>306</v>
      </c>
      <c r="AL233" s="158" t="s">
        <v>760</v>
      </c>
      <c r="AM233" s="158" t="s">
        <v>1772</v>
      </c>
      <c r="AN233" s="158" t="s">
        <v>149</v>
      </c>
      <c r="AO233" s="156">
        <v>1.0</v>
      </c>
      <c r="AP233" s="156" t="s">
        <v>6037</v>
      </c>
      <c r="AQ233" s="158" t="s">
        <v>6027</v>
      </c>
      <c r="AR233" s="153" t="s">
        <v>1773</v>
      </c>
      <c r="AS233" s="165" t="s">
        <v>1774</v>
      </c>
      <c r="AT233" s="158" t="s">
        <v>149</v>
      </c>
      <c r="AU233" s="158" t="s">
        <v>149</v>
      </c>
    </row>
    <row r="234">
      <c r="A234" s="186">
        <v>117.0</v>
      </c>
      <c r="B234" s="152">
        <v>2025.0</v>
      </c>
      <c r="C234" s="153" t="str">
        <f t="shared" si="17"/>
        <v>2023-PH041008000-117</v>
      </c>
      <c r="D234" s="152">
        <f t="shared" si="18"/>
        <v>2023</v>
      </c>
      <c r="E234" s="151">
        <v>117.0</v>
      </c>
      <c r="F234" s="156" t="s">
        <v>140</v>
      </c>
      <c r="G234" s="156" t="s">
        <v>141</v>
      </c>
      <c r="H234" s="153" t="str">
        <f>IFERROR(__xludf.DUMMYFUNCTION("""COMPUTED_VALUE"""),"**Restoration_project** changed from Oplan CORAL Park Project to SCREMP, **Restoration_project_short** changed from Site in Lago de Oro Resort, Brgy Balibago to Sites in Brgy Sta Ana, Tanagan and Brgy Hukay; coral nursery establishment project, **Year of "&amp;"establishment** changed from 2022 to 2018, **Project Start** changed from 2022 to Unknown, **Technique/Material Type** changed from Concrete triangle to Concrete pyramid, cubic &amp; jackstone, **Restoration objective** changed from Unknown to Protection and "&amp;"rehabilitation of marine and coastal ecosystem, **Funding agency** changed from Conservation of Ocean Resources and Aquatic Life (C.O.R.A.L.) to DENR, **Total funding** changed from Unknown to 25M project for Calatagan, **Total units** changed from Unknow"&amp;"n to 1,020 modules, **Implementing institution** changed from Conservation of Ocean Resources and Aquatic Life (C.O.R.A.L.) to DENR, **Partners_public** changed from Philippine Coast Guard to MLGU, **Partners_private** changed from Miss Earth Philippines "&amp;"to De la Salle University, Pusod Inc., **Partners_communities** changed from Unknown to Samahan ng Mangingisda ng Brgy Hukay, Bataha for Nature Conservation Association (BANCA), **Reference** changed from CORAL (n.d.). Conservation of Ocean's Resources &amp; "&amp;"Aquatic Life How We Do It. http://www.coralmovement.org/ to Pusod Inc. (2019, Feb. 22). Coral nursery establishment in Calatagan [video]. https://web.facebook.com/watch/?v=2145212505517713, **Website** changed from http://www.coralmovement.org/; https://y"&amp;"outu.be/SCwy6txSeGc to https://web.facebook.com/watch/?v=2145212505517713")</f>
        <v>**Restoration_project** changed from Oplan CORAL Park Project to SCREMP, **Restoration_project_short** changed from Site in Lago de Oro Resort, Brgy Balibago to Sites in Brgy Sta Ana, Tanagan and Brgy Hukay; coral nursery establishment project, **Year of establishment** changed from 2022 to 2018, **Project Start** changed from 2022 to Unknown, **Technique/Material Type** changed from Concrete triangle to Concrete pyramid, cubic &amp; jackstone, **Restoration objective** changed from Unknown to Protection and rehabilitation of marine and coastal ecosystem, **Funding agency** changed from Conservation of Ocean Resources and Aquatic Life (C.O.R.A.L.) to DENR, **Total funding** changed from Unknown to 25M project for Calatagan, **Total units** changed from Unknown to 1,020 modules, **Implementing institution** changed from Conservation of Ocean Resources and Aquatic Life (C.O.R.A.L.) to DENR, **Partners_public** changed from Philippine Coast Guard to MLGU, **Partners_private** changed from Miss Earth Philippines to De la Salle University, Pusod Inc., **Partners_communities** changed from Unknown to Samahan ng Mangingisda ng Brgy Hukay, Bataha for Nature Conservation Association (BANCA), **Reference** changed from CORAL (n.d.). Conservation of Ocean's Resources &amp; Aquatic Life How We Do It. http://www.coralmovement.org/ to Pusod Inc. (2019, Feb. 22). Coral nursery establishment in Calatagan [video]. https://web.facebook.com/watch/?v=2145212505517713, **Website** changed from http://www.coralmovement.org/; https://youtu.be/SCwy6txSeGc to https://web.facebook.com/watch/?v=2145212505517713</v>
      </c>
      <c r="I234" s="153" t="s">
        <v>6586</v>
      </c>
      <c r="J234" s="153" t="s">
        <v>257</v>
      </c>
      <c r="K234" s="153" t="s">
        <v>258</v>
      </c>
      <c r="L234" s="153" t="s">
        <v>1752</v>
      </c>
      <c r="M234" s="181" t="s">
        <v>1753</v>
      </c>
      <c r="N234" s="158" t="s">
        <v>151</v>
      </c>
      <c r="O234" s="153" t="s">
        <v>6587</v>
      </c>
      <c r="P234" s="158" t="s">
        <v>6588</v>
      </c>
      <c r="Q234" s="178">
        <v>2018.0</v>
      </c>
      <c r="R234" s="160" t="s">
        <v>149</v>
      </c>
      <c r="S234" s="160" t="s">
        <v>149</v>
      </c>
      <c r="T234" s="161" t="s">
        <v>150</v>
      </c>
      <c r="U234" s="153">
        <f>IFERROR(__xludf.DUMMYFUNCTION("""COMPUTED_VALUE"""),216.0)</f>
        <v>216</v>
      </c>
      <c r="V234" s="162" t="s">
        <v>3311</v>
      </c>
      <c r="W234" s="184" t="s">
        <v>6032</v>
      </c>
      <c r="X234" s="28" t="s">
        <v>6033</v>
      </c>
      <c r="Y234" s="32" t="s">
        <v>6589</v>
      </c>
      <c r="Z234" s="158" t="s">
        <v>1880</v>
      </c>
      <c r="AA234" s="158" t="s">
        <v>1880</v>
      </c>
      <c r="AB234" s="158" t="s">
        <v>2139</v>
      </c>
      <c r="AC234" s="153" t="s">
        <v>341</v>
      </c>
      <c r="AD234" s="158" t="s">
        <v>160</v>
      </c>
      <c r="AE234" s="158" t="s">
        <v>6035</v>
      </c>
      <c r="AF234" s="158" t="s">
        <v>159</v>
      </c>
      <c r="AG234" s="164" t="s">
        <v>6590</v>
      </c>
      <c r="AH234" s="158" t="s">
        <v>149</v>
      </c>
      <c r="AI234" s="158" t="s">
        <v>2141</v>
      </c>
      <c r="AJ234" s="153" t="s">
        <v>341</v>
      </c>
      <c r="AK234" s="153" t="s">
        <v>6035</v>
      </c>
      <c r="AL234" s="158" t="s">
        <v>369</v>
      </c>
      <c r="AM234" s="158" t="s">
        <v>6591</v>
      </c>
      <c r="AN234" s="158" t="s">
        <v>6592</v>
      </c>
      <c r="AO234" s="156">
        <v>1.0</v>
      </c>
      <c r="AP234" s="156" t="s">
        <v>6037</v>
      </c>
      <c r="AQ234" s="153" t="s">
        <v>6038</v>
      </c>
      <c r="AR234" s="153" t="s">
        <v>2144</v>
      </c>
      <c r="AS234" s="172" t="s">
        <v>2145</v>
      </c>
      <c r="AT234" s="154" t="s">
        <v>149</v>
      </c>
      <c r="AU234" s="154" t="s">
        <v>149</v>
      </c>
    </row>
    <row r="235">
      <c r="A235" s="151">
        <v>117.0</v>
      </c>
      <c r="B235" s="152">
        <v>2023.0</v>
      </c>
      <c r="D235" s="152"/>
      <c r="E235" s="151">
        <v>117.0</v>
      </c>
      <c r="F235" s="129" t="s">
        <v>140</v>
      </c>
      <c r="G235" s="3" t="s">
        <v>6029</v>
      </c>
      <c r="H235" s="8" t="str">
        <f>IFERROR(__xludf.DUMMYFUNCTION("""COMPUTED_VALUE"""),"")</f>
        <v/>
      </c>
      <c r="I235" s="8" t="s">
        <v>6593</v>
      </c>
      <c r="J235" s="8" t="s">
        <v>257</v>
      </c>
      <c r="K235" s="8" t="s">
        <v>1387</v>
      </c>
      <c r="L235" s="8" t="s">
        <v>1388</v>
      </c>
      <c r="M235" s="153" t="s">
        <v>1389</v>
      </c>
      <c r="N235" s="8" t="s">
        <v>151</v>
      </c>
      <c r="O235" s="8" t="s">
        <v>1377</v>
      </c>
      <c r="P235" s="166" t="s">
        <v>149</v>
      </c>
      <c r="Q235" s="166" t="s">
        <v>149</v>
      </c>
      <c r="R235" s="142" t="s">
        <v>6198</v>
      </c>
      <c r="S235" s="142" t="s">
        <v>6199</v>
      </c>
      <c r="T235" s="8"/>
      <c r="U235" s="8">
        <f>IFERROR(__xludf.DUMMYFUNCTION("""COMPUTED_VALUE"""),217.0)</f>
        <v>217</v>
      </c>
      <c r="V235" s="8"/>
      <c r="W235" s="166"/>
      <c r="X235" s="8"/>
      <c r="Y235" s="8"/>
      <c r="AA235" s="166" t="s">
        <v>149</v>
      </c>
      <c r="AB235" s="166" t="s">
        <v>149</v>
      </c>
      <c r="AC235" s="8" t="s">
        <v>1381</v>
      </c>
      <c r="AG235" s="166" t="s">
        <v>149</v>
      </c>
      <c r="AH235" s="166" t="s">
        <v>149</v>
      </c>
      <c r="AI235" s="166" t="s">
        <v>149</v>
      </c>
      <c r="AJ235" s="8" t="s">
        <v>660</v>
      </c>
      <c r="AL235" s="8" t="s">
        <v>369</v>
      </c>
      <c r="AM235" s="166" t="s">
        <v>149</v>
      </c>
      <c r="AN235" s="166" t="s">
        <v>149</v>
      </c>
      <c r="AO235" s="8"/>
      <c r="AP235" s="8"/>
      <c r="AR235" s="8" t="s">
        <v>395</v>
      </c>
      <c r="AS235" s="8" t="s">
        <v>2873</v>
      </c>
      <c r="AT235" s="8" t="s">
        <v>398</v>
      </c>
      <c r="AU235" s="166" t="s">
        <v>149</v>
      </c>
    </row>
    <row r="236">
      <c r="A236" s="186">
        <v>118.0</v>
      </c>
      <c r="B236" s="152">
        <v>2025.0</v>
      </c>
      <c r="C236" s="153" t="str">
        <f>CONCATENATE(D236, "-", M236, "-", A236)
</f>
        <v>2023-PH041008000-118</v>
      </c>
      <c r="D236" s="152">
        <f>IF(OR(F235="Published", F235="Unpublished"), 2023, IF(F235="New", 2025, ""))
</f>
        <v>2023</v>
      </c>
      <c r="E236" s="151">
        <v>118.0</v>
      </c>
      <c r="F236" s="156" t="s">
        <v>191</v>
      </c>
      <c r="G236" s="156" t="s">
        <v>191</v>
      </c>
      <c r="H236" s="153" t="str">
        <f>IFERROR(__xludf.DUMMYFUNCTION("""COMPUTED_VALUE"""),"**Restoration_project** changed from Fisheries Sector Program to Sixto Memorial Artificial Reef and Fish Sanctuary, **Restoration_project_short** changed from Unknown to Site in Brgy Bagong Silang, **Project Start** changed from 1990 to Unknown, **Project"&amp;" End** changed from 1994 to Unknown, **Funding agency** changed from ADB, Overseas Economic Cooperation Fund of Japan to Unknown, **Implementing institution** changed from DA to MLGU, **Partners_public** changed from MLGU to Unknown, **Reference** changed"&amp;" from Conference Proceeding to LMP, FISH Project, WWF-Philippines and CI-Philippines (2009). Directory of CRM Learning Destinations in the Philippines, 2nd Edition. Cebu City Philippines. http://oneocean.org/download/db_files/directory_of_crm_destinations"&amp;"2Ed.pdf, **Website** changed from http://pubs.iclarm.net/libinfo/Pdf/Pub%20CP6%2049.pdf to http://oneocean.org/download/db_files/directory_of_crm_destinations2Ed.pdf, **Contact_name** changed from Miriam Balgos to Unknown")</f>
        <v>**Restoration_project** changed from Fisheries Sector Program to Sixto Memorial Artificial Reef and Fish Sanctuary, **Restoration_project_short** changed from Unknown to Site in Brgy Bagong Silang, **Project Start** changed from 1990 to Unknown, **Project End** changed from 1994 to Unknown, **Funding agency** changed from ADB, Overseas Economic Cooperation Fund of Japan to Unknown, **Implementing institution** changed from DA to MLGU, **Partners_public** changed from MLGU to Unknown, **Reference** changed from Conference Proceeding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236" s="153" t="s">
        <v>6594</v>
      </c>
      <c r="J236" s="153" t="s">
        <v>257</v>
      </c>
      <c r="K236" s="153" t="s">
        <v>258</v>
      </c>
      <c r="L236" s="153" t="s">
        <v>1752</v>
      </c>
      <c r="M236" s="181" t="s">
        <v>1753</v>
      </c>
      <c r="N236" s="153" t="s">
        <v>151</v>
      </c>
      <c r="O236" s="153" t="s">
        <v>2098</v>
      </c>
      <c r="P236" s="153" t="s">
        <v>2099</v>
      </c>
      <c r="Q236" s="197" t="s">
        <v>149</v>
      </c>
      <c r="R236" s="160" t="s">
        <v>149</v>
      </c>
      <c r="S236" s="160" t="s">
        <v>149</v>
      </c>
      <c r="T236" s="161" t="s">
        <v>150</v>
      </c>
      <c r="U236" s="153">
        <f>IFERROR(__xludf.DUMMYFUNCTION("""COMPUTED_VALUE"""),218.0)</f>
        <v>218</v>
      </c>
      <c r="V236" s="162" t="s">
        <v>3311</v>
      </c>
      <c r="W236" s="187" t="s">
        <v>149</v>
      </c>
      <c r="X236" s="184"/>
      <c r="Y236" s="184" t="s">
        <v>149</v>
      </c>
      <c r="Z236" s="158" t="s">
        <v>149</v>
      </c>
      <c r="AA236" s="158" t="s">
        <v>149</v>
      </c>
      <c r="AB236" s="158" t="s">
        <v>149</v>
      </c>
      <c r="AC236" s="158" t="s">
        <v>149</v>
      </c>
      <c r="AD236" s="158" t="s">
        <v>149</v>
      </c>
      <c r="AE236" s="158" t="s">
        <v>149</v>
      </c>
      <c r="AF236" s="158" t="s">
        <v>149</v>
      </c>
      <c r="AG236" s="164" t="s">
        <v>149</v>
      </c>
      <c r="AH236" s="158" t="s">
        <v>149</v>
      </c>
      <c r="AI236" s="158" t="s">
        <v>149</v>
      </c>
      <c r="AJ236" s="153" t="s">
        <v>369</v>
      </c>
      <c r="AK236" s="153" t="s">
        <v>6035</v>
      </c>
      <c r="AL236" s="156" t="s">
        <v>149</v>
      </c>
      <c r="AM236" s="156" t="s">
        <v>149</v>
      </c>
      <c r="AN236" s="156" t="s">
        <v>149</v>
      </c>
      <c r="AO236" s="156">
        <v>1.0</v>
      </c>
      <c r="AP236" s="156" t="s">
        <v>6037</v>
      </c>
      <c r="AQ236" s="153" t="s">
        <v>6084</v>
      </c>
      <c r="AR236" s="153" t="s">
        <v>823</v>
      </c>
      <c r="AS236" s="172" t="s">
        <v>824</v>
      </c>
      <c r="AT236" s="156" t="s">
        <v>149</v>
      </c>
      <c r="AU236" s="156" t="s">
        <v>149</v>
      </c>
    </row>
    <row r="237">
      <c r="A237" s="186">
        <v>118.0</v>
      </c>
      <c r="B237" s="152">
        <v>2023.0</v>
      </c>
      <c r="D237" s="152"/>
      <c r="E237" s="151">
        <v>118.0</v>
      </c>
      <c r="F237" s="129" t="s">
        <v>140</v>
      </c>
      <c r="G237" s="3" t="s">
        <v>6029</v>
      </c>
      <c r="H237" s="8" t="str">
        <f>IFERROR(__xludf.DUMMYFUNCTION("""COMPUTED_VALUE"""),"")</f>
        <v/>
      </c>
      <c r="I237" s="8" t="s">
        <v>6595</v>
      </c>
      <c r="J237" s="8" t="s">
        <v>257</v>
      </c>
      <c r="K237" s="8" t="s">
        <v>258</v>
      </c>
      <c r="L237" s="8" t="s">
        <v>2424</v>
      </c>
      <c r="M237" s="153" t="s">
        <v>2425</v>
      </c>
      <c r="N237" s="8" t="s">
        <v>151</v>
      </c>
      <c r="O237" s="154" t="s">
        <v>149</v>
      </c>
      <c r="P237" s="154" t="s">
        <v>149</v>
      </c>
      <c r="Q237" s="142" t="s">
        <v>6596</v>
      </c>
      <c r="R237" s="154" t="s">
        <v>149</v>
      </c>
      <c r="S237" s="154" t="s">
        <v>149</v>
      </c>
      <c r="T237" s="8"/>
      <c r="U237" s="8">
        <f>IFERROR(__xludf.DUMMYFUNCTION("""COMPUTED_VALUE"""),219.0)</f>
        <v>219</v>
      </c>
      <c r="V237" s="8"/>
      <c r="W237" s="154"/>
      <c r="X237" s="8"/>
      <c r="Y237" s="8"/>
      <c r="AA237" s="154" t="s">
        <v>149</v>
      </c>
      <c r="AB237" s="8" t="s">
        <v>6597</v>
      </c>
      <c r="AC237" s="8" t="s">
        <v>2429</v>
      </c>
      <c r="AG237" s="154" t="s">
        <v>149</v>
      </c>
      <c r="AH237" s="154" t="s">
        <v>149</v>
      </c>
      <c r="AI237" s="8" t="s">
        <v>2431</v>
      </c>
      <c r="AJ237" s="8" t="s">
        <v>2429</v>
      </c>
      <c r="AL237" s="154" t="s">
        <v>149</v>
      </c>
      <c r="AM237" s="154" t="s">
        <v>149</v>
      </c>
      <c r="AN237" s="154" t="s">
        <v>149</v>
      </c>
      <c r="AO237" s="8"/>
      <c r="AP237" s="8"/>
      <c r="AR237" s="8" t="s">
        <v>6027</v>
      </c>
      <c r="AS237" s="8" t="s">
        <v>2433</v>
      </c>
      <c r="AT237" s="154" t="s">
        <v>149</v>
      </c>
      <c r="AU237" s="154" t="s">
        <v>149</v>
      </c>
    </row>
    <row r="238">
      <c r="A238" s="186">
        <v>119.0</v>
      </c>
      <c r="B238" s="152">
        <v>2023.0</v>
      </c>
      <c r="D238" s="152"/>
      <c r="E238" s="151">
        <v>119.0</v>
      </c>
      <c r="F238" s="129" t="s">
        <v>140</v>
      </c>
      <c r="G238" s="3" t="s">
        <v>6029</v>
      </c>
      <c r="H238" s="8" t="str">
        <f>IFERROR(__xludf.DUMMYFUNCTION("""COMPUTED_VALUE"""),"")</f>
        <v/>
      </c>
      <c r="I238" s="8" t="s">
        <v>6598</v>
      </c>
      <c r="J238" s="8" t="s">
        <v>257</v>
      </c>
      <c r="K238" s="8" t="s">
        <v>258</v>
      </c>
      <c r="L238" s="8" t="s">
        <v>2424</v>
      </c>
      <c r="M238" s="153" t="s">
        <v>2425</v>
      </c>
      <c r="N238" s="8" t="s">
        <v>151</v>
      </c>
      <c r="O238" s="154" t="s">
        <v>149</v>
      </c>
      <c r="P238" s="154" t="s">
        <v>149</v>
      </c>
      <c r="Q238" s="142" t="s">
        <v>6268</v>
      </c>
      <c r="R238" s="154" t="s">
        <v>149</v>
      </c>
      <c r="S238" s="154" t="s">
        <v>149</v>
      </c>
      <c r="T238" s="8"/>
      <c r="U238" s="8">
        <f>IFERROR(__xludf.DUMMYFUNCTION("""COMPUTED_VALUE"""),220.0)</f>
        <v>220</v>
      </c>
      <c r="V238" s="8"/>
      <c r="W238" s="154"/>
      <c r="X238" s="8"/>
      <c r="Y238" s="8"/>
      <c r="AA238" s="154" t="s">
        <v>149</v>
      </c>
      <c r="AB238" s="8" t="s">
        <v>6597</v>
      </c>
      <c r="AC238" s="8" t="s">
        <v>2429</v>
      </c>
      <c r="AG238" s="154" t="s">
        <v>149</v>
      </c>
      <c r="AH238" s="154" t="s">
        <v>149</v>
      </c>
      <c r="AI238" s="8" t="s">
        <v>2435</v>
      </c>
      <c r="AJ238" s="8" t="s">
        <v>2429</v>
      </c>
      <c r="AL238" s="154" t="s">
        <v>149</v>
      </c>
      <c r="AM238" s="154" t="s">
        <v>149</v>
      </c>
      <c r="AN238" s="154" t="s">
        <v>149</v>
      </c>
      <c r="AO238" s="8"/>
      <c r="AP238" s="8"/>
      <c r="AR238" s="8" t="s">
        <v>6027</v>
      </c>
      <c r="AS238" s="172" t="s">
        <v>2433</v>
      </c>
      <c r="AT238" s="154" t="s">
        <v>149</v>
      </c>
      <c r="AU238" s="154" t="s">
        <v>149</v>
      </c>
    </row>
    <row r="239">
      <c r="A239" s="186">
        <v>119.0</v>
      </c>
      <c r="B239" s="152">
        <v>2025.0</v>
      </c>
      <c r="C239" s="153" t="str">
        <f>CONCATENATE(D239, "-", M239, "-", A239)
</f>
        <v>2023-PH041013000-119</v>
      </c>
      <c r="D239" s="152">
        <f>IF(OR(F238="Published", F238="Unpublished"), 2023, IF(F238="New", 2025, ""))
</f>
        <v>2023</v>
      </c>
      <c r="E239" s="151">
        <v>119.0</v>
      </c>
      <c r="F239" s="156" t="s">
        <v>140</v>
      </c>
      <c r="G239" s="156" t="s">
        <v>141</v>
      </c>
      <c r="H239" s="153" t="str">
        <f>IFERROR(__xludf.DUMMYFUNCTION("""COMPUTED_VALUE"""),"**Restoration_project** changed from Unknown to Protection and Rehabilitation of Coastal and Marine Ecosystem of Lian, **Restoration_project_short** changed from Unknown to Site in Brgy Lumaniag, **Year of establishment** changed from 2015 to 2017, **Tech"&amp;"nique/Material Type** changed from Unknown to Concrete pyramid, cubic, **Restoration objective** changed from Substrate for coral settlemennt and growth to Unknown, **Funding agency** changed from JG Summit Petrochemicals to DENR, **Total units** changed "&amp;"from 220 blocks to Unknown, **Implementing institution** changed from JG Summit Petrochemicals to Pusod Inc., **Partners_public** changed from Unknown to DENR, **Partners_communities** changed from Unknown to Lian Fisherfolk Association of Brgy Lumaniag, "&amp;"**Reference** changed from Website to Pusod Admin (2017, September 18). Artificial habitat units fabrication. Pusod Inc. http://pusod.org/pusod/artificial-habitat-units-fabrication/, **Website** changed from https://www.jgsummit.com.ph/impact/jgspg-s-arti"&amp;"ficial-reef-project-continues-to-attract-marine-life-20190629 to http://pusod.org/pusod/artificial-habitat-units-fabrication/")</f>
        <v>**Restoration_project** changed from Unknown to Protection and Rehabilitation of Coastal and Marine Ecosystem of Lian, **Restoration_project_short** changed from Unknown to Site in Brgy Lumaniag, **Year of establishment** changed from 2015 to 2017, **Technique/Material Type** changed from Unknown to Concrete pyramid, cubic, **Restoration objective** changed from Substrate for coral settlemennt and growth to Unknown, **Funding agency** changed from JG Summit Petrochemicals to DENR, **Total units** changed from 220 blocks to Unknown, **Implementing institution** changed from JG Summit Petrochemicals to Pusod Inc., **Partners_public** changed from Unknown to DENR, **Partners_communities** changed from Unknown to Lian Fisherfolk Association of Brgy Lumaniag, **Reference** changed from Website to Pusod Admin (2017, September 18). Artificial habitat units fabrication. Pusod Inc. http://pusod.org/pusod/artificial-habitat-units-fabrication/, **Website** changed from https://www.jgsummit.com.ph/impact/jgspg-s-artificial-reef-project-continues-to-attract-marine-life-20190629 to http://pusod.org/pusod/artificial-habitat-units-fabrication/</v>
      </c>
      <c r="I239" s="153" t="s">
        <v>6599</v>
      </c>
      <c r="J239" s="153" t="s">
        <v>257</v>
      </c>
      <c r="K239" s="153" t="s">
        <v>258</v>
      </c>
      <c r="L239" s="153" t="s">
        <v>1890</v>
      </c>
      <c r="M239" s="181" t="s">
        <v>1891</v>
      </c>
      <c r="N239" s="153" t="s">
        <v>151</v>
      </c>
      <c r="O239" s="153" t="s">
        <v>1892</v>
      </c>
      <c r="P239" s="153" t="s">
        <v>1893</v>
      </c>
      <c r="Q239" s="169">
        <v>2017.0</v>
      </c>
      <c r="R239" s="160" t="s">
        <v>149</v>
      </c>
      <c r="S239" s="160" t="s">
        <v>149</v>
      </c>
      <c r="T239" s="161" t="s">
        <v>150</v>
      </c>
      <c r="U239" s="153">
        <f>IFERROR(__xludf.DUMMYFUNCTION("""COMPUTED_VALUE"""),221.0)</f>
        <v>221</v>
      </c>
      <c r="V239" s="162" t="s">
        <v>3311</v>
      </c>
      <c r="W239" s="184" t="s">
        <v>6032</v>
      </c>
      <c r="X239" s="28" t="s">
        <v>6033</v>
      </c>
      <c r="Y239" s="32" t="s">
        <v>6600</v>
      </c>
      <c r="Z239" s="158" t="s">
        <v>1895</v>
      </c>
      <c r="AA239" s="158" t="s">
        <v>1895</v>
      </c>
      <c r="AB239" s="158" t="s">
        <v>149</v>
      </c>
      <c r="AC239" s="158" t="s">
        <v>341</v>
      </c>
      <c r="AD239" s="158" t="s">
        <v>160</v>
      </c>
      <c r="AE239" s="158" t="s">
        <v>6035</v>
      </c>
      <c r="AF239" s="158" t="s">
        <v>159</v>
      </c>
      <c r="AG239" s="164" t="s">
        <v>149</v>
      </c>
      <c r="AH239" s="158" t="s">
        <v>149</v>
      </c>
      <c r="AI239" s="158" t="s">
        <v>149</v>
      </c>
      <c r="AJ239" s="158" t="s">
        <v>1896</v>
      </c>
      <c r="AK239" s="158" t="s">
        <v>306</v>
      </c>
      <c r="AL239" s="153" t="s">
        <v>341</v>
      </c>
      <c r="AM239" s="154" t="s">
        <v>149</v>
      </c>
      <c r="AN239" s="158" t="s">
        <v>1897</v>
      </c>
      <c r="AO239" s="156">
        <v>1.0</v>
      </c>
      <c r="AP239" s="156" t="s">
        <v>6037</v>
      </c>
      <c r="AQ239" s="158" t="s">
        <v>6027</v>
      </c>
      <c r="AR239" s="153" t="s">
        <v>1898</v>
      </c>
      <c r="AS239" s="172" t="s">
        <v>1899</v>
      </c>
      <c r="AT239" s="154" t="s">
        <v>149</v>
      </c>
      <c r="AU239" s="154" t="s">
        <v>149</v>
      </c>
    </row>
    <row r="240">
      <c r="A240" s="186">
        <v>120.0</v>
      </c>
      <c r="B240" s="152">
        <v>2023.0</v>
      </c>
      <c r="D240" s="152"/>
      <c r="E240" s="151">
        <v>120.0</v>
      </c>
      <c r="F240" s="129" t="s">
        <v>140</v>
      </c>
      <c r="G240" s="3" t="s">
        <v>6029</v>
      </c>
      <c r="H240" s="8" t="str">
        <f>IFERROR(__xludf.DUMMYFUNCTION("""COMPUTED_VALUE"""),"")</f>
        <v/>
      </c>
      <c r="I240" s="8" t="s">
        <v>6601</v>
      </c>
      <c r="J240" s="8" t="s">
        <v>257</v>
      </c>
      <c r="K240" s="8" t="s">
        <v>258</v>
      </c>
      <c r="L240" s="8" t="s">
        <v>2609</v>
      </c>
      <c r="M240" s="153" t="s">
        <v>2610</v>
      </c>
      <c r="N240" s="8" t="s">
        <v>151</v>
      </c>
      <c r="O240" s="158" t="s">
        <v>149</v>
      </c>
      <c r="P240" s="3" t="s">
        <v>6570</v>
      </c>
      <c r="Q240" s="158" t="s">
        <v>149</v>
      </c>
      <c r="R240" s="158" t="s">
        <v>149</v>
      </c>
      <c r="S240" s="158" t="s">
        <v>149</v>
      </c>
      <c r="T240" s="8"/>
      <c r="U240" s="8">
        <f>IFERROR(__xludf.DUMMYFUNCTION("""COMPUTED_VALUE"""),222.0)</f>
        <v>222</v>
      </c>
      <c r="V240" s="8"/>
      <c r="W240" s="8"/>
      <c r="X240" s="8"/>
      <c r="Y240" s="8"/>
      <c r="AA240" s="8" t="s">
        <v>2612</v>
      </c>
      <c r="AB240" s="8" t="s">
        <v>6602</v>
      </c>
      <c r="AC240" s="8" t="s">
        <v>2614</v>
      </c>
      <c r="AG240" s="158" t="s">
        <v>149</v>
      </c>
      <c r="AH240" s="158" t="s">
        <v>149</v>
      </c>
      <c r="AI240" s="158" t="s">
        <v>149</v>
      </c>
      <c r="AJ240" s="8" t="s">
        <v>2614</v>
      </c>
      <c r="AL240" s="158" t="s">
        <v>149</v>
      </c>
      <c r="AM240" s="158" t="s">
        <v>149</v>
      </c>
      <c r="AN240" s="158" t="s">
        <v>149</v>
      </c>
      <c r="AO240" s="8"/>
      <c r="AP240" s="8"/>
      <c r="AR240" s="8" t="s">
        <v>6027</v>
      </c>
      <c r="AS240" s="8" t="s">
        <v>2616</v>
      </c>
      <c r="AT240" s="158" t="s">
        <v>149</v>
      </c>
      <c r="AU240" s="158" t="s">
        <v>149</v>
      </c>
    </row>
    <row r="241">
      <c r="A241" s="186">
        <v>120.0</v>
      </c>
      <c r="B241" s="152">
        <v>2025.0</v>
      </c>
      <c r="C241" s="153" t="str">
        <f>CONCATENATE(D241, "-", M241, "-", A241)
</f>
        <v>2023-PH041015000-120</v>
      </c>
      <c r="D241" s="152">
        <f>IF(OR(F240="Published", F240="Unpublished"), 2023, IF(F240="New", 2025, ""))
</f>
        <v>2023</v>
      </c>
      <c r="E241" s="186">
        <v>120.0</v>
      </c>
      <c r="F241" s="129" t="s">
        <v>140</v>
      </c>
      <c r="G241" s="156" t="s">
        <v>141</v>
      </c>
      <c r="H241" s="153" t="str">
        <f>IFERROR(__xludf.DUMMYFUNCTION("""COMPUTED_VALUE"""),"**Restoration_project_short** changed from Mention of deploying artificial reef structures (made from wine bottles) as reef extensions; Also sank boat and old steel pipes to Site in Brgys Olo-olo, Soloc and Malabrigo, **Year of establishment** changed fro"&amp;"m Unknown to 2014, **Technique/Material Type** changed from Concrete &amp; wine bottles; boat &amp; old steel pipes to Concrete, **Restoration objective** changed from Breeding ground; tourism to Enhance marine life through establishment of habitats and roosting "&amp;"places for sea turtles, **Funding agency** changed from Portulano Dive Resort to MLGU, **Implementing institution** changed from Portulano Dive Resort to MLGU, **Partners_public** changed from Unknown to BFAR, **Reference** changed from Website to Santos,"&amp;" T. (2022, September 7). Artificial coral reefs in the town of Lobo, home to fish and marine life. Sentinel Times. https://www.sentineltimes.net/2022/09/artificial-coral-reefs-in-town-of-lobo.html, **Website** changed from https://www.portulano.com/activi"&amp;"ties to https://www.sentineltimes.net/2022/09/artificial-coral-reefs-in-town-of-lobo.html; https://www.youtube.com/watch?v=Exp81oq_MO4")</f>
        <v>**Restoration_project_short** changed from Mention of deploying artificial reef structures (made from wine bottles) as reef extensions; Also sank boat and old steel pipes to Site in Brgys Olo-olo, Soloc and Malabrigo, **Year of establishment** changed from Unknown to 2014, **Technique/Material Type** changed from Concrete &amp; wine bottles; boat &amp; old steel pipes to Concrete, **Restoration objective** changed from Breeding ground; tourism to Enhance marine life through establishment of habitats and roosting places for sea turtles, **Funding agency** changed from Portulano Dive Resort to MLGU, **Implementing institution** changed from Portulano Dive Resort to MLGU, **Partners_public** changed from Unknown to BFAR, **Reference** changed from Website to Santos, T. (2022, September 7). Artificial coral reefs in the town of Lobo, home to fish and marine life. Sentinel Times. https://www.sentineltimes.net/2022/09/artificial-coral-reefs-in-town-of-lobo.html, **Website** changed from https://www.portulano.com/activities to https://www.sentineltimes.net/2022/09/artificial-coral-reefs-in-town-of-lobo.html; https://www.youtube.com/watch?v=Exp81oq_MO4</v>
      </c>
      <c r="I241" s="153" t="s">
        <v>6603</v>
      </c>
      <c r="J241" s="153" t="s">
        <v>257</v>
      </c>
      <c r="K241" s="153" t="s">
        <v>258</v>
      </c>
      <c r="L241" s="153" t="s">
        <v>1958</v>
      </c>
      <c r="M241" s="157" t="s">
        <v>1959</v>
      </c>
      <c r="N241" s="153" t="s">
        <v>151</v>
      </c>
      <c r="O241" s="158" t="s">
        <v>149</v>
      </c>
      <c r="P241" s="158" t="s">
        <v>6604</v>
      </c>
      <c r="Q241" s="169">
        <v>2014.0</v>
      </c>
      <c r="R241" s="160" t="s">
        <v>149</v>
      </c>
      <c r="S241" s="160" t="s">
        <v>149</v>
      </c>
      <c r="T241" s="161" t="s">
        <v>150</v>
      </c>
      <c r="U241" s="153">
        <f>IFERROR(__xludf.DUMMYFUNCTION("""COMPUTED_VALUE"""),223.0)</f>
        <v>223</v>
      </c>
      <c r="V241" s="162" t="s">
        <v>3311</v>
      </c>
      <c r="W241" s="184" t="s">
        <v>6032</v>
      </c>
      <c r="X241" s="28" t="s">
        <v>6173</v>
      </c>
      <c r="Y241" s="32" t="s">
        <v>6474</v>
      </c>
      <c r="Z241" s="158" t="s">
        <v>152</v>
      </c>
      <c r="AA241" s="158" t="s">
        <v>152</v>
      </c>
      <c r="AB241" s="158" t="s">
        <v>2439</v>
      </c>
      <c r="AC241" s="153" t="s">
        <v>369</v>
      </c>
      <c r="AD241" s="158" t="s">
        <v>160</v>
      </c>
      <c r="AE241" s="158" t="s">
        <v>6035</v>
      </c>
      <c r="AF241" s="158" t="s">
        <v>159</v>
      </c>
      <c r="AG241" s="164" t="s">
        <v>149</v>
      </c>
      <c r="AH241" s="158" t="s">
        <v>149</v>
      </c>
      <c r="AI241" s="158" t="s">
        <v>149</v>
      </c>
      <c r="AJ241" s="153" t="s">
        <v>369</v>
      </c>
      <c r="AK241" s="153" t="s">
        <v>6035</v>
      </c>
      <c r="AL241" s="153" t="s">
        <v>390</v>
      </c>
      <c r="AM241" s="154" t="s">
        <v>149</v>
      </c>
      <c r="AN241" s="154" t="s">
        <v>149</v>
      </c>
      <c r="AO241" s="156">
        <v>1.0</v>
      </c>
      <c r="AP241" s="156" t="s">
        <v>6037</v>
      </c>
      <c r="AQ241" s="158" t="s">
        <v>166</v>
      </c>
      <c r="AR241" s="153" t="s">
        <v>2445</v>
      </c>
      <c r="AS241" s="165" t="s">
        <v>2442</v>
      </c>
      <c r="AT241" s="154" t="s">
        <v>149</v>
      </c>
      <c r="AU241" s="154" t="s">
        <v>149</v>
      </c>
    </row>
    <row r="242">
      <c r="A242" s="186">
        <v>121.0</v>
      </c>
      <c r="B242" s="152">
        <v>2023.0</v>
      </c>
      <c r="D242" s="152"/>
      <c r="E242" s="151">
        <v>121.0</v>
      </c>
      <c r="F242" s="129" t="s">
        <v>140</v>
      </c>
      <c r="G242" s="3" t="s">
        <v>6029</v>
      </c>
      <c r="H242" s="8" t="str">
        <f>IFERROR(__xludf.DUMMYFUNCTION("""COMPUTED_VALUE"""),"")</f>
        <v/>
      </c>
      <c r="I242" s="8" t="s">
        <v>6605</v>
      </c>
      <c r="J242" s="8" t="s">
        <v>257</v>
      </c>
      <c r="K242" s="8" t="s">
        <v>258</v>
      </c>
      <c r="L242" s="8" t="s">
        <v>6577</v>
      </c>
      <c r="M242" s="153" t="s">
        <v>2310</v>
      </c>
      <c r="N242" s="8" t="s">
        <v>151</v>
      </c>
      <c r="O242" s="158" t="s">
        <v>149</v>
      </c>
      <c r="P242" s="158" t="s">
        <v>149</v>
      </c>
      <c r="Q242" s="142" t="s">
        <v>6198</v>
      </c>
      <c r="R242" s="158" t="s">
        <v>149</v>
      </c>
      <c r="S242" s="158" t="s">
        <v>149</v>
      </c>
      <c r="T242" s="8"/>
      <c r="U242" s="8">
        <f>IFERROR(__xludf.DUMMYFUNCTION("""COMPUTED_VALUE"""),224.0)</f>
        <v>224</v>
      </c>
      <c r="V242" s="8"/>
      <c r="W242" s="158"/>
      <c r="X242" s="8"/>
      <c r="Y242" s="8"/>
      <c r="AA242" s="158" t="s">
        <v>149</v>
      </c>
      <c r="AB242" s="8" t="s">
        <v>6506</v>
      </c>
      <c r="AC242" s="158" t="s">
        <v>149</v>
      </c>
      <c r="AG242" s="158" t="s">
        <v>149</v>
      </c>
      <c r="AH242" s="158" t="s">
        <v>149</v>
      </c>
      <c r="AI242" s="158" t="s">
        <v>149</v>
      </c>
      <c r="AJ242" s="8" t="s">
        <v>2304</v>
      </c>
      <c r="AL242" s="8" t="s">
        <v>6507</v>
      </c>
      <c r="AM242" s="158" t="s">
        <v>149</v>
      </c>
      <c r="AN242" s="158" t="s">
        <v>149</v>
      </c>
      <c r="AO242" s="8"/>
      <c r="AP242" s="8"/>
      <c r="AR242" s="158" t="s">
        <v>149</v>
      </c>
      <c r="AS242" s="158" t="s">
        <v>149</v>
      </c>
      <c r="AT242" s="158" t="s">
        <v>149</v>
      </c>
      <c r="AU242" s="158" t="s">
        <v>149</v>
      </c>
    </row>
    <row r="243">
      <c r="A243" s="186">
        <v>121.0</v>
      </c>
      <c r="B243" s="152">
        <v>2025.0</v>
      </c>
      <c r="C243" s="153" t="str">
        <f>CONCATENATE(D243, "-", M243, "-", A243)
</f>
        <v>2023-PH041015000-121</v>
      </c>
      <c r="D243" s="152">
        <f>IF(OR(F242="Published", F242="Unpublished"), 2023, IF(F242="New", 2025, ""))
</f>
        <v>2023</v>
      </c>
      <c r="E243" s="151">
        <v>121.0</v>
      </c>
      <c r="F243" s="156" t="s">
        <v>140</v>
      </c>
      <c r="G243" s="156" t="s">
        <v>141</v>
      </c>
      <c r="H243" s="153" t="str">
        <f>IFERROR(__xludf.DUMMYFUNCTION("""COMPUTED_VALUE"""),"**Restoration_project_short** changed from Unknown to Site in Brgys Balibago and Biga, **Year of establishment** changed from 1990 to 2015, **Technique/Material Type** changed from Unknown to Concrete, **Restoration objective** changed from Fishing to Enh"&amp;"ance marine life through establishment of habitats and roosting places for sea turtles, **Funding agency** changed from Unknown to MLGU, **Implementing institution** changed from National Power Corporation to MLGU, **Partners_public** changed from BFAR, D"&amp;"A, MLGU, BLGU to BFAR, **Reference** changed from Unknown to Santos, T. (2022, September 7). Artificial coral reefs in the town of Lobo, home to fish and marine life. Sentinel Times. https://www.sentineltimes.net/2022/09/artificial-coral-reefs-in-town-of-"&amp;"lobo.html, **Website** changed from Unknown to https://www.sentineltimes.net/2022/09/artificial-coral-reefs-in-town-of-lobo.html")</f>
        <v>**Restoration_project_short** changed from Unknown to Site in Brgys Balibago and Biga, **Year of establishment** changed from 1990 to 2015, **Technique/Material Type** changed from Unknown to Concrete, **Restoration objective** changed from Fishing to Enhance marine life through establishment of habitats and roosting places for sea turtles, **Funding agency** changed from Unknown to MLGU, **Implementing institution** changed from National Power Corporation to MLGU, **Partners_public** changed from BFAR, DA, MLGU, BLGU to BFAR, **Reference** changed from Unknown to Santos, T. (2022, September 7). Artificial coral reefs in the town of Lobo, home to fish and marine life. Sentinel Times. https://www.sentineltimes.net/2022/09/artificial-coral-reefs-in-town-of-lobo.html, **Website** changed from Unknown to https://www.sentineltimes.net/2022/09/artificial-coral-reefs-in-town-of-lobo.html</v>
      </c>
      <c r="I243" s="153" t="s">
        <v>6606</v>
      </c>
      <c r="J243" s="153" t="s">
        <v>257</v>
      </c>
      <c r="K243" s="153" t="s">
        <v>258</v>
      </c>
      <c r="L243" s="153" t="s">
        <v>1958</v>
      </c>
      <c r="M243" s="157" t="s">
        <v>1959</v>
      </c>
      <c r="N243" s="153" t="s">
        <v>151</v>
      </c>
      <c r="O243" s="158" t="s">
        <v>149</v>
      </c>
      <c r="P243" s="158" t="s">
        <v>6607</v>
      </c>
      <c r="Q243" s="169">
        <v>2015.0</v>
      </c>
      <c r="R243" s="160" t="s">
        <v>149</v>
      </c>
      <c r="S243" s="160" t="s">
        <v>149</v>
      </c>
      <c r="T243" s="161" t="s">
        <v>150</v>
      </c>
      <c r="U243" s="153">
        <f>IFERROR(__xludf.DUMMYFUNCTION("""COMPUTED_VALUE"""),225.0)</f>
        <v>225</v>
      </c>
      <c r="V243" s="162" t="s">
        <v>3311</v>
      </c>
      <c r="W243" s="184" t="s">
        <v>6032</v>
      </c>
      <c r="X243" s="28" t="s">
        <v>6173</v>
      </c>
      <c r="Y243" s="32" t="s">
        <v>6474</v>
      </c>
      <c r="Z243" s="158" t="s">
        <v>152</v>
      </c>
      <c r="AA243" s="158" t="s">
        <v>152</v>
      </c>
      <c r="AB243" s="158" t="s">
        <v>2439</v>
      </c>
      <c r="AC243" s="153" t="s">
        <v>369</v>
      </c>
      <c r="AD243" s="158" t="s">
        <v>160</v>
      </c>
      <c r="AE243" s="158" t="s">
        <v>6035</v>
      </c>
      <c r="AF243" s="158" t="s">
        <v>159</v>
      </c>
      <c r="AG243" s="164" t="s">
        <v>149</v>
      </c>
      <c r="AH243" s="158" t="s">
        <v>149</v>
      </c>
      <c r="AI243" s="158" t="s">
        <v>149</v>
      </c>
      <c r="AJ243" s="153" t="s">
        <v>369</v>
      </c>
      <c r="AK243" s="153" t="s">
        <v>6035</v>
      </c>
      <c r="AL243" s="153" t="s">
        <v>390</v>
      </c>
      <c r="AM243" s="154" t="s">
        <v>149</v>
      </c>
      <c r="AN243" s="154" t="s">
        <v>149</v>
      </c>
      <c r="AO243" s="156">
        <v>1.0</v>
      </c>
      <c r="AP243" s="156" t="s">
        <v>6037</v>
      </c>
      <c r="AQ243" s="158" t="s">
        <v>166</v>
      </c>
      <c r="AR243" s="153" t="s">
        <v>2445</v>
      </c>
      <c r="AS243" s="153" t="s">
        <v>2446</v>
      </c>
      <c r="AT243" s="154" t="s">
        <v>149</v>
      </c>
      <c r="AU243" s="154" t="s">
        <v>149</v>
      </c>
    </row>
    <row r="244">
      <c r="A244" s="186">
        <v>122.0</v>
      </c>
      <c r="B244" s="152">
        <v>2023.0</v>
      </c>
      <c r="D244" s="152"/>
      <c r="E244" s="151">
        <v>122.0</v>
      </c>
      <c r="F244" s="129" t="s">
        <v>140</v>
      </c>
      <c r="G244" s="3" t="s">
        <v>6029</v>
      </c>
      <c r="H244" s="8" t="str">
        <f>IFERROR(__xludf.DUMMYFUNCTION("""COMPUTED_VALUE"""),"")</f>
        <v/>
      </c>
      <c r="I244" s="8" t="s">
        <v>6608</v>
      </c>
      <c r="J244" s="8" t="s">
        <v>257</v>
      </c>
      <c r="K244" s="8" t="s">
        <v>258</v>
      </c>
      <c r="L244" s="8" t="s">
        <v>1752</v>
      </c>
      <c r="M244" s="173" t="s">
        <v>1753</v>
      </c>
      <c r="N244" s="8" t="s">
        <v>151</v>
      </c>
      <c r="O244" s="8" t="s">
        <v>6609</v>
      </c>
      <c r="P244" s="158" t="s">
        <v>149</v>
      </c>
      <c r="Q244" s="142" t="s">
        <v>6273</v>
      </c>
      <c r="R244" s="158" t="s">
        <v>149</v>
      </c>
      <c r="S244" s="158" t="s">
        <v>149</v>
      </c>
      <c r="T244" s="8"/>
      <c r="U244" s="8">
        <f>IFERROR(__xludf.DUMMYFUNCTION("""COMPUTED_VALUE"""),226.0)</f>
        <v>226</v>
      </c>
      <c r="V244" s="8"/>
      <c r="W244" s="8"/>
      <c r="X244" s="8"/>
      <c r="Y244" s="8"/>
      <c r="AA244" s="8" t="s">
        <v>790</v>
      </c>
      <c r="AB244" s="8" t="s">
        <v>2513</v>
      </c>
      <c r="AC244" s="8" t="s">
        <v>1757</v>
      </c>
      <c r="AG244" s="158" t="s">
        <v>149</v>
      </c>
      <c r="AH244" s="158" t="s">
        <v>149</v>
      </c>
      <c r="AI244" s="158" t="s">
        <v>149</v>
      </c>
      <c r="AJ244" s="8" t="s">
        <v>1757</v>
      </c>
      <c r="AL244" s="8" t="s">
        <v>6582</v>
      </c>
      <c r="AM244" s="8" t="s">
        <v>1759</v>
      </c>
      <c r="AN244" s="158" t="s">
        <v>149</v>
      </c>
      <c r="AO244" s="8"/>
      <c r="AP244" s="8"/>
      <c r="AR244" s="8" t="s">
        <v>166</v>
      </c>
      <c r="AS244" s="8" t="s">
        <v>6583</v>
      </c>
      <c r="AT244" s="158" t="s">
        <v>149</v>
      </c>
      <c r="AU244" s="158" t="s">
        <v>149</v>
      </c>
    </row>
    <row r="245">
      <c r="A245" s="186">
        <v>122.0</v>
      </c>
      <c r="B245" s="152">
        <v>2025.0</v>
      </c>
      <c r="C245" s="153" t="str">
        <f t="shared" ref="C245:C246" si="19">CONCATENATE(D245, "-", M245, "-", A245)
</f>
        <v>2023-PH041015000-122</v>
      </c>
      <c r="D245" s="152">
        <f t="shared" ref="D245:D246" si="20">IF(OR(F244="Published", F244="Unpublished"), 2023, IF(F244="New", 2025, ""))
</f>
        <v>2023</v>
      </c>
      <c r="E245" s="151">
        <v>122.0</v>
      </c>
      <c r="F245" s="156" t="s">
        <v>140</v>
      </c>
      <c r="G245" s="156" t="s">
        <v>141</v>
      </c>
      <c r="H245" s="153" t="str">
        <f>IFERROR(__xludf.DUMMYFUNCTION("""COMPUTED_VALUE"""),"**Restoration_project** changed from Operation Pamalakaya to Unknown, **Restoration_project_short** changed from Unknown to Site in Brgy Lagadlarin, **Year of establishment** changed from 2019 to 2016, **Technique/Material Type** changed from Jackstone to"&amp;" Concrete, **Restoration objective** changed from Shelter and breeding ground to Enhance marine life through establishment of habitats and roosting places for sea turtles, **Funding agency** changed from Philippine Air Force to MLGU, **Implementing instit"&amp;"ution** changed from Philippine Air Force to MLGU, **Partners_public** changed from BFAR, MGLU, CENRO, United States Navy to BFAR, **Partners_private** changed from DV Boer Farm to Unknown, **Reference** changed from News/Press Release to Santos, T. (2022"&amp;", September 7). Artificial coral reefs in the town of Lobo, home to fish and marine life. Sentinel Times. https://www.sentineltimes.net/2022/09/artificial-coral-reefs-in-town-of-lobo.html, **Website** changed from https://mb.com.ph/2019/08/16/ph-us-join-f"&amp;"orces-in-installing-artificial-reefs-in-calatagan-batangas/; https://www.philstar.com/headlines/2019/08/18/1944305/philippines-us-troops-install-artificial-habitat-reefs to https://www.sentineltimes.net/2022/09/artificial-coral-reefs-in-town-of-lobo.html")</f>
        <v>**Restoration_project** changed from Operation Pamalakaya to Unknown, **Restoration_project_short** changed from Unknown to Site in Brgy Lagadlarin, **Year of establishment** changed from 2019 to 2016, **Technique/Material Type** changed from Jackstone to Concrete, **Restoration objective** changed from Shelter and breeding ground to Enhance marine life through establishment of habitats and roosting places for sea turtles, **Funding agency** changed from Philippine Air Force to MLGU, **Implementing institution** changed from Philippine Air Force to MLGU, **Partners_public** changed from BFAR, MGLU, CENRO, United States Navy to BFAR, **Partners_private** changed from DV Boer Farm to Unknown, **Reference** changed from News/Press Release to Santos, T. (2022, September 7). Artificial coral reefs in the town of Lobo, home to fish and marine life. Sentinel Times. https://www.sentineltimes.net/2022/09/artificial-coral-reefs-in-town-of-lobo.html, **Website** changed from https://mb.com.ph/2019/08/16/ph-us-join-forces-in-installing-artificial-reefs-in-calatagan-batangas/; https://www.philstar.com/headlines/2019/08/18/1944305/philippines-us-troops-install-artificial-habitat-reefs to https://www.sentineltimes.net/2022/09/artificial-coral-reefs-in-town-of-lobo.html</v>
      </c>
      <c r="I245" s="153" t="s">
        <v>6610</v>
      </c>
      <c r="J245" s="153" t="s">
        <v>257</v>
      </c>
      <c r="K245" s="153" t="s">
        <v>258</v>
      </c>
      <c r="L245" s="153" t="s">
        <v>1958</v>
      </c>
      <c r="M245" s="181" t="s">
        <v>1959</v>
      </c>
      <c r="N245" s="153" t="s">
        <v>151</v>
      </c>
      <c r="O245" s="158" t="s">
        <v>149</v>
      </c>
      <c r="P245" s="158" t="s">
        <v>2448</v>
      </c>
      <c r="Q245" s="169">
        <v>2016.0</v>
      </c>
      <c r="R245" s="160" t="s">
        <v>149</v>
      </c>
      <c r="S245" s="160" t="s">
        <v>149</v>
      </c>
      <c r="T245" s="161" t="s">
        <v>150</v>
      </c>
      <c r="U245" s="153">
        <f>IFERROR(__xludf.DUMMYFUNCTION("""COMPUTED_VALUE"""),227.0)</f>
        <v>227</v>
      </c>
      <c r="V245" s="162" t="s">
        <v>3311</v>
      </c>
      <c r="W245" s="184" t="s">
        <v>6032</v>
      </c>
      <c r="X245" s="28" t="s">
        <v>6173</v>
      </c>
      <c r="Y245" s="32" t="s">
        <v>6474</v>
      </c>
      <c r="Z245" s="158" t="s">
        <v>152</v>
      </c>
      <c r="AA245" s="158" t="s">
        <v>152</v>
      </c>
      <c r="AB245" s="158" t="s">
        <v>2439</v>
      </c>
      <c r="AC245" s="153" t="s">
        <v>369</v>
      </c>
      <c r="AD245" s="158" t="s">
        <v>160</v>
      </c>
      <c r="AE245" s="158" t="s">
        <v>6035</v>
      </c>
      <c r="AF245" s="158" t="s">
        <v>159</v>
      </c>
      <c r="AG245" s="164" t="s">
        <v>149</v>
      </c>
      <c r="AH245" s="158" t="s">
        <v>149</v>
      </c>
      <c r="AI245" s="158" t="s">
        <v>149</v>
      </c>
      <c r="AJ245" s="153" t="s">
        <v>369</v>
      </c>
      <c r="AK245" s="153" t="s">
        <v>6035</v>
      </c>
      <c r="AL245" s="153" t="s">
        <v>390</v>
      </c>
      <c r="AM245" s="154" t="s">
        <v>149</v>
      </c>
      <c r="AN245" s="154" t="s">
        <v>149</v>
      </c>
      <c r="AO245" s="156">
        <v>1.0</v>
      </c>
      <c r="AP245" s="156" t="s">
        <v>6037</v>
      </c>
      <c r="AQ245" s="158" t="s">
        <v>166</v>
      </c>
      <c r="AR245" s="153" t="s">
        <v>2445</v>
      </c>
      <c r="AS245" s="153" t="s">
        <v>2446</v>
      </c>
      <c r="AT245" s="154" t="s">
        <v>149</v>
      </c>
      <c r="AU245" s="154" t="s">
        <v>149</v>
      </c>
    </row>
    <row r="246">
      <c r="A246" s="186">
        <v>123.0</v>
      </c>
      <c r="B246" s="152">
        <v>2025.0</v>
      </c>
      <c r="C246" s="153" t="str">
        <f t="shared" si="19"/>
        <v>2023-PH041015000-123</v>
      </c>
      <c r="D246" s="152">
        <f t="shared" si="20"/>
        <v>2023</v>
      </c>
      <c r="E246" s="151">
        <v>123.0</v>
      </c>
      <c r="F246" s="156" t="s">
        <v>191</v>
      </c>
      <c r="G246" s="156" t="s">
        <v>191</v>
      </c>
      <c r="H246" s="153" t="str">
        <f>IFERROR(__xludf.DUMMYFUNCTION("""COMPUTED_VALUE"""),"**Restoration_project** changed from Unknown to Regional Coral Restoration and Appropriate Technologies for Larger-Scale Coral &amp; Fish Habitat Restoration in the Philippines and Australia (FIS 2019/23), **Restoration_project_short** changed from Site in Br"&amp;"gy Lagadlarin to Site in Brgy Malabrigo, **Year of establishment** changed from 2016 to 2023, **Project Start** changed from Unknown to 2021, **Project End** changed from Unknown to 2025, **Restoration method** changed from Artificial Reef to Sexual Repro"&amp;"duction; Asexual Reproduction, **Technique/Material Type** changed from Concrete to Larval enhancement and reseeding, **Restoration objective** changed from Enhance marine life through establishment of habitats and roosting places for sea turtles to Unkno"&amp;"wn, **Funding agency** changed from MLGU to ACIAR, **Implementing institution** changed from MLGU to Southern Cross University, **Partners_public** changed from BFAR to UP MSI, MLGU, **Reference** changed from Santos, T. (2022, September 7). Artificial co"&amp;"ral reefs in the town of Lobo, home to fish and marine life. Sentinel Times. https://www.sentineltimes.net/2022/09/artificial-coral-reefs-in-town-of-lobo.html to Personal communication, **Website** changed from https://www.sentineltimes.net/2022/09/artifi"&amp;"cial-coral-reefs-in-town-of-lobo.html to Unknown")</f>
        <v>**Restoration_project** changed from Unknown to Regional Coral Restoration and Appropriate Technologies for Larger-Scale Coral &amp; Fish Habitat Restoration in the Philippines and Australia (FIS 2019/23), **Restoration_project_short** changed from Site in Brgy Lagadlarin to Site in Brgy Malabrigo, **Year of establishment** changed from 2016 to 2023, **Project Start** changed from Unknown to 2021, **Project End** changed from Unknown to 2025, **Restoration method** changed from Artificial Reef to Sexual Reproduction; Asexual Reproduction, **Technique/Material Type** changed from Concrete to Larval enhancement and reseeding, **Restoration objective** changed from Enhance marine life through establishment of habitats and roosting places for sea turtles to Unknown, **Funding agency** changed from MLGU to ACIAR, **Implementing institution** changed from MLGU to Southern Cross University, **Partners_public** changed from BFAR to UP MSI, MLGU, **Reference** changed from Santos, T. (2022, September 7). Artificial coral reefs in the town of Lobo, home to fish and marine life. Sentinel Times. https://www.sentineltimes.net/2022/09/artificial-coral-reefs-in-town-of-lobo.html to Personal communication, **Website** changed from https://www.sentineltimes.net/2022/09/artificial-coral-reefs-in-town-of-lobo.html to Unknown</v>
      </c>
      <c r="I246" s="153" t="s">
        <v>6611</v>
      </c>
      <c r="J246" s="153" t="s">
        <v>257</v>
      </c>
      <c r="K246" s="153" t="s">
        <v>258</v>
      </c>
      <c r="L246" s="153" t="s">
        <v>1958</v>
      </c>
      <c r="M246" s="181" t="s">
        <v>1959</v>
      </c>
      <c r="N246" s="153" t="s">
        <v>6259</v>
      </c>
      <c r="O246" s="153" t="s">
        <v>6612</v>
      </c>
      <c r="P246" s="158" t="s">
        <v>1961</v>
      </c>
      <c r="Q246" s="169">
        <v>2023.0</v>
      </c>
      <c r="R246" s="160" t="s">
        <v>6030</v>
      </c>
      <c r="S246" s="160" t="s">
        <v>14</v>
      </c>
      <c r="T246" s="156" t="s">
        <v>298</v>
      </c>
      <c r="U246" s="153">
        <f>IFERROR(__xludf.DUMMYFUNCTION("""COMPUTED_VALUE"""),228.0)</f>
        <v>228</v>
      </c>
      <c r="V246" s="191" t="s">
        <v>3299</v>
      </c>
      <c r="W246" s="179" t="s">
        <v>154</v>
      </c>
      <c r="X246" s="180"/>
      <c r="Y246" s="180" t="s">
        <v>154</v>
      </c>
      <c r="Z246" s="158" t="s">
        <v>1962</v>
      </c>
      <c r="AA246" s="153" t="s">
        <v>6613</v>
      </c>
      <c r="AB246" s="158" t="s">
        <v>149</v>
      </c>
      <c r="AC246" s="153" t="s">
        <v>203</v>
      </c>
      <c r="AD246" s="158" t="s">
        <v>6154</v>
      </c>
      <c r="AE246" s="158" t="s">
        <v>206</v>
      </c>
      <c r="AF246" s="158" t="s">
        <v>159</v>
      </c>
      <c r="AG246" s="164" t="s">
        <v>149</v>
      </c>
      <c r="AH246" s="158" t="s">
        <v>149</v>
      </c>
      <c r="AI246" s="158" t="s">
        <v>149</v>
      </c>
      <c r="AJ246" s="153" t="s">
        <v>208</v>
      </c>
      <c r="AK246" s="158" t="s">
        <v>6068</v>
      </c>
      <c r="AL246" s="153" t="s">
        <v>6614</v>
      </c>
      <c r="AM246" s="156" t="s">
        <v>149</v>
      </c>
      <c r="AN246" s="156" t="s">
        <v>149</v>
      </c>
      <c r="AO246" s="156">
        <v>2.0</v>
      </c>
      <c r="AP246" s="156" t="s">
        <v>6264</v>
      </c>
      <c r="AQ246" s="153" t="s">
        <v>214</v>
      </c>
      <c r="AR246" s="153" t="s">
        <v>214</v>
      </c>
      <c r="AS246" s="156" t="s">
        <v>149</v>
      </c>
      <c r="AT246" s="156" t="s">
        <v>149</v>
      </c>
      <c r="AU246" s="156" t="s">
        <v>149</v>
      </c>
    </row>
    <row r="247">
      <c r="A247" s="186">
        <v>123.0</v>
      </c>
      <c r="B247" s="152">
        <v>2023.0</v>
      </c>
      <c r="D247" s="152"/>
      <c r="E247" s="151">
        <v>123.0</v>
      </c>
      <c r="F247" s="129" t="s">
        <v>140</v>
      </c>
      <c r="G247" s="3" t="s">
        <v>6029</v>
      </c>
      <c r="H247" s="8" t="str">
        <f>IFERROR(__xludf.DUMMYFUNCTION("""COMPUTED_VALUE"""),"")</f>
        <v/>
      </c>
      <c r="I247" s="8" t="s">
        <v>6615</v>
      </c>
      <c r="J247" s="8" t="s">
        <v>257</v>
      </c>
      <c r="K247" s="8" t="s">
        <v>258</v>
      </c>
      <c r="L247" s="8" t="s">
        <v>1752</v>
      </c>
      <c r="M247" s="153" t="s">
        <v>1753</v>
      </c>
      <c r="N247" s="8" t="s">
        <v>151</v>
      </c>
      <c r="O247" s="158" t="s">
        <v>149</v>
      </c>
      <c r="P247" s="158" t="s">
        <v>149</v>
      </c>
      <c r="Q247" s="142" t="s">
        <v>6329</v>
      </c>
      <c r="R247" s="158" t="s">
        <v>149</v>
      </c>
      <c r="S247" s="158" t="s">
        <v>149</v>
      </c>
      <c r="T247" s="8"/>
      <c r="U247" s="8">
        <f>IFERROR(__xludf.DUMMYFUNCTION("""COMPUTED_VALUE"""),229.0)</f>
        <v>229</v>
      </c>
      <c r="V247" s="8"/>
      <c r="W247" s="158"/>
      <c r="X247" s="8"/>
      <c r="Y247" s="8"/>
      <c r="AA247" s="158" t="s">
        <v>149</v>
      </c>
      <c r="AB247" s="158" t="s">
        <v>149</v>
      </c>
      <c r="AC247" s="8" t="s">
        <v>872</v>
      </c>
      <c r="AG247" s="158" t="s">
        <v>149</v>
      </c>
      <c r="AH247" s="158" t="s">
        <v>149</v>
      </c>
      <c r="AI247" s="158" t="s">
        <v>149</v>
      </c>
      <c r="AJ247" s="8" t="s">
        <v>872</v>
      </c>
      <c r="AL247" s="158" t="s">
        <v>149</v>
      </c>
      <c r="AM247" s="158" t="s">
        <v>149</v>
      </c>
      <c r="AN247" s="158" t="s">
        <v>149</v>
      </c>
      <c r="AO247" s="8"/>
      <c r="AP247" s="8"/>
      <c r="AR247" s="8" t="s">
        <v>6027</v>
      </c>
      <c r="AS247" s="8" t="s">
        <v>875</v>
      </c>
      <c r="AT247" s="158" t="s">
        <v>149</v>
      </c>
      <c r="AU247" s="158" t="s">
        <v>149</v>
      </c>
    </row>
    <row r="248">
      <c r="A248" s="186">
        <v>124.0</v>
      </c>
      <c r="B248" s="152">
        <v>2025.0</v>
      </c>
      <c r="C248" s="153" t="str">
        <f>CONCATENATE(D248, "-", M248, "-", A248)
</f>
        <v>2023-PH041016000-124</v>
      </c>
      <c r="D248" s="152">
        <f>IF(OR(F247="Published", F247="Unpublished"), 2023, IF(F247="New", 2025, ""))
</f>
        <v>2023</v>
      </c>
      <c r="E248" s="151">
        <v>124.0</v>
      </c>
      <c r="F248" s="156" t="s">
        <v>191</v>
      </c>
      <c r="G248" s="156" t="s">
        <v>191</v>
      </c>
      <c r="H248" s="153" t="str">
        <f>IFERROR(__xludf.DUMMYFUNCTION("""COMPUTED_VALUE"""),"**Restoration_project** changed from Unknown to ReefBuds, **Restoration_project_short** changed from Unknown to Site in Anilao; 2 deployments, **Year of establishment** changed from 2009 to 2007, **Project Start** changed from Unknown to 2007, **Project E"&amp;"nd** changed from Unknown to 2010, **Technique/Material Type** changed from Unknown to Reefbuds, **Restoration objective** changed from Unknown to Coral reef rehabilitation, **Funding agency** changed from Conservation of Ocean Resources and Aquatic Life "&amp;"(C.O.R.A.L.) to Philippines Australia Community Assistance Programs, **Total units** changed from Unknown to 28 units, **Implementing institution** changed from Conservation of Ocean Resources and Aquatic Life (C.O.R.A.L.) to Yes2Life, **Partners_private*"&amp;"* changed from Unknown to Biri Initiative, **Reference** changed from Website to Lee (2014, August 6). ""Reefbud"" Technology Downsized to Broaden Appeal. The Scuba News. https://www.thescubanews.com/2014/08/06/reefbud-technology-downsized-to-broaden-appe"&amp;"al/, **Website** changed from http://www.coralmovement.org/ to https://www.thescubanews.com/2014/08/06/reefbud-technology-downsized-to-broaden-appeal/")</f>
        <v>**Restoration_project** changed from Unknown to ReefBuds, **Restoration_project_short** changed from Unknown to Site in Anilao; 2 deployments, **Year of establishment** changed from 2009 to 2007, **Project Start** changed from Unknown to 2007, **Project End** changed from Unknown to 2010, **Technique/Material Type** changed from Unknown to Reefbuds, **Restoration objective** changed from Unknown to Coral reef rehabilitation, **Funding agency** changed from Conservation of Ocean Resources and Aquatic Life (C.O.R.A.L.) to Philippines Australia Community Assistance Programs, **Total units** changed from Unknown to 28 units, **Implementing institution** changed from Conservation of Ocean Resources and Aquatic Life (C.O.R.A.L.) to Yes2Life, **Partners_private** changed from Unknown to Biri Initiative, **Reference** changed from Website to Lee (2014, August 6). "Reefbud" Technology Downsized to Broaden Appeal. The Scuba News. https://www.thescubanews.com/2014/08/06/reefbud-technology-downsized-to-broaden-appeal/, **Website** changed from http://www.coralmovement.org/ to https://www.thescubanews.com/2014/08/06/reefbud-technology-downsized-to-broaden-appeal/</v>
      </c>
      <c r="I248" s="153" t="s">
        <v>6616</v>
      </c>
      <c r="J248" s="153" t="s">
        <v>257</v>
      </c>
      <c r="K248" s="153" t="s">
        <v>258</v>
      </c>
      <c r="L248" s="153" t="s">
        <v>1255</v>
      </c>
      <c r="M248" s="181" t="s">
        <v>1256</v>
      </c>
      <c r="N248" s="153" t="s">
        <v>151</v>
      </c>
      <c r="O248" s="153" t="s">
        <v>1921</v>
      </c>
      <c r="P248" s="153" t="s">
        <v>6617</v>
      </c>
      <c r="Q248" s="169">
        <v>2007.0</v>
      </c>
      <c r="R248" s="160" t="s">
        <v>6404</v>
      </c>
      <c r="S248" s="160" t="s">
        <v>6114</v>
      </c>
      <c r="T248" s="161" t="s">
        <v>150</v>
      </c>
      <c r="U248" s="153">
        <f>IFERROR(__xludf.DUMMYFUNCTION("""COMPUTED_VALUE"""),230.0)</f>
        <v>230</v>
      </c>
      <c r="V248" s="162" t="s">
        <v>3311</v>
      </c>
      <c r="W248" s="179" t="s">
        <v>6032</v>
      </c>
      <c r="X248" s="28" t="s">
        <v>6033</v>
      </c>
      <c r="Y248" s="32" t="s">
        <v>851</v>
      </c>
      <c r="Z248" s="158" t="s">
        <v>851</v>
      </c>
      <c r="AA248" s="153" t="s">
        <v>851</v>
      </c>
      <c r="AB248" s="153" t="s">
        <v>1923</v>
      </c>
      <c r="AC248" s="153" t="s">
        <v>1924</v>
      </c>
      <c r="AD248" s="158" t="s">
        <v>6154</v>
      </c>
      <c r="AE248" s="158" t="s">
        <v>206</v>
      </c>
      <c r="AF248" s="158" t="s">
        <v>159</v>
      </c>
      <c r="AG248" s="164" t="s">
        <v>149</v>
      </c>
      <c r="AH248" s="158" t="s">
        <v>149</v>
      </c>
      <c r="AI248" s="153" t="s">
        <v>1925</v>
      </c>
      <c r="AJ248" s="153" t="s">
        <v>1926</v>
      </c>
      <c r="AK248" s="153" t="s">
        <v>271</v>
      </c>
      <c r="AL248" s="156" t="s">
        <v>149</v>
      </c>
      <c r="AM248" s="153" t="s">
        <v>724</v>
      </c>
      <c r="AN248" s="156" t="s">
        <v>149</v>
      </c>
      <c r="AO248" s="156">
        <v>1.0</v>
      </c>
      <c r="AP248" s="156" t="s">
        <v>6037</v>
      </c>
      <c r="AQ248" s="158" t="s">
        <v>6517</v>
      </c>
      <c r="AR248" s="153" t="s">
        <v>1927</v>
      </c>
      <c r="AS248" s="165" t="s">
        <v>1928</v>
      </c>
      <c r="AT248" s="156" t="s">
        <v>149</v>
      </c>
      <c r="AU248" s="156" t="s">
        <v>149</v>
      </c>
    </row>
    <row r="249">
      <c r="A249" s="186">
        <v>124.0</v>
      </c>
      <c r="B249" s="152">
        <v>2023.0</v>
      </c>
      <c r="D249" s="152"/>
      <c r="E249" s="151">
        <v>124.0</v>
      </c>
      <c r="F249" s="129" t="s">
        <v>140</v>
      </c>
      <c r="G249" s="3" t="s">
        <v>3279</v>
      </c>
      <c r="H249" s="8" t="str">
        <f>IFERROR(__xludf.DUMMYFUNCTION("""COMPUTED_VALUE"""),"")</f>
        <v/>
      </c>
      <c r="I249" s="8" t="s">
        <v>6618</v>
      </c>
      <c r="J249" s="8" t="s">
        <v>257</v>
      </c>
      <c r="K249" s="8" t="s">
        <v>258</v>
      </c>
      <c r="L249" s="8" t="s">
        <v>1752</v>
      </c>
      <c r="M249" s="153" t="s">
        <v>1753</v>
      </c>
      <c r="N249" s="8" t="s">
        <v>151</v>
      </c>
      <c r="O249" s="154" t="s">
        <v>149</v>
      </c>
      <c r="Q249" s="142" t="s">
        <v>6145</v>
      </c>
      <c r="R249" s="142"/>
      <c r="S249" s="142"/>
      <c r="U249" s="8">
        <f>IFERROR(__xludf.DUMMYFUNCTION("""COMPUTED_VALUE"""),231.0)</f>
        <v>231</v>
      </c>
      <c r="V249" s="8"/>
      <c r="W249" s="8"/>
      <c r="AB249" s="8" t="s">
        <v>2513</v>
      </c>
      <c r="AC249" s="8" t="s">
        <v>6619</v>
      </c>
      <c r="AG249" s="142"/>
      <c r="AO249" s="8"/>
      <c r="AP249" s="8"/>
      <c r="AR249" s="8" t="s">
        <v>166</v>
      </c>
      <c r="AS249" s="8" t="s">
        <v>6620</v>
      </c>
    </row>
    <row r="250">
      <c r="A250" s="186">
        <v>125.0</v>
      </c>
      <c r="B250" s="152">
        <v>2023.0</v>
      </c>
      <c r="D250" s="152"/>
      <c r="E250" s="151">
        <v>125.0</v>
      </c>
      <c r="F250" s="129" t="s">
        <v>140</v>
      </c>
      <c r="G250" s="3" t="s">
        <v>6029</v>
      </c>
      <c r="H250" s="8" t="str">
        <f>IFERROR(__xludf.DUMMYFUNCTION("""COMPUTED_VALUE"""),"")</f>
        <v/>
      </c>
      <c r="I250" s="8" t="s">
        <v>6621</v>
      </c>
      <c r="J250" s="8" t="s">
        <v>257</v>
      </c>
      <c r="K250" s="8" t="s">
        <v>258</v>
      </c>
      <c r="L250" s="8" t="s">
        <v>1752</v>
      </c>
      <c r="M250" s="153" t="s">
        <v>1753</v>
      </c>
      <c r="N250" s="8" t="s">
        <v>151</v>
      </c>
      <c r="O250" s="8" t="s">
        <v>6587</v>
      </c>
      <c r="P250" s="154" t="s">
        <v>149</v>
      </c>
      <c r="Q250" s="142" t="s">
        <v>6098</v>
      </c>
      <c r="R250" s="154" t="s">
        <v>149</v>
      </c>
      <c r="S250" s="154" t="s">
        <v>149</v>
      </c>
      <c r="T250" s="8"/>
      <c r="U250" s="8">
        <f>IFERROR(__xludf.DUMMYFUNCTION("""COMPUTED_VALUE"""),232.0)</f>
        <v>232</v>
      </c>
      <c r="V250" s="8"/>
      <c r="W250" s="154"/>
      <c r="X250" s="8"/>
      <c r="Y250" s="8"/>
      <c r="AA250" s="154" t="s">
        <v>149</v>
      </c>
      <c r="AB250" s="154" t="s">
        <v>149</v>
      </c>
      <c r="AC250" s="8" t="s">
        <v>341</v>
      </c>
      <c r="AG250" s="154" t="s">
        <v>149</v>
      </c>
      <c r="AH250" s="154" t="s">
        <v>149</v>
      </c>
      <c r="AI250" s="154" t="s">
        <v>149</v>
      </c>
      <c r="AJ250" s="8" t="s">
        <v>341</v>
      </c>
      <c r="AL250" s="154" t="s">
        <v>149</v>
      </c>
      <c r="AM250" s="154" t="s">
        <v>149</v>
      </c>
      <c r="AN250" s="154" t="s">
        <v>149</v>
      </c>
      <c r="AO250" s="8"/>
      <c r="AP250" s="8"/>
      <c r="AR250" s="8" t="s">
        <v>166</v>
      </c>
      <c r="AS250" s="8" t="s">
        <v>6622</v>
      </c>
      <c r="AT250" s="154" t="s">
        <v>149</v>
      </c>
      <c r="AU250" s="154" t="s">
        <v>149</v>
      </c>
    </row>
    <row r="251">
      <c r="A251" s="186">
        <v>125.0</v>
      </c>
      <c r="B251" s="152">
        <v>2025.0</v>
      </c>
      <c r="C251" s="153" t="str">
        <f t="shared" ref="C251:C252" si="21">CONCATENATE(D251, "-", M251, "-", A251)
</f>
        <v>2023-PH041016000-125</v>
      </c>
      <c r="D251" s="152">
        <f t="shared" ref="D251:D252" si="22">IF(OR(F250="Published", F250="Unpublished"), 2023, IF(F250="New", 2025, ""))
</f>
        <v>2023</v>
      </c>
      <c r="E251" s="151">
        <v>125.0</v>
      </c>
      <c r="F251" s="156" t="s">
        <v>140</v>
      </c>
      <c r="G251" s="156" t="s">
        <v>141</v>
      </c>
      <c r="H251" s="153" t="str">
        <f>IFERROR(__xludf.DUMMYFUNCTION("""COMPUTED_VALUE"""),"**Restoration_project** changed from SCREMP to Redeem the Reefs, **Restoration_project_short** changed from Unknown to Site in front of Paradiso Rito Resort, Brgy Mainit, **Year of establishment** changed from 2018 to 2017, **Restoration method** changed "&amp;"from Artificial Reef to Artificial Reef; Asexual Reproduction, **Technique/Material Type** changed from Unknown to Transplantation; AR art installations, **Restoration objective** changed from Unknown to Enhance coral cover; restore marine ecosystem, **Fu"&amp;"nding agency** changed from DENR to Sea Paradiso Foundation, **Implementing institution** changed from DENR to Paradiso Rito Resort, **Reference** changed from News/Press Release to Hernandez, H. (2018, November 26). Paradiso Rito and Redeem the Reef Proj"&amp;"ect - A Glimmer of Hope for Verde Island Passage. Shearwater. https://www.shearwater.com/monthly-blog-posts/paradiso-rito-and-redeem-the-reef-project-a-glimmer-of-hope-for-verde-island-passage/, **Website** changed from https://brigadanews.ph/mga-artifici"&amp;"al-reefs-sa-calatagan-batangas-habitat-na-ng-marine-lives/ to https://www.shearwater.com/monthly-blog-posts/paradiso-rito-and-redeem-the-reef-project-a-glimmer-of-hope-for-verde-island-passage/")</f>
        <v>**Restoration_project** changed from SCREMP to Redeem the Reefs, **Restoration_project_short** changed from Unknown to Site in front of Paradiso Rito Resort, Brgy Mainit, **Year of establishment** changed from 2018 to 2017, **Restoration method** changed from Artificial Reef to Artificial Reef; Asexual Reproduction, **Technique/Material Type** changed from Unknown to Transplantation; AR art installations, **Restoration objective** changed from Unknown to Enhance coral cover; restore marine ecosystem, **Funding agency** changed from DENR to Sea Paradiso Foundation, **Implementing institution** changed from DENR to Paradiso Rito Resort, **Reference** changed from News/Press Release to Hernandez, H. (2018, November 26). Paradiso Rito and Redeem the Reef Project - A Glimmer of Hope for Verde Island Passage. Shearwater. https://www.shearwater.com/monthly-blog-posts/paradiso-rito-and-redeem-the-reef-project-a-glimmer-of-hope-for-verde-island-passage/, **Website** changed from https://brigadanews.ph/mga-artificial-reefs-sa-calatagan-batangas-habitat-na-ng-marine-lives/ to https://www.shearwater.com/monthly-blog-posts/paradiso-rito-and-redeem-the-reef-project-a-glimmer-of-hope-for-verde-island-passage/</v>
      </c>
      <c r="I251" s="153" t="s">
        <v>6623</v>
      </c>
      <c r="J251" s="153" t="s">
        <v>257</v>
      </c>
      <c r="K251" s="153" t="s">
        <v>258</v>
      </c>
      <c r="L251" s="153" t="s">
        <v>1255</v>
      </c>
      <c r="M251" s="181" t="s">
        <v>1256</v>
      </c>
      <c r="N251" s="153" t="s">
        <v>6624</v>
      </c>
      <c r="O251" s="153" t="s">
        <v>1901</v>
      </c>
      <c r="P251" s="158" t="s">
        <v>1902</v>
      </c>
      <c r="Q251" s="169">
        <v>2017.0</v>
      </c>
      <c r="R251" s="160" t="s">
        <v>149</v>
      </c>
      <c r="S251" s="160" t="s">
        <v>149</v>
      </c>
      <c r="T251" s="156" t="s">
        <v>263</v>
      </c>
      <c r="U251" s="153">
        <f>IFERROR(__xludf.DUMMYFUNCTION("""COMPUTED_VALUE"""),233.0)</f>
        <v>233</v>
      </c>
      <c r="V251" s="191" t="s">
        <v>6625</v>
      </c>
      <c r="W251" s="187" t="s">
        <v>6626</v>
      </c>
      <c r="X251" s="28" t="s">
        <v>6033</v>
      </c>
      <c r="Y251" s="180" t="s">
        <v>1556</v>
      </c>
      <c r="Z251" s="158" t="s">
        <v>1903</v>
      </c>
      <c r="AA251" s="153" t="s">
        <v>6627</v>
      </c>
      <c r="AB251" s="153" t="s">
        <v>1904</v>
      </c>
      <c r="AC251" s="158" t="s">
        <v>1905</v>
      </c>
      <c r="AD251" s="158" t="s">
        <v>160</v>
      </c>
      <c r="AE251" s="158" t="s">
        <v>184</v>
      </c>
      <c r="AF251" s="158" t="s">
        <v>159</v>
      </c>
      <c r="AG251" s="164" t="s">
        <v>149</v>
      </c>
      <c r="AH251" s="158" t="s">
        <v>149</v>
      </c>
      <c r="AI251" s="158" t="s">
        <v>149</v>
      </c>
      <c r="AJ251" s="153" t="s">
        <v>1906</v>
      </c>
      <c r="AK251" s="158" t="s">
        <v>184</v>
      </c>
      <c r="AL251" s="166" t="s">
        <v>149</v>
      </c>
      <c r="AM251" s="166" t="s">
        <v>149</v>
      </c>
      <c r="AN251" s="166" t="s">
        <v>149</v>
      </c>
      <c r="AO251" s="156">
        <v>2.0</v>
      </c>
      <c r="AP251" s="156" t="s">
        <v>6628</v>
      </c>
      <c r="AQ251" s="158" t="s">
        <v>6091</v>
      </c>
      <c r="AR251" s="153" t="s">
        <v>1907</v>
      </c>
      <c r="AS251" s="165" t="s">
        <v>1908</v>
      </c>
      <c r="AT251" s="166" t="s">
        <v>149</v>
      </c>
      <c r="AU251" s="166" t="s">
        <v>149</v>
      </c>
    </row>
    <row r="252">
      <c r="A252" s="186">
        <v>126.0</v>
      </c>
      <c r="B252" s="152">
        <v>2025.0</v>
      </c>
      <c r="C252" s="153" t="str">
        <f t="shared" si="21"/>
        <v>2023-PH041016000-126</v>
      </c>
      <c r="D252" s="152">
        <f t="shared" si="22"/>
        <v>2023</v>
      </c>
      <c r="E252" s="151">
        <v>126.0</v>
      </c>
      <c r="F252" s="156" t="s">
        <v>140</v>
      </c>
      <c r="G252" s="156" t="s">
        <v>141</v>
      </c>
      <c r="H252" s="153" t="str">
        <f>IFERROR(__xludf.DUMMYFUNCTION("""COMPUTED_VALUE"""),"**Restoration_project** changed from Redeem the Reefs to Filipinnovation on Coral Reef Restoration, **Restoration_project_short** changed from Site in front of Paradiso Rito Resort, Brgy Mainit to Site in front of Pier Uno Dive Resort, Halo Dive Resort an"&amp;"d PNP Maritime Institute, **Year of establishment** changed from 2017 to 2012, **Project Start** changed from Unknown to 2012, **Project End** changed from Unknown to 2013, **Restoration method** changed from Artificial Reef; Asexual Reproduction to Asexu"&amp;"al Reproduction, **Technique/Material Type** changed from Transplantation; AR art installations to CNU, **Restoration objective** changed from Enhance coral cover; restore marine ecosystem to Establish technology pilot demonstration sites for coral nurser"&amp;"ies, **Funding agency** changed from Sea Paradiso Foundation to DOST-PCAARRD, **Total units** changed from Unknown to 22 CNUs/11,088 coral fragments, **Implementing institution** changed from Paradiso Rito Resort to University of San Carlos, **Partners_pu"&amp;"blic** changed from Unknown to Batangas State University, **Reference** changed from Hernandez, H. (2018, November 26). Paradiso Rito and Redeem the Reef Project - A Glimmer of Hope for Verde Island Passage. Shearwater. https://www.shearwater.com/monthly-"&amp;"blog-posts/paradiso-rito-and-redeem-the-reef-project-a-glimmer-of-hope-for-verde-island-passage/ to DOST-PCAARRD (2013c). Project 3: Pilot Technology Demonstration on Coral Reef Restoration in Laiya, San Juan and Anilao, Mabini, Batangas., **Website** cha"&amp;"nged from https://www.shearwater.com/monthly-blog-posts/paradiso-rito-and-redeem-the-reef-project-a-glimmer-of-hope-for-verde-island-passage/ to Report uploaded in the Google Drive")</f>
        <v>**Restoration_project** changed from Redeem the Reefs to Filipinnovation on Coral Reef Restoration, **Restoration_project_short** changed from Site in front of Paradiso Rito Resort, Brgy Mainit to Site in front of Pier Uno Dive Resort, Halo Dive Resort and PNP Maritime Institute, **Year of establishment** changed from 2017 to 2012, **Project Start** changed from Unknown to 2012, **Project End** changed from Unknown to 2013, **Restoration method** changed from Artificial Reef; Asexual Reproduction to Asexual Reproduction, **Technique/Material Type** changed from Transplantation; AR art installations to CNU, **Restoration objective** changed from Enhance coral cover; restore marine ecosystem to Establish technology pilot demonstration sites for coral nurseries, **Funding agency** changed from Sea Paradiso Foundation to DOST-PCAARRD, **Total units** changed from Unknown to 22 CNUs/11,088 coral fragments, **Implementing institution** changed from Paradiso Rito Resort to University of San Carlos, **Partners_public** changed from Unknown to Batangas State University, **Reference** changed from Hernandez, H. (2018, November 26). Paradiso Rito and Redeem the Reef Project - A Glimmer of Hope for Verde Island Passage. Shearwater. https://www.shearwater.com/monthly-blog-posts/paradiso-rito-and-redeem-the-reef-project-a-glimmer-of-hope-for-verde-island-passage/ to DOST-PCAARRD (2013c). Project 3: Pilot Technology Demonstration on Coral Reef Restoration in Laiya, San Juan and Anilao, Mabini, Batangas., **Website** changed from https://www.shearwater.com/monthly-blog-posts/paradiso-rito-and-redeem-the-reef-project-a-glimmer-of-hope-for-verde-island-passage/ to Report uploaded in the Google Drive</v>
      </c>
      <c r="I252" s="153" t="s">
        <v>6629</v>
      </c>
      <c r="J252" s="153" t="s">
        <v>257</v>
      </c>
      <c r="K252" s="153" t="s">
        <v>258</v>
      </c>
      <c r="L252" s="153" t="s">
        <v>1255</v>
      </c>
      <c r="M252" s="181" t="s">
        <v>1256</v>
      </c>
      <c r="N252" s="153" t="s">
        <v>6062</v>
      </c>
      <c r="O252" s="153" t="s">
        <v>1174</v>
      </c>
      <c r="P252" s="158" t="s">
        <v>1257</v>
      </c>
      <c r="Q252" s="178">
        <v>2012.0</v>
      </c>
      <c r="R252" s="175" t="s">
        <v>6151</v>
      </c>
      <c r="S252" s="175" t="s">
        <v>6089</v>
      </c>
      <c r="T252" s="156" t="s">
        <v>177</v>
      </c>
      <c r="U252" s="153">
        <f>IFERROR(__xludf.DUMMYFUNCTION("""COMPUTED_VALUE"""),234.0)</f>
        <v>234</v>
      </c>
      <c r="V252" s="191" t="s">
        <v>1359</v>
      </c>
      <c r="W252" s="179" t="s">
        <v>6066</v>
      </c>
      <c r="X252" s="180"/>
      <c r="Y252" s="180" t="s">
        <v>154</v>
      </c>
      <c r="Z252" s="158" t="s">
        <v>179</v>
      </c>
      <c r="AA252" s="153" t="s">
        <v>320</v>
      </c>
      <c r="AB252" s="158" t="s">
        <v>1222</v>
      </c>
      <c r="AC252" s="153" t="s">
        <v>321</v>
      </c>
      <c r="AD252" s="158" t="s">
        <v>160</v>
      </c>
      <c r="AE252" s="158" t="s">
        <v>6035</v>
      </c>
      <c r="AF252" s="158" t="s">
        <v>159</v>
      </c>
      <c r="AG252" s="164" t="s">
        <v>149</v>
      </c>
      <c r="AH252" s="158" t="s">
        <v>149</v>
      </c>
      <c r="AI252" s="158" t="s">
        <v>1258</v>
      </c>
      <c r="AJ252" s="153" t="s">
        <v>885</v>
      </c>
      <c r="AK252" s="158" t="s">
        <v>6068</v>
      </c>
      <c r="AL252" s="153" t="s">
        <v>1259</v>
      </c>
      <c r="AM252" s="160" t="s">
        <v>149</v>
      </c>
      <c r="AN252" s="160" t="s">
        <v>149</v>
      </c>
      <c r="AO252" s="156">
        <v>1.0</v>
      </c>
      <c r="AP252" s="156" t="s">
        <v>6037</v>
      </c>
      <c r="AQ252" s="158" t="s">
        <v>6069</v>
      </c>
      <c r="AR252" s="153" t="s">
        <v>1260</v>
      </c>
      <c r="AS252" s="153" t="s">
        <v>6070</v>
      </c>
      <c r="AT252" s="160" t="s">
        <v>149</v>
      </c>
      <c r="AU252" s="160" t="s">
        <v>149</v>
      </c>
    </row>
    <row r="253">
      <c r="A253" s="186">
        <v>126.0</v>
      </c>
      <c r="B253" s="152">
        <v>2023.0</v>
      </c>
      <c r="D253" s="152"/>
      <c r="E253" s="151">
        <v>126.0</v>
      </c>
      <c r="F253" s="129" t="s">
        <v>140</v>
      </c>
      <c r="G253" s="3" t="s">
        <v>3279</v>
      </c>
      <c r="H253" s="8" t="str">
        <f>IFERROR(__xludf.DUMMYFUNCTION("""COMPUTED_VALUE"""),"")</f>
        <v/>
      </c>
      <c r="I253" s="8" t="s">
        <v>6630</v>
      </c>
      <c r="J253" s="8" t="s">
        <v>257</v>
      </c>
      <c r="K253" s="8" t="s">
        <v>258</v>
      </c>
      <c r="L253" s="8" t="s">
        <v>1752</v>
      </c>
      <c r="M253" s="153" t="s">
        <v>1753</v>
      </c>
      <c r="N253" s="8" t="s">
        <v>6062</v>
      </c>
      <c r="O253" s="8" t="s">
        <v>6587</v>
      </c>
      <c r="P253" s="8" t="s">
        <v>6631</v>
      </c>
      <c r="Q253" s="154" t="s">
        <v>149</v>
      </c>
      <c r="R253" s="154" t="s">
        <v>149</v>
      </c>
      <c r="S253" s="142"/>
      <c r="U253" s="8">
        <f>IFERROR(__xludf.DUMMYFUNCTION("""COMPUTED_VALUE"""),235.0)</f>
        <v>235</v>
      </c>
      <c r="V253" s="8"/>
      <c r="W253" s="8"/>
      <c r="AA253" s="8" t="s">
        <v>320</v>
      </c>
      <c r="AC253" s="8" t="s">
        <v>341</v>
      </c>
      <c r="AG253" s="142"/>
      <c r="AJ253" s="8" t="s">
        <v>341</v>
      </c>
      <c r="AO253" s="8"/>
      <c r="AP253" s="8"/>
      <c r="AR253" s="8" t="s">
        <v>6027</v>
      </c>
      <c r="AS253" s="8" t="s">
        <v>6632</v>
      </c>
    </row>
    <row r="254">
      <c r="A254" s="186">
        <v>127.0</v>
      </c>
      <c r="B254" s="152">
        <v>2023.0</v>
      </c>
      <c r="D254" s="152"/>
      <c r="E254" s="151">
        <v>127.0</v>
      </c>
      <c r="F254" s="129" t="s">
        <v>140</v>
      </c>
      <c r="G254" s="3" t="s">
        <v>6029</v>
      </c>
      <c r="H254" s="8" t="str">
        <f>IFERROR(__xludf.DUMMYFUNCTION("""COMPUTED_VALUE"""),"")</f>
        <v/>
      </c>
      <c r="I254" s="8" t="s">
        <v>6633</v>
      </c>
      <c r="J254" s="8" t="s">
        <v>257</v>
      </c>
      <c r="K254" s="8" t="s">
        <v>258</v>
      </c>
      <c r="L254" s="8" t="s">
        <v>1890</v>
      </c>
      <c r="M254" s="153" t="s">
        <v>1891</v>
      </c>
      <c r="N254" s="8" t="s">
        <v>151</v>
      </c>
      <c r="O254" s="8" t="s">
        <v>1892</v>
      </c>
      <c r="P254" s="154" t="s">
        <v>149</v>
      </c>
      <c r="Q254" s="142" t="s">
        <v>6152</v>
      </c>
      <c r="R254" s="154" t="s">
        <v>149</v>
      </c>
      <c r="S254" s="154" t="s">
        <v>149</v>
      </c>
      <c r="T254" s="8"/>
      <c r="U254" s="8">
        <f>IFERROR(__xludf.DUMMYFUNCTION("""COMPUTED_VALUE"""),236.0)</f>
        <v>236</v>
      </c>
      <c r="V254" s="8"/>
      <c r="W254" s="154"/>
      <c r="X254" s="8"/>
      <c r="Y254" s="8"/>
      <c r="AA254" s="154" t="s">
        <v>149</v>
      </c>
      <c r="AB254" s="154" t="s">
        <v>149</v>
      </c>
      <c r="AC254" s="154" t="s">
        <v>149</v>
      </c>
      <c r="AG254" s="154" t="s">
        <v>149</v>
      </c>
      <c r="AH254" s="154" t="s">
        <v>149</v>
      </c>
      <c r="AI254" s="154" t="s">
        <v>149</v>
      </c>
      <c r="AJ254" s="8" t="s">
        <v>369</v>
      </c>
      <c r="AL254" s="8" t="s">
        <v>341</v>
      </c>
      <c r="AM254" s="8" t="s">
        <v>1896</v>
      </c>
      <c r="AN254" s="154" t="s">
        <v>149</v>
      </c>
      <c r="AO254" s="8"/>
      <c r="AP254" s="8"/>
      <c r="AR254" s="8" t="s">
        <v>6027</v>
      </c>
      <c r="AS254" s="172" t="s">
        <v>1899</v>
      </c>
      <c r="AT254" s="154" t="s">
        <v>149</v>
      </c>
      <c r="AU254" s="154" t="s">
        <v>149</v>
      </c>
    </row>
    <row r="255">
      <c r="A255" s="186">
        <v>127.0</v>
      </c>
      <c r="B255" s="152">
        <v>2025.0</v>
      </c>
      <c r="C255" s="153" t="str">
        <f>CONCATENATE(D255, "-", M255, "-", A255)
</f>
        <v>2023-PH041016000-127</v>
      </c>
      <c r="D255" s="152">
        <f>IF(OR(F254="Published", F254="Unpublished"), 2023, IF(F254="New", 2025, ""))
</f>
        <v>2023</v>
      </c>
      <c r="E255" s="151">
        <v>127.0</v>
      </c>
      <c r="F255" s="156" t="s">
        <v>140</v>
      </c>
      <c r="G255" s="156" t="s">
        <v>141</v>
      </c>
      <c r="H255" s="153" t="str">
        <f>IFERROR(__xludf.DUMMYFUNCTION("""COMPUTED_VALUE"""),"**Restoration_project** changed from Protection and Rehabilitation of Coastal and Marine Ecosystem of Lian to Shore It Up, **Restoration_project_short** changed from Unknown to Part of the Coral Restoration Field Laboratory; MIPC corporate social responsi"&amp;"bility program, **Year of establishment** changed from 2017 to 2016, **Technique/Material Type** changed from Unknown to Eco-MER, **Restoration objective** changed from Unknown to Restore ecosystems; Coral restoration; mitigate effects of climate change, "&amp;"**Funding agency** changed from Unknown to Metro Pacific Investments Corp. , **Total units** changed from Unknown to 25 Eco-MER units, **Implementing institution** changed from MLGU to Metro Pacific Investments Corp., **Partners_public** changed from DENR"&amp;" to PCCSD, **Partners_private** changed from Pusod Inc. to Divers Institute of Technology, **Reference** changed from Website to Coral laboratory grows in Batangas (2016, July 1). BusinessWorld Online. https://www.bworldonline.com/weekender/environment/20"&amp;"16/07/01/5884/coral-laboratory-grows-in-batangas, **Website** changed from http://pusod.org/pusod/artificial-habitat-units-fabrication/ to https://www.bworldonline.com/weekender/environment/2016/07/01/5884/coral-laboratory-grows-in-batangas/")</f>
        <v>**Restoration_project** changed from Protection and Rehabilitation of Coastal and Marine Ecosystem of Lian to Shore It Up, **Restoration_project_short** changed from Unknown to Part of the Coral Restoration Field Laboratory; MIPC corporate social responsibility program, **Year of establishment** changed from 2017 to 2016, **Technique/Material Type** changed from Unknown to Eco-MER, **Restoration objective** changed from Unknown to Restore ecosystems; Coral restoration; mitigate effects of climate change, **Funding agency** changed from Unknown to Metro Pacific Investments Corp. , **Total units** changed from Unknown to 25 Eco-MER units, **Implementing institution** changed from MLGU to Metro Pacific Investments Corp., **Partners_public** changed from DENR to PCCSD, **Partners_private** changed from Pusod Inc. to Divers Institute of Technology, **Reference** changed from Website to Coral laboratory grows in Batangas (2016, July 1). BusinessWorld Online. https://www.bworldonline.com/weekender/environment/2016/07/01/5884/coral-laboratory-grows-in-batangas, **Website** changed from http://pusod.org/pusod/artificial-habitat-units-fabrication/ to https://www.bworldonline.com/weekender/environment/2016/07/01/5884/coral-laboratory-grows-in-batangas/</v>
      </c>
      <c r="I255" s="153" t="s">
        <v>6634</v>
      </c>
      <c r="J255" s="153" t="s">
        <v>257</v>
      </c>
      <c r="K255" s="153" t="s">
        <v>258</v>
      </c>
      <c r="L255" s="153" t="s">
        <v>1255</v>
      </c>
      <c r="M255" s="181" t="s">
        <v>1256</v>
      </c>
      <c r="N255" s="153" t="s">
        <v>151</v>
      </c>
      <c r="O255" s="158" t="s">
        <v>2081</v>
      </c>
      <c r="P255" s="153" t="s">
        <v>6635</v>
      </c>
      <c r="Q255" s="169">
        <v>2016.0</v>
      </c>
      <c r="R255" s="160" t="s">
        <v>149</v>
      </c>
      <c r="S255" s="160" t="s">
        <v>149</v>
      </c>
      <c r="T255" s="161" t="s">
        <v>150</v>
      </c>
      <c r="U255" s="153">
        <f>IFERROR(__xludf.DUMMYFUNCTION("""COMPUTED_VALUE"""),237.0)</f>
        <v>237</v>
      </c>
      <c r="V255" s="162" t="s">
        <v>3311</v>
      </c>
      <c r="W255" s="179" t="s">
        <v>6032</v>
      </c>
      <c r="X255" s="28" t="s">
        <v>6033</v>
      </c>
      <c r="Y255" s="32" t="s">
        <v>2082</v>
      </c>
      <c r="Z255" s="158" t="s">
        <v>2082</v>
      </c>
      <c r="AA255" s="153" t="s">
        <v>2082</v>
      </c>
      <c r="AB255" s="153" t="s">
        <v>6636</v>
      </c>
      <c r="AC255" s="153" t="s">
        <v>2084</v>
      </c>
      <c r="AD255" s="158" t="s">
        <v>160</v>
      </c>
      <c r="AE255" s="158" t="s">
        <v>184</v>
      </c>
      <c r="AF255" s="158" t="s">
        <v>159</v>
      </c>
      <c r="AG255" s="164" t="s">
        <v>149</v>
      </c>
      <c r="AH255" s="158" t="s">
        <v>149</v>
      </c>
      <c r="AI255" s="153" t="s">
        <v>6637</v>
      </c>
      <c r="AJ255" s="153" t="s">
        <v>2086</v>
      </c>
      <c r="AK255" s="158" t="s">
        <v>184</v>
      </c>
      <c r="AL255" s="153" t="s">
        <v>2087</v>
      </c>
      <c r="AM255" s="158" t="s">
        <v>2088</v>
      </c>
      <c r="AN255" s="166" t="s">
        <v>149</v>
      </c>
      <c r="AO255" s="156">
        <v>1.0</v>
      </c>
      <c r="AP255" s="156" t="s">
        <v>6037</v>
      </c>
      <c r="AQ255" s="158" t="s">
        <v>166</v>
      </c>
      <c r="AR255" s="153" t="s">
        <v>6638</v>
      </c>
      <c r="AS255" s="172" t="s">
        <v>2090</v>
      </c>
      <c r="AT255" s="166" t="s">
        <v>149</v>
      </c>
      <c r="AU255" s="166" t="s">
        <v>149</v>
      </c>
    </row>
    <row r="256">
      <c r="A256" s="186">
        <v>128.0</v>
      </c>
      <c r="B256" s="152">
        <v>2023.0</v>
      </c>
      <c r="D256" s="152"/>
      <c r="E256" s="151">
        <v>128.0</v>
      </c>
      <c r="F256" s="129" t="s">
        <v>140</v>
      </c>
      <c r="G256" s="3" t="s">
        <v>6029</v>
      </c>
      <c r="H256" s="8" t="str">
        <f>IFERROR(__xludf.DUMMYFUNCTION("""COMPUTED_VALUE"""),"")</f>
        <v/>
      </c>
      <c r="I256" s="8" t="s">
        <v>6639</v>
      </c>
      <c r="J256" s="8" t="s">
        <v>257</v>
      </c>
      <c r="K256" s="8" t="s">
        <v>258</v>
      </c>
      <c r="L256" s="8" t="s">
        <v>1958</v>
      </c>
      <c r="M256" s="153" t="s">
        <v>1959</v>
      </c>
      <c r="N256" s="8" t="s">
        <v>151</v>
      </c>
      <c r="O256" s="154" t="s">
        <v>149</v>
      </c>
      <c r="P256" s="154" t="s">
        <v>149</v>
      </c>
      <c r="Q256" s="142" t="s">
        <v>6063</v>
      </c>
      <c r="R256" s="154" t="s">
        <v>149</v>
      </c>
      <c r="S256" s="154" t="s">
        <v>149</v>
      </c>
      <c r="T256" s="8"/>
      <c r="U256" s="8">
        <f>IFERROR(__xludf.DUMMYFUNCTION("""COMPUTED_VALUE"""),238.0)</f>
        <v>238</v>
      </c>
      <c r="V256" s="8"/>
      <c r="W256" s="154"/>
      <c r="X256" s="8"/>
      <c r="Y256" s="8"/>
      <c r="AA256" s="154" t="s">
        <v>149</v>
      </c>
      <c r="AB256" s="154" t="s">
        <v>149</v>
      </c>
      <c r="AC256" s="8" t="s">
        <v>369</v>
      </c>
      <c r="AG256" s="154" t="s">
        <v>149</v>
      </c>
      <c r="AH256" s="154" t="s">
        <v>149</v>
      </c>
      <c r="AI256" s="154" t="s">
        <v>149</v>
      </c>
      <c r="AJ256" s="8" t="s">
        <v>369</v>
      </c>
      <c r="AL256" s="8" t="s">
        <v>390</v>
      </c>
      <c r="AM256" s="154" t="s">
        <v>149</v>
      </c>
      <c r="AN256" s="154" t="s">
        <v>149</v>
      </c>
      <c r="AO256" s="8"/>
      <c r="AP256" s="8"/>
      <c r="AR256" s="8" t="s">
        <v>166</v>
      </c>
      <c r="AS256" s="8" t="s">
        <v>2446</v>
      </c>
      <c r="AT256" s="154" t="s">
        <v>149</v>
      </c>
      <c r="AU256" s="154" t="s">
        <v>149</v>
      </c>
    </row>
    <row r="257">
      <c r="A257" s="186">
        <v>128.0</v>
      </c>
      <c r="B257" s="152">
        <v>2025.0</v>
      </c>
      <c r="C257" s="153" t="str">
        <f>CONCATENATE(D257, "-", M257, "-", A257)
</f>
        <v>2023-PH041019000-128</v>
      </c>
      <c r="D257" s="152">
        <f>IF(OR(F256="Published", F256="Unpublished"), 2023, IF(F256="New", 2025, ""))
</f>
        <v>2023</v>
      </c>
      <c r="E257" s="151">
        <v>128.0</v>
      </c>
      <c r="F257" s="156" t="s">
        <v>140</v>
      </c>
      <c r="G257" s="156" t="s">
        <v>141</v>
      </c>
      <c r="H257" s="153" t="str">
        <f>IFERROR(__xludf.DUMMYFUNCTION("""COMPUTED_VALUE"""),"**Restoration_project** changed from Unknown to Adopt a Coral, **Restoration_project_short** changed from Unknown to Site in Brgy Natiyuan, **Year of establishment** changed from 2014 to 2012, **Restoration method** changed from Artificial Reef to Artific"&amp;"ial Reef; Asexual Reproduction, **Technique/Material Type** changed from Unknown to Concrete block; transplantation, **Restoration objective** changed from Unknown to Restore coral and marine environment, **Funding agency** changed from MLGU to Rotary Clu"&amp;"b of Makati Urdaneta, **Implementing institution** changed from MLGU to Rotary Club of Makati Urdaneta, **Partners_public** changed from BFAR to Unknown, **Partners_private** changed from Unknown to Fostering Education and Environment for Development Inc."&amp;" (FEED), **Reference** changed from News/Press Release to Pecayo, J. (2012, May 17). Rotary Club launches ""Adopt a Coral"" in Nasugbu. Manila-US Times. https://manilaustimes.wordpress.com/2012/05/17/rotary-club-launches-adopt-a-coral-in-nasugbu/, **Websi"&amp;"te** changed from https://www.sentineltimes.net/2022/09/artificial-coral-reefs-in-town-of-lobo.html to https://manilaustimes.wordpress.com/2012/05/17/rotary-club-launches-adopt-a-coral-in-nasugbu/; https://feed.org.ph/media-centre/press-releases-2015/adop"&amp;"t-a-coral-project-extends-its-outreach-through-feed/")</f>
        <v>**Restoration_project** changed from Unknown to Adopt a Coral, **Restoration_project_short** changed from Unknown to Site in Brgy Natiyuan, **Year of establishment** changed from 2014 to 2012, **Restoration method** changed from Artificial Reef to Artificial Reef; Asexual Reproduction, **Technique/Material Type** changed from Unknown to Concrete block; transplantation, **Restoration objective** changed from Unknown to Restore coral and marine environment, **Funding agency** changed from MLGU to Rotary Club of Makati Urdaneta, **Implementing institution** changed from MLGU to Rotary Club of Makati Urdaneta, **Partners_public** changed from BFAR to Unknown, **Partners_private** changed from Unknown to Fostering Education and Environment for Development Inc. (FEED), **Reference** changed from News/Press Release to Pecayo, J. (2012, May 17). Rotary Club launches "Adopt a Coral" in Nasugbu. Manila-US Times. https://manilaustimes.wordpress.com/2012/05/17/rotary-club-launches-adopt-a-coral-in-nasugbu/, **Website** changed from https://www.sentineltimes.net/2022/09/artificial-coral-reefs-in-town-of-lobo.html to https://manilaustimes.wordpress.com/2012/05/17/rotary-club-launches-adopt-a-coral-in-nasugbu/; https://feed.org.ph/media-centre/press-releases-2015/adopt-a-coral-project-extends-its-outreach-through-feed/</v>
      </c>
      <c r="I257" s="153" t="s">
        <v>6640</v>
      </c>
      <c r="J257" s="153" t="s">
        <v>257</v>
      </c>
      <c r="K257" s="153" t="s">
        <v>258</v>
      </c>
      <c r="L257" s="153" t="s">
        <v>259</v>
      </c>
      <c r="M257" s="181" t="s">
        <v>260</v>
      </c>
      <c r="N257" s="153" t="s">
        <v>6624</v>
      </c>
      <c r="O257" s="153" t="s">
        <v>261</v>
      </c>
      <c r="P257" s="158" t="s">
        <v>262</v>
      </c>
      <c r="Q257" s="169">
        <v>2012.0</v>
      </c>
      <c r="R257" s="160" t="s">
        <v>149</v>
      </c>
      <c r="S257" s="160" t="s">
        <v>149</v>
      </c>
      <c r="T257" s="156" t="s">
        <v>263</v>
      </c>
      <c r="U257" s="153">
        <f>IFERROR(__xludf.DUMMYFUNCTION("""COMPUTED_VALUE"""),239.0)</f>
        <v>239</v>
      </c>
      <c r="V257" s="191" t="s">
        <v>6625</v>
      </c>
      <c r="W257" s="184" t="s">
        <v>6032</v>
      </c>
      <c r="X257" s="28" t="s">
        <v>6173</v>
      </c>
      <c r="Y257" s="180" t="s">
        <v>265</v>
      </c>
      <c r="Z257" s="158" t="s">
        <v>266</v>
      </c>
      <c r="AA257" s="158" t="s">
        <v>6641</v>
      </c>
      <c r="AB257" s="158" t="s">
        <v>6642</v>
      </c>
      <c r="AC257" s="153" t="s">
        <v>270</v>
      </c>
      <c r="AD257" s="158" t="s">
        <v>160</v>
      </c>
      <c r="AE257" s="158" t="s">
        <v>271</v>
      </c>
      <c r="AF257" s="158" t="s">
        <v>159</v>
      </c>
      <c r="AG257" s="164" t="s">
        <v>149</v>
      </c>
      <c r="AH257" s="158" t="s">
        <v>149</v>
      </c>
      <c r="AI257" s="158" t="s">
        <v>149</v>
      </c>
      <c r="AJ257" s="158" t="s">
        <v>270</v>
      </c>
      <c r="AK257" s="158" t="s">
        <v>271</v>
      </c>
      <c r="AL257" s="166" t="s">
        <v>149</v>
      </c>
      <c r="AM257" s="158" t="s">
        <v>6643</v>
      </c>
      <c r="AN257" s="166" t="s">
        <v>149</v>
      </c>
      <c r="AO257" s="156">
        <v>2.0</v>
      </c>
      <c r="AP257" s="156" t="s">
        <v>6628</v>
      </c>
      <c r="AQ257" s="158" t="s">
        <v>6091</v>
      </c>
      <c r="AR257" s="153" t="s">
        <v>274</v>
      </c>
      <c r="AS257" s="172" t="s">
        <v>6644</v>
      </c>
      <c r="AT257" s="156" t="s">
        <v>149</v>
      </c>
      <c r="AU257" s="156" t="s">
        <v>149</v>
      </c>
    </row>
    <row r="258">
      <c r="A258" s="186">
        <v>129.0</v>
      </c>
      <c r="B258" s="152">
        <v>2023.0</v>
      </c>
      <c r="D258" s="152"/>
      <c r="E258" s="151">
        <v>129.0</v>
      </c>
      <c r="F258" s="129" t="s">
        <v>140</v>
      </c>
      <c r="G258" s="3" t="s">
        <v>6029</v>
      </c>
      <c r="H258" s="8" t="str">
        <f>IFERROR(__xludf.DUMMYFUNCTION("""COMPUTED_VALUE"""),"")</f>
        <v/>
      </c>
      <c r="I258" s="8" t="s">
        <v>6645</v>
      </c>
      <c r="J258" s="8" t="s">
        <v>257</v>
      </c>
      <c r="K258" s="8" t="s">
        <v>258</v>
      </c>
      <c r="L258" s="8" t="s">
        <v>1958</v>
      </c>
      <c r="M258" s="153" t="s">
        <v>1959</v>
      </c>
      <c r="N258" s="8" t="s">
        <v>151</v>
      </c>
      <c r="O258" s="154" t="s">
        <v>149</v>
      </c>
      <c r="P258" s="154" t="s">
        <v>149</v>
      </c>
      <c r="Q258" s="142" t="s">
        <v>6268</v>
      </c>
      <c r="R258" s="154" t="s">
        <v>149</v>
      </c>
      <c r="S258" s="154" t="s">
        <v>149</v>
      </c>
      <c r="T258" s="8"/>
      <c r="U258" s="8">
        <f>IFERROR(__xludf.DUMMYFUNCTION("""COMPUTED_VALUE"""),240.0)</f>
        <v>240</v>
      </c>
      <c r="V258" s="8"/>
      <c r="W258" s="154"/>
      <c r="X258" s="8"/>
      <c r="Y258" s="8"/>
      <c r="AA258" s="154" t="s">
        <v>149</v>
      </c>
      <c r="AB258" s="154" t="s">
        <v>149</v>
      </c>
      <c r="AC258" s="8" t="s">
        <v>369</v>
      </c>
      <c r="AG258" s="154" t="s">
        <v>149</v>
      </c>
      <c r="AH258" s="154" t="s">
        <v>149</v>
      </c>
      <c r="AI258" s="154" t="s">
        <v>149</v>
      </c>
      <c r="AJ258" s="8" t="s">
        <v>369</v>
      </c>
      <c r="AL258" s="8" t="s">
        <v>390</v>
      </c>
      <c r="AM258" s="154" t="s">
        <v>149</v>
      </c>
      <c r="AN258" s="154" t="s">
        <v>149</v>
      </c>
      <c r="AO258" s="8"/>
      <c r="AP258" s="8"/>
      <c r="AR258" s="8" t="s">
        <v>166</v>
      </c>
      <c r="AS258" s="8" t="s">
        <v>2446</v>
      </c>
      <c r="AT258" s="154" t="s">
        <v>149</v>
      </c>
      <c r="AU258" s="154" t="s">
        <v>149</v>
      </c>
    </row>
    <row r="259">
      <c r="A259" s="186">
        <v>129.0</v>
      </c>
      <c r="B259" s="152">
        <v>2025.0</v>
      </c>
      <c r="C259" s="153" t="str">
        <f>CONCATENATE(D259, "-", M259, "-", A259)
</f>
        <v>2023-PH041019000-129</v>
      </c>
      <c r="D259" s="152">
        <f>IF(OR(F258="Published", F258="Unpublished"), 2023, IF(F258="New", 2025, ""))
</f>
        <v>2023</v>
      </c>
      <c r="E259" s="151">
        <v>129.0</v>
      </c>
      <c r="F259" s="156" t="s">
        <v>140</v>
      </c>
      <c r="G259" s="156" t="s">
        <v>141</v>
      </c>
      <c r="H259" s="153" t="str">
        <f>IFERROR(__xludf.DUMMYFUNCTION("""COMPUTED_VALUE"""),"**Restoration_project_short** changed from Unknown to Site in Brgy Calayo, **Year of establishment** changed from 2015 to 2018, **Technique/Material Type** changed from Unknown to Concrete, **Funding agency** changed from MLGU to DENR, **Partners_public**"&amp;" changed from BFAR to DENR, **Partners_private** changed from Unknown to De la Salle University, Pusod Inc., **Partners_communities** changed from Unknown to Calayo People's Organization, **Reference** changed from News/Press Release to Pusod Admin (2018,"&amp;" January 30). Building artificial habitats in Barangay Calayo. Pusod Inc. http://pusod.org/pusod/building-artificial-habitats-in-barangay-calayo/, **Website** changed from https://www.sentineltimes.net/2022/09/artificial-coral-reefs-in-town-of-lobo.html t"&amp;"o http://pusod.org/pusod/building-artificial-habitats-in-barangay-calayo/")</f>
        <v>**Restoration_project_short** changed from Unknown to Site in Brgy Calayo, **Year of establishment** changed from 2015 to 2018, **Technique/Material Type** changed from Unknown to Concrete, **Funding agency** changed from MLGU to DENR, **Partners_public** changed from BFAR to DENR, **Partners_private** changed from Unknown to De la Salle University, Pusod Inc., **Partners_communities** changed from Unknown to Calayo People's Organization, **Reference** changed from News/Press Release to Pusod Admin (2018, January 30). Building artificial habitats in Barangay Calayo. Pusod Inc. http://pusod.org/pusod/building-artificial-habitats-in-barangay-calayo/, **Website** changed from https://www.sentineltimes.net/2022/09/artificial-coral-reefs-in-town-of-lobo.html to http://pusod.org/pusod/building-artificial-habitats-in-barangay-calayo/</v>
      </c>
      <c r="I259" s="153" t="s">
        <v>6646</v>
      </c>
      <c r="J259" s="153" t="s">
        <v>257</v>
      </c>
      <c r="K259" s="153" t="s">
        <v>258</v>
      </c>
      <c r="L259" s="153" t="s">
        <v>259</v>
      </c>
      <c r="M259" s="181" t="s">
        <v>260</v>
      </c>
      <c r="N259" s="153" t="s">
        <v>151</v>
      </c>
      <c r="O259" s="158" t="s">
        <v>149</v>
      </c>
      <c r="P259" s="158" t="s">
        <v>3040</v>
      </c>
      <c r="Q259" s="169">
        <v>2018.0</v>
      </c>
      <c r="R259" s="160" t="s">
        <v>149</v>
      </c>
      <c r="S259" s="160" t="s">
        <v>149</v>
      </c>
      <c r="T259" s="161" t="s">
        <v>150</v>
      </c>
      <c r="U259" s="153">
        <f>IFERROR(__xludf.DUMMYFUNCTION("""COMPUTED_VALUE"""),241.0)</f>
        <v>241</v>
      </c>
      <c r="V259" s="162" t="s">
        <v>3311</v>
      </c>
      <c r="W259" s="184" t="s">
        <v>6032</v>
      </c>
      <c r="X259" s="28" t="s">
        <v>6173</v>
      </c>
      <c r="Y259" s="32" t="s">
        <v>6474</v>
      </c>
      <c r="Z259" s="158" t="s">
        <v>152</v>
      </c>
      <c r="AA259" s="158" t="s">
        <v>152</v>
      </c>
      <c r="AB259" s="158" t="s">
        <v>149</v>
      </c>
      <c r="AC259" s="153" t="s">
        <v>341</v>
      </c>
      <c r="AD259" s="158" t="s">
        <v>160</v>
      </c>
      <c r="AE259" s="158" t="s">
        <v>6035</v>
      </c>
      <c r="AF259" s="158" t="s">
        <v>159</v>
      </c>
      <c r="AG259" s="164" t="s">
        <v>149</v>
      </c>
      <c r="AH259" s="158" t="s">
        <v>149</v>
      </c>
      <c r="AI259" s="158" t="s">
        <v>149</v>
      </c>
      <c r="AJ259" s="153" t="s">
        <v>369</v>
      </c>
      <c r="AK259" s="153" t="s">
        <v>6035</v>
      </c>
      <c r="AL259" s="153" t="s">
        <v>341</v>
      </c>
      <c r="AM259" s="153" t="s">
        <v>6647</v>
      </c>
      <c r="AN259" s="153" t="s">
        <v>3042</v>
      </c>
      <c r="AO259" s="156">
        <v>1.0</v>
      </c>
      <c r="AP259" s="156" t="s">
        <v>6037</v>
      </c>
      <c r="AQ259" s="158" t="s">
        <v>6027</v>
      </c>
      <c r="AR259" s="153" t="s">
        <v>3043</v>
      </c>
      <c r="AS259" s="165" t="s">
        <v>3044</v>
      </c>
      <c r="AT259" s="166" t="s">
        <v>149</v>
      </c>
      <c r="AU259" s="166" t="s">
        <v>149</v>
      </c>
    </row>
    <row r="260">
      <c r="A260" s="186">
        <v>130.0</v>
      </c>
      <c r="B260" s="152">
        <v>2023.0</v>
      </c>
      <c r="D260" s="152"/>
      <c r="E260" s="151">
        <v>130.0</v>
      </c>
      <c r="F260" s="129" t="s">
        <v>140</v>
      </c>
      <c r="G260" s="3" t="s">
        <v>6029</v>
      </c>
      <c r="H260" s="8" t="str">
        <f>IFERROR(__xludf.DUMMYFUNCTION("""COMPUTED_VALUE"""),"")</f>
        <v/>
      </c>
      <c r="I260" s="8" t="s">
        <v>6648</v>
      </c>
      <c r="J260" s="8" t="s">
        <v>257</v>
      </c>
      <c r="K260" s="8" t="s">
        <v>258</v>
      </c>
      <c r="L260" s="8" t="s">
        <v>1958</v>
      </c>
      <c r="M260" s="153" t="s">
        <v>1959</v>
      </c>
      <c r="N260" s="8" t="s">
        <v>151</v>
      </c>
      <c r="O260" s="154" t="s">
        <v>149</v>
      </c>
      <c r="P260" s="154" t="s">
        <v>149</v>
      </c>
      <c r="Q260" s="142" t="s">
        <v>6064</v>
      </c>
      <c r="R260" s="154" t="s">
        <v>149</v>
      </c>
      <c r="S260" s="154" t="s">
        <v>149</v>
      </c>
      <c r="T260" s="8"/>
      <c r="U260" s="8">
        <f>IFERROR(__xludf.DUMMYFUNCTION("""COMPUTED_VALUE"""),242.0)</f>
        <v>242</v>
      </c>
      <c r="V260" s="8"/>
      <c r="W260" s="154"/>
      <c r="X260" s="8"/>
      <c r="Y260" s="8"/>
      <c r="AA260" s="154" t="s">
        <v>149</v>
      </c>
      <c r="AB260" s="154" t="s">
        <v>149</v>
      </c>
      <c r="AC260" s="8" t="s">
        <v>369</v>
      </c>
      <c r="AG260" s="154" t="s">
        <v>149</v>
      </c>
      <c r="AH260" s="154" t="s">
        <v>149</v>
      </c>
      <c r="AI260" s="154" t="s">
        <v>149</v>
      </c>
      <c r="AJ260" s="8" t="s">
        <v>369</v>
      </c>
      <c r="AL260" s="8" t="s">
        <v>390</v>
      </c>
      <c r="AM260" s="154" t="s">
        <v>149</v>
      </c>
      <c r="AN260" s="154" t="s">
        <v>149</v>
      </c>
      <c r="AO260" s="8"/>
      <c r="AP260" s="8"/>
      <c r="AR260" s="8" t="s">
        <v>166</v>
      </c>
      <c r="AS260" s="8" t="s">
        <v>2446</v>
      </c>
      <c r="AT260" s="154" t="s">
        <v>149</v>
      </c>
      <c r="AU260" s="154" t="s">
        <v>149</v>
      </c>
    </row>
    <row r="261">
      <c r="A261" s="186">
        <v>130.0</v>
      </c>
      <c r="B261" s="152">
        <v>2025.0</v>
      </c>
      <c r="C261" s="153" t="str">
        <f>CONCATENATE(D261, "-", M261, "-", A261)
</f>
        <v>2023-PH041022000-130</v>
      </c>
      <c r="D261" s="152">
        <f>IF(OR(F260="Published", F260="Unpublished"), 2023, IF(F260="New", 2025, ""))
</f>
        <v>2023</v>
      </c>
      <c r="E261" s="151">
        <v>130.0</v>
      </c>
      <c r="F261" s="156" t="s">
        <v>140</v>
      </c>
      <c r="G261" s="156" t="s">
        <v>141</v>
      </c>
      <c r="H261" s="153" t="str">
        <f>IFERROR(__xludf.DUMMYFUNCTION("""COMPUTED_VALUE"""),"**Year of establishment** changed from 2016 to 1984, **Technique/Material Type** changed from Unknown to Bamboo pyramidal, **Funding agency** changed from MLGU to Unknown, **Implementing institution** changed from MLGU to Unknown, **Partners_public** chan"&amp;"ged from BFAR to Unknown, **Reference** changed from News/Press Release to Balgos, M.C. (1995). Evaluation of artificial reef development in the Philippines. In Munro, J.L. &amp; Balgos, M. (eds.) Artificial reefs in the Philippines. ICLARM Conf. Proc. 49, pp"&amp;". 6-22., **Website** changed from https://www.sentineltimes.net/2022/09/artificial-coral-reefs-in-town-of-lobo.html to https://core.ac.uk/download/pdf/6515223.pdf; https://www.ircwash.org/sites/default/files/802-PH90-8920.pdf, **Contact_name** changed fro"&amp;"m Unknown to Miriam Balgos")</f>
        <v>**Year of establishment** changed from 2016 to 1984, **Technique/Material Type** changed from Unknown to Bamboo pyramidal, **Funding agency** changed from MLGU to Unknown, **Implementing institution** changed from MLGU to Unknown, **Partners_public** changed from BFAR to Unknown, **Reference** changed from News/Press Release to Balgos, M.C. (1995). Evaluation of artificial reef development in the Philippines. In Munro, J.L. &amp; Balgos, M. (eds.) Artificial reefs in the Philippines. ICLARM Conf. Proc. 49, pp. 6-22., **Website** changed from https://www.sentineltimes.net/2022/09/artificial-coral-reefs-in-town-of-lobo.html to https://core.ac.uk/download/pdf/6515223.pdf; https://www.ircwash.org/sites/default/files/802-PH90-8920.pdf, **Contact_name** changed from Unknown to Miriam Balgos</v>
      </c>
      <c r="I261" s="153" t="s">
        <v>6649</v>
      </c>
      <c r="J261" s="153" t="s">
        <v>257</v>
      </c>
      <c r="K261" s="153" t="s">
        <v>258</v>
      </c>
      <c r="L261" s="153" t="s">
        <v>1667</v>
      </c>
      <c r="M261" s="181" t="s">
        <v>3010</v>
      </c>
      <c r="N261" s="153" t="s">
        <v>151</v>
      </c>
      <c r="O261" s="158" t="s">
        <v>149</v>
      </c>
      <c r="P261" s="166" t="s">
        <v>149</v>
      </c>
      <c r="Q261" s="169">
        <v>1984.0</v>
      </c>
      <c r="R261" s="160" t="s">
        <v>149</v>
      </c>
      <c r="S261" s="160" t="s">
        <v>149</v>
      </c>
      <c r="T261" s="161" t="s">
        <v>150</v>
      </c>
      <c r="U261" s="153">
        <f>IFERROR(__xludf.DUMMYFUNCTION("""COMPUTED_VALUE"""),243.0)</f>
        <v>243</v>
      </c>
      <c r="V261" s="162" t="s">
        <v>3311</v>
      </c>
      <c r="W261" s="184" t="s">
        <v>6075</v>
      </c>
      <c r="X261" s="28" t="s">
        <v>604</v>
      </c>
      <c r="Y261" s="28" t="s">
        <v>3011</v>
      </c>
      <c r="Z261" s="158" t="s">
        <v>3011</v>
      </c>
      <c r="AA261" s="158" t="s">
        <v>3011</v>
      </c>
      <c r="AB261" s="158" t="s">
        <v>149</v>
      </c>
      <c r="AC261" s="158" t="s">
        <v>149</v>
      </c>
      <c r="AD261" s="158" t="s">
        <v>149</v>
      </c>
      <c r="AE261" s="158" t="s">
        <v>149</v>
      </c>
      <c r="AF261" s="158" t="s">
        <v>149</v>
      </c>
      <c r="AG261" s="164" t="s">
        <v>149</v>
      </c>
      <c r="AH261" s="158" t="s">
        <v>149</v>
      </c>
      <c r="AI261" s="158" t="s">
        <v>149</v>
      </c>
      <c r="AJ261" s="158" t="s">
        <v>149</v>
      </c>
      <c r="AK261" s="158" t="s">
        <v>149</v>
      </c>
      <c r="AL261" s="166" t="s">
        <v>149</v>
      </c>
      <c r="AM261" s="166" t="s">
        <v>149</v>
      </c>
      <c r="AN261" s="166" t="s">
        <v>149</v>
      </c>
      <c r="AO261" s="156">
        <v>1.0</v>
      </c>
      <c r="AP261" s="156" t="s">
        <v>6037</v>
      </c>
      <c r="AQ261" s="158" t="s">
        <v>395</v>
      </c>
      <c r="AR261" s="153" t="s">
        <v>6060</v>
      </c>
      <c r="AS261" s="158" t="s">
        <v>397</v>
      </c>
      <c r="AT261" s="153" t="s">
        <v>398</v>
      </c>
      <c r="AU261" s="166" t="s">
        <v>149</v>
      </c>
    </row>
    <row r="262">
      <c r="A262" s="186">
        <v>131.0</v>
      </c>
      <c r="B262" s="152">
        <v>2023.0</v>
      </c>
      <c r="D262" s="152"/>
      <c r="E262" s="151">
        <v>131.0</v>
      </c>
      <c r="F262" s="129" t="s">
        <v>140</v>
      </c>
      <c r="G262" s="3" t="s">
        <v>6029</v>
      </c>
      <c r="H262" s="8" t="str">
        <f>IFERROR(__xludf.DUMMYFUNCTION("""COMPUTED_VALUE"""),"")</f>
        <v/>
      </c>
      <c r="I262" s="8" t="s">
        <v>6650</v>
      </c>
      <c r="J262" s="8" t="s">
        <v>257</v>
      </c>
      <c r="K262" s="8" t="s">
        <v>258</v>
      </c>
      <c r="L262" s="8" t="s">
        <v>1255</v>
      </c>
      <c r="M262" s="153" t="s">
        <v>1256</v>
      </c>
      <c r="N262" s="8" t="s">
        <v>6651</v>
      </c>
      <c r="O262" s="8" t="s">
        <v>1901</v>
      </c>
      <c r="P262" s="160" t="s">
        <v>149</v>
      </c>
      <c r="Q262" s="142" t="s">
        <v>6152</v>
      </c>
      <c r="R262" s="160" t="s">
        <v>149</v>
      </c>
      <c r="S262" s="160" t="s">
        <v>149</v>
      </c>
      <c r="T262" s="8"/>
      <c r="U262" s="8">
        <f>IFERROR(__xludf.DUMMYFUNCTION("""COMPUTED_VALUE"""),244.0)</f>
        <v>244</v>
      </c>
      <c r="V262" s="8"/>
      <c r="W262" s="8"/>
      <c r="X262" s="8"/>
      <c r="Y262" s="8"/>
      <c r="AA262" s="8" t="s">
        <v>6288</v>
      </c>
      <c r="AB262" s="3" t="s">
        <v>1904</v>
      </c>
      <c r="AC262" s="8" t="s">
        <v>1906</v>
      </c>
      <c r="AG262" s="160" t="s">
        <v>149</v>
      </c>
      <c r="AH262" s="160" t="s">
        <v>149</v>
      </c>
      <c r="AI262" s="160" t="s">
        <v>149</v>
      </c>
      <c r="AJ262" s="8" t="s">
        <v>1906</v>
      </c>
      <c r="AL262" s="166" t="s">
        <v>149</v>
      </c>
      <c r="AM262" s="166" t="s">
        <v>149</v>
      </c>
      <c r="AN262" s="166" t="s">
        <v>149</v>
      </c>
      <c r="AO262" s="8"/>
      <c r="AP262" s="8"/>
      <c r="AR262" s="8" t="s">
        <v>6091</v>
      </c>
      <c r="AS262" s="172" t="s">
        <v>1908</v>
      </c>
      <c r="AT262" s="166" t="s">
        <v>149</v>
      </c>
      <c r="AU262" s="166" t="s">
        <v>149</v>
      </c>
    </row>
    <row r="263">
      <c r="A263" s="186">
        <v>131.0</v>
      </c>
      <c r="B263" s="152">
        <v>2025.0</v>
      </c>
      <c r="C263" s="153" t="str">
        <f>CONCATENATE(D263, "-", M263, "-", A263)
</f>
        <v>2023-PH041023000-131</v>
      </c>
      <c r="D263" s="152">
        <f>IF(OR(F262="Published", F262="Unpublished"), 2023, IF(F262="New", 2025, ""))
</f>
        <v>2023</v>
      </c>
      <c r="E263" s="151">
        <v>131.0</v>
      </c>
      <c r="F263" s="156" t="s">
        <v>140</v>
      </c>
      <c r="G263" s="156" t="s">
        <v>141</v>
      </c>
      <c r="H263" s="153" t="str">
        <f>IFERROR(__xludf.DUMMYFUNCTION("""COMPUTED_VALUE"""),"**Restoration_project** changed from Redeem the Reefs to Artificial Reef Development Program, **Restoration_project_short** changed from Unknown to Site in Calubcub II, **Year of establishment** changed from 2017 to 1982, **Restoration method** changed fr"&amp;"om Artificial Reef; Asexual Method to Artificial Reef, **Technique/Material Type** changed from Transplantation to bamboo, **Restoration objective** changed from Enhance coral cover; restore marine ecosystem to Unknown, **Funding agency** changed from Par"&amp;"adiso Rito Resort to BFAR, **Total units** changed from Unknown to 8 BM, **Implementing institution** changed from Paradiso Rito Resort to BFAR, **Partners_public** changed from Unknown to Ministry of Human Settlements, **Reference** changed from Blog to "&amp;"DENR-BMB (1990). The Philippine Environment in the Eighties. Department of Environment and Natural Resources-Biodiversity Management Bureau. https://www.ircwash.org/sites/default/files/802-PH90-8920.pdf, **Website** changed from https://www.shearwater.com"&amp;"/monthly-blog-posts/paradiso-rito-and-redeem-the-reef-project-a-glimmer-of-hope-for-verde-island-passage/ to https://www.ircwash.org/sites/default/files/802-PH90-8920.pdf")</f>
        <v>**Restoration_project** changed from Redeem the Reefs to Artificial Reef Development Program, **Restoration_project_short** changed from Unknown to Site in Calubcub II, **Year of establishment** changed from 2017 to 1982, **Restoration method** changed from Artificial Reef; Asexual Method to Artificial Reef, **Technique/Material Type** changed from Transplantation to bamboo, **Restoration objective** changed from Enhance coral cover; restore marine ecosystem to Unknown, **Funding agency** changed from Paradiso Rito Resort to BFAR, **Total units** changed from Unknown to 8 BM, **Implementing institution** changed from Paradiso Rito Resort to BFAR, **Partners_public** changed from Unknown to Ministry of Human Settlements, **Reference** changed from Blog to DENR-BMB (1990). The Philippine Environment in the Eighties. Department of Environment and Natural Resources-Biodiversity Management Bureau. https://www.ircwash.org/sites/default/files/802-PH90-8920.pdf, **Website** changed from https://www.shearwater.com/monthly-blog-posts/paradiso-rito-and-redeem-the-reef-project-a-glimmer-of-hope-for-verde-island-passage/ to https://www.ircwash.org/sites/default/files/802-PH90-8920.pdf</v>
      </c>
      <c r="I263" s="153" t="s">
        <v>6652</v>
      </c>
      <c r="J263" s="153" t="s">
        <v>257</v>
      </c>
      <c r="K263" s="153" t="s">
        <v>258</v>
      </c>
      <c r="L263" s="153" t="s">
        <v>491</v>
      </c>
      <c r="M263" s="181" t="s">
        <v>492</v>
      </c>
      <c r="N263" s="153" t="s">
        <v>151</v>
      </c>
      <c r="O263" s="153" t="s">
        <v>384</v>
      </c>
      <c r="P263" s="158" t="s">
        <v>493</v>
      </c>
      <c r="Q263" s="169">
        <v>1982.0</v>
      </c>
      <c r="R263" s="160" t="s">
        <v>149</v>
      </c>
      <c r="S263" s="160" t="s">
        <v>149</v>
      </c>
      <c r="T263" s="161" t="s">
        <v>150</v>
      </c>
      <c r="U263" s="153">
        <f>IFERROR(__xludf.DUMMYFUNCTION("""COMPUTED_VALUE"""),245.0)</f>
        <v>245</v>
      </c>
      <c r="V263" s="162" t="s">
        <v>3311</v>
      </c>
      <c r="W263" s="179" t="s">
        <v>6075</v>
      </c>
      <c r="X263" s="28" t="s">
        <v>604</v>
      </c>
      <c r="Y263" s="28" t="s">
        <v>605</v>
      </c>
      <c r="Z263" s="176" t="s">
        <v>605</v>
      </c>
      <c r="AA263" s="153" t="s">
        <v>6076</v>
      </c>
      <c r="AB263" s="158" t="s">
        <v>149</v>
      </c>
      <c r="AC263" s="153" t="s">
        <v>390</v>
      </c>
      <c r="AD263" s="158" t="s">
        <v>160</v>
      </c>
      <c r="AE263" s="158" t="s">
        <v>6035</v>
      </c>
      <c r="AF263" s="158" t="s">
        <v>159</v>
      </c>
      <c r="AG263" s="164" t="s">
        <v>149</v>
      </c>
      <c r="AH263" s="158" t="s">
        <v>149</v>
      </c>
      <c r="AI263" s="153" t="s">
        <v>2862</v>
      </c>
      <c r="AJ263" s="153" t="s">
        <v>390</v>
      </c>
      <c r="AK263" s="153" t="s">
        <v>6035</v>
      </c>
      <c r="AL263" s="153" t="s">
        <v>6055</v>
      </c>
      <c r="AM263" s="166" t="s">
        <v>149</v>
      </c>
      <c r="AN263" s="166" t="s">
        <v>149</v>
      </c>
      <c r="AO263" s="156">
        <v>1.0</v>
      </c>
      <c r="AP263" s="156" t="s">
        <v>6037</v>
      </c>
      <c r="AQ263" s="158" t="s">
        <v>6257</v>
      </c>
      <c r="AR263" s="153" t="s">
        <v>6653</v>
      </c>
      <c r="AS263" s="172" t="s">
        <v>6080</v>
      </c>
      <c r="AT263" s="166" t="s">
        <v>149</v>
      </c>
      <c r="AU263" s="166" t="s">
        <v>149</v>
      </c>
    </row>
    <row r="264">
      <c r="A264" s="186">
        <v>132.0</v>
      </c>
      <c r="B264" s="152">
        <v>2023.0</v>
      </c>
      <c r="D264" s="152"/>
      <c r="E264" s="151">
        <v>132.0</v>
      </c>
      <c r="F264" s="129" t="s">
        <v>140</v>
      </c>
      <c r="G264" s="3" t="s">
        <v>6029</v>
      </c>
      <c r="H264" s="8" t="str">
        <f>IFERROR(__xludf.DUMMYFUNCTION("""COMPUTED_VALUE"""),"")</f>
        <v/>
      </c>
      <c r="I264" s="8" t="s">
        <v>6654</v>
      </c>
      <c r="J264" s="8" t="s">
        <v>257</v>
      </c>
      <c r="K264" s="8" t="s">
        <v>258</v>
      </c>
      <c r="L264" s="8" t="s">
        <v>1255</v>
      </c>
      <c r="M264" s="153" t="s">
        <v>1256</v>
      </c>
      <c r="N264" s="8" t="s">
        <v>6062</v>
      </c>
      <c r="O264" s="8" t="s">
        <v>1174</v>
      </c>
      <c r="P264" s="160" t="s">
        <v>149</v>
      </c>
      <c r="Q264" s="166" t="s">
        <v>149</v>
      </c>
      <c r="R264" s="142" t="s">
        <v>6151</v>
      </c>
      <c r="S264" s="142" t="s">
        <v>6089</v>
      </c>
      <c r="T264" s="8"/>
      <c r="U264" s="8">
        <f>IFERROR(__xludf.DUMMYFUNCTION("""COMPUTED_VALUE"""),246.0)</f>
        <v>246</v>
      </c>
      <c r="V264" s="8"/>
      <c r="W264" s="8"/>
      <c r="X264" s="8"/>
      <c r="Y264" s="8"/>
      <c r="AA264" s="8" t="s">
        <v>320</v>
      </c>
      <c r="AB264" s="160" t="s">
        <v>149</v>
      </c>
      <c r="AC264" s="8" t="s">
        <v>321</v>
      </c>
      <c r="AG264" s="160" t="s">
        <v>149</v>
      </c>
      <c r="AH264" s="160" t="s">
        <v>149</v>
      </c>
      <c r="AI264" s="8" t="s">
        <v>6655</v>
      </c>
      <c r="AJ264" s="8" t="s">
        <v>885</v>
      </c>
      <c r="AL264" s="8" t="s">
        <v>1259</v>
      </c>
      <c r="AM264" s="160" t="s">
        <v>149</v>
      </c>
      <c r="AN264" s="160" t="s">
        <v>149</v>
      </c>
      <c r="AO264" s="8"/>
      <c r="AP264" s="8"/>
      <c r="AR264" s="8" t="s">
        <v>6069</v>
      </c>
      <c r="AS264" s="160" t="s">
        <v>149</v>
      </c>
      <c r="AT264" s="160" t="s">
        <v>149</v>
      </c>
      <c r="AU264" s="160" t="s">
        <v>149</v>
      </c>
    </row>
    <row r="265">
      <c r="A265" s="186">
        <v>132.0</v>
      </c>
      <c r="B265" s="152">
        <v>2025.0</v>
      </c>
      <c r="C265" s="153" t="str">
        <f>CONCATENATE(D265, "-", M265, "-", A265)
</f>
        <v>2023-PH041023000-132</v>
      </c>
      <c r="D265" s="152">
        <f>IF(OR(F264="Published", F264="Unpublished"), 2023, IF(F264="New", 2025, ""))
</f>
        <v>2023</v>
      </c>
      <c r="E265" s="151">
        <v>132.0</v>
      </c>
      <c r="F265" s="156" t="s">
        <v>140</v>
      </c>
      <c r="G265" s="156" t="s">
        <v>141</v>
      </c>
      <c r="H265" s="153" t="str">
        <f>IFERROR(__xludf.DUMMYFUNCTION("""COMPUTED_VALUE"""),"**Restoration_project** changed from Filipinnovation on Coral Reef Restoration to Artificial Reef Development Program, **Restoration_project_short** changed from Unknown to Site in Calubcub II, **Year of establishment** changed from Unknown to 1984, **Pro"&amp;"ject Start** changed from 2012 to Unknown, **Project End** changed from 2013 to Unknown, **Restoration method** changed from Asexual Reproduction to Artificial Reef, **Technique/Material Type** changed from CNU to tires, **Funding agency** changed from DO"&amp;"ST-PCAARRD to BFAR, **Total units** changed from 40 CNUs/10,327 COPs to 6 TM, **Implementing institution** changed from University of San Carlos to BFAR, **Partners_public** changed from Batangas State University to Ministry of Human Settlements, **Refere"&amp;"nce** changed from Briefer Report to DENR-BMB (1990). The Philippine Environment in the Eighties. Department of Environment and Natural Resources-Biodiversity Management Bureau. https://www.ircwash.org/sites/default/files/802-PH90-8920.pdf, **Website** ch"&amp;"anged from Unknown to https://www.ircwash.org/sites/default/files/802-PH90-8920.pdf")</f>
        <v>**Restoration_project** changed from Filipinnovation on Coral Reef Restoration to Artificial Reef Development Program, **Restoration_project_short** changed from Unknown to Site in Calubcub II, **Year of establishment** changed from Unknown to 1984, **Project Start** changed from 2012 to Unknown, **Project End** changed from 2013 to Unknown, **Restoration method** changed from Asexual Reproduction to Artificial Reef, **Technique/Material Type** changed from CNU to tires, **Funding agency** changed from DOST-PCAARRD to BFAR, **Total units** changed from 40 CNUs/10,327 COPs to 6 TM, **Implementing institution** changed from University of San Carlos to BFAR, **Partners_public** changed from Batangas State University to Ministry of Human Settlements, **Reference** changed from Briefer Report to DENR-BMB (1990). The Philippine Environment in the Eighties. Department of Environment and Natural Resources-Biodiversity Management Bureau. https://www.ircwash.org/sites/default/files/802-PH90-8920.pdf, **Website** changed from Unknown to https://www.ircwash.org/sites/default/files/802-PH90-8920.pdf</v>
      </c>
      <c r="I265" s="153" t="s">
        <v>6656</v>
      </c>
      <c r="J265" s="153" t="s">
        <v>257</v>
      </c>
      <c r="K265" s="153" t="s">
        <v>258</v>
      </c>
      <c r="L265" s="153" t="s">
        <v>491</v>
      </c>
      <c r="M265" s="181" t="s">
        <v>492</v>
      </c>
      <c r="N265" s="153" t="s">
        <v>151</v>
      </c>
      <c r="O265" s="153" t="s">
        <v>384</v>
      </c>
      <c r="P265" s="158" t="s">
        <v>493</v>
      </c>
      <c r="Q265" s="169">
        <v>1984.0</v>
      </c>
      <c r="R265" s="160" t="s">
        <v>149</v>
      </c>
      <c r="S265" s="160" t="s">
        <v>149</v>
      </c>
      <c r="T265" s="161" t="s">
        <v>150</v>
      </c>
      <c r="U265" s="153">
        <f>IFERROR(__xludf.DUMMYFUNCTION("""COMPUTED_VALUE"""),247.0)</f>
        <v>247</v>
      </c>
      <c r="V265" s="162" t="s">
        <v>3311</v>
      </c>
      <c r="W265" s="170" t="s">
        <v>6059</v>
      </c>
      <c r="X265" s="28" t="s">
        <v>6033</v>
      </c>
      <c r="Y265" s="28" t="s">
        <v>386</v>
      </c>
      <c r="Z265" s="176" t="s">
        <v>386</v>
      </c>
      <c r="AA265" s="153" t="s">
        <v>6054</v>
      </c>
      <c r="AB265" s="158" t="s">
        <v>149</v>
      </c>
      <c r="AC265" s="153" t="s">
        <v>390</v>
      </c>
      <c r="AD265" s="158" t="s">
        <v>160</v>
      </c>
      <c r="AE265" s="158" t="s">
        <v>6035</v>
      </c>
      <c r="AF265" s="158" t="s">
        <v>159</v>
      </c>
      <c r="AG265" s="164" t="s">
        <v>149</v>
      </c>
      <c r="AH265" s="158" t="s">
        <v>149</v>
      </c>
      <c r="AI265" s="153" t="s">
        <v>450</v>
      </c>
      <c r="AJ265" s="153" t="s">
        <v>390</v>
      </c>
      <c r="AK265" s="153" t="s">
        <v>6035</v>
      </c>
      <c r="AL265" s="153" t="s">
        <v>6055</v>
      </c>
      <c r="AM265" s="166" t="s">
        <v>149</v>
      </c>
      <c r="AN265" s="166" t="s">
        <v>149</v>
      </c>
      <c r="AO265" s="156">
        <v>1.0</v>
      </c>
      <c r="AP265" s="156" t="s">
        <v>6037</v>
      </c>
      <c r="AQ265" s="158" t="s">
        <v>6257</v>
      </c>
      <c r="AR265" s="153" t="s">
        <v>6657</v>
      </c>
      <c r="AS265" s="153" t="s">
        <v>6080</v>
      </c>
      <c r="AT265" s="166" t="s">
        <v>149</v>
      </c>
      <c r="AU265" s="166" t="s">
        <v>149</v>
      </c>
    </row>
    <row r="266">
      <c r="A266" s="186">
        <v>133.0</v>
      </c>
      <c r="B266" s="152">
        <v>2023.0</v>
      </c>
      <c r="D266" s="152"/>
      <c r="E266" s="151">
        <v>133.0</v>
      </c>
      <c r="F266" s="129" t="s">
        <v>140</v>
      </c>
      <c r="G266" s="3" t="s">
        <v>6029</v>
      </c>
      <c r="H266" s="8" t="str">
        <f>IFERROR(__xludf.DUMMYFUNCTION("""COMPUTED_VALUE"""),"")</f>
        <v/>
      </c>
      <c r="I266" s="8" t="s">
        <v>6658</v>
      </c>
      <c r="J266" s="8" t="s">
        <v>257</v>
      </c>
      <c r="K266" s="8" t="s">
        <v>258</v>
      </c>
      <c r="L266" s="8" t="s">
        <v>1255</v>
      </c>
      <c r="M266" s="153" t="s">
        <v>1256</v>
      </c>
      <c r="N266" s="153" t="s">
        <v>151</v>
      </c>
      <c r="O266" s="8" t="s">
        <v>6659</v>
      </c>
      <c r="P266" s="166" t="s">
        <v>149</v>
      </c>
      <c r="Q266" s="142" t="s">
        <v>6064</v>
      </c>
      <c r="R266" s="166" t="s">
        <v>149</v>
      </c>
      <c r="S266" s="166" t="s">
        <v>149</v>
      </c>
      <c r="T266" s="153"/>
      <c r="U266" s="8">
        <f>IFERROR(__xludf.DUMMYFUNCTION("""COMPUTED_VALUE"""),248.0)</f>
        <v>248</v>
      </c>
      <c r="V266" s="153"/>
      <c r="W266" s="8"/>
      <c r="X266" s="8"/>
      <c r="Y266" s="8"/>
      <c r="AA266" s="8" t="s">
        <v>2082</v>
      </c>
      <c r="AB266" s="8" t="s">
        <v>6660</v>
      </c>
      <c r="AC266" s="8" t="s">
        <v>2084</v>
      </c>
      <c r="AG266" s="166" t="s">
        <v>149</v>
      </c>
      <c r="AH266" s="166" t="s">
        <v>149</v>
      </c>
      <c r="AI266" s="166" t="s">
        <v>149</v>
      </c>
      <c r="AJ266" s="8" t="s">
        <v>6661</v>
      </c>
      <c r="AL266" s="8" t="s">
        <v>2087</v>
      </c>
      <c r="AM266" s="166" t="s">
        <v>149</v>
      </c>
      <c r="AN266" s="166" t="s">
        <v>149</v>
      </c>
      <c r="AO266" s="153"/>
      <c r="AP266" s="153"/>
      <c r="AR266" s="8" t="s">
        <v>166</v>
      </c>
      <c r="AS266" s="8" t="s">
        <v>2090</v>
      </c>
      <c r="AT266" s="166" t="s">
        <v>149</v>
      </c>
      <c r="AU266" s="166" t="s">
        <v>149</v>
      </c>
    </row>
    <row r="267">
      <c r="A267" s="186">
        <v>133.0</v>
      </c>
      <c r="B267" s="152">
        <v>2025.0</v>
      </c>
      <c r="C267" s="153" t="str">
        <f>CONCATENATE(D267, "-", M267, "-", A267)
</f>
        <v>2023-PH041023000-133</v>
      </c>
      <c r="D267" s="152">
        <f>IF(OR(F266="Published", F266="Unpublished"), 2023, IF(F266="New", 2025, ""))
</f>
        <v>2023</v>
      </c>
      <c r="E267" s="151">
        <v>133.0</v>
      </c>
      <c r="F267" s="156" t="s">
        <v>140</v>
      </c>
      <c r="G267" s="156" t="s">
        <v>141</v>
      </c>
      <c r="H267" s="153" t="str">
        <f>IFERROR(__xludf.DUMMYFUNCTION("""COMPUTED_VALUE"""),"**Restoration_project** changed from Coral Restoration Field Laboratory to Artificial Reef Development Program, **Restoration_project_short** changed from Unknown to Site in Calubcub II, **Year of establishment** changed from 2016 to 1984, **Technique/Mat"&amp;"erial Type** changed from Eco-MER to tires, **Restoration objective** changed from Restore ecosystems to Unknown, **Funding agency** changed from Metro Pacific Investments Corp. to BFAR, **Total units** changed from Unknown to 2 tire units, **Implementing"&amp;" institution** changed from MPIC, MLGU to BFAR, **Partners_public** changed from PCCSD to Ministry of Human Settlements, **Reference** changed from News/Press Release to DENR-BMB (1990). The Philippine Environment in the Eighties. Department of Environmen"&amp;"t and Natural Resources-Biodiversity Management Bureau. https://www.ircwash.org/sites/default/files/802-PH90-8920.pdf, **Website** changed from https://www.bworldonline.com/weekender/environment/2016/07/01/5884/coral-laboratory-grows-in-batangas/ to https"&amp;"://www.ircwash.org/sites/default/files/802-PH90-8920.pdf")</f>
        <v>**Restoration_project** changed from Coral Restoration Field Laboratory to Artificial Reef Development Program, **Restoration_project_short** changed from Unknown to Site in Calubcub II, **Year of establishment** changed from 2016 to 1984, **Technique/Material Type** changed from Eco-MER to tires, **Restoration objective** changed from Restore ecosystems to Unknown, **Funding agency** changed from Metro Pacific Investments Corp. to BFAR, **Total units** changed from Unknown to 2 tire units, **Implementing institution** changed from MPIC, MLGU to BFAR, **Partners_public** changed from PCCSD to Ministry of Human Settlements, **Reference** changed from News/Press Release to DENR-BMB (1990). The Philippine Environment in the Eighties. Department of Environment and Natural Resources-Biodiversity Management Bureau. https://www.ircwash.org/sites/default/files/802-PH90-8920.pdf, **Website** changed from https://www.bworldonline.com/weekender/environment/2016/07/01/5884/coral-laboratory-grows-in-batangas/ to https://www.ircwash.org/sites/default/files/802-PH90-8920.pdf</v>
      </c>
      <c r="I267" s="153" t="s">
        <v>6662</v>
      </c>
      <c r="J267" s="153" t="s">
        <v>257</v>
      </c>
      <c r="K267" s="153" t="s">
        <v>258</v>
      </c>
      <c r="L267" s="153" t="s">
        <v>491</v>
      </c>
      <c r="M267" s="181" t="s">
        <v>492</v>
      </c>
      <c r="N267" s="153" t="s">
        <v>151</v>
      </c>
      <c r="O267" s="153" t="s">
        <v>384</v>
      </c>
      <c r="P267" s="158" t="s">
        <v>493</v>
      </c>
      <c r="Q267" s="169">
        <v>1984.0</v>
      </c>
      <c r="R267" s="160" t="s">
        <v>149</v>
      </c>
      <c r="S267" s="160" t="s">
        <v>149</v>
      </c>
      <c r="T267" s="161" t="s">
        <v>150</v>
      </c>
      <c r="U267" s="153">
        <f>IFERROR(__xludf.DUMMYFUNCTION("""COMPUTED_VALUE"""),249.0)</f>
        <v>249</v>
      </c>
      <c r="V267" s="162" t="s">
        <v>3311</v>
      </c>
      <c r="W267" s="170" t="s">
        <v>6059</v>
      </c>
      <c r="X267" s="28" t="s">
        <v>6033</v>
      </c>
      <c r="Y267" s="28" t="s">
        <v>386</v>
      </c>
      <c r="Z267" s="176" t="s">
        <v>386</v>
      </c>
      <c r="AA267" s="153" t="s">
        <v>6054</v>
      </c>
      <c r="AB267" s="158" t="s">
        <v>149</v>
      </c>
      <c r="AC267" s="153" t="s">
        <v>390</v>
      </c>
      <c r="AD267" s="158" t="s">
        <v>160</v>
      </c>
      <c r="AE267" s="158" t="s">
        <v>6035</v>
      </c>
      <c r="AF267" s="158" t="s">
        <v>159</v>
      </c>
      <c r="AG267" s="164" t="s">
        <v>149</v>
      </c>
      <c r="AH267" s="158" t="s">
        <v>149</v>
      </c>
      <c r="AI267" s="153" t="s">
        <v>6663</v>
      </c>
      <c r="AJ267" s="153" t="s">
        <v>390</v>
      </c>
      <c r="AK267" s="153" t="s">
        <v>6035</v>
      </c>
      <c r="AL267" s="153" t="s">
        <v>6055</v>
      </c>
      <c r="AM267" s="166" t="s">
        <v>149</v>
      </c>
      <c r="AN267" s="166" t="s">
        <v>149</v>
      </c>
      <c r="AO267" s="156">
        <v>1.0</v>
      </c>
      <c r="AP267" s="156" t="s">
        <v>6037</v>
      </c>
      <c r="AQ267" s="158" t="s">
        <v>6257</v>
      </c>
      <c r="AR267" s="153" t="s">
        <v>6664</v>
      </c>
      <c r="AS267" s="153" t="s">
        <v>6080</v>
      </c>
      <c r="AT267" s="166" t="s">
        <v>149</v>
      </c>
      <c r="AU267" s="166" t="s">
        <v>149</v>
      </c>
    </row>
    <row r="268">
      <c r="A268" s="186">
        <v>134.0</v>
      </c>
      <c r="B268" s="152">
        <v>2023.0</v>
      </c>
      <c r="D268" s="152"/>
      <c r="E268" s="151">
        <v>134.0</v>
      </c>
      <c r="F268" s="129" t="s">
        <v>140</v>
      </c>
      <c r="G268" s="3" t="s">
        <v>6029</v>
      </c>
      <c r="H268" s="8" t="str">
        <f>IFERROR(__xludf.DUMMYFUNCTION("""COMPUTED_VALUE"""),"")</f>
        <v/>
      </c>
      <c r="I268" s="8" t="s">
        <v>6665</v>
      </c>
      <c r="J268" s="8" t="s">
        <v>257</v>
      </c>
      <c r="K268" s="8" t="s">
        <v>258</v>
      </c>
      <c r="L268" s="8" t="s">
        <v>259</v>
      </c>
      <c r="M268" s="153" t="s">
        <v>260</v>
      </c>
      <c r="N268" s="8" t="s">
        <v>6651</v>
      </c>
      <c r="O268" s="8" t="s">
        <v>261</v>
      </c>
      <c r="P268" s="166" t="s">
        <v>149</v>
      </c>
      <c r="Q268" s="142" t="s">
        <v>6268</v>
      </c>
      <c r="R268" s="166" t="s">
        <v>149</v>
      </c>
      <c r="S268" s="166" t="s">
        <v>149</v>
      </c>
      <c r="T268" s="8"/>
      <c r="U268" s="8">
        <f>IFERROR(__xludf.DUMMYFUNCTION("""COMPUTED_VALUE"""),250.0)</f>
        <v>250</v>
      </c>
      <c r="V268" s="8"/>
      <c r="W268" s="8"/>
      <c r="X268" s="8"/>
      <c r="Y268" s="8"/>
      <c r="AA268" s="8" t="s">
        <v>6666</v>
      </c>
      <c r="AB268" s="8" t="s">
        <v>6667</v>
      </c>
      <c r="AC268" s="8" t="s">
        <v>270</v>
      </c>
      <c r="AG268" s="166" t="s">
        <v>149</v>
      </c>
      <c r="AH268" s="166" t="s">
        <v>149</v>
      </c>
      <c r="AI268" s="166" t="s">
        <v>149</v>
      </c>
      <c r="AJ268" s="8" t="s">
        <v>6643</v>
      </c>
      <c r="AL268" s="166" t="s">
        <v>149</v>
      </c>
      <c r="AM268" s="166" t="s">
        <v>149</v>
      </c>
      <c r="AN268" s="166" t="s">
        <v>149</v>
      </c>
      <c r="AO268" s="8"/>
      <c r="AP268" s="8"/>
      <c r="AR268" s="166" t="s">
        <v>149</v>
      </c>
      <c r="AS268" s="166" t="s">
        <v>149</v>
      </c>
      <c r="AT268" s="166" t="s">
        <v>149</v>
      </c>
      <c r="AU268" s="166" t="s">
        <v>149</v>
      </c>
    </row>
    <row r="269">
      <c r="A269" s="186">
        <v>134.0</v>
      </c>
      <c r="B269" s="152">
        <v>2025.0</v>
      </c>
      <c r="C269" s="153" t="str">
        <f>CONCATENATE(D269, "-", M269, "-", A269)
</f>
        <v>2023-PH041023000-134</v>
      </c>
      <c r="D269" s="152">
        <f>IF(OR(F268="Published", F268="Unpublished"), 2023, IF(F268="New", 2025, ""))
</f>
        <v>2023</v>
      </c>
      <c r="E269" s="151">
        <v>134.0</v>
      </c>
      <c r="F269" s="156" t="s">
        <v>140</v>
      </c>
      <c r="G269" s="156" t="s">
        <v>141</v>
      </c>
      <c r="H269" s="153" t="str">
        <f>IFERROR(__xludf.DUMMYFUNCTION("""COMPUTED_VALUE"""),"**Restoration_project** changed from Adopt a Coral to Artificial Reef Development Program, **Restoration_project_short** changed from Unknown to Site in Calubcub II, **Year of establishment** changed from 2015 to 1985, **Project Start** changed from Unkno"&amp;"wn to 1985, **Project End** changed from Unknown to 1987, **Restoration method** changed from Artificial Reef; Asexual Method to Artificial Reef, **Technique/Material Type** changed from Coral planting to tires, **Restoration objective** changed from Enha"&amp;"nce marine life to Unknown, **Funding agency** changed from Rotary Club of Makati Urdaneta to BFAR, **Total units** changed from Unknown to 36 TM; 5 payao, **Implementing institution** changed from Fostering Education and Environment for Development Inc. "&amp;"(FEED) to BFAR, **Partners_public** changed from Unknown to Ministry of Human Settlements, **Reference** changed from Unknown to DENR-BMB (1990). The Philippine Environment in the Eighties. Department of Environment and Natural Resources-Biodiversity Mana"&amp;"gement Bureau. https://www.ircwash.org/sites/default/files/802-PH90-8920.pdf, **Website** changed from Unknown to https://www.ircwash.org/sites/default/files/802-PH90-8920.pdf, **Contact_name** changed from Unknown to Miriam Balgos")</f>
        <v>**Restoration_project** changed from Adopt a Coral to Artificial Reef Development Program, **Restoration_project_short** changed from Unknown to Site in Calubcub II, **Year of establishment** changed from 2015 to 1985, **Project Start** changed from Unknown to 1985, **Project End** changed from Unknown to 1987, **Restoration method** changed from Artificial Reef; Asexual Method to Artificial Reef, **Technique/Material Type** changed from Coral planting to tires, **Restoration objective** changed from Enhance marine life to Unknown, **Funding agency** changed from Rotary Club of Makati Urdaneta to BFAR, **Total units** changed from Unknown to 36 TM; 5 payao, **Implementing institution** changed from Fostering Education and Environment for Development Inc. (FEED) to BFAR, **Partners_public** changed from Unknown to Ministry of Human Settlements, **Reference** changed from Unknown to DENR-BMB (1990). The Philippine Environment in the Eighties. Department of Environment and Natural Resources-Biodiversity Management Bureau. https://www.ircwash.org/sites/default/files/802-PH90-8920.pdf, **Website** changed from Unknown to https://www.ircwash.org/sites/default/files/802-PH90-8920.pdf, **Contact_name** changed from Unknown to Miriam Balgos</v>
      </c>
      <c r="I269" s="153" t="s">
        <v>6668</v>
      </c>
      <c r="J269" s="153" t="s">
        <v>257</v>
      </c>
      <c r="K269" s="153" t="s">
        <v>258</v>
      </c>
      <c r="L269" s="153" t="s">
        <v>491</v>
      </c>
      <c r="M269" s="181" t="s">
        <v>492</v>
      </c>
      <c r="N269" s="153" t="s">
        <v>151</v>
      </c>
      <c r="O269" s="153" t="s">
        <v>384</v>
      </c>
      <c r="P269" s="158" t="s">
        <v>493</v>
      </c>
      <c r="Q269" s="169">
        <v>1985.0</v>
      </c>
      <c r="R269" s="175" t="s">
        <v>6052</v>
      </c>
      <c r="S269" s="175" t="s">
        <v>6053</v>
      </c>
      <c r="T269" s="161" t="s">
        <v>150</v>
      </c>
      <c r="U269" s="153">
        <f>IFERROR(__xludf.DUMMYFUNCTION("""COMPUTED_VALUE"""),251.0)</f>
        <v>251</v>
      </c>
      <c r="V269" s="162" t="s">
        <v>3311</v>
      </c>
      <c r="W269" s="170" t="s">
        <v>6059</v>
      </c>
      <c r="X269" s="28" t="s">
        <v>6033</v>
      </c>
      <c r="Y269" s="28" t="s">
        <v>386</v>
      </c>
      <c r="Z269" s="176" t="s">
        <v>386</v>
      </c>
      <c r="AA269" s="153" t="s">
        <v>6054</v>
      </c>
      <c r="AB269" s="158" t="s">
        <v>149</v>
      </c>
      <c r="AC269" s="153" t="s">
        <v>390</v>
      </c>
      <c r="AD269" s="158" t="s">
        <v>160</v>
      </c>
      <c r="AE269" s="158" t="s">
        <v>6035</v>
      </c>
      <c r="AF269" s="158" t="s">
        <v>159</v>
      </c>
      <c r="AG269" s="164" t="s">
        <v>149</v>
      </c>
      <c r="AH269" s="158" t="s">
        <v>149</v>
      </c>
      <c r="AI269" s="153" t="s">
        <v>495</v>
      </c>
      <c r="AJ269" s="153" t="s">
        <v>390</v>
      </c>
      <c r="AK269" s="153" t="s">
        <v>6035</v>
      </c>
      <c r="AL269" s="153" t="s">
        <v>6055</v>
      </c>
      <c r="AM269" s="166" t="s">
        <v>149</v>
      </c>
      <c r="AN269" s="166" t="s">
        <v>149</v>
      </c>
      <c r="AO269" s="156">
        <v>1.0</v>
      </c>
      <c r="AP269" s="156" t="s">
        <v>6037</v>
      </c>
      <c r="AQ269" s="158" t="s">
        <v>6257</v>
      </c>
      <c r="AR269" s="158" t="s">
        <v>6669</v>
      </c>
      <c r="AS269" s="177" t="s">
        <v>6080</v>
      </c>
      <c r="AT269" s="153" t="s">
        <v>398</v>
      </c>
      <c r="AU269" s="166" t="s">
        <v>149</v>
      </c>
    </row>
    <row r="270">
      <c r="A270" s="186">
        <v>135.0</v>
      </c>
      <c r="B270" s="152">
        <v>2023.0</v>
      </c>
      <c r="D270" s="152"/>
      <c r="E270" s="151">
        <v>135.0</v>
      </c>
      <c r="F270" s="129" t="s">
        <v>140</v>
      </c>
      <c r="G270" s="3" t="s">
        <v>6029</v>
      </c>
      <c r="H270" s="8" t="str">
        <f>IFERROR(__xludf.DUMMYFUNCTION("""COMPUTED_VALUE"""),"")</f>
        <v/>
      </c>
      <c r="I270" s="8" t="s">
        <v>6670</v>
      </c>
      <c r="J270" s="8" t="s">
        <v>257</v>
      </c>
      <c r="K270" s="8" t="s">
        <v>258</v>
      </c>
      <c r="L270" s="8" t="s">
        <v>259</v>
      </c>
      <c r="M270" s="153" t="s">
        <v>260</v>
      </c>
      <c r="N270" s="8" t="s">
        <v>151</v>
      </c>
      <c r="O270" s="166" t="s">
        <v>149</v>
      </c>
      <c r="P270" s="166" t="s">
        <v>149</v>
      </c>
      <c r="Q270" s="142" t="s">
        <v>6098</v>
      </c>
      <c r="R270" s="166" t="s">
        <v>149</v>
      </c>
      <c r="S270" s="166" t="s">
        <v>149</v>
      </c>
      <c r="T270" s="8"/>
      <c r="U270" s="8">
        <f>IFERROR(__xludf.DUMMYFUNCTION("""COMPUTED_VALUE"""),252.0)</f>
        <v>252</v>
      </c>
      <c r="V270" s="8"/>
      <c r="W270" s="166"/>
      <c r="X270" s="8"/>
      <c r="Y270" s="8"/>
      <c r="AA270" s="166" t="s">
        <v>149</v>
      </c>
      <c r="AB270" s="166" t="s">
        <v>149</v>
      </c>
      <c r="AC270" s="8" t="s">
        <v>6671</v>
      </c>
      <c r="AG270" s="166" t="s">
        <v>149</v>
      </c>
      <c r="AH270" s="166" t="s">
        <v>149</v>
      </c>
      <c r="AI270" s="166" t="s">
        <v>149</v>
      </c>
      <c r="AJ270" s="8" t="s">
        <v>6672</v>
      </c>
      <c r="AL270" s="8" t="s">
        <v>341</v>
      </c>
      <c r="AM270" s="8" t="s">
        <v>6673</v>
      </c>
      <c r="AN270" s="8" t="s">
        <v>3042</v>
      </c>
      <c r="AO270" s="8"/>
      <c r="AP270" s="8"/>
      <c r="AR270" s="8" t="s">
        <v>6027</v>
      </c>
      <c r="AS270" s="172" t="s">
        <v>3044</v>
      </c>
      <c r="AT270" s="166" t="s">
        <v>149</v>
      </c>
      <c r="AU270" s="166" t="s">
        <v>149</v>
      </c>
    </row>
    <row r="271">
      <c r="A271" s="186">
        <v>135.0</v>
      </c>
      <c r="B271" s="152">
        <v>2025.0</v>
      </c>
      <c r="C271" s="153" t="str">
        <f>CONCATENATE(D271, "-", M271, "-", A271)
</f>
        <v>2023-PH041023000-135</v>
      </c>
      <c r="D271" s="152">
        <f>IF(OR(F270="Published", F270="Unpublished"), 2023, IF(F270="New", 2025, ""))
</f>
        <v>2023</v>
      </c>
      <c r="E271" s="151">
        <v>135.0</v>
      </c>
      <c r="F271" s="156" t="s">
        <v>140</v>
      </c>
      <c r="G271" s="156" t="s">
        <v>141</v>
      </c>
      <c r="H271" s="153" t="str">
        <f>IFERROR(__xludf.DUMMYFUNCTION("""COMPUTED_VALUE"""),"**Restoration_project** changed from Unknown to Fisheries Sector Program, **Year of establishment** changed from 2018 to 1992, **Project Start** changed from Unknown to 1990, **Project End** changed from Unknown to 1994, **Funding agency** changed from Of"&amp;"fice of Sen. Loren Legarda to ADB, Overseas Economic Cooperation Fund of Japan , **Implementing institution** changed from MLGU, Pusod Inc. to DA, **Partners_public** changed from DENR to MLGU, **Partners_private** changed from De la Salle University to U"&amp;"nknown, **Partners_communities** changed from Calayo People's Organization to Unknown, **Reference** changed from Website to Balgos, M.C. (1995). Evaluation of artificial reef development in the Philippines. In Munro, J.L. &amp; Balgos, M. (eds.) Artificial r"&amp;"eefs in the Philippines. ICLARM Conf. Proc. 49, pp. 6-22., **Website** changed from http://pusod.org/pusod/building-artificial-habitats-in-barangay-calayo/ to https://core.ac.uk/download/pdf/6515223.pdf; https://www.ircwash.org/sites/default/files/802-PH9"&amp;"0-8920.pdf, **Contact_name** changed from Unknown to Miriam Balgos")</f>
        <v>**Restoration_project** changed from Unknown to Fisheries Sector Program, **Year of establishment** changed from 2018 to 1992, **Project Start** changed from Unknown to 1990, **Project End** changed from Unknown to 1994, **Funding agency** changed from Office of Sen. Loren Legarda to ADB, Overseas Economic Cooperation Fund of Japan , **Implementing institution** changed from MLGU, Pusod Inc. to DA, **Partners_public** changed from DENR to MLGU, **Partners_private** changed from De la Salle University to Unknown, **Partners_communities** changed from Calayo People's Organization to Unknown, **Reference** changed from Website to Balgos, M.C. (1995). Evaluation of artificial reef development in the Philippines. In Munro, J.L. &amp; Balgos, M. (eds.) Artificial reefs in the Philippines. ICLARM Conf. Proc. 49, pp. 6-22., **Website** changed from http://pusod.org/pusod/building-artificial-habitats-in-barangay-calayo/ to https://core.ac.uk/download/pdf/6515223.pdf; https://www.ircwash.org/sites/default/files/802-PH90-8920.pdf, **Contact_name** changed from Unknown to Miriam Balgos</v>
      </c>
      <c r="I271" s="153" t="s">
        <v>6674</v>
      </c>
      <c r="J271" s="153" t="s">
        <v>257</v>
      </c>
      <c r="K271" s="153" t="s">
        <v>258</v>
      </c>
      <c r="L271" s="153" t="s">
        <v>491</v>
      </c>
      <c r="M271" s="181" t="s">
        <v>492</v>
      </c>
      <c r="N271" s="153" t="s">
        <v>151</v>
      </c>
      <c r="O271" s="153" t="s">
        <v>1377</v>
      </c>
      <c r="P271" s="166" t="s">
        <v>149</v>
      </c>
      <c r="Q271" s="178">
        <v>1992.0</v>
      </c>
      <c r="R271" s="175" t="s">
        <v>6198</v>
      </c>
      <c r="S271" s="175" t="s">
        <v>6199</v>
      </c>
      <c r="T271" s="161" t="s">
        <v>150</v>
      </c>
      <c r="U271" s="153">
        <f>IFERROR(__xludf.DUMMYFUNCTION("""COMPUTED_VALUE"""),253.0)</f>
        <v>253</v>
      </c>
      <c r="V271" s="162" t="s">
        <v>3311</v>
      </c>
      <c r="W271" s="187" t="s">
        <v>149</v>
      </c>
      <c r="X271" s="184"/>
      <c r="Y271" s="184" t="s">
        <v>149</v>
      </c>
      <c r="Z271" s="158" t="s">
        <v>149</v>
      </c>
      <c r="AA271" s="158" t="s">
        <v>149</v>
      </c>
      <c r="AB271" s="158" t="s">
        <v>149</v>
      </c>
      <c r="AC271" s="153" t="s">
        <v>1381</v>
      </c>
      <c r="AD271" s="158" t="s">
        <v>6154</v>
      </c>
      <c r="AE271" s="158" t="s">
        <v>206</v>
      </c>
      <c r="AF271" s="158" t="s">
        <v>159</v>
      </c>
      <c r="AG271" s="164" t="s">
        <v>149</v>
      </c>
      <c r="AH271" s="158" t="s">
        <v>149</v>
      </c>
      <c r="AI271" s="158" t="s">
        <v>149</v>
      </c>
      <c r="AJ271" s="153" t="s">
        <v>660</v>
      </c>
      <c r="AK271" s="153" t="s">
        <v>6035</v>
      </c>
      <c r="AL271" s="153" t="s">
        <v>369</v>
      </c>
      <c r="AM271" s="166" t="s">
        <v>149</v>
      </c>
      <c r="AN271" s="166" t="s">
        <v>149</v>
      </c>
      <c r="AO271" s="156">
        <v>1.0</v>
      </c>
      <c r="AP271" s="156" t="s">
        <v>6037</v>
      </c>
      <c r="AQ271" s="158" t="s">
        <v>395</v>
      </c>
      <c r="AR271" s="153" t="s">
        <v>6060</v>
      </c>
      <c r="AS271" s="158" t="s">
        <v>397</v>
      </c>
      <c r="AT271" s="153" t="s">
        <v>398</v>
      </c>
      <c r="AU271" s="166" t="s">
        <v>149</v>
      </c>
    </row>
    <row r="272">
      <c r="A272" s="186">
        <v>136.0</v>
      </c>
      <c r="B272" s="152">
        <v>2023.0</v>
      </c>
      <c r="D272" s="152"/>
      <c r="E272" s="151">
        <v>136.0</v>
      </c>
      <c r="F272" s="129" t="s">
        <v>140</v>
      </c>
      <c r="G272" s="3" t="s">
        <v>6029</v>
      </c>
      <c r="H272" s="8" t="str">
        <f>IFERROR(__xludf.DUMMYFUNCTION("""COMPUTED_VALUE"""),"")</f>
        <v/>
      </c>
      <c r="I272" s="8" t="s">
        <v>6675</v>
      </c>
      <c r="J272" s="8" t="s">
        <v>257</v>
      </c>
      <c r="K272" s="8" t="s">
        <v>258</v>
      </c>
      <c r="L272" s="8" t="s">
        <v>1667</v>
      </c>
      <c r="M272" s="153" t="s">
        <v>3010</v>
      </c>
      <c r="N272" s="8" t="s">
        <v>151</v>
      </c>
      <c r="O272" s="166" t="s">
        <v>149</v>
      </c>
      <c r="P272" s="166" t="s">
        <v>149</v>
      </c>
      <c r="Q272" s="142" t="s">
        <v>6352</v>
      </c>
      <c r="R272" s="166" t="s">
        <v>149</v>
      </c>
      <c r="S272" s="166" t="s">
        <v>149</v>
      </c>
      <c r="T272" s="8"/>
      <c r="U272" s="8">
        <f>IFERROR(__xludf.DUMMYFUNCTION("""COMPUTED_VALUE"""),254.0)</f>
        <v>254</v>
      </c>
      <c r="V272" s="8"/>
      <c r="W272" s="166"/>
      <c r="X272" s="8"/>
      <c r="Y272" s="8"/>
      <c r="AA272" s="166" t="s">
        <v>149</v>
      </c>
      <c r="AB272" s="166" t="s">
        <v>149</v>
      </c>
      <c r="AC272" s="166" t="s">
        <v>149</v>
      </c>
      <c r="AG272" s="166" t="s">
        <v>149</v>
      </c>
      <c r="AH272" s="166" t="s">
        <v>149</v>
      </c>
      <c r="AI272" s="166" t="s">
        <v>149</v>
      </c>
      <c r="AJ272" s="166" t="s">
        <v>149</v>
      </c>
      <c r="AL272" s="166" t="s">
        <v>149</v>
      </c>
      <c r="AM272" s="166" t="s">
        <v>149</v>
      </c>
      <c r="AN272" s="166" t="s">
        <v>149</v>
      </c>
      <c r="AO272" s="8"/>
      <c r="AP272" s="8"/>
      <c r="AR272" s="8" t="s">
        <v>395</v>
      </c>
      <c r="AS272" s="8" t="s">
        <v>2873</v>
      </c>
      <c r="AT272" s="8" t="s">
        <v>398</v>
      </c>
      <c r="AU272" s="166" t="s">
        <v>149</v>
      </c>
    </row>
    <row r="273">
      <c r="A273" s="186">
        <v>136.0</v>
      </c>
      <c r="B273" s="152">
        <v>2025.0</v>
      </c>
      <c r="C273" s="153" t="str">
        <f>CONCATENATE(D273, "-", M273, "-", A273)
</f>
        <v>2023-PH041023000-136</v>
      </c>
      <c r="D273" s="152">
        <f>IF(OR(F272="Published", F272="Unpublished"), 2023, IF(F272="New", 2025, ""))
</f>
        <v>2023</v>
      </c>
      <c r="E273" s="151">
        <v>136.0</v>
      </c>
      <c r="F273" s="156" t="s">
        <v>140</v>
      </c>
      <c r="G273" s="156" t="s">
        <v>141</v>
      </c>
      <c r="H273" s="153" t="str">
        <f>IFERROR(__xludf.DUMMYFUNCTION("""COMPUTED_VALUE"""),"**Restoration_project** changed from Unknown to Filipinnovation on Coral Reef Restoration, **Restoration_project_short** changed from Unknown to Site in front of Palm Beach Resort and La Luz Beach Resort, **Year of establishment** changed from 1984 to 201"&amp;"2, **Project Start** changed from Unknown to 2012, **Project End** changed from Unknown to 2013, **Restoration method** changed from Artificial Reef to Asexual Reproduction, **Technique/Material Type** changed from Unknown to CNU, **Restoration objective*"&amp;"* changed from Unknown to Establish technology pilot demonstration sites for coral nurseries, **Funding agency** changed from Unknown to DOST-PCAARRD, **Total units** changed from Unknown to 40 CNUs/22,160 coral fragments, **Implementing institution** cha"&amp;"nged from Unknown to University of San Carlos, **Partners_public** changed from Unknown to Batangas State University, **Reference** changed from Conference Proceeding to DOST-PCAARRD (2013c). Project 3: Pilot Technology Demonstration on Coral Reef Restora"&amp;"tion in Laiya, San Juan and Anilao, Mabini, Batangas., **Website** changed from http://pubs.iclarm.net/libinfo/Pdf/Pub%20CP6%2049.pdf to Report uploaded in the Google Drive, **Contact_name** changed from Miriam Balgos to Unknown")</f>
        <v>**Restoration_project** changed from Unknown to Filipinnovation on Coral Reef Restoration, **Restoration_project_short** changed from Unknown to Site in front of Palm Beach Resort and La Luz Beach Resort, **Year of establishment** changed from 1984 to 2012, **Project Start** changed from Unknown to 2012, **Project End** changed from Unknown to 2013, **Restoration method** changed from Artificial Reef to Asexual Reproduction, **Technique/Material Type** changed from Unknown to CNU, **Restoration objective** changed from Unknown to Establish technology pilot demonstration sites for coral nurseries, **Funding agency** changed from Unknown to DOST-PCAARRD, **Total units** changed from Unknown to 40 CNUs/22,160 coral fragments, **Implementing institution** changed from Unknown to University of San Carlos, **Partners_public** changed from Unknown to Batangas State University, **Reference** changed from Conference Proceeding to DOST-PCAARRD (2013c). Project 3: Pilot Technology Demonstration on Coral Reef Restoration in Laiya, San Juan and Anilao, Mabini, Batangas., **Website** changed from http://pubs.iclarm.net/libinfo/Pdf/Pub%20CP6%2049.pdf to Report uploaded in the Google Drive, **Contact_name** changed from Miriam Balgos to Unknown</v>
      </c>
      <c r="I273" s="153" t="s">
        <v>6676</v>
      </c>
      <c r="J273" s="153" t="s">
        <v>257</v>
      </c>
      <c r="K273" s="153" t="s">
        <v>258</v>
      </c>
      <c r="L273" s="153" t="s">
        <v>491</v>
      </c>
      <c r="M273" s="181" t="s">
        <v>492</v>
      </c>
      <c r="N273" s="153" t="s">
        <v>6062</v>
      </c>
      <c r="O273" s="153" t="s">
        <v>1174</v>
      </c>
      <c r="P273" s="158" t="s">
        <v>1263</v>
      </c>
      <c r="Q273" s="178">
        <v>2012.0</v>
      </c>
      <c r="R273" s="175" t="s">
        <v>6151</v>
      </c>
      <c r="S273" s="175" t="s">
        <v>6089</v>
      </c>
      <c r="T273" s="156" t="s">
        <v>177</v>
      </c>
      <c r="U273" s="153">
        <f>IFERROR(__xludf.DUMMYFUNCTION("""COMPUTED_VALUE"""),255.0)</f>
        <v>255</v>
      </c>
      <c r="V273" s="191" t="s">
        <v>1359</v>
      </c>
      <c r="W273" s="179" t="s">
        <v>6066</v>
      </c>
      <c r="X273" s="180"/>
      <c r="Y273" s="180" t="s">
        <v>154</v>
      </c>
      <c r="Z273" s="158" t="s">
        <v>179</v>
      </c>
      <c r="AA273" s="153" t="s">
        <v>320</v>
      </c>
      <c r="AB273" s="158" t="s">
        <v>1222</v>
      </c>
      <c r="AC273" s="153" t="s">
        <v>321</v>
      </c>
      <c r="AD273" s="158" t="s">
        <v>160</v>
      </c>
      <c r="AE273" s="158" t="s">
        <v>6035</v>
      </c>
      <c r="AF273" s="158" t="s">
        <v>159</v>
      </c>
      <c r="AG273" s="164" t="s">
        <v>149</v>
      </c>
      <c r="AH273" s="158" t="s">
        <v>149</v>
      </c>
      <c r="AI273" s="158" t="s">
        <v>1264</v>
      </c>
      <c r="AJ273" s="153" t="s">
        <v>885</v>
      </c>
      <c r="AK273" s="158" t="s">
        <v>6068</v>
      </c>
      <c r="AL273" s="153" t="s">
        <v>1259</v>
      </c>
      <c r="AM273" s="166" t="s">
        <v>149</v>
      </c>
      <c r="AN273" s="166" t="s">
        <v>149</v>
      </c>
      <c r="AO273" s="156">
        <v>1.0</v>
      </c>
      <c r="AP273" s="156" t="s">
        <v>6037</v>
      </c>
      <c r="AQ273" s="158" t="s">
        <v>6069</v>
      </c>
      <c r="AR273" s="153" t="s">
        <v>1260</v>
      </c>
      <c r="AS273" s="153" t="s">
        <v>6070</v>
      </c>
      <c r="AT273" s="166" t="s">
        <v>149</v>
      </c>
      <c r="AU273" s="166" t="s">
        <v>149</v>
      </c>
    </row>
    <row r="274">
      <c r="A274" s="186">
        <v>137.0</v>
      </c>
      <c r="B274" s="152">
        <v>2023.0</v>
      </c>
      <c r="D274" s="152"/>
      <c r="E274" s="151">
        <v>137.0</v>
      </c>
      <c r="F274" s="129" t="s">
        <v>140</v>
      </c>
      <c r="G274" s="3" t="s">
        <v>6029</v>
      </c>
      <c r="H274" s="8" t="str">
        <f>IFERROR(__xludf.DUMMYFUNCTION("""COMPUTED_VALUE"""),"")</f>
        <v/>
      </c>
      <c r="I274" s="8" t="s">
        <v>6677</v>
      </c>
      <c r="J274" s="8" t="s">
        <v>257</v>
      </c>
      <c r="K274" s="8" t="s">
        <v>258</v>
      </c>
      <c r="L274" s="8" t="s">
        <v>491</v>
      </c>
      <c r="M274" s="153" t="s">
        <v>492</v>
      </c>
      <c r="N274" s="8" t="s">
        <v>151</v>
      </c>
      <c r="O274" s="8" t="s">
        <v>384</v>
      </c>
      <c r="P274" s="8" t="s">
        <v>6678</v>
      </c>
      <c r="Q274" s="181" t="s">
        <v>6073</v>
      </c>
      <c r="R274" s="166" t="s">
        <v>149</v>
      </c>
      <c r="S274" s="166" t="s">
        <v>149</v>
      </c>
      <c r="T274" s="8"/>
      <c r="U274" s="8">
        <f>IFERROR(__xludf.DUMMYFUNCTION("""COMPUTED_VALUE"""),256.0)</f>
        <v>256</v>
      </c>
      <c r="V274" s="8"/>
      <c r="W274" s="8"/>
      <c r="X274" s="8"/>
      <c r="Y274" s="8"/>
      <c r="AA274" s="8" t="s">
        <v>6076</v>
      </c>
      <c r="AB274" s="166" t="s">
        <v>149</v>
      </c>
      <c r="AC274" s="8" t="s">
        <v>390</v>
      </c>
      <c r="AG274" s="166" t="s">
        <v>149</v>
      </c>
      <c r="AH274" s="166" t="s">
        <v>149</v>
      </c>
      <c r="AI274" s="8" t="s">
        <v>2862</v>
      </c>
      <c r="AJ274" s="8" t="s">
        <v>390</v>
      </c>
      <c r="AL274" s="8" t="s">
        <v>6055</v>
      </c>
      <c r="AM274" s="166" t="s">
        <v>149</v>
      </c>
      <c r="AN274" s="166" t="s">
        <v>149</v>
      </c>
      <c r="AO274" s="8"/>
      <c r="AP274" s="8"/>
      <c r="AR274" s="8" t="s">
        <v>6257</v>
      </c>
      <c r="AS274" s="8" t="s">
        <v>6080</v>
      </c>
      <c r="AT274" s="166" t="s">
        <v>149</v>
      </c>
      <c r="AU274" s="166" t="s">
        <v>149</v>
      </c>
    </row>
    <row r="275">
      <c r="A275" s="186">
        <v>137.0</v>
      </c>
      <c r="B275" s="152">
        <v>2025.0</v>
      </c>
      <c r="C275" s="153" t="str">
        <f t="shared" ref="C275:C276" si="23">CONCATENATE(D275, "-", M275, "-", A275)
</f>
        <v>2023-PH041033000-137</v>
      </c>
      <c r="D275" s="152">
        <f t="shared" ref="D275:D276" si="24">IF(OR(F274="Published", F274="Unpublished"), 2023, IF(F274="New", 2025, ""))
</f>
        <v>2023</v>
      </c>
      <c r="E275" s="151">
        <v>137.0</v>
      </c>
      <c r="F275" s="156" t="s">
        <v>140</v>
      </c>
      <c r="G275" s="156" t="s">
        <v>141</v>
      </c>
      <c r="H275" s="153" t="str">
        <f>IFERROR(__xludf.DUMMYFUNCTION("""COMPUTED_VALUE"""),"**Restoration_project** changed from Artificial Reef Development Program to Sea of Life: Underwater Museum Project, **Restoration_project_short** changed from Calubcub II to Unknown, **Year of establishment** changed from 1982 to 2018, **Project Start** c"&amp;"hanged from Unknown to 2011, **Technique/Material Type** changed from bamboo to Concrete sculpture; statues, **Restoration objective** changed from Unknown to Revive marine life, protect beach, boost ecoutourism, **Funding agency** changed from BFAR to JC"&amp;"I Manila, **Total units** changed from 8 BM to Unknown, **Implementing institution** changed from BFAR to JCI Manila, **Partners_public** changed from Ministry of Human Settlements to DENR, MLGU, Philippine Navy, **Partners_private** changed from Unknown "&amp;"to Gold Seas Tuna Chunks, **Reference** changed from Technical Report to JCI Manila and Gold Seas Tuna Chunks launches Sea of Life Museum (2018, November 25). Lemon GreenTea: Life and Style + Travel + Food Discovering life stories--with a large cup of Lem"&amp;"on Green Tea. https://www.lemongreenteaph.com/2018/11/jci-manila-and-gold-seas-tuna-chunks.html, **Website** changed from https://www.ircwash.org/sites/default/files/802-PH90-8920.pdf to https://www.lemongreenteaph.com/2018/11/jci-manila-and-gold-seas-tun"&amp;"a-chunks.html")</f>
        <v>**Restoration_project** changed from Artificial Reef Development Program to Sea of Life: Underwater Museum Project, **Restoration_project_short** changed from Calubcub II to Unknown, **Year of establishment** changed from 1982 to 2018, **Project Start** changed from Unknown to 2011, **Technique/Material Type** changed from bamboo to Concrete sculpture; statues, **Restoration objective** changed from Unknown to Revive marine life, protect beach, boost ecoutourism, **Funding agency** changed from BFAR to JCI Manila, **Total units** changed from 8 BM to Unknown, **Implementing institution** changed from BFAR to JCI Manila, **Partners_public** changed from Ministry of Human Settlements to DENR, MLGU, Philippine Navy, **Partners_private** changed from Unknown to Gold Seas Tuna Chunks, **Reference** changed from Technical Report to JCI Manila and Gold Seas Tuna Chunks launches Sea of Life Museum (2018, November 25). Lemon GreenTea: Life and Style + Travel + Food Discovering life stories--with a large cup of Lemon Green Tea. https://www.lemongreenteaph.com/2018/11/jci-manila-and-gold-seas-tuna-chunks.html, **Website** changed from https://www.ircwash.org/sites/default/files/802-PH90-8920.pdf to https://www.lemongreenteaph.com/2018/11/jci-manila-and-gold-seas-tuna-chunks.html</v>
      </c>
      <c r="I275" s="153" t="s">
        <v>6679</v>
      </c>
      <c r="J275" s="153" t="s">
        <v>257</v>
      </c>
      <c r="K275" s="153" t="s">
        <v>258</v>
      </c>
      <c r="L275" s="153" t="s">
        <v>2047</v>
      </c>
      <c r="M275" s="181" t="s">
        <v>2048</v>
      </c>
      <c r="N275" s="153" t="s">
        <v>151</v>
      </c>
      <c r="O275" s="153" t="s">
        <v>6144</v>
      </c>
      <c r="P275" s="166" t="s">
        <v>149</v>
      </c>
      <c r="Q275" s="169">
        <v>2018.0</v>
      </c>
      <c r="R275" s="160" t="s">
        <v>6042</v>
      </c>
      <c r="S275" s="160" t="s">
        <v>149</v>
      </c>
      <c r="T275" s="161" t="s">
        <v>150</v>
      </c>
      <c r="U275" s="153">
        <f>IFERROR(__xludf.DUMMYFUNCTION("""COMPUTED_VALUE"""),257.0)</f>
        <v>257</v>
      </c>
      <c r="V275" s="162" t="s">
        <v>3311</v>
      </c>
      <c r="W275" s="184" t="s">
        <v>6032</v>
      </c>
      <c r="X275" s="28" t="s">
        <v>6033</v>
      </c>
      <c r="Y275" s="32" t="s">
        <v>2049</v>
      </c>
      <c r="Z275" s="158" t="s">
        <v>6680</v>
      </c>
      <c r="AA275" s="158" t="s">
        <v>6680</v>
      </c>
      <c r="AB275" s="153" t="s">
        <v>6681</v>
      </c>
      <c r="AC275" s="153" t="s">
        <v>2038</v>
      </c>
      <c r="AD275" s="158" t="s">
        <v>160</v>
      </c>
      <c r="AE275" s="158" t="s">
        <v>271</v>
      </c>
      <c r="AF275" s="158" t="s">
        <v>159</v>
      </c>
      <c r="AG275" s="164" t="s">
        <v>149</v>
      </c>
      <c r="AH275" s="158" t="s">
        <v>149</v>
      </c>
      <c r="AI275" s="158" t="s">
        <v>149</v>
      </c>
      <c r="AJ275" s="158" t="s">
        <v>2038</v>
      </c>
      <c r="AK275" s="158" t="s">
        <v>271</v>
      </c>
      <c r="AL275" s="153" t="s">
        <v>6682</v>
      </c>
      <c r="AM275" s="153" t="s">
        <v>2054</v>
      </c>
      <c r="AN275" s="166" t="s">
        <v>149</v>
      </c>
      <c r="AO275" s="156">
        <v>1.0</v>
      </c>
      <c r="AP275" s="156" t="s">
        <v>6037</v>
      </c>
      <c r="AQ275" s="158" t="s">
        <v>6091</v>
      </c>
      <c r="AR275" s="153" t="s">
        <v>2055</v>
      </c>
      <c r="AS275" s="165" t="s">
        <v>2056</v>
      </c>
      <c r="AT275" s="166" t="s">
        <v>149</v>
      </c>
      <c r="AU275" s="166" t="s">
        <v>149</v>
      </c>
    </row>
    <row r="276">
      <c r="A276" s="186">
        <v>138.0</v>
      </c>
      <c r="B276" s="152">
        <v>2025.0</v>
      </c>
      <c r="C276" s="153" t="str">
        <f t="shared" si="23"/>
        <v>2023-PH042113000-138</v>
      </c>
      <c r="D276" s="152">
        <f t="shared" si="24"/>
        <v>2023</v>
      </c>
      <c r="E276" s="151">
        <v>138.0</v>
      </c>
      <c r="F276" s="156" t="s">
        <v>140</v>
      </c>
      <c r="G276" s="156" t="s">
        <v>141</v>
      </c>
      <c r="H276" s="153" t="str">
        <f>IFERROR(__xludf.DUMMYFUNCTION("""COMPUTED_VALUE"""),"**Restoration_project** changed from Sea of Life: Underwater Museum Project to Fisheries Sector Program, **Year of establishment** changed from 2018 to 1992, **Project Start** changed from 2011 to 1990, **Project End** changed from Unknown to 1994, **Tech"&amp;"nique/Material Type** changed from Concrete sculpture; statues to Unknown, **Restoration objective** changed from Revive marine life, protect beach, boost ecoutourism to Unknown, **Funding agency** changed from JCI Manila to ADB, Overseas Economic Coopera"&amp;"tion Fund of Japan , **Implementing institution** changed from JCI Manila to DA, **Partners_public** changed from DENR, MLGU, Philippine Navy to MLGU, **Partners_private** changed from Gold Seas Tuna Chunks to Unknown, **Reference** changed from JCI Manil"&amp;"a and Gold Seas Tuna Chunks launches Sea of Life Museum (2018, November 25). Lemon GreenTea: Life and Style + Travel + Food Discovering life stories--with a large cup of Lemon Green Tea. https://www.lemongreenteaph.com/2018/11/jci-manila-and-gold-seas-tun"&amp;"a-chunks.html to Balgos, M.C. (1995). Evaluation of artificial reef development in the Philippines. In Munro, J.L. &amp; Balgos, M. (eds.) Artificial reefs in the Philippines. ICLARM Conf. Proc. 49, pp. 6-22., **Website** changed from https://www.lemongreente"&amp;"aph.com/2018/11/jci-manila-and-gold-seas-tuna-chunks.html to https://core.ac.uk/download/pdf/6515223.pdf; https://www.ircwash.org/sites/default/files/802-PH90-8920.pdf, **Contact_name** changed from Unknown to Miriam Balgos")</f>
        <v>**Restoration_project** changed from Sea of Life: Underwater Museum Project to Fisheries Sector Program, **Year of establishment** changed from 2018 to 1992, **Project Start** changed from 2011 to 1990, **Project End** changed from Unknown to 1994, **Technique/Material Type** changed from Concrete sculpture; statues to Unknown, **Restoration objective** changed from Revive marine life, protect beach, boost ecoutourism to Unknown, **Funding agency** changed from JCI Manila to ADB, Overseas Economic Cooperation Fund of Japan , **Implementing institution** changed from JCI Manila to DA, **Partners_public** changed from DENR, MLGU, Philippine Navy to MLGU, **Partners_private** changed from Gold Seas Tuna Chunks to Unknown, **Reference** changed from JCI Manila and Gold Seas Tuna Chunks launches Sea of Life Museum (2018, November 25). Lemon GreenTea: Life and Style + Travel + Food Discovering life stories--with a large cup of Lemon Green Tea. https://www.lemongreenteaph.com/2018/11/jci-manila-and-gold-seas-tuna-chunks.html to Balgos, M.C. (1995). Evaluation of artificial reef development in the Philippines. In Munro, J.L. &amp; Balgos, M. (eds.) Artificial reefs in the Philippines. ICLARM Conf. Proc. 49, pp. 6-22., **Website** changed from https://www.lemongreenteaph.com/2018/11/jci-manila-and-gold-seas-tuna-chunks.html to https://core.ac.uk/download/pdf/6515223.pdf; https://www.ircwash.org/sites/default/files/802-PH90-8920.pdf, **Contact_name** changed from Unknown to Miriam Balgos</v>
      </c>
      <c r="I276" s="153" t="s">
        <v>6683</v>
      </c>
      <c r="J276" s="153" t="s">
        <v>257</v>
      </c>
      <c r="K276" s="153" t="s">
        <v>1387</v>
      </c>
      <c r="L276" s="153" t="s">
        <v>1388</v>
      </c>
      <c r="M276" s="181" t="s">
        <v>1389</v>
      </c>
      <c r="N276" s="153" t="s">
        <v>151</v>
      </c>
      <c r="O276" s="153" t="s">
        <v>1377</v>
      </c>
      <c r="P276" s="166" t="s">
        <v>149</v>
      </c>
      <c r="Q276" s="178">
        <v>1992.0</v>
      </c>
      <c r="R276" s="175" t="s">
        <v>6198</v>
      </c>
      <c r="S276" s="175" t="s">
        <v>6199</v>
      </c>
      <c r="T276" s="161" t="s">
        <v>150</v>
      </c>
      <c r="U276" s="153">
        <f>IFERROR(__xludf.DUMMYFUNCTION("""COMPUTED_VALUE"""),258.0)</f>
        <v>258</v>
      </c>
      <c r="V276" s="162" t="s">
        <v>3311</v>
      </c>
      <c r="W276" s="187" t="s">
        <v>149</v>
      </c>
      <c r="X276" s="184"/>
      <c r="Y276" s="184" t="s">
        <v>149</v>
      </c>
      <c r="Z276" s="158" t="s">
        <v>149</v>
      </c>
      <c r="AA276" s="158" t="s">
        <v>149</v>
      </c>
      <c r="AB276" s="158" t="s">
        <v>149</v>
      </c>
      <c r="AC276" s="153" t="s">
        <v>1381</v>
      </c>
      <c r="AD276" s="158" t="s">
        <v>6154</v>
      </c>
      <c r="AE276" s="158" t="s">
        <v>206</v>
      </c>
      <c r="AF276" s="158" t="s">
        <v>159</v>
      </c>
      <c r="AG276" s="164" t="s">
        <v>149</v>
      </c>
      <c r="AH276" s="158" t="s">
        <v>149</v>
      </c>
      <c r="AI276" s="158" t="s">
        <v>149</v>
      </c>
      <c r="AJ276" s="153" t="s">
        <v>660</v>
      </c>
      <c r="AK276" s="153" t="s">
        <v>6035</v>
      </c>
      <c r="AL276" s="153" t="s">
        <v>369</v>
      </c>
      <c r="AM276" s="166" t="s">
        <v>149</v>
      </c>
      <c r="AN276" s="166" t="s">
        <v>149</v>
      </c>
      <c r="AO276" s="156">
        <v>1.0</v>
      </c>
      <c r="AP276" s="156" t="s">
        <v>6037</v>
      </c>
      <c r="AQ276" s="158" t="s">
        <v>395</v>
      </c>
      <c r="AR276" s="153" t="s">
        <v>6060</v>
      </c>
      <c r="AS276" s="177" t="s">
        <v>397</v>
      </c>
      <c r="AT276" s="153" t="s">
        <v>398</v>
      </c>
      <c r="AU276" s="166" t="s">
        <v>149</v>
      </c>
    </row>
    <row r="277">
      <c r="A277" s="186">
        <v>138.0</v>
      </c>
      <c r="B277" s="152">
        <v>2023.0</v>
      </c>
      <c r="D277" s="152"/>
      <c r="E277" s="151">
        <v>138.0</v>
      </c>
      <c r="F277" s="129" t="s">
        <v>140</v>
      </c>
      <c r="G277" s="3" t="s">
        <v>6029</v>
      </c>
      <c r="H277" s="8" t="str">
        <f>IFERROR(__xludf.DUMMYFUNCTION("""COMPUTED_VALUE"""),"")</f>
        <v/>
      </c>
      <c r="I277" s="8" t="s">
        <v>6684</v>
      </c>
      <c r="J277" s="8" t="s">
        <v>257</v>
      </c>
      <c r="K277" s="8" t="s">
        <v>258</v>
      </c>
      <c r="L277" s="8" t="s">
        <v>491</v>
      </c>
      <c r="M277" s="153" t="s">
        <v>492</v>
      </c>
      <c r="N277" s="8" t="s">
        <v>151</v>
      </c>
      <c r="O277" s="8" t="s">
        <v>384</v>
      </c>
      <c r="P277" s="8" t="s">
        <v>6678</v>
      </c>
      <c r="Q277" s="181" t="s">
        <v>6352</v>
      </c>
      <c r="R277" s="166" t="s">
        <v>149</v>
      </c>
      <c r="S277" s="166" t="s">
        <v>149</v>
      </c>
      <c r="T277" s="8"/>
      <c r="U277" s="8">
        <f>IFERROR(__xludf.DUMMYFUNCTION("""COMPUTED_VALUE"""),259.0)</f>
        <v>259</v>
      </c>
      <c r="V277" s="8"/>
      <c r="W277" s="8"/>
      <c r="X277" s="8"/>
      <c r="Y277" s="8"/>
      <c r="AA277" s="8" t="s">
        <v>6054</v>
      </c>
      <c r="AB277" s="166" t="s">
        <v>149</v>
      </c>
      <c r="AC277" s="8" t="s">
        <v>390</v>
      </c>
      <c r="AG277" s="166" t="s">
        <v>149</v>
      </c>
      <c r="AH277" s="166" t="s">
        <v>149</v>
      </c>
      <c r="AI277" s="8" t="s">
        <v>450</v>
      </c>
      <c r="AJ277" s="8" t="s">
        <v>390</v>
      </c>
      <c r="AL277" s="8" t="s">
        <v>6055</v>
      </c>
      <c r="AM277" s="166" t="s">
        <v>149</v>
      </c>
      <c r="AN277" s="166" t="s">
        <v>149</v>
      </c>
      <c r="AO277" s="8"/>
      <c r="AP277" s="8"/>
      <c r="AR277" s="8" t="s">
        <v>6257</v>
      </c>
      <c r="AS277" s="8" t="s">
        <v>6080</v>
      </c>
      <c r="AT277" s="166" t="s">
        <v>149</v>
      </c>
      <c r="AU277" s="166" t="s">
        <v>149</v>
      </c>
    </row>
    <row r="278">
      <c r="A278" s="186">
        <v>139.0</v>
      </c>
      <c r="B278" s="152">
        <v>2025.0</v>
      </c>
      <c r="C278" s="153" t="str">
        <f>CONCATENATE(D278, "-", M278, "-", A278)
</f>
        <v>2023-PH042117000-139</v>
      </c>
      <c r="D278" s="152">
        <f>IF(OR(F277="Published", F277="Unpublished"), 2023, IF(F277="New", 2025, ""))
</f>
        <v>2023</v>
      </c>
      <c r="E278" s="151">
        <v>139.0</v>
      </c>
      <c r="F278" s="156" t="s">
        <v>140</v>
      </c>
      <c r="G278" s="156" t="s">
        <v>141</v>
      </c>
      <c r="H278" s="153" t="str">
        <f>IFERROR(__xludf.DUMMYFUNCTION("""COMPUTED_VALUE"""),"**Restoration_project** changed from Artificial Reef Development Program to ReefBuds, **Restoration_project_short** changed from Calubcub II to Unknown, **Year of establishment** changed from 1984 to 2007, **Project Start** changed from Unknown to 2007, *"&amp;"*Project End** changed from Unknown to 2012, **Technique/Material Type** changed from tires to Reefbuds, **Restoration objective** changed from Unknown to Revitalize local fishing industry; home and spawning ground for marine life; , **Funding agency** ch"&amp;"anged from BFAR to Petron, **Total units** changed from 6 TM to 1,200 units, **Implementing institution** changed from BFAR to Yes2Life, **Partners_public** changed from Ministry of Human Settlements to Unknown, **Partners_private** changed from Unknown t"&amp;"o Dr. Harald Kremnitz, **Reference** changed from Technical Report to Lee (2014, August 6). ""Reefbud"" Technology Downsized to Broaden Appeal. The Scuba News. https://www.thescubanews.com/2014/08/06/reefbud-technology-downsized-to-broaden-appeal/, **Webs"&amp;"ite** changed from https://www.ircwash.org/sites/default/files/802-PH90-8920.pdf to https://www.thescubanews.com/2014/08/06/reefbud-technology-downsized-to-broaden-appeal/; https://sites.google.com/a/islandecosystems.org/gics")</f>
        <v>**Restoration_project** changed from Artificial Reef Development Program to ReefBuds, **Restoration_project_short** changed from Calubcub II to Unknown, **Year of establishment** changed from 1984 to 2007, **Project Start** changed from Unknown to 2007, **Project End** changed from Unknown to 2012, **Technique/Material Type** changed from tires to Reefbuds, **Restoration objective** changed from Unknown to Revitalize local fishing industry; home and spawning ground for marine life; , **Funding agency** changed from BFAR to Petron, **Total units** changed from 6 TM to 1,200 units, **Implementing institution** changed from BFAR to Yes2Life, **Partners_public** changed from Ministry of Human Settlements to Unknown, **Partners_private** changed from Unknown to Dr. Harald Kremnitz, **Reference** changed from Technical Report to Lee (2014, August 6). "Reefbud" Technology Downsized to Broaden Appeal. The Scuba News. https://www.thescubanews.com/2014/08/06/reefbud-technology-downsized-to-broaden-appeal/, **Website** changed from https://www.ircwash.org/sites/default/files/802-PH90-8920.pdf to https://www.thescubanews.com/2014/08/06/reefbud-technology-downsized-to-broaden-appeal/; https://sites.google.com/a/islandecosystems.org/gics</v>
      </c>
      <c r="I278" s="153" t="s">
        <v>6685</v>
      </c>
      <c r="J278" s="153" t="s">
        <v>257</v>
      </c>
      <c r="K278" s="156" t="s">
        <v>258</v>
      </c>
      <c r="L278" s="153" t="s">
        <v>447</v>
      </c>
      <c r="M278" s="181" t="s">
        <v>1930</v>
      </c>
      <c r="N278" s="153" t="s">
        <v>151</v>
      </c>
      <c r="O278" s="153" t="s">
        <v>1921</v>
      </c>
      <c r="P278" s="156" t="s">
        <v>149</v>
      </c>
      <c r="Q278" s="169">
        <v>2007.0</v>
      </c>
      <c r="R278" s="160" t="s">
        <v>6404</v>
      </c>
      <c r="S278" s="160" t="s">
        <v>6151</v>
      </c>
      <c r="T278" s="161" t="s">
        <v>150</v>
      </c>
      <c r="U278" s="153">
        <f>IFERROR(__xludf.DUMMYFUNCTION("""COMPUTED_VALUE"""),260.0)</f>
        <v>260</v>
      </c>
      <c r="V278" s="162" t="s">
        <v>3311</v>
      </c>
      <c r="W278" s="179" t="s">
        <v>6032</v>
      </c>
      <c r="X278" s="28" t="s">
        <v>6033</v>
      </c>
      <c r="Y278" s="32" t="s">
        <v>851</v>
      </c>
      <c r="Z278" s="158" t="s">
        <v>851</v>
      </c>
      <c r="AA278" s="153" t="s">
        <v>851</v>
      </c>
      <c r="AB278" s="158" t="s">
        <v>6686</v>
      </c>
      <c r="AC278" s="153" t="s">
        <v>1932</v>
      </c>
      <c r="AD278" s="158" t="s">
        <v>160</v>
      </c>
      <c r="AE278" s="158" t="s">
        <v>184</v>
      </c>
      <c r="AF278" s="158" t="s">
        <v>159</v>
      </c>
      <c r="AG278" s="164" t="s">
        <v>149</v>
      </c>
      <c r="AH278" s="158" t="s">
        <v>149</v>
      </c>
      <c r="AI278" s="153" t="s">
        <v>1933</v>
      </c>
      <c r="AJ278" s="158" t="s">
        <v>1926</v>
      </c>
      <c r="AK278" s="158" t="s">
        <v>271</v>
      </c>
      <c r="AL278" s="166" t="s">
        <v>149</v>
      </c>
      <c r="AM278" s="158" t="s">
        <v>1934</v>
      </c>
      <c r="AN278" s="166" t="s">
        <v>149</v>
      </c>
      <c r="AO278" s="156">
        <v>1.0</v>
      </c>
      <c r="AP278" s="156" t="s">
        <v>6037</v>
      </c>
      <c r="AQ278" s="158" t="s">
        <v>6091</v>
      </c>
      <c r="AR278" s="153" t="s">
        <v>1927</v>
      </c>
      <c r="AS278" s="172" t="s">
        <v>6687</v>
      </c>
      <c r="AT278" s="166" t="s">
        <v>149</v>
      </c>
      <c r="AU278" s="166" t="s">
        <v>149</v>
      </c>
    </row>
    <row r="279">
      <c r="A279" s="186">
        <v>139.0</v>
      </c>
      <c r="B279" s="152">
        <v>2023.0</v>
      </c>
      <c r="D279" s="152"/>
      <c r="E279" s="151">
        <v>139.0</v>
      </c>
      <c r="F279" s="129" t="s">
        <v>140</v>
      </c>
      <c r="G279" s="3" t="s">
        <v>6029</v>
      </c>
      <c r="H279" s="8" t="str">
        <f>IFERROR(__xludf.DUMMYFUNCTION("""COMPUTED_VALUE"""),"")</f>
        <v/>
      </c>
      <c r="I279" s="8" t="s">
        <v>6688</v>
      </c>
      <c r="J279" s="8" t="s">
        <v>257</v>
      </c>
      <c r="K279" s="8" t="s">
        <v>258</v>
      </c>
      <c r="L279" s="8" t="s">
        <v>491</v>
      </c>
      <c r="M279" s="153" t="s">
        <v>492</v>
      </c>
      <c r="N279" s="8" t="s">
        <v>151</v>
      </c>
      <c r="O279" s="8" t="s">
        <v>384</v>
      </c>
      <c r="P279" s="8" t="s">
        <v>6678</v>
      </c>
      <c r="Q279" s="181" t="s">
        <v>6352</v>
      </c>
      <c r="R279" s="166" t="s">
        <v>149</v>
      </c>
      <c r="S279" s="166" t="s">
        <v>149</v>
      </c>
      <c r="T279" s="8"/>
      <c r="U279" s="8">
        <f>IFERROR(__xludf.DUMMYFUNCTION("""COMPUTED_VALUE"""),261.0)</f>
        <v>261</v>
      </c>
      <c r="V279" s="8"/>
      <c r="W279" s="8"/>
      <c r="X279" s="8"/>
      <c r="Y279" s="8"/>
      <c r="AA279" s="8" t="s">
        <v>6054</v>
      </c>
      <c r="AB279" s="166" t="s">
        <v>149</v>
      </c>
      <c r="AC279" s="8" t="s">
        <v>390</v>
      </c>
      <c r="AG279" s="166" t="s">
        <v>149</v>
      </c>
      <c r="AH279" s="166" t="s">
        <v>149</v>
      </c>
      <c r="AI279" s="8" t="s">
        <v>6663</v>
      </c>
      <c r="AJ279" s="8" t="s">
        <v>390</v>
      </c>
      <c r="AL279" s="8" t="s">
        <v>6055</v>
      </c>
      <c r="AM279" s="166" t="s">
        <v>149</v>
      </c>
      <c r="AN279" s="166" t="s">
        <v>149</v>
      </c>
      <c r="AO279" s="8"/>
      <c r="AP279" s="8"/>
      <c r="AR279" s="8" t="s">
        <v>6257</v>
      </c>
      <c r="AS279" s="8" t="s">
        <v>6080</v>
      </c>
      <c r="AT279" s="166" t="s">
        <v>149</v>
      </c>
      <c r="AU279" s="166" t="s">
        <v>149</v>
      </c>
    </row>
    <row r="280">
      <c r="A280" s="186">
        <v>140.0</v>
      </c>
      <c r="B280" s="152">
        <v>2025.0</v>
      </c>
      <c r="C280" s="153" t="str">
        <f>CONCATENATE(D280, "-", M280, "-", A280)
</f>
        <v>2023-PH045601000-140</v>
      </c>
      <c r="D280" s="152">
        <f>IF(OR(F279="Published", F279="Unpublished"), 2023, IF(F279="New", 2025, ""))
</f>
        <v>2023</v>
      </c>
      <c r="E280" s="151">
        <v>140.0</v>
      </c>
      <c r="F280" s="156" t="s">
        <v>140</v>
      </c>
      <c r="G280" s="156" t="s">
        <v>141</v>
      </c>
      <c r="H280" s="153" t="str">
        <f>IFERROR(__xludf.DUMMYFUNCTION("""COMPUTED_VALUE"""),"**Restoration_project** changed from Artificial Reef Development Program to Fisheries Sector Program, **Restoration_project_short** changed from Calubcub II to Unknown, **Year of establishment** changed from 1984 to 1992, **Project Start** changed from Un"&amp;"known to 1990, **Project End** changed from Unknown to 1994, **Technique/Material Type** changed from tires to Unknown, **Funding agency** changed from BFAR to ADB, Overseas Economic Cooperation Fund of Japan , **Total units** changed from 2 tire units to"&amp;" Unknown, **Implementing institution** changed from BFAR to DA, **Partners_public** changed from Ministry of Human Settlements to MLGU, **Reference** changed from Technical Report to Balgos, M.C. (1995). Evaluation of artificial reef development in the Ph"&amp;"ilippines. In Munro, J.L. &amp; Balgos, M. (eds.) Artificial reefs in the Philippines. ICLARM Conf. Proc. 49, pp. 6-22., **Website** changed from https://www.ircwash.org/sites/default/files/802-PH90-8920.pdf to https://core.ac.uk/download/pdf/6515223.pdf; htt"&amp;"ps://www.ircwash.org/sites/default/files/802-PH90-8920.pdf, **Contact_name** changed from Unknown to Miriam Balgos")</f>
        <v>**Restoration_project** changed from Artificial Reef Development Program to Fisheries Sector Program, **Restoration_project_short** changed from Calubcub II to Unknown, **Year of establishment** changed from 1984 to 1992, **Project Start** changed from Unknown to 1990, **Project End** changed from Unknown to 1994, **Technique/Material Type** changed from tires to Unknown, **Funding agency** changed from BFAR to ADB, Overseas Economic Cooperation Fund of Japan , **Total units** changed from 2 tire units to Unknown, **Implementing institution** changed from BFAR to DA, **Partners_public** changed from Ministry of Human Settlements to MLGU, **Reference** changed from Technical Report to Balgos, M.C. (1995). Evaluation of artificial reef development in the Philippines. In Munro, J.L. &amp; Balgos, M. (eds.) Artificial reefs in the Philippines. ICLARM Conf. Proc. 49, pp. 6-22., **Website** changed from https://www.ircwash.org/sites/default/files/802-PH90-8920.pdf to https://core.ac.uk/download/pdf/6515223.pdf; https://www.ircwash.org/sites/default/files/802-PH90-8920.pdf, **Contact_name** changed from Unknown to Miriam Balgos</v>
      </c>
      <c r="I280" s="153" t="s">
        <v>6689</v>
      </c>
      <c r="J280" s="153" t="s">
        <v>257</v>
      </c>
      <c r="K280" s="153" t="s">
        <v>497</v>
      </c>
      <c r="L280" s="153" t="s">
        <v>1391</v>
      </c>
      <c r="M280" s="181" t="s">
        <v>1392</v>
      </c>
      <c r="N280" s="153" t="s">
        <v>151</v>
      </c>
      <c r="O280" s="153" t="s">
        <v>1377</v>
      </c>
      <c r="P280" s="154" t="s">
        <v>149</v>
      </c>
      <c r="Q280" s="178">
        <v>1992.0</v>
      </c>
      <c r="R280" s="175" t="s">
        <v>6198</v>
      </c>
      <c r="S280" s="175" t="s">
        <v>6199</v>
      </c>
      <c r="T280" s="161" t="s">
        <v>150</v>
      </c>
      <c r="U280" s="153">
        <f>IFERROR(__xludf.DUMMYFUNCTION("""COMPUTED_VALUE"""),262.0)</f>
        <v>262</v>
      </c>
      <c r="V280" s="162" t="s">
        <v>3311</v>
      </c>
      <c r="W280" s="187" t="s">
        <v>149</v>
      </c>
      <c r="X280" s="184"/>
      <c r="Y280" s="184" t="s">
        <v>149</v>
      </c>
      <c r="Z280" s="158" t="s">
        <v>149</v>
      </c>
      <c r="AA280" s="158" t="s">
        <v>149</v>
      </c>
      <c r="AB280" s="158" t="s">
        <v>149</v>
      </c>
      <c r="AC280" s="153" t="s">
        <v>1381</v>
      </c>
      <c r="AD280" s="158" t="s">
        <v>6154</v>
      </c>
      <c r="AE280" s="158" t="s">
        <v>206</v>
      </c>
      <c r="AF280" s="158" t="s">
        <v>159</v>
      </c>
      <c r="AG280" s="164" t="s">
        <v>149</v>
      </c>
      <c r="AH280" s="158" t="s">
        <v>149</v>
      </c>
      <c r="AI280" s="158" t="s">
        <v>149</v>
      </c>
      <c r="AJ280" s="153" t="s">
        <v>660</v>
      </c>
      <c r="AK280" s="153" t="s">
        <v>6035</v>
      </c>
      <c r="AL280" s="153" t="s">
        <v>369</v>
      </c>
      <c r="AM280" s="154" t="s">
        <v>149</v>
      </c>
      <c r="AN280" s="154" t="s">
        <v>149</v>
      </c>
      <c r="AO280" s="156">
        <v>1.0</v>
      </c>
      <c r="AP280" s="156" t="s">
        <v>6037</v>
      </c>
      <c r="AQ280" s="158" t="s">
        <v>395</v>
      </c>
      <c r="AR280" s="153" t="s">
        <v>6060</v>
      </c>
      <c r="AS280" s="158" t="s">
        <v>397</v>
      </c>
      <c r="AT280" s="153" t="s">
        <v>398</v>
      </c>
      <c r="AU280" s="154" t="s">
        <v>149</v>
      </c>
    </row>
    <row r="281">
      <c r="A281" s="186">
        <v>140.0</v>
      </c>
      <c r="B281" s="152">
        <v>2023.0</v>
      </c>
      <c r="D281" s="152"/>
      <c r="E281" s="151">
        <v>140.0</v>
      </c>
      <c r="F281" s="129" t="s">
        <v>140</v>
      </c>
      <c r="G281" s="3" t="s">
        <v>6029</v>
      </c>
      <c r="H281" s="8" t="str">
        <f>IFERROR(__xludf.DUMMYFUNCTION("""COMPUTED_VALUE"""),"")</f>
        <v/>
      </c>
      <c r="I281" s="8" t="s">
        <v>6690</v>
      </c>
      <c r="J281" s="8" t="s">
        <v>257</v>
      </c>
      <c r="K281" s="8" t="s">
        <v>258</v>
      </c>
      <c r="L281" s="8" t="s">
        <v>491</v>
      </c>
      <c r="M281" s="153" t="s">
        <v>492</v>
      </c>
      <c r="N281" s="8" t="s">
        <v>151</v>
      </c>
      <c r="O281" s="8" t="s">
        <v>384</v>
      </c>
      <c r="P281" s="8" t="s">
        <v>6678</v>
      </c>
      <c r="Q281" s="142" t="s">
        <v>6052</v>
      </c>
      <c r="R281" s="142" t="s">
        <v>6052</v>
      </c>
      <c r="S281" s="142" t="s">
        <v>6053</v>
      </c>
      <c r="T281" s="8"/>
      <c r="U281" s="8">
        <f>IFERROR(__xludf.DUMMYFUNCTION("""COMPUTED_VALUE"""),263.0)</f>
        <v>263</v>
      </c>
      <c r="V281" s="8"/>
      <c r="W281" s="8"/>
      <c r="X281" s="8"/>
      <c r="Y281" s="8"/>
      <c r="AA281" s="8" t="s">
        <v>6054</v>
      </c>
      <c r="AB281" s="166" t="s">
        <v>149</v>
      </c>
      <c r="AC281" s="8" t="s">
        <v>390</v>
      </c>
      <c r="AG281" s="166" t="s">
        <v>149</v>
      </c>
      <c r="AH281" s="166" t="s">
        <v>149</v>
      </c>
      <c r="AI281" s="8" t="s">
        <v>495</v>
      </c>
      <c r="AJ281" s="8" t="s">
        <v>390</v>
      </c>
      <c r="AL281" s="8" t="s">
        <v>6055</v>
      </c>
      <c r="AM281" s="166" t="s">
        <v>149</v>
      </c>
      <c r="AN281" s="166" t="s">
        <v>149</v>
      </c>
      <c r="AO281" s="8"/>
      <c r="AP281" s="8"/>
      <c r="AR281" s="8" t="s">
        <v>6057</v>
      </c>
      <c r="AS281" s="8" t="s">
        <v>2873</v>
      </c>
      <c r="AT281" s="8" t="s">
        <v>398</v>
      </c>
      <c r="AU281" s="166" t="s">
        <v>149</v>
      </c>
    </row>
    <row r="282">
      <c r="A282" s="186">
        <v>141.0</v>
      </c>
      <c r="B282" s="152">
        <v>2025.0</v>
      </c>
      <c r="C282" s="153" t="str">
        <f>CONCATENATE(D282, "-", M282, "-", A282)
</f>
        <v>2023-PH045602000-141</v>
      </c>
      <c r="D282" s="152">
        <f>IF(OR(F281="Published", F281="Unpublished"), 2023, IF(F281="New", 2025, ""))
</f>
        <v>2023</v>
      </c>
      <c r="E282" s="151">
        <v>141.0</v>
      </c>
      <c r="F282" s="156" t="s">
        <v>140</v>
      </c>
      <c r="G282" s="156" t="s">
        <v>141</v>
      </c>
      <c r="H282" s="153" t="str">
        <f>IFERROR(__xludf.DUMMYFUNCTION("""COMPUTED_VALUE"""),"**Restoration_project** changed from Artificial Reef Development Program to Coral Reef Habitat and Productivity Enhancement through Coral Transplantation and Giant Clam Restocking, **Restoration_project_short** changed from Calubcub II to Unknown, **Year "&amp;"of establishment** changed from 1985 to 2001, **Project Start** changed from 1985 to 2001, **Project End** changed from 1987 to 2005, **Restoration method** changed from Artificial Reef to Asexual Reproduction, **Technique/Material Type** changed from tir"&amp;"es to Direct transplantation, **Restoration objective** changed from Unknown to Improve biodiversity and productivity of stressed coral reef habitats in 10 selected demonstration sites, **Funding agency** changed from BFAR to Pew Marine Conservation Fello"&amp;"wship, **Total units** changed from 36 TM; 5 payao to Unknown, **Implementing institution** changed from BFAR to UP MSI, **Partners_public** changed from Ministry of Human Settlements to Unknown, **Reference** changed from Conference Proceediing to Gomez,"&amp;" E., Cabaitan, P., &amp; Vicentuan, K. (2006). Coral culture and transplantation and restocking of giant clams in the Philippines. In J.H. Primavera, E.T. Quinitio, &amp; M. R. R. Eguia (Eds.). Proceedings of the Regional Technical Consultation on Stock Enhanceme"&amp;"nt for Threatened Species of International Concern, Iloilo City, Philippines, 13-15 July 2005 (pp. 39-48). Tigbaua, Iloilo, Philippines: Aquaculture Department, Southeast Asian Fisheries Development Center. Retrieved from https://aquadocs.org/bitstream/ha"&amp;"ndle/1834/40478/GomezED2006.pdf?sequence=1&amp;isAllowed=y, **Website** changed from http://pubs.iclarm.net/libinfo/Pdf/Pub%20CP6%2049.pdf to https://aquadocs.org/bitstream/handle/1834/40478/GomezED2006.pdf?sequence=1&amp;isAllowed=y, **Contact_name** changed fro"&amp;"m Miriam Balgos to Dr. Patrick Cabaitan")</f>
        <v>**Restoration_project** changed from Artificial Reef Development Program to Coral Reef Habitat and Productivity Enhancement through Coral Transplantation and Giant Clam Restocking, **Restoration_project_short** changed from Calubcub II to Unknown, **Year of establishment** changed from 1985 to 2001, **Project Start** changed from 1985 to 2001, **Project End** changed from 1987 to 2005, **Restoration method** changed from Artificial Reef to Asexual Reproduction, **Technique/Material Type** changed from tires to Direct transplantation, **Restoration objective** changed from Unknown to Improve biodiversity and productivity of stressed coral reef habitats in 10 selected demonstration sites, **Funding agency** changed from BFAR to Pew Marine Conservation Fellowship, **Total units** changed from 36 TM; 5 payao to Unknown, **Implementing institution** changed from BFAR to UP MSI, **Partners_public** changed from Ministry of Human Settlements to Unknown, **Reference** changed from Conference Proceediing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Dr. Patrick Cabaitan</v>
      </c>
      <c r="I282" s="153" t="s">
        <v>6691</v>
      </c>
      <c r="J282" s="153" t="s">
        <v>257</v>
      </c>
      <c r="K282" s="153" t="s">
        <v>497</v>
      </c>
      <c r="L282" s="153" t="s">
        <v>953</v>
      </c>
      <c r="M282" s="181" t="s">
        <v>954</v>
      </c>
      <c r="N282" s="153" t="s">
        <v>6062</v>
      </c>
      <c r="O282" s="153" t="s">
        <v>934</v>
      </c>
      <c r="P282" s="154" t="s">
        <v>149</v>
      </c>
      <c r="Q282" s="169">
        <v>2001.0</v>
      </c>
      <c r="R282" s="175" t="s">
        <v>6229</v>
      </c>
      <c r="S282" s="175" t="s">
        <v>6230</v>
      </c>
      <c r="T282" s="156" t="s">
        <v>177</v>
      </c>
      <c r="U282" s="153">
        <f>IFERROR(__xludf.DUMMYFUNCTION("""COMPUTED_VALUE"""),264.0)</f>
        <v>264</v>
      </c>
      <c r="V282" s="191" t="s">
        <v>3245</v>
      </c>
      <c r="W282" s="179" t="s">
        <v>149</v>
      </c>
      <c r="X282" s="180"/>
      <c r="Y282" s="180" t="s">
        <v>154</v>
      </c>
      <c r="Z282" s="158" t="s">
        <v>179</v>
      </c>
      <c r="AA282" s="153" t="s">
        <v>3245</v>
      </c>
      <c r="AB282" s="153" t="s">
        <v>939</v>
      </c>
      <c r="AC282" s="153" t="s">
        <v>940</v>
      </c>
      <c r="AD282" s="158" t="s">
        <v>6154</v>
      </c>
      <c r="AE282" s="158" t="s">
        <v>206</v>
      </c>
      <c r="AF282" s="158" t="s">
        <v>204</v>
      </c>
      <c r="AG282" s="164" t="s">
        <v>149</v>
      </c>
      <c r="AH282" s="158" t="s">
        <v>149</v>
      </c>
      <c r="AI282" s="158" t="s">
        <v>149</v>
      </c>
      <c r="AJ282" s="153" t="s">
        <v>233</v>
      </c>
      <c r="AK282" s="158" t="s">
        <v>6068</v>
      </c>
      <c r="AL282" s="154" t="s">
        <v>149</v>
      </c>
      <c r="AM282" s="154" t="s">
        <v>149</v>
      </c>
      <c r="AN282" s="154" t="s">
        <v>149</v>
      </c>
      <c r="AO282" s="156">
        <v>1.0</v>
      </c>
      <c r="AP282" s="156" t="s">
        <v>6037</v>
      </c>
      <c r="AQ282" s="158" t="s">
        <v>6214</v>
      </c>
      <c r="AR282" s="153" t="s">
        <v>941</v>
      </c>
      <c r="AS282" s="172" t="s">
        <v>942</v>
      </c>
      <c r="AT282" s="153" t="s">
        <v>943</v>
      </c>
      <c r="AU282" s="154" t="s">
        <v>149</v>
      </c>
    </row>
    <row r="283">
      <c r="A283" s="186">
        <v>141.0</v>
      </c>
      <c r="B283" s="152">
        <v>2023.0</v>
      </c>
      <c r="D283" s="152"/>
      <c r="E283" s="151">
        <v>141.0</v>
      </c>
      <c r="F283" s="129" t="s">
        <v>140</v>
      </c>
      <c r="G283" s="3" t="s">
        <v>6029</v>
      </c>
      <c r="H283" s="8" t="str">
        <f>IFERROR(__xludf.DUMMYFUNCTION("""COMPUTED_VALUE"""),"")</f>
        <v/>
      </c>
      <c r="I283" s="8" t="s">
        <v>6692</v>
      </c>
      <c r="J283" s="8" t="s">
        <v>257</v>
      </c>
      <c r="K283" s="8" t="s">
        <v>258</v>
      </c>
      <c r="L283" s="8" t="s">
        <v>491</v>
      </c>
      <c r="M283" s="153" t="s">
        <v>492</v>
      </c>
      <c r="N283" s="8" t="s">
        <v>151</v>
      </c>
      <c r="O283" s="8" t="s">
        <v>1377</v>
      </c>
      <c r="P283" s="166" t="s">
        <v>149</v>
      </c>
      <c r="Q283" s="166" t="s">
        <v>149</v>
      </c>
      <c r="R283" s="142" t="s">
        <v>6198</v>
      </c>
      <c r="S283" s="142" t="s">
        <v>6199</v>
      </c>
      <c r="T283" s="8"/>
      <c r="U283" s="8">
        <f>IFERROR(__xludf.DUMMYFUNCTION("""COMPUTED_VALUE"""),265.0)</f>
        <v>265</v>
      </c>
      <c r="V283" s="8"/>
      <c r="W283" s="166"/>
      <c r="X283" s="8"/>
      <c r="Y283" s="8"/>
      <c r="AA283" s="166" t="s">
        <v>149</v>
      </c>
      <c r="AB283" s="166" t="s">
        <v>149</v>
      </c>
      <c r="AC283" s="8" t="s">
        <v>1381</v>
      </c>
      <c r="AG283" s="166" t="s">
        <v>149</v>
      </c>
      <c r="AH283" s="166" t="s">
        <v>149</v>
      </c>
      <c r="AI283" s="166" t="s">
        <v>149</v>
      </c>
      <c r="AJ283" s="8" t="s">
        <v>660</v>
      </c>
      <c r="AL283" s="8" t="s">
        <v>369</v>
      </c>
      <c r="AM283" s="166" t="s">
        <v>149</v>
      </c>
      <c r="AN283" s="166" t="s">
        <v>149</v>
      </c>
      <c r="AO283" s="8"/>
      <c r="AP283" s="8"/>
      <c r="AR283" s="8" t="s">
        <v>395</v>
      </c>
      <c r="AS283" s="8" t="s">
        <v>2873</v>
      </c>
      <c r="AT283" s="8" t="s">
        <v>398</v>
      </c>
      <c r="AU283" s="166" t="s">
        <v>149</v>
      </c>
    </row>
    <row r="284">
      <c r="A284" s="186">
        <v>142.0</v>
      </c>
      <c r="B284" s="152">
        <v>2025.0</v>
      </c>
      <c r="C284" s="153" t="str">
        <f>CONCATENATE(D284, "-", M284, "-", A284)
</f>
        <v>2023-PH045603000-142</v>
      </c>
      <c r="D284" s="152">
        <f>IF(OR(F283="Published", F283="Unpublished"), 2023, IF(F283="New", 2025, ""))
</f>
        <v>2023</v>
      </c>
      <c r="E284" s="151">
        <v>142.0</v>
      </c>
      <c r="F284" s="156" t="s">
        <v>140</v>
      </c>
      <c r="G284" s="156" t="s">
        <v>141</v>
      </c>
      <c r="H284" s="153" t="str">
        <f>IFERROR(__xludf.DUMMYFUNCTION("""COMPUTED_VALUE"""),"**Restoration_project** changed from Fisheries Sector Program to Artificial Reef Development Program, **Restoration_project_short** changed from Unknown to Site in Caridad, **Year of establishment** changed from Unknown to 1986, **Project Start** changed "&amp;"from 1990 to 1985, **Project End** changed from 1994 to 1987, **Technique/Material Type** changed from Unknown to tires, **Funding agency** changed from ADB, Overseas Economic Cooperation Fund of Japan to BFAR, **Total units** changed from Unknown to 10 T"&amp;"M, **Implementing institution** changed from DA to BFAR, **Partners_public** changed from MLGU to Ministry of Human Settlements, **Reference** changed from Conference Proceeding to Balgos, M.C. (1995). Evaluation of artificial reef development in the Phil"&amp;"ippines. In Munro, J.L. &amp; Balgos, M. (eds.) Artificial reefs in the Philippines. ICLARM Conf. Proc. 49, pp. 6-22., **Website** changed from http://pubs.iclarm.net/libinfo/Pdf/Pub%20CP6%2049.pdf to https://core.ac.uk/download/pdf/6515223.pdf; https://www.i"&amp;"rcwash.org/sites/default/files/802-PH90-8920.pdf")</f>
        <v>**Restoration_project** changed from Fisheries Sector Program to Artificial Reef Development Program, **Restoration_project_short** changed from Unknown to Site in Caridad,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10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84" s="153" t="s">
        <v>6693</v>
      </c>
      <c r="J284" s="153" t="s">
        <v>257</v>
      </c>
      <c r="K284" s="153" t="s">
        <v>497</v>
      </c>
      <c r="L284" s="153" t="s">
        <v>498</v>
      </c>
      <c r="M284" s="181" t="s">
        <v>499</v>
      </c>
      <c r="N284" s="153" t="s">
        <v>151</v>
      </c>
      <c r="O284" s="153" t="s">
        <v>384</v>
      </c>
      <c r="P284" s="153" t="s">
        <v>500</v>
      </c>
      <c r="Q284" s="169">
        <v>1986.0</v>
      </c>
      <c r="R284" s="175" t="s">
        <v>6052</v>
      </c>
      <c r="S284" s="175" t="s">
        <v>6053</v>
      </c>
      <c r="T284" s="161" t="s">
        <v>150</v>
      </c>
      <c r="U284" s="153">
        <f>IFERROR(__xludf.DUMMYFUNCTION("""COMPUTED_VALUE"""),266.0)</f>
        <v>266</v>
      </c>
      <c r="V284" s="162" t="s">
        <v>3311</v>
      </c>
      <c r="W284" s="170" t="s">
        <v>6059</v>
      </c>
      <c r="X284" s="28" t="s">
        <v>6033</v>
      </c>
      <c r="Y284" s="28" t="s">
        <v>386</v>
      </c>
      <c r="Z284" s="176" t="s">
        <v>386</v>
      </c>
      <c r="AA284" s="153" t="s">
        <v>6054</v>
      </c>
      <c r="AB284" s="158" t="s">
        <v>149</v>
      </c>
      <c r="AC284" s="153" t="s">
        <v>390</v>
      </c>
      <c r="AD284" s="158" t="s">
        <v>160</v>
      </c>
      <c r="AE284" s="158" t="s">
        <v>6035</v>
      </c>
      <c r="AF284" s="158" t="s">
        <v>159</v>
      </c>
      <c r="AG284" s="164" t="s">
        <v>149</v>
      </c>
      <c r="AH284" s="158" t="s">
        <v>149</v>
      </c>
      <c r="AI284" s="153" t="s">
        <v>391</v>
      </c>
      <c r="AJ284" s="153" t="s">
        <v>390</v>
      </c>
      <c r="AK284" s="153" t="s">
        <v>6035</v>
      </c>
      <c r="AL284" s="153" t="s">
        <v>6055</v>
      </c>
      <c r="AM284" s="154" t="s">
        <v>149</v>
      </c>
      <c r="AN284" s="154" t="s">
        <v>149</v>
      </c>
      <c r="AO284" s="156">
        <v>1.0</v>
      </c>
      <c r="AP284" s="156" t="s">
        <v>6037</v>
      </c>
      <c r="AQ284" s="158" t="s">
        <v>395</v>
      </c>
      <c r="AR284" s="153" t="s">
        <v>6060</v>
      </c>
      <c r="AS284" s="158" t="s">
        <v>397</v>
      </c>
      <c r="AT284" s="153" t="s">
        <v>398</v>
      </c>
      <c r="AU284" s="154" t="s">
        <v>149</v>
      </c>
    </row>
    <row r="285">
      <c r="A285" s="186">
        <v>142.0</v>
      </c>
      <c r="B285" s="152">
        <v>2023.0</v>
      </c>
      <c r="D285" s="152"/>
      <c r="E285" s="151">
        <v>142.0</v>
      </c>
      <c r="F285" s="129" t="s">
        <v>140</v>
      </c>
      <c r="G285" s="3" t="s">
        <v>6029</v>
      </c>
      <c r="H285" s="8" t="str">
        <f>IFERROR(__xludf.DUMMYFUNCTION("""COMPUTED_VALUE"""),"")</f>
        <v/>
      </c>
      <c r="I285" s="8" t="s">
        <v>6694</v>
      </c>
      <c r="J285" s="8" t="s">
        <v>257</v>
      </c>
      <c r="K285" s="8" t="s">
        <v>258</v>
      </c>
      <c r="L285" s="8" t="s">
        <v>491</v>
      </c>
      <c r="M285" s="153" t="s">
        <v>492</v>
      </c>
      <c r="N285" s="8" t="s">
        <v>6062</v>
      </c>
      <c r="O285" s="8" t="s">
        <v>1174</v>
      </c>
      <c r="P285" s="166" t="s">
        <v>149</v>
      </c>
      <c r="Q285" s="166" t="s">
        <v>149</v>
      </c>
      <c r="R285" s="142" t="s">
        <v>6151</v>
      </c>
      <c r="S285" s="142" t="s">
        <v>6089</v>
      </c>
      <c r="T285" s="8"/>
      <c r="U285" s="8">
        <f>IFERROR(__xludf.DUMMYFUNCTION("""COMPUTED_VALUE"""),267.0)</f>
        <v>267</v>
      </c>
      <c r="V285" s="8"/>
      <c r="W285" s="8"/>
      <c r="X285" s="8"/>
      <c r="Y285" s="8"/>
      <c r="AA285" s="8" t="s">
        <v>320</v>
      </c>
      <c r="AB285" s="166" t="s">
        <v>149</v>
      </c>
      <c r="AC285" s="8" t="s">
        <v>321</v>
      </c>
      <c r="AG285" s="166" t="s">
        <v>149</v>
      </c>
      <c r="AH285" s="166" t="s">
        <v>149</v>
      </c>
      <c r="AI285" s="8" t="s">
        <v>6695</v>
      </c>
      <c r="AJ285" s="8" t="s">
        <v>885</v>
      </c>
      <c r="AL285" s="8" t="s">
        <v>1259</v>
      </c>
      <c r="AM285" s="166" t="s">
        <v>149</v>
      </c>
      <c r="AN285" s="166" t="s">
        <v>149</v>
      </c>
      <c r="AO285" s="8"/>
      <c r="AP285" s="8"/>
      <c r="AR285" s="8" t="s">
        <v>6069</v>
      </c>
      <c r="AS285" s="166" t="s">
        <v>149</v>
      </c>
      <c r="AT285" s="166" t="s">
        <v>149</v>
      </c>
      <c r="AU285" s="166" t="s">
        <v>149</v>
      </c>
    </row>
    <row r="286">
      <c r="A286" s="186">
        <v>143.0</v>
      </c>
      <c r="B286" s="152">
        <v>2025.0</v>
      </c>
      <c r="C286" s="153" t="str">
        <f>CONCATENATE(D286, "-", M286, "-", A286)
</f>
        <v>2023-PH045603000-143</v>
      </c>
      <c r="D286" s="152">
        <f>IF(OR(F285="Published", F285="Unpublished"), 2023, IF(F285="New", 2025, ""))
</f>
        <v>2023</v>
      </c>
      <c r="E286" s="151">
        <v>143.0</v>
      </c>
      <c r="F286" s="156" t="s">
        <v>140</v>
      </c>
      <c r="G286" s="156" t="s">
        <v>141</v>
      </c>
      <c r="H286" s="153" t="str">
        <f>IFERROR(__xludf.DUMMYFUNCTION("""COMPUTED_VALUE"""),"**Restoration_project** changed from Filipinnovation on Coral Reef Restoration to Artificial Reef Development Program, **Restoration_project_short** changed from Unknown to Site in Lumutan, **Year of establishment** changed from Unknown to 1986, **Project"&amp;" Start** changed from 2012 to 1985, **Project End** changed from 2013 to 1987, **Restoration method** changed from Asexual Reproduction to Artificial Reef, **Technique/Material Type** changed from CNU to tires, **Funding agency** changed from DOST-PCAARRD"&amp;" to BFAR, **Total units** changed from 22 CNUs/4,440 COPs to 3 TM, **Implementing institution** changed from University of San Carlos to BFAR, **Partners_public** changed from Batangas State University to Ministry of Human Settlements, **Reference** chang"&amp;"ed from Briefer Report to Balgos, M.C. (1995). Evaluation of artificial reef development in the Philippines. In Munro, J.L. &amp; Balgos, M. (eds.) Artificial reefs in the Philippines. ICLARM Conf. Proc. 49, pp. 6-22., **Website** changed from Unknown to http"&amp;"s://core.ac.uk/download/pdf/6515223.pdf; https://www.ircwash.org/sites/default/files/802-PH90-8920.pdf, **Contact_name** changed from Unknown to Miriam Balgos")</f>
        <v>**Restoration_project** changed from Filipinnovation on Coral Reef Restoration to Artificial Reef Development Program, **Restoration_project_short** changed from Unknown to Site in Lumutan, **Year of establishment** changed from Unknown to 1986, **Project Start** changed from 2012 to 1985, **Project End** changed from 2013 to 1987, **Restoration method** changed from Asexual Reproduction to Artificial Reef, **Technique/Material Type** changed from CNU to tires, **Funding agency** changed from DOST-PCAARRD to BFAR, **Total units** changed from 22 CNUs/4,440 COPs to 3 TM, **Implementing institution** changed from University of San Carlos to BFAR, **Partners_public** changed from Batangas State University to Ministry of Human Settlements, **Reference** changed from Briefer Report to Balgos, M.C. (1995). Evaluation of artificial reef development in the Philippines. In Munro, J.L. &amp; Balgos, M. (eds.) Artificial reefs in the Philippines. ICLARM Conf. Proc. 49, pp. 6-22., **Website** changed from Unknown to https://core.ac.uk/download/pdf/6515223.pdf; https://www.ircwash.org/sites/default/files/802-PH90-8920.pdf, **Contact_name** changed from Unknown to Miriam Balgos</v>
      </c>
      <c r="I286" s="153" t="s">
        <v>6696</v>
      </c>
      <c r="J286" s="153" t="s">
        <v>257</v>
      </c>
      <c r="K286" s="153" t="s">
        <v>497</v>
      </c>
      <c r="L286" s="153" t="s">
        <v>498</v>
      </c>
      <c r="M286" s="157" t="s">
        <v>499</v>
      </c>
      <c r="N286" s="153" t="s">
        <v>151</v>
      </c>
      <c r="O286" s="153" t="s">
        <v>384</v>
      </c>
      <c r="P286" s="153" t="s">
        <v>502</v>
      </c>
      <c r="Q286" s="182">
        <v>1986.0</v>
      </c>
      <c r="R286" s="175" t="s">
        <v>6052</v>
      </c>
      <c r="S286" s="175" t="s">
        <v>6053</v>
      </c>
      <c r="T286" s="161" t="s">
        <v>150</v>
      </c>
      <c r="U286" s="153">
        <f>IFERROR(__xludf.DUMMYFUNCTION("""COMPUTED_VALUE"""),268.0)</f>
        <v>268</v>
      </c>
      <c r="V286" s="162" t="s">
        <v>3311</v>
      </c>
      <c r="W286" s="170" t="s">
        <v>6059</v>
      </c>
      <c r="X286" s="28" t="s">
        <v>6033</v>
      </c>
      <c r="Y286" s="28" t="s">
        <v>386</v>
      </c>
      <c r="Z286" s="176" t="s">
        <v>386</v>
      </c>
      <c r="AA286" s="153" t="s">
        <v>6054</v>
      </c>
      <c r="AB286" s="158" t="s">
        <v>149</v>
      </c>
      <c r="AC286" s="153" t="s">
        <v>390</v>
      </c>
      <c r="AD286" s="158" t="s">
        <v>160</v>
      </c>
      <c r="AE286" s="158" t="s">
        <v>6035</v>
      </c>
      <c r="AF286" s="158" t="s">
        <v>159</v>
      </c>
      <c r="AG286" s="164" t="s">
        <v>149</v>
      </c>
      <c r="AH286" s="158" t="s">
        <v>149</v>
      </c>
      <c r="AI286" s="153" t="s">
        <v>503</v>
      </c>
      <c r="AJ286" s="153" t="s">
        <v>390</v>
      </c>
      <c r="AK286" s="153" t="s">
        <v>6035</v>
      </c>
      <c r="AL286" s="153" t="s">
        <v>6055</v>
      </c>
      <c r="AM286" s="154" t="s">
        <v>149</v>
      </c>
      <c r="AN286" s="154" t="s">
        <v>149</v>
      </c>
      <c r="AO286" s="156">
        <v>1.0</v>
      </c>
      <c r="AP286" s="156" t="s">
        <v>6037</v>
      </c>
      <c r="AQ286" s="158" t="s">
        <v>395</v>
      </c>
      <c r="AR286" s="153" t="s">
        <v>6060</v>
      </c>
      <c r="AS286" s="158" t="s">
        <v>397</v>
      </c>
      <c r="AT286" s="153" t="s">
        <v>398</v>
      </c>
      <c r="AU286" s="154" t="s">
        <v>149</v>
      </c>
    </row>
    <row r="287">
      <c r="A287" s="186">
        <v>143.0</v>
      </c>
      <c r="B287" s="152">
        <v>2023.0</v>
      </c>
      <c r="D287" s="152"/>
      <c r="E287" s="151">
        <v>143.0</v>
      </c>
      <c r="F287" s="129" t="s">
        <v>140</v>
      </c>
      <c r="G287" s="3" t="s">
        <v>6029</v>
      </c>
      <c r="H287" s="8" t="str">
        <f>IFERROR(__xludf.DUMMYFUNCTION("""COMPUTED_VALUE"""),"")</f>
        <v/>
      </c>
      <c r="I287" s="8" t="s">
        <v>6697</v>
      </c>
      <c r="J287" s="8" t="s">
        <v>257</v>
      </c>
      <c r="K287" s="8" t="s">
        <v>258</v>
      </c>
      <c r="L287" s="8" t="s">
        <v>2047</v>
      </c>
      <c r="M287" s="153" t="s">
        <v>2048</v>
      </c>
      <c r="N287" s="8" t="s">
        <v>151</v>
      </c>
      <c r="O287" s="8" t="s">
        <v>6144</v>
      </c>
      <c r="P287" s="166" t="s">
        <v>149</v>
      </c>
      <c r="Q287" s="142" t="s">
        <v>6098</v>
      </c>
      <c r="R287" s="166" t="s">
        <v>149</v>
      </c>
      <c r="S287" s="166" t="s">
        <v>149</v>
      </c>
      <c r="T287" s="8"/>
      <c r="U287" s="8">
        <f>IFERROR(__xludf.DUMMYFUNCTION("""COMPUTED_VALUE"""),269.0)</f>
        <v>269</v>
      </c>
      <c r="V287" s="8"/>
      <c r="W287" s="166"/>
      <c r="X287" s="8"/>
      <c r="Y287" s="8"/>
      <c r="AA287" s="166" t="s">
        <v>149</v>
      </c>
      <c r="AB287" s="8" t="s">
        <v>6698</v>
      </c>
      <c r="AC287" s="8" t="s">
        <v>2038</v>
      </c>
      <c r="AG287" s="166" t="s">
        <v>149</v>
      </c>
      <c r="AH287" s="166" t="s">
        <v>149</v>
      </c>
      <c r="AI287" s="166" t="s">
        <v>149</v>
      </c>
      <c r="AJ287" s="8" t="s">
        <v>369</v>
      </c>
      <c r="AL287" s="8" t="s">
        <v>341</v>
      </c>
      <c r="AM287" s="8" t="s">
        <v>2054</v>
      </c>
      <c r="AN287" s="166" t="s">
        <v>149</v>
      </c>
      <c r="AO287" s="8"/>
      <c r="AP287" s="8"/>
      <c r="AR287" s="8" t="s">
        <v>6091</v>
      </c>
      <c r="AS287" s="172" t="s">
        <v>2056</v>
      </c>
      <c r="AT287" s="166" t="s">
        <v>149</v>
      </c>
      <c r="AU287" s="166" t="s">
        <v>149</v>
      </c>
    </row>
    <row r="288">
      <c r="A288" s="186">
        <v>144.0</v>
      </c>
      <c r="B288" s="152">
        <v>2025.0</v>
      </c>
      <c r="C288" s="153" t="str">
        <f>CONCATENATE(D288, "-", M288, "-", A288)
</f>
        <v>2023-PH045603000-144</v>
      </c>
      <c r="D288" s="152">
        <f>IF(OR(F287="Published", F287="Unpublished"), 2023, IF(F287="New", 2025, ""))
</f>
        <v>2023</v>
      </c>
      <c r="E288" s="151">
        <v>144.0</v>
      </c>
      <c r="F288" s="156" t="s">
        <v>140</v>
      </c>
      <c r="G288" s="156" t="s">
        <v>141</v>
      </c>
      <c r="H288" s="153" t="str">
        <f>IFERROR(__xludf.DUMMYFUNCTION("""COMPUTED_VALUE"""),"**Restoration_project** changed from Sea of Life: Underwater Museum Project to Unknown, **Year of establishment** changed from 2018 to 2005, **Technique/Material Type** changed from Unknown to Concrete; shaped into a giant Rotary wheel, **Restoration obje"&amp;"ctive** changed from Revive marine life, protect beach, boot ecoutourism to Restore local fisheries, **Funding agency** changed from JCI Manila to Rotary Foundation, **Total area of restoration** changed from Unknown to 4 x 21 m, **Total units** changed f"&amp;"rom Unknown to 1 unit, **Implementing institution** changed from MLGU to Rotary Club of Atimonan, **Partners_public** changed from DENR to Unknown, **Partners_private** changed from Gold Seas Tuna Chunks to Rotary Club of Madera, California, **Reference**"&amp;" changed from Blog to Cahilig, Q. (n.d.). A giant artificial reef in the shape of a Rotary wheel restores marine life and protects the livelihood of several fishing villages in the Philippines. Rotary. https://www.rotary.org/en/giant-rotary-wheel-haven-fi"&amp;"sh-philippines, **Website** changed from https://www.lemongreenteaph.com/2018/11/jci-manila-and-gold-seas-tuna-chunks.html to https://www.rotary.org/en/giant-rotary-wheel-haven-fish-philippines")</f>
        <v>**Restoration_project** changed from Sea of Life: Underwater Museum Project to Unknown, **Year of establishment** changed from 2018 to 2005, **Technique/Material Type** changed from Unknown to Concrete; shaped into a giant Rotary wheel, **Restoration objective** changed from Revive marine life, protect beach, boot ecoutourism to Restore local fisheries, **Funding agency** changed from JCI Manila to Rotary Foundation, **Total area of restoration** changed from Unknown to 4 x 21 m, **Total units** changed from Unknown to 1 unit, **Implementing institution** changed from MLGU to Rotary Club of Atimonan, **Partners_public** changed from DENR to Unknown, **Partners_private** changed from Gold Seas Tuna Chunks to Rotary Club of Madera, California, **Reference** changed from Blog to Cahilig, Q. (n.d.). A giant artificial reef in the shape of a Rotary wheel restores marine life and protects the livelihood of several fishing villages in the Philippines. Rotary. https://www.rotary.org/en/giant-rotary-wheel-haven-fish-philippines, **Website** changed from https://www.lemongreenteaph.com/2018/11/jci-manila-and-gold-seas-tuna-chunks.html to https://www.rotary.org/en/giant-rotary-wheel-haven-fish-philippines</v>
      </c>
      <c r="I288" s="153" t="s">
        <v>6699</v>
      </c>
      <c r="J288" s="153" t="s">
        <v>257</v>
      </c>
      <c r="K288" s="153" t="s">
        <v>497</v>
      </c>
      <c r="L288" s="153" t="s">
        <v>498</v>
      </c>
      <c r="M288" s="181" t="s">
        <v>499</v>
      </c>
      <c r="N288" s="153" t="s">
        <v>151</v>
      </c>
      <c r="O288" s="158" t="s">
        <v>149</v>
      </c>
      <c r="P288" s="154" t="s">
        <v>149</v>
      </c>
      <c r="Q288" s="169">
        <v>2005.0</v>
      </c>
      <c r="R288" s="160" t="s">
        <v>149</v>
      </c>
      <c r="S288" s="160" t="s">
        <v>149</v>
      </c>
      <c r="T288" s="161" t="s">
        <v>150</v>
      </c>
      <c r="U288" s="153">
        <f>IFERROR(__xludf.DUMMYFUNCTION("""COMPUTED_VALUE"""),270.0)</f>
        <v>270</v>
      </c>
      <c r="V288" s="162" t="s">
        <v>3311</v>
      </c>
      <c r="W288" s="184" t="s">
        <v>6032</v>
      </c>
      <c r="X288" s="28" t="s">
        <v>6033</v>
      </c>
      <c r="Y288" s="32" t="s">
        <v>2049</v>
      </c>
      <c r="Z288" s="158" t="s">
        <v>2386</v>
      </c>
      <c r="AA288" s="158" t="s">
        <v>2386</v>
      </c>
      <c r="AB288" s="153" t="s">
        <v>6700</v>
      </c>
      <c r="AC288" s="158" t="s">
        <v>2388</v>
      </c>
      <c r="AD288" s="158" t="s">
        <v>6154</v>
      </c>
      <c r="AE288" s="158" t="s">
        <v>306</v>
      </c>
      <c r="AF288" s="158" t="s">
        <v>159</v>
      </c>
      <c r="AG288" s="164" t="s">
        <v>149</v>
      </c>
      <c r="AH288" s="158" t="s">
        <v>6701</v>
      </c>
      <c r="AI288" s="158" t="s">
        <v>2390</v>
      </c>
      <c r="AJ288" s="153" t="s">
        <v>2391</v>
      </c>
      <c r="AK288" s="153" t="s">
        <v>271</v>
      </c>
      <c r="AL288" s="154" t="s">
        <v>149</v>
      </c>
      <c r="AM288" s="158" t="s">
        <v>6702</v>
      </c>
      <c r="AN288" s="154" t="s">
        <v>149</v>
      </c>
      <c r="AO288" s="156">
        <v>1.0</v>
      </c>
      <c r="AP288" s="156" t="s">
        <v>6037</v>
      </c>
      <c r="AQ288" s="158" t="s">
        <v>6027</v>
      </c>
      <c r="AR288" s="153" t="s">
        <v>2393</v>
      </c>
      <c r="AS288" s="165" t="s">
        <v>2394</v>
      </c>
      <c r="AT288" s="154" t="s">
        <v>149</v>
      </c>
      <c r="AU288" s="154" t="s">
        <v>149</v>
      </c>
    </row>
    <row r="289">
      <c r="A289" s="186">
        <v>144.0</v>
      </c>
      <c r="B289" s="152">
        <v>2023.0</v>
      </c>
      <c r="D289" s="152"/>
      <c r="E289" s="151">
        <v>144.0</v>
      </c>
      <c r="F289" s="129" t="s">
        <v>140</v>
      </c>
      <c r="G289" s="3" t="s">
        <v>6029</v>
      </c>
      <c r="H289" s="8" t="str">
        <f>IFERROR(__xludf.DUMMYFUNCTION("""COMPUTED_VALUE"""),"")</f>
        <v/>
      </c>
      <c r="I289" s="8" t="s">
        <v>6703</v>
      </c>
      <c r="J289" s="8" t="s">
        <v>257</v>
      </c>
      <c r="K289" s="8" t="s">
        <v>258</v>
      </c>
      <c r="L289" s="8" t="s">
        <v>447</v>
      </c>
      <c r="M289" s="153" t="s">
        <v>4223</v>
      </c>
      <c r="N289" s="8" t="s">
        <v>151</v>
      </c>
      <c r="O289" s="8" t="s">
        <v>6704</v>
      </c>
      <c r="P289" s="166" t="s">
        <v>149</v>
      </c>
      <c r="Q289" s="142" t="s">
        <v>6404</v>
      </c>
      <c r="R289" s="142" t="s">
        <v>6404</v>
      </c>
      <c r="S289" s="142" t="s">
        <v>6151</v>
      </c>
      <c r="T289" s="8"/>
      <c r="U289" s="8">
        <f>IFERROR(__xludf.DUMMYFUNCTION("""COMPUTED_VALUE"""),271.0)</f>
        <v>271</v>
      </c>
      <c r="V289" s="8"/>
      <c r="W289" s="3"/>
      <c r="X289" s="8"/>
      <c r="Y289" s="8"/>
      <c r="AA289" s="3" t="s">
        <v>851</v>
      </c>
      <c r="AB289" s="8" t="s">
        <v>6705</v>
      </c>
      <c r="AC289" s="166" t="s">
        <v>149</v>
      </c>
      <c r="AG289" s="166" t="s">
        <v>149</v>
      </c>
      <c r="AH289" s="166" t="s">
        <v>149</v>
      </c>
      <c r="AI289" s="166" t="s">
        <v>149</v>
      </c>
      <c r="AJ289" s="8" t="s">
        <v>724</v>
      </c>
      <c r="AL289" s="166" t="s">
        <v>149</v>
      </c>
      <c r="AM289" s="8" t="s">
        <v>1934</v>
      </c>
      <c r="AN289" s="166" t="s">
        <v>149</v>
      </c>
      <c r="AO289" s="8"/>
      <c r="AP289" s="8"/>
      <c r="AR289" s="8" t="s">
        <v>6517</v>
      </c>
      <c r="AS289" s="172" t="s">
        <v>6706</v>
      </c>
      <c r="AT289" s="166" t="s">
        <v>149</v>
      </c>
      <c r="AU289" s="166" t="s">
        <v>149</v>
      </c>
    </row>
    <row r="290">
      <c r="A290" s="186">
        <v>145.0</v>
      </c>
      <c r="B290" s="152">
        <v>2023.0</v>
      </c>
      <c r="D290" s="152"/>
      <c r="E290" s="151">
        <v>145.0</v>
      </c>
      <c r="F290" s="129" t="s">
        <v>140</v>
      </c>
      <c r="G290" s="3" t="s">
        <v>6029</v>
      </c>
      <c r="H290" s="8" t="str">
        <f>IFERROR(__xludf.DUMMYFUNCTION("""COMPUTED_VALUE"""),"")</f>
        <v/>
      </c>
      <c r="I290" s="8" t="s">
        <v>6707</v>
      </c>
      <c r="J290" s="8" t="s">
        <v>257</v>
      </c>
      <c r="K290" s="8" t="s">
        <v>497</v>
      </c>
      <c r="L290" s="8" t="s">
        <v>1391</v>
      </c>
      <c r="M290" s="153" t="s">
        <v>1392</v>
      </c>
      <c r="N290" s="8" t="s">
        <v>151</v>
      </c>
      <c r="O290" s="8" t="s">
        <v>1377</v>
      </c>
      <c r="P290" s="154" t="s">
        <v>149</v>
      </c>
      <c r="Q290" s="154" t="s">
        <v>149</v>
      </c>
      <c r="R290" s="142" t="s">
        <v>6198</v>
      </c>
      <c r="S290" s="142" t="s">
        <v>6199</v>
      </c>
      <c r="T290" s="8"/>
      <c r="U290" s="8">
        <f>IFERROR(__xludf.DUMMYFUNCTION("""COMPUTED_VALUE"""),272.0)</f>
        <v>272</v>
      </c>
      <c r="V290" s="8"/>
      <c r="W290" s="154"/>
      <c r="X290" s="8"/>
      <c r="Y290" s="8"/>
      <c r="AA290" s="154" t="s">
        <v>149</v>
      </c>
      <c r="AB290" s="154" t="s">
        <v>149</v>
      </c>
      <c r="AC290" s="8" t="s">
        <v>1381</v>
      </c>
      <c r="AG290" s="154" t="s">
        <v>149</v>
      </c>
      <c r="AH290" s="154" t="s">
        <v>149</v>
      </c>
      <c r="AI290" s="154" t="s">
        <v>149</v>
      </c>
      <c r="AJ290" s="8" t="s">
        <v>660</v>
      </c>
      <c r="AL290" s="8" t="s">
        <v>369</v>
      </c>
      <c r="AM290" s="154" t="s">
        <v>149</v>
      </c>
      <c r="AN290" s="154" t="s">
        <v>149</v>
      </c>
      <c r="AO290" s="8"/>
      <c r="AP290" s="8"/>
      <c r="AR290" s="8" t="s">
        <v>395</v>
      </c>
      <c r="AS290" s="8" t="s">
        <v>2873</v>
      </c>
      <c r="AT290" s="8" t="s">
        <v>398</v>
      </c>
      <c r="AU290" s="154" t="s">
        <v>149</v>
      </c>
    </row>
    <row r="291">
      <c r="A291" s="186">
        <v>145.0</v>
      </c>
      <c r="B291" s="152">
        <v>2025.0</v>
      </c>
      <c r="C291" s="153" t="str">
        <f>CONCATENATE(D291, "-", M291, "-", A291)
</f>
        <v>2023-PH045607000-145</v>
      </c>
      <c r="D291" s="152">
        <f>IF(OR(F290="Published", F290="Unpublished"), 2023, IF(F290="New", 2025, ""))
</f>
        <v>2023</v>
      </c>
      <c r="E291" s="151">
        <v>145.0</v>
      </c>
      <c r="F291" s="156" t="s">
        <v>140</v>
      </c>
      <c r="G291" s="156" t="s">
        <v>141</v>
      </c>
      <c r="H291" s="153" t="str">
        <f>IFERROR(__xludf.DUMMYFUNCTION("""COMPUTED_VALUE"""),"**Restoration_project** changed from Fisheries Sector Program to Artificial Reef Development Program, **Restoration_project_short** changed from Unknown to Site in Sabang, **Year of establishment** changed from Unknown to 1986, **Project Start** changed f"&amp;"rom 1990 to 1985, **Project End** changed from 1994 to 1987, **Technique/Material Type** changed from Unknown to tires, **Funding agency** changed from ADB, Overseas Economic Cooperation Fund of Japan to BFAR, **Total units** changed from Unknown to 4 TM,"&amp;" **Implementing institution** changed from DA to BFAR, **Partners_public** changed from MLGU to Ministry of Human Settlements, **Reference** changed from Conference Proceeding to Balgos, M.C. (1995). Evaluation of artificial reef development in the Philip"&amp;"pines. In Munro, J.L. &amp; Balgos, M. (eds.) Artificial reefs in the Philippines. ICLARM Conf. Proc. 49, pp. 6-22., **Website** changed from http://pubs.iclarm.net/libinfo/Pdf/Pub%20CP6%2049.pdf to https://core.ac.uk/download/pdf/6515223.pdf; https://www.irc"&amp;"wash.org/sites/default/files/802-PH90-8920.pdf")</f>
        <v>**Restoration_project** changed from Fisheries Sector Program to Artificial Reef Development Program, **Restoration_project_short** changed from Unknown to Site in Sabang,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4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291" s="153" t="s">
        <v>6708</v>
      </c>
      <c r="J291" s="153" t="s">
        <v>257</v>
      </c>
      <c r="K291" s="153" t="s">
        <v>497</v>
      </c>
      <c r="L291" s="153" t="s">
        <v>505</v>
      </c>
      <c r="M291" s="181" t="s">
        <v>506</v>
      </c>
      <c r="N291" s="153" t="s">
        <v>151</v>
      </c>
      <c r="O291" s="153" t="s">
        <v>384</v>
      </c>
      <c r="P291" s="153" t="s">
        <v>507</v>
      </c>
      <c r="Q291" s="169">
        <v>1986.0</v>
      </c>
      <c r="R291" s="175" t="s">
        <v>6052</v>
      </c>
      <c r="S291" s="175" t="s">
        <v>6053</v>
      </c>
      <c r="T291" s="161" t="s">
        <v>150</v>
      </c>
      <c r="U291" s="153">
        <f>IFERROR(__xludf.DUMMYFUNCTION("""COMPUTED_VALUE"""),273.0)</f>
        <v>273</v>
      </c>
      <c r="V291" s="162" t="s">
        <v>3311</v>
      </c>
      <c r="W291" s="170" t="s">
        <v>6059</v>
      </c>
      <c r="X291" s="28" t="s">
        <v>6033</v>
      </c>
      <c r="Y291" s="28" t="s">
        <v>386</v>
      </c>
      <c r="Z291" s="176" t="s">
        <v>386</v>
      </c>
      <c r="AA291" s="153" t="s">
        <v>6054</v>
      </c>
      <c r="AB291" s="158" t="s">
        <v>149</v>
      </c>
      <c r="AC291" s="153" t="s">
        <v>390</v>
      </c>
      <c r="AD291" s="158" t="s">
        <v>160</v>
      </c>
      <c r="AE291" s="158" t="s">
        <v>6035</v>
      </c>
      <c r="AF291" s="158" t="s">
        <v>159</v>
      </c>
      <c r="AG291" s="164" t="s">
        <v>149</v>
      </c>
      <c r="AH291" s="158" t="s">
        <v>149</v>
      </c>
      <c r="AI291" s="153" t="s">
        <v>508</v>
      </c>
      <c r="AJ291" s="153" t="s">
        <v>390</v>
      </c>
      <c r="AK291" s="153" t="s">
        <v>6035</v>
      </c>
      <c r="AL291" s="153" t="s">
        <v>6055</v>
      </c>
      <c r="AM291" s="154" t="s">
        <v>149</v>
      </c>
      <c r="AN291" s="154" t="s">
        <v>149</v>
      </c>
      <c r="AO291" s="156">
        <v>1.0</v>
      </c>
      <c r="AP291" s="156" t="s">
        <v>6037</v>
      </c>
      <c r="AQ291" s="158" t="s">
        <v>395</v>
      </c>
      <c r="AR291" s="153" t="s">
        <v>6060</v>
      </c>
      <c r="AS291" s="158" t="s">
        <v>397</v>
      </c>
      <c r="AT291" s="153" t="s">
        <v>398</v>
      </c>
      <c r="AU291" s="154" t="s">
        <v>149</v>
      </c>
    </row>
    <row r="292">
      <c r="A292" s="186">
        <v>146.0</v>
      </c>
      <c r="B292" s="152">
        <v>2023.0</v>
      </c>
      <c r="D292" s="152"/>
      <c r="E292" s="151">
        <v>146.0</v>
      </c>
      <c r="F292" s="129" t="s">
        <v>140</v>
      </c>
      <c r="G292" s="3" t="s">
        <v>6029</v>
      </c>
      <c r="H292" s="8" t="str">
        <f>IFERROR(__xludf.DUMMYFUNCTION("""COMPUTED_VALUE"""),"")</f>
        <v/>
      </c>
      <c r="I292" s="8" t="s">
        <v>6709</v>
      </c>
      <c r="J292" s="8" t="s">
        <v>257</v>
      </c>
      <c r="K292" s="8" t="s">
        <v>497</v>
      </c>
      <c r="L292" s="8" t="s">
        <v>953</v>
      </c>
      <c r="M292" s="198" t="s">
        <v>954</v>
      </c>
      <c r="N292" s="8" t="s">
        <v>6062</v>
      </c>
      <c r="O292" s="8" t="s">
        <v>934</v>
      </c>
      <c r="P292" s="154" t="s">
        <v>149</v>
      </c>
      <c r="Q292" s="142" t="s">
        <v>6229</v>
      </c>
      <c r="R292" s="142" t="s">
        <v>6229</v>
      </c>
      <c r="S292" s="142" t="s">
        <v>6230</v>
      </c>
      <c r="T292" s="8"/>
      <c r="U292" s="8">
        <f>IFERROR(__xludf.DUMMYFUNCTION("""COMPUTED_VALUE"""),274.0)</f>
        <v>274</v>
      </c>
      <c r="V292" s="8"/>
      <c r="W292" s="3"/>
      <c r="X292" s="8"/>
      <c r="Y292" s="8"/>
      <c r="AA292" s="3" t="s">
        <v>3245</v>
      </c>
      <c r="AB292" s="8" t="s">
        <v>939</v>
      </c>
      <c r="AC292" s="8" t="s">
        <v>940</v>
      </c>
      <c r="AG292" s="154" t="s">
        <v>149</v>
      </c>
      <c r="AH292" s="154" t="s">
        <v>149</v>
      </c>
      <c r="AI292" s="154" t="s">
        <v>149</v>
      </c>
      <c r="AJ292" s="8" t="s">
        <v>233</v>
      </c>
      <c r="AL292" s="154" t="s">
        <v>149</v>
      </c>
      <c r="AM292" s="154" t="s">
        <v>149</v>
      </c>
      <c r="AN292" s="154" t="s">
        <v>149</v>
      </c>
      <c r="AO292" s="8"/>
      <c r="AP292" s="8"/>
      <c r="AR292" s="8" t="s">
        <v>6214</v>
      </c>
      <c r="AS292" s="8" t="s">
        <v>942</v>
      </c>
      <c r="AT292" s="8" t="s">
        <v>943</v>
      </c>
      <c r="AU292" s="154" t="s">
        <v>149</v>
      </c>
    </row>
    <row r="293">
      <c r="A293" s="186">
        <v>146.0</v>
      </c>
      <c r="B293" s="152">
        <v>2025.0</v>
      </c>
      <c r="C293" s="153" t="str">
        <f>CONCATENATE(D293, "-", M293, "-", A293)
</f>
        <v>2023-PH045607000-146</v>
      </c>
      <c r="D293" s="152">
        <f>IF(OR(F292="Published", F292="Unpublished"), 2023, IF(F292="New", 2025, ""))
</f>
        <v>2023</v>
      </c>
      <c r="E293" s="151">
        <v>146.0</v>
      </c>
      <c r="F293" s="156" t="s">
        <v>140</v>
      </c>
      <c r="G293" s="156" t="s">
        <v>141</v>
      </c>
      <c r="H293" s="153" t="str">
        <f>IFERROR(__xludf.DUMMYFUNCTION("""COMPUTED_VALUE"""),"**Restoration_project** changed from Coral Reef Habitat and Productivity Enhancement through Coral Transplantation and Giant Clam Restocking to Fisheries Sector Program, **Restoration_project_short** changed from Unknown to Site in Manhulugin, **Year of e"&amp;"stablishment** changed from 2001 to 1992, **Project Start** changed from 2001 to 1990, **Project End** changed from 2005 to 1994, **Restoration method** changed from Asexual Reproduction to Artificial Reef, **Technique/Material Type** changed from Direct "&amp;"transplantation to Unknown, **Restoration objective** changed from Improve biodiversity and productivity of stressed coral reef habitats in 10 selected demonstration sites to Unknown, **Funding agency** changed from Pew Marine Conservation Fellowship to A"&amp;"DB, Overseas Economic Cooperation Fund of Japan , **Implementing institution** changed from UP MSI to DA, **Partners_public** changed from Unknown to MLGU, **Reference** changed from Published article to Balgos, M.C. (1995). Evaluation of artificial reef "&amp;"development in the Philippines. In Munro, J.L. &amp; Balgos, M. (eds.) Artificial reefs in the Philippines. ICLARM Conf. Proc. 49, pp. 6-22., **Website** changed from https://aquadocs.org/bitstream/handle/1834/40478/GomezED2006.pdf?sequence=1&amp;isAllowed=y to h"&amp;"ttps://core.ac.uk/download/pdf/6515223.pdf;, **Contact_name** changed from Dr. Patrick Cabaitan to Miriam Balgos")</f>
        <v>**Restoration_project** changed from Coral Reef Habitat and Productivity Enhancement through Coral Transplantation and Giant Clam Restocking to Fisheries Sector Program, **Restoration_project_short** changed from Unknown to Site in Manhulugin, **Year of establishment** changed from 2001 to 1992, **Project Start** changed from 2001 to 1990, **Project End** changed from 2005 to 1994,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ADB, Overseas Economic Cooperation Fund of Japan , **Implementing institution** changed from UP MSI to DA, **Partners_public** changed from Unknown to MLGU, **Reference** changed from Published article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293" s="153" t="s">
        <v>6710</v>
      </c>
      <c r="J293" s="153" t="s">
        <v>257</v>
      </c>
      <c r="K293" s="153" t="s">
        <v>497</v>
      </c>
      <c r="L293" s="153" t="s">
        <v>505</v>
      </c>
      <c r="M293" s="181" t="s">
        <v>506</v>
      </c>
      <c r="N293" s="153" t="s">
        <v>151</v>
      </c>
      <c r="O293" s="153" t="s">
        <v>1377</v>
      </c>
      <c r="P293" s="153" t="s">
        <v>1394</v>
      </c>
      <c r="Q293" s="178">
        <v>1992.0</v>
      </c>
      <c r="R293" s="175" t="s">
        <v>6198</v>
      </c>
      <c r="S293" s="175" t="s">
        <v>6199</v>
      </c>
      <c r="T293" s="161" t="s">
        <v>150</v>
      </c>
      <c r="U293" s="153">
        <f>IFERROR(__xludf.DUMMYFUNCTION("""COMPUTED_VALUE"""),275.0)</f>
        <v>275</v>
      </c>
      <c r="V293" s="162" t="s">
        <v>3311</v>
      </c>
      <c r="W293" s="187" t="s">
        <v>149</v>
      </c>
      <c r="X293" s="184"/>
      <c r="Y293" s="184" t="s">
        <v>149</v>
      </c>
      <c r="Z293" s="158" t="s">
        <v>149</v>
      </c>
      <c r="AA293" s="158" t="s">
        <v>149</v>
      </c>
      <c r="AB293" s="158" t="s">
        <v>149</v>
      </c>
      <c r="AC293" s="153" t="s">
        <v>1381</v>
      </c>
      <c r="AD293" s="158" t="s">
        <v>6154</v>
      </c>
      <c r="AE293" s="158" t="s">
        <v>206</v>
      </c>
      <c r="AF293" s="158" t="s">
        <v>159</v>
      </c>
      <c r="AG293" s="164" t="s">
        <v>149</v>
      </c>
      <c r="AH293" s="158" t="s">
        <v>149</v>
      </c>
      <c r="AI293" s="158" t="s">
        <v>149</v>
      </c>
      <c r="AJ293" s="153" t="s">
        <v>660</v>
      </c>
      <c r="AK293" s="153" t="s">
        <v>6035</v>
      </c>
      <c r="AL293" s="153" t="s">
        <v>369</v>
      </c>
      <c r="AM293" s="154" t="s">
        <v>149</v>
      </c>
      <c r="AN293" s="154" t="s">
        <v>149</v>
      </c>
      <c r="AO293" s="156">
        <v>1.0</v>
      </c>
      <c r="AP293" s="156" t="s">
        <v>6037</v>
      </c>
      <c r="AQ293" s="158" t="s">
        <v>395</v>
      </c>
      <c r="AR293" s="153" t="s">
        <v>6060</v>
      </c>
      <c r="AS293" s="158" t="s">
        <v>6711</v>
      </c>
      <c r="AT293" s="153" t="s">
        <v>398</v>
      </c>
      <c r="AU293" s="154" t="s">
        <v>149</v>
      </c>
    </row>
    <row r="294">
      <c r="A294" s="186">
        <v>147.0</v>
      </c>
      <c r="B294" s="152">
        <v>2023.0</v>
      </c>
      <c r="D294" s="152"/>
      <c r="E294" s="151">
        <v>147.0</v>
      </c>
      <c r="F294" s="129" t="s">
        <v>140</v>
      </c>
      <c r="G294" s="3" t="s">
        <v>6029</v>
      </c>
      <c r="H294" s="8" t="str">
        <f>IFERROR(__xludf.DUMMYFUNCTION("""COMPUTED_VALUE"""),"")</f>
        <v/>
      </c>
      <c r="I294" s="8" t="s">
        <v>6712</v>
      </c>
      <c r="J294" s="8" t="s">
        <v>257</v>
      </c>
      <c r="K294" s="8" t="s">
        <v>497</v>
      </c>
      <c r="L294" s="8" t="s">
        <v>498</v>
      </c>
      <c r="M294" s="153" t="s">
        <v>499</v>
      </c>
      <c r="N294" s="8" t="s">
        <v>151</v>
      </c>
      <c r="O294" s="8" t="s">
        <v>384</v>
      </c>
      <c r="P294" s="8" t="s">
        <v>500</v>
      </c>
      <c r="Q294" s="142" t="s">
        <v>6051</v>
      </c>
      <c r="R294" s="142" t="s">
        <v>6052</v>
      </c>
      <c r="S294" s="142" t="s">
        <v>6053</v>
      </c>
      <c r="T294" s="8"/>
      <c r="U294" s="8">
        <f>IFERROR(__xludf.DUMMYFUNCTION("""COMPUTED_VALUE"""),276.0)</f>
        <v>276</v>
      </c>
      <c r="V294" s="8"/>
      <c r="W294" s="8"/>
      <c r="X294" s="8"/>
      <c r="Y294" s="8"/>
      <c r="AA294" s="8" t="s">
        <v>6054</v>
      </c>
      <c r="AB294" s="154" t="s">
        <v>149</v>
      </c>
      <c r="AC294" s="8" t="s">
        <v>390</v>
      </c>
      <c r="AG294" s="154" t="s">
        <v>149</v>
      </c>
      <c r="AH294" s="154" t="s">
        <v>149</v>
      </c>
      <c r="AI294" s="8" t="s">
        <v>391</v>
      </c>
      <c r="AJ294" s="8" t="s">
        <v>390</v>
      </c>
      <c r="AL294" s="8" t="s">
        <v>6055</v>
      </c>
      <c r="AM294" s="154" t="s">
        <v>149</v>
      </c>
      <c r="AN294" s="154" t="s">
        <v>149</v>
      </c>
      <c r="AO294" s="8"/>
      <c r="AP294" s="8"/>
      <c r="AR294" s="8" t="s">
        <v>6057</v>
      </c>
      <c r="AS294" s="8" t="s">
        <v>2873</v>
      </c>
      <c r="AT294" s="8" t="s">
        <v>398</v>
      </c>
      <c r="AU294" s="154" t="s">
        <v>149</v>
      </c>
    </row>
    <row r="295">
      <c r="A295" s="186">
        <v>147.0</v>
      </c>
      <c r="B295" s="152">
        <v>2025.0</v>
      </c>
      <c r="C295" s="153" t="str">
        <f>CONCATENATE(D295, "-", M295, "-", A295)
</f>
        <v>2023-PH045607000-147</v>
      </c>
      <c r="D295" s="152">
        <f>IF(OR(F294="Published", F294="Unpublished"), 2023, IF(F294="New", 2025, ""))
</f>
        <v>2023</v>
      </c>
      <c r="E295" s="151">
        <v>147.0</v>
      </c>
      <c r="F295" s="156" t="s">
        <v>140</v>
      </c>
      <c r="G295" s="156" t="s">
        <v>141</v>
      </c>
      <c r="H295" s="153" t="str">
        <f>IFERROR(__xludf.DUMMYFUNCTION("""COMPUTED_VALUE"""),"**Restoration_project** changed from Artificial Reef Development Program to Fisheries Sector Program, **Restoration_project_short** changed from Site in Caridad to Site in Dominlog, **Year of establishment** changed from 1986 to 1992, **Project Start** ch"&amp;"anged from 1985 to 1990, **Project End** changed from 1987 to 1994, **Technique/Material Type** changed from tires to Unknown, **Funding agency** changed from BFAR to ADB, Overseas Economic Cooperation Fund of Japan , **Total units** changed from 10 TM to"&amp;" Unknown, **Implementing institution** changed from BFAR to DA, **Partners_public** changed from Ministry of Human Settlements to MLGU, **Reference** changed from Conference Proceediing to Balgos, M.C. (1995). Evaluation of artificial reef development in "&amp;"the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Caridad to Site in Dominlog,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10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295" s="153" t="s">
        <v>6713</v>
      </c>
      <c r="J295" s="153" t="s">
        <v>257</v>
      </c>
      <c r="K295" s="153" t="s">
        <v>497</v>
      </c>
      <c r="L295" s="153" t="s">
        <v>505</v>
      </c>
      <c r="M295" s="181" t="s">
        <v>506</v>
      </c>
      <c r="N295" s="153" t="s">
        <v>151</v>
      </c>
      <c r="O295" s="153" t="s">
        <v>1377</v>
      </c>
      <c r="P295" s="153" t="s">
        <v>1396</v>
      </c>
      <c r="Q295" s="178">
        <v>1992.0</v>
      </c>
      <c r="R295" s="175" t="s">
        <v>6198</v>
      </c>
      <c r="S295" s="175" t="s">
        <v>6199</v>
      </c>
      <c r="T295" s="161" t="s">
        <v>150</v>
      </c>
      <c r="U295" s="153">
        <f>IFERROR(__xludf.DUMMYFUNCTION("""COMPUTED_VALUE"""),277.0)</f>
        <v>277</v>
      </c>
      <c r="V295" s="162" t="s">
        <v>3311</v>
      </c>
      <c r="W295" s="187" t="s">
        <v>149</v>
      </c>
      <c r="X295" s="184"/>
      <c r="Y295" s="184" t="s">
        <v>149</v>
      </c>
      <c r="Z295" s="158" t="s">
        <v>149</v>
      </c>
      <c r="AA295" s="158" t="s">
        <v>149</v>
      </c>
      <c r="AB295" s="158" t="s">
        <v>149</v>
      </c>
      <c r="AC295" s="153" t="s">
        <v>1381</v>
      </c>
      <c r="AD295" s="158" t="s">
        <v>6154</v>
      </c>
      <c r="AE295" s="158" t="s">
        <v>206</v>
      </c>
      <c r="AF295" s="158" t="s">
        <v>159</v>
      </c>
      <c r="AG295" s="164" t="s">
        <v>149</v>
      </c>
      <c r="AH295" s="158" t="s">
        <v>149</v>
      </c>
      <c r="AI295" s="158" t="s">
        <v>149</v>
      </c>
      <c r="AJ295" s="153" t="s">
        <v>660</v>
      </c>
      <c r="AK295" s="153" t="s">
        <v>6035</v>
      </c>
      <c r="AL295" s="153" t="s">
        <v>369</v>
      </c>
      <c r="AM295" s="154" t="s">
        <v>149</v>
      </c>
      <c r="AN295" s="154" t="s">
        <v>149</v>
      </c>
      <c r="AO295" s="156">
        <v>1.0</v>
      </c>
      <c r="AP295" s="156" t="s">
        <v>6037</v>
      </c>
      <c r="AQ295" s="158" t="s">
        <v>395</v>
      </c>
      <c r="AR295" s="153" t="s">
        <v>6060</v>
      </c>
      <c r="AS295" s="158" t="s">
        <v>6711</v>
      </c>
      <c r="AT295" s="153" t="s">
        <v>398</v>
      </c>
      <c r="AU295" s="154" t="s">
        <v>149</v>
      </c>
    </row>
    <row r="296">
      <c r="A296" s="186">
        <v>148.0</v>
      </c>
      <c r="B296" s="152">
        <v>2023.0</v>
      </c>
      <c r="D296" s="152"/>
      <c r="E296" s="151">
        <v>148.0</v>
      </c>
      <c r="F296" s="129" t="s">
        <v>140</v>
      </c>
      <c r="G296" s="3" t="s">
        <v>6029</v>
      </c>
      <c r="H296" s="8" t="str">
        <f>IFERROR(__xludf.DUMMYFUNCTION("""COMPUTED_VALUE"""),"")</f>
        <v/>
      </c>
      <c r="I296" s="8" t="s">
        <v>6714</v>
      </c>
      <c r="J296" s="8" t="s">
        <v>257</v>
      </c>
      <c r="K296" s="8" t="s">
        <v>497</v>
      </c>
      <c r="L296" s="8" t="s">
        <v>498</v>
      </c>
      <c r="M296" s="153" t="s">
        <v>499</v>
      </c>
      <c r="N296" s="8" t="s">
        <v>151</v>
      </c>
      <c r="O296" s="8" t="s">
        <v>384</v>
      </c>
      <c r="P296" s="8" t="s">
        <v>502</v>
      </c>
      <c r="Q296" s="142" t="s">
        <v>6051</v>
      </c>
      <c r="R296" s="142" t="s">
        <v>6052</v>
      </c>
      <c r="S296" s="142" t="s">
        <v>6053</v>
      </c>
      <c r="T296" s="8"/>
      <c r="U296" s="8">
        <f>IFERROR(__xludf.DUMMYFUNCTION("""COMPUTED_VALUE"""),278.0)</f>
        <v>278</v>
      </c>
      <c r="V296" s="8"/>
      <c r="W296" s="8"/>
      <c r="X296" s="8"/>
      <c r="Y296" s="8"/>
      <c r="AA296" s="8" t="s">
        <v>6054</v>
      </c>
      <c r="AB296" s="154" t="s">
        <v>149</v>
      </c>
      <c r="AC296" s="8" t="s">
        <v>390</v>
      </c>
      <c r="AG296" s="154" t="s">
        <v>149</v>
      </c>
      <c r="AH296" s="154" t="s">
        <v>149</v>
      </c>
      <c r="AI296" s="8" t="s">
        <v>503</v>
      </c>
      <c r="AJ296" s="8" t="s">
        <v>390</v>
      </c>
      <c r="AL296" s="8" t="s">
        <v>6055</v>
      </c>
      <c r="AM296" s="154" t="s">
        <v>149</v>
      </c>
      <c r="AN296" s="154" t="s">
        <v>149</v>
      </c>
      <c r="AO296" s="8"/>
      <c r="AP296" s="8"/>
      <c r="AR296" s="8" t="s">
        <v>6057</v>
      </c>
      <c r="AS296" s="8" t="s">
        <v>2873</v>
      </c>
      <c r="AT296" s="8" t="s">
        <v>398</v>
      </c>
      <c r="AU296" s="154" t="s">
        <v>149</v>
      </c>
    </row>
    <row r="297">
      <c r="A297" s="186">
        <v>148.0</v>
      </c>
      <c r="B297" s="152">
        <v>2025.0</v>
      </c>
      <c r="C297" s="153" t="str">
        <f>CONCATENATE(D297, "-", M297, "-", A297)
</f>
        <v>2023-PH045607000-148</v>
      </c>
      <c r="D297" s="152">
        <f>IF(OR(F296="Published", F296="Unpublished"), 2023, IF(F296="New", 2025, ""))
</f>
        <v>2023</v>
      </c>
      <c r="E297" s="151">
        <v>148.0</v>
      </c>
      <c r="F297" s="156" t="s">
        <v>140</v>
      </c>
      <c r="G297" s="156" t="s">
        <v>141</v>
      </c>
      <c r="H297" s="153" t="str">
        <f>IFERROR(__xludf.DUMMYFUNCTION("""COMPUTED_VALUE"""),"**Restoration_project** changed from Artificial Reef Development Program to Fisheries Sector Program, **Restoration_project_short** changed from Site in Lumutan to Site in Balibago, **Year of establishment** changed from 1986 to 1992, **Project Start** ch"&amp;"anged from 1985 to 1990, **Project End** changed from 1987 to 1994, **Technique/Material Type** changed from tires to Unknown, **Funding agency** changed from BFAR to ADB, Overseas Economic Cooperation Fund of Japan , **Total units** changed from 3 TM to "&amp;"Unknown, **Implementing institution** changed from BFAR to DA, **Partners_public** changed from Ministry of Human Settlements to MLGU, **Reference** changed from Conference Proceediing to Balgos, M.C. (1995). Evaluation of artificial reef development in t"&amp;"he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Lumutan to Site in Balibago,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297" s="153" t="s">
        <v>6715</v>
      </c>
      <c r="J297" s="153" t="s">
        <v>257</v>
      </c>
      <c r="K297" s="153" t="s">
        <v>497</v>
      </c>
      <c r="L297" s="153" t="s">
        <v>505</v>
      </c>
      <c r="M297" s="181" t="s">
        <v>506</v>
      </c>
      <c r="N297" s="153" t="s">
        <v>151</v>
      </c>
      <c r="O297" s="153" t="s">
        <v>1377</v>
      </c>
      <c r="P297" s="153" t="s">
        <v>1398</v>
      </c>
      <c r="Q297" s="178">
        <v>1992.0</v>
      </c>
      <c r="R297" s="175" t="s">
        <v>6198</v>
      </c>
      <c r="S297" s="175" t="s">
        <v>6199</v>
      </c>
      <c r="T297" s="161" t="s">
        <v>150</v>
      </c>
      <c r="U297" s="153">
        <f>IFERROR(__xludf.DUMMYFUNCTION("""COMPUTED_VALUE"""),279.0)</f>
        <v>279</v>
      </c>
      <c r="V297" s="162" t="s">
        <v>3311</v>
      </c>
      <c r="W297" s="187" t="s">
        <v>149</v>
      </c>
      <c r="X297" s="184"/>
      <c r="Y297" s="184" t="s">
        <v>149</v>
      </c>
      <c r="Z297" s="158" t="s">
        <v>149</v>
      </c>
      <c r="AA297" s="158" t="s">
        <v>149</v>
      </c>
      <c r="AB297" s="158" t="s">
        <v>149</v>
      </c>
      <c r="AC297" s="153" t="s">
        <v>1381</v>
      </c>
      <c r="AD297" s="158" t="s">
        <v>6154</v>
      </c>
      <c r="AE297" s="158" t="s">
        <v>206</v>
      </c>
      <c r="AF297" s="158" t="s">
        <v>159</v>
      </c>
      <c r="AG297" s="164" t="s">
        <v>149</v>
      </c>
      <c r="AH297" s="158" t="s">
        <v>149</v>
      </c>
      <c r="AI297" s="158" t="s">
        <v>149</v>
      </c>
      <c r="AJ297" s="153" t="s">
        <v>660</v>
      </c>
      <c r="AK297" s="153" t="s">
        <v>6035</v>
      </c>
      <c r="AL297" s="153" t="s">
        <v>369</v>
      </c>
      <c r="AM297" s="154" t="s">
        <v>149</v>
      </c>
      <c r="AN297" s="154" t="s">
        <v>149</v>
      </c>
      <c r="AO297" s="156">
        <v>1.0</v>
      </c>
      <c r="AP297" s="156" t="s">
        <v>6037</v>
      </c>
      <c r="AQ297" s="158" t="s">
        <v>395</v>
      </c>
      <c r="AR297" s="153" t="s">
        <v>6060</v>
      </c>
      <c r="AS297" s="158" t="s">
        <v>6711</v>
      </c>
      <c r="AT297" s="153" t="s">
        <v>398</v>
      </c>
      <c r="AU297" s="154" t="s">
        <v>149</v>
      </c>
    </row>
    <row r="298">
      <c r="A298" s="186">
        <v>149.0</v>
      </c>
      <c r="B298" s="152">
        <v>2023.0</v>
      </c>
      <c r="D298" s="152"/>
      <c r="E298" s="151">
        <v>149.0</v>
      </c>
      <c r="F298" s="129" t="s">
        <v>140</v>
      </c>
      <c r="G298" s="3" t="s">
        <v>6029</v>
      </c>
      <c r="H298" s="8" t="str">
        <f>IFERROR(__xludf.DUMMYFUNCTION("""COMPUTED_VALUE"""),"")</f>
        <v/>
      </c>
      <c r="I298" s="8" t="s">
        <v>6716</v>
      </c>
      <c r="J298" s="8" t="s">
        <v>257</v>
      </c>
      <c r="K298" s="8" t="s">
        <v>497</v>
      </c>
      <c r="L298" s="8" t="s">
        <v>498</v>
      </c>
      <c r="M298" s="153" t="s">
        <v>499</v>
      </c>
      <c r="N298" s="8" t="s">
        <v>151</v>
      </c>
      <c r="O298" s="154" t="s">
        <v>149</v>
      </c>
      <c r="P298" s="154" t="s">
        <v>149</v>
      </c>
      <c r="Q298" s="142" t="s">
        <v>6230</v>
      </c>
      <c r="R298" s="154" t="s">
        <v>149</v>
      </c>
      <c r="S298" s="154" t="s">
        <v>149</v>
      </c>
      <c r="T298" s="8"/>
      <c r="U298" s="8">
        <f>IFERROR(__xludf.DUMMYFUNCTION("""COMPUTED_VALUE"""),280.0)</f>
        <v>280</v>
      </c>
      <c r="V298" s="8"/>
      <c r="W298" s="8"/>
      <c r="X298" s="8"/>
      <c r="Y298" s="8"/>
      <c r="AA298" s="8" t="s">
        <v>152</v>
      </c>
      <c r="AB298" s="8" t="s">
        <v>6717</v>
      </c>
      <c r="AC298" s="8" t="s">
        <v>2391</v>
      </c>
      <c r="AG298" s="154" t="s">
        <v>149</v>
      </c>
      <c r="AH298" s="154" t="s">
        <v>149</v>
      </c>
      <c r="AI298" s="154" t="s">
        <v>149</v>
      </c>
      <c r="AJ298" s="8" t="s">
        <v>2391</v>
      </c>
      <c r="AL298" s="154" t="s">
        <v>149</v>
      </c>
      <c r="AM298" s="154" t="s">
        <v>149</v>
      </c>
      <c r="AN298" s="154" t="s">
        <v>149</v>
      </c>
      <c r="AO298" s="8"/>
      <c r="AP298" s="8"/>
      <c r="AR298" s="8" t="s">
        <v>6517</v>
      </c>
      <c r="AS298" s="172" t="s">
        <v>2394</v>
      </c>
      <c r="AT298" s="154" t="s">
        <v>149</v>
      </c>
      <c r="AU298" s="154" t="s">
        <v>149</v>
      </c>
    </row>
    <row r="299">
      <c r="A299" s="186">
        <v>149.0</v>
      </c>
      <c r="B299" s="152">
        <v>2025.0</v>
      </c>
      <c r="C299" s="153" t="str">
        <f>CONCATENATE(D299, "-", M299, "-", A299)
</f>
        <v>2023-PH045607000-149</v>
      </c>
      <c r="D299" s="152">
        <f>IF(OR(F298="Published", F298="Unpublished"), 2023, IF(F298="New", 2025, ""))
</f>
        <v>2023</v>
      </c>
      <c r="E299" s="151">
        <v>149.0</v>
      </c>
      <c r="F299" s="156" t="s">
        <v>140</v>
      </c>
      <c r="G299" s="156" t="s">
        <v>141</v>
      </c>
      <c r="H299" s="153" t="str">
        <f>IFERROR(__xludf.DUMMYFUNCTION("""COMPUTED_VALUE"""),"**Restoration_project** changed from Unknown to Fisheries Sector Program, **Restoration_project_short** changed from Unknown to Site in Pinagbayanan, **Year of establishment** changed from 2005 to 1992, **Project Start** changed from Unknown to 1990, **Pr"&amp;"oject End** changed from Unknown to 1994, **Technique/Material Type** changed from Concrete to Unknown, **Restoration objective** changed from Restore fisheries to Unknown, **Funding agency** changed from Rotary Club of Atimonan to ADB, Overseas Economic "&amp;"Cooperation Fund of Japan , **Implementing institution** changed from Rotary Club of Atimonan to DA, **Partners_public** changed from Unknown to MLGU, **Reference** changed from Feature to Balgos, M.C. (1995). Evaluation of artificial reef development in "&amp;"the Philippines. In Munro, J.L. &amp; Balgos, M. (eds.) Artificial reefs in the Philippines. ICLARM Conf. Proc. 49, pp. 6-22., **Website** changed from https://www.rotary.org/en/giant-rotary-wheel-haven-fish-philippines to https://core.ac.uk/download/pdf/6515"&amp;"223.pdf;, **Contact_name** changed from Unknown to Miriam Balgos")</f>
        <v>**Restoration_project** changed from Unknown to Fisheries Sector Program, **Restoration_project_short** changed from Unknown to Site in Pinagbayanan, **Year of establishment** changed from 2005 to 1992, **Project Start** changed from Unknown to 1990, **Project End** changed from Unknown to 1994, **Technique/Material Type** changed from Concrete to Unknown, **Restoration objective** changed from Restore fisheries to Unknown, **Funding agency** changed from Rotary Club of Atimonan to ADB, Overseas Economic Cooperation Fund of Japan , **Implementing institution** changed from Rotary Club of Atimonan to DA, **Partners_public** changed from Unknown to MLGU, **Reference** changed from Feature to Balgos, M.C. (1995). Evaluation of artificial reef development in the Philippines. In Munro, J.L. &amp; Balgos, M. (eds.) Artificial reefs in the Philippines. ICLARM Conf. Proc. 49, pp. 6-22., **Website** changed from https://www.rotary.org/en/giant-rotary-wheel-haven-fish-philippines to https://core.ac.uk/download/pdf/6515223.pdf;, **Contact_name** changed from Unknown to Miriam Balgos</v>
      </c>
      <c r="I299" s="153" t="s">
        <v>6718</v>
      </c>
      <c r="J299" s="153" t="s">
        <v>257</v>
      </c>
      <c r="K299" s="153" t="s">
        <v>497</v>
      </c>
      <c r="L299" s="153" t="s">
        <v>505</v>
      </c>
      <c r="M299" s="181" t="s">
        <v>506</v>
      </c>
      <c r="N299" s="153" t="s">
        <v>151</v>
      </c>
      <c r="O299" s="153" t="s">
        <v>1377</v>
      </c>
      <c r="P299" s="153" t="s">
        <v>1400</v>
      </c>
      <c r="Q299" s="178">
        <v>1992.0</v>
      </c>
      <c r="R299" s="175" t="s">
        <v>6198</v>
      </c>
      <c r="S299" s="175" t="s">
        <v>6199</v>
      </c>
      <c r="T299" s="161" t="s">
        <v>150</v>
      </c>
      <c r="U299" s="153">
        <f>IFERROR(__xludf.DUMMYFUNCTION("""COMPUTED_VALUE"""),281.0)</f>
        <v>281</v>
      </c>
      <c r="V299" s="162" t="s">
        <v>3311</v>
      </c>
      <c r="W299" s="187" t="s">
        <v>149</v>
      </c>
      <c r="X299" s="184"/>
      <c r="Y299" s="184" t="s">
        <v>149</v>
      </c>
      <c r="Z299" s="158" t="s">
        <v>149</v>
      </c>
      <c r="AA299" s="158" t="s">
        <v>149</v>
      </c>
      <c r="AB299" s="158" t="s">
        <v>149</v>
      </c>
      <c r="AC299" s="153" t="s">
        <v>1381</v>
      </c>
      <c r="AD299" s="158" t="s">
        <v>6154</v>
      </c>
      <c r="AE299" s="158" t="s">
        <v>206</v>
      </c>
      <c r="AF299" s="158" t="s">
        <v>159</v>
      </c>
      <c r="AG299" s="164" t="s">
        <v>149</v>
      </c>
      <c r="AH299" s="158" t="s">
        <v>149</v>
      </c>
      <c r="AI299" s="158" t="s">
        <v>149</v>
      </c>
      <c r="AJ299" s="153" t="s">
        <v>660</v>
      </c>
      <c r="AK299" s="153" t="s">
        <v>6035</v>
      </c>
      <c r="AL299" s="153" t="s">
        <v>369</v>
      </c>
      <c r="AM299" s="154" t="s">
        <v>149</v>
      </c>
      <c r="AN299" s="154" t="s">
        <v>149</v>
      </c>
      <c r="AO299" s="156">
        <v>1.0</v>
      </c>
      <c r="AP299" s="156" t="s">
        <v>6037</v>
      </c>
      <c r="AQ299" s="158" t="s">
        <v>395</v>
      </c>
      <c r="AR299" s="153" t="s">
        <v>6060</v>
      </c>
      <c r="AS299" s="158" t="s">
        <v>6711</v>
      </c>
      <c r="AT299" s="153" t="s">
        <v>398</v>
      </c>
      <c r="AU299" s="154" t="s">
        <v>149</v>
      </c>
    </row>
    <row r="300">
      <c r="A300" s="186">
        <v>150.0</v>
      </c>
      <c r="B300" s="152">
        <v>2023.0</v>
      </c>
      <c r="D300" s="152"/>
      <c r="E300" s="151">
        <v>150.0</v>
      </c>
      <c r="F300" s="129" t="s">
        <v>140</v>
      </c>
      <c r="G300" s="3" t="s">
        <v>6029</v>
      </c>
      <c r="H300" s="8" t="str">
        <f>IFERROR(__xludf.DUMMYFUNCTION("""COMPUTED_VALUE"""),"")</f>
        <v/>
      </c>
      <c r="I300" s="8" t="s">
        <v>6719</v>
      </c>
      <c r="J300" s="8" t="s">
        <v>257</v>
      </c>
      <c r="K300" s="8" t="s">
        <v>497</v>
      </c>
      <c r="L300" s="8" t="s">
        <v>505</v>
      </c>
      <c r="M300" s="153" t="s">
        <v>506</v>
      </c>
      <c r="N300" s="8" t="s">
        <v>151</v>
      </c>
      <c r="O300" s="8" t="s">
        <v>384</v>
      </c>
      <c r="P300" s="8" t="s">
        <v>507</v>
      </c>
      <c r="Q300" s="142" t="s">
        <v>6051</v>
      </c>
      <c r="R300" s="142" t="s">
        <v>6052</v>
      </c>
      <c r="S300" s="142" t="s">
        <v>6053</v>
      </c>
      <c r="T300" s="8"/>
      <c r="U300" s="8">
        <f>IFERROR(__xludf.DUMMYFUNCTION("""COMPUTED_VALUE"""),282.0)</f>
        <v>282</v>
      </c>
      <c r="V300" s="8"/>
      <c r="W300" s="8"/>
      <c r="X300" s="8"/>
      <c r="Y300" s="8"/>
      <c r="AA300" s="8" t="s">
        <v>6054</v>
      </c>
      <c r="AB300" s="154" t="s">
        <v>149</v>
      </c>
      <c r="AC300" s="8" t="s">
        <v>390</v>
      </c>
      <c r="AG300" s="154" t="s">
        <v>149</v>
      </c>
      <c r="AH300" s="154" t="s">
        <v>149</v>
      </c>
      <c r="AI300" s="8" t="s">
        <v>508</v>
      </c>
      <c r="AJ300" s="8" t="s">
        <v>390</v>
      </c>
      <c r="AL300" s="8" t="s">
        <v>6055</v>
      </c>
      <c r="AM300" s="154" t="s">
        <v>149</v>
      </c>
      <c r="AN300" s="154" t="s">
        <v>149</v>
      </c>
      <c r="AO300" s="8"/>
      <c r="AP300" s="8"/>
      <c r="AR300" s="8" t="s">
        <v>6057</v>
      </c>
      <c r="AS300" s="8" t="s">
        <v>2873</v>
      </c>
      <c r="AT300" s="8" t="s">
        <v>398</v>
      </c>
      <c r="AU300" s="154" t="s">
        <v>149</v>
      </c>
    </row>
    <row r="301">
      <c r="A301" s="186">
        <v>150.0</v>
      </c>
      <c r="B301" s="152">
        <v>2025.0</v>
      </c>
      <c r="C301" s="153" t="str">
        <f>CONCATENATE(D301, "-", M301, "-", A301)
</f>
        <v>2023-PH045607000-150</v>
      </c>
      <c r="D301" s="152">
        <f>IF(OR(F300="Published", F300="Unpublished"), 2023, IF(F300="New", 2025, ""))
</f>
        <v>2023</v>
      </c>
      <c r="E301" s="151">
        <v>150.0</v>
      </c>
      <c r="F301" s="156" t="s">
        <v>140</v>
      </c>
      <c r="G301" s="156" t="s">
        <v>141</v>
      </c>
      <c r="H301" s="153" t="str">
        <f>IFERROR(__xludf.DUMMYFUNCTION("""COMPUTED_VALUE"""),"**Restoration_project** changed from Artificial Reef Development Program to Fisheries Sector Program, **Restoration_project_short** changed from Site in Sabang to Site in Pinagsakayan, **Year of establishment** changed from 1986 to 1992, **Project Start**"&amp;" changed from 1985 to 1990, **Project End** changed from 1987 to 1994, **Technique/Material Type** changed from tires to Unknown, **Funding agency** changed from BFAR to ADB, Overseas Economic Cooperation Fund of Japan , **Total units** changed from 4 TM "&amp;"to Unknown, **Implementing institution** changed from BFAR to DA, **Partners_public** changed from Ministry of Human Settlements to MLGU, **Reference** changed from Conference Proceediing to Balgos, M.C. (1995). Evaluation of artificial reef development i"&amp;"n 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Sabang to Site in Pinagsakayan,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4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01" s="153" t="s">
        <v>6720</v>
      </c>
      <c r="J301" s="153" t="s">
        <v>257</v>
      </c>
      <c r="K301" s="153" t="s">
        <v>497</v>
      </c>
      <c r="L301" s="153" t="s">
        <v>505</v>
      </c>
      <c r="M301" s="181" t="s">
        <v>506</v>
      </c>
      <c r="N301" s="153" t="s">
        <v>151</v>
      </c>
      <c r="O301" s="153" t="s">
        <v>1377</v>
      </c>
      <c r="P301" s="153" t="s">
        <v>1402</v>
      </c>
      <c r="Q301" s="178">
        <v>1992.0</v>
      </c>
      <c r="R301" s="175" t="s">
        <v>6198</v>
      </c>
      <c r="S301" s="175" t="s">
        <v>6199</v>
      </c>
      <c r="T301" s="161" t="s">
        <v>150</v>
      </c>
      <c r="U301" s="153">
        <f>IFERROR(__xludf.DUMMYFUNCTION("""COMPUTED_VALUE"""),283.0)</f>
        <v>283</v>
      </c>
      <c r="V301" s="162" t="s">
        <v>3311</v>
      </c>
      <c r="W301" s="187" t="s">
        <v>149</v>
      </c>
      <c r="X301" s="184"/>
      <c r="Y301" s="184" t="s">
        <v>149</v>
      </c>
      <c r="Z301" s="158" t="s">
        <v>149</v>
      </c>
      <c r="AA301" s="158" t="s">
        <v>149</v>
      </c>
      <c r="AB301" s="154" t="s">
        <v>149</v>
      </c>
      <c r="AC301" s="153" t="s">
        <v>1381</v>
      </c>
      <c r="AD301" s="158" t="s">
        <v>6154</v>
      </c>
      <c r="AE301" s="158" t="s">
        <v>206</v>
      </c>
      <c r="AF301" s="158" t="s">
        <v>159</v>
      </c>
      <c r="AG301" s="164" t="s">
        <v>149</v>
      </c>
      <c r="AH301" s="158" t="s">
        <v>149</v>
      </c>
      <c r="AI301" s="158" t="s">
        <v>149</v>
      </c>
      <c r="AJ301" s="153" t="s">
        <v>660</v>
      </c>
      <c r="AK301" s="153" t="s">
        <v>6035</v>
      </c>
      <c r="AL301" s="153" t="s">
        <v>369</v>
      </c>
      <c r="AM301" s="154" t="s">
        <v>149</v>
      </c>
      <c r="AN301" s="154" t="s">
        <v>149</v>
      </c>
      <c r="AO301" s="156">
        <v>1.0</v>
      </c>
      <c r="AP301" s="156" t="s">
        <v>6037</v>
      </c>
      <c r="AQ301" s="158" t="s">
        <v>395</v>
      </c>
      <c r="AR301" s="153" t="s">
        <v>6060</v>
      </c>
      <c r="AS301" s="158" t="s">
        <v>6711</v>
      </c>
      <c r="AT301" s="153" t="s">
        <v>398</v>
      </c>
      <c r="AU301" s="154" t="s">
        <v>149</v>
      </c>
    </row>
    <row r="302">
      <c r="A302" s="186">
        <v>151.0</v>
      </c>
      <c r="B302" s="152">
        <v>2023.0</v>
      </c>
      <c r="D302" s="152"/>
      <c r="E302" s="151">
        <v>151.0</v>
      </c>
      <c r="F302" s="129" t="s">
        <v>140</v>
      </c>
      <c r="G302" s="3" t="s">
        <v>6029</v>
      </c>
      <c r="H302" s="8" t="str">
        <f>IFERROR(__xludf.DUMMYFUNCTION("""COMPUTED_VALUE"""),"")</f>
        <v/>
      </c>
      <c r="I302" s="8" t="s">
        <v>6721</v>
      </c>
      <c r="J302" s="8" t="s">
        <v>257</v>
      </c>
      <c r="K302" s="8" t="s">
        <v>497</v>
      </c>
      <c r="L302" s="8" t="s">
        <v>505</v>
      </c>
      <c r="M302" s="153" t="s">
        <v>506</v>
      </c>
      <c r="N302" s="8" t="s">
        <v>151</v>
      </c>
      <c r="O302" s="8" t="s">
        <v>1377</v>
      </c>
      <c r="P302" s="8" t="s">
        <v>1394</v>
      </c>
      <c r="Q302" s="154" t="s">
        <v>149</v>
      </c>
      <c r="R302" s="142" t="s">
        <v>6198</v>
      </c>
      <c r="S302" s="142" t="s">
        <v>6199</v>
      </c>
      <c r="T302" s="8"/>
      <c r="U302" s="8">
        <f>IFERROR(__xludf.DUMMYFUNCTION("""COMPUTED_VALUE"""),284.0)</f>
        <v>284</v>
      </c>
      <c r="V302" s="8"/>
      <c r="W302" s="154"/>
      <c r="X302" s="8"/>
      <c r="Y302" s="8"/>
      <c r="AA302" s="154" t="s">
        <v>149</v>
      </c>
      <c r="AB302" s="154" t="s">
        <v>149</v>
      </c>
      <c r="AC302" s="8" t="s">
        <v>1381</v>
      </c>
      <c r="AG302" s="154" t="s">
        <v>149</v>
      </c>
      <c r="AH302" s="154" t="s">
        <v>149</v>
      </c>
      <c r="AI302" s="154" t="s">
        <v>149</v>
      </c>
      <c r="AJ302" s="8" t="s">
        <v>660</v>
      </c>
      <c r="AL302" s="8" t="s">
        <v>369</v>
      </c>
      <c r="AM302" s="154" t="s">
        <v>149</v>
      </c>
      <c r="AN302" s="154" t="s">
        <v>149</v>
      </c>
      <c r="AO302" s="8"/>
      <c r="AP302" s="8"/>
      <c r="AR302" s="8" t="s">
        <v>395</v>
      </c>
      <c r="AS302" s="8" t="s">
        <v>2873</v>
      </c>
      <c r="AT302" s="8" t="s">
        <v>398</v>
      </c>
      <c r="AU302" s="154" t="s">
        <v>149</v>
      </c>
    </row>
    <row r="303">
      <c r="A303" s="186">
        <v>151.0</v>
      </c>
      <c r="B303" s="152">
        <v>2025.0</v>
      </c>
      <c r="C303" s="153" t="str">
        <f>CONCATENATE(D303, "-", M303, "-", A303)
</f>
        <v>2023-PH045607000-151</v>
      </c>
      <c r="D303" s="152">
        <f>IF(OR(F302="Published", F302="Unpublished"), 2023, IF(F302="New", 2025, ""))
</f>
        <v>2023</v>
      </c>
      <c r="E303" s="151">
        <v>151.0</v>
      </c>
      <c r="F303" s="156" t="s">
        <v>140</v>
      </c>
      <c r="G303" s="156" t="s">
        <v>141</v>
      </c>
      <c r="H303" s="153" t="str">
        <f>IFERROR(__xludf.DUMMYFUNCTION("""COMPUTED_VALUE"""),"**Restoration_project_short** changed from Site in Manhulugin to Site in Atulayan, **Year of establishment** changed from Unknown to 1992, **Reference** changed from Conference Proceeding to Balgos, M.C. (1995). Evaluation of artificial reef development i"&amp;"n the Philippines. In Munro, J.L. &amp; Balgos, M. (eds.) Artificial reefs in the Philippines. ICLARM Conf. Proc. 49, pp. 6-22., **Website** changed from http://pubs.iclarm.net/libinfo/Pdf/Pub%20CP6%2049.pdf to https://core.ac.uk/download/pdf/6515223.pdf;")</f>
        <v>**Restoration_project_short** changed from Site in Manhulugin to Site in Atulayan,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03" s="153" t="s">
        <v>6722</v>
      </c>
      <c r="J303" s="153" t="s">
        <v>257</v>
      </c>
      <c r="K303" s="153" t="s">
        <v>497</v>
      </c>
      <c r="L303" s="153" t="s">
        <v>505</v>
      </c>
      <c r="M303" s="181" t="s">
        <v>506</v>
      </c>
      <c r="N303" s="153" t="s">
        <v>151</v>
      </c>
      <c r="O303" s="153" t="s">
        <v>1377</v>
      </c>
      <c r="P303" s="153" t="s">
        <v>1404</v>
      </c>
      <c r="Q303" s="178">
        <v>1992.0</v>
      </c>
      <c r="R303" s="175" t="s">
        <v>6198</v>
      </c>
      <c r="S303" s="175" t="s">
        <v>6199</v>
      </c>
      <c r="T303" s="161" t="s">
        <v>150</v>
      </c>
      <c r="U303" s="153">
        <f>IFERROR(__xludf.DUMMYFUNCTION("""COMPUTED_VALUE"""),285.0)</f>
        <v>285</v>
      </c>
      <c r="V303" s="162" t="s">
        <v>3311</v>
      </c>
      <c r="W303" s="187" t="s">
        <v>149</v>
      </c>
      <c r="X303" s="184"/>
      <c r="Y303" s="184" t="s">
        <v>149</v>
      </c>
      <c r="Z303" s="158" t="s">
        <v>149</v>
      </c>
      <c r="AA303" s="158" t="s">
        <v>149</v>
      </c>
      <c r="AB303" s="158" t="s">
        <v>149</v>
      </c>
      <c r="AC303" s="153" t="s">
        <v>1381</v>
      </c>
      <c r="AD303" s="158" t="s">
        <v>6154</v>
      </c>
      <c r="AE303" s="158" t="s">
        <v>206</v>
      </c>
      <c r="AF303" s="158" t="s">
        <v>159</v>
      </c>
      <c r="AG303" s="164" t="s">
        <v>149</v>
      </c>
      <c r="AH303" s="158" t="s">
        <v>149</v>
      </c>
      <c r="AI303" s="158" t="s">
        <v>149</v>
      </c>
      <c r="AJ303" s="153" t="s">
        <v>660</v>
      </c>
      <c r="AK303" s="153" t="s">
        <v>6035</v>
      </c>
      <c r="AL303" s="153" t="s">
        <v>369</v>
      </c>
      <c r="AM303" s="154" t="s">
        <v>149</v>
      </c>
      <c r="AN303" s="154" t="s">
        <v>149</v>
      </c>
      <c r="AO303" s="156">
        <v>1.0</v>
      </c>
      <c r="AP303" s="156" t="s">
        <v>6037</v>
      </c>
      <c r="AQ303" s="158" t="s">
        <v>395</v>
      </c>
      <c r="AR303" s="153" t="s">
        <v>6060</v>
      </c>
      <c r="AS303" s="158" t="s">
        <v>6711</v>
      </c>
      <c r="AT303" s="153" t="s">
        <v>398</v>
      </c>
      <c r="AU303" s="154" t="s">
        <v>149</v>
      </c>
    </row>
    <row r="304">
      <c r="A304" s="186">
        <v>152.0</v>
      </c>
      <c r="B304" s="152">
        <v>2023.0</v>
      </c>
      <c r="D304" s="152"/>
      <c r="E304" s="151">
        <v>152.0</v>
      </c>
      <c r="F304" s="129" t="s">
        <v>140</v>
      </c>
      <c r="G304" s="3" t="s">
        <v>6029</v>
      </c>
      <c r="H304" s="8" t="str">
        <f>IFERROR(__xludf.DUMMYFUNCTION("""COMPUTED_VALUE"""),"")</f>
        <v/>
      </c>
      <c r="I304" s="8" t="s">
        <v>6723</v>
      </c>
      <c r="J304" s="8" t="s">
        <v>257</v>
      </c>
      <c r="K304" s="8" t="s">
        <v>497</v>
      </c>
      <c r="L304" s="8" t="s">
        <v>505</v>
      </c>
      <c r="M304" s="153" t="s">
        <v>506</v>
      </c>
      <c r="N304" s="8" t="s">
        <v>151</v>
      </c>
      <c r="O304" s="8" t="s">
        <v>1377</v>
      </c>
      <c r="P304" s="8" t="s">
        <v>1396</v>
      </c>
      <c r="Q304" s="154" t="s">
        <v>149</v>
      </c>
      <c r="R304" s="142" t="s">
        <v>6198</v>
      </c>
      <c r="S304" s="142" t="s">
        <v>6199</v>
      </c>
      <c r="T304" s="8"/>
      <c r="U304" s="8">
        <f>IFERROR(__xludf.DUMMYFUNCTION("""COMPUTED_VALUE"""),286.0)</f>
        <v>286</v>
      </c>
      <c r="V304" s="8"/>
      <c r="W304" s="154"/>
      <c r="X304" s="8"/>
      <c r="Y304" s="8"/>
      <c r="AA304" s="154" t="s">
        <v>149</v>
      </c>
      <c r="AB304" s="154" t="s">
        <v>149</v>
      </c>
      <c r="AC304" s="8" t="s">
        <v>1381</v>
      </c>
      <c r="AG304" s="154" t="s">
        <v>149</v>
      </c>
      <c r="AH304" s="154" t="s">
        <v>149</v>
      </c>
      <c r="AI304" s="154" t="s">
        <v>149</v>
      </c>
      <c r="AJ304" s="8" t="s">
        <v>660</v>
      </c>
      <c r="AL304" s="8" t="s">
        <v>369</v>
      </c>
      <c r="AM304" s="154" t="s">
        <v>149</v>
      </c>
      <c r="AN304" s="154" t="s">
        <v>149</v>
      </c>
      <c r="AO304" s="8"/>
      <c r="AP304" s="8"/>
      <c r="AR304" s="8" t="s">
        <v>395</v>
      </c>
      <c r="AS304" s="8" t="s">
        <v>2873</v>
      </c>
      <c r="AT304" s="8" t="s">
        <v>398</v>
      </c>
      <c r="AU304" s="154" t="s">
        <v>149</v>
      </c>
    </row>
    <row r="305">
      <c r="A305" s="186">
        <v>152.0</v>
      </c>
      <c r="B305" s="152">
        <v>2025.0</v>
      </c>
      <c r="C305" s="153" t="str">
        <f>CONCATENATE(D305, "-", M305, "-", A305)
</f>
        <v>2023-PH045616000-152</v>
      </c>
      <c r="D305" s="152">
        <f>IF(OR(F304="Published", F304="Unpublished"), 2023, IF(F304="New", 2025, ""))
</f>
        <v>2023</v>
      </c>
      <c r="E305" s="151">
        <v>152.0</v>
      </c>
      <c r="F305" s="156" t="s">
        <v>140</v>
      </c>
      <c r="G305" s="156" t="s">
        <v>141</v>
      </c>
      <c r="H305" s="153" t="str">
        <f>IFERROR(__xludf.DUMMYFUNCTION("""COMPUTED_VALUE"""),"**Restoration_project_short** changed from Site in Dominlog to Unknown, **Year of establishment** changed from Unknown to 1992, **Reference** changed from Conference Proceeding to Balgos, M.C. (1995). Evaluation of artificial reef development in the Phili"&amp;"ppines. In Munro, J.L. &amp; Balgos, M. (eds.) Artificial reefs in the Philippines. ICLARM Conf. Proc. 49, pp. 6-22., **Website** changed from http://pubs.iclarm.net/libinfo/Pdf/Pub%20CP6%2049.pdf to https://core.ac.uk/download/pdf/6515223.pdf;")</f>
        <v>**Restoration_project_short** changed from Site in Dominlog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05" s="153" t="s">
        <v>6724</v>
      </c>
      <c r="J305" s="153" t="s">
        <v>257</v>
      </c>
      <c r="K305" s="153" t="s">
        <v>497</v>
      </c>
      <c r="L305" s="153" t="s">
        <v>1406</v>
      </c>
      <c r="M305" s="181" t="s">
        <v>1407</v>
      </c>
      <c r="N305" s="153" t="s">
        <v>151</v>
      </c>
      <c r="O305" s="153" t="s">
        <v>1377</v>
      </c>
      <c r="P305" s="154" t="s">
        <v>149</v>
      </c>
      <c r="Q305" s="178">
        <v>1992.0</v>
      </c>
      <c r="R305" s="175" t="s">
        <v>6198</v>
      </c>
      <c r="S305" s="175" t="s">
        <v>6199</v>
      </c>
      <c r="T305" s="161" t="s">
        <v>150</v>
      </c>
      <c r="U305" s="153">
        <f>IFERROR(__xludf.DUMMYFUNCTION("""COMPUTED_VALUE"""),287.0)</f>
        <v>287</v>
      </c>
      <c r="V305" s="162" t="s">
        <v>3311</v>
      </c>
      <c r="W305" s="187" t="s">
        <v>149</v>
      </c>
      <c r="X305" s="184"/>
      <c r="Y305" s="184" t="s">
        <v>149</v>
      </c>
      <c r="Z305" s="158" t="s">
        <v>149</v>
      </c>
      <c r="AA305" s="158" t="s">
        <v>149</v>
      </c>
      <c r="AB305" s="158" t="s">
        <v>149</v>
      </c>
      <c r="AC305" s="153" t="s">
        <v>1381</v>
      </c>
      <c r="AD305" s="158" t="s">
        <v>6154</v>
      </c>
      <c r="AE305" s="158" t="s">
        <v>206</v>
      </c>
      <c r="AF305" s="158" t="s">
        <v>159</v>
      </c>
      <c r="AG305" s="164" t="s">
        <v>149</v>
      </c>
      <c r="AH305" s="158" t="s">
        <v>149</v>
      </c>
      <c r="AI305" s="158" t="s">
        <v>149</v>
      </c>
      <c r="AJ305" s="153" t="s">
        <v>660</v>
      </c>
      <c r="AK305" s="153" t="s">
        <v>6035</v>
      </c>
      <c r="AL305" s="153" t="s">
        <v>369</v>
      </c>
      <c r="AM305" s="154" t="s">
        <v>149</v>
      </c>
      <c r="AN305" s="154" t="s">
        <v>149</v>
      </c>
      <c r="AO305" s="156">
        <v>1.0</v>
      </c>
      <c r="AP305" s="156" t="s">
        <v>6037</v>
      </c>
      <c r="AQ305" s="158" t="s">
        <v>395</v>
      </c>
      <c r="AR305" s="153" t="s">
        <v>6060</v>
      </c>
      <c r="AS305" s="172" t="s">
        <v>6711</v>
      </c>
      <c r="AT305" s="153" t="s">
        <v>398</v>
      </c>
      <c r="AU305" s="154" t="s">
        <v>149</v>
      </c>
    </row>
    <row r="306">
      <c r="A306" s="186">
        <v>153.0</v>
      </c>
      <c r="B306" s="152">
        <v>2023.0</v>
      </c>
      <c r="D306" s="152"/>
      <c r="E306" s="151">
        <v>153.0</v>
      </c>
      <c r="F306" s="129" t="s">
        <v>140</v>
      </c>
      <c r="G306" s="3" t="s">
        <v>6029</v>
      </c>
      <c r="H306" s="8" t="str">
        <f>IFERROR(__xludf.DUMMYFUNCTION("""COMPUTED_VALUE"""),"")</f>
        <v/>
      </c>
      <c r="I306" s="8" t="s">
        <v>6725</v>
      </c>
      <c r="J306" s="8" t="s">
        <v>257</v>
      </c>
      <c r="K306" s="8" t="s">
        <v>497</v>
      </c>
      <c r="L306" s="8" t="s">
        <v>505</v>
      </c>
      <c r="M306" s="153" t="s">
        <v>506</v>
      </c>
      <c r="N306" s="8" t="s">
        <v>151</v>
      </c>
      <c r="O306" s="8" t="s">
        <v>1377</v>
      </c>
      <c r="P306" s="8" t="s">
        <v>1398</v>
      </c>
      <c r="Q306" s="154" t="s">
        <v>149</v>
      </c>
      <c r="R306" s="142" t="s">
        <v>6198</v>
      </c>
      <c r="S306" s="142" t="s">
        <v>6199</v>
      </c>
      <c r="T306" s="8"/>
      <c r="U306" s="8">
        <f>IFERROR(__xludf.DUMMYFUNCTION("""COMPUTED_VALUE"""),288.0)</f>
        <v>288</v>
      </c>
      <c r="V306" s="8"/>
      <c r="W306" s="154"/>
      <c r="X306" s="8"/>
      <c r="Y306" s="8"/>
      <c r="AA306" s="154" t="s">
        <v>149</v>
      </c>
      <c r="AB306" s="154" t="s">
        <v>149</v>
      </c>
      <c r="AC306" s="8" t="s">
        <v>1381</v>
      </c>
      <c r="AG306" s="154" t="s">
        <v>149</v>
      </c>
      <c r="AH306" s="154" t="s">
        <v>149</v>
      </c>
      <c r="AI306" s="154" t="s">
        <v>149</v>
      </c>
      <c r="AJ306" s="8" t="s">
        <v>660</v>
      </c>
      <c r="AL306" s="8" t="s">
        <v>369</v>
      </c>
      <c r="AM306" s="154" t="s">
        <v>149</v>
      </c>
      <c r="AN306" s="154" t="s">
        <v>149</v>
      </c>
      <c r="AO306" s="8"/>
      <c r="AP306" s="8"/>
      <c r="AR306" s="8" t="s">
        <v>395</v>
      </c>
      <c r="AS306" s="8" t="s">
        <v>2873</v>
      </c>
      <c r="AT306" s="8" t="s">
        <v>398</v>
      </c>
      <c r="AU306" s="154" t="s">
        <v>149</v>
      </c>
    </row>
    <row r="307">
      <c r="A307" s="186">
        <v>153.0</v>
      </c>
      <c r="B307" s="152">
        <v>2025.0</v>
      </c>
      <c r="C307" s="153" t="str">
        <f>CONCATENATE(D307, "-", M307, "-", A307)
</f>
        <v>2023-PH045619000-153</v>
      </c>
      <c r="D307" s="152">
        <f>IF(OR(F306="Published", F306="Unpublished"), 2023, IF(F306="New", 2025, ""))
</f>
        <v>2023</v>
      </c>
      <c r="E307" s="151">
        <v>153.0</v>
      </c>
      <c r="F307" s="156" t="s">
        <v>140</v>
      </c>
      <c r="G307" s="156" t="s">
        <v>141</v>
      </c>
      <c r="H307" s="153" t="str">
        <f>IFERROR(__xludf.DUMMYFUNCTION("""COMPUTED_VALUE"""),"**Restoration_project** changed from Fisheries Sector Program to Artificial Reef Development Program, **Restoration_project_short** changed from Site in Balibago to Site in Camuhaguin, **Year of establishment** changed from Unknown to 1986, **Project Star"&amp;"t** changed from 1990 to 1985, **Project End** changed from 1994 to 1987, **Technique/Material Type** changed from Unknown to tires, **Funding agency** changed from ADB, Overseas Economic Cooperation Fund of Japan to BFAR, **Total units** changed from Unk"&amp;"nown to 3 TM, **Implementing institution** changed from DA to BFAR, **Partners_public** changed from MLGU to Ministry of Human Settlements, **Reference** changed from Conference Proceeding to Balgos, M.C. (1995). Evaluation of artificial reef development "&amp;"in the Philippines. In Munro, J.L. &amp; Balgos, M. (eds.) Artificial reefs in the Philippines. ICLARM Conf. Proc. 49, pp. 6-22., **Website** changed from http://pubs.iclarm.net/libinfo/Pdf/Pub%20CP6%2049.pdf to https://core.ac.uk/download/pdf/6515223.pdf; ht"&amp;"tps://www.ircwash.org/sites/default/files/802-PH90-8920.pdf")</f>
        <v>**Restoration_project** changed from Fisheries Sector Program to Artificial Reef Development Program, **Restoration_project_short** changed from Site in Balibago to Site in Camuhaguin,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3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07" s="153" t="s">
        <v>6726</v>
      </c>
      <c r="J307" s="153" t="s">
        <v>257</v>
      </c>
      <c r="K307" s="153" t="s">
        <v>497</v>
      </c>
      <c r="L307" s="153" t="s">
        <v>510</v>
      </c>
      <c r="M307" s="181" t="s">
        <v>511</v>
      </c>
      <c r="N307" s="153" t="s">
        <v>151</v>
      </c>
      <c r="O307" s="153" t="s">
        <v>384</v>
      </c>
      <c r="P307" s="153" t="s">
        <v>512</v>
      </c>
      <c r="Q307" s="169">
        <v>1986.0</v>
      </c>
      <c r="R307" s="175" t="s">
        <v>6052</v>
      </c>
      <c r="S307" s="175" t="s">
        <v>6053</v>
      </c>
      <c r="T307" s="161" t="s">
        <v>150</v>
      </c>
      <c r="U307" s="153">
        <f>IFERROR(__xludf.DUMMYFUNCTION("""COMPUTED_VALUE"""),289.0)</f>
        <v>289</v>
      </c>
      <c r="V307" s="162" t="s">
        <v>3311</v>
      </c>
      <c r="W307" s="170" t="s">
        <v>6059</v>
      </c>
      <c r="X307" s="28" t="s">
        <v>6033</v>
      </c>
      <c r="Y307" s="28" t="s">
        <v>386</v>
      </c>
      <c r="Z307" s="176" t="s">
        <v>386</v>
      </c>
      <c r="AA307" s="153" t="s">
        <v>6054</v>
      </c>
      <c r="AB307" s="158" t="s">
        <v>149</v>
      </c>
      <c r="AC307" s="153" t="s">
        <v>390</v>
      </c>
      <c r="AD307" s="158" t="s">
        <v>160</v>
      </c>
      <c r="AE307" s="158" t="s">
        <v>6035</v>
      </c>
      <c r="AF307" s="158" t="s">
        <v>159</v>
      </c>
      <c r="AG307" s="164" t="s">
        <v>149</v>
      </c>
      <c r="AH307" s="158" t="s">
        <v>149</v>
      </c>
      <c r="AI307" s="153" t="s">
        <v>503</v>
      </c>
      <c r="AJ307" s="153" t="s">
        <v>390</v>
      </c>
      <c r="AK307" s="153" t="s">
        <v>6035</v>
      </c>
      <c r="AL307" s="153" t="s">
        <v>6055</v>
      </c>
      <c r="AM307" s="154" t="s">
        <v>149</v>
      </c>
      <c r="AN307" s="154" t="s">
        <v>149</v>
      </c>
      <c r="AO307" s="156">
        <v>1.0</v>
      </c>
      <c r="AP307" s="156" t="s">
        <v>6037</v>
      </c>
      <c r="AQ307" s="158" t="s">
        <v>395</v>
      </c>
      <c r="AR307" s="153" t="s">
        <v>6060</v>
      </c>
      <c r="AS307" s="158" t="s">
        <v>397</v>
      </c>
      <c r="AT307" s="153" t="s">
        <v>398</v>
      </c>
      <c r="AU307" s="154" t="s">
        <v>149</v>
      </c>
    </row>
    <row r="308">
      <c r="A308" s="186">
        <v>154.0</v>
      </c>
      <c r="B308" s="152">
        <v>2023.0</v>
      </c>
      <c r="D308" s="152"/>
      <c r="E308" s="151">
        <v>154.0</v>
      </c>
      <c r="F308" s="129" t="s">
        <v>140</v>
      </c>
      <c r="G308" s="3" t="s">
        <v>6029</v>
      </c>
      <c r="H308" s="8" t="str">
        <f>IFERROR(__xludf.DUMMYFUNCTION("""COMPUTED_VALUE"""),"")</f>
        <v/>
      </c>
      <c r="I308" s="8" t="s">
        <v>6727</v>
      </c>
      <c r="J308" s="8" t="s">
        <v>257</v>
      </c>
      <c r="K308" s="8" t="s">
        <v>497</v>
      </c>
      <c r="L308" s="8" t="s">
        <v>505</v>
      </c>
      <c r="M308" s="153" t="s">
        <v>506</v>
      </c>
      <c r="N308" s="8" t="s">
        <v>151</v>
      </c>
      <c r="O308" s="8" t="s">
        <v>1377</v>
      </c>
      <c r="P308" s="8" t="s">
        <v>1400</v>
      </c>
      <c r="Q308" s="154" t="s">
        <v>149</v>
      </c>
      <c r="R308" s="142" t="s">
        <v>6198</v>
      </c>
      <c r="S308" s="142" t="s">
        <v>6199</v>
      </c>
      <c r="T308" s="8"/>
      <c r="U308" s="8">
        <f>IFERROR(__xludf.DUMMYFUNCTION("""COMPUTED_VALUE"""),290.0)</f>
        <v>290</v>
      </c>
      <c r="V308" s="8"/>
      <c r="W308" s="154"/>
      <c r="X308" s="8"/>
      <c r="Y308" s="8"/>
      <c r="AA308" s="154" t="s">
        <v>149</v>
      </c>
      <c r="AB308" s="154" t="s">
        <v>149</v>
      </c>
      <c r="AC308" s="8" t="s">
        <v>1381</v>
      </c>
      <c r="AG308" s="154" t="s">
        <v>149</v>
      </c>
      <c r="AH308" s="154" t="s">
        <v>149</v>
      </c>
      <c r="AI308" s="154" t="s">
        <v>149</v>
      </c>
      <c r="AJ308" s="8" t="s">
        <v>660</v>
      </c>
      <c r="AL308" s="8" t="s">
        <v>369</v>
      </c>
      <c r="AM308" s="154" t="s">
        <v>149</v>
      </c>
      <c r="AN308" s="154" t="s">
        <v>149</v>
      </c>
      <c r="AO308" s="8"/>
      <c r="AP308" s="8"/>
      <c r="AR308" s="8" t="s">
        <v>395</v>
      </c>
      <c r="AS308" s="8" t="s">
        <v>2873</v>
      </c>
      <c r="AT308" s="8" t="s">
        <v>398</v>
      </c>
      <c r="AU308" s="154" t="s">
        <v>149</v>
      </c>
    </row>
    <row r="309">
      <c r="A309" s="186">
        <v>154.0</v>
      </c>
      <c r="B309" s="152">
        <v>2025.0</v>
      </c>
      <c r="C309" s="153" t="str">
        <f>CONCATENATE(D309, "-", M309, "-", A309)
</f>
        <v>2023-PH045620000-154</v>
      </c>
      <c r="D309" s="152">
        <f>IF(OR(F308="Published", F308="Unpublished"), 2023, IF(F308="New", 2025, ""))
</f>
        <v>2023</v>
      </c>
      <c r="E309" s="151">
        <v>154.0</v>
      </c>
      <c r="F309" s="156" t="s">
        <v>140</v>
      </c>
      <c r="G309" s="156" t="s">
        <v>141</v>
      </c>
      <c r="H309" s="153" t="str">
        <f>IFERROR(__xludf.DUMMYFUNCTION("""COMPUTED_VALUE"""),"**Restoration_project** changed from Fisheries Sector Program to Coral Reef Habitat and Productivity Enhancement through Coral Transplantation and Giant Clam Restocking, **Restoration_project_short** changed from Site in Pinagbayanan to Unknown, **Year of"&amp;" establishment** changed from Unknown to 2001, **Project Start** changed from 1990 to 2001, **Project End** changed from 1994 to 2005, **Restoration method** changed from Artificial Reef to Asexual Reproduction, **Technique/Material Type** changed from Un"&amp;"known to Direct transplantation, **Restoration objective** changed from Unknown to Improve biodiversity and productivity of stressed coral reef habitats in 10 selected demonstration sites, **Funding agency** changed from ADB, Overseas Economic Cooperation"&amp;" Fund of Japan to Pew Marine Conservation Fellowship, **Implementing institution** changed from DA to UP MSI, **Partners_public** changed from MLGU to Unknown, **Reference** changed from Conference Proceeding to Gomez, E., Cabaitan, P., &amp; Vicentuan, K. (2"&amp;"006). Coral culture and transplantation and restocking of giant clams in the Philippines. In J.H. Primavera, E.T. Quinitio, &amp; M. R. R. Eguia (Eds.). Proceedings of the Regional Technical Consultation on Stock Enhancement for Threatened Species of Internat"&amp;"ional Concern, Iloilo City, Philippines, 13-15 July 2005 (pp. 39-48). Tigbaua, Iloilo, Philippines: Aquaculture Department, Southeast Asian Fisheries Development Center. Retrieved from https://aquadocs.org/bitstream/handle/1834/40478/GomezED2006.pdf?seque"&amp;"nce=1&amp;isAllowed=y, **Website** changed from http://pubs.iclarm.net/libinfo/Pdf/Pub%20CP6%2049.pdf to https://aquadocs.org/bitstream/handle/1834/40478/GomezED2006.pdf?sequence=1&amp;isAllowed=y, **Contact_name** changed from Miriam Balgos to Dr. Patrick Cabait"&amp;"an")</f>
        <v>**Restoration_project** changed from Fisheries Sector Program to Coral Reef Habitat and Productivity Enhancement through Coral Transplantation and Giant Clam Restocking, **Restoration_project_short** changed from Site in Pinagbayanan to Unknown, **Year of establishment** changed from Unknown to 2001, **Project Start** changed from 1990 to 2001, **Project End** changed from 1994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ADB, Overseas Economic Cooperation Fund of Japan to Pew Marine Conservation Fellowship, **Implementing institution** changed from DA to UP MSI, **Partners_public** changed from MLGU to Unknown, **Reference** changed from Conference Proceeding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Dr. Patrick Cabaitan</v>
      </c>
      <c r="I309" s="153" t="s">
        <v>6728</v>
      </c>
      <c r="J309" s="153" t="s">
        <v>257</v>
      </c>
      <c r="K309" s="153" t="s">
        <v>497</v>
      </c>
      <c r="L309" s="153" t="s">
        <v>472</v>
      </c>
      <c r="M309" s="181" t="s">
        <v>956</v>
      </c>
      <c r="N309" s="153" t="s">
        <v>6062</v>
      </c>
      <c r="O309" s="153" t="s">
        <v>934</v>
      </c>
      <c r="P309" s="154" t="s">
        <v>149</v>
      </c>
      <c r="Q309" s="169">
        <v>2001.0</v>
      </c>
      <c r="R309" s="175" t="s">
        <v>6229</v>
      </c>
      <c r="S309" s="175" t="s">
        <v>6230</v>
      </c>
      <c r="T309" s="156" t="s">
        <v>177</v>
      </c>
      <c r="U309" s="153">
        <f>IFERROR(__xludf.DUMMYFUNCTION("""COMPUTED_VALUE"""),291.0)</f>
        <v>291</v>
      </c>
      <c r="V309" s="191" t="s">
        <v>3245</v>
      </c>
      <c r="W309" s="179" t="s">
        <v>149</v>
      </c>
      <c r="X309" s="180"/>
      <c r="Y309" s="180" t="s">
        <v>154</v>
      </c>
      <c r="Z309" s="158" t="s">
        <v>179</v>
      </c>
      <c r="AA309" s="153" t="s">
        <v>3245</v>
      </c>
      <c r="AB309" s="153" t="s">
        <v>939</v>
      </c>
      <c r="AC309" s="153" t="s">
        <v>940</v>
      </c>
      <c r="AD309" s="158" t="s">
        <v>6154</v>
      </c>
      <c r="AE309" s="158" t="s">
        <v>206</v>
      </c>
      <c r="AF309" s="158" t="s">
        <v>204</v>
      </c>
      <c r="AG309" s="164" t="s">
        <v>149</v>
      </c>
      <c r="AH309" s="158" t="s">
        <v>149</v>
      </c>
      <c r="AI309" s="158" t="s">
        <v>149</v>
      </c>
      <c r="AJ309" s="153" t="s">
        <v>233</v>
      </c>
      <c r="AK309" s="158" t="s">
        <v>6068</v>
      </c>
      <c r="AL309" s="154" t="s">
        <v>149</v>
      </c>
      <c r="AM309" s="154" t="s">
        <v>149</v>
      </c>
      <c r="AN309" s="154" t="s">
        <v>149</v>
      </c>
      <c r="AO309" s="156">
        <v>1.0</v>
      </c>
      <c r="AP309" s="156" t="s">
        <v>6037</v>
      </c>
      <c r="AQ309" s="158" t="s">
        <v>6214</v>
      </c>
      <c r="AR309" s="153" t="s">
        <v>941</v>
      </c>
      <c r="AS309" s="153" t="s">
        <v>942</v>
      </c>
      <c r="AT309" s="153" t="s">
        <v>943</v>
      </c>
      <c r="AU309" s="154" t="s">
        <v>149</v>
      </c>
    </row>
    <row r="310">
      <c r="A310" s="186">
        <v>155.0</v>
      </c>
      <c r="B310" s="152">
        <v>2023.0</v>
      </c>
      <c r="D310" s="152"/>
      <c r="E310" s="151">
        <v>155.0</v>
      </c>
      <c r="F310" s="129" t="s">
        <v>140</v>
      </c>
      <c r="G310" s="3" t="s">
        <v>6029</v>
      </c>
      <c r="H310" s="8" t="str">
        <f>IFERROR(__xludf.DUMMYFUNCTION("""COMPUTED_VALUE"""),"")</f>
        <v/>
      </c>
      <c r="I310" s="8" t="s">
        <v>6729</v>
      </c>
      <c r="J310" s="8" t="s">
        <v>257</v>
      </c>
      <c r="K310" s="8" t="s">
        <v>497</v>
      </c>
      <c r="L310" s="8" t="s">
        <v>505</v>
      </c>
      <c r="M310" s="153" t="s">
        <v>506</v>
      </c>
      <c r="N310" s="8" t="s">
        <v>151</v>
      </c>
      <c r="O310" s="8" t="s">
        <v>1377</v>
      </c>
      <c r="P310" s="8" t="s">
        <v>1402</v>
      </c>
      <c r="Q310" s="154" t="s">
        <v>149</v>
      </c>
      <c r="R310" s="142" t="s">
        <v>6198</v>
      </c>
      <c r="S310" s="142" t="s">
        <v>6199</v>
      </c>
      <c r="T310" s="8"/>
      <c r="U310" s="8">
        <f>IFERROR(__xludf.DUMMYFUNCTION("""COMPUTED_VALUE"""),292.0)</f>
        <v>292</v>
      </c>
      <c r="V310" s="8"/>
      <c r="W310" s="154"/>
      <c r="X310" s="8"/>
      <c r="Y310" s="8"/>
      <c r="AA310" s="154" t="s">
        <v>149</v>
      </c>
      <c r="AB310" s="154" t="s">
        <v>149</v>
      </c>
      <c r="AC310" s="8" t="s">
        <v>1381</v>
      </c>
      <c r="AG310" s="154" t="s">
        <v>149</v>
      </c>
      <c r="AH310" s="154" t="s">
        <v>149</v>
      </c>
      <c r="AI310" s="154" t="s">
        <v>149</v>
      </c>
      <c r="AJ310" s="8" t="s">
        <v>660</v>
      </c>
      <c r="AL310" s="8" t="s">
        <v>369</v>
      </c>
      <c r="AM310" s="154" t="s">
        <v>149</v>
      </c>
      <c r="AN310" s="154" t="s">
        <v>149</v>
      </c>
      <c r="AO310" s="8"/>
      <c r="AP310" s="8"/>
      <c r="AR310" s="8" t="s">
        <v>395</v>
      </c>
      <c r="AS310" s="8" t="s">
        <v>2873</v>
      </c>
      <c r="AT310" s="8" t="s">
        <v>398</v>
      </c>
      <c r="AU310" s="154" t="s">
        <v>149</v>
      </c>
    </row>
    <row r="311">
      <c r="A311" s="186">
        <v>155.0</v>
      </c>
      <c r="B311" s="152">
        <v>2025.0</v>
      </c>
      <c r="C311" s="153" t="str">
        <f>CONCATENATE(D311, "-", M311, "-", A311)
</f>
        <v>2023-PH045622000-155</v>
      </c>
      <c r="D311" s="152">
        <f>IF(OR(F310="Published", F310="Unpublished"), 2023, IF(F310="New", 2025, ""))
</f>
        <v>2023</v>
      </c>
      <c r="E311" s="151">
        <v>155.0</v>
      </c>
      <c r="F311" s="129" t="s">
        <v>140</v>
      </c>
      <c r="G311" s="156" t="s">
        <v>141</v>
      </c>
      <c r="H311" s="153" t="str">
        <f>IFERROR(__xludf.DUMMYFUNCTION("""COMPUTED_VALUE"""),"**Restoration_project** changed from Fisheries Sector Program to Artificial Reef Development Program, **Restoration_project_short** changed from Site in Pinagsakayan to Site in Hondagua, **Year of establishment** changed from Unknown to 1986, **Project St"&amp;"art** changed from 1990 to 1985, **Project End** changed from 1994 to 1987, **Technique/Material Type** changed from Unknown to tires, **Funding agency** changed from ADB, Overseas Economic Cooperation Fund of Japan to BFAR, **Total units** changed from U"&amp;"nknown to 13 TM, **Implementing institution** changed from DA to BFAR, **Partners_public** changed from MLGU to Ministry of Human Settlements, **Reference** changed from Conference Proceeding to Balgos, M.C. (1995). Evaluation of artificial reef developme"&amp;"nt in the Philippines. In Munro, J.L. &amp; Balgos, M. (eds.) Artificial reefs in the Philippines. ICLARM Conf. Proc. 49, pp. 6-22., **Website** changed from http://pubs.iclarm.net/libinfo/Pdf/Pub%20CP6%2049.pdf to https://core.ac.uk/download/pdf/6515223.pdf;"&amp;" https://www.ircwash.org/sites/default/files/802-PH90-8920.pdf")</f>
        <v>**Restoration_project** changed from Fisheries Sector Program to Artificial Reef Development Program, **Restoration_project_short** changed from Site in Pinagsakayan to Site in Hondagua,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13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11" s="153" t="s">
        <v>6730</v>
      </c>
      <c r="J311" s="153" t="s">
        <v>257</v>
      </c>
      <c r="K311" s="153" t="s">
        <v>497</v>
      </c>
      <c r="L311" s="153" t="s">
        <v>514</v>
      </c>
      <c r="M311" s="181" t="s">
        <v>515</v>
      </c>
      <c r="N311" s="153" t="s">
        <v>151</v>
      </c>
      <c r="O311" s="153" t="s">
        <v>384</v>
      </c>
      <c r="P311" s="153" t="s">
        <v>516</v>
      </c>
      <c r="Q311" s="169">
        <v>1986.0</v>
      </c>
      <c r="R311" s="175" t="s">
        <v>6052</v>
      </c>
      <c r="S311" s="175" t="s">
        <v>6053</v>
      </c>
      <c r="T311" s="161" t="s">
        <v>150</v>
      </c>
      <c r="U311" s="153">
        <f>IFERROR(__xludf.DUMMYFUNCTION("""COMPUTED_VALUE"""),293.0)</f>
        <v>293</v>
      </c>
      <c r="V311" s="162" t="s">
        <v>3311</v>
      </c>
      <c r="W311" s="170" t="s">
        <v>6059</v>
      </c>
      <c r="X311" s="28" t="s">
        <v>6033</v>
      </c>
      <c r="Y311" s="28" t="s">
        <v>386</v>
      </c>
      <c r="Z311" s="176" t="s">
        <v>386</v>
      </c>
      <c r="AA311" s="153" t="s">
        <v>6054</v>
      </c>
      <c r="AB311" s="158" t="s">
        <v>149</v>
      </c>
      <c r="AC311" s="153" t="s">
        <v>390</v>
      </c>
      <c r="AD311" s="158" t="s">
        <v>160</v>
      </c>
      <c r="AE311" s="158" t="s">
        <v>6035</v>
      </c>
      <c r="AF311" s="158" t="s">
        <v>159</v>
      </c>
      <c r="AG311" s="164" t="s">
        <v>149</v>
      </c>
      <c r="AH311" s="158" t="s">
        <v>149</v>
      </c>
      <c r="AI311" s="153" t="s">
        <v>453</v>
      </c>
      <c r="AJ311" s="153" t="s">
        <v>390</v>
      </c>
      <c r="AK311" s="153" t="s">
        <v>6035</v>
      </c>
      <c r="AL311" s="153" t="s">
        <v>6055</v>
      </c>
      <c r="AM311" s="160" t="s">
        <v>149</v>
      </c>
      <c r="AN311" s="160" t="s">
        <v>149</v>
      </c>
      <c r="AO311" s="156">
        <v>1.0</v>
      </c>
      <c r="AP311" s="156" t="s">
        <v>6037</v>
      </c>
      <c r="AQ311" s="158" t="s">
        <v>395</v>
      </c>
      <c r="AR311" s="153" t="s">
        <v>6060</v>
      </c>
      <c r="AS311" s="158" t="s">
        <v>397</v>
      </c>
      <c r="AT311" s="153" t="s">
        <v>398</v>
      </c>
      <c r="AU311" s="160" t="s">
        <v>149</v>
      </c>
    </row>
    <row r="312">
      <c r="A312" s="186">
        <v>156.0</v>
      </c>
      <c r="B312" s="152">
        <v>2023.0</v>
      </c>
      <c r="D312" s="152"/>
      <c r="E312" s="151">
        <v>156.0</v>
      </c>
      <c r="F312" s="129" t="s">
        <v>140</v>
      </c>
      <c r="G312" s="3" t="s">
        <v>6029</v>
      </c>
      <c r="H312" s="8" t="str">
        <f>IFERROR(__xludf.DUMMYFUNCTION("""COMPUTED_VALUE"""),"")</f>
        <v/>
      </c>
      <c r="I312" s="8" t="s">
        <v>6731</v>
      </c>
      <c r="J312" s="8" t="s">
        <v>257</v>
      </c>
      <c r="K312" s="8" t="s">
        <v>497</v>
      </c>
      <c r="L312" s="8" t="s">
        <v>505</v>
      </c>
      <c r="M312" s="153" t="s">
        <v>506</v>
      </c>
      <c r="N312" s="8" t="s">
        <v>151</v>
      </c>
      <c r="O312" s="8" t="s">
        <v>1377</v>
      </c>
      <c r="P312" s="8" t="s">
        <v>1404</v>
      </c>
      <c r="Q312" s="154" t="s">
        <v>149</v>
      </c>
      <c r="R312" s="142" t="s">
        <v>6198</v>
      </c>
      <c r="S312" s="142" t="s">
        <v>6199</v>
      </c>
      <c r="T312" s="8"/>
      <c r="U312" s="8">
        <f>IFERROR(__xludf.DUMMYFUNCTION("""COMPUTED_VALUE"""),294.0)</f>
        <v>294</v>
      </c>
      <c r="V312" s="8"/>
      <c r="W312" s="154"/>
      <c r="X312" s="8"/>
      <c r="Y312" s="8"/>
      <c r="AA312" s="154" t="s">
        <v>149</v>
      </c>
      <c r="AB312" s="154" t="s">
        <v>149</v>
      </c>
      <c r="AC312" s="8" t="s">
        <v>1381</v>
      </c>
      <c r="AG312" s="154" t="s">
        <v>149</v>
      </c>
      <c r="AH312" s="154" t="s">
        <v>149</v>
      </c>
      <c r="AI312" s="154" t="s">
        <v>149</v>
      </c>
      <c r="AJ312" s="8" t="s">
        <v>660</v>
      </c>
      <c r="AL312" s="8" t="s">
        <v>369</v>
      </c>
      <c r="AM312" s="154" t="s">
        <v>149</v>
      </c>
      <c r="AN312" s="154" t="s">
        <v>149</v>
      </c>
      <c r="AO312" s="8"/>
      <c r="AP312" s="8"/>
      <c r="AR312" s="8" t="s">
        <v>395</v>
      </c>
      <c r="AS312" s="8" t="s">
        <v>2873</v>
      </c>
      <c r="AT312" s="8" t="s">
        <v>398</v>
      </c>
      <c r="AU312" s="154" t="s">
        <v>149</v>
      </c>
    </row>
    <row r="313">
      <c r="A313" s="186">
        <v>156.0</v>
      </c>
      <c r="B313" s="152">
        <v>2025.0</v>
      </c>
      <c r="C313" s="153" t="str">
        <f>CONCATENATE(D313, "-", M313, "-", A313)
</f>
        <v>2023-PH045624000-156</v>
      </c>
      <c r="D313" s="152">
        <f>IF(OR(F312="Published", F312="Unpublished"), 2023, IF(F312="New", 2025, ""))
</f>
        <v>2023</v>
      </c>
      <c r="E313" s="151">
        <v>156.0</v>
      </c>
      <c r="F313" s="129" t="s">
        <v>140</v>
      </c>
      <c r="G313" s="156" t="s">
        <v>141</v>
      </c>
      <c r="H313" s="153" t="str">
        <f>IFERROR(__xludf.DUMMYFUNCTION("""COMPUTED_VALUE"""),"**Restoration_project_short** changed from Site in Atulayan to Site stated as Mayao Castillo; now part of Lucena City, **Year of establishment** changed from Unknown to 1992, **Reference** changed from Conference Proceeding to Balgos, M.C. (1995). Evaluat"&amp;"ion of artificial reef development in the Philippines. In Munro, J.L. &amp; Balgos, M. (eds.) Artificial reefs in the Philippines. ICLARM Conf. Proc. 49, pp. 6-22., **Website** changed from http://pubs.iclarm.net/libinfo/Pdf/Pub%20CP6%2049.pdf to https://core"&amp;".ac.uk/download/pdf/6515223.pdf;")</f>
        <v>**Restoration_project_short** changed from Site in Atulayan to Site stated as Mayao Castillo; now part of Lucena City,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13" s="153" t="s">
        <v>6732</v>
      </c>
      <c r="J313" s="153" t="s">
        <v>257</v>
      </c>
      <c r="K313" s="153" t="s">
        <v>497</v>
      </c>
      <c r="L313" s="153" t="s">
        <v>6733</v>
      </c>
      <c r="M313" s="181" t="s">
        <v>1410</v>
      </c>
      <c r="N313" s="153" t="s">
        <v>151</v>
      </c>
      <c r="O313" s="153" t="s">
        <v>1377</v>
      </c>
      <c r="P313" s="153" t="s">
        <v>6734</v>
      </c>
      <c r="Q313" s="178">
        <v>1992.0</v>
      </c>
      <c r="R313" s="175" t="s">
        <v>6198</v>
      </c>
      <c r="S313" s="175" t="s">
        <v>6199</v>
      </c>
      <c r="T313" s="161" t="s">
        <v>150</v>
      </c>
      <c r="U313" s="153">
        <f>IFERROR(__xludf.DUMMYFUNCTION("""COMPUTED_VALUE"""),295.0)</f>
        <v>295</v>
      </c>
      <c r="V313" s="162" t="s">
        <v>3311</v>
      </c>
      <c r="W313" s="187" t="s">
        <v>149</v>
      </c>
      <c r="X313" s="184"/>
      <c r="Y313" s="184" t="s">
        <v>149</v>
      </c>
      <c r="Z313" s="158" t="s">
        <v>149</v>
      </c>
      <c r="AA313" s="158" t="s">
        <v>149</v>
      </c>
      <c r="AB313" s="158" t="s">
        <v>149</v>
      </c>
      <c r="AC313" s="153" t="s">
        <v>1381</v>
      </c>
      <c r="AD313" s="158" t="s">
        <v>6154</v>
      </c>
      <c r="AE313" s="158" t="s">
        <v>206</v>
      </c>
      <c r="AF313" s="158" t="s">
        <v>159</v>
      </c>
      <c r="AG313" s="164" t="s">
        <v>149</v>
      </c>
      <c r="AH313" s="158" t="s">
        <v>149</v>
      </c>
      <c r="AI313" s="158" t="s">
        <v>149</v>
      </c>
      <c r="AJ313" s="153" t="s">
        <v>660</v>
      </c>
      <c r="AK313" s="153" t="s">
        <v>6035</v>
      </c>
      <c r="AL313" s="153" t="s">
        <v>369</v>
      </c>
      <c r="AM313" s="160" t="s">
        <v>149</v>
      </c>
      <c r="AN313" s="160" t="s">
        <v>149</v>
      </c>
      <c r="AO313" s="156">
        <v>1.0</v>
      </c>
      <c r="AP313" s="156" t="s">
        <v>6037</v>
      </c>
      <c r="AQ313" s="158" t="s">
        <v>395</v>
      </c>
      <c r="AR313" s="153" t="s">
        <v>6060</v>
      </c>
      <c r="AS313" s="158" t="s">
        <v>6711</v>
      </c>
      <c r="AT313" s="153" t="s">
        <v>398</v>
      </c>
      <c r="AU313" s="160" t="s">
        <v>149</v>
      </c>
    </row>
    <row r="314">
      <c r="A314" s="186">
        <v>157.0</v>
      </c>
      <c r="B314" s="152">
        <v>2023.0</v>
      </c>
      <c r="D314" s="152"/>
      <c r="E314" s="151">
        <v>157.0</v>
      </c>
      <c r="F314" s="129" t="s">
        <v>140</v>
      </c>
      <c r="G314" s="3" t="s">
        <v>6029</v>
      </c>
      <c r="H314" s="8" t="str">
        <f>IFERROR(__xludf.DUMMYFUNCTION("""COMPUTED_VALUE"""),"")</f>
        <v/>
      </c>
      <c r="I314" s="8" t="s">
        <v>6735</v>
      </c>
      <c r="J314" s="8" t="s">
        <v>257</v>
      </c>
      <c r="K314" s="8" t="s">
        <v>497</v>
      </c>
      <c r="L314" s="8" t="s">
        <v>1406</v>
      </c>
      <c r="M314" s="153" t="s">
        <v>1407</v>
      </c>
      <c r="N314" s="8" t="s">
        <v>151</v>
      </c>
      <c r="O314" s="8" t="s">
        <v>1377</v>
      </c>
      <c r="P314" s="154" t="s">
        <v>149</v>
      </c>
      <c r="Q314" s="154" t="s">
        <v>149</v>
      </c>
      <c r="R314" s="174" t="s">
        <v>6198</v>
      </c>
      <c r="S314" s="174" t="s">
        <v>6199</v>
      </c>
      <c r="T314" s="8"/>
      <c r="U314" s="8">
        <f>IFERROR(__xludf.DUMMYFUNCTION("""COMPUTED_VALUE"""),296.0)</f>
        <v>296</v>
      </c>
      <c r="V314" s="8"/>
      <c r="W314" s="154"/>
      <c r="X314" s="8"/>
      <c r="Y314" s="8"/>
      <c r="AA314" s="154" t="s">
        <v>149</v>
      </c>
      <c r="AB314" s="154" t="s">
        <v>149</v>
      </c>
      <c r="AC314" s="8" t="s">
        <v>1381</v>
      </c>
      <c r="AG314" s="154" t="s">
        <v>149</v>
      </c>
      <c r="AH314" s="154" t="s">
        <v>149</v>
      </c>
      <c r="AI314" s="154" t="s">
        <v>149</v>
      </c>
      <c r="AJ314" s="8" t="s">
        <v>660</v>
      </c>
      <c r="AL314" s="8" t="s">
        <v>369</v>
      </c>
      <c r="AM314" s="154" t="s">
        <v>149</v>
      </c>
      <c r="AN314" s="154" t="s">
        <v>149</v>
      </c>
      <c r="AO314" s="8"/>
      <c r="AP314" s="8"/>
      <c r="AR314" s="8" t="s">
        <v>395</v>
      </c>
      <c r="AS314" s="8" t="s">
        <v>2873</v>
      </c>
      <c r="AT314" s="8" t="s">
        <v>398</v>
      </c>
      <c r="AU314" s="154" t="s">
        <v>149</v>
      </c>
    </row>
    <row r="315">
      <c r="A315" s="186">
        <v>157.0</v>
      </c>
      <c r="B315" s="152">
        <v>2025.0</v>
      </c>
      <c r="C315" s="153" t="str">
        <f>CONCATENATE(D315, "-", M315, "-", A315)
</f>
        <v>2023-PH045624000-157</v>
      </c>
      <c r="D315" s="152">
        <f>IF(OR(F314="Published", F314="Unpublished"), 2023, IF(F314="New", 2025, ""))
</f>
        <v>2023</v>
      </c>
      <c r="E315" s="151">
        <v>157.0</v>
      </c>
      <c r="F315" s="129" t="s">
        <v>140</v>
      </c>
      <c r="G315" s="156" t="s">
        <v>141</v>
      </c>
      <c r="H315" s="153" t="str">
        <f>IFERROR(__xludf.DUMMYFUNCTION("""COMPUTED_VALUE"""),"**Restoration_project_short** changed from Unknown to Site in Barra, **Year of establishment** changed from Unknown to 1992, **Reference** changed from Conference Proceeding to Balgos, M.C. (1995). Evaluation of artificial reef development in the Philippi"&amp;"nes. In Munro, J.L. &amp; Balgos, M. (eds.) Artificial reefs in the Philippines. ICLARM Conf. Proc. 49, pp. 6-22., **Website** changed from http://pubs.iclarm.net/libinfo/Pdf/Pub%20CP6%2049.pdf to https://core.ac.uk/download/pdf/6515223.pdf;")</f>
        <v>**Restoration_project_short** changed from Unknown to Site in Barra,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15" s="153" t="s">
        <v>6736</v>
      </c>
      <c r="J315" s="153" t="s">
        <v>257</v>
      </c>
      <c r="K315" s="153" t="s">
        <v>497</v>
      </c>
      <c r="L315" s="153" t="s">
        <v>6737</v>
      </c>
      <c r="M315" s="181" t="s">
        <v>1410</v>
      </c>
      <c r="N315" s="153" t="s">
        <v>151</v>
      </c>
      <c r="O315" s="153" t="s">
        <v>1377</v>
      </c>
      <c r="P315" s="153" t="s">
        <v>1413</v>
      </c>
      <c r="Q315" s="178">
        <v>1992.0</v>
      </c>
      <c r="R315" s="175" t="s">
        <v>6198</v>
      </c>
      <c r="S315" s="175" t="s">
        <v>6199</v>
      </c>
      <c r="T315" s="161" t="s">
        <v>150</v>
      </c>
      <c r="U315" s="153">
        <f>IFERROR(__xludf.DUMMYFUNCTION("""COMPUTED_VALUE"""),297.0)</f>
        <v>297</v>
      </c>
      <c r="V315" s="162" t="s">
        <v>3311</v>
      </c>
      <c r="W315" s="187" t="s">
        <v>149</v>
      </c>
      <c r="X315" s="184"/>
      <c r="Y315" s="184" t="s">
        <v>149</v>
      </c>
      <c r="Z315" s="158" t="s">
        <v>149</v>
      </c>
      <c r="AA315" s="158" t="s">
        <v>149</v>
      </c>
      <c r="AB315" s="158" t="s">
        <v>149</v>
      </c>
      <c r="AC315" s="153" t="s">
        <v>1381</v>
      </c>
      <c r="AD315" s="158" t="s">
        <v>6154</v>
      </c>
      <c r="AE315" s="158" t="s">
        <v>206</v>
      </c>
      <c r="AF315" s="158" t="s">
        <v>159</v>
      </c>
      <c r="AG315" s="164" t="s">
        <v>149</v>
      </c>
      <c r="AH315" s="158" t="s">
        <v>149</v>
      </c>
      <c r="AI315" s="158" t="s">
        <v>149</v>
      </c>
      <c r="AJ315" s="153" t="s">
        <v>660</v>
      </c>
      <c r="AK315" s="153" t="s">
        <v>6035</v>
      </c>
      <c r="AL315" s="153" t="s">
        <v>369</v>
      </c>
      <c r="AM315" s="160" t="s">
        <v>149</v>
      </c>
      <c r="AN315" s="160" t="s">
        <v>149</v>
      </c>
      <c r="AO315" s="156">
        <v>1.0</v>
      </c>
      <c r="AP315" s="156" t="s">
        <v>6037</v>
      </c>
      <c r="AQ315" s="158" t="s">
        <v>395</v>
      </c>
      <c r="AR315" s="153" t="s">
        <v>6060</v>
      </c>
      <c r="AS315" s="158" t="s">
        <v>6711</v>
      </c>
      <c r="AT315" s="153" t="s">
        <v>398</v>
      </c>
      <c r="AU315" s="160" t="s">
        <v>149</v>
      </c>
    </row>
    <row r="316">
      <c r="A316" s="186">
        <v>158.0</v>
      </c>
      <c r="B316" s="152">
        <v>2023.0</v>
      </c>
      <c r="D316" s="152"/>
      <c r="E316" s="151">
        <v>158.0</v>
      </c>
      <c r="F316" s="129" t="s">
        <v>140</v>
      </c>
      <c r="G316" s="3" t="s">
        <v>6029</v>
      </c>
      <c r="H316" s="8" t="str">
        <f>IFERROR(__xludf.DUMMYFUNCTION("""COMPUTED_VALUE"""),"")</f>
        <v/>
      </c>
      <c r="I316" s="8" t="s">
        <v>6738</v>
      </c>
      <c r="J316" s="8" t="s">
        <v>257</v>
      </c>
      <c r="K316" s="8" t="s">
        <v>497</v>
      </c>
      <c r="L316" s="8" t="s">
        <v>510</v>
      </c>
      <c r="M316" s="153" t="s">
        <v>511</v>
      </c>
      <c r="N316" s="8" t="s">
        <v>151</v>
      </c>
      <c r="O316" s="8" t="s">
        <v>384</v>
      </c>
      <c r="P316" s="8" t="s">
        <v>512</v>
      </c>
      <c r="Q316" s="142" t="s">
        <v>6051</v>
      </c>
      <c r="R316" s="142" t="s">
        <v>6052</v>
      </c>
      <c r="S316" s="142" t="s">
        <v>6053</v>
      </c>
      <c r="T316" s="8"/>
      <c r="U316" s="8">
        <f>IFERROR(__xludf.DUMMYFUNCTION("""COMPUTED_VALUE"""),298.0)</f>
        <v>298</v>
      </c>
      <c r="V316" s="8"/>
      <c r="W316" s="8"/>
      <c r="X316" s="8"/>
      <c r="Y316" s="8"/>
      <c r="AA316" s="8" t="s">
        <v>6054</v>
      </c>
      <c r="AB316" s="154" t="s">
        <v>149</v>
      </c>
      <c r="AC316" s="8" t="s">
        <v>390</v>
      </c>
      <c r="AG316" s="154" t="s">
        <v>149</v>
      </c>
      <c r="AH316" s="154" t="s">
        <v>149</v>
      </c>
      <c r="AI316" s="8" t="s">
        <v>503</v>
      </c>
      <c r="AJ316" s="8" t="s">
        <v>390</v>
      </c>
      <c r="AL316" s="8" t="s">
        <v>6055</v>
      </c>
      <c r="AM316" s="154" t="s">
        <v>149</v>
      </c>
      <c r="AN316" s="154" t="s">
        <v>149</v>
      </c>
      <c r="AO316" s="8"/>
      <c r="AP316" s="8"/>
      <c r="AR316" s="8" t="s">
        <v>6057</v>
      </c>
      <c r="AS316" s="8" t="s">
        <v>2873</v>
      </c>
      <c r="AT316" s="8" t="s">
        <v>398</v>
      </c>
      <c r="AU316" s="154" t="s">
        <v>149</v>
      </c>
    </row>
    <row r="317">
      <c r="A317" s="186">
        <v>158.0</v>
      </c>
      <c r="B317" s="152">
        <v>2025.0</v>
      </c>
      <c r="C317" s="153" t="str">
        <f t="shared" ref="C317:C318" si="25">CONCATENATE(D317, "-", M317, "-", A317)
</f>
        <v>2023-PH045625000-158</v>
      </c>
      <c r="D317" s="152">
        <f t="shared" ref="D317:D318" si="26">IF(OR(F316="Published", F316="Unpublished"), 2023, IF(F316="New", 2025, ""))
</f>
        <v>2023</v>
      </c>
      <c r="E317" s="151">
        <v>158.0</v>
      </c>
      <c r="F317" s="156" t="s">
        <v>140</v>
      </c>
      <c r="G317" s="156" t="s">
        <v>141</v>
      </c>
      <c r="H317" s="153" t="str">
        <f>IFERROR(__xludf.DUMMYFUNCTION("""COMPUTED_VALUE"""),"**Restoration_project** changed from Artificial Reef Development Program to Fisheries Sector Program, **Restoration_project_short** changed from Site in Camuhaguin to Unknown, **Year of establishment** changed from 1986 to 1992, **Project Start** changed "&amp;"from 1985 to 1990, **Project End** changed from 1987 to 1994, **Technique/Material Type** changed from tires to Unknown, **Funding agency** changed from BFAR to ADB, Overseas Economic Cooperation Fund of Japan , **Total units** changed from 3 TM to Unknow"&amp;"n, **Implementing institution** changed from BFAR to DA, **Partners_public** changed from Ministry of Human Settlements to MLGU, **Reference** changed from Conference Proceediing to Balgos, M.C. (1995). Evaluation of artificial reef development in the Phi"&amp;"lippines.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Camuhaguin to Unknown,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17" s="153" t="s">
        <v>6739</v>
      </c>
      <c r="J317" s="153" t="s">
        <v>257</v>
      </c>
      <c r="K317" s="153" t="s">
        <v>497</v>
      </c>
      <c r="L317" s="153" t="s">
        <v>1415</v>
      </c>
      <c r="M317" s="181" t="s">
        <v>1416</v>
      </c>
      <c r="N317" s="153" t="s">
        <v>151</v>
      </c>
      <c r="O317" s="153" t="s">
        <v>1377</v>
      </c>
      <c r="P317" s="166" t="s">
        <v>149</v>
      </c>
      <c r="Q317" s="178">
        <v>1992.0</v>
      </c>
      <c r="R317" s="175" t="s">
        <v>6198</v>
      </c>
      <c r="S317" s="175" t="s">
        <v>6199</v>
      </c>
      <c r="T317" s="161" t="s">
        <v>150</v>
      </c>
      <c r="U317" s="153">
        <f>IFERROR(__xludf.DUMMYFUNCTION("""COMPUTED_VALUE"""),299.0)</f>
        <v>299</v>
      </c>
      <c r="V317" s="162" t="s">
        <v>3311</v>
      </c>
      <c r="W317" s="187" t="s">
        <v>149</v>
      </c>
      <c r="X317" s="184"/>
      <c r="Y317" s="184" t="s">
        <v>149</v>
      </c>
      <c r="Z317" s="158" t="s">
        <v>149</v>
      </c>
      <c r="AA317" s="158" t="s">
        <v>149</v>
      </c>
      <c r="AB317" s="158" t="s">
        <v>149</v>
      </c>
      <c r="AC317" s="153" t="s">
        <v>1381</v>
      </c>
      <c r="AD317" s="158" t="s">
        <v>6154</v>
      </c>
      <c r="AE317" s="158" t="s">
        <v>206</v>
      </c>
      <c r="AF317" s="158" t="s">
        <v>159</v>
      </c>
      <c r="AG317" s="164" t="s">
        <v>149</v>
      </c>
      <c r="AH317" s="158" t="s">
        <v>149</v>
      </c>
      <c r="AI317" s="158" t="s">
        <v>149</v>
      </c>
      <c r="AJ317" s="153" t="s">
        <v>660</v>
      </c>
      <c r="AK317" s="153" t="s">
        <v>6035</v>
      </c>
      <c r="AL317" s="153" t="s">
        <v>369</v>
      </c>
      <c r="AM317" s="166" t="s">
        <v>149</v>
      </c>
      <c r="AN317" s="166" t="s">
        <v>149</v>
      </c>
      <c r="AO317" s="156">
        <v>1.0</v>
      </c>
      <c r="AP317" s="156" t="s">
        <v>6037</v>
      </c>
      <c r="AQ317" s="158" t="s">
        <v>395</v>
      </c>
      <c r="AR317" s="153" t="s">
        <v>6060</v>
      </c>
      <c r="AS317" s="177" t="s">
        <v>6711</v>
      </c>
      <c r="AT317" s="153" t="s">
        <v>398</v>
      </c>
      <c r="AU317" s="166" t="s">
        <v>149</v>
      </c>
    </row>
    <row r="318">
      <c r="A318" s="186">
        <v>159.0</v>
      </c>
      <c r="B318" s="152">
        <v>2025.0</v>
      </c>
      <c r="C318" s="153" t="str">
        <f t="shared" si="25"/>
        <v>2023-PH045633000-159</v>
      </c>
      <c r="D318" s="152">
        <f t="shared" si="26"/>
        <v>2023</v>
      </c>
      <c r="E318" s="151">
        <v>159.0</v>
      </c>
      <c r="F318" s="156" t="s">
        <v>140</v>
      </c>
      <c r="G318" s="156" t="s">
        <v>141</v>
      </c>
      <c r="H318" s="153" t="str">
        <f>IFERROR(__xludf.DUMMYFUNCTION("""COMPUTED_VALUE"""),"**Restoration_project_short** changed from Unknown to Site in Pinagtubigan East")</f>
        <v>**Restoration_project_short** changed from Unknown to Site in Pinagtubigan East</v>
      </c>
      <c r="I318" s="153" t="s">
        <v>6740</v>
      </c>
      <c r="J318" s="153" t="s">
        <v>257</v>
      </c>
      <c r="K318" s="153" t="s">
        <v>497</v>
      </c>
      <c r="L318" s="153" t="s">
        <v>1418</v>
      </c>
      <c r="M318" s="181" t="s">
        <v>1419</v>
      </c>
      <c r="N318" s="153" t="s">
        <v>151</v>
      </c>
      <c r="O318" s="153" t="s">
        <v>1377</v>
      </c>
      <c r="P318" s="153" t="s">
        <v>1420</v>
      </c>
      <c r="Q318" s="178">
        <v>1992.0</v>
      </c>
      <c r="R318" s="175" t="s">
        <v>6198</v>
      </c>
      <c r="S318" s="175" t="s">
        <v>6199</v>
      </c>
      <c r="T318" s="161" t="s">
        <v>150</v>
      </c>
      <c r="U318" s="153">
        <f>IFERROR(__xludf.DUMMYFUNCTION("""COMPUTED_VALUE"""),300.0)</f>
        <v>300</v>
      </c>
      <c r="V318" s="162" t="s">
        <v>3311</v>
      </c>
      <c r="W318" s="187" t="s">
        <v>149</v>
      </c>
      <c r="X318" s="184"/>
      <c r="Y318" s="184" t="s">
        <v>149</v>
      </c>
      <c r="Z318" s="158" t="s">
        <v>149</v>
      </c>
      <c r="AA318" s="158" t="s">
        <v>149</v>
      </c>
      <c r="AB318" s="158" t="s">
        <v>149</v>
      </c>
      <c r="AC318" s="153" t="s">
        <v>1381</v>
      </c>
      <c r="AD318" s="158" t="s">
        <v>6154</v>
      </c>
      <c r="AE318" s="158" t="s">
        <v>206</v>
      </c>
      <c r="AF318" s="158" t="s">
        <v>159</v>
      </c>
      <c r="AG318" s="164" t="s">
        <v>149</v>
      </c>
      <c r="AH318" s="158" t="s">
        <v>149</v>
      </c>
      <c r="AI318" s="158" t="s">
        <v>149</v>
      </c>
      <c r="AJ318" s="153" t="s">
        <v>660</v>
      </c>
      <c r="AK318" s="153" t="s">
        <v>6035</v>
      </c>
      <c r="AL318" s="153" t="s">
        <v>369</v>
      </c>
      <c r="AM318" s="166" t="s">
        <v>149</v>
      </c>
      <c r="AN318" s="166" t="s">
        <v>149</v>
      </c>
      <c r="AO318" s="156">
        <v>1.0</v>
      </c>
      <c r="AP318" s="156" t="s">
        <v>6037</v>
      </c>
      <c r="AQ318" s="158" t="s">
        <v>395</v>
      </c>
      <c r="AR318" s="153" t="s">
        <v>6060</v>
      </c>
      <c r="AS318" s="158" t="s">
        <v>6711</v>
      </c>
      <c r="AT318" s="153" t="s">
        <v>398</v>
      </c>
      <c r="AU318" s="166" t="s">
        <v>149</v>
      </c>
    </row>
    <row r="319">
      <c r="A319" s="186">
        <v>159.0</v>
      </c>
      <c r="B319" s="152">
        <v>2023.0</v>
      </c>
      <c r="D319" s="152"/>
      <c r="E319" s="151">
        <v>159.0</v>
      </c>
      <c r="F319" s="129" t="s">
        <v>140</v>
      </c>
      <c r="G319" s="3" t="s">
        <v>3279</v>
      </c>
      <c r="H319" s="8" t="str">
        <f>IFERROR(__xludf.DUMMYFUNCTION("""COMPUTED_VALUE"""),"")</f>
        <v/>
      </c>
      <c r="I319" s="8" t="s">
        <v>6741</v>
      </c>
      <c r="J319" s="8" t="s">
        <v>257</v>
      </c>
      <c r="K319" s="8" t="s">
        <v>497</v>
      </c>
      <c r="L319" s="8" t="s">
        <v>510</v>
      </c>
      <c r="M319" s="153" t="s">
        <v>511</v>
      </c>
      <c r="N319" s="8" t="s">
        <v>151</v>
      </c>
      <c r="O319" s="8" t="s">
        <v>6742</v>
      </c>
      <c r="Q319" s="142" t="s">
        <v>6064</v>
      </c>
      <c r="R319" s="142"/>
      <c r="S319" s="142"/>
      <c r="U319" s="8">
        <f>IFERROR(__xludf.DUMMYFUNCTION("""COMPUTED_VALUE"""),301.0)</f>
        <v>301</v>
      </c>
      <c r="V319" s="8"/>
      <c r="W319" s="8"/>
      <c r="AC319" s="8" t="s">
        <v>1594</v>
      </c>
      <c r="AG319" s="142"/>
      <c r="AJ319" s="8" t="s">
        <v>6743</v>
      </c>
      <c r="AO319" s="8"/>
      <c r="AP319" s="8"/>
      <c r="AR319" s="8" t="s">
        <v>6038</v>
      </c>
      <c r="AS319" s="8" t="s">
        <v>6744</v>
      </c>
    </row>
    <row r="320">
      <c r="A320" s="186">
        <v>160.0</v>
      </c>
      <c r="B320" s="152">
        <v>2023.0</v>
      </c>
      <c r="D320" s="152"/>
      <c r="E320" s="151">
        <v>160.0</v>
      </c>
      <c r="F320" s="129" t="s">
        <v>140</v>
      </c>
      <c r="G320" s="3" t="s">
        <v>6029</v>
      </c>
      <c r="H320" s="8" t="str">
        <f>IFERROR(__xludf.DUMMYFUNCTION("""COMPUTED_VALUE"""),"")</f>
        <v/>
      </c>
      <c r="I320" s="8" t="s">
        <v>6745</v>
      </c>
      <c r="J320" s="8" t="s">
        <v>257</v>
      </c>
      <c r="K320" s="8" t="s">
        <v>497</v>
      </c>
      <c r="L320" s="8" t="s">
        <v>472</v>
      </c>
      <c r="M320" s="198" t="s">
        <v>956</v>
      </c>
      <c r="N320" s="8" t="s">
        <v>6062</v>
      </c>
      <c r="O320" s="8" t="s">
        <v>934</v>
      </c>
      <c r="P320" s="154" t="s">
        <v>149</v>
      </c>
      <c r="Q320" s="142" t="s">
        <v>6229</v>
      </c>
      <c r="R320" s="142" t="s">
        <v>6229</v>
      </c>
      <c r="S320" s="142" t="s">
        <v>6230</v>
      </c>
      <c r="T320" s="8"/>
      <c r="U320" s="8">
        <f>IFERROR(__xludf.DUMMYFUNCTION("""COMPUTED_VALUE"""),302.0)</f>
        <v>302</v>
      </c>
      <c r="V320" s="8"/>
      <c r="W320" s="3"/>
      <c r="X320" s="8"/>
      <c r="Y320" s="8"/>
      <c r="AA320" s="3" t="s">
        <v>3245</v>
      </c>
      <c r="AB320" s="8" t="s">
        <v>939</v>
      </c>
      <c r="AC320" s="8" t="s">
        <v>940</v>
      </c>
      <c r="AG320" s="154" t="s">
        <v>149</v>
      </c>
      <c r="AH320" s="154" t="s">
        <v>149</v>
      </c>
      <c r="AI320" s="154" t="s">
        <v>149</v>
      </c>
      <c r="AJ320" s="8" t="s">
        <v>233</v>
      </c>
      <c r="AL320" s="154" t="s">
        <v>149</v>
      </c>
      <c r="AM320" s="154" t="s">
        <v>149</v>
      </c>
      <c r="AN320" s="154" t="s">
        <v>149</v>
      </c>
      <c r="AO320" s="8"/>
      <c r="AP320" s="8"/>
      <c r="AR320" s="8" t="s">
        <v>6214</v>
      </c>
      <c r="AS320" s="8" t="s">
        <v>942</v>
      </c>
      <c r="AT320" s="8" t="s">
        <v>943</v>
      </c>
      <c r="AU320" s="154" t="s">
        <v>149</v>
      </c>
    </row>
    <row r="321">
      <c r="A321" s="186">
        <v>160.0</v>
      </c>
      <c r="B321" s="152">
        <v>2025.0</v>
      </c>
      <c r="C321" s="153" t="str">
        <f>CONCATENATE(D321, "-", M321, "-", A321)
</f>
        <v>2023-PH045633000-160</v>
      </c>
      <c r="D321" s="152">
        <f>IF(OR(F320="Published", F320="Unpublished"), 2023, IF(F320="New", 2025, ""))
</f>
        <v>2023</v>
      </c>
      <c r="E321" s="151">
        <v>160.0</v>
      </c>
      <c r="F321" s="156" t="s">
        <v>140</v>
      </c>
      <c r="G321" s="156" t="s">
        <v>141</v>
      </c>
      <c r="H321" s="153" t="str">
        <f>IFERROR(__xludf.DUMMYFUNCTION("""COMPUTED_VALUE"""),"**Restoration_project** changed from Coral Reef Habitat and Productivity Enhancement through Coral Transplantation and Giant Clam Restocking to Fisheries Sector Program, **Restoration_project_short** changed from Unknown to Site in Pinagtubigan West, **Ye"&amp;"ar of establishment** changed from 2001 to 1992, **Project Start** changed from 2001 to 1990, **Project End** changed from 2005 to 1994, **Restoration method** changed from Asexual Reproduction to Artificial Reef, **Technique/Material Type** changed from "&amp;"Direct transplantation to Unknown, **Restoration objective** changed from Improve biodiversity and productivity of stressed coral reef habitats in 10 selected demonstration sites to Unknown, **Funding agency** changed from Pew Marine Conservation Fellowsh"&amp;"ip to ADB, Overseas Economic Cooperation Fund of Japan , **Implementing institution** changed from UP MSI to DA, **Partners_public** changed from Unknown to MLGU, **Reference** changed from Published article to Balgos, M.C. (1995). Evaluation of artificia"&amp;"l reef development in the Philippines. In Munro, J.L. &amp; Balgos, M. (eds.) Artificial reefs in the Philippines. ICLARM Conf. Proc. 49, pp. 6-22., **Website** changed from https://aquadocs.org/bitstream/handle/1834/40478/GomezED2006.pdf?sequence=1&amp;isAllowed"&amp;"=y to https://core.ac.uk/download/pdf/6515223.pdf;, **Contact_name** changed from Dr. Patrick Cabaitan to Miriam Balgos")</f>
        <v>**Restoration_project** changed from Coral Reef Habitat and Productivity Enhancement through Coral Transplantation and Giant Clam Restocking to Fisheries Sector Program, **Restoration_project_short** changed from Unknown to Site in Pinagtubigan West, **Year of establishment** changed from 2001 to 1992, **Project Start** changed from 2001 to 1990, **Project End** changed from 2005 to 1994,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ADB, Overseas Economic Cooperation Fund of Japan , **Implementing institution** changed from UP MSI to DA, **Partners_public** changed from Unknown to MLGU, **Reference** changed from Published article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321" s="153" t="s">
        <v>6746</v>
      </c>
      <c r="J321" s="153" t="s">
        <v>257</v>
      </c>
      <c r="K321" s="153" t="s">
        <v>497</v>
      </c>
      <c r="L321" s="153" t="s">
        <v>1418</v>
      </c>
      <c r="M321" s="181" t="s">
        <v>1419</v>
      </c>
      <c r="N321" s="153" t="s">
        <v>151</v>
      </c>
      <c r="O321" s="153" t="s">
        <v>1377</v>
      </c>
      <c r="P321" s="153" t="s">
        <v>1422</v>
      </c>
      <c r="Q321" s="178">
        <v>1992.0</v>
      </c>
      <c r="R321" s="175" t="s">
        <v>6198</v>
      </c>
      <c r="S321" s="175" t="s">
        <v>6199</v>
      </c>
      <c r="T321" s="161" t="s">
        <v>150</v>
      </c>
      <c r="U321" s="153">
        <f>IFERROR(__xludf.DUMMYFUNCTION("""COMPUTED_VALUE"""),303.0)</f>
        <v>303</v>
      </c>
      <c r="V321" s="162" t="s">
        <v>3311</v>
      </c>
      <c r="W321" s="187" t="s">
        <v>149</v>
      </c>
      <c r="X321" s="184"/>
      <c r="Y321" s="184" t="s">
        <v>149</v>
      </c>
      <c r="Z321" s="158" t="s">
        <v>149</v>
      </c>
      <c r="AA321" s="158" t="s">
        <v>149</v>
      </c>
      <c r="AB321" s="158" t="s">
        <v>149</v>
      </c>
      <c r="AC321" s="153" t="s">
        <v>1381</v>
      </c>
      <c r="AD321" s="158" t="s">
        <v>6154</v>
      </c>
      <c r="AE321" s="158" t="s">
        <v>206</v>
      </c>
      <c r="AF321" s="158" t="s">
        <v>159</v>
      </c>
      <c r="AG321" s="164" t="s">
        <v>149</v>
      </c>
      <c r="AH321" s="158" t="s">
        <v>149</v>
      </c>
      <c r="AI321" s="158" t="s">
        <v>149</v>
      </c>
      <c r="AJ321" s="153" t="s">
        <v>660</v>
      </c>
      <c r="AK321" s="153" t="s">
        <v>6035</v>
      </c>
      <c r="AL321" s="153" t="s">
        <v>369</v>
      </c>
      <c r="AM321" s="166" t="s">
        <v>149</v>
      </c>
      <c r="AN321" s="166" t="s">
        <v>149</v>
      </c>
      <c r="AO321" s="156">
        <v>1.0</v>
      </c>
      <c r="AP321" s="156" t="s">
        <v>6037</v>
      </c>
      <c r="AQ321" s="158" t="s">
        <v>395</v>
      </c>
      <c r="AR321" s="153" t="s">
        <v>6060</v>
      </c>
      <c r="AS321" s="158" t="s">
        <v>6711</v>
      </c>
      <c r="AT321" s="153" t="s">
        <v>398</v>
      </c>
      <c r="AU321" s="166" t="s">
        <v>149</v>
      </c>
    </row>
    <row r="322">
      <c r="A322" s="186">
        <v>161.0</v>
      </c>
      <c r="B322" s="152">
        <v>2023.0</v>
      </c>
      <c r="D322" s="152"/>
      <c r="E322" s="151">
        <v>161.0</v>
      </c>
      <c r="F322" s="129" t="s">
        <v>140</v>
      </c>
      <c r="G322" s="3" t="s">
        <v>6029</v>
      </c>
      <c r="H322" s="8" t="str">
        <f>IFERROR(__xludf.DUMMYFUNCTION("""COMPUTED_VALUE"""),"")</f>
        <v/>
      </c>
      <c r="I322" s="8" t="s">
        <v>6747</v>
      </c>
      <c r="J322" s="8" t="s">
        <v>257</v>
      </c>
      <c r="K322" s="8" t="s">
        <v>497</v>
      </c>
      <c r="L322" s="8" t="s">
        <v>514</v>
      </c>
      <c r="M322" s="153" t="s">
        <v>515</v>
      </c>
      <c r="N322" s="8" t="s">
        <v>151</v>
      </c>
      <c r="O322" s="8" t="s">
        <v>384</v>
      </c>
      <c r="P322" s="8" t="s">
        <v>516</v>
      </c>
      <c r="Q322" s="142" t="s">
        <v>6051</v>
      </c>
      <c r="R322" s="142" t="s">
        <v>6052</v>
      </c>
      <c r="S322" s="142" t="s">
        <v>6053</v>
      </c>
      <c r="T322" s="8"/>
      <c r="U322" s="8">
        <f>IFERROR(__xludf.DUMMYFUNCTION("""COMPUTED_VALUE"""),304.0)</f>
        <v>304</v>
      </c>
      <c r="V322" s="8"/>
      <c r="W322" s="8"/>
      <c r="X322" s="8"/>
      <c r="Y322" s="8"/>
      <c r="AA322" s="8" t="s">
        <v>6054</v>
      </c>
      <c r="AB322" s="160" t="s">
        <v>149</v>
      </c>
      <c r="AC322" s="8" t="s">
        <v>390</v>
      </c>
      <c r="AG322" s="160" t="s">
        <v>149</v>
      </c>
      <c r="AH322" s="160" t="s">
        <v>149</v>
      </c>
      <c r="AI322" s="8" t="s">
        <v>453</v>
      </c>
      <c r="AJ322" s="8" t="s">
        <v>390</v>
      </c>
      <c r="AL322" s="8" t="s">
        <v>6055</v>
      </c>
      <c r="AM322" s="160" t="s">
        <v>149</v>
      </c>
      <c r="AN322" s="160" t="s">
        <v>149</v>
      </c>
      <c r="AO322" s="8"/>
      <c r="AP322" s="8"/>
      <c r="AR322" s="8" t="s">
        <v>6057</v>
      </c>
      <c r="AS322" s="8" t="s">
        <v>2873</v>
      </c>
      <c r="AT322" s="8" t="s">
        <v>398</v>
      </c>
      <c r="AU322" s="160" t="s">
        <v>149</v>
      </c>
    </row>
    <row r="323">
      <c r="A323" s="186">
        <v>161.0</v>
      </c>
      <c r="B323" s="152">
        <v>2025.0</v>
      </c>
      <c r="C323" s="153" t="str">
        <f>CONCATENATE(D323, "-", M323, "-", A323)
</f>
        <v>2023-PH045633000-161</v>
      </c>
      <c r="D323" s="152">
        <f>IF(OR(F322="Published", F322="Unpublished"), 2023, IF(F322="New", 2025, ""))
</f>
        <v>2023</v>
      </c>
      <c r="E323" s="151">
        <v>161.0</v>
      </c>
      <c r="F323" s="156" t="s">
        <v>140</v>
      </c>
      <c r="G323" s="156" t="s">
        <v>141</v>
      </c>
      <c r="H323" s="153" t="str">
        <f>IFERROR(__xludf.DUMMYFUNCTION("""COMPUTED_VALUE"""),"**Restoration_project** changed from Artificial Reef Development Program to Fisheries Sector Program, **Restoration_project_short** changed from Site in Hondagua to Site in Mainit Sur, **Year of establishment** changed from 1986 to 1992, **Project Start**"&amp;" changed from 1985 to 1990, **Project End** changed from 1987 to 1994, **Technique/Material Type** changed from tires to Unknown, **Funding agency** changed from BFAR to ADB, Overseas Economic Cooperation Fund of Japan , **Total units** changed from 13 TM"&amp;" to Unknown, **Implementing institution** changed from BFAR to DA, **Partners_public** changed from Ministry of Human Settlements to MLGU, **Reference** changed from Conference Proceediing to Balgos, M.C. (1995). Evaluation of artificial reef development "&amp;"in 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Hondagua to Site in Mainit Sur,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13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23" s="153" t="s">
        <v>6748</v>
      </c>
      <c r="J323" s="153" t="s">
        <v>257</v>
      </c>
      <c r="K323" s="153" t="s">
        <v>497</v>
      </c>
      <c r="L323" s="153" t="s">
        <v>1418</v>
      </c>
      <c r="M323" s="181" t="s">
        <v>1419</v>
      </c>
      <c r="N323" s="153" t="s">
        <v>151</v>
      </c>
      <c r="O323" s="153" t="s">
        <v>1377</v>
      </c>
      <c r="P323" s="153" t="s">
        <v>1424</v>
      </c>
      <c r="Q323" s="178">
        <v>1992.0</v>
      </c>
      <c r="R323" s="175" t="s">
        <v>6198</v>
      </c>
      <c r="S323" s="175" t="s">
        <v>6199</v>
      </c>
      <c r="T323" s="161" t="s">
        <v>150</v>
      </c>
      <c r="U323" s="153">
        <f>IFERROR(__xludf.DUMMYFUNCTION("""COMPUTED_VALUE"""),305.0)</f>
        <v>305</v>
      </c>
      <c r="V323" s="162" t="s">
        <v>3311</v>
      </c>
      <c r="W323" s="187" t="s">
        <v>149</v>
      </c>
      <c r="X323" s="184"/>
      <c r="Y323" s="184" t="s">
        <v>149</v>
      </c>
      <c r="Z323" s="158" t="s">
        <v>149</v>
      </c>
      <c r="AA323" s="158" t="s">
        <v>149</v>
      </c>
      <c r="AB323" s="158" t="s">
        <v>149</v>
      </c>
      <c r="AC323" s="153" t="s">
        <v>1381</v>
      </c>
      <c r="AD323" s="158" t="s">
        <v>6154</v>
      </c>
      <c r="AE323" s="158" t="s">
        <v>206</v>
      </c>
      <c r="AF323" s="158" t="s">
        <v>159</v>
      </c>
      <c r="AG323" s="164" t="s">
        <v>149</v>
      </c>
      <c r="AH323" s="158" t="s">
        <v>149</v>
      </c>
      <c r="AI323" s="158" t="s">
        <v>149</v>
      </c>
      <c r="AJ323" s="153" t="s">
        <v>660</v>
      </c>
      <c r="AK323" s="153" t="s">
        <v>6035</v>
      </c>
      <c r="AL323" s="153" t="s">
        <v>369</v>
      </c>
      <c r="AM323" s="166" t="s">
        <v>149</v>
      </c>
      <c r="AN323" s="166" t="s">
        <v>149</v>
      </c>
      <c r="AO323" s="156">
        <v>1.0</v>
      </c>
      <c r="AP323" s="156" t="s">
        <v>6037</v>
      </c>
      <c r="AQ323" s="158" t="s">
        <v>395</v>
      </c>
      <c r="AR323" s="153" t="s">
        <v>6060</v>
      </c>
      <c r="AS323" s="158" t="s">
        <v>6711</v>
      </c>
      <c r="AT323" s="153" t="s">
        <v>398</v>
      </c>
      <c r="AU323" s="166" t="s">
        <v>149</v>
      </c>
    </row>
    <row r="324">
      <c r="A324" s="186">
        <v>162.0</v>
      </c>
      <c r="B324" s="152">
        <v>2023.0</v>
      </c>
      <c r="D324" s="152"/>
      <c r="E324" s="151">
        <v>162.0</v>
      </c>
      <c r="F324" s="129" t="s">
        <v>140</v>
      </c>
      <c r="G324" s="3" t="s">
        <v>6029</v>
      </c>
      <c r="H324" s="8" t="str">
        <f>IFERROR(__xludf.DUMMYFUNCTION("""COMPUTED_VALUE"""),"")</f>
        <v/>
      </c>
      <c r="I324" s="8" t="s">
        <v>6749</v>
      </c>
      <c r="J324" s="8" t="s">
        <v>257</v>
      </c>
      <c r="K324" s="8" t="s">
        <v>497</v>
      </c>
      <c r="L324" s="153" t="s">
        <v>6750</v>
      </c>
      <c r="M324" s="153" t="s">
        <v>1410</v>
      </c>
      <c r="N324" s="8" t="s">
        <v>151</v>
      </c>
      <c r="O324" s="8" t="s">
        <v>1377</v>
      </c>
      <c r="P324" s="176" t="s">
        <v>6734</v>
      </c>
      <c r="Q324" s="160" t="s">
        <v>149</v>
      </c>
      <c r="R324" s="142" t="s">
        <v>6198</v>
      </c>
      <c r="S324" s="142" t="s">
        <v>6199</v>
      </c>
      <c r="T324" s="8"/>
      <c r="U324" s="8">
        <f>IFERROR(__xludf.DUMMYFUNCTION("""COMPUTED_VALUE"""),306.0)</f>
        <v>306</v>
      </c>
      <c r="V324" s="8"/>
      <c r="W324" s="160"/>
      <c r="X324" s="8"/>
      <c r="Y324" s="8"/>
      <c r="AA324" s="160" t="s">
        <v>149</v>
      </c>
      <c r="AB324" s="160" t="s">
        <v>149</v>
      </c>
      <c r="AC324" s="8" t="s">
        <v>1381</v>
      </c>
      <c r="AG324" s="160" t="s">
        <v>149</v>
      </c>
      <c r="AH324" s="160" t="s">
        <v>149</v>
      </c>
      <c r="AI324" s="160" t="s">
        <v>149</v>
      </c>
      <c r="AJ324" s="8" t="s">
        <v>660</v>
      </c>
      <c r="AL324" s="8" t="s">
        <v>369</v>
      </c>
      <c r="AM324" s="160" t="s">
        <v>149</v>
      </c>
      <c r="AN324" s="160" t="s">
        <v>149</v>
      </c>
      <c r="AO324" s="8"/>
      <c r="AP324" s="8"/>
      <c r="AR324" s="8" t="s">
        <v>395</v>
      </c>
      <c r="AS324" s="8" t="s">
        <v>2873</v>
      </c>
      <c r="AT324" s="8" t="s">
        <v>398</v>
      </c>
      <c r="AU324" s="160" t="s">
        <v>149</v>
      </c>
    </row>
    <row r="325">
      <c r="A325" s="186">
        <v>162.0</v>
      </c>
      <c r="B325" s="152">
        <v>2025.0</v>
      </c>
      <c r="C325" s="153" t="str">
        <f>CONCATENATE(D325, "-", M325, "-", A325)
</f>
        <v>2023-PH045633000-162</v>
      </c>
      <c r="D325" s="152">
        <f>IF(OR(F324="Published", F324="Unpublished"), 2023, IF(F324="New", 2025, ""))
</f>
        <v>2023</v>
      </c>
      <c r="E325" s="151">
        <v>162.0</v>
      </c>
      <c r="F325" s="156" t="s">
        <v>140</v>
      </c>
      <c r="G325" s="156" t="s">
        <v>141</v>
      </c>
      <c r="H325" s="153" t="str">
        <f>IFERROR(__xludf.DUMMYFUNCTION("""COMPUTED_VALUE"""),"**Restoration_project_short** changed from Site stated as Mayao Castillo; now part of Lucena City to Site in Gordon, **Year of establishment** changed from Unknown to 1992, **Reference** changed from Conference Proceeding to Balgos, M.C. (1995). Evaluatio"&amp;"n of artificial reef development in the Philippines. In Munro, J.L. &amp; Balgos, M. (eds.) Artificial reefs in the Philippines. ICLARM Conf. Proc. 49, pp. 6-22., **Website** changed from http://pubs.iclarm.net/libinfo/Pdf/Pub%20CP6%2049.pdf to https://core.a"&amp;"c.uk/download/pdf/6515223.pdf;")</f>
        <v>**Restoration_project_short** changed from Site stated as Mayao Castillo; now part of Lucena City to Site in Gordon,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25" s="153" t="s">
        <v>6751</v>
      </c>
      <c r="J325" s="153" t="s">
        <v>257</v>
      </c>
      <c r="K325" s="153" t="s">
        <v>497</v>
      </c>
      <c r="L325" s="153" t="s">
        <v>1418</v>
      </c>
      <c r="M325" s="181" t="s">
        <v>1419</v>
      </c>
      <c r="N325" s="153" t="s">
        <v>151</v>
      </c>
      <c r="O325" s="153" t="s">
        <v>1377</v>
      </c>
      <c r="P325" s="153" t="s">
        <v>1426</v>
      </c>
      <c r="Q325" s="178">
        <v>1992.0</v>
      </c>
      <c r="R325" s="175" t="s">
        <v>6198</v>
      </c>
      <c r="S325" s="175" t="s">
        <v>6199</v>
      </c>
      <c r="T325" s="161" t="s">
        <v>150</v>
      </c>
      <c r="U325" s="153">
        <f>IFERROR(__xludf.DUMMYFUNCTION("""COMPUTED_VALUE"""),307.0)</f>
        <v>307</v>
      </c>
      <c r="V325" s="162" t="s">
        <v>3311</v>
      </c>
      <c r="W325" s="187" t="s">
        <v>149</v>
      </c>
      <c r="X325" s="184"/>
      <c r="Y325" s="184" t="s">
        <v>149</v>
      </c>
      <c r="Z325" s="158" t="s">
        <v>149</v>
      </c>
      <c r="AA325" s="158" t="s">
        <v>149</v>
      </c>
      <c r="AB325" s="158" t="s">
        <v>149</v>
      </c>
      <c r="AC325" s="153" t="s">
        <v>1381</v>
      </c>
      <c r="AD325" s="158" t="s">
        <v>6154</v>
      </c>
      <c r="AE325" s="158" t="s">
        <v>206</v>
      </c>
      <c r="AF325" s="158" t="s">
        <v>159</v>
      </c>
      <c r="AG325" s="164" t="s">
        <v>149</v>
      </c>
      <c r="AH325" s="158" t="s">
        <v>149</v>
      </c>
      <c r="AI325" s="158" t="s">
        <v>149</v>
      </c>
      <c r="AJ325" s="153" t="s">
        <v>660</v>
      </c>
      <c r="AK325" s="153" t="s">
        <v>6035</v>
      </c>
      <c r="AL325" s="153" t="s">
        <v>369</v>
      </c>
      <c r="AM325" s="166" t="s">
        <v>149</v>
      </c>
      <c r="AN325" s="166" t="s">
        <v>149</v>
      </c>
      <c r="AO325" s="156">
        <v>1.0</v>
      </c>
      <c r="AP325" s="156" t="s">
        <v>6037</v>
      </c>
      <c r="AQ325" s="158" t="s">
        <v>395</v>
      </c>
      <c r="AR325" s="153" t="s">
        <v>6060</v>
      </c>
      <c r="AS325" s="158" t="s">
        <v>6711</v>
      </c>
      <c r="AT325" s="153" t="s">
        <v>398</v>
      </c>
      <c r="AU325" s="166" t="s">
        <v>149</v>
      </c>
    </row>
    <row r="326">
      <c r="A326" s="186">
        <v>163.0</v>
      </c>
      <c r="B326" s="152">
        <v>2023.0</v>
      </c>
      <c r="D326" s="152"/>
      <c r="E326" s="151">
        <v>163.0</v>
      </c>
      <c r="F326" s="129" t="s">
        <v>140</v>
      </c>
      <c r="G326" s="3" t="s">
        <v>6029</v>
      </c>
      <c r="H326" s="8" t="str">
        <f>IFERROR(__xludf.DUMMYFUNCTION("""COMPUTED_VALUE"""),"")</f>
        <v/>
      </c>
      <c r="I326" s="8" t="s">
        <v>6752</v>
      </c>
      <c r="J326" s="8" t="s">
        <v>257</v>
      </c>
      <c r="K326" s="8" t="s">
        <v>497</v>
      </c>
      <c r="L326" s="153" t="s">
        <v>6753</v>
      </c>
      <c r="M326" s="153" t="s">
        <v>1410</v>
      </c>
      <c r="N326" s="8" t="s">
        <v>151</v>
      </c>
      <c r="O326" s="8" t="s">
        <v>1377</v>
      </c>
      <c r="P326" s="153" t="s">
        <v>1413</v>
      </c>
      <c r="Q326" s="166" t="s">
        <v>149</v>
      </c>
      <c r="R326" s="142" t="s">
        <v>6198</v>
      </c>
      <c r="S326" s="142" t="s">
        <v>6199</v>
      </c>
      <c r="T326" s="8"/>
      <c r="U326" s="8">
        <f>IFERROR(__xludf.DUMMYFUNCTION("""COMPUTED_VALUE"""),308.0)</f>
        <v>308</v>
      </c>
      <c r="V326" s="8"/>
      <c r="W326" s="160"/>
      <c r="X326" s="8"/>
      <c r="Y326" s="8"/>
      <c r="AA326" s="160" t="s">
        <v>149</v>
      </c>
      <c r="AB326" s="160" t="s">
        <v>149</v>
      </c>
      <c r="AC326" s="8" t="s">
        <v>1381</v>
      </c>
      <c r="AG326" s="160" t="s">
        <v>149</v>
      </c>
      <c r="AH326" s="160" t="s">
        <v>149</v>
      </c>
      <c r="AI326" s="160" t="s">
        <v>149</v>
      </c>
      <c r="AJ326" s="8" t="s">
        <v>660</v>
      </c>
      <c r="AL326" s="8" t="s">
        <v>369</v>
      </c>
      <c r="AM326" s="160" t="s">
        <v>149</v>
      </c>
      <c r="AN326" s="160" t="s">
        <v>149</v>
      </c>
      <c r="AO326" s="8"/>
      <c r="AP326" s="8"/>
      <c r="AR326" s="8" t="s">
        <v>395</v>
      </c>
      <c r="AS326" s="8" t="s">
        <v>2873</v>
      </c>
      <c r="AT326" s="8" t="s">
        <v>398</v>
      </c>
      <c r="AU326" s="160" t="s">
        <v>149</v>
      </c>
      <c r="AV326" s="8" t="s">
        <v>6754</v>
      </c>
    </row>
    <row r="327">
      <c r="A327" s="186">
        <v>163.0</v>
      </c>
      <c r="B327" s="152">
        <v>2025.0</v>
      </c>
      <c r="C327" s="153" t="str">
        <f>CONCATENATE(D327, "-", M327, "-", A327)
</f>
        <v>2023-PH045634000-163</v>
      </c>
      <c r="D327" s="152">
        <f>IF(OR(F326="Published", F326="Unpublished"), 2023, IF(F326="New", 2025, ""))
</f>
        <v>2023</v>
      </c>
      <c r="E327" s="151">
        <v>163.0</v>
      </c>
      <c r="F327" s="156" t="s">
        <v>140</v>
      </c>
      <c r="G327" s="156" t="s">
        <v>141</v>
      </c>
      <c r="H327" s="153" t="str">
        <f>IFERROR(__xludf.DUMMYFUNCTION("""COMPUTED_VALUE"""),"**Restoration_project_short** changed from Site in Barra to Unknown, **Year of establishment** changed from Unknown to 1992, **Reference** changed from Conference Proceeding to Balgos, M.C. (1995). Evaluation of artificial reef development in the Philippi"&amp;"nes. In Munro, J.L. &amp; Balgos, M. (eds.) Artificial reefs in the Philippines. ICLARM Conf. Proc. 49, pp. 6-22., **Website** changed from http://pubs.iclarm.net/libinfo/Pdf/Pub%20CP6%2049.pdf to https://core.ac.uk/download/pdf/6515223.pdf;")</f>
        <v>**Restoration_project_short** changed from Site in Barra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27" s="153" t="s">
        <v>6755</v>
      </c>
      <c r="J327" s="153" t="s">
        <v>257</v>
      </c>
      <c r="K327" s="153" t="s">
        <v>497</v>
      </c>
      <c r="L327" s="153" t="s">
        <v>1428</v>
      </c>
      <c r="M327" s="181" t="s">
        <v>1429</v>
      </c>
      <c r="N327" s="153" t="s">
        <v>151</v>
      </c>
      <c r="O327" s="153" t="s">
        <v>1377</v>
      </c>
      <c r="P327" s="166" t="s">
        <v>149</v>
      </c>
      <c r="Q327" s="178">
        <v>1992.0</v>
      </c>
      <c r="R327" s="175" t="s">
        <v>6198</v>
      </c>
      <c r="S327" s="175" t="s">
        <v>6199</v>
      </c>
      <c r="T327" s="161" t="s">
        <v>150</v>
      </c>
      <c r="U327" s="153">
        <f>IFERROR(__xludf.DUMMYFUNCTION("""COMPUTED_VALUE"""),309.0)</f>
        <v>309</v>
      </c>
      <c r="V327" s="162" t="s">
        <v>3311</v>
      </c>
      <c r="W327" s="187" t="s">
        <v>149</v>
      </c>
      <c r="X327" s="184"/>
      <c r="Y327" s="184" t="s">
        <v>149</v>
      </c>
      <c r="Z327" s="158" t="s">
        <v>149</v>
      </c>
      <c r="AA327" s="158" t="s">
        <v>149</v>
      </c>
      <c r="AB327" s="158" t="s">
        <v>149</v>
      </c>
      <c r="AC327" s="153" t="s">
        <v>1381</v>
      </c>
      <c r="AD327" s="158" t="s">
        <v>6154</v>
      </c>
      <c r="AE327" s="158" t="s">
        <v>206</v>
      </c>
      <c r="AF327" s="158" t="s">
        <v>159</v>
      </c>
      <c r="AG327" s="164" t="s">
        <v>149</v>
      </c>
      <c r="AH327" s="158" t="s">
        <v>149</v>
      </c>
      <c r="AI327" s="158" t="s">
        <v>149</v>
      </c>
      <c r="AJ327" s="153" t="s">
        <v>660</v>
      </c>
      <c r="AK327" s="153" t="s">
        <v>6035</v>
      </c>
      <c r="AL327" s="153" t="s">
        <v>369</v>
      </c>
      <c r="AM327" s="166" t="s">
        <v>149</v>
      </c>
      <c r="AN327" s="166" t="s">
        <v>149</v>
      </c>
      <c r="AO327" s="156">
        <v>1.0</v>
      </c>
      <c r="AP327" s="156" t="s">
        <v>6037</v>
      </c>
      <c r="AQ327" s="158" t="s">
        <v>395</v>
      </c>
      <c r="AR327" s="153" t="s">
        <v>6060</v>
      </c>
      <c r="AS327" s="158" t="s">
        <v>6711</v>
      </c>
      <c r="AT327" s="153" t="s">
        <v>398</v>
      </c>
      <c r="AU327" s="166" t="s">
        <v>149</v>
      </c>
    </row>
    <row r="328">
      <c r="A328" s="186">
        <v>164.0</v>
      </c>
      <c r="B328" s="152">
        <v>2023.0</v>
      </c>
      <c r="D328" s="152"/>
      <c r="E328" s="151">
        <v>164.0</v>
      </c>
      <c r="F328" s="129" t="s">
        <v>140</v>
      </c>
      <c r="G328" s="3" t="s">
        <v>6029</v>
      </c>
      <c r="H328" s="8" t="str">
        <f>IFERROR(__xludf.DUMMYFUNCTION("""COMPUTED_VALUE"""),"")</f>
        <v/>
      </c>
      <c r="I328" s="8" t="s">
        <v>6756</v>
      </c>
      <c r="J328" s="8" t="s">
        <v>257</v>
      </c>
      <c r="K328" s="8" t="s">
        <v>497</v>
      </c>
      <c r="L328" s="8" t="s">
        <v>1415</v>
      </c>
      <c r="M328" s="153" t="s">
        <v>1416</v>
      </c>
      <c r="N328" s="8" t="s">
        <v>151</v>
      </c>
      <c r="O328" s="8" t="s">
        <v>1377</v>
      </c>
      <c r="P328" s="166" t="s">
        <v>149</v>
      </c>
      <c r="Q328" s="166" t="s">
        <v>149</v>
      </c>
      <c r="R328" s="142" t="s">
        <v>6198</v>
      </c>
      <c r="S328" s="142" t="s">
        <v>6199</v>
      </c>
      <c r="T328" s="8"/>
      <c r="U328" s="8">
        <f>IFERROR(__xludf.DUMMYFUNCTION("""COMPUTED_VALUE"""),310.0)</f>
        <v>310</v>
      </c>
      <c r="V328" s="8"/>
      <c r="W328" s="166"/>
      <c r="X328" s="8"/>
      <c r="Y328" s="8"/>
      <c r="AA328" s="166" t="s">
        <v>149</v>
      </c>
      <c r="AB328" s="166" t="s">
        <v>149</v>
      </c>
      <c r="AC328" s="8" t="s">
        <v>1381</v>
      </c>
      <c r="AG328" s="166" t="s">
        <v>149</v>
      </c>
      <c r="AH328" s="166" t="s">
        <v>149</v>
      </c>
      <c r="AI328" s="166" t="s">
        <v>149</v>
      </c>
      <c r="AJ328" s="8" t="s">
        <v>660</v>
      </c>
      <c r="AL328" s="8" t="s">
        <v>369</v>
      </c>
      <c r="AM328" s="166" t="s">
        <v>149</v>
      </c>
      <c r="AN328" s="166" t="s">
        <v>149</v>
      </c>
      <c r="AO328" s="8"/>
      <c r="AP328" s="8"/>
      <c r="AR328" s="8" t="s">
        <v>395</v>
      </c>
      <c r="AS328" s="8" t="s">
        <v>2873</v>
      </c>
      <c r="AT328" s="8" t="s">
        <v>398</v>
      </c>
      <c r="AU328" s="166" t="s">
        <v>149</v>
      </c>
    </row>
    <row r="329">
      <c r="A329" s="186">
        <v>164.0</v>
      </c>
      <c r="B329" s="152">
        <v>2025.0</v>
      </c>
      <c r="C329" s="153" t="str">
        <f>CONCATENATE(D329, "-", M329, "-", A329)
</f>
        <v>2023-PH045635000-164</v>
      </c>
      <c r="D329" s="152">
        <f>IF(OR(F328="Published", F328="Unpublished"), 2023, IF(F328="New", 2025, ""))
</f>
        <v>2023</v>
      </c>
      <c r="E329" s="151">
        <v>164.0</v>
      </c>
      <c r="F329" s="156" t="s">
        <v>140</v>
      </c>
      <c r="G329" s="156" t="s">
        <v>141</v>
      </c>
      <c r="H329" s="153" t="str">
        <f>IFERROR(__xludf.DUMMYFUNCTION("""COMPUTED_VALUE"""),"**Restoration_project** changed from Fisheries Sector Program to Artificial Reef Development Program, **Restoration_project_short** changed from Unknown to Site in Concepcion, **Year of establishment** changed from Unknown to 1986, **Project Start** chang"&amp;"ed from 1990 to 1985, **Project End** changed from 1994 to 1987, **Technique/Material Type** changed from Unknown to tires, **Funding agency** changed from ADB, Overseas Economic Cooperation Fund of Japan to BFAR, **Total units** changed from Unknown to 3"&amp;" TM, **Implementing institution** changed from DA to BFAR, **Partners_public** changed from MLGU to Ministry of Human Settlements, **Reference** changed from Conference Proceeding to Balgos, M.C. (1995). Evaluation of artificial reef development in the Ph"&amp;"ilippines. In Munro, J.L. &amp; Balgos, M. (eds.) Artificial reefs in the Philippines. ICLARM Conf. Proc. 49, pp. 6-22., **Website** changed from http://pubs.iclarm.net/libinfo/Pdf/Pub%20CP6%2049.pdf to https://core.ac.uk/download/pdf/6515223.pdf; https://www"&amp;".ircwash.org/sites/default/files/802-PH90-8920.pdf")</f>
        <v>**Restoration_project** changed from Fisheries Sector Program to Artificial Reef Development Program, **Restoration_project_short** changed from Unknown to Site in Concepcion,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3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https://www.ircwash.org/sites/default/files/802-PH90-8920.pdf</v>
      </c>
      <c r="I329" s="153" t="s">
        <v>6757</v>
      </c>
      <c r="J329" s="153" t="s">
        <v>257</v>
      </c>
      <c r="K329" s="153" t="s">
        <v>497</v>
      </c>
      <c r="L329" s="153" t="s">
        <v>518</v>
      </c>
      <c r="M329" s="181" t="s">
        <v>519</v>
      </c>
      <c r="N329" s="153" t="s">
        <v>151</v>
      </c>
      <c r="O329" s="153" t="s">
        <v>384</v>
      </c>
      <c r="P329" s="153" t="s">
        <v>520</v>
      </c>
      <c r="Q329" s="169">
        <v>1986.0</v>
      </c>
      <c r="R329" s="175" t="s">
        <v>6052</v>
      </c>
      <c r="S329" s="175" t="s">
        <v>6053</v>
      </c>
      <c r="T329" s="161" t="s">
        <v>150</v>
      </c>
      <c r="U329" s="153">
        <f>IFERROR(__xludf.DUMMYFUNCTION("""COMPUTED_VALUE"""),311.0)</f>
        <v>311</v>
      </c>
      <c r="V329" s="162" t="s">
        <v>3311</v>
      </c>
      <c r="W329" s="170" t="s">
        <v>6059</v>
      </c>
      <c r="X329" s="28" t="s">
        <v>6033</v>
      </c>
      <c r="Y329" s="28" t="s">
        <v>386</v>
      </c>
      <c r="Z329" s="176" t="s">
        <v>386</v>
      </c>
      <c r="AA329" s="153" t="s">
        <v>6054</v>
      </c>
      <c r="AB329" s="158" t="s">
        <v>149</v>
      </c>
      <c r="AC329" s="153" t="s">
        <v>390</v>
      </c>
      <c r="AD329" s="158" t="s">
        <v>160</v>
      </c>
      <c r="AE329" s="158" t="s">
        <v>6035</v>
      </c>
      <c r="AF329" s="158" t="s">
        <v>159</v>
      </c>
      <c r="AG329" s="164" t="s">
        <v>149</v>
      </c>
      <c r="AH329" s="158" t="s">
        <v>149</v>
      </c>
      <c r="AI329" s="153" t="s">
        <v>503</v>
      </c>
      <c r="AJ329" s="153" t="s">
        <v>390</v>
      </c>
      <c r="AK329" s="153" t="s">
        <v>6035</v>
      </c>
      <c r="AL329" s="153" t="s">
        <v>6055</v>
      </c>
      <c r="AM329" s="166" t="s">
        <v>149</v>
      </c>
      <c r="AN329" s="166" t="s">
        <v>149</v>
      </c>
      <c r="AO329" s="156">
        <v>1.0</v>
      </c>
      <c r="AP329" s="156" t="s">
        <v>6037</v>
      </c>
      <c r="AQ329" s="158" t="s">
        <v>395</v>
      </c>
      <c r="AR329" s="153" t="s">
        <v>6060</v>
      </c>
      <c r="AS329" s="158" t="s">
        <v>397</v>
      </c>
      <c r="AT329" s="153" t="s">
        <v>398</v>
      </c>
      <c r="AU329" s="166" t="s">
        <v>149</v>
      </c>
    </row>
    <row r="330">
      <c r="A330" s="186">
        <v>165.0</v>
      </c>
      <c r="B330" s="152">
        <v>2023.0</v>
      </c>
      <c r="D330" s="152"/>
      <c r="E330" s="151">
        <v>165.0</v>
      </c>
      <c r="F330" s="129" t="s">
        <v>140</v>
      </c>
      <c r="G330" s="3" t="s">
        <v>6029</v>
      </c>
      <c r="H330" s="8" t="str">
        <f>IFERROR(__xludf.DUMMYFUNCTION("""COMPUTED_VALUE"""),"")</f>
        <v/>
      </c>
      <c r="I330" s="8" t="s">
        <v>6758</v>
      </c>
      <c r="J330" s="8" t="s">
        <v>257</v>
      </c>
      <c r="K330" s="8" t="s">
        <v>497</v>
      </c>
      <c r="L330" s="8" t="s">
        <v>518</v>
      </c>
      <c r="M330" s="153" t="s">
        <v>519</v>
      </c>
      <c r="N330" s="8" t="s">
        <v>151</v>
      </c>
      <c r="O330" s="8" t="s">
        <v>384</v>
      </c>
      <c r="P330" s="8" t="s">
        <v>520</v>
      </c>
      <c r="Q330" s="142" t="s">
        <v>6051</v>
      </c>
      <c r="R330" s="142" t="s">
        <v>6052</v>
      </c>
      <c r="S330" s="142" t="s">
        <v>6053</v>
      </c>
      <c r="T330" s="8"/>
      <c r="U330" s="8">
        <f>IFERROR(__xludf.DUMMYFUNCTION("""COMPUTED_VALUE"""),312.0)</f>
        <v>312</v>
      </c>
      <c r="V330" s="8"/>
      <c r="W330" s="8"/>
      <c r="X330" s="8"/>
      <c r="Y330" s="8"/>
      <c r="AA330" s="8" t="s">
        <v>6054</v>
      </c>
      <c r="AB330" s="166" t="s">
        <v>149</v>
      </c>
      <c r="AC330" s="8" t="s">
        <v>390</v>
      </c>
      <c r="AG330" s="166" t="s">
        <v>149</v>
      </c>
      <c r="AH330" s="166" t="s">
        <v>149</v>
      </c>
      <c r="AI330" s="8" t="s">
        <v>503</v>
      </c>
      <c r="AJ330" s="8" t="s">
        <v>390</v>
      </c>
      <c r="AL330" s="8" t="s">
        <v>6055</v>
      </c>
      <c r="AM330" s="166" t="s">
        <v>149</v>
      </c>
      <c r="AN330" s="166" t="s">
        <v>149</v>
      </c>
      <c r="AO330" s="8"/>
      <c r="AP330" s="8"/>
      <c r="AR330" s="8" t="s">
        <v>6057</v>
      </c>
      <c r="AS330" s="8" t="s">
        <v>2873</v>
      </c>
      <c r="AT330" s="8" t="s">
        <v>398</v>
      </c>
      <c r="AU330" s="166" t="s">
        <v>149</v>
      </c>
    </row>
    <row r="331">
      <c r="A331" s="186">
        <v>165.0</v>
      </c>
      <c r="B331" s="152">
        <v>2025.0</v>
      </c>
      <c r="C331" s="153" t="str">
        <f>CONCATENATE(D331, "-", M331, "-", A331)
</f>
        <v>2023-PH045637000-165</v>
      </c>
      <c r="D331" s="152">
        <f>IF(OR(F330="Published", F330="Unpublished"), 2023, IF(F330="New", 2025, ""))
</f>
        <v>2023</v>
      </c>
      <c r="E331" s="151">
        <v>165.0</v>
      </c>
      <c r="F331" s="156" t="s">
        <v>140</v>
      </c>
      <c r="G331" s="156" t="s">
        <v>141</v>
      </c>
      <c r="H331" s="153" t="str">
        <f>IFERROR(__xludf.DUMMYFUNCTION("""COMPUTED_VALUE"""),"**Restoration_project** changed from Artificial Reef Development Program to Fisheries Sector Program, **Restoration_project_short** changed from Site in Concepcion to Site in Quezon, **Year of establishment** changed from 1986 to 1992, **Project Start** c"&amp;"hanged from 1985 to 1990, **Project End** changed from 1987 to 1994, **Technique/Material Type** changed from tires to Unknown, **Funding agency** changed from BFAR to ADB, Overseas Economic Cooperation Fund of Japan , **Total units** changed from 3 TM to"&amp;" Unknown, **Implementing institution** changed from BFAR to DA, **Partners_public** changed from Ministry of Human Settlements to MLGU, **Reference** changed from Conference Proceediing to Balgos, M.C. (1995). Evaluation of artificial reef development in "&amp;"the Philippines. In Munro, J.L. &amp; Balgos, M. (eds.) Artificial reefs in the Philippines. ICLARM Conf. Proc. 49, pp. 6-22., **Website** changed from http://pubs.iclarm.net/libinfo/Pdf/Pub%20CP6%2049.pdf to https://core.ac.uk/download/pdf/6515223.pdf;")</f>
        <v>**Restoration_project** changed from Artificial Reef Development Program to Fisheries Sector Program, **Restoration_project_short** changed from Site in Concepcion to Site in Quezon,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3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1" s="153" t="s">
        <v>6759</v>
      </c>
      <c r="J331" s="153" t="s">
        <v>257</v>
      </c>
      <c r="K331" s="153" t="s">
        <v>497</v>
      </c>
      <c r="L331" s="153" t="s">
        <v>497</v>
      </c>
      <c r="M331" s="181" t="s">
        <v>1431</v>
      </c>
      <c r="N331" s="153" t="s">
        <v>151</v>
      </c>
      <c r="O331" s="153" t="s">
        <v>1377</v>
      </c>
      <c r="P331" s="153" t="s">
        <v>1432</v>
      </c>
      <c r="Q331" s="178">
        <v>1992.0</v>
      </c>
      <c r="R331" s="175" t="s">
        <v>6198</v>
      </c>
      <c r="S331" s="175" t="s">
        <v>6199</v>
      </c>
      <c r="T331" s="161" t="s">
        <v>150</v>
      </c>
      <c r="U331" s="153">
        <f>IFERROR(__xludf.DUMMYFUNCTION("""COMPUTED_VALUE"""),313.0)</f>
        <v>313</v>
      </c>
      <c r="V331" s="162" t="s">
        <v>3311</v>
      </c>
      <c r="W331" s="187" t="s">
        <v>149</v>
      </c>
      <c r="X331" s="184"/>
      <c r="Y331" s="184" t="s">
        <v>149</v>
      </c>
      <c r="Z331" s="158" t="s">
        <v>149</v>
      </c>
      <c r="AA331" s="158" t="s">
        <v>149</v>
      </c>
      <c r="AB331" s="158" t="s">
        <v>149</v>
      </c>
      <c r="AC331" s="153" t="s">
        <v>1381</v>
      </c>
      <c r="AD331" s="158" t="s">
        <v>6154</v>
      </c>
      <c r="AE331" s="158" t="s">
        <v>206</v>
      </c>
      <c r="AF331" s="158" t="s">
        <v>159</v>
      </c>
      <c r="AG331" s="164" t="s">
        <v>149</v>
      </c>
      <c r="AH331" s="158" t="s">
        <v>149</v>
      </c>
      <c r="AI331" s="158" t="s">
        <v>149</v>
      </c>
      <c r="AJ331" s="153" t="s">
        <v>660</v>
      </c>
      <c r="AK331" s="153" t="s">
        <v>6035</v>
      </c>
      <c r="AL331" s="153" t="s">
        <v>369</v>
      </c>
      <c r="AM331" s="166" t="s">
        <v>149</v>
      </c>
      <c r="AN331" s="166" t="s">
        <v>149</v>
      </c>
      <c r="AO331" s="156">
        <v>1.0</v>
      </c>
      <c r="AP331" s="156" t="s">
        <v>6037</v>
      </c>
      <c r="AQ331" s="158" t="s">
        <v>395</v>
      </c>
      <c r="AR331" s="153" t="s">
        <v>6060</v>
      </c>
      <c r="AS331" s="158" t="s">
        <v>6711</v>
      </c>
      <c r="AT331" s="153" t="s">
        <v>398</v>
      </c>
      <c r="AU331" s="166" t="s">
        <v>149</v>
      </c>
    </row>
    <row r="332">
      <c r="A332" s="186">
        <v>166.0</v>
      </c>
      <c r="B332" s="152">
        <v>2023.0</v>
      </c>
      <c r="D332" s="152"/>
      <c r="E332" s="151">
        <v>166.0</v>
      </c>
      <c r="F332" s="129" t="s">
        <v>140</v>
      </c>
      <c r="G332" s="3" t="s">
        <v>6029</v>
      </c>
      <c r="H332" s="8" t="str">
        <f>IFERROR(__xludf.DUMMYFUNCTION("""COMPUTED_VALUE"""),"")</f>
        <v/>
      </c>
      <c r="I332" s="8" t="s">
        <v>6760</v>
      </c>
      <c r="J332" s="8" t="s">
        <v>257</v>
      </c>
      <c r="K332" s="8" t="s">
        <v>497</v>
      </c>
      <c r="L332" s="8" t="s">
        <v>1418</v>
      </c>
      <c r="M332" s="153" t="s">
        <v>1419</v>
      </c>
      <c r="N332" s="8" t="s">
        <v>151</v>
      </c>
      <c r="O332" s="8" t="s">
        <v>1377</v>
      </c>
      <c r="P332" s="8" t="s">
        <v>1420</v>
      </c>
      <c r="Q332" s="166" t="s">
        <v>149</v>
      </c>
      <c r="R332" s="142" t="s">
        <v>6198</v>
      </c>
      <c r="S332" s="142" t="s">
        <v>6199</v>
      </c>
      <c r="T332" s="8"/>
      <c r="U332" s="8">
        <f>IFERROR(__xludf.DUMMYFUNCTION("""COMPUTED_VALUE"""),314.0)</f>
        <v>314</v>
      </c>
      <c r="V332" s="8"/>
      <c r="W332" s="166"/>
      <c r="X332" s="8"/>
      <c r="Y332" s="8"/>
      <c r="AA332" s="166" t="s">
        <v>149</v>
      </c>
      <c r="AB332" s="166" t="s">
        <v>149</v>
      </c>
      <c r="AC332" s="8" t="s">
        <v>1381</v>
      </c>
      <c r="AG332" s="166" t="s">
        <v>149</v>
      </c>
      <c r="AH332" s="166" t="s">
        <v>149</v>
      </c>
      <c r="AI332" s="166" t="s">
        <v>149</v>
      </c>
      <c r="AJ332" s="8" t="s">
        <v>660</v>
      </c>
      <c r="AL332" s="8" t="s">
        <v>369</v>
      </c>
      <c r="AM332" s="166" t="s">
        <v>149</v>
      </c>
      <c r="AN332" s="166" t="s">
        <v>149</v>
      </c>
      <c r="AO332" s="8"/>
      <c r="AP332" s="8"/>
      <c r="AR332" s="8" t="s">
        <v>395</v>
      </c>
      <c r="AS332" s="8" t="s">
        <v>2873</v>
      </c>
      <c r="AT332" s="8" t="s">
        <v>398</v>
      </c>
      <c r="AU332" s="166" t="s">
        <v>149</v>
      </c>
    </row>
    <row r="333">
      <c r="A333" s="186">
        <v>166.0</v>
      </c>
      <c r="B333" s="152">
        <v>2025.0</v>
      </c>
      <c r="C333" s="153" t="str">
        <f>CONCATENATE(D333, "-", M333, "-", A333)
</f>
        <v>2023-PH045637000-166</v>
      </c>
      <c r="D333" s="152">
        <f>IF(OR(F332="Published", F332="Unpublished"), 2023, IF(F332="New", 2025, ""))
</f>
        <v>2023</v>
      </c>
      <c r="E333" s="151">
        <v>166.0</v>
      </c>
      <c r="F333" s="156" t="s">
        <v>140</v>
      </c>
      <c r="G333" s="156" t="s">
        <v>141</v>
      </c>
      <c r="H333" s="153" t="str">
        <f>IFERROR(__xludf.DUMMYFUNCTION("""COMPUTED_VALUE"""),"**Restoration_project_short** changed from Site in Pinagtubigan East to Site in Villa Mercedes, **Year of establishment** changed from Unknown to 1992, **Reference** changed from Conference Proceeding to Balgos, M.C. (1995). Evaluation of artificial reef "&amp;"development in the Philippines. In Munro, J.L. &amp; Balgos, M. (eds.) Artificial reefs in the Philippines. ICLARM Conf. Proc. 49, pp. 6-22., **Website** changed from http://pubs.iclarm.net/libinfo/Pdf/Pub%20CP6%2049.pdf to https://core.ac.uk/download/pdf/651"&amp;"5223.pdf;")</f>
        <v>**Restoration_project_short** changed from Site in Pinagtubigan East to Site in Villa Mercedes,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3" s="153" t="s">
        <v>6761</v>
      </c>
      <c r="J333" s="153" t="s">
        <v>257</v>
      </c>
      <c r="K333" s="153" t="s">
        <v>497</v>
      </c>
      <c r="L333" s="153" t="s">
        <v>497</v>
      </c>
      <c r="M333" s="181" t="s">
        <v>1431</v>
      </c>
      <c r="N333" s="153" t="s">
        <v>151</v>
      </c>
      <c r="O333" s="153" t="s">
        <v>1377</v>
      </c>
      <c r="P333" s="153" t="s">
        <v>1434</v>
      </c>
      <c r="Q333" s="178">
        <v>1992.0</v>
      </c>
      <c r="R333" s="175" t="s">
        <v>6198</v>
      </c>
      <c r="S333" s="175" t="s">
        <v>6199</v>
      </c>
      <c r="T333" s="161" t="s">
        <v>150</v>
      </c>
      <c r="U333" s="153">
        <f>IFERROR(__xludf.DUMMYFUNCTION("""COMPUTED_VALUE"""),315.0)</f>
        <v>315</v>
      </c>
      <c r="V333" s="162" t="s">
        <v>3311</v>
      </c>
      <c r="W333" s="187" t="s">
        <v>149</v>
      </c>
      <c r="X333" s="184"/>
      <c r="Y333" s="184" t="s">
        <v>149</v>
      </c>
      <c r="Z333" s="158" t="s">
        <v>149</v>
      </c>
      <c r="AA333" s="158" t="s">
        <v>149</v>
      </c>
      <c r="AB333" s="158" t="s">
        <v>149</v>
      </c>
      <c r="AC333" s="153" t="s">
        <v>1381</v>
      </c>
      <c r="AD333" s="158" t="s">
        <v>6154</v>
      </c>
      <c r="AE333" s="158" t="s">
        <v>206</v>
      </c>
      <c r="AF333" s="158" t="s">
        <v>159</v>
      </c>
      <c r="AG333" s="164" t="s">
        <v>149</v>
      </c>
      <c r="AH333" s="158" t="s">
        <v>149</v>
      </c>
      <c r="AI333" s="158" t="s">
        <v>149</v>
      </c>
      <c r="AJ333" s="153" t="s">
        <v>660</v>
      </c>
      <c r="AK333" s="153" t="s">
        <v>6035</v>
      </c>
      <c r="AL333" s="153" t="s">
        <v>369</v>
      </c>
      <c r="AM333" s="166" t="s">
        <v>149</v>
      </c>
      <c r="AN333" s="166" t="s">
        <v>149</v>
      </c>
      <c r="AO333" s="156">
        <v>1.0</v>
      </c>
      <c r="AP333" s="156" t="s">
        <v>6037</v>
      </c>
      <c r="AQ333" s="158" t="s">
        <v>395</v>
      </c>
      <c r="AR333" s="153" t="s">
        <v>6060</v>
      </c>
      <c r="AS333" s="158" t="s">
        <v>6711</v>
      </c>
      <c r="AT333" s="153" t="s">
        <v>398</v>
      </c>
      <c r="AU333" s="166" t="s">
        <v>149</v>
      </c>
    </row>
    <row r="334">
      <c r="A334" s="186">
        <v>167.0</v>
      </c>
      <c r="B334" s="152">
        <v>2023.0</v>
      </c>
      <c r="D334" s="152"/>
      <c r="E334" s="151">
        <v>167.0</v>
      </c>
      <c r="F334" s="129" t="s">
        <v>140</v>
      </c>
      <c r="G334" s="3" t="s">
        <v>6029</v>
      </c>
      <c r="H334" s="8" t="str">
        <f>IFERROR(__xludf.DUMMYFUNCTION("""COMPUTED_VALUE"""),"")</f>
        <v/>
      </c>
      <c r="I334" s="8" t="s">
        <v>6762</v>
      </c>
      <c r="J334" s="8" t="s">
        <v>257</v>
      </c>
      <c r="K334" s="8" t="s">
        <v>497</v>
      </c>
      <c r="L334" s="8" t="s">
        <v>1418</v>
      </c>
      <c r="M334" s="153" t="s">
        <v>1419</v>
      </c>
      <c r="N334" s="8" t="s">
        <v>151</v>
      </c>
      <c r="O334" s="8" t="s">
        <v>1377</v>
      </c>
      <c r="P334" s="8" t="s">
        <v>1422</v>
      </c>
      <c r="Q334" s="143" t="s">
        <v>149</v>
      </c>
      <c r="R334" s="142" t="s">
        <v>6198</v>
      </c>
      <c r="S334" s="142" t="s">
        <v>6199</v>
      </c>
      <c r="T334" s="8"/>
      <c r="U334" s="8">
        <f>IFERROR(__xludf.DUMMYFUNCTION("""COMPUTED_VALUE"""),316.0)</f>
        <v>316</v>
      </c>
      <c r="V334" s="8"/>
      <c r="W334" s="166"/>
      <c r="X334" s="8"/>
      <c r="Y334" s="8"/>
      <c r="AA334" s="166" t="s">
        <v>149</v>
      </c>
      <c r="AB334" s="166" t="s">
        <v>149</v>
      </c>
      <c r="AC334" s="8" t="s">
        <v>1381</v>
      </c>
      <c r="AG334" s="166" t="s">
        <v>149</v>
      </c>
      <c r="AH334" s="166" t="s">
        <v>149</v>
      </c>
      <c r="AI334" s="166" t="s">
        <v>149</v>
      </c>
      <c r="AJ334" s="8" t="s">
        <v>660</v>
      </c>
      <c r="AL334" s="8" t="s">
        <v>369</v>
      </c>
      <c r="AM334" s="166" t="s">
        <v>149</v>
      </c>
      <c r="AN334" s="166" t="s">
        <v>149</v>
      </c>
      <c r="AO334" s="8"/>
      <c r="AP334" s="8"/>
      <c r="AR334" s="8" t="s">
        <v>395</v>
      </c>
      <c r="AS334" s="8" t="s">
        <v>2873</v>
      </c>
      <c r="AT334" s="8" t="s">
        <v>398</v>
      </c>
      <c r="AU334" s="166" t="s">
        <v>149</v>
      </c>
    </row>
    <row r="335">
      <c r="A335" s="186">
        <v>167.0</v>
      </c>
      <c r="B335" s="152">
        <v>2025.0</v>
      </c>
      <c r="C335" s="153" t="str">
        <f>CONCATENATE(D335, "-", M335, "-", A335)
</f>
        <v>2023-PH045646000-167</v>
      </c>
      <c r="D335" s="152">
        <f>IF(OR(F334="Published", F334="Unpublished"), 2023, IF(F334="New", 2025, ""))
</f>
        <v>2023</v>
      </c>
      <c r="E335" s="151">
        <v>167.0</v>
      </c>
      <c r="F335" s="156" t="s">
        <v>140</v>
      </c>
      <c r="G335" s="156" t="s">
        <v>141</v>
      </c>
      <c r="H335" s="153" t="str">
        <f>IFERROR(__xludf.DUMMYFUNCTION("""COMPUTED_VALUE"""),"**Restoration_project_short** changed from Site in Pinagtubigan West to Unknown, **Year of establishment** changed from Unknown to 1992, **Reference** changed from Conference Proceeding to Balgos, M.C. (1995). Evaluation of artificial reef development in "&amp;"the Philippines. In Munro, J.L. &amp; Balgos, M. (eds.) Artificial reefs in the Philippines. ICLARM Conf. Proc. 49, pp. 6-22., **Website** changed from http://pubs.iclarm.net/libinfo/Pdf/Pub%20CP6%2049.pdf to https://core.ac.uk/download/pdf/6515223.pdf;")</f>
        <v>**Restoration_project_short** changed from Site in Pinagtubigan West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5" s="153" t="s">
        <v>6763</v>
      </c>
      <c r="J335" s="153" t="s">
        <v>257</v>
      </c>
      <c r="K335" s="153" t="s">
        <v>497</v>
      </c>
      <c r="L335" s="153" t="s">
        <v>1436</v>
      </c>
      <c r="M335" s="181" t="s">
        <v>1437</v>
      </c>
      <c r="N335" s="153" t="s">
        <v>151</v>
      </c>
      <c r="O335" s="153" t="s">
        <v>1377</v>
      </c>
      <c r="P335" s="166" t="s">
        <v>149</v>
      </c>
      <c r="Q335" s="178">
        <v>1992.0</v>
      </c>
      <c r="R335" s="175" t="s">
        <v>6198</v>
      </c>
      <c r="S335" s="175" t="s">
        <v>6199</v>
      </c>
      <c r="T335" s="161" t="s">
        <v>150</v>
      </c>
      <c r="U335" s="153">
        <f>IFERROR(__xludf.DUMMYFUNCTION("""COMPUTED_VALUE"""),317.0)</f>
        <v>317</v>
      </c>
      <c r="V335" s="162" t="s">
        <v>3311</v>
      </c>
      <c r="W335" s="187" t="s">
        <v>149</v>
      </c>
      <c r="X335" s="184"/>
      <c r="Y335" s="184" t="s">
        <v>149</v>
      </c>
      <c r="Z335" s="158" t="s">
        <v>149</v>
      </c>
      <c r="AA335" s="158" t="s">
        <v>149</v>
      </c>
      <c r="AB335" s="158" t="s">
        <v>149</v>
      </c>
      <c r="AC335" s="153" t="s">
        <v>1381</v>
      </c>
      <c r="AD335" s="158" t="s">
        <v>6154</v>
      </c>
      <c r="AE335" s="158" t="s">
        <v>206</v>
      </c>
      <c r="AF335" s="158" t="s">
        <v>159</v>
      </c>
      <c r="AG335" s="164" t="s">
        <v>149</v>
      </c>
      <c r="AH335" s="158" t="s">
        <v>149</v>
      </c>
      <c r="AI335" s="158" t="s">
        <v>149</v>
      </c>
      <c r="AJ335" s="153" t="s">
        <v>660</v>
      </c>
      <c r="AK335" s="153" t="s">
        <v>6035</v>
      </c>
      <c r="AL335" s="153" t="s">
        <v>369</v>
      </c>
      <c r="AM335" s="166" t="s">
        <v>149</v>
      </c>
      <c r="AN335" s="166" t="s">
        <v>149</v>
      </c>
      <c r="AO335" s="156">
        <v>1.0</v>
      </c>
      <c r="AP335" s="156" t="s">
        <v>6037</v>
      </c>
      <c r="AQ335" s="158" t="s">
        <v>395</v>
      </c>
      <c r="AR335" s="153" t="s">
        <v>6060</v>
      </c>
      <c r="AS335" s="158" t="s">
        <v>6711</v>
      </c>
      <c r="AT335" s="153" t="s">
        <v>398</v>
      </c>
      <c r="AU335" s="166" t="s">
        <v>149</v>
      </c>
    </row>
    <row r="336">
      <c r="A336" s="186">
        <v>168.0</v>
      </c>
      <c r="B336" s="152">
        <v>2023.0</v>
      </c>
      <c r="D336" s="152"/>
      <c r="E336" s="151">
        <v>168.0</v>
      </c>
      <c r="F336" s="129" t="s">
        <v>140</v>
      </c>
      <c r="G336" s="3" t="s">
        <v>6029</v>
      </c>
      <c r="H336" s="8" t="str">
        <f>IFERROR(__xludf.DUMMYFUNCTION("""COMPUTED_VALUE"""),"")</f>
        <v/>
      </c>
      <c r="I336" s="8" t="s">
        <v>6764</v>
      </c>
      <c r="J336" s="8" t="s">
        <v>257</v>
      </c>
      <c r="K336" s="8" t="s">
        <v>497</v>
      </c>
      <c r="L336" s="8" t="s">
        <v>1418</v>
      </c>
      <c r="M336" s="153" t="s">
        <v>1419</v>
      </c>
      <c r="N336" s="8" t="s">
        <v>151</v>
      </c>
      <c r="O336" s="8" t="s">
        <v>1377</v>
      </c>
      <c r="P336" s="8" t="s">
        <v>1424</v>
      </c>
      <c r="Q336" s="166" t="s">
        <v>149</v>
      </c>
      <c r="R336" s="142" t="s">
        <v>6198</v>
      </c>
      <c r="S336" s="142" t="s">
        <v>6199</v>
      </c>
      <c r="T336" s="8"/>
      <c r="U336" s="8">
        <f>IFERROR(__xludf.DUMMYFUNCTION("""COMPUTED_VALUE"""),318.0)</f>
        <v>318</v>
      </c>
      <c r="V336" s="8"/>
      <c r="W336" s="166"/>
      <c r="X336" s="8"/>
      <c r="Y336" s="8"/>
      <c r="AA336" s="166" t="s">
        <v>149</v>
      </c>
      <c r="AB336" s="166" t="s">
        <v>149</v>
      </c>
      <c r="AC336" s="8" t="s">
        <v>1381</v>
      </c>
      <c r="AG336" s="166" t="s">
        <v>149</v>
      </c>
      <c r="AH336" s="166" t="s">
        <v>149</v>
      </c>
      <c r="AI336" s="166" t="s">
        <v>149</v>
      </c>
      <c r="AJ336" s="8" t="s">
        <v>660</v>
      </c>
      <c r="AL336" s="8" t="s">
        <v>369</v>
      </c>
      <c r="AM336" s="166" t="s">
        <v>149</v>
      </c>
      <c r="AN336" s="166" t="s">
        <v>149</v>
      </c>
      <c r="AO336" s="8"/>
      <c r="AP336" s="8"/>
      <c r="AR336" s="8" t="s">
        <v>395</v>
      </c>
      <c r="AS336" s="8" t="s">
        <v>2873</v>
      </c>
      <c r="AT336" s="8" t="s">
        <v>398</v>
      </c>
      <c r="AU336" s="166" t="s">
        <v>149</v>
      </c>
    </row>
    <row r="337">
      <c r="A337" s="186">
        <v>168.0</v>
      </c>
      <c r="B337" s="152">
        <v>2025.0</v>
      </c>
      <c r="C337" s="153" t="str">
        <f>CONCATENATE(D337, "-", M337, "-", A337)
</f>
        <v>2023-PH045649000-168</v>
      </c>
      <c r="D337" s="152">
        <f>IF(OR(F336="Published", F336="Unpublished"), 2023, IF(F336="New", 2025, ""))
</f>
        <v>2023</v>
      </c>
      <c r="E337" s="151">
        <v>168.0</v>
      </c>
      <c r="F337" s="156" t="s">
        <v>140</v>
      </c>
      <c r="G337" s="156" t="s">
        <v>141</v>
      </c>
      <c r="H337" s="153" t="str">
        <f>IFERROR(__xludf.DUMMYFUNCTION("""COMPUTED_VALUE"""),"**Restoration_project_short** changed from Site in Mainit Sur to Unknown, **Year of establishment** changed from Unknown to 1992, **Reference** changed from Conference Proceeding to Balgos, M.C. (1995). Evaluation of artificial reef development in the Phi"&amp;"lippines. In Munro, J.L. &amp; Balgos, M. (eds.) Artificial reefs in the Philippines. ICLARM Conf. Proc. 49, pp. 6-22., **Website** changed from http://pubs.iclarm.net/libinfo/Pdf/Pub%20CP6%2049.pdf to https://core.ac.uk/download/pdf/6515223.pdf;")</f>
        <v>**Restoration_project_short** changed from Site in Mainit Sur to Unknown,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37" s="153" t="s">
        <v>6765</v>
      </c>
      <c r="J337" s="153" t="s">
        <v>257</v>
      </c>
      <c r="K337" s="153" t="s">
        <v>497</v>
      </c>
      <c r="L337" s="153" t="s">
        <v>1439</v>
      </c>
      <c r="M337" s="181" t="s">
        <v>1440</v>
      </c>
      <c r="N337" s="153" t="s">
        <v>151</v>
      </c>
      <c r="O337" s="153" t="s">
        <v>1377</v>
      </c>
      <c r="P337" s="166" t="s">
        <v>149</v>
      </c>
      <c r="Q337" s="178">
        <v>1992.0</v>
      </c>
      <c r="R337" s="175" t="s">
        <v>6198</v>
      </c>
      <c r="S337" s="175" t="s">
        <v>6199</v>
      </c>
      <c r="T337" s="161" t="s">
        <v>150</v>
      </c>
      <c r="U337" s="153">
        <f>IFERROR(__xludf.DUMMYFUNCTION("""COMPUTED_VALUE"""),319.0)</f>
        <v>319</v>
      </c>
      <c r="V337" s="162" t="s">
        <v>3311</v>
      </c>
      <c r="W337" s="187" t="s">
        <v>149</v>
      </c>
      <c r="X337" s="184"/>
      <c r="Y337" s="184" t="s">
        <v>149</v>
      </c>
      <c r="Z337" s="158" t="s">
        <v>149</v>
      </c>
      <c r="AA337" s="158" t="s">
        <v>149</v>
      </c>
      <c r="AB337" s="158" t="s">
        <v>149</v>
      </c>
      <c r="AC337" s="153" t="s">
        <v>1381</v>
      </c>
      <c r="AD337" s="158" t="s">
        <v>6154</v>
      </c>
      <c r="AE337" s="158" t="s">
        <v>206</v>
      </c>
      <c r="AF337" s="158" t="s">
        <v>159</v>
      </c>
      <c r="AG337" s="164" t="s">
        <v>149</v>
      </c>
      <c r="AH337" s="158" t="s">
        <v>149</v>
      </c>
      <c r="AI337" s="158" t="s">
        <v>149</v>
      </c>
      <c r="AJ337" s="153" t="s">
        <v>660</v>
      </c>
      <c r="AK337" s="153" t="s">
        <v>6035</v>
      </c>
      <c r="AL337" s="153" t="s">
        <v>369</v>
      </c>
      <c r="AM337" s="166" t="s">
        <v>149</v>
      </c>
      <c r="AN337" s="166" t="s">
        <v>149</v>
      </c>
      <c r="AO337" s="156">
        <v>1.0</v>
      </c>
      <c r="AP337" s="156" t="s">
        <v>6037</v>
      </c>
      <c r="AQ337" s="158" t="s">
        <v>395</v>
      </c>
      <c r="AR337" s="153" t="s">
        <v>6060</v>
      </c>
      <c r="AS337" s="158" t="s">
        <v>6711</v>
      </c>
      <c r="AT337" s="153" t="s">
        <v>398</v>
      </c>
      <c r="AU337" s="166" t="s">
        <v>149</v>
      </c>
    </row>
    <row r="338">
      <c r="A338" s="186">
        <v>169.0</v>
      </c>
      <c r="B338" s="152">
        <v>2023.0</v>
      </c>
      <c r="D338" s="152"/>
      <c r="E338" s="151">
        <v>169.0</v>
      </c>
      <c r="F338" s="129" t="s">
        <v>140</v>
      </c>
      <c r="G338" s="3" t="s">
        <v>6029</v>
      </c>
      <c r="H338" s="8" t="str">
        <f>IFERROR(__xludf.DUMMYFUNCTION("""COMPUTED_VALUE"""),"")</f>
        <v/>
      </c>
      <c r="I338" s="8" t="s">
        <v>6766</v>
      </c>
      <c r="J338" s="8" t="s">
        <v>257</v>
      </c>
      <c r="K338" s="8" t="s">
        <v>497</v>
      </c>
      <c r="L338" s="8" t="s">
        <v>1418</v>
      </c>
      <c r="M338" s="153" t="s">
        <v>1419</v>
      </c>
      <c r="N338" s="8" t="s">
        <v>151</v>
      </c>
      <c r="O338" s="8" t="s">
        <v>1377</v>
      </c>
      <c r="P338" s="8" t="s">
        <v>1426</v>
      </c>
      <c r="Q338" s="166" t="s">
        <v>149</v>
      </c>
      <c r="R338" s="142" t="s">
        <v>6198</v>
      </c>
      <c r="S338" s="142" t="s">
        <v>6199</v>
      </c>
      <c r="T338" s="8"/>
      <c r="U338" s="8">
        <f>IFERROR(__xludf.DUMMYFUNCTION("""COMPUTED_VALUE"""),320.0)</f>
        <v>320</v>
      </c>
      <c r="V338" s="8"/>
      <c r="W338" s="166"/>
      <c r="X338" s="8"/>
      <c r="Y338" s="8"/>
      <c r="AA338" s="166" t="s">
        <v>149</v>
      </c>
      <c r="AB338" s="166" t="s">
        <v>149</v>
      </c>
      <c r="AC338" s="8" t="s">
        <v>1381</v>
      </c>
      <c r="AG338" s="166" t="s">
        <v>149</v>
      </c>
      <c r="AH338" s="166" t="s">
        <v>149</v>
      </c>
      <c r="AI338" s="166" t="s">
        <v>149</v>
      </c>
      <c r="AJ338" s="8" t="s">
        <v>660</v>
      </c>
      <c r="AL338" s="8" t="s">
        <v>369</v>
      </c>
      <c r="AM338" s="166" t="s">
        <v>149</v>
      </c>
      <c r="AN338" s="166" t="s">
        <v>149</v>
      </c>
      <c r="AO338" s="8"/>
      <c r="AP338" s="8"/>
      <c r="AR338" s="8" t="s">
        <v>395</v>
      </c>
      <c r="AS338" s="8" t="s">
        <v>2873</v>
      </c>
      <c r="AT338" s="8" t="s">
        <v>398</v>
      </c>
      <c r="AU338" s="166" t="s">
        <v>149</v>
      </c>
      <c r="AV338" s="8" t="s">
        <v>6109</v>
      </c>
    </row>
    <row r="339">
      <c r="A339" s="186">
        <v>169.0</v>
      </c>
      <c r="B339" s="152">
        <v>2025.0</v>
      </c>
      <c r="C339" s="153" t="str">
        <f>CONCATENATE(D339, "-", M339, "-", A339)
</f>
        <v>2023-PH174002000-169</v>
      </c>
      <c r="D339" s="152">
        <f>IF(OR(F338="Published", F338="Unpublished"), 2023, IF(F338="New", 2025, ""))
</f>
        <v>2023</v>
      </c>
      <c r="E339" s="151">
        <v>169.0</v>
      </c>
      <c r="F339" s="156" t="s">
        <v>140</v>
      </c>
      <c r="G339" s="156" t="s">
        <v>141</v>
      </c>
      <c r="H339" s="153" t="str">
        <f>IFERROR(__xludf.DUMMYFUNCTION("""COMPUTED_VALUE"""),"**Region** changed from IV-A to IV-B, **Restoration_project** changed from Fisheries Sector Program to Unknown, **Restoration_project_short** changed from Site in Gordon to Site in Poctoy, **Year of establishment** changed from Unknown to 2021, **Project "&amp;"Start** changed from 1990 to Unknown, **Project End** changed from 1994 to Unknown, **Restoration method** changed from Artificial Reef to Asexual Reproduction, **Technique/Material Type** changed from Unknown to CNU; coral transplantation, **Restoration "&amp;"objective** changed from Unknown to Reverse reef degradation and improve productivity of marine resources, **Funding agency** changed from ADB, Overseas Economic Cooperation Fund of Japan to DOST-MIMAROPA, **Total units** changed from Unknown to 10 CNUs, "&amp;"**Implementing institution** changed from DA to DOST-MIMAROPA, **Partners_public** changed from MLGU to PLGU; BFAR; DENR; Marinduque State College, **Reference** changed from Conference Proceeding to Luci-Atienza, C. (2021, June 25). ""Filipinnovation"": "&amp;"MIMAROPA's first large-scale coral restoration project already started. Manila Bulletin. https://mb.com.ph/2021/06/24/filipinnovation-mimaropas-first-large-scale-coral-restoration-project-already-started/, **Website** changed from http://pubs.iclarm.net/l"&amp;"ibinfo/Pdf/Pub%20CP6%2049.pdf to https://mb.com.ph/2021/06/24/filipinnovation-mimaropas-first-large-scale-coral-restoration-project-already-started/, **Contact_name** changed from Miriam Balgos to Unknown")</f>
        <v>**Region** changed from IV-A to IV-B, **Restoration_project** changed from Fisheries Sector Program to Unknown, **Restoration_project_short** changed from Site in Gordon to Site in Poctoy, **Year of establishment** changed from Unknown to 2021, **Project Start** changed from 1990 to Unknown, **Project End** changed from 1994 to Unknown, **Restoration method** changed from Artificial Reef to Asexual Reproduction, **Technique/Material Type** changed from Unknown to CNU; coral transplantation, **Restoration objective** changed from Unknown to Reverse reef degradation and improve productivity of marine resources, **Funding agency** changed from ADB, Overseas Economic Cooperation Fund of Japan to DOST-MIMAROPA, **Total units** changed from Unknown to 10 CNUs, **Implementing institution** changed from DA to DOST-MIMAROPA, **Partners_public** changed from MLGU to PLGU; BFAR; DENR; Marinduque State College, **Reference** changed from Conference Proceeding to Luci-Atienza, C. (2021, June 25). "Filipinnovation": MIMAROPA's first large-scale coral restoration project already started. Manila Bulletin. https://mb.com.ph/2021/06/24/filipinnovation-mimaropas-first-large-scale-coral-restoration-project-already-started/, **Website** changed from http://pubs.iclarm.net/libinfo/Pdf/Pub%20CP6%2049.pdf to https://mb.com.ph/2021/06/24/filipinnovation-mimaropas-first-large-scale-coral-restoration-project-already-started/, **Contact_name** changed from Miriam Balgos to Unknown</v>
      </c>
      <c r="I339" s="153" t="s">
        <v>6767</v>
      </c>
      <c r="J339" s="153" t="s">
        <v>522</v>
      </c>
      <c r="K339" s="153" t="s">
        <v>802</v>
      </c>
      <c r="L339" s="153" t="s">
        <v>1172</v>
      </c>
      <c r="M339" s="181" t="s">
        <v>1173</v>
      </c>
      <c r="N339" s="153" t="s">
        <v>6062</v>
      </c>
      <c r="O339" s="158" t="s">
        <v>149</v>
      </c>
      <c r="P339" s="158" t="s">
        <v>1175</v>
      </c>
      <c r="Q339" s="169">
        <v>2021.0</v>
      </c>
      <c r="R339" s="160" t="s">
        <v>149</v>
      </c>
      <c r="S339" s="160" t="s">
        <v>149</v>
      </c>
      <c r="T339" s="156" t="s">
        <v>177</v>
      </c>
      <c r="U339" s="153">
        <f>IFERROR(__xludf.DUMMYFUNCTION("""COMPUTED_VALUE"""),321.0)</f>
        <v>321</v>
      </c>
      <c r="V339" s="191" t="s">
        <v>1359</v>
      </c>
      <c r="W339" s="184" t="s">
        <v>6066</v>
      </c>
      <c r="X339" s="180"/>
      <c r="Y339" s="180" t="s">
        <v>154</v>
      </c>
      <c r="Z339" s="158" t="s">
        <v>1201</v>
      </c>
      <c r="AA339" s="158" t="s">
        <v>1201</v>
      </c>
      <c r="AB339" s="158" t="s">
        <v>6768</v>
      </c>
      <c r="AC339" s="158" t="s">
        <v>1180</v>
      </c>
      <c r="AD339" s="158" t="s">
        <v>160</v>
      </c>
      <c r="AE339" s="158" t="s">
        <v>6035</v>
      </c>
      <c r="AF339" s="158" t="s">
        <v>159</v>
      </c>
      <c r="AG339" s="164" t="s">
        <v>149</v>
      </c>
      <c r="AH339" s="158" t="s">
        <v>149</v>
      </c>
      <c r="AI339" s="158" t="s">
        <v>1181</v>
      </c>
      <c r="AJ339" s="158" t="s">
        <v>1180</v>
      </c>
      <c r="AK339" s="153" t="s">
        <v>6035</v>
      </c>
      <c r="AL339" s="153" t="s">
        <v>1182</v>
      </c>
      <c r="AM339" s="154" t="s">
        <v>149</v>
      </c>
      <c r="AN339" s="154" t="s">
        <v>149</v>
      </c>
      <c r="AO339" s="156">
        <v>1.0</v>
      </c>
      <c r="AP339" s="156" t="s">
        <v>6037</v>
      </c>
      <c r="AQ339" s="158" t="s">
        <v>166</v>
      </c>
      <c r="AR339" s="153" t="s">
        <v>1184</v>
      </c>
      <c r="AS339" s="172" t="s">
        <v>1185</v>
      </c>
      <c r="AT339" s="154" t="s">
        <v>149</v>
      </c>
      <c r="AU339" s="154" t="s">
        <v>149</v>
      </c>
    </row>
    <row r="340">
      <c r="A340" s="186">
        <v>170.0</v>
      </c>
      <c r="B340" s="152">
        <v>2023.0</v>
      </c>
      <c r="D340" s="152"/>
      <c r="E340" s="151">
        <v>170.0</v>
      </c>
      <c r="F340" s="129" t="s">
        <v>140</v>
      </c>
      <c r="G340" s="3" t="s">
        <v>6029</v>
      </c>
      <c r="H340" s="8" t="str">
        <f>IFERROR(__xludf.DUMMYFUNCTION("""COMPUTED_VALUE"""),"")</f>
        <v/>
      </c>
      <c r="I340" s="8" t="s">
        <v>6769</v>
      </c>
      <c r="J340" s="8" t="s">
        <v>257</v>
      </c>
      <c r="K340" s="8" t="s">
        <v>497</v>
      </c>
      <c r="L340" s="8" t="s">
        <v>1428</v>
      </c>
      <c r="M340" s="153" t="s">
        <v>1429</v>
      </c>
      <c r="N340" s="8" t="s">
        <v>151</v>
      </c>
      <c r="O340" s="8" t="s">
        <v>1377</v>
      </c>
      <c r="P340" s="166" t="s">
        <v>149</v>
      </c>
      <c r="Q340" s="166" t="s">
        <v>149</v>
      </c>
      <c r="R340" s="142" t="s">
        <v>6198</v>
      </c>
      <c r="S340" s="142" t="s">
        <v>6199</v>
      </c>
      <c r="T340" s="8"/>
      <c r="U340" s="8">
        <f>IFERROR(__xludf.DUMMYFUNCTION("""COMPUTED_VALUE"""),322.0)</f>
        <v>322</v>
      </c>
      <c r="V340" s="8"/>
      <c r="W340" s="166"/>
      <c r="X340" s="8"/>
      <c r="Y340" s="8"/>
      <c r="AA340" s="166" t="s">
        <v>149</v>
      </c>
      <c r="AB340" s="166" t="s">
        <v>149</v>
      </c>
      <c r="AC340" s="8" t="s">
        <v>1381</v>
      </c>
      <c r="AG340" s="166" t="s">
        <v>149</v>
      </c>
      <c r="AH340" s="166" t="s">
        <v>149</v>
      </c>
      <c r="AI340" s="166" t="s">
        <v>149</v>
      </c>
      <c r="AJ340" s="8" t="s">
        <v>660</v>
      </c>
      <c r="AL340" s="8" t="s">
        <v>369</v>
      </c>
      <c r="AM340" s="166" t="s">
        <v>149</v>
      </c>
      <c r="AN340" s="166" t="s">
        <v>149</v>
      </c>
      <c r="AO340" s="8"/>
      <c r="AP340" s="8"/>
      <c r="AR340" s="8" t="s">
        <v>395</v>
      </c>
      <c r="AS340" s="8" t="s">
        <v>2873</v>
      </c>
      <c r="AT340" s="8" t="s">
        <v>398</v>
      </c>
      <c r="AU340" s="166" t="s">
        <v>149</v>
      </c>
    </row>
    <row r="341">
      <c r="A341" s="186">
        <v>170.0</v>
      </c>
      <c r="B341" s="152">
        <v>2025.0</v>
      </c>
      <c r="C341" s="153" t="str">
        <f>CONCATENATE(D341, "-", M341, "-", A341)
</f>
        <v>2023-PH174005000-170</v>
      </c>
      <c r="D341" s="152">
        <f>IF(OR(F340="Published", F340="Unpublished"), 2023, IF(F340="New", 2025, ""))
</f>
        <v>2023</v>
      </c>
      <c r="E341" s="151">
        <v>170.0</v>
      </c>
      <c r="F341" s="156" t="s">
        <v>140</v>
      </c>
      <c r="G341" s="156" t="s">
        <v>141</v>
      </c>
      <c r="H341" s="153" t="str">
        <f>IFERROR(__xludf.DUMMYFUNCTION("""COMPUTED_VALUE"""),"**Region** changed from IV-A to IV-B, **Restoration_project** changed from Fisheries Sector Program to Small Islands Integrated Development Project, **Restoration_project_short** changed from Unknown to Site in Brgy Alobo; When the article was written, AR"&amp;"s were awaiting deployment, **Project Start** changed from 1990 to Unknown, **Project End** changed from 1994 to Unknown, **Technique/Material Type** changed from Unknown to Concrete, **Restoration objective** changed from Unknown to Fishing, **Funding ag"&amp;"ency** changed from ADB, Overseas Economic Cooperation Fund of Japan to US Peace Corps, **Implementing institution** changed from DA to US Peace Corps, **Partners_public** changed from MLGU to DA, **Partners_private** changed from Unknown to Plan Internat"&amp;"ional, **Reference** changed from Conference Proceeding to Balgos, M.C. (1995). Evaluation of artificial reef development in the Philippines. In Munro, J.L. &amp; Balgos, M. (eds.) Artificial reefs in the Philippines. ICLARM Conf. Proc. 49, pp. 6-22., **Websi"&amp;"te** changed from http://pubs.iclarm.net/libinfo/Pdf/Pub%20CP6%2049.pdf to https://core.ac.uk/download/pdf/6515223.pdf;")</f>
        <v>**Region** changed from IV-A to IV-B, **Restoration_project** changed from Fisheries Sector Program to Small Islands Integrated Development Project, **Restoration_project_short** changed from Unknown to Site in Brgy Alobo; When the article was written, ARs were awaiting deployment, **Project Start** changed from 1990 to Unknown, **Project End** changed from 1994 to Unknown, **Technique/Material Type** changed from Unknown to Concrete, **Restoration objective** changed from Unknown to Fishing, **Funding agency** changed from ADB, Overseas Economic Cooperation Fund of Japan to US Peace Corps, **Implementing institution** changed from DA to US Peace Corps, **Partners_public** changed from MLGU to DA, **Partners_private** changed from Unknown to Plan International,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41" s="153" t="s">
        <v>6770</v>
      </c>
      <c r="J341" s="153" t="s">
        <v>522</v>
      </c>
      <c r="K341" s="153" t="s">
        <v>802</v>
      </c>
      <c r="L341" s="153" t="s">
        <v>6771</v>
      </c>
      <c r="M341" s="181" t="s">
        <v>803</v>
      </c>
      <c r="N341" s="153" t="s">
        <v>151</v>
      </c>
      <c r="O341" s="153" t="s">
        <v>2107</v>
      </c>
      <c r="P341" s="158" t="s">
        <v>6772</v>
      </c>
      <c r="Q341" s="178" t="s">
        <v>149</v>
      </c>
      <c r="R341" s="160" t="s">
        <v>149</v>
      </c>
      <c r="S341" s="160" t="s">
        <v>149</v>
      </c>
      <c r="T341" s="161" t="s">
        <v>150</v>
      </c>
      <c r="U341" s="153">
        <f>IFERROR(__xludf.DUMMYFUNCTION("""COMPUTED_VALUE"""),323.0)</f>
        <v>323</v>
      </c>
      <c r="V341" s="162" t="s">
        <v>3311</v>
      </c>
      <c r="W341" s="184" t="s">
        <v>6032</v>
      </c>
      <c r="X341" s="28" t="s">
        <v>6173</v>
      </c>
      <c r="Y341" s="32" t="s">
        <v>6474</v>
      </c>
      <c r="Z341" s="158" t="s">
        <v>152</v>
      </c>
      <c r="AA341" s="153" t="s">
        <v>152</v>
      </c>
      <c r="AB341" s="153" t="s">
        <v>6506</v>
      </c>
      <c r="AC341" s="158" t="s">
        <v>2111</v>
      </c>
      <c r="AD341" s="158" t="s">
        <v>6154</v>
      </c>
      <c r="AE341" s="158" t="s">
        <v>206</v>
      </c>
      <c r="AF341" s="158" t="s">
        <v>159</v>
      </c>
      <c r="AG341" s="164" t="s">
        <v>149</v>
      </c>
      <c r="AH341" s="158" t="s">
        <v>149</v>
      </c>
      <c r="AI341" s="158" t="s">
        <v>149</v>
      </c>
      <c r="AJ341" s="153" t="s">
        <v>2111</v>
      </c>
      <c r="AK341" s="158" t="s">
        <v>206</v>
      </c>
      <c r="AL341" s="153" t="s">
        <v>660</v>
      </c>
      <c r="AM341" s="153" t="s">
        <v>2112</v>
      </c>
      <c r="AN341" s="154" t="s">
        <v>149</v>
      </c>
      <c r="AO341" s="156">
        <v>1.0</v>
      </c>
      <c r="AP341" s="156" t="s">
        <v>6037</v>
      </c>
      <c r="AQ341" s="158" t="s">
        <v>395</v>
      </c>
      <c r="AR341" s="153" t="s">
        <v>6060</v>
      </c>
      <c r="AS341" s="158" t="s">
        <v>6711</v>
      </c>
      <c r="AT341" s="153" t="s">
        <v>398</v>
      </c>
      <c r="AU341" s="154" t="s">
        <v>149</v>
      </c>
    </row>
    <row r="342">
      <c r="A342" s="186">
        <v>171.0</v>
      </c>
      <c r="B342" s="152">
        <v>2023.0</v>
      </c>
      <c r="D342" s="152"/>
      <c r="E342" s="151">
        <v>171.0</v>
      </c>
      <c r="F342" s="129" t="s">
        <v>140</v>
      </c>
      <c r="G342" s="3" t="s">
        <v>6029</v>
      </c>
      <c r="H342" s="8" t="str">
        <f>IFERROR(__xludf.DUMMYFUNCTION("""COMPUTED_VALUE"""),"")</f>
        <v/>
      </c>
      <c r="I342" s="8" t="s">
        <v>6773</v>
      </c>
      <c r="J342" s="8" t="s">
        <v>257</v>
      </c>
      <c r="K342" s="8" t="s">
        <v>497</v>
      </c>
      <c r="L342" s="8" t="s">
        <v>497</v>
      </c>
      <c r="M342" s="153" t="s">
        <v>1431</v>
      </c>
      <c r="N342" s="8" t="s">
        <v>151</v>
      </c>
      <c r="O342" s="8" t="s">
        <v>1377</v>
      </c>
      <c r="P342" s="8" t="s">
        <v>1432</v>
      </c>
      <c r="Q342" s="166" t="s">
        <v>149</v>
      </c>
      <c r="R342" s="142" t="s">
        <v>6198</v>
      </c>
      <c r="S342" s="142" t="s">
        <v>6199</v>
      </c>
      <c r="T342" s="8"/>
      <c r="U342" s="8">
        <f>IFERROR(__xludf.DUMMYFUNCTION("""COMPUTED_VALUE"""),324.0)</f>
        <v>324</v>
      </c>
      <c r="V342" s="8"/>
      <c r="W342" s="166"/>
      <c r="X342" s="8"/>
      <c r="Y342" s="8"/>
      <c r="AA342" s="166" t="s">
        <v>149</v>
      </c>
      <c r="AB342" s="166" t="s">
        <v>149</v>
      </c>
      <c r="AC342" s="8" t="s">
        <v>1381</v>
      </c>
      <c r="AG342" s="166" t="s">
        <v>149</v>
      </c>
      <c r="AH342" s="166" t="s">
        <v>149</v>
      </c>
      <c r="AI342" s="166" t="s">
        <v>149</v>
      </c>
      <c r="AJ342" s="8" t="s">
        <v>660</v>
      </c>
      <c r="AL342" s="8" t="s">
        <v>369</v>
      </c>
      <c r="AM342" s="166" t="s">
        <v>149</v>
      </c>
      <c r="AN342" s="166" t="s">
        <v>149</v>
      </c>
      <c r="AO342" s="8"/>
      <c r="AP342" s="8"/>
      <c r="AR342" s="8" t="s">
        <v>395</v>
      </c>
      <c r="AS342" s="8" t="s">
        <v>2873</v>
      </c>
      <c r="AT342" s="8" t="s">
        <v>398</v>
      </c>
      <c r="AU342" s="166" t="s">
        <v>149</v>
      </c>
    </row>
    <row r="343">
      <c r="A343" s="186">
        <v>171.0</v>
      </c>
      <c r="B343" s="152">
        <v>2025.0</v>
      </c>
      <c r="C343" s="153" t="str">
        <f>CONCATENATE(D343, "-", M343, "-", A343)
</f>
        <v>2023-PH174005000-171</v>
      </c>
      <c r="D343" s="152">
        <f>IF(OR(F342="Published", F342="Unpublished"), 2023, IF(F342="New", 2025, ""))
</f>
        <v>2023</v>
      </c>
      <c r="E343" s="151">
        <v>171.0</v>
      </c>
      <c r="F343" s="129" t="s">
        <v>140</v>
      </c>
      <c r="G343" s="156" t="s">
        <v>141</v>
      </c>
      <c r="H343" s="153" t="str">
        <f>IFERROR(__xludf.DUMMYFUNCTION("""COMPUTED_VALUE"""),"**Region** changed from IV-A to IV-B, **Restoration_project** changed from Fisheries Sector Program to Calancan Bay Rehabilitation Program, **Restoration_project_short** changed from Site in Quezon to Exact number of covered LGUs cannot be determined, **P"&amp;"roject Start** changed from 1990 to 1989, **Technique/Material Type** changed from Unknown to tires, concrete, bamboo, **Restoration objective** changed from Unknown to Reduce the impact of mine tailings dumped in Calancalan Bay by a copper mining company"&amp;"; Sustained conservation and development of Calancan Bay and surrounding communities and processes and the improvement of overall environmental quality, **Funding agency** changed from ADB, Overseas Economic Cooperation Fund of Japan to Unknown, **Total u"&amp;"nits** changed from Unknown to 2,000 units, **Implementing institution** changed from DA to DENR, **Partners_public** changed from MLGU to Unknown, **Reference** changed from Conference Proceeding to Balgos, M.C. (1995). Evaluation of artificial reef deve"&amp;"lopment in the Philippines. In Munro, J.L. &amp; Balgos, M. (eds.) Artificial reefs in the Philippines. ICLARM Conf. Proc. 49, pp. 6-22., **Website** changed from http://pubs.iclarm.net/libinfo/Pdf/Pub%20CP6%2049.pdf to https://core.ac.uk/download/pdf/6515223"&amp;".pdf;")</f>
        <v>**Region** changed from IV-A to IV-B, **Restoration_project** changed from Fisheries Sector Program to Calancan Bay Rehabilitation Program, **Restoration_project_short** changed from Site in Quezon to Exact number of covered LGUs cannot be determined, **Project Start** changed from 1990 to 1989, **Technique/Material Type** changed from Unknown to tires, concrete, bamboo, **Restoration objective** changed from Unknown to Reduce the impact of mine tailings dumped in Calancalan Bay by a copper mining company; Sustained conservation and development of Calancan Bay and surrounding communities and processes and the improvement of overall environmental quality, **Funding agency** changed from ADB, Overseas Economic Cooperation Fund of Japan to Unknown, **Total units** changed from Unknown to 2,000 units, **Implementing institution** changed from DA to DENR, **Partners_public** changed from MLGU to Unknown,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43" s="153" t="s">
        <v>6774</v>
      </c>
      <c r="J343" s="153" t="s">
        <v>522</v>
      </c>
      <c r="K343" s="153" t="s">
        <v>802</v>
      </c>
      <c r="L343" s="153" t="s">
        <v>6771</v>
      </c>
      <c r="M343" s="181" t="s">
        <v>803</v>
      </c>
      <c r="N343" s="153" t="s">
        <v>151</v>
      </c>
      <c r="O343" s="153" t="s">
        <v>804</v>
      </c>
      <c r="P343" s="158" t="s">
        <v>6775</v>
      </c>
      <c r="Q343" s="178" t="s">
        <v>149</v>
      </c>
      <c r="R343" s="175" t="s">
        <v>6776</v>
      </c>
      <c r="S343" s="175" t="s">
        <v>6199</v>
      </c>
      <c r="T343" s="161" t="s">
        <v>150</v>
      </c>
      <c r="U343" s="153">
        <f>IFERROR(__xludf.DUMMYFUNCTION("""COMPUTED_VALUE"""),325.0)</f>
        <v>325</v>
      </c>
      <c r="V343" s="162" t="s">
        <v>3311</v>
      </c>
      <c r="W343" s="179" t="s">
        <v>6777</v>
      </c>
      <c r="X343" s="28" t="s">
        <v>6082</v>
      </c>
      <c r="Y343" s="32" t="s">
        <v>6778</v>
      </c>
      <c r="Z343" s="158" t="s">
        <v>6779</v>
      </c>
      <c r="AA343" s="153" t="s">
        <v>6779</v>
      </c>
      <c r="AB343" s="158" t="s">
        <v>810</v>
      </c>
      <c r="AC343" s="158" t="s">
        <v>149</v>
      </c>
      <c r="AD343" s="158" t="s">
        <v>149</v>
      </c>
      <c r="AE343" s="158" t="s">
        <v>149</v>
      </c>
      <c r="AF343" s="158" t="s">
        <v>149</v>
      </c>
      <c r="AG343" s="164" t="s">
        <v>149</v>
      </c>
      <c r="AH343" s="154" t="s">
        <v>149</v>
      </c>
      <c r="AI343" s="153" t="s">
        <v>6780</v>
      </c>
      <c r="AJ343" s="153" t="s">
        <v>341</v>
      </c>
      <c r="AK343" s="153" t="s">
        <v>6035</v>
      </c>
      <c r="AL343" s="154" t="s">
        <v>149</v>
      </c>
      <c r="AM343" s="154" t="s">
        <v>149</v>
      </c>
      <c r="AN343" s="154" t="s">
        <v>149</v>
      </c>
      <c r="AO343" s="156">
        <v>1.0</v>
      </c>
      <c r="AP343" s="156" t="s">
        <v>6037</v>
      </c>
      <c r="AQ343" s="158" t="s">
        <v>395</v>
      </c>
      <c r="AR343" s="153" t="s">
        <v>6060</v>
      </c>
      <c r="AS343" s="158" t="s">
        <v>6711</v>
      </c>
      <c r="AT343" s="153" t="s">
        <v>398</v>
      </c>
      <c r="AU343" s="154" t="s">
        <v>149</v>
      </c>
    </row>
    <row r="344">
      <c r="A344" s="186">
        <v>172.0</v>
      </c>
      <c r="B344" s="152">
        <v>2023.0</v>
      </c>
      <c r="D344" s="152"/>
      <c r="E344" s="151">
        <v>172.0</v>
      </c>
      <c r="F344" s="129" t="s">
        <v>140</v>
      </c>
      <c r="G344" s="3" t="s">
        <v>6029</v>
      </c>
      <c r="H344" s="8" t="str">
        <f>IFERROR(__xludf.DUMMYFUNCTION("""COMPUTED_VALUE"""),"")</f>
        <v/>
      </c>
      <c r="I344" s="8" t="s">
        <v>6781</v>
      </c>
      <c r="J344" s="8" t="s">
        <v>257</v>
      </c>
      <c r="K344" s="8" t="s">
        <v>497</v>
      </c>
      <c r="L344" s="8" t="s">
        <v>497</v>
      </c>
      <c r="M344" s="153" t="s">
        <v>1431</v>
      </c>
      <c r="N344" s="8" t="s">
        <v>151</v>
      </c>
      <c r="O344" s="8" t="s">
        <v>1377</v>
      </c>
      <c r="P344" s="8" t="s">
        <v>1434</v>
      </c>
      <c r="Q344" s="166" t="s">
        <v>149</v>
      </c>
      <c r="R344" s="142" t="s">
        <v>6198</v>
      </c>
      <c r="S344" s="142" t="s">
        <v>6199</v>
      </c>
      <c r="T344" s="8"/>
      <c r="U344" s="8">
        <f>IFERROR(__xludf.DUMMYFUNCTION("""COMPUTED_VALUE"""),326.0)</f>
        <v>326</v>
      </c>
      <c r="V344" s="8"/>
      <c r="W344" s="166"/>
      <c r="X344" s="8"/>
      <c r="Y344" s="8"/>
      <c r="AA344" s="166" t="s">
        <v>149</v>
      </c>
      <c r="AB344" s="166" t="s">
        <v>149</v>
      </c>
      <c r="AC344" s="8" t="s">
        <v>1381</v>
      </c>
      <c r="AG344" s="166" t="s">
        <v>149</v>
      </c>
      <c r="AH344" s="166" t="s">
        <v>149</v>
      </c>
      <c r="AI344" s="166" t="s">
        <v>149</v>
      </c>
      <c r="AJ344" s="8" t="s">
        <v>660</v>
      </c>
      <c r="AL344" s="8" t="s">
        <v>369</v>
      </c>
      <c r="AM344" s="166" t="s">
        <v>149</v>
      </c>
      <c r="AN344" s="166" t="s">
        <v>149</v>
      </c>
      <c r="AO344" s="8"/>
      <c r="AP344" s="8"/>
      <c r="AR344" s="8" t="s">
        <v>395</v>
      </c>
      <c r="AS344" s="8" t="s">
        <v>2873</v>
      </c>
      <c r="AT344" s="8" t="s">
        <v>398</v>
      </c>
      <c r="AU344" s="166" t="s">
        <v>149</v>
      </c>
    </row>
    <row r="345">
      <c r="A345" s="186">
        <v>172.0</v>
      </c>
      <c r="B345" s="152">
        <v>2025.0</v>
      </c>
      <c r="C345" s="153" t="str">
        <f>CONCATENATE(D345, "-", M345, "-", A345)
</f>
        <v>2023-PH174006000-172</v>
      </c>
      <c r="D345" s="152">
        <f>IF(OR(F344="Published", F344="Unpublished"), 2023, IF(F344="New", 2025, ""))
</f>
        <v>2023</v>
      </c>
      <c r="E345" s="151">
        <v>172.0</v>
      </c>
      <c r="F345" s="129" t="s">
        <v>140</v>
      </c>
      <c r="G345" s="156" t="s">
        <v>141</v>
      </c>
      <c r="H345" s="153" t="str">
        <f>IFERROR(__xludf.DUMMYFUNCTION("""COMPUTED_VALUE"""),"**Region** changed from IV-A to IV-B, **Restoration_project** changed from Fisheries Sector Program to Unknown, **Restoration_project_short** changed from Site in Villa Mercedes to Site in Tungib-Lipata MPA, **Year of establishment** changed from Unknown "&amp;"to 2021, **Project Start** changed from 1990 to Unknown, **Project End** changed from 1994 to Unknown, **Restoration method** changed from Artificial Reef to Asexual Reproduction, **Technique/Material Type** changed from Unknown to CNU; coral transplantat"&amp;"ion, **Restoration objective** changed from Unknown to Reverse reef degradation and improve productivity of marine resources, **Funding agency** changed from ADB, Overseas Economic Cooperation Fund of Japan to DOST-MIMAROPA, **Total units** changed from U"&amp;"nknown to 10 CNUs, **Implementing institution** changed from DA to DOST-MIMAROPA, **Partners_public** changed from MLGU to PLGU; BFAR; DENR; Marinduque State College, **Reference** changed from Conference Proceeding to Luci-Atienza, C. (2021, June 25). """&amp;"Filipinnovation"": MIMAROPA's first large-scale coral restoration project already started. Manila Bulletin. https://mb.com.ph/2021/06/24/filipinnovation-mimaropas-first-large-scale-coral-restoration-project-already-started/, **Website** changed from http:"&amp;"//pubs.iclarm.net/libinfo/Pdf/Pub%20CP6%2049.pdf to https://mb.com.ph/2021/06/24/filipinnovation-mimaropas-first-large-scale-coral-restoration-project-already-started/, **Contact_name** changed from Miriam Balgos to Unknown")</f>
        <v>**Region** changed from IV-A to IV-B, **Restoration_project** changed from Fisheries Sector Program to Unknown, **Restoration_project_short** changed from Site in Villa Mercedes to Site in Tungib-Lipata MPA, **Year of establishment** changed from Unknown to 2021, **Project Start** changed from 1990 to Unknown, **Project End** changed from 1994 to Unknown, **Restoration method** changed from Artificial Reef to Asexual Reproduction, **Technique/Material Type** changed from Unknown to CNU; coral transplantation, **Restoration objective** changed from Unknown to Reverse reef degradation and improve productivity of marine resources, **Funding agency** changed from ADB, Overseas Economic Cooperation Fund of Japan to DOST-MIMAROPA, **Total units** changed from Unknown to 10 CNUs, **Implementing institution** changed from DA to DOST-MIMAROPA, **Partners_public** changed from MLGU to PLGU; BFAR; DENR; Marinduque State College, **Reference** changed from Conference Proceeding to Luci-Atienza, C. (2021, June 25). "Filipinnovation": MIMAROPA's first large-scale coral restoration project already started. Manila Bulletin. https://mb.com.ph/2021/06/24/filipinnovation-mimaropas-first-large-scale-coral-restoration-project-already-started/, **Website** changed from http://pubs.iclarm.net/libinfo/Pdf/Pub%20CP6%2049.pdf to https://mb.com.ph/2021/06/24/filipinnovation-mimaropas-first-large-scale-coral-restoration-project-already-started/, **Contact_name** changed from Miriam Balgos to Unknown</v>
      </c>
      <c r="I345" s="153" t="s">
        <v>6782</v>
      </c>
      <c r="J345" s="153" t="s">
        <v>522</v>
      </c>
      <c r="K345" s="153" t="s">
        <v>802</v>
      </c>
      <c r="L345" s="153" t="s">
        <v>1187</v>
      </c>
      <c r="M345" s="181" t="s">
        <v>1188</v>
      </c>
      <c r="N345" s="153" t="s">
        <v>6062</v>
      </c>
      <c r="O345" s="158" t="s">
        <v>149</v>
      </c>
      <c r="P345" s="158" t="s">
        <v>1189</v>
      </c>
      <c r="Q345" s="169">
        <v>2021.0</v>
      </c>
      <c r="R345" s="160" t="s">
        <v>149</v>
      </c>
      <c r="S345" s="160" t="s">
        <v>149</v>
      </c>
      <c r="T345" s="156" t="s">
        <v>177</v>
      </c>
      <c r="U345" s="153">
        <f>IFERROR(__xludf.DUMMYFUNCTION("""COMPUTED_VALUE"""),327.0)</f>
        <v>327</v>
      </c>
      <c r="V345" s="191" t="s">
        <v>1359</v>
      </c>
      <c r="W345" s="184" t="s">
        <v>6066</v>
      </c>
      <c r="X345" s="180"/>
      <c r="Y345" s="180" t="s">
        <v>154</v>
      </c>
      <c r="Z345" s="158" t="s">
        <v>1201</v>
      </c>
      <c r="AA345" s="158" t="s">
        <v>1201</v>
      </c>
      <c r="AB345" s="158" t="s">
        <v>6768</v>
      </c>
      <c r="AC345" s="158" t="s">
        <v>1180</v>
      </c>
      <c r="AD345" s="158" t="s">
        <v>160</v>
      </c>
      <c r="AE345" s="158" t="s">
        <v>6035</v>
      </c>
      <c r="AF345" s="158" t="s">
        <v>159</v>
      </c>
      <c r="AG345" s="164" t="s">
        <v>149</v>
      </c>
      <c r="AH345" s="158" t="s">
        <v>149</v>
      </c>
      <c r="AI345" s="158" t="s">
        <v>1181</v>
      </c>
      <c r="AJ345" s="158" t="s">
        <v>1180</v>
      </c>
      <c r="AK345" s="153" t="s">
        <v>6035</v>
      </c>
      <c r="AL345" s="153" t="s">
        <v>1182</v>
      </c>
      <c r="AM345" s="154" t="s">
        <v>149</v>
      </c>
      <c r="AN345" s="154" t="s">
        <v>149</v>
      </c>
      <c r="AO345" s="156">
        <v>1.0</v>
      </c>
      <c r="AP345" s="156" t="s">
        <v>6037</v>
      </c>
      <c r="AQ345" s="158" t="s">
        <v>166</v>
      </c>
      <c r="AR345" s="153" t="s">
        <v>1184</v>
      </c>
      <c r="AS345" s="153" t="s">
        <v>1185</v>
      </c>
      <c r="AT345" s="154" t="s">
        <v>149</v>
      </c>
      <c r="AU345" s="154" t="s">
        <v>149</v>
      </c>
    </row>
    <row r="346">
      <c r="A346" s="186">
        <v>173.0</v>
      </c>
      <c r="B346" s="152">
        <v>2023.0</v>
      </c>
      <c r="D346" s="152"/>
      <c r="E346" s="151">
        <v>173.0</v>
      </c>
      <c r="F346" s="129" t="s">
        <v>140</v>
      </c>
      <c r="G346" s="3" t="s">
        <v>6029</v>
      </c>
      <c r="H346" s="8" t="str">
        <f>IFERROR(__xludf.DUMMYFUNCTION("""COMPUTED_VALUE"""),"")</f>
        <v/>
      </c>
      <c r="I346" s="8" t="s">
        <v>6783</v>
      </c>
      <c r="J346" s="8" t="s">
        <v>257</v>
      </c>
      <c r="K346" s="8" t="s">
        <v>497</v>
      </c>
      <c r="L346" s="8" t="s">
        <v>1436</v>
      </c>
      <c r="M346" s="153" t="s">
        <v>1437</v>
      </c>
      <c r="N346" s="8" t="s">
        <v>151</v>
      </c>
      <c r="O346" s="8" t="s">
        <v>1377</v>
      </c>
      <c r="P346" s="166" t="s">
        <v>149</v>
      </c>
      <c r="Q346" s="166" t="s">
        <v>149</v>
      </c>
      <c r="R346" s="142" t="s">
        <v>6198</v>
      </c>
      <c r="S346" s="142" t="s">
        <v>6199</v>
      </c>
      <c r="T346" s="8"/>
      <c r="U346" s="8">
        <f>IFERROR(__xludf.DUMMYFUNCTION("""COMPUTED_VALUE"""),328.0)</f>
        <v>328</v>
      </c>
      <c r="V346" s="8"/>
      <c r="W346" s="166"/>
      <c r="X346" s="8"/>
      <c r="Y346" s="8"/>
      <c r="AA346" s="166" t="s">
        <v>149</v>
      </c>
      <c r="AB346" s="166" t="s">
        <v>149</v>
      </c>
      <c r="AC346" s="8" t="s">
        <v>1381</v>
      </c>
      <c r="AG346" s="166" t="s">
        <v>149</v>
      </c>
      <c r="AH346" s="166" t="s">
        <v>149</v>
      </c>
      <c r="AI346" s="166" t="s">
        <v>149</v>
      </c>
      <c r="AJ346" s="8" t="s">
        <v>660</v>
      </c>
      <c r="AL346" s="8" t="s">
        <v>369</v>
      </c>
      <c r="AM346" s="166" t="s">
        <v>149</v>
      </c>
      <c r="AN346" s="166" t="s">
        <v>149</v>
      </c>
      <c r="AO346" s="8"/>
      <c r="AP346" s="8"/>
      <c r="AR346" s="8" t="s">
        <v>395</v>
      </c>
      <c r="AS346" s="8" t="s">
        <v>2873</v>
      </c>
      <c r="AT346" s="8" t="s">
        <v>398</v>
      </c>
      <c r="AU346" s="166" t="s">
        <v>149</v>
      </c>
    </row>
    <row r="347">
      <c r="A347" s="186">
        <v>173.0</v>
      </c>
      <c r="B347" s="152">
        <v>2025.0</v>
      </c>
      <c r="C347" s="153" t="str">
        <f>CONCATENATE(D347, "-", M347, "-", A347)
</f>
        <v>2023-PH175104000-173</v>
      </c>
      <c r="D347" s="152">
        <f>IF(OR(F346="Published", F346="Unpublished"), 2023, IF(F346="New", 2025, ""))
</f>
        <v>2023</v>
      </c>
      <c r="E347" s="151">
        <v>173.0</v>
      </c>
      <c r="F347" s="156" t="s">
        <v>140</v>
      </c>
      <c r="G347" s="156" t="s">
        <v>141</v>
      </c>
      <c r="H347" s="153" t="str">
        <f>IFERROR(__xludf.DUMMYFUNCTION("""COMPUTED_VALUE"""),"**Region** changed from IV-A to IV-B, **Restoration_project** changed from Fisheries Sector Program to Unknown, **Restoration_project_short** changed from Unknown to Site in Lubang Island Marine Park, **Project Start** changed from 1990 to Unknown, **Proj"&amp;"ect End** changed from 1994 to Unknown, **Restoration method** changed from Artificial Reef to Asexual Reproduction, **Technique/Material Type** changed from Unknown to Coral farming; transplantation, **Restoration objective** changed from Unknown to Cora"&amp;"l reef restoration; commercial aquarium trade, **Funding agency** changed from ADB, Overseas Economic Cooperation Fund of Japan to RVS 4 Star Mariculture Coral Farm; RVS Fishworld, **Implementing institution** changed from DA to RVS 4 Star Mariculture Cor"&amp;"al Farm; RVS Fishworld, **Partners_public** changed from MLGU to Unknown, **Reference** changed from Conference Proceeding to Adams, J. (2013, March 24). RVS 4 Star Mariculture Coral Farm brakes ground in the Philippines. Save the Philippine Coral Reefs. "&amp;"https://savethephilippinecoralreefs.wordpress.com/2013/03/24/rvs-4-star-mariculture-coral-farm-brakes-ground-in-the-philippines/, **Website** changed from http://pubs.iclarm.net/libinfo/Pdf/Pub%20CP6%2049.pdf to https://savethephilippinecoralreefs.wordpre"&amp;"ss.com/2013/03/24/rvs-4-star-mariculture-coral-farm-brakes-ground-in-the-philippines/, **Contact_name** changed from Miriam Balgos to Unknown")</f>
        <v>**Region** changed from IV-A to IV-B, **Restoration_project** changed from Fisheries Sector Program to Unknown, **Restoration_project_short** changed from Unknown to Site in Lubang Island Marine Park, **Project Start** changed from 1990 to Unknown, **Project End** changed from 1994 to Unknown, **Restoration method** changed from Artificial Reef to Asexual Reproduction, **Technique/Material Type** changed from Unknown to Coral farming; transplantation, **Restoration objective** changed from Unknown to Coral reef restoration; commercial aquarium trade, **Funding agency** changed from ADB, Overseas Economic Cooperation Fund of Japan to RVS 4 Star Mariculture Coral Farm; RVS Fishworld, **Implementing institution** changed from DA to RVS 4 Star Mariculture Coral Farm; RVS Fishworld, **Partners_public** changed from MLGU to Unknown, **Reference** changed from Conference Proceeding to Adams, J. (2013, March 24). RVS 4 Star Mariculture Coral Farm brakes ground in the Philippines. Save the Philippine Coral Reefs. https://savethephilippinecoralreefs.wordpress.com/2013/03/24/rvs-4-star-mariculture-coral-farm-brakes-ground-in-the-philippines/, **Website** changed from http://pubs.iclarm.net/libinfo/Pdf/Pub%20CP6%2049.pdf to https://savethephilippinecoralreefs.wordpress.com/2013/03/24/rvs-4-star-mariculture-coral-farm-brakes-ground-in-the-philippines/, **Contact_name** changed from Miriam Balgos to Unknown</v>
      </c>
      <c r="I347" s="153" t="s">
        <v>6784</v>
      </c>
      <c r="J347" s="153" t="s">
        <v>522</v>
      </c>
      <c r="K347" s="153" t="s">
        <v>2618</v>
      </c>
      <c r="L347" s="153" t="s">
        <v>2619</v>
      </c>
      <c r="M347" s="181" t="s">
        <v>2620</v>
      </c>
      <c r="N347" s="153" t="s">
        <v>6062</v>
      </c>
      <c r="O347" s="158" t="s">
        <v>149</v>
      </c>
      <c r="P347" s="158" t="s">
        <v>2621</v>
      </c>
      <c r="Q347" s="178" t="s">
        <v>149</v>
      </c>
      <c r="R347" s="160" t="s">
        <v>149</v>
      </c>
      <c r="S347" s="160" t="s">
        <v>149</v>
      </c>
      <c r="T347" s="156" t="s">
        <v>177</v>
      </c>
      <c r="U347" s="153">
        <f>IFERROR(__xludf.DUMMYFUNCTION("""COMPUTED_VALUE"""),329.0)</f>
        <v>329</v>
      </c>
      <c r="V347" s="191" t="s">
        <v>1359</v>
      </c>
      <c r="W347" s="179" t="s">
        <v>149</v>
      </c>
      <c r="X347" s="180"/>
      <c r="Y347" s="180" t="s">
        <v>154</v>
      </c>
      <c r="Z347" s="153" t="s">
        <v>2622</v>
      </c>
      <c r="AA347" s="153" t="s">
        <v>2622</v>
      </c>
      <c r="AB347" s="158" t="s">
        <v>2623</v>
      </c>
      <c r="AC347" s="153" t="s">
        <v>2624</v>
      </c>
      <c r="AD347" s="158" t="s">
        <v>160</v>
      </c>
      <c r="AE347" s="158" t="s">
        <v>184</v>
      </c>
      <c r="AF347" s="158" t="s">
        <v>2625</v>
      </c>
      <c r="AG347" s="164" t="s">
        <v>149</v>
      </c>
      <c r="AH347" s="158" t="s">
        <v>149</v>
      </c>
      <c r="AI347" s="158" t="s">
        <v>149</v>
      </c>
      <c r="AJ347" s="153" t="s">
        <v>2624</v>
      </c>
      <c r="AK347" s="158" t="s">
        <v>184</v>
      </c>
      <c r="AL347" s="154" t="s">
        <v>149</v>
      </c>
      <c r="AM347" s="154" t="s">
        <v>149</v>
      </c>
      <c r="AN347" s="154" t="s">
        <v>149</v>
      </c>
      <c r="AO347" s="156">
        <v>1.0</v>
      </c>
      <c r="AP347" s="156" t="s">
        <v>6037</v>
      </c>
      <c r="AQ347" s="158" t="s">
        <v>6091</v>
      </c>
      <c r="AR347" s="153" t="s">
        <v>2626</v>
      </c>
      <c r="AS347" s="165" t="s">
        <v>2627</v>
      </c>
      <c r="AT347" s="154" t="s">
        <v>149</v>
      </c>
      <c r="AU347" s="154" t="s">
        <v>149</v>
      </c>
    </row>
    <row r="348">
      <c r="A348" s="186">
        <v>174.0</v>
      </c>
      <c r="B348" s="152">
        <v>2023.0</v>
      </c>
      <c r="D348" s="152"/>
      <c r="E348" s="151">
        <v>174.0</v>
      </c>
      <c r="F348" s="129" t="s">
        <v>140</v>
      </c>
      <c r="G348" s="3" t="s">
        <v>6029</v>
      </c>
      <c r="H348" s="8" t="str">
        <f>IFERROR(__xludf.DUMMYFUNCTION("""COMPUTED_VALUE"""),"")</f>
        <v/>
      </c>
      <c r="I348" s="8" t="s">
        <v>6785</v>
      </c>
      <c r="J348" s="8" t="s">
        <v>257</v>
      </c>
      <c r="K348" s="8" t="s">
        <v>497</v>
      </c>
      <c r="L348" s="8" t="s">
        <v>1439</v>
      </c>
      <c r="M348" s="153" t="s">
        <v>1440</v>
      </c>
      <c r="N348" s="8" t="s">
        <v>151</v>
      </c>
      <c r="O348" s="8" t="s">
        <v>1377</v>
      </c>
      <c r="P348" s="166" t="s">
        <v>149</v>
      </c>
      <c r="Q348" s="166" t="s">
        <v>149</v>
      </c>
      <c r="R348" s="142" t="s">
        <v>6198</v>
      </c>
      <c r="S348" s="142" t="s">
        <v>6199</v>
      </c>
      <c r="T348" s="8"/>
      <c r="U348" s="8">
        <f>IFERROR(__xludf.DUMMYFUNCTION("""COMPUTED_VALUE"""),330.0)</f>
        <v>330</v>
      </c>
      <c r="V348" s="8"/>
      <c r="W348" s="166"/>
      <c r="X348" s="8"/>
      <c r="Y348" s="8"/>
      <c r="AA348" s="166" t="s">
        <v>149</v>
      </c>
      <c r="AB348" s="166" t="s">
        <v>149</v>
      </c>
      <c r="AC348" s="8" t="s">
        <v>1381</v>
      </c>
      <c r="AG348" s="166" t="s">
        <v>149</v>
      </c>
      <c r="AH348" s="166" t="s">
        <v>149</v>
      </c>
      <c r="AI348" s="166" t="s">
        <v>149</v>
      </c>
      <c r="AJ348" s="8" t="s">
        <v>660</v>
      </c>
      <c r="AL348" s="8" t="s">
        <v>369</v>
      </c>
      <c r="AM348" s="166" t="s">
        <v>149</v>
      </c>
      <c r="AN348" s="166" t="s">
        <v>149</v>
      </c>
      <c r="AO348" s="8"/>
      <c r="AP348" s="8"/>
      <c r="AR348" s="8" t="s">
        <v>395</v>
      </c>
      <c r="AS348" s="8" t="s">
        <v>2873</v>
      </c>
      <c r="AT348" s="8" t="s">
        <v>398</v>
      </c>
      <c r="AU348" s="166" t="s">
        <v>149</v>
      </c>
    </row>
    <row r="349">
      <c r="A349" s="186">
        <v>174.0</v>
      </c>
      <c r="B349" s="152">
        <v>2025.0</v>
      </c>
      <c r="C349" s="153" t="str">
        <f t="shared" ref="C349:C350" si="27">CONCATENATE(D349, "-", M349, "-", A349)
</f>
        <v>2023-PH175211000-174</v>
      </c>
      <c r="D349" s="152">
        <f t="shared" ref="D349:D350" si="28">IF(OR(F348="Published", F348="Unpublished"), 2023, IF(F348="New", 2025, ""))
</f>
        <v>2023</v>
      </c>
      <c r="E349" s="151">
        <v>174.0</v>
      </c>
      <c r="F349" s="156" t="s">
        <v>140</v>
      </c>
      <c r="G349" s="156" t="s">
        <v>141</v>
      </c>
      <c r="H349" s="153" t="str">
        <f>IFERROR(__xludf.DUMMYFUNCTION("""COMPUTED_VALUE"""),"**Region** changed from IV-A to IV-B, **Restoration_project** changed from Fisheries Sector Program to REEForestation using Recycled Waste Materials, **Restoration_project_short** changed from Unknown to Site in Sabang Beach, **Year of establishment** cha"&amp;"nged from Unknown to 2013, **Project Start** changed from 1990 to Unknown, **Project End** changed from 1994 to Unknown, **Technique/Material Type** changed from Unknown to Reefbuds, **Restoration objective** changed from Unknown to Coral reef regeneratio"&amp;"n using innovative technology, **Funding agency** changed from ADB, Overseas Economic Cooperation Fund of Japan to Biri Initiative, **Total units** changed from Unknown to 50 units, **Implementing institution** changed from DA to Biri Initiative, **Partne"&amp;"rs_public** changed from MLGU to Unknown, **Partners_private** changed from Unknown to Apple Dive Resort; Big Apple Initiative, **Reference** changed from Conference Proceeding to Ewen, R., &amp; Parker, D. (2017, October). Biri Initiative, a story on coral r"&amp;"estoration. Seven Seas Media. https://sevenseasmedia.org/biri-initiative-story-on-coral-restoration/, **Website** changed from http://pubs.iclarm.net/libinfo/Pdf/Pub%20CP6%2049.pdf to https://sevenseasmedia.org/biri-initiative-story-on-coral-restoration/;"&amp;" https://www.thescubanews.com/2014/08/06/reefbud-technology-downsized-to-broaden-appeal/, **Contact_name** changed from Miriam Balgos to Unknown")</f>
        <v>**Region** changed from IV-A to IV-B, **Restoration_project** changed from Fisheries Sector Program to REEForestation using Recycled Waste Materials, **Restoration_project_short** changed from Unknown to Site in Sabang Beach, **Year of establishment** changed from Unknown to 2013, **Project Start** changed from 1990 to Unknown, **Project End** changed from 1994 to Unknown, **Technique/Material Type** changed from Unknown to Reefbuds, **Restoration objective** changed from Unknown to Coral reef regeneration using innovative technology, **Funding agency** changed from ADB, Overseas Economic Cooperation Fund of Japan to Biri Initiative, **Total units** changed from Unknown to 50 units, **Implementing institution** changed from DA to Biri Initiative, **Partners_public** changed from MLGU to Unknown, **Partners_private** changed from Unknown to Apple Dive Resort; Big Apple Initiative, **Reference** changed from Conference Proceeding to Ewen, R., &amp; Parker, D. (2017, October). Biri Initiative, a story on coral restoration. Seven Seas Media. https://sevenseasmedia.org/biri-initiative-story-on-coral-restoration/, **Website** changed from http://pubs.iclarm.net/libinfo/Pdf/Pub%20CP6%2049.pdf to https://sevenseasmedia.org/biri-initiative-story-on-coral-restoration/; https://www.thescubanews.com/2014/08/06/reefbud-technology-downsized-to-broaden-appeal/, **Contact_name** changed from Miriam Balgos to Unknown</v>
      </c>
      <c r="I349" s="153" t="s">
        <v>6786</v>
      </c>
      <c r="J349" s="153" t="s">
        <v>522</v>
      </c>
      <c r="K349" s="153" t="s">
        <v>1947</v>
      </c>
      <c r="L349" s="153" t="s">
        <v>1948</v>
      </c>
      <c r="M349" s="181" t="s">
        <v>1949</v>
      </c>
      <c r="N349" s="153" t="s">
        <v>151</v>
      </c>
      <c r="O349" s="153" t="s">
        <v>1950</v>
      </c>
      <c r="P349" s="158" t="s">
        <v>1951</v>
      </c>
      <c r="Q349" s="169">
        <v>2013.0</v>
      </c>
      <c r="R349" s="160" t="s">
        <v>149</v>
      </c>
      <c r="S349" s="160" t="s">
        <v>149</v>
      </c>
      <c r="T349" s="161" t="s">
        <v>150</v>
      </c>
      <c r="U349" s="153">
        <f>IFERROR(__xludf.DUMMYFUNCTION("""COMPUTED_VALUE"""),331.0)</f>
        <v>331</v>
      </c>
      <c r="V349" s="162" t="s">
        <v>3311</v>
      </c>
      <c r="W349" s="179" t="s">
        <v>6032</v>
      </c>
      <c r="X349" s="28" t="s">
        <v>6033</v>
      </c>
      <c r="Y349" s="32" t="s">
        <v>851</v>
      </c>
      <c r="Z349" s="158" t="s">
        <v>851</v>
      </c>
      <c r="AA349" s="153" t="s">
        <v>851</v>
      </c>
      <c r="AB349" s="158" t="s">
        <v>6787</v>
      </c>
      <c r="AC349" s="158" t="s">
        <v>724</v>
      </c>
      <c r="AD349" s="158" t="s">
        <v>160</v>
      </c>
      <c r="AE349" s="158" t="s">
        <v>184</v>
      </c>
      <c r="AF349" s="158" t="s">
        <v>159</v>
      </c>
      <c r="AG349" s="164" t="s">
        <v>149</v>
      </c>
      <c r="AH349" s="158" t="s">
        <v>149</v>
      </c>
      <c r="AI349" s="153" t="s">
        <v>571</v>
      </c>
      <c r="AJ349" s="153" t="s">
        <v>724</v>
      </c>
      <c r="AK349" s="158" t="s">
        <v>184</v>
      </c>
      <c r="AL349" s="154" t="s">
        <v>149</v>
      </c>
      <c r="AM349" s="158" t="s">
        <v>1955</v>
      </c>
      <c r="AN349" s="154" t="s">
        <v>149</v>
      </c>
      <c r="AO349" s="156">
        <v>1.0</v>
      </c>
      <c r="AP349" s="156" t="s">
        <v>6037</v>
      </c>
      <c r="AQ349" s="158" t="s">
        <v>6517</v>
      </c>
      <c r="AR349" s="153" t="s">
        <v>726</v>
      </c>
      <c r="AS349" s="165" t="s">
        <v>6788</v>
      </c>
      <c r="AT349" s="154" t="s">
        <v>149</v>
      </c>
      <c r="AU349" s="154" t="s">
        <v>149</v>
      </c>
    </row>
    <row r="350">
      <c r="A350" s="186">
        <v>175.0</v>
      </c>
      <c r="B350" s="152">
        <v>2025.0</v>
      </c>
      <c r="C350" s="153" t="str">
        <f t="shared" si="27"/>
        <v>2023-PH175301000-175</v>
      </c>
      <c r="D350" s="152">
        <f t="shared" si="28"/>
        <v>2023</v>
      </c>
      <c r="E350" s="151">
        <v>175.0</v>
      </c>
      <c r="F350" s="156" t="s">
        <v>191</v>
      </c>
      <c r="G350" s="156" t="s">
        <v>191</v>
      </c>
      <c r="H350" s="153" t="str">
        <f>IFERROR(__xludf.DUMMYFUNCTION("""COMPUTED_VALUE"""),"**Restoration_project** changed from REEForestation using Recycled Waste Materials to Coral Reef Gardening Project 2023, **Restoration_project_short** changed from Site in Sabang Beach to Site in Brgy Tigman, **Year of establishment** changed from 2013 to"&amp;" 2023, **Project Start** changed from Unknown to 2023, **Restoration method** changed from Artificial Reef to Artificial Reef; Asexual Reproduction, **Technique/Material Type** changed from Reefbuds to CNU; Coral domes and quadrats; transplantation, **Res"&amp;"toration objective** changed from Coral reef regeneration using innovative technology to Unknown, **Funding agency** changed from Biri Initiative to Dr. Benjamin Gonzales, **Total units** changed from 50 units to Unknown, **Implementing institution** chan"&amp;"ged from Biri Initiative to Dr. Benjamin Gonzales, **Partners_public** changed from Unknown to MLGU, **Partners_private** changed from Apple Dive Resort; Big Apple Initiative to B Gonzales Environmental Research and Management Consultancy , **Reference** "&amp;"changed from Ewen, R., &amp; Parker, D. (2017, October). Biri Initiative, a story on coral restoration. Seven Seas Media. https://sevenseasmedia.org/biri-initiative-story-on-coral-restoration/ to Aborlan Tourism Office (2024, August 10). On August 6, 2024, a "&amp;"team led by Dr. Benjamin Gonzales together with BGERMC in collaboration with MENRO and MAO [Status Update]. Facebook. https://www.facebook.com/profile.php?id=61560256107542, **Website** changed from https://sevenseasmedia.org/biri-initiative-story-on-cora"&amp;"l-restoration/; https://www.thescubanews.com/2014/08/06/reefbud-technology-downsized-to-broaden-appeal/ to https://www.facebook.com/profile.php?id=61560256107542")</f>
        <v>**Restoration_project** changed from REEForestation using Recycled Waste Materials to Coral Reef Gardening Project 2023, **Restoration_project_short** changed from Site in Sabang Beach to Site in Brgy Tigman, **Year of establishment** changed from 2013 to 2023, **Project Start** changed from Unknown to 2023, **Restoration method** changed from Artificial Reef to Artificial Reef; Asexual Reproduction, **Technique/Material Type** changed from Reefbuds to CNU; Coral domes and quadrats; transplantation, **Restoration objective** changed from Coral reef regeneration using innovative technology to Unknown, **Funding agency** changed from Biri Initiative to Dr. Benjamin Gonzales, **Total units** changed from 50 units to Unknown, **Implementing institution** changed from Biri Initiative to Dr. Benjamin Gonzales, **Partners_public** changed from Unknown to MLGU, **Partners_private** changed from Apple Dive Resort; Big Apple Initiative to B Gonzales Environmental Research and Management Consultancy , **Reference** changed from Ewen, R., &amp; Parker, D. (2017, October). Biri Initiative, a story on coral restoration. Seven Seas Media. https://sevenseasmedia.org/biri-initiative-story-on-coral-restoration/ to Aborlan Tourism Office (2024, August 10). On August 6, 2024, a team led by Dr. Benjamin Gonzales together with BGERMC in collaboration with MENRO and MAO [Status Update]. Facebook. https://www.facebook.com/profile.php?id=61560256107542, **Website** changed from https://sevenseasmedia.org/biri-initiative-story-on-coral-restoration/; https://www.thescubanews.com/2014/08/06/reefbud-technology-downsized-to-broaden-appeal/ to https://www.facebook.com/profile.php?id=61560256107542</v>
      </c>
      <c r="I350" s="153" t="s">
        <v>6789</v>
      </c>
      <c r="J350" s="153" t="s">
        <v>522</v>
      </c>
      <c r="K350" s="153" t="s">
        <v>523</v>
      </c>
      <c r="L350" s="153" t="s">
        <v>922</v>
      </c>
      <c r="M350" s="155" t="s">
        <v>923</v>
      </c>
      <c r="N350" s="153" t="s">
        <v>6624</v>
      </c>
      <c r="O350" s="153" t="s">
        <v>924</v>
      </c>
      <c r="P350" s="153" t="s">
        <v>925</v>
      </c>
      <c r="Q350" s="169">
        <v>2023.0</v>
      </c>
      <c r="R350" s="175" t="s">
        <v>18</v>
      </c>
      <c r="S350" s="160" t="s">
        <v>149</v>
      </c>
      <c r="T350" s="156" t="s">
        <v>263</v>
      </c>
      <c r="U350" s="153">
        <f>IFERROR(__xludf.DUMMYFUNCTION("""COMPUTED_VALUE"""),332.0)</f>
        <v>332</v>
      </c>
      <c r="V350" s="191" t="s">
        <v>6790</v>
      </c>
      <c r="W350" s="179" t="s">
        <v>6032</v>
      </c>
      <c r="X350" s="28" t="s">
        <v>6173</v>
      </c>
      <c r="Y350" s="180" t="s">
        <v>361</v>
      </c>
      <c r="Z350" s="153" t="s">
        <v>927</v>
      </c>
      <c r="AA350" s="153" t="s">
        <v>927</v>
      </c>
      <c r="AB350" s="158" t="s">
        <v>149</v>
      </c>
      <c r="AC350" s="153" t="s">
        <v>928</v>
      </c>
      <c r="AD350" s="158" t="s">
        <v>160</v>
      </c>
      <c r="AE350" s="158" t="s">
        <v>184</v>
      </c>
      <c r="AF350" s="158" t="s">
        <v>159</v>
      </c>
      <c r="AG350" s="164" t="s">
        <v>149</v>
      </c>
      <c r="AH350" s="158" t="s">
        <v>149</v>
      </c>
      <c r="AI350" s="158" t="s">
        <v>149</v>
      </c>
      <c r="AJ350" s="153" t="s">
        <v>928</v>
      </c>
      <c r="AK350" s="158" t="s">
        <v>184</v>
      </c>
      <c r="AL350" s="153" t="s">
        <v>369</v>
      </c>
      <c r="AM350" s="153" t="s">
        <v>930</v>
      </c>
      <c r="AN350" s="156" t="s">
        <v>149</v>
      </c>
      <c r="AO350" s="156">
        <v>2.0</v>
      </c>
      <c r="AP350" s="156" t="s">
        <v>6628</v>
      </c>
      <c r="AQ350" s="153" t="s">
        <v>6038</v>
      </c>
      <c r="AR350" s="153" t="s">
        <v>6791</v>
      </c>
      <c r="AS350" s="172" t="s">
        <v>932</v>
      </c>
      <c r="AT350" s="156" t="s">
        <v>149</v>
      </c>
      <c r="AU350" s="156" t="s">
        <v>149</v>
      </c>
    </row>
    <row r="351">
      <c r="A351" s="186">
        <v>175.0</v>
      </c>
      <c r="B351" s="152">
        <v>2023.0</v>
      </c>
      <c r="D351" s="152"/>
      <c r="E351" s="151">
        <v>175.0</v>
      </c>
      <c r="F351" s="129" t="s">
        <v>140</v>
      </c>
      <c r="G351" s="3" t="s">
        <v>6029</v>
      </c>
      <c r="H351" s="8" t="str">
        <f>IFERROR(__xludf.DUMMYFUNCTION("""COMPUTED_VALUE"""),"")</f>
        <v/>
      </c>
      <c r="I351" s="8" t="s">
        <v>6792</v>
      </c>
      <c r="J351" s="8" t="s">
        <v>522</v>
      </c>
      <c r="K351" s="8" t="s">
        <v>802</v>
      </c>
      <c r="L351" s="8" t="s">
        <v>1172</v>
      </c>
      <c r="M351" s="153" t="s">
        <v>1173</v>
      </c>
      <c r="N351" s="8" t="s">
        <v>6062</v>
      </c>
      <c r="O351" s="154" t="s">
        <v>149</v>
      </c>
      <c r="P351" s="154" t="s">
        <v>149</v>
      </c>
      <c r="Q351" s="142" t="s">
        <v>6030</v>
      </c>
      <c r="R351" s="154" t="s">
        <v>149</v>
      </c>
      <c r="S351" s="154" t="s">
        <v>149</v>
      </c>
      <c r="T351" s="8"/>
      <c r="U351" s="8">
        <f>IFERROR(__xludf.DUMMYFUNCTION("""COMPUTED_VALUE"""),333.0)</f>
        <v>333</v>
      </c>
      <c r="V351" s="8"/>
      <c r="W351" s="8"/>
      <c r="X351" s="8"/>
      <c r="Y351" s="8"/>
      <c r="AA351" s="8" t="s">
        <v>320</v>
      </c>
      <c r="AB351" s="154" t="s">
        <v>149</v>
      </c>
      <c r="AC351" s="154" t="s">
        <v>149</v>
      </c>
      <c r="AG351" s="154" t="s">
        <v>149</v>
      </c>
      <c r="AH351" s="154" t="s">
        <v>149</v>
      </c>
      <c r="AI351" s="154" t="s">
        <v>149</v>
      </c>
      <c r="AJ351" s="8" t="s">
        <v>369</v>
      </c>
      <c r="AL351" s="8" t="s">
        <v>6793</v>
      </c>
      <c r="AM351" s="154" t="s">
        <v>149</v>
      </c>
      <c r="AN351" s="154" t="s">
        <v>149</v>
      </c>
      <c r="AO351" s="8"/>
      <c r="AP351" s="8"/>
      <c r="AR351" s="8" t="s">
        <v>166</v>
      </c>
      <c r="AS351" s="8" t="s">
        <v>1185</v>
      </c>
      <c r="AT351" s="154" t="s">
        <v>149</v>
      </c>
      <c r="AU351" s="154" t="s">
        <v>149</v>
      </c>
    </row>
    <row r="352">
      <c r="A352" s="186">
        <v>176.0</v>
      </c>
      <c r="B352" s="152">
        <v>2025.0</v>
      </c>
      <c r="C352" s="153" t="str">
        <f>CONCATENATE(D352, "-", M352, "-", A352)
</f>
        <v>2023-PH175312000-176</v>
      </c>
      <c r="D352" s="152">
        <f>IF(OR(F351="Published", F351="Unpublished"), 2023, IF(F351="New", 2025, ""))
</f>
        <v>2023</v>
      </c>
      <c r="E352" s="151">
        <v>176.0</v>
      </c>
      <c r="F352" s="156" t="s">
        <v>140</v>
      </c>
      <c r="G352" s="156" t="s">
        <v>141</v>
      </c>
      <c r="H352" s="153" t="str">
        <f>IFERROR(__xludf.DUMMYFUNCTION("""COMPUTED_VALUE"""),"**Restoration_project** changed from Unknown to Coral Reef Restoration and Education Program, **Restoration_project_short** changed from Unknown to Site near Tres Marias, **Year of establishment** changed from 2021 to 2006, **Restoration method** changed "&amp;"from Asexual Reproduction to Artificial Reef, **Technique/Material Type** changed from CNU to Eco-Reefs; ceramic stoneware, **Restoration objective** changed from Unknown to Rehabilitate coral reefs; marine life recruitment, **Funding agency** changed fro"&amp;"m Unknown to Seacology, **Total units** changed from Unknown to 100 modules, **Implementing institution** changed from MLGU to El Nido Foundation, **Partners_public** changed from DOST; BFAR; DENR; PLGU; Marinduque State College to Unknown, **Partners_pri"&amp;"vate** changed from Unknown to WWF, **Reference** changed from News/Press Release to Beltran, L. (n.d.). The Ceramic Corals of El Nido. https://www.ilink.ph/view.php?id=585, **Website** changed from https://mb.com.ph/2021/06/24/filipinnovation-mimaropas-f"&amp;"irst-large-scale-coral-restoration-project-already-started/ to https://www.ilink.ph/view.php?id=585; https://www.seacology.org/project/223-philippines/")</f>
        <v>**Restoration_project** changed from Unknown to Coral Reef Restoration and Education Program, **Restoration_project_short** changed from Unknown to Site near Tres Marias, **Year of establishment** changed from 2021 to 2006, **Restoration method** changed from Asexual Reproduction to Artificial Reef, **Technique/Material Type** changed from CNU to Eco-Reefs; ceramic stoneware, **Restoration objective** changed from Unknown to Rehabilitate coral reefs; marine life recruitment, **Funding agency** changed from Unknown to Seacology, **Total units** changed from Unknown to 100 modules, **Implementing institution** changed from MLGU to El Nido Foundation, **Partners_public** changed from DOST; BFAR; DENR; PLGU; Marinduque State College to Unknown, **Partners_private** changed from Unknown to WWF, **Reference** changed from News/Press Release to Beltran, L. (n.d.). The Ceramic Corals of El Nido. https://www.ilink.ph/view.php?id=585, **Website** changed from https://mb.com.ph/2021/06/24/filipinnovation-mimaropas-first-large-scale-coral-restoration-project-already-started/ to https://www.ilink.ph/view.php?id=585; https://www.seacology.org/project/223-philippines/</v>
      </c>
      <c r="I352" s="153" t="s">
        <v>6794</v>
      </c>
      <c r="J352" s="153" t="s">
        <v>522</v>
      </c>
      <c r="K352" s="153" t="s">
        <v>523</v>
      </c>
      <c r="L352" s="153" t="s">
        <v>2278</v>
      </c>
      <c r="M352" s="181" t="s">
        <v>2279</v>
      </c>
      <c r="N352" s="153" t="s">
        <v>151</v>
      </c>
      <c r="O352" s="153" t="s">
        <v>6795</v>
      </c>
      <c r="P352" s="158" t="s">
        <v>6796</v>
      </c>
      <c r="Q352" s="169">
        <v>2006.0</v>
      </c>
      <c r="R352" s="160" t="s">
        <v>149</v>
      </c>
      <c r="S352" s="160" t="s">
        <v>149</v>
      </c>
      <c r="T352" s="161" t="s">
        <v>150</v>
      </c>
      <c r="U352" s="153">
        <f>IFERROR(__xludf.DUMMYFUNCTION("""COMPUTED_VALUE"""),334.0)</f>
        <v>334</v>
      </c>
      <c r="V352" s="162" t="s">
        <v>3311</v>
      </c>
      <c r="W352" s="179" t="s">
        <v>6059</v>
      </c>
      <c r="X352" s="28" t="s">
        <v>6033</v>
      </c>
      <c r="Y352" s="32" t="s">
        <v>6797</v>
      </c>
      <c r="Z352" s="158" t="s">
        <v>6798</v>
      </c>
      <c r="AA352" s="153" t="s">
        <v>6799</v>
      </c>
      <c r="AB352" s="153" t="s">
        <v>6800</v>
      </c>
      <c r="AC352" s="158" t="s">
        <v>2285</v>
      </c>
      <c r="AD352" s="158" t="s">
        <v>6154</v>
      </c>
      <c r="AE352" s="158" t="s">
        <v>306</v>
      </c>
      <c r="AF352" s="158" t="s">
        <v>159</v>
      </c>
      <c r="AG352" s="164" t="s">
        <v>149</v>
      </c>
      <c r="AH352" s="158" t="s">
        <v>149</v>
      </c>
      <c r="AI352" s="158" t="s">
        <v>1748</v>
      </c>
      <c r="AJ352" s="153" t="s">
        <v>2286</v>
      </c>
      <c r="AK352" s="158" t="s">
        <v>306</v>
      </c>
      <c r="AL352" s="154" t="s">
        <v>149</v>
      </c>
      <c r="AM352" s="153" t="s">
        <v>2287</v>
      </c>
      <c r="AN352" s="154" t="s">
        <v>149</v>
      </c>
      <c r="AO352" s="156">
        <v>1.0</v>
      </c>
      <c r="AP352" s="156" t="s">
        <v>6037</v>
      </c>
      <c r="AQ352" s="158" t="s">
        <v>6517</v>
      </c>
      <c r="AR352" s="153" t="s">
        <v>2288</v>
      </c>
      <c r="AS352" s="153" t="s">
        <v>6801</v>
      </c>
      <c r="AT352" s="154" t="s">
        <v>149</v>
      </c>
      <c r="AU352" s="154" t="s">
        <v>149</v>
      </c>
    </row>
    <row r="353">
      <c r="A353" s="186">
        <v>176.0</v>
      </c>
      <c r="B353" s="152">
        <v>2023.0</v>
      </c>
      <c r="D353" s="152"/>
      <c r="E353" s="151">
        <v>176.0</v>
      </c>
      <c r="F353" s="129" t="s">
        <v>140</v>
      </c>
      <c r="G353" s="3" t="s">
        <v>6029</v>
      </c>
      <c r="H353" s="8" t="str">
        <f>IFERROR(__xludf.DUMMYFUNCTION("""COMPUTED_VALUE"""),"")</f>
        <v/>
      </c>
      <c r="I353" s="8" t="s">
        <v>6802</v>
      </c>
      <c r="J353" s="8" t="s">
        <v>522</v>
      </c>
      <c r="K353" s="8" t="s">
        <v>802</v>
      </c>
      <c r="L353" s="8" t="s">
        <v>1187</v>
      </c>
      <c r="M353" s="153" t="s">
        <v>1188</v>
      </c>
      <c r="N353" s="8" t="s">
        <v>6062</v>
      </c>
      <c r="O353" s="154" t="s">
        <v>149</v>
      </c>
      <c r="P353" s="154" t="s">
        <v>149</v>
      </c>
      <c r="Q353" s="142" t="s">
        <v>6030</v>
      </c>
      <c r="R353" s="154" t="s">
        <v>149</v>
      </c>
      <c r="S353" s="154" t="s">
        <v>149</v>
      </c>
      <c r="T353" s="8"/>
      <c r="U353" s="8">
        <f>IFERROR(__xludf.DUMMYFUNCTION("""COMPUTED_VALUE"""),335.0)</f>
        <v>335</v>
      </c>
      <c r="V353" s="8"/>
      <c r="W353" s="8"/>
      <c r="X353" s="8"/>
      <c r="Y353" s="8"/>
      <c r="AA353" s="8" t="s">
        <v>320</v>
      </c>
      <c r="AB353" s="154" t="s">
        <v>149</v>
      </c>
      <c r="AC353" s="154" t="s">
        <v>149</v>
      </c>
      <c r="AG353" s="154" t="s">
        <v>149</v>
      </c>
      <c r="AH353" s="154" t="s">
        <v>149</v>
      </c>
      <c r="AI353" s="154" t="s">
        <v>149</v>
      </c>
      <c r="AJ353" s="8" t="s">
        <v>369</v>
      </c>
      <c r="AL353" s="8" t="s">
        <v>6793</v>
      </c>
      <c r="AM353" s="154" t="s">
        <v>149</v>
      </c>
      <c r="AN353" s="154" t="s">
        <v>149</v>
      </c>
      <c r="AO353" s="8"/>
      <c r="AP353" s="8"/>
      <c r="AR353" s="8" t="s">
        <v>166</v>
      </c>
      <c r="AS353" s="8" t="s">
        <v>1185</v>
      </c>
      <c r="AT353" s="154" t="s">
        <v>149</v>
      </c>
      <c r="AU353" s="154" t="s">
        <v>149</v>
      </c>
    </row>
    <row r="354">
      <c r="A354" s="186">
        <v>177.0</v>
      </c>
      <c r="B354" s="152">
        <v>2025.0</v>
      </c>
      <c r="C354" s="153" t="str">
        <f>CONCATENATE(D354, "-", M354, "-", A354)
</f>
        <v>2023-PH175316000-177</v>
      </c>
      <c r="D354" s="152">
        <f>IF(OR(F353="Published", F353="Unpublished"), 2023, IF(F353="New", 2025, ""))
</f>
        <v>2023</v>
      </c>
      <c r="E354" s="151">
        <v>177.0</v>
      </c>
      <c r="F354" s="156" t="s">
        <v>140</v>
      </c>
      <c r="G354" s="156" t="s">
        <v>141</v>
      </c>
      <c r="H354" s="153" t="str">
        <f>IFERROR(__xludf.DUMMYFUNCTION("""COMPUTED_VALUE"""),"**Restoration_project** changed from Unknown to Artificial Reef Development Program, **Restoration_project_short** changed from Unknown to Site in Tagburos, **Year of establishment** changed from 2021 to 1985, **Project Start** changed from Unknown to 198"&amp;"5, **Project End** changed from Unknown to 1987, **Restoration method** changed from Asexual Reproduction to Artificial Reef, **Technique/Material Type** changed from CNU to tires, **Funding agency** changed from Unknown to BFAR, **Implementing institutio"&amp;"n** changed from MLGU to BFAR, **Partners_public** changed from DOST; BFAR; DENR; PLGU; Marinduque State College to Ministry of Human Settlements, **Reference** changed from News/Press Release to Balgos, M.C. (1995). Evaluation of artificial reef developm"&amp;"ent in the Philippines. In Munro, J.L. &amp; Balgos, M. (eds.) Artificial reefs in the Philippines. ICLARM Conf. Proc. 49, pp. 6-22., **Website** changed from https://mb.com.ph/2021/06/24/filipinnovation-mimaropas-first-large-scale-coral-restoration-project-a"&amp;"lready-started/ to https://core.ac.uk/download/pdf/6515223.pdf; https://www.ircwash.org/sites/default/files/802-PH90-8920.pdf, **Contact_name** changed from Unknown to Miriam Balgos")</f>
        <v>**Restoration_project** changed from Unknown to Artificial Reef Development Program, **Restoration_project_short** changed from Unknown to Site in Tagburos, **Year of establishment** changed from 2021 to 1985, **Project Start** changed from Unknown to 1985, **Project End** changed from Unknown to 1987, **Restoration method** changed from Asexual Reproduction to Artificial Reef, **Technique/Material Type** changed from CNU to tires, **Funding agency** changed from Unknown to BFAR, **Implementing institution** changed from MLGU to BFAR, **Partners_public** changed from DOST; BFAR; DENR; PLGU; Marinduque State College to Ministry of Human Settlements, **Reference** changed from News/Press Release to Balgos, M.C. (1995). Evaluation of artificial reef development in the Philippines. In Munro, J.L. &amp; Balgos, M. (eds.) Artificial reefs in the Philippines. ICLARM Conf. Proc. 49, pp. 6-22., **Website** changed from https://mb.com.ph/2021/06/24/filipinnovation-mimaropas-first-large-scale-coral-restoration-project-already-started/ to https://core.ac.uk/download/pdf/6515223.pdf; https://www.ircwash.org/sites/default/files/802-PH90-8920.pdf, **Contact_name** changed from Unknown to Miriam Balgos</v>
      </c>
      <c r="I354" s="153" t="s">
        <v>6803</v>
      </c>
      <c r="J354" s="153" t="s">
        <v>522</v>
      </c>
      <c r="K354" s="153" t="s">
        <v>523</v>
      </c>
      <c r="L354" s="153" t="s">
        <v>6804</v>
      </c>
      <c r="M354" s="181" t="s">
        <v>525</v>
      </c>
      <c r="N354" s="153" t="s">
        <v>151</v>
      </c>
      <c r="O354" s="153" t="s">
        <v>384</v>
      </c>
      <c r="P354" s="153" t="s">
        <v>526</v>
      </c>
      <c r="Q354" s="178">
        <v>1985.0</v>
      </c>
      <c r="R354" s="175" t="s">
        <v>6052</v>
      </c>
      <c r="S354" s="175" t="s">
        <v>6053</v>
      </c>
      <c r="T354" s="161" t="s">
        <v>150</v>
      </c>
      <c r="U354" s="153">
        <f>IFERROR(__xludf.DUMMYFUNCTION("""COMPUTED_VALUE"""),336.0)</f>
        <v>336</v>
      </c>
      <c r="V354" s="162" t="s">
        <v>3311</v>
      </c>
      <c r="W354" s="170" t="s">
        <v>6059</v>
      </c>
      <c r="X354" s="28" t="s">
        <v>6033</v>
      </c>
      <c r="Y354" s="28" t="s">
        <v>386</v>
      </c>
      <c r="Z354" s="176" t="s">
        <v>386</v>
      </c>
      <c r="AA354" s="153" t="s">
        <v>6054</v>
      </c>
      <c r="AB354" s="158" t="s">
        <v>149</v>
      </c>
      <c r="AC354" s="153" t="s">
        <v>390</v>
      </c>
      <c r="AD354" s="158" t="s">
        <v>160</v>
      </c>
      <c r="AE354" s="158" t="s">
        <v>6035</v>
      </c>
      <c r="AF354" s="158" t="s">
        <v>159</v>
      </c>
      <c r="AG354" s="164" t="s">
        <v>149</v>
      </c>
      <c r="AH354" s="158" t="s">
        <v>149</v>
      </c>
      <c r="AI354" s="158" t="s">
        <v>149</v>
      </c>
      <c r="AJ354" s="153" t="s">
        <v>390</v>
      </c>
      <c r="AK354" s="153" t="s">
        <v>6035</v>
      </c>
      <c r="AL354" s="153" t="s">
        <v>6055</v>
      </c>
      <c r="AM354" s="154" t="s">
        <v>149</v>
      </c>
      <c r="AN354" s="154" t="s">
        <v>149</v>
      </c>
      <c r="AO354" s="156">
        <v>1.0</v>
      </c>
      <c r="AP354" s="156" t="s">
        <v>6037</v>
      </c>
      <c r="AQ354" s="158" t="s">
        <v>395</v>
      </c>
      <c r="AR354" s="153" t="s">
        <v>6060</v>
      </c>
      <c r="AS354" s="158" t="s">
        <v>397</v>
      </c>
      <c r="AT354" s="153" t="s">
        <v>398</v>
      </c>
      <c r="AU354" s="154" t="s">
        <v>149</v>
      </c>
    </row>
    <row r="355">
      <c r="A355" s="186">
        <v>177.0</v>
      </c>
      <c r="B355" s="152">
        <v>2023.0</v>
      </c>
      <c r="D355" s="152"/>
      <c r="E355" s="151">
        <v>177.0</v>
      </c>
      <c r="F355" s="129" t="s">
        <v>140</v>
      </c>
      <c r="G355" s="3" t="s">
        <v>6029</v>
      </c>
      <c r="H355" s="8" t="str">
        <f>IFERROR(__xludf.DUMMYFUNCTION("""COMPUTED_VALUE"""),"")</f>
        <v/>
      </c>
      <c r="I355" s="8" t="s">
        <v>6805</v>
      </c>
      <c r="J355" s="8" t="s">
        <v>522</v>
      </c>
      <c r="K355" s="8" t="s">
        <v>802</v>
      </c>
      <c r="L355" s="8" t="s">
        <v>6771</v>
      </c>
      <c r="M355" s="153" t="s">
        <v>803</v>
      </c>
      <c r="N355" s="8" t="s">
        <v>151</v>
      </c>
      <c r="O355" s="8" t="s">
        <v>2107</v>
      </c>
      <c r="P355" s="154" t="s">
        <v>149</v>
      </c>
      <c r="Q355" s="154" t="s">
        <v>149</v>
      </c>
      <c r="R355" s="154" t="s">
        <v>149</v>
      </c>
      <c r="S355" s="154" t="s">
        <v>149</v>
      </c>
      <c r="T355" s="8"/>
      <c r="U355" s="8">
        <f>IFERROR(__xludf.DUMMYFUNCTION("""COMPUTED_VALUE"""),337.0)</f>
        <v>337</v>
      </c>
      <c r="V355" s="8"/>
      <c r="W355" s="8"/>
      <c r="X355" s="8"/>
      <c r="Y355" s="8"/>
      <c r="AA355" s="8" t="s">
        <v>152</v>
      </c>
      <c r="AB355" s="8" t="s">
        <v>6506</v>
      </c>
      <c r="AC355" s="154" t="s">
        <v>149</v>
      </c>
      <c r="AG355" s="154" t="s">
        <v>149</v>
      </c>
      <c r="AH355" s="154" t="s">
        <v>149</v>
      </c>
      <c r="AI355" s="154" t="s">
        <v>149</v>
      </c>
      <c r="AJ355" s="8" t="s">
        <v>2111</v>
      </c>
      <c r="AL355" s="8" t="s">
        <v>660</v>
      </c>
      <c r="AM355" s="8" t="s">
        <v>2112</v>
      </c>
      <c r="AN355" s="154" t="s">
        <v>149</v>
      </c>
      <c r="AO355" s="8"/>
      <c r="AP355" s="8"/>
      <c r="AR355" s="8" t="s">
        <v>395</v>
      </c>
      <c r="AS355" s="8" t="s">
        <v>2873</v>
      </c>
      <c r="AT355" s="8" t="s">
        <v>398</v>
      </c>
      <c r="AU355" s="154" t="s">
        <v>149</v>
      </c>
    </row>
    <row r="356">
      <c r="A356" s="186">
        <v>178.0</v>
      </c>
      <c r="B356" s="152">
        <v>2025.0</v>
      </c>
      <c r="C356" s="153" t="str">
        <f>CONCATENATE(D356, "-", M356, "-", A356)
</f>
        <v>2023-PH175316000-178</v>
      </c>
      <c r="D356" s="152">
        <f>IF(OR(F355="Published", F355="Unpublished"), 2023, IF(F355="New", 2025, ""))
</f>
        <v>2023</v>
      </c>
      <c r="E356" s="151">
        <v>178.0</v>
      </c>
      <c r="F356" s="156" t="s">
        <v>140</v>
      </c>
      <c r="G356" s="156" t="s">
        <v>141</v>
      </c>
      <c r="H356" s="153" t="str">
        <f>IFERROR(__xludf.DUMMYFUNCTION("""COMPUTED_VALUE"""),"**Restoration_project** changed from Small Islands Integrated Development Project to National Coral Reef Rehabilitation Roll-Out Program, **Year of establishment** changed from Unknown to 2014, **Project Start** changed from Unknown to 2014, **Project End"&amp;"** changed from Unknown to 2016, **Restoration method** changed from Artificial Reef to Asexual Reproduction, **Technique/Material Type** changed from Concrete to CNU; coral transplantation, **Restoration objective** changed from Fishing to Unknown, **Fun"&amp;"ding agency** changed from Unknown to DOST-PCAARRD, **Total units** changed from Unknown to 40 CNUs/17,000 COPs, **Implementing institution** changed from US Peace Corps to Sangkalikasan Producers Cooperative, **Partners_public** changed from DA to Palawa"&amp;"n State University, **Partners_private** changed from Plan International to Unknown, **Reference** changed from Conference Proceeding to DOST-PCAARRD. (n.d.). DOST-PCAARRD National Corals Rehabilitation Program Briefer Report. , **Website** changed from h"&amp;"ttp://pubs.iclarm.net/libinfo/Pdf/Pub%20CP6%2049.pdf to Report uploaded in the Google Drive, **Contact_name** changed from Miriam Balgos to Unknown")</f>
        <v>**Restoration_project** changed from Small Islands Integrated Development Project to National Coral Reef Rehabilitation Roll-Out Program, **Year of establishment** changed from Unknown to 2014, **Project Start** changed from Unknown to 2014, **Project End** changed from Unknown to 2016, **Restoration method** changed from Artificial Reef to Asexual Reproduction, **Technique/Material Type** changed from Concrete to CNU; coral transplantation, **Restoration objective** changed from Fishing to Unknown, **Funding agency** changed from Unknown to DOST-PCAARRD, **Total units** changed from Unknown to 40 CNUs/17,000 COPs, **Implementing institution** changed from US Peace Corps to Sangkalikasan Producers Cooperative, **Partners_public** changed from DA to Palawan State University, **Partners_private** changed from Plan International to Unknown, **Reference** changed from Conference Proceeding to DOST-PCAARRD. (n.d.). DOST-PCAARRD National Corals Rehabilitation Program Briefer Report. , **Website** changed from http://pubs.iclarm.net/libinfo/Pdf/Pub%20CP6%2049.pdf to Report uploaded in the Google Drive, **Contact_name** changed from Miriam Balgos to Unknown</v>
      </c>
      <c r="I356" s="153" t="s">
        <v>6806</v>
      </c>
      <c r="J356" s="153" t="s">
        <v>522</v>
      </c>
      <c r="K356" s="153" t="s">
        <v>523</v>
      </c>
      <c r="L356" s="153" t="s">
        <v>6804</v>
      </c>
      <c r="M356" s="181" t="s">
        <v>525</v>
      </c>
      <c r="N356" s="153" t="s">
        <v>6062</v>
      </c>
      <c r="O356" s="153" t="s">
        <v>1683</v>
      </c>
      <c r="P356" s="154" t="s">
        <v>149</v>
      </c>
      <c r="Q356" s="169">
        <v>2014.0</v>
      </c>
      <c r="R356" s="175" t="s">
        <v>6063</v>
      </c>
      <c r="S356" s="175" t="s">
        <v>6064</v>
      </c>
      <c r="T356" s="156" t="s">
        <v>177</v>
      </c>
      <c r="U356" s="153">
        <f>IFERROR(__xludf.DUMMYFUNCTION("""COMPUTED_VALUE"""),338.0)</f>
        <v>338</v>
      </c>
      <c r="V356" s="191" t="s">
        <v>1359</v>
      </c>
      <c r="W356" s="179" t="s">
        <v>6066</v>
      </c>
      <c r="X356" s="180"/>
      <c r="Y356" s="180" t="s">
        <v>154</v>
      </c>
      <c r="Z356" s="158" t="s">
        <v>179</v>
      </c>
      <c r="AA356" s="153" t="s">
        <v>1201</v>
      </c>
      <c r="AB356" s="158" t="s">
        <v>149</v>
      </c>
      <c r="AC356" s="153" t="s">
        <v>321</v>
      </c>
      <c r="AD356" s="158" t="s">
        <v>160</v>
      </c>
      <c r="AE356" s="158" t="s">
        <v>6035</v>
      </c>
      <c r="AF356" s="158" t="s">
        <v>159</v>
      </c>
      <c r="AG356" s="164" t="s">
        <v>149</v>
      </c>
      <c r="AH356" s="158" t="s">
        <v>149</v>
      </c>
      <c r="AI356" s="153" t="s">
        <v>1709</v>
      </c>
      <c r="AJ356" s="153" t="s">
        <v>326</v>
      </c>
      <c r="AK356" s="153" t="s">
        <v>306</v>
      </c>
      <c r="AL356" s="158" t="s">
        <v>1710</v>
      </c>
      <c r="AM356" s="154" t="s">
        <v>149</v>
      </c>
      <c r="AN356" s="154" t="s">
        <v>149</v>
      </c>
      <c r="AO356" s="156">
        <v>1.0</v>
      </c>
      <c r="AP356" s="156" t="s">
        <v>6037</v>
      </c>
      <c r="AQ356" s="158" t="s">
        <v>6069</v>
      </c>
      <c r="AR356" s="153" t="s">
        <v>1300</v>
      </c>
      <c r="AS356" s="153" t="s">
        <v>6070</v>
      </c>
      <c r="AT356" s="154" t="s">
        <v>149</v>
      </c>
      <c r="AU356" s="154" t="s">
        <v>149</v>
      </c>
    </row>
    <row r="357">
      <c r="A357" s="186">
        <v>178.0</v>
      </c>
      <c r="B357" s="152">
        <v>2023.0</v>
      </c>
      <c r="D357" s="152"/>
      <c r="E357" s="151">
        <v>178.0</v>
      </c>
      <c r="F357" s="129" t="s">
        <v>140</v>
      </c>
      <c r="G357" s="3" t="s">
        <v>6029</v>
      </c>
      <c r="H357" s="8" t="str">
        <f>IFERROR(__xludf.DUMMYFUNCTION("""COMPUTED_VALUE"""),"")</f>
        <v/>
      </c>
      <c r="I357" s="8" t="s">
        <v>6807</v>
      </c>
      <c r="J357" s="8" t="s">
        <v>522</v>
      </c>
      <c r="K357" s="8" t="s">
        <v>802</v>
      </c>
      <c r="L357" s="8" t="s">
        <v>6771</v>
      </c>
      <c r="M357" s="153" t="s">
        <v>803</v>
      </c>
      <c r="N357" s="8" t="s">
        <v>151</v>
      </c>
      <c r="O357" s="8" t="s">
        <v>804</v>
      </c>
      <c r="P357" s="8" t="s">
        <v>6808</v>
      </c>
      <c r="Q357" s="154" t="s">
        <v>149</v>
      </c>
      <c r="R357" s="142" t="s">
        <v>6776</v>
      </c>
      <c r="S357" s="142" t="s">
        <v>6199</v>
      </c>
      <c r="T357" s="8"/>
      <c r="U357" s="8">
        <f>IFERROR(__xludf.DUMMYFUNCTION("""COMPUTED_VALUE"""),339.0)</f>
        <v>339</v>
      </c>
      <c r="V357" s="8"/>
      <c r="W357" s="8"/>
      <c r="X357" s="8"/>
      <c r="Y357" s="8"/>
      <c r="AA357" s="8" t="s">
        <v>6779</v>
      </c>
      <c r="AB357" s="8" t="s">
        <v>6809</v>
      </c>
      <c r="AC357" s="8" t="s">
        <v>6810</v>
      </c>
      <c r="AG357" s="154" t="s">
        <v>149</v>
      </c>
      <c r="AH357" s="154" t="s">
        <v>149</v>
      </c>
      <c r="AI357" s="8" t="s">
        <v>6780</v>
      </c>
      <c r="AJ357" s="8" t="s">
        <v>341</v>
      </c>
      <c r="AL357" s="154" t="s">
        <v>149</v>
      </c>
      <c r="AM357" s="154" t="s">
        <v>149</v>
      </c>
      <c r="AN357" s="154" t="s">
        <v>149</v>
      </c>
      <c r="AO357" s="8"/>
      <c r="AP357" s="8"/>
      <c r="AR357" s="8" t="s">
        <v>395</v>
      </c>
      <c r="AS357" s="8" t="s">
        <v>2873</v>
      </c>
      <c r="AT357" s="8" t="s">
        <v>398</v>
      </c>
      <c r="AU357" s="154" t="s">
        <v>149</v>
      </c>
      <c r="AV357" s="8" t="s">
        <v>6109</v>
      </c>
    </row>
    <row r="358">
      <c r="A358" s="186">
        <v>179.0</v>
      </c>
      <c r="B358" s="152">
        <v>2023.0</v>
      </c>
      <c r="D358" s="152"/>
      <c r="E358" s="151">
        <v>179.0</v>
      </c>
      <c r="F358" s="129" t="s">
        <v>140</v>
      </c>
      <c r="G358" s="3" t="s">
        <v>6029</v>
      </c>
      <c r="H358" s="8" t="str">
        <f>IFERROR(__xludf.DUMMYFUNCTION("""COMPUTED_VALUE"""),"")</f>
        <v/>
      </c>
      <c r="I358" s="8" t="s">
        <v>6811</v>
      </c>
      <c r="J358" s="8" t="s">
        <v>522</v>
      </c>
      <c r="K358" s="8" t="s">
        <v>2618</v>
      </c>
      <c r="L358" s="8" t="s">
        <v>2619</v>
      </c>
      <c r="M358" s="153" t="s">
        <v>2620</v>
      </c>
      <c r="N358" s="8" t="s">
        <v>6062</v>
      </c>
      <c r="O358" s="154" t="s">
        <v>149</v>
      </c>
      <c r="P358" s="154" t="s">
        <v>149</v>
      </c>
      <c r="Q358" s="154" t="s">
        <v>149</v>
      </c>
      <c r="R358" s="154" t="s">
        <v>149</v>
      </c>
      <c r="S358" s="154" t="s">
        <v>149</v>
      </c>
      <c r="T358" s="8"/>
      <c r="U358" s="8">
        <f>IFERROR(__xludf.DUMMYFUNCTION("""COMPUTED_VALUE"""),340.0)</f>
        <v>340</v>
      </c>
      <c r="V358" s="8"/>
      <c r="W358" s="8"/>
      <c r="X358" s="8"/>
      <c r="Y358" s="8"/>
      <c r="AA358" s="8" t="s">
        <v>2622</v>
      </c>
      <c r="AB358" s="8" t="s">
        <v>6812</v>
      </c>
      <c r="AC358" s="8" t="s">
        <v>2624</v>
      </c>
      <c r="AG358" s="154" t="s">
        <v>149</v>
      </c>
      <c r="AH358" s="154" t="s">
        <v>149</v>
      </c>
      <c r="AI358" s="154" t="s">
        <v>149</v>
      </c>
      <c r="AJ358" s="8" t="s">
        <v>2624</v>
      </c>
      <c r="AL358" s="154" t="s">
        <v>149</v>
      </c>
      <c r="AM358" s="154" t="s">
        <v>149</v>
      </c>
      <c r="AN358" s="154" t="s">
        <v>149</v>
      </c>
      <c r="AO358" s="8"/>
      <c r="AP358" s="8"/>
      <c r="AR358" s="8" t="s">
        <v>6091</v>
      </c>
      <c r="AS358" s="8" t="s">
        <v>2627</v>
      </c>
      <c r="AT358" s="154" t="s">
        <v>149</v>
      </c>
      <c r="AU358" s="154" t="s">
        <v>149</v>
      </c>
    </row>
    <row r="359">
      <c r="A359" s="186">
        <v>179.0</v>
      </c>
      <c r="B359" s="152">
        <v>2025.0</v>
      </c>
      <c r="C359" s="153" t="str">
        <f t="shared" ref="C359:C360" si="29">CONCATENATE(D359, "-", M359, "-", A359)
</f>
        <v>2023-PH175319000-179</v>
      </c>
      <c r="D359" s="152">
        <f t="shared" ref="D359:D360" si="30">IF(OR(F358="Published", F358="Unpublished"), 2023, IF(F358="New", 2025, ""))
</f>
        <v>2023</v>
      </c>
      <c r="E359" s="151">
        <v>179.0</v>
      </c>
      <c r="F359" s="129" t="s">
        <v>140</v>
      </c>
      <c r="G359" s="156" t="s">
        <v>141</v>
      </c>
      <c r="H359" s="153" t="str">
        <f>IFERROR(__xludf.DUMMYFUNCTION("""COMPUTED_VALUE"""),"**Restoration_project_short** changed from Unknown to Site in Daplac Cove, **Year of establishment** changed from Unknown to 2011, **Project Start** changed from Unknown to 2011, **Restoration method** changed from Asexual Reproduction to Asexual Reproduc"&amp;"tion; Artificial Reef, **Technique/Material Type** changed from Coral farming; transplantation to Transplantation; Rubble stabilizing structures, dome tables, wrecks, **Restoration objective** changed from Commercial; Reseeding to Sustainable development "&amp;"of property; reef rehabilitation, **Funding agency** changed from RVS 4 Star Mariculture Coral Farm; RVS Fishworld to Palawan Cove Corporation; Discovery World Corporation, **Total units** changed from Unknown to 72 rubble stabilizing structures; 45 dome "&amp;"tables; 33 wreck structures, **Implementing institution** changed from RVS 4 Star Mariculture Coral Farm; RVS Fishworld to Palawan Cove Corporation, **Partners_private** changed from Unknown to Discovery World Corporation, **Reference** changed from Blog "&amp;"to Discoveryworldcorp (2021, June 9). In Good Hands: Palawan Cove Corporation forges a sustainable future for San Vicente's marine biodiversity. Discovery World 2020 Annual Report. https://issuu.com/discoveryworldcorp/docs/2020_dwc_annual_report/1, **Webs"&amp;"ite** changed from https://savethephilippinecoralreefs.wordpress.com/2013/03/24/rvs-4-star-mariculture-coral-farm-brakes-ground-in-the-philippines/ to https://issuu.com/discoveryworldcorp/docs/2020_dwc_annual_report/1")</f>
        <v>**Restoration_project_short** changed from Unknown to Site in Daplac Cove, **Year of establishment** changed from Unknown to 2011, **Project Start** changed from Unknown to 2011, **Restoration method** changed from Asexual Reproduction to Asexual Reproduction; Artificial Reef, **Technique/Material Type** changed from Coral farming; transplantation to Transplantation; Rubble stabilizing structures, dome tables, wrecks, **Restoration objective** changed from Commercial; Reseeding to Sustainable development of property; reef rehabilitation, **Funding agency** changed from RVS 4 Star Mariculture Coral Farm; RVS Fishworld to Palawan Cove Corporation; Discovery World Corporation, **Total units** changed from Unknown to 72 rubble stabilizing structures; 45 dome tables; 33 wreck structures, **Implementing institution** changed from RVS 4 Star Mariculture Coral Farm; RVS Fishworld to Palawan Cove Corporation, **Partners_private** changed from Unknown to Discovery World Corporation, **Reference** changed from Blog to Discoveryworldcorp (2021, June 9). In Good Hands: Palawan Cove Corporation forges a sustainable future for San Vicente's marine biodiversity. Discovery World 2020 Annual Report. https://issuu.com/discoveryworldcorp/docs/2020_dwc_annual_report/1, **Website** changed from https://savethephilippinecoralreefs.wordpress.com/2013/03/24/rvs-4-star-mariculture-coral-farm-brakes-ground-in-the-philippines/ to https://issuu.com/discoveryworldcorp/docs/2020_dwc_annual_report/1</v>
      </c>
      <c r="I359" s="153" t="s">
        <v>6813</v>
      </c>
      <c r="J359" s="153" t="s">
        <v>522</v>
      </c>
      <c r="K359" s="153" t="s">
        <v>523</v>
      </c>
      <c r="L359" s="153" t="s">
        <v>1964</v>
      </c>
      <c r="M359" s="181" t="s">
        <v>1965</v>
      </c>
      <c r="N359" s="153" t="s">
        <v>6814</v>
      </c>
      <c r="O359" s="158" t="s">
        <v>149</v>
      </c>
      <c r="P359" s="158" t="s">
        <v>2565</v>
      </c>
      <c r="Q359" s="169">
        <v>2011.0</v>
      </c>
      <c r="R359" s="160" t="s">
        <v>6042</v>
      </c>
      <c r="S359" s="160" t="s">
        <v>149</v>
      </c>
      <c r="T359" s="156" t="s">
        <v>263</v>
      </c>
      <c r="U359" s="153">
        <f>IFERROR(__xludf.DUMMYFUNCTION("""COMPUTED_VALUE"""),341.0)</f>
        <v>341</v>
      </c>
      <c r="V359" s="191" t="s">
        <v>6815</v>
      </c>
      <c r="W359" s="179" t="s">
        <v>6032</v>
      </c>
      <c r="X359" s="28" t="s">
        <v>6033</v>
      </c>
      <c r="Y359" s="191" t="s">
        <v>6816</v>
      </c>
      <c r="Z359" s="153" t="s">
        <v>6817</v>
      </c>
      <c r="AA359" s="153" t="s">
        <v>6818</v>
      </c>
      <c r="AB359" s="153" t="s">
        <v>6819</v>
      </c>
      <c r="AC359" s="153" t="s">
        <v>2571</v>
      </c>
      <c r="AD359" s="158" t="s">
        <v>160</v>
      </c>
      <c r="AE359" s="158" t="s">
        <v>184</v>
      </c>
      <c r="AF359" s="158" t="s">
        <v>6820</v>
      </c>
      <c r="AG359" s="164" t="s">
        <v>149</v>
      </c>
      <c r="AH359" s="158" t="s">
        <v>149</v>
      </c>
      <c r="AI359" s="153" t="s">
        <v>2573</v>
      </c>
      <c r="AJ359" s="153" t="s">
        <v>2574</v>
      </c>
      <c r="AK359" s="158" t="s">
        <v>184</v>
      </c>
      <c r="AL359" s="154" t="s">
        <v>149</v>
      </c>
      <c r="AM359" s="158" t="s">
        <v>2575</v>
      </c>
      <c r="AN359" s="154" t="s">
        <v>149</v>
      </c>
      <c r="AO359" s="156">
        <v>2.0</v>
      </c>
      <c r="AP359" s="156" t="s">
        <v>6628</v>
      </c>
      <c r="AQ359" s="153" t="s">
        <v>6084</v>
      </c>
      <c r="AR359" s="153" t="s">
        <v>2576</v>
      </c>
      <c r="AS359" s="165" t="s">
        <v>2577</v>
      </c>
      <c r="AT359" s="154" t="s">
        <v>149</v>
      </c>
      <c r="AU359" s="154" t="s">
        <v>149</v>
      </c>
    </row>
    <row r="360">
      <c r="A360" s="186">
        <v>180.0</v>
      </c>
      <c r="B360" s="152">
        <v>2025.0</v>
      </c>
      <c r="C360" s="153" t="str">
        <f t="shared" si="29"/>
        <v>2023-PH175319000-180</v>
      </c>
      <c r="D360" s="152">
        <f t="shared" si="30"/>
        <v>2023</v>
      </c>
      <c r="E360" s="151">
        <v>180.0</v>
      </c>
      <c r="F360" s="156" t="s">
        <v>191</v>
      </c>
      <c r="G360" s="156" t="s">
        <v>191</v>
      </c>
      <c r="H360" s="153" t="str">
        <f>IFERROR(__xludf.DUMMYFUNCTION("""COMPUTED_VALUE"""),"**Restoration_project** changed from Unknown to Regional Coral Restoration and Appropriate Technologies for Larger-Scale Coral &amp; Fish Habitat Restoration in the Philippines and Australia (FIS 2019/23), **Restoration_project_short** changed from Site in Da"&amp;"plac Cove to Site in Port Barton, **Year of establishment** changed from 2011 to 2024, **Project Start** changed from 2011 to 2021, **Project End** changed from Unknown to 2025, **Restoration method** changed from Asexual Reproduction; Artificial Reef to "&amp;"Sexual Reproduction, **Technique/Material Type** changed from Transplantation; Rubble stabilizing structures, dome tables, wrecks to Larval enhancement and reseeding, **Restoration objective** changed from Sustainable development of property; reef rehabil"&amp;"itation to Unknown, **Funding agency** changed from Palawan Cove Corporation; Discovery World Corporation to ACIAR, **Total units** changed from 72 rubble stabilizing structures; 45 dome tables; 33 wreck structures to Unknown, **Implementing institution**"&amp;" changed from Palawan Cove Corporation to Southern Cross University, **Partners_public** changed from Unknown to UP MSI, MLGU, **Partners_private** changed from Discovery World Corporation to Unknown, **Reference** changed from Discoveryworldcorp (2021, J"&amp;"une 9). In Good Hands: Palawan Cove Corporation forges a sustainable future for San Vicente's marine biodiversity. Discovery World 2020 Annual Report. https://issuu.com/discoveryworldcorp/docs/2020_dwc_annual_report/1 to Personal communication, **Website*"&amp;"* changed from https://issuu.com/discoveryworldcorp/docs/2020_dwc_annual_report/1 to Unknown")</f>
        <v>**Restoration_project** changed from Unknown to Regional Coral Restoration and Appropriate Technologies for Larger-Scale Coral &amp; Fish Habitat Restoration in the Philippines and Australia (FIS 2019/23), **Restoration_project_short** changed from Site in Daplac Cove to Site in Port Barton, **Year of establishment** changed from 2011 to 2024, **Project Start** changed from 2011 to 2021, **Project End** changed from Unknown to 2025, **Restoration method** changed from Asexual Reproduction; Artificial Reef to Sexual Reproduction, **Technique/Material Type** changed from Transplantation; Rubble stabilizing structures, dome tables, wrecks to Larval enhancement and reseeding, **Restoration objective** changed from Sustainable development of property; reef rehabilitation to Unknown, **Funding agency** changed from Palawan Cove Corporation; Discovery World Corporation to ACIAR, **Total units** changed from 72 rubble stabilizing structures; 45 dome tables; 33 wreck structures to Unknown, **Implementing institution** changed from Palawan Cove Corporation to Southern Cross University, **Partners_public** changed from Unknown to UP MSI, MLGU, **Partners_private** changed from Discovery World Corporation to Unknown, **Reference** changed from Discoveryworldcorp (2021, June 9). In Good Hands: Palawan Cove Corporation forges a sustainable future for San Vicente's marine biodiversity. Discovery World 2020 Annual Report. https://issuu.com/discoveryworldcorp/docs/2020_dwc_annual_report/1 to Personal communication, **Website** changed from https://issuu.com/discoveryworldcorp/docs/2020_dwc_annual_report/1 to Unknown</v>
      </c>
      <c r="I360" s="153" t="s">
        <v>6821</v>
      </c>
      <c r="J360" s="173" t="s">
        <v>522</v>
      </c>
      <c r="K360" s="173" t="s">
        <v>523</v>
      </c>
      <c r="L360" s="173" t="s">
        <v>1964</v>
      </c>
      <c r="M360" s="157" t="s">
        <v>1965</v>
      </c>
      <c r="N360" s="173" t="s">
        <v>6221</v>
      </c>
      <c r="O360" s="202" t="s">
        <v>3414</v>
      </c>
      <c r="P360" s="202" t="s">
        <v>1966</v>
      </c>
      <c r="Q360" s="169">
        <v>2024.0</v>
      </c>
      <c r="R360" s="203" t="s">
        <v>6030</v>
      </c>
      <c r="S360" s="203" t="s">
        <v>14</v>
      </c>
      <c r="T360" s="156" t="s">
        <v>199</v>
      </c>
      <c r="U360" s="153">
        <f>IFERROR(__xludf.DUMMYFUNCTION("""COMPUTED_VALUE"""),342.0)</f>
        <v>342</v>
      </c>
      <c r="V360" s="191" t="s">
        <v>3299</v>
      </c>
      <c r="W360" s="179" t="s">
        <v>154</v>
      </c>
      <c r="X360" s="180"/>
      <c r="Y360" s="180" t="s">
        <v>154</v>
      </c>
      <c r="Z360" s="204" t="s">
        <v>1967</v>
      </c>
      <c r="AA360" s="153" t="s">
        <v>6822</v>
      </c>
      <c r="AB360" s="158" t="s">
        <v>149</v>
      </c>
      <c r="AC360" s="173" t="s">
        <v>203</v>
      </c>
      <c r="AD360" s="202" t="s">
        <v>6154</v>
      </c>
      <c r="AE360" s="202" t="s">
        <v>206</v>
      </c>
      <c r="AF360" s="202" t="s">
        <v>159</v>
      </c>
      <c r="AG360" s="164" t="s">
        <v>149</v>
      </c>
      <c r="AH360" s="158" t="s">
        <v>149</v>
      </c>
      <c r="AI360" s="158" t="s">
        <v>149</v>
      </c>
      <c r="AJ360" s="173" t="s">
        <v>208</v>
      </c>
      <c r="AK360" s="202" t="s">
        <v>6068</v>
      </c>
      <c r="AL360" s="173" t="s">
        <v>6614</v>
      </c>
      <c r="AM360" s="154" t="s">
        <v>149</v>
      </c>
      <c r="AN360" s="154" t="s">
        <v>149</v>
      </c>
      <c r="AO360" s="156">
        <v>1.0</v>
      </c>
      <c r="AP360" s="156" t="s">
        <v>6037</v>
      </c>
      <c r="AQ360" s="173" t="s">
        <v>214</v>
      </c>
      <c r="AR360" s="173" t="s">
        <v>214</v>
      </c>
      <c r="AS360" s="205" t="s">
        <v>149</v>
      </c>
      <c r="AT360" s="205" t="s">
        <v>149</v>
      </c>
      <c r="AU360" s="156" t="s">
        <v>149</v>
      </c>
    </row>
    <row r="361">
      <c r="A361" s="186">
        <v>180.0</v>
      </c>
      <c r="B361" s="152">
        <v>2023.0</v>
      </c>
      <c r="D361" s="152"/>
      <c r="E361" s="151">
        <v>180.0</v>
      </c>
      <c r="F361" s="129" t="s">
        <v>140</v>
      </c>
      <c r="G361" s="3" t="s">
        <v>6029</v>
      </c>
      <c r="H361" s="8" t="str">
        <f>IFERROR(__xludf.DUMMYFUNCTION("""COMPUTED_VALUE"""),"")</f>
        <v/>
      </c>
      <c r="I361" s="8" t="s">
        <v>6823</v>
      </c>
      <c r="J361" s="8" t="s">
        <v>522</v>
      </c>
      <c r="K361" s="8" t="s">
        <v>1947</v>
      </c>
      <c r="L361" s="8" t="s">
        <v>1948</v>
      </c>
      <c r="M361" s="153" t="s">
        <v>1949</v>
      </c>
      <c r="N361" s="8" t="s">
        <v>151</v>
      </c>
      <c r="O361" s="8" t="s">
        <v>1950</v>
      </c>
      <c r="P361" s="154" t="s">
        <v>149</v>
      </c>
      <c r="Q361" s="142" t="s">
        <v>6089</v>
      </c>
      <c r="R361" s="154" t="s">
        <v>149</v>
      </c>
      <c r="S361" s="154" t="s">
        <v>149</v>
      </c>
      <c r="T361" s="8"/>
      <c r="U361" s="8">
        <f>IFERROR(__xludf.DUMMYFUNCTION("""COMPUTED_VALUE"""),343.0)</f>
        <v>343</v>
      </c>
      <c r="V361" s="8"/>
      <c r="W361" s="3"/>
      <c r="X361" s="8"/>
      <c r="Y361" s="8"/>
      <c r="AA361" s="3" t="s">
        <v>851</v>
      </c>
      <c r="AB361" s="154" t="s">
        <v>149</v>
      </c>
      <c r="AC361" s="154" t="s">
        <v>149</v>
      </c>
      <c r="AG361" s="142" t="s">
        <v>6824</v>
      </c>
      <c r="AH361" s="154" t="s">
        <v>149</v>
      </c>
      <c r="AI361" s="154" t="s">
        <v>149</v>
      </c>
      <c r="AJ361" s="8" t="s">
        <v>724</v>
      </c>
      <c r="AL361" s="154" t="s">
        <v>149</v>
      </c>
      <c r="AM361" s="154" t="s">
        <v>149</v>
      </c>
      <c r="AN361" s="154" t="s">
        <v>149</v>
      </c>
      <c r="AO361" s="8"/>
      <c r="AP361" s="8"/>
      <c r="AR361" s="8" t="s">
        <v>6517</v>
      </c>
      <c r="AS361" s="8" t="s">
        <v>6825</v>
      </c>
      <c r="AT361" s="154" t="s">
        <v>149</v>
      </c>
      <c r="AU361" s="154" t="s">
        <v>149</v>
      </c>
    </row>
    <row r="362">
      <c r="A362" s="186">
        <v>181.0</v>
      </c>
      <c r="B362" s="152">
        <v>2023.0</v>
      </c>
      <c r="D362" s="152"/>
      <c r="E362" s="151">
        <v>181.0</v>
      </c>
      <c r="F362" s="129" t="s">
        <v>140</v>
      </c>
      <c r="G362" s="3" t="s">
        <v>6029</v>
      </c>
      <c r="H362" s="8" t="str">
        <f>IFERROR(__xludf.DUMMYFUNCTION("""COMPUTED_VALUE"""),"")</f>
        <v/>
      </c>
      <c r="I362" s="8" t="s">
        <v>6826</v>
      </c>
      <c r="J362" s="8" t="s">
        <v>522</v>
      </c>
      <c r="K362" s="8" t="s">
        <v>523</v>
      </c>
      <c r="L362" s="8" t="s">
        <v>2278</v>
      </c>
      <c r="M362" s="153" t="s">
        <v>2279</v>
      </c>
      <c r="N362" s="8" t="s">
        <v>151</v>
      </c>
      <c r="O362" s="8" t="s">
        <v>6795</v>
      </c>
      <c r="P362" s="154" t="s">
        <v>149</v>
      </c>
      <c r="Q362" s="142" t="s">
        <v>6392</v>
      </c>
      <c r="R362" s="154" t="s">
        <v>149</v>
      </c>
      <c r="S362" s="154" t="s">
        <v>149</v>
      </c>
      <c r="T362" s="8"/>
      <c r="U362" s="8">
        <f>IFERROR(__xludf.DUMMYFUNCTION("""COMPUTED_VALUE"""),344.0)</f>
        <v>344</v>
      </c>
      <c r="V362" s="8"/>
      <c r="W362" s="8"/>
      <c r="X362" s="8"/>
      <c r="Y362" s="8"/>
      <c r="AA362" s="8" t="s">
        <v>6827</v>
      </c>
      <c r="AB362" s="8" t="s">
        <v>6828</v>
      </c>
      <c r="AC362" s="8" t="s">
        <v>2286</v>
      </c>
      <c r="AG362" s="154" t="s">
        <v>149</v>
      </c>
      <c r="AH362" s="154" t="s">
        <v>149</v>
      </c>
      <c r="AI362" s="154" t="s">
        <v>149</v>
      </c>
      <c r="AJ362" s="8" t="s">
        <v>6829</v>
      </c>
      <c r="AL362" s="154" t="s">
        <v>149</v>
      </c>
      <c r="AM362" s="8" t="s">
        <v>2287</v>
      </c>
      <c r="AN362" s="154" t="s">
        <v>149</v>
      </c>
      <c r="AO362" s="8"/>
      <c r="AP362" s="8"/>
      <c r="AR362" s="8" t="s">
        <v>6517</v>
      </c>
      <c r="AS362" s="8" t="s">
        <v>6801</v>
      </c>
      <c r="AT362" s="154" t="s">
        <v>149</v>
      </c>
      <c r="AU362" s="154" t="s">
        <v>149</v>
      </c>
    </row>
    <row r="363">
      <c r="A363" s="186">
        <v>181.0</v>
      </c>
      <c r="B363" s="152">
        <v>2025.0</v>
      </c>
      <c r="C363" s="153" t="str">
        <f t="shared" ref="C363:C364" si="31">CONCATENATE(D363, "-", M363, "-", A363)
</f>
        <v>2023-PH175320000-181</v>
      </c>
      <c r="D363" s="152">
        <f t="shared" ref="D363:D364" si="32">IF(OR(F362="Published", F362="Unpublished"), 2023, IF(F362="New", 2025, ""))
</f>
        <v>2023</v>
      </c>
      <c r="E363" s="151">
        <v>181.0</v>
      </c>
      <c r="F363" s="129" t="s">
        <v>140</v>
      </c>
      <c r="G363" s="156" t="s">
        <v>141</v>
      </c>
      <c r="H363" s="153" t="str">
        <f>IFERROR(__xludf.DUMMYFUNCTION("""COMPUTED_VALUE"""),"**Restoration_project** changed from Coral Reef Restoration and Education Program to Sulu Reef Prosthesis, **Restoration_project_short** changed from Unknown to Site in Pangatalan Island MPA, **Year of establishment** changed from 2006 to 2017, **Restorat"&amp;"ion method** changed from Artificial Reef to Artificial Reef; Asexual Reproduction, **Technique/Material Type** changed from ""EcoReefs"" to Sulu Reef Prosthesis; coral transplantation, **Restoration objective** changed from Rehabilitate coral reefs to Re"&amp;"storation of the degraded reef, **Funding agency** changed from El Nido Foundation to Sulubaaai Foundation, **Total area of restoration** changed from Unknown to 178 m2, **Total units** changed from Unknown to 1,600 coral fragments, **Implementing institu"&amp;"tion** changed from El Nido Foundation, Seacology to Sulubaaai Foundation, **Partners_public** changed from Unknown to MLGU, **Partners_private** changed from WWF to Unknown, **Reference** changed from Feature to Alessi, C., Pavi, T., Santo, M., Tardieu, "&amp;"F. &amp; Tardieu, C. (n.d.). Sulu-Reef Prosthesis, a new method to restore a degraded reef. https://sulubaai-foundation.com/wp-content/uploads/2019/07/Sulu-Reef-Prosthesis-a-new-method-in-restoration.pdf, **Website** changed from https://www.ilink.ph/view.php"&amp;"?id=585; https://www.seacology.org/project/223-philippines/ to https://sulubaai-foundation.com/wp-content/uploads/2019/07/Sulu-Reef-Prosthesis-a-new-method-in-restoration.pdf, **Contact_name** changed from Unknown to Cinzia Alessi, **Contact_details** cha"&amp;"nged from Unknown to cinzia.alessi01@community.unipa.it")</f>
        <v>**Restoration_project** changed from Coral Reef Restoration and Education Program to Sulu Reef Prosthesis, **Restoration_project_short** changed from Unknown to Site in Pangatalan Island MPA, **Year of establishment** changed from 2006 to 2017, **Restoration method** changed from Artificial Reef to Artificial Reef; Asexual Reproduction, **Technique/Material Type** changed from "EcoReefs" to Sulu Reef Prosthesis; coral transplantation, **Restoration objective** changed from Rehabilitate coral reefs to Restoration of the degraded reef, **Funding agency** changed from El Nido Foundation to Sulubaaai Foundation, **Total area of restoration** changed from Unknown to 178 m2, **Total units** changed from Unknown to 1,600 coral fragments, **Implementing institution** changed from El Nido Foundation, Seacology to Sulubaaai Foundation, **Partners_public** changed from Unknown to MLGU, **Partners_private** changed from WWF to Unknown, **Reference** changed from Feature to Alessi, C., Pavi, T., Santo, M., Tardieu, F. &amp; Tardieu, C. (n.d.). Sulu-Reef Prosthesis, a new method to restore a degraded reef. https://sulubaai-foundation.com/wp-content/uploads/2019/07/Sulu-Reef-Prosthesis-a-new-method-in-restoration.pdf, **Website** changed from https://www.ilink.ph/view.php?id=585; https://www.seacology.org/project/223-philippines/ to https://sulubaai-foundation.com/wp-content/uploads/2019/07/Sulu-Reef-Prosthesis-a-new-method-in-restoration.pdf, **Contact_name** changed from Unknown to Cinzia Alessi, **Contact_details** changed from Unknown to cinzia.alessi01@community.unipa.it</v>
      </c>
      <c r="I363" s="153" t="s">
        <v>6830</v>
      </c>
      <c r="J363" s="153" t="s">
        <v>522</v>
      </c>
      <c r="K363" s="153" t="s">
        <v>523</v>
      </c>
      <c r="L363" s="153" t="s">
        <v>2114</v>
      </c>
      <c r="M363" s="181" t="s">
        <v>2115</v>
      </c>
      <c r="N363" s="153" t="s">
        <v>6624</v>
      </c>
      <c r="O363" s="153" t="s">
        <v>2116</v>
      </c>
      <c r="P363" s="158" t="s">
        <v>2117</v>
      </c>
      <c r="Q363" s="178">
        <v>2017.0</v>
      </c>
      <c r="R363" s="160" t="s">
        <v>149</v>
      </c>
      <c r="S363" s="160" t="s">
        <v>149</v>
      </c>
      <c r="T363" s="156" t="s">
        <v>263</v>
      </c>
      <c r="U363" s="153">
        <f>IFERROR(__xludf.DUMMYFUNCTION("""COMPUTED_VALUE"""),345.0)</f>
        <v>345</v>
      </c>
      <c r="V363" s="191" t="s">
        <v>6625</v>
      </c>
      <c r="W363" s="179" t="s">
        <v>6032</v>
      </c>
      <c r="X363" s="28" t="s">
        <v>6173</v>
      </c>
      <c r="Y363" s="191" t="s">
        <v>6474</v>
      </c>
      <c r="Z363" s="153" t="s">
        <v>6831</v>
      </c>
      <c r="AA363" s="153" t="s">
        <v>6832</v>
      </c>
      <c r="AB363" s="153" t="s">
        <v>6833</v>
      </c>
      <c r="AC363" s="153" t="s">
        <v>2120</v>
      </c>
      <c r="AD363" s="158" t="s">
        <v>160</v>
      </c>
      <c r="AE363" s="158" t="s">
        <v>306</v>
      </c>
      <c r="AF363" s="158" t="s">
        <v>159</v>
      </c>
      <c r="AG363" s="164" t="s">
        <v>149</v>
      </c>
      <c r="AH363" s="158" t="s">
        <v>6834</v>
      </c>
      <c r="AI363" s="158" t="s">
        <v>2122</v>
      </c>
      <c r="AJ363" s="153" t="s">
        <v>2120</v>
      </c>
      <c r="AK363" s="153" t="s">
        <v>306</v>
      </c>
      <c r="AL363" s="153" t="s">
        <v>369</v>
      </c>
      <c r="AM363" s="154" t="s">
        <v>149</v>
      </c>
      <c r="AN363" s="154" t="s">
        <v>149</v>
      </c>
      <c r="AO363" s="156">
        <v>2.0</v>
      </c>
      <c r="AP363" s="156" t="s">
        <v>6628</v>
      </c>
      <c r="AQ363" s="158" t="s">
        <v>1159</v>
      </c>
      <c r="AR363" s="153" t="s">
        <v>6835</v>
      </c>
      <c r="AS363" s="165" t="s">
        <v>2124</v>
      </c>
      <c r="AT363" s="153" t="s">
        <v>2125</v>
      </c>
      <c r="AU363" s="165" t="s">
        <v>2126</v>
      </c>
    </row>
    <row r="364">
      <c r="A364" s="186">
        <v>182.0</v>
      </c>
      <c r="B364" s="152">
        <v>2025.0</v>
      </c>
      <c r="C364" s="153" t="str">
        <f t="shared" si="31"/>
        <v>2023-PH175909000-182</v>
      </c>
      <c r="D364" s="152">
        <f t="shared" si="32"/>
        <v>2023</v>
      </c>
      <c r="E364" s="151">
        <v>182.0</v>
      </c>
      <c r="F364" s="156" t="s">
        <v>140</v>
      </c>
      <c r="G364" s="156" t="s">
        <v>141</v>
      </c>
      <c r="H364" s="153" t="str">
        <f>IFERROR(__xludf.DUMMYFUNCTION("""COMPUTED_VALUE"""),"**Restoration_project** changed from Sulu Reef Prosthesis to Artificial Reef Development Program, **Restoration_project_short** changed from Site in Pangatalan Island MPA to Site in Canduyong, **Year of establishment** changed from 2017 to 1985, **Project"&amp;" Start** changed from Unknown to 1985, **Project End** changed from Unknown to 1987, **Restoration method** changed from Artificial Reef; Asexual Reproduction to Artificial Reef, **Technique/Material Type** changed from Sulu Reef Prosthesis; coral transpl"&amp;"antation to tires; bamboo, **Restoration objective** changed from Restoration of the degraded reef to Unknown, **Funding agency** changed from Sulubaaai Foundation to BFAR, **Total area of restoration** changed from 178 m2 to Unknown, **Total units** chan"&amp;"ged from 1,600 coral fragments to 13 TM; 1 BM, **Implementing institution** changed from Sulubaaai Foundation to BFAR, **Partners_public** changed from MLGU to Ministry of Human Settlements, **Reference** changed from Alessi, C., Pavi, T., Santo, M., Tard"&amp;"ieu, F. &amp; Tardieu, C. (n.d.). Sulu-Reef Prosthesis, a new method to restore a degraded reef. https://sulubaai-foundation.com/wp-content/uploads/2019/07/Sulu-Reef-Prosthesis-a-new-method-in-restoration.pdf to Balgos, M.C. (1995). Evaluation of artificial r"&amp;"eef development in the Philippines. In Munro, J.L. &amp; Balgos, M. (eds.) Artificial reefs in the Philippines. ICLARM Conf. Proc. 49, pp. 6-22., **Website** changed from https://sulubaai-foundation.com/wp-content/uploads/2019/07/Sulu-Reef-Prosthesis-a-new-me"&amp;"thod-in-restoration.pdf to https://core.ac.uk/download/pdf/6515223.pdf; https://www.ircwash.org/sites/default/files/802-PH90-8920.pdf, **Contact_name** changed from Cinzia Alessi to Miriam Balgos, **Contact_details** changed from cinzia.alessi01@community"&amp;".unipa.it to Unknown")</f>
        <v>**Restoration_project** changed from Sulu Reef Prosthesis to Artificial Reef Development Program, **Restoration_project_short** changed from Site in Pangatalan Island MPA to Site in Canduyong, **Year of establishment** changed from 2017 to 1985, **Project Start** changed from Unknown to 1985, **Project End** changed from Unknown to 1987, **Restoration method** changed from Artificial Reef; Asexual Reproduction to Artificial Reef, **Technique/Material Type** changed from Sulu Reef Prosthesis; coral transplantation to tires; bamboo, **Restoration objective** changed from Restoration of the degraded reef to Unknown, **Funding agency** changed from Sulubaaai Foundation to BFAR, **Total area of restoration** changed from 178 m2 to Unknown, **Total units** changed from 1,600 coral fragments to 13 TM; 1 BM, **Implementing institution** changed from Sulubaaai Foundation to BFAR, **Partners_public** changed from MLGU to Ministry of Human Settlements, **Reference** changed from Alessi, C., Pavi, T., Santo, M., Tardieu, F. &amp; Tardieu, C. (n.d.). Sulu-Reef Prosthesis, a new method to restore a degraded reef. https://sulubaai-foundation.com/wp-content/uploads/2019/07/Sulu-Reef-Prosthesis-a-new-method-in-restoration.pdf to Balgos, M.C. (1995). Evaluation of artificial reef development in the Philippines. In Munro, J.L. &amp; Balgos, M. (eds.) Artificial reefs in the Philippines. ICLARM Conf. Proc. 49, pp. 6-22., **Website** changed from https://sulubaai-foundation.com/wp-content/uploads/2019/07/Sulu-Reef-Prosthesis-a-new-method-in-restoration.pdf to https://core.ac.uk/download/pdf/6515223.pdf; https://www.ircwash.org/sites/default/files/802-PH90-8920.pdf, **Contact_name** changed from Cinzia Alessi to Miriam Balgos, **Contact_details** changed from cinzia.alessi01@community.unipa.it to Unknown</v>
      </c>
      <c r="I364" s="153" t="s">
        <v>6836</v>
      </c>
      <c r="J364" s="153" t="s">
        <v>522</v>
      </c>
      <c r="K364" s="153" t="s">
        <v>529</v>
      </c>
      <c r="L364" s="153" t="s">
        <v>530</v>
      </c>
      <c r="M364" s="181" t="s">
        <v>531</v>
      </c>
      <c r="N364" s="153" t="s">
        <v>151</v>
      </c>
      <c r="O364" s="153" t="s">
        <v>384</v>
      </c>
      <c r="P364" s="153" t="s">
        <v>532</v>
      </c>
      <c r="Q364" s="169">
        <v>1985.0</v>
      </c>
      <c r="R364" s="175" t="s">
        <v>6052</v>
      </c>
      <c r="S364" s="175" t="s">
        <v>6053</v>
      </c>
      <c r="T364" s="161" t="s">
        <v>150</v>
      </c>
      <c r="U364" s="153">
        <f>IFERROR(__xludf.DUMMYFUNCTION("""COMPUTED_VALUE"""),346.0)</f>
        <v>346</v>
      </c>
      <c r="V364" s="162" t="s">
        <v>3311</v>
      </c>
      <c r="W364" s="179" t="s">
        <v>6081</v>
      </c>
      <c r="X364" s="28" t="s">
        <v>6082</v>
      </c>
      <c r="Y364" s="32" t="s">
        <v>468</v>
      </c>
      <c r="Z364" s="158" t="s">
        <v>469</v>
      </c>
      <c r="AA364" s="153" t="s">
        <v>469</v>
      </c>
      <c r="AB364" s="158" t="s">
        <v>149</v>
      </c>
      <c r="AC364" s="153" t="s">
        <v>390</v>
      </c>
      <c r="AD364" s="158" t="s">
        <v>160</v>
      </c>
      <c r="AE364" s="158" t="s">
        <v>6035</v>
      </c>
      <c r="AF364" s="158" t="s">
        <v>159</v>
      </c>
      <c r="AG364" s="164" t="s">
        <v>149</v>
      </c>
      <c r="AH364" s="158" t="s">
        <v>149</v>
      </c>
      <c r="AI364" s="153" t="s">
        <v>533</v>
      </c>
      <c r="AJ364" s="153" t="s">
        <v>390</v>
      </c>
      <c r="AK364" s="153" t="s">
        <v>6035</v>
      </c>
      <c r="AL364" s="153" t="s">
        <v>6055</v>
      </c>
      <c r="AM364" s="154" t="s">
        <v>149</v>
      </c>
      <c r="AN364" s="154" t="s">
        <v>149</v>
      </c>
      <c r="AO364" s="156">
        <v>1.0</v>
      </c>
      <c r="AP364" s="156" t="s">
        <v>6037</v>
      </c>
      <c r="AQ364" s="158" t="s">
        <v>395</v>
      </c>
      <c r="AR364" s="153" t="s">
        <v>6060</v>
      </c>
      <c r="AS364" s="158" t="s">
        <v>397</v>
      </c>
      <c r="AT364" s="153" t="s">
        <v>398</v>
      </c>
      <c r="AU364" s="154" t="s">
        <v>149</v>
      </c>
    </row>
    <row r="365">
      <c r="A365" s="186">
        <v>182.0</v>
      </c>
      <c r="B365" s="152">
        <v>2023.0</v>
      </c>
      <c r="D365" s="152"/>
      <c r="E365" s="151">
        <v>182.0</v>
      </c>
      <c r="F365" s="129" t="s">
        <v>140</v>
      </c>
      <c r="G365" s="3" t="s">
        <v>6029</v>
      </c>
      <c r="H365" s="8" t="str">
        <f>IFERROR(__xludf.DUMMYFUNCTION("""COMPUTED_VALUE"""),"")</f>
        <v/>
      </c>
      <c r="I365" s="8" t="s">
        <v>6837</v>
      </c>
      <c r="J365" s="8" t="s">
        <v>522</v>
      </c>
      <c r="K365" s="8" t="s">
        <v>523</v>
      </c>
      <c r="L365" s="8" t="s">
        <v>6804</v>
      </c>
      <c r="M365" s="153" t="s">
        <v>525</v>
      </c>
      <c r="N365" s="8" t="s">
        <v>151</v>
      </c>
      <c r="O365" s="8" t="s">
        <v>384</v>
      </c>
      <c r="P365" s="8" t="s">
        <v>526</v>
      </c>
      <c r="Q365" s="142" t="s">
        <v>6052</v>
      </c>
      <c r="R365" s="142" t="s">
        <v>6052</v>
      </c>
      <c r="S365" s="142" t="s">
        <v>6053</v>
      </c>
      <c r="T365" s="8"/>
      <c r="U365" s="8">
        <f>IFERROR(__xludf.DUMMYFUNCTION("""COMPUTED_VALUE"""),347.0)</f>
        <v>347</v>
      </c>
      <c r="V365" s="8"/>
      <c r="W365" s="8"/>
      <c r="X365" s="8"/>
      <c r="Y365" s="8"/>
      <c r="AA365" s="8" t="s">
        <v>6054</v>
      </c>
      <c r="AB365" s="154" t="s">
        <v>149</v>
      </c>
      <c r="AC365" s="8" t="s">
        <v>390</v>
      </c>
      <c r="AG365" s="154" t="s">
        <v>149</v>
      </c>
      <c r="AH365" s="154" t="s">
        <v>149</v>
      </c>
      <c r="AI365" s="154" t="s">
        <v>149</v>
      </c>
      <c r="AJ365" s="8" t="s">
        <v>390</v>
      </c>
      <c r="AL365" s="8" t="s">
        <v>6055</v>
      </c>
      <c r="AM365" s="154" t="s">
        <v>149</v>
      </c>
      <c r="AN365" s="154" t="s">
        <v>149</v>
      </c>
      <c r="AO365" s="8"/>
      <c r="AP365" s="8"/>
      <c r="AR365" s="8" t="s">
        <v>6057</v>
      </c>
      <c r="AS365" s="8" t="s">
        <v>2873</v>
      </c>
      <c r="AT365" s="8" t="s">
        <v>398</v>
      </c>
      <c r="AU365" s="154" t="s">
        <v>149</v>
      </c>
    </row>
    <row r="366">
      <c r="A366" s="186">
        <v>183.0</v>
      </c>
      <c r="B366" s="152">
        <v>2025.0</v>
      </c>
      <c r="C366" s="153" t="str">
        <f>CONCATENATE(D366, "-", M366, "-", A366)
</f>
        <v>2023-PH175913000-183</v>
      </c>
      <c r="D366" s="152">
        <f>IF(OR(F365="Published", F365="Unpublished"), 2023, IF(F365="New", 2025, ""))
</f>
        <v>2023</v>
      </c>
      <c r="E366" s="151">
        <v>183.0</v>
      </c>
      <c r="F366" s="156" t="s">
        <v>191</v>
      </c>
      <c r="G366" s="156" t="s">
        <v>191</v>
      </c>
      <c r="H366" s="153" t="str">
        <f>IFERROR(__xludf.DUMMYFUNCTION("""COMPUTED_VALUE"""),"**Restoration_project** changed from Artificial Reef Development Program to Doydoy Artificial Reefs, **Restoration_project_short** changed from Site in Tagburos to Unknown, **Year of establishment** changed from 1985 to 2013, **Project Start** changed fro"&amp;"m 1985 to Unknown, **Project End** changed from 1987 to Unknown, **Technique/Material Type** changed from tires to bamboo, **Restoration objective** changed from Unknown to Shelter and breeding ground for fish, **Funding agency** changed from BFAR to MLGU"&amp;", **Total funding** changed from Unknown to 10000PHP, **Total units** changed from Unknown to 100 units, **Implementing institution** changed from BFAR to ABS-CBN Foundation, **Partners_public** changed from Ministry of Human Settlements to MLGU, **Refere"&amp;"nce** changed from Conference Proceediing to Manzo, D. (2013, January 22). ABS-CBN Foundation pinangasiwaan ang paglagay ng artificial reefs sa LGU San Fernando. Philippine Information Agency MIMAROPA. https://pia4b.wordpress.com/2013/01/22/abs-cbn-founda"&amp;"tion-pinangasiwaan-ang-paglagay-ng-artificial-reefs-sa-lgu-san-fernando/, **Website** changed from http://pubs.iclarm.net/libinfo/Pdf/Pub%20CP6%2049.pdf to https://pia4b.wordpress.com/2013/01/22/abs-cbn-foundation-pinangasiwaan-ang-paglagay-ng-artificial-"&amp;"reefs-sa-lgu-san-fernando/, **Contact_name** changed from Miriam Balgos to Unknown")</f>
        <v>**Restoration_project** changed from Artificial Reef Development Program to Doydoy Artificial Reefs, **Restoration_project_short** changed from Site in Tagburos to Unknown, **Year of establishment** changed from 1985 to 2013, **Project Start** changed from 1985 to Unknown, **Project End** changed from 1987 to Unknown, **Technique/Material Type** changed from tires to bamboo, **Restoration objective** changed from Unknown to Shelter and breeding ground for fish, **Funding agency** changed from BFAR to MLGU, **Total funding** changed from Unknown to 10000PHP, **Total units** changed from Unknown to 100 units, **Implementing institution** changed from BFAR to ABS-CBN Foundation, **Partners_public** changed from Ministry of Human Settlements to MLGU, **Reference** changed from Conference Proceediing to Manzo, D. (2013, January 22). ABS-CBN Foundation pinangasiwaan ang paglagay ng artificial reefs sa LGU San Fernando. Philippine Information Agency MIMAROPA. https://pia4b.wordpress.com/2013/01/22/abs-cbn-foundation-pinangasiwaan-ang-paglagay-ng-artificial-reefs-sa-lgu-san-fernando/, **Website** changed from http://pubs.iclarm.net/libinfo/Pdf/Pub%20CP6%2049.pdf to https://pia4b.wordpress.com/2013/01/22/abs-cbn-foundation-pinangasiwaan-ang-paglagay-ng-artificial-reefs-sa-lgu-san-fernando/, **Contact_name** changed from Miriam Balgos to Unknown</v>
      </c>
      <c r="I366" s="153" t="s">
        <v>6838</v>
      </c>
      <c r="J366" s="153" t="s">
        <v>522</v>
      </c>
      <c r="K366" s="153" t="s">
        <v>529</v>
      </c>
      <c r="L366" s="153" t="s">
        <v>1120</v>
      </c>
      <c r="M366" s="181" t="s">
        <v>1121</v>
      </c>
      <c r="N366" s="153" t="s">
        <v>151</v>
      </c>
      <c r="O366" s="153" t="s">
        <v>1122</v>
      </c>
      <c r="P366" s="156" t="s">
        <v>149</v>
      </c>
      <c r="Q366" s="169">
        <v>2013.0</v>
      </c>
      <c r="R366" s="160" t="s">
        <v>149</v>
      </c>
      <c r="S366" s="160" t="s">
        <v>149</v>
      </c>
      <c r="T366" s="161" t="s">
        <v>150</v>
      </c>
      <c r="U366" s="153">
        <f>IFERROR(__xludf.DUMMYFUNCTION("""COMPUTED_VALUE"""),348.0)</f>
        <v>348</v>
      </c>
      <c r="V366" s="162" t="s">
        <v>3311</v>
      </c>
      <c r="W366" s="179" t="s">
        <v>6075</v>
      </c>
      <c r="X366" s="28" t="s">
        <v>604</v>
      </c>
      <c r="Y366" s="28" t="s">
        <v>605</v>
      </c>
      <c r="Z366" s="176" t="s">
        <v>605</v>
      </c>
      <c r="AA366" s="153" t="s">
        <v>6076</v>
      </c>
      <c r="AB366" s="158" t="s">
        <v>6839</v>
      </c>
      <c r="AC366" s="158" t="s">
        <v>369</v>
      </c>
      <c r="AD366" s="158" t="s">
        <v>160</v>
      </c>
      <c r="AE366" s="158" t="s">
        <v>6035</v>
      </c>
      <c r="AF366" s="158" t="s">
        <v>159</v>
      </c>
      <c r="AG366" s="175" t="s">
        <v>6840</v>
      </c>
      <c r="AH366" s="158" t="s">
        <v>149</v>
      </c>
      <c r="AI366" s="153" t="s">
        <v>795</v>
      </c>
      <c r="AJ366" s="158" t="s">
        <v>1127</v>
      </c>
      <c r="AK366" s="153" t="s">
        <v>306</v>
      </c>
      <c r="AL366" s="153" t="s">
        <v>369</v>
      </c>
      <c r="AM366" s="156" t="s">
        <v>149</v>
      </c>
      <c r="AN366" s="156" t="s">
        <v>149</v>
      </c>
      <c r="AO366" s="156">
        <v>1.0</v>
      </c>
      <c r="AP366" s="156" t="s">
        <v>6037</v>
      </c>
      <c r="AQ366" s="158" t="s">
        <v>166</v>
      </c>
      <c r="AR366" s="153" t="s">
        <v>1128</v>
      </c>
      <c r="AS366" s="172" t="s">
        <v>1129</v>
      </c>
      <c r="AT366" s="156" t="s">
        <v>149</v>
      </c>
      <c r="AU366" s="190" t="s">
        <v>149</v>
      </c>
    </row>
    <row r="367">
      <c r="A367" s="186">
        <v>183.0</v>
      </c>
      <c r="B367" s="152">
        <v>2023.0</v>
      </c>
      <c r="D367" s="152"/>
      <c r="E367" s="151">
        <v>183.0</v>
      </c>
      <c r="F367" s="129" t="s">
        <v>140</v>
      </c>
      <c r="G367" s="3" t="s">
        <v>6029</v>
      </c>
      <c r="H367" s="8" t="str">
        <f>IFERROR(__xludf.DUMMYFUNCTION("""COMPUTED_VALUE"""),"")</f>
        <v/>
      </c>
      <c r="I367" s="8" t="s">
        <v>6841</v>
      </c>
      <c r="J367" s="8" t="s">
        <v>522</v>
      </c>
      <c r="K367" s="8" t="s">
        <v>523</v>
      </c>
      <c r="L367" s="8" t="s">
        <v>6804</v>
      </c>
      <c r="M367" s="153" t="s">
        <v>525</v>
      </c>
      <c r="N367" s="8" t="s">
        <v>6062</v>
      </c>
      <c r="O367" s="8" t="s">
        <v>1683</v>
      </c>
      <c r="P367" s="154" t="s">
        <v>149</v>
      </c>
      <c r="Q367" s="154" t="s">
        <v>149</v>
      </c>
      <c r="R367" s="142" t="s">
        <v>6063</v>
      </c>
      <c r="S367" s="142" t="s">
        <v>6064</v>
      </c>
      <c r="T367" s="8"/>
      <c r="U367" s="8">
        <f>IFERROR(__xludf.DUMMYFUNCTION("""COMPUTED_VALUE"""),349.0)</f>
        <v>349</v>
      </c>
      <c r="V367" s="8"/>
      <c r="W367" s="8"/>
      <c r="X367" s="8"/>
      <c r="Y367" s="8"/>
      <c r="AA367" s="8" t="s">
        <v>320</v>
      </c>
      <c r="AB367" s="154" t="s">
        <v>149</v>
      </c>
      <c r="AC367" s="8" t="s">
        <v>321</v>
      </c>
      <c r="AG367" s="154" t="s">
        <v>149</v>
      </c>
      <c r="AH367" s="154" t="s">
        <v>149</v>
      </c>
      <c r="AI367" s="8" t="s">
        <v>1709</v>
      </c>
      <c r="AJ367" s="8" t="s">
        <v>326</v>
      </c>
      <c r="AL367" s="154" t="s">
        <v>149</v>
      </c>
      <c r="AM367" s="154" t="s">
        <v>149</v>
      </c>
      <c r="AN367" s="154" t="s">
        <v>149</v>
      </c>
      <c r="AO367" s="8"/>
      <c r="AP367" s="8"/>
      <c r="AR367" s="8" t="s">
        <v>6069</v>
      </c>
      <c r="AS367" s="154" t="s">
        <v>149</v>
      </c>
      <c r="AT367" s="154" t="s">
        <v>149</v>
      </c>
      <c r="AU367" s="154" t="s">
        <v>149</v>
      </c>
    </row>
    <row r="368">
      <c r="A368" s="186">
        <v>184.0</v>
      </c>
      <c r="B368" s="152">
        <v>2023.0</v>
      </c>
      <c r="D368" s="152"/>
      <c r="E368" s="151">
        <v>184.0</v>
      </c>
      <c r="F368" s="129" t="s">
        <v>140</v>
      </c>
      <c r="G368" s="3" t="s">
        <v>6029</v>
      </c>
      <c r="H368" s="8" t="str">
        <f>IFERROR(__xludf.DUMMYFUNCTION("""COMPUTED_VALUE"""),"")</f>
        <v/>
      </c>
      <c r="I368" s="8" t="s">
        <v>6842</v>
      </c>
      <c r="J368" s="8" t="s">
        <v>522</v>
      </c>
      <c r="K368" s="8" t="s">
        <v>523</v>
      </c>
      <c r="L368" s="8" t="s">
        <v>1964</v>
      </c>
      <c r="M368" s="153" t="s">
        <v>1965</v>
      </c>
      <c r="N368" s="8" t="s">
        <v>6814</v>
      </c>
      <c r="O368" s="154" t="s">
        <v>149</v>
      </c>
      <c r="P368" s="154" t="s">
        <v>149</v>
      </c>
      <c r="Q368" s="142" t="s">
        <v>6042</v>
      </c>
      <c r="R368" s="154" t="s">
        <v>149</v>
      </c>
      <c r="S368" s="154" t="s">
        <v>149</v>
      </c>
      <c r="T368" s="8"/>
      <c r="U368" s="8">
        <f>IFERROR(__xludf.DUMMYFUNCTION("""COMPUTED_VALUE"""),350.0)</f>
        <v>350</v>
      </c>
      <c r="V368" s="8"/>
      <c r="W368" s="8"/>
      <c r="X368" s="8"/>
      <c r="Y368" s="8"/>
      <c r="AA368" s="8" t="s">
        <v>6288</v>
      </c>
      <c r="AB368" s="8" t="s">
        <v>6843</v>
      </c>
      <c r="AC368" s="154" t="s">
        <v>149</v>
      </c>
      <c r="AG368" s="142" t="s">
        <v>2571</v>
      </c>
      <c r="AH368" s="154" t="s">
        <v>149</v>
      </c>
      <c r="AI368" s="154" t="s">
        <v>149</v>
      </c>
      <c r="AJ368" s="8" t="s">
        <v>2574</v>
      </c>
      <c r="AL368" s="154" t="s">
        <v>149</v>
      </c>
      <c r="AM368" s="154" t="s">
        <v>149</v>
      </c>
      <c r="AN368" s="154" t="s">
        <v>149</v>
      </c>
      <c r="AO368" s="8"/>
      <c r="AP368" s="8"/>
      <c r="AR368" s="8" t="s">
        <v>6027</v>
      </c>
      <c r="AS368" s="8" t="s">
        <v>6844</v>
      </c>
      <c r="AT368" s="154" t="s">
        <v>149</v>
      </c>
      <c r="AU368" s="154" t="s">
        <v>149</v>
      </c>
    </row>
    <row r="369">
      <c r="A369" s="186">
        <v>184.0</v>
      </c>
      <c r="B369" s="152">
        <v>2025.0</v>
      </c>
      <c r="C369" s="153" t="str">
        <f>CONCATENATE(D369, "-", M369, "-", A369)
</f>
        <v>2023-PH050501000-184</v>
      </c>
      <c r="D369" s="152">
        <f>IF(OR(F368="Published", F368="Unpublished"), 2023, IF(F368="New", 2025, ""))
</f>
        <v>2023</v>
      </c>
      <c r="E369" s="151">
        <v>184.0</v>
      </c>
      <c r="F369" s="129" t="s">
        <v>140</v>
      </c>
      <c r="G369" s="156" t="s">
        <v>141</v>
      </c>
      <c r="H369" s="153" t="str">
        <f>IFERROR(__xludf.DUMMYFUNCTION("""COMPUTED_VALUE"""),"**Region** changed from IV-B to V, **Restoration_project** changed from Unknown to Kaligkasan sa Karagatan, **Restoration_project_short** changed from Unknown to Site in Brgy Uson, **Year of establishment** changed from 2011 to 2022, **Restoration method*"&amp;"* changed from Asexual Reproduction; Artificial Reef to Asexual Reproduction, **Technique/Material Type** changed from Transplantation to CNU; coral transplantation, **Restoration objective** changed from Sustainable development of property to Community a"&amp;"wareness and protection of coral reefs, **Funding agency** changed from Unknown to Municipal PNP, **Total funding** changed from Palawan Cove Corporation; Discovery World Corporation to Unknown, **Total units** changed from Unknown to 3 CNUs, **Implementi"&amp;"ng institution** changed from Palawan Cove Corporation to Municipal PNP, **Reference** changed from Website to Calipay, C. (2022, April 5). Cops lead mangrove reforestation, coral restoration in Albay. Philippine News Agency. https://www.pna.gov.ph/articl"&amp;"es/1171451 , **Website** changed from http://www.discovery.com.ph/palawan-cove.html to https://www.pna.gov.ph/articles/1171451")</f>
        <v>**Region** changed from IV-B to V, **Restoration_project** changed from Unknown to Kaligkasan sa Karagatan, **Restoration_project_short** changed from Unknown to Site in Brgy Uson, **Year of establishment** changed from 2011 to 2022, **Restoration method** changed from Asexual Reproduction; Artificial Reef to Asexual Reproduction, **Technique/Material Type** changed from Transplantation to CNU; coral transplantation, **Restoration objective** changed from Sustainable development of property to Community awareness and protection of coral reefs, **Funding agency** changed from Unknown to Municipal PNP, **Total funding** changed from Palawan Cove Corporation; Discovery World Corporation to Unknown, **Total units** changed from Unknown to 3 CNUs, **Implementing institution** changed from Palawan Cove Corporation to Municipal PNP, **Reference** changed from Website to Calipay, C. (2022, April 5). Cops lead mangrove reforestation, coral restoration in Albay. Philippine News Agency. https://www.pna.gov.ph/articles/1171451 , **Website** changed from http://www.discovery.com.ph/palawan-cove.html to https://www.pna.gov.ph/articles/1171451</v>
      </c>
      <c r="I369" s="153" t="s">
        <v>6845</v>
      </c>
      <c r="J369" s="153" t="s">
        <v>535</v>
      </c>
      <c r="K369" s="153" t="s">
        <v>893</v>
      </c>
      <c r="L369" s="153" t="s">
        <v>1622</v>
      </c>
      <c r="M369" s="181" t="s">
        <v>1623</v>
      </c>
      <c r="N369" s="153" t="s">
        <v>6062</v>
      </c>
      <c r="O369" s="158" t="s">
        <v>1624</v>
      </c>
      <c r="P369" s="158" t="s">
        <v>1625</v>
      </c>
      <c r="Q369" s="169">
        <v>2022.0</v>
      </c>
      <c r="R369" s="160" t="s">
        <v>149</v>
      </c>
      <c r="S369" s="160" t="s">
        <v>149</v>
      </c>
      <c r="T369" s="156" t="s">
        <v>177</v>
      </c>
      <c r="U369" s="153">
        <f>IFERROR(__xludf.DUMMYFUNCTION("""COMPUTED_VALUE"""),351.0)</f>
        <v>351</v>
      </c>
      <c r="V369" s="191" t="s">
        <v>1359</v>
      </c>
      <c r="W369" s="179" t="s">
        <v>6066</v>
      </c>
      <c r="X369" s="180"/>
      <c r="Y369" s="180" t="s">
        <v>154</v>
      </c>
      <c r="Z369" s="158" t="s">
        <v>179</v>
      </c>
      <c r="AA369" s="153" t="s">
        <v>6846</v>
      </c>
      <c r="AB369" s="153" t="s">
        <v>6847</v>
      </c>
      <c r="AC369" s="153" t="s">
        <v>1627</v>
      </c>
      <c r="AD369" s="158" t="s">
        <v>160</v>
      </c>
      <c r="AE369" s="158" t="s">
        <v>6035</v>
      </c>
      <c r="AF369" s="158" t="s">
        <v>159</v>
      </c>
      <c r="AG369" s="164" t="s">
        <v>149</v>
      </c>
      <c r="AH369" s="158" t="s">
        <v>149</v>
      </c>
      <c r="AI369" s="158" t="s">
        <v>1629</v>
      </c>
      <c r="AJ369" s="153" t="s">
        <v>1627</v>
      </c>
      <c r="AK369" s="153" t="s">
        <v>6035</v>
      </c>
      <c r="AL369" s="154" t="s">
        <v>149</v>
      </c>
      <c r="AM369" s="154" t="s">
        <v>149</v>
      </c>
      <c r="AN369" s="154" t="s">
        <v>149</v>
      </c>
      <c r="AO369" s="156">
        <v>1.0</v>
      </c>
      <c r="AP369" s="156" t="s">
        <v>6037</v>
      </c>
      <c r="AQ369" s="158" t="s">
        <v>166</v>
      </c>
      <c r="AR369" s="153" t="s">
        <v>1630</v>
      </c>
      <c r="AS369" s="172" t="s">
        <v>1631</v>
      </c>
      <c r="AT369" s="154" t="s">
        <v>149</v>
      </c>
      <c r="AU369" s="154" t="s">
        <v>149</v>
      </c>
    </row>
    <row r="370">
      <c r="A370" s="186">
        <v>185.0</v>
      </c>
      <c r="B370" s="152">
        <v>2023.0</v>
      </c>
      <c r="D370" s="152"/>
      <c r="E370" s="151">
        <v>185.0</v>
      </c>
      <c r="F370" s="129" t="s">
        <v>140</v>
      </c>
      <c r="G370" s="3" t="s">
        <v>6029</v>
      </c>
      <c r="H370" s="8" t="str">
        <f>IFERROR(__xludf.DUMMYFUNCTION("""COMPUTED_VALUE"""),"")</f>
        <v/>
      </c>
      <c r="I370" s="8" t="s">
        <v>6848</v>
      </c>
      <c r="J370" s="8" t="s">
        <v>522</v>
      </c>
      <c r="K370" s="8" t="s">
        <v>523</v>
      </c>
      <c r="L370" s="8" t="s">
        <v>2114</v>
      </c>
      <c r="M370" s="153" t="s">
        <v>2115</v>
      </c>
      <c r="N370" s="8" t="s">
        <v>151</v>
      </c>
      <c r="O370" s="8" t="s">
        <v>2116</v>
      </c>
      <c r="P370" s="154" t="s">
        <v>149</v>
      </c>
      <c r="Q370" s="142" t="s">
        <v>6064</v>
      </c>
      <c r="R370" s="154" t="s">
        <v>149</v>
      </c>
      <c r="S370" s="154" t="s">
        <v>149</v>
      </c>
      <c r="T370" s="8"/>
      <c r="U370" s="8">
        <f>IFERROR(__xludf.DUMMYFUNCTION("""COMPUTED_VALUE"""),352.0)</f>
        <v>352</v>
      </c>
      <c r="V370" s="8"/>
      <c r="W370" s="8"/>
      <c r="X370" s="8"/>
      <c r="Y370" s="8"/>
      <c r="AA370" s="8" t="s">
        <v>2116</v>
      </c>
      <c r="AB370" s="8" t="s">
        <v>6849</v>
      </c>
      <c r="AC370" s="8" t="s">
        <v>2120</v>
      </c>
      <c r="AG370" s="154" t="s">
        <v>149</v>
      </c>
      <c r="AH370" s="154" t="s">
        <v>149</v>
      </c>
      <c r="AI370" s="154" t="s">
        <v>149</v>
      </c>
      <c r="AJ370" s="8" t="s">
        <v>2120</v>
      </c>
      <c r="AL370" s="8" t="s">
        <v>369</v>
      </c>
      <c r="AM370" s="154" t="s">
        <v>149</v>
      </c>
      <c r="AN370" s="154" t="s">
        <v>149</v>
      </c>
      <c r="AO370" s="8"/>
      <c r="AP370" s="8"/>
      <c r="AR370" s="8" t="s">
        <v>1159</v>
      </c>
      <c r="AS370" s="172" t="s">
        <v>2124</v>
      </c>
      <c r="AT370" s="8" t="s">
        <v>2125</v>
      </c>
      <c r="AU370" s="172" t="s">
        <v>2126</v>
      </c>
    </row>
    <row r="371">
      <c r="A371" s="186">
        <v>185.0</v>
      </c>
      <c r="B371" s="152">
        <v>2025.0</v>
      </c>
      <c r="C371" s="153" t="str">
        <f t="shared" ref="C371:C372" si="33">CONCATENATE(D371, "-", M371, "-", A371)
</f>
        <v>2023-PH050506000-185</v>
      </c>
      <c r="D371" s="152">
        <f t="shared" ref="D371:D372" si="34">IF(OR(F370="Published", F370="Unpublished"), 2023, IF(F370="New", 2025, ""))
</f>
        <v>2023</v>
      </c>
      <c r="E371" s="151">
        <v>185.0</v>
      </c>
      <c r="F371" s="156" t="s">
        <v>140</v>
      </c>
      <c r="G371" s="156" t="s">
        <v>141</v>
      </c>
      <c r="H371" s="153" t="str">
        <f>IFERROR(__xludf.DUMMYFUNCTION("""COMPUTED_VALUE"""),"**Region** changed from IV-B to V, **Restoration_project** changed from Sulu Reef Prosthesis to Unknown, **Year of establishment** changed from 2016 to Unknown, **Restoration method** changed from Artificial Reef to Asexual Reproduction, **Technique/Mater"&amp;"ial Type** changed from Sulu Reef Prosthesis to CNU; coral transplantation, **Restoration objective** changed from Restoration of coral reefs to Protecting and preserving marine resources, **Funding agency** changed from Sulubaaai Foundation to MLGU, **Im"&amp;"plementing institution** changed from Sulubaaai Foundation to MLGU, **Partners_public** changed from MLGU to BFAR, BU, MCCF, **Partners_private** changed from Unknown to Pacific Blue Dive Shop, **Reference** changed from Unpublished article to cbartazo (2"&amp;"015, June 28). Deeper in Albay (Part II). Life in the Great Beyond. https://cbartazo.com/tag/diving-in-bicol/, **Website** changed from https://sulubaai-foundation.com/wp-content/uploads/2019/07/Sulu-Reef-Prosthesis-a-new-method-in-restoration.pdf to http"&amp;"s://cbartazo.com/tag/diving-in-bicol/, **Contact_name** changed from Cinzia Alessi to Unknown, **Contact_details** changed from cinzia.alessi01@community.unipa.it to Unknown")</f>
        <v>**Region** changed from IV-B to V, **Restoration_project** changed from Sulu Reef Prosthesis to Unknown, **Year of establishment** changed from 2016 to Unknown, **Restoration method** changed from Artificial Reef to Asexual Reproduction, **Technique/Material Type** changed from Sulu Reef Prosthesis to CNU; coral transplantation, **Restoration objective** changed from Restoration of coral reefs to Protecting and preserving marine resources, **Funding agency** changed from Sulubaaai Foundation to MLGU, **Implementing institution** changed from Sulubaaai Foundation to MLGU, **Partners_public** changed from MLGU to BFAR, BU, MCCF, **Partners_private** changed from Unknown to Pacific Blue Dive Shop, **Reference** changed from Unpublished article to cbartazo (2015, June 28). Deeper in Albay (Part II). Life in the Great Beyond. https://cbartazo.com/tag/diving-in-bicol/, **Website** changed from https://sulubaai-foundation.com/wp-content/uploads/2019/07/Sulu-Reef-Prosthesis-a-new-method-in-restoration.pdf to https://cbartazo.com/tag/diving-in-bicol/, **Contact_name** changed from Cinzia Alessi to Unknown, **Contact_details** changed from cinzia.alessi01@community.unipa.it to Unknown</v>
      </c>
      <c r="I371" s="153" t="s">
        <v>6850</v>
      </c>
      <c r="J371" s="153" t="s">
        <v>535</v>
      </c>
      <c r="K371" s="153" t="s">
        <v>893</v>
      </c>
      <c r="L371" s="153" t="s">
        <v>6851</v>
      </c>
      <c r="M371" s="181" t="s">
        <v>1876</v>
      </c>
      <c r="N371" s="153" t="s">
        <v>6062</v>
      </c>
      <c r="O371" s="158" t="s">
        <v>149</v>
      </c>
      <c r="P371" s="154" t="s">
        <v>149</v>
      </c>
      <c r="Q371" s="178" t="s">
        <v>149</v>
      </c>
      <c r="R371" s="160" t="s">
        <v>149</v>
      </c>
      <c r="S371" s="160" t="s">
        <v>149</v>
      </c>
      <c r="T371" s="156" t="s">
        <v>177</v>
      </c>
      <c r="U371" s="153">
        <f>IFERROR(__xludf.DUMMYFUNCTION("""COMPUTED_VALUE"""),353.0)</f>
        <v>353</v>
      </c>
      <c r="V371" s="191" t="s">
        <v>1359</v>
      </c>
      <c r="W371" s="179" t="s">
        <v>6066</v>
      </c>
      <c r="X371" s="180"/>
      <c r="Y371" s="180" t="s">
        <v>154</v>
      </c>
      <c r="Z371" s="158" t="s">
        <v>179</v>
      </c>
      <c r="AA371" s="153" t="s">
        <v>6852</v>
      </c>
      <c r="AB371" s="158" t="s">
        <v>2357</v>
      </c>
      <c r="AC371" s="153" t="s">
        <v>369</v>
      </c>
      <c r="AD371" s="158" t="s">
        <v>160</v>
      </c>
      <c r="AE371" s="158" t="s">
        <v>6035</v>
      </c>
      <c r="AF371" s="158" t="s">
        <v>159</v>
      </c>
      <c r="AG371" s="164" t="s">
        <v>149</v>
      </c>
      <c r="AH371" s="158" t="s">
        <v>149</v>
      </c>
      <c r="AI371" s="158" t="s">
        <v>149</v>
      </c>
      <c r="AJ371" s="153" t="s">
        <v>369</v>
      </c>
      <c r="AK371" s="153" t="s">
        <v>6035</v>
      </c>
      <c r="AL371" s="153" t="s">
        <v>6853</v>
      </c>
      <c r="AM371" s="153" t="s">
        <v>2359</v>
      </c>
      <c r="AN371" s="154" t="s">
        <v>149</v>
      </c>
      <c r="AO371" s="156">
        <v>1.0</v>
      </c>
      <c r="AP371" s="156" t="s">
        <v>6037</v>
      </c>
      <c r="AQ371" s="158" t="s">
        <v>6091</v>
      </c>
      <c r="AR371" s="153" t="s">
        <v>2360</v>
      </c>
      <c r="AS371" s="172" t="s">
        <v>2361</v>
      </c>
      <c r="AT371" s="154" t="s">
        <v>149</v>
      </c>
      <c r="AU371" s="154" t="s">
        <v>149</v>
      </c>
    </row>
    <row r="372">
      <c r="A372" s="186">
        <v>186.0</v>
      </c>
      <c r="B372" s="152">
        <v>2025.0</v>
      </c>
      <c r="C372" s="153" t="str">
        <f t="shared" si="33"/>
        <v>2023-PH050506000-186</v>
      </c>
      <c r="D372" s="152">
        <f t="shared" si="34"/>
        <v>2023</v>
      </c>
      <c r="E372" s="151">
        <v>186.0</v>
      </c>
      <c r="F372" s="176" t="s">
        <v>191</v>
      </c>
      <c r="G372" s="176" t="s">
        <v>191</v>
      </c>
      <c r="H372" s="158" t="str">
        <f>IFERROR(__xludf.DUMMYFUNCTION("""COMPUTED_VALUE"""),"**Restoration_project** changed from Unknown to Project Anchor - Artificial Reef Laying and Coral Restoration Project, **Restoration_project_short** changed from Unknown to Site in Brgy Rawis, **Year of establishment** changed from Unknown to 2023, **Proj"&amp;"ect Start** changed from Unknown to 2023, **Project End** changed from Unknown to 2024, **Restoration method** changed from Asexual Reproduction to Artificial Reef, **Technique/Material Type** changed from CNU; coral transplantation to Concrete pyramid, c"&amp;"ubic &amp; jackstone, **Restoration objective** changed from Protecting and preserving marine resources to Rehabilitate damaged marine ecosystems; habitat for marine life, **Funding agency** changed from MLGU to Philippine Naval Forces, **Total units** change"&amp;"d from Unknown to 210 units, **Implementing institution** changed from MLGU to Philippine Navy - Naval Forces Southern Luzon, **Partners_public** changed from BFAR, BU, MCCF to PAFCPIC Legazpi; PCG Special Operations Group; ICRM Legazpi; CLGU, **Partners_"&amp;"private** changed from Pacific Blue Dive Shop to Sea Hunters Group; Rotary Club of Legazpi; JCI Legazpi City; SM City Legazpi; AFPSLAI, **Reference** changed from cbartazo (2015, June 28). Deeper in Albay (Part II). Life in the Great Beyond. https://cbart"&amp;"azo.com/tag/diving-in-bicol/ to DZGBNewsOnline (2024, Oct. 14). The Naval Forces Southern Luzon (NFSL) has officially launched the 3rd Phase of its Artificial Reef Laying and Coral Restoration [Status Update]. https://www.facebook.com/photo.php?fbid=10065"&amp;"52911501040&amp;id=100064390224437&amp;set=a.600940552062280&amp;_rdc=2&amp;_rdr, **Website** changed from https://cbartazo.com/tag/diving-in-bicol/ to https://www.facebook.com/photo.php?fbid=1006552911501040&amp;id=100064390224437&amp;set=a.600940552062280&amp;_rdc=2&amp;_rdr")</f>
        <v>**Restoration_project** changed from Unknown to Project Anchor - Artificial Reef Laying and Coral Restoration Project, **Restoration_project_short** changed from Unknown to Site in Brgy Rawis, **Year of establishment** changed from Unknown to 2023, **Project Start** changed from Unknown to 2023, **Project End** changed from Unknown to 2024, **Restoration method** changed from Asexual Reproduction to Artificial Reef, **Technique/Material Type** changed from CNU; coral transplantation to Concrete pyramid, cubic &amp; jackstone, **Restoration objective** changed from Protecting and preserving marine resources to Rehabilitate damaged marine ecosystems; habitat for marine life, **Funding agency** changed from MLGU to Philippine Naval Forces, **Total units** changed from Unknown to 210 units, **Implementing institution** changed from MLGU to Philippine Navy - Naval Forces Southern Luzon, **Partners_public** changed from BFAR, BU, MCCF to PAFCPIC Legazpi; PCG Special Operations Group; ICRM Legazpi; CLGU, **Partners_private** changed from Pacific Blue Dive Shop to Sea Hunters Group; Rotary Club of Legazpi; JCI Legazpi City; SM City Legazpi; AFPSLAI, **Reference** changed from cbartazo (2015, June 28). Deeper in Albay (Part II). Life in the Great Beyond. https://cbartazo.com/tag/diving-in-bicol/ to DZGBNewsOnline (2024, Oct. 14). The Naval Forces Southern Luzon (NFSL) has officially launched the 3rd Phase of its Artificial Reef Laying and Coral Restoration [Status Update]. https://www.facebook.com/photo.php?fbid=1006552911501040&amp;id=100064390224437&amp;set=a.600940552062280&amp;_rdc=2&amp;_rdr, **Website** changed from https://cbartazo.com/tag/diving-in-bicol/ to https://www.facebook.com/photo.php?fbid=1006552911501040&amp;id=100064390224437&amp;set=a.600940552062280&amp;_rdc=2&amp;_rdr</v>
      </c>
      <c r="I372" s="158" t="s">
        <v>6854</v>
      </c>
      <c r="J372" s="158" t="s">
        <v>535</v>
      </c>
      <c r="K372" s="158" t="s">
        <v>893</v>
      </c>
      <c r="L372" s="158" t="s">
        <v>6851</v>
      </c>
      <c r="M372" s="164" t="s">
        <v>1876</v>
      </c>
      <c r="N372" s="158" t="s">
        <v>151</v>
      </c>
      <c r="O372" s="158" t="s">
        <v>1877</v>
      </c>
      <c r="P372" s="158" t="s">
        <v>1878</v>
      </c>
      <c r="Q372" s="178">
        <v>2023.0</v>
      </c>
      <c r="R372" s="160" t="s">
        <v>18</v>
      </c>
      <c r="S372" s="160" t="s">
        <v>16</v>
      </c>
      <c r="T372" s="161" t="s">
        <v>150</v>
      </c>
      <c r="U372" s="158">
        <f>IFERROR(__xludf.DUMMYFUNCTION("""COMPUTED_VALUE"""),354.0)</f>
        <v>354</v>
      </c>
      <c r="V372" s="162" t="s">
        <v>3311</v>
      </c>
      <c r="W372" s="184" t="s">
        <v>6032</v>
      </c>
      <c r="X372" s="28" t="s">
        <v>6033</v>
      </c>
      <c r="Y372" s="32" t="s">
        <v>6589</v>
      </c>
      <c r="Z372" s="158" t="s">
        <v>1880</v>
      </c>
      <c r="AA372" s="158" t="s">
        <v>1880</v>
      </c>
      <c r="AB372" s="158" t="s">
        <v>1881</v>
      </c>
      <c r="AC372" s="158" t="s">
        <v>1882</v>
      </c>
      <c r="AD372" s="158" t="s">
        <v>160</v>
      </c>
      <c r="AE372" s="158" t="s">
        <v>6035</v>
      </c>
      <c r="AF372" s="158" t="s">
        <v>159</v>
      </c>
      <c r="AG372" s="164" t="s">
        <v>149</v>
      </c>
      <c r="AH372" s="158" t="s">
        <v>149</v>
      </c>
      <c r="AI372" s="158" t="s">
        <v>1883</v>
      </c>
      <c r="AJ372" s="158" t="s">
        <v>1884</v>
      </c>
      <c r="AK372" s="158" t="s">
        <v>6035</v>
      </c>
      <c r="AL372" s="158" t="s">
        <v>1885</v>
      </c>
      <c r="AM372" s="158" t="s">
        <v>1886</v>
      </c>
      <c r="AN372" s="176" t="s">
        <v>149</v>
      </c>
      <c r="AO372" s="156">
        <v>1.0</v>
      </c>
      <c r="AP372" s="156" t="s">
        <v>6037</v>
      </c>
      <c r="AQ372" s="158" t="s">
        <v>6038</v>
      </c>
      <c r="AR372" s="158" t="s">
        <v>6855</v>
      </c>
      <c r="AS372" s="172" t="s">
        <v>1888</v>
      </c>
      <c r="AT372" s="176" t="s">
        <v>149</v>
      </c>
      <c r="AU372" s="154" t="s">
        <v>149</v>
      </c>
    </row>
    <row r="373">
      <c r="A373" s="186">
        <v>186.0</v>
      </c>
      <c r="B373" s="152">
        <v>2023.0</v>
      </c>
      <c r="D373" s="152"/>
      <c r="E373" s="151">
        <v>186.0</v>
      </c>
      <c r="F373" s="129" t="s">
        <v>140</v>
      </c>
      <c r="G373" s="3" t="s">
        <v>6029</v>
      </c>
      <c r="H373" s="8" t="str">
        <f>IFERROR(__xludf.DUMMYFUNCTION("""COMPUTED_VALUE"""),"")</f>
        <v/>
      </c>
      <c r="I373" s="8" t="s">
        <v>6856</v>
      </c>
      <c r="J373" s="8" t="s">
        <v>522</v>
      </c>
      <c r="K373" s="8" t="s">
        <v>529</v>
      </c>
      <c r="L373" s="8" t="s">
        <v>530</v>
      </c>
      <c r="M373" s="153" t="s">
        <v>531</v>
      </c>
      <c r="N373" s="8" t="s">
        <v>151</v>
      </c>
      <c r="O373" s="8" t="s">
        <v>384</v>
      </c>
      <c r="P373" s="8" t="s">
        <v>532</v>
      </c>
      <c r="Q373" s="142" t="s">
        <v>6052</v>
      </c>
      <c r="R373" s="142" t="s">
        <v>6052</v>
      </c>
      <c r="S373" s="142" t="s">
        <v>6053</v>
      </c>
      <c r="T373" s="8"/>
      <c r="U373" s="8">
        <f>IFERROR(__xludf.DUMMYFUNCTION("""COMPUTED_VALUE"""),355.0)</f>
        <v>355</v>
      </c>
      <c r="V373" s="8"/>
      <c r="W373" s="8"/>
      <c r="X373" s="8"/>
      <c r="Y373" s="8"/>
      <c r="AA373" s="8" t="s">
        <v>469</v>
      </c>
      <c r="AB373" s="154" t="s">
        <v>149</v>
      </c>
      <c r="AC373" s="8" t="s">
        <v>390</v>
      </c>
      <c r="AG373" s="154" t="s">
        <v>149</v>
      </c>
      <c r="AH373" s="154" t="s">
        <v>149</v>
      </c>
      <c r="AI373" s="8" t="s">
        <v>533</v>
      </c>
      <c r="AJ373" s="8" t="s">
        <v>390</v>
      </c>
      <c r="AL373" s="8" t="s">
        <v>6055</v>
      </c>
      <c r="AM373" s="154" t="s">
        <v>149</v>
      </c>
      <c r="AN373" s="154" t="s">
        <v>149</v>
      </c>
      <c r="AO373" s="8"/>
      <c r="AP373" s="8"/>
      <c r="AR373" s="8" t="s">
        <v>6057</v>
      </c>
      <c r="AS373" s="8" t="s">
        <v>2873</v>
      </c>
      <c r="AT373" s="8" t="s">
        <v>398</v>
      </c>
      <c r="AU373" s="154" t="s">
        <v>149</v>
      </c>
    </row>
    <row r="374">
      <c r="A374" s="186">
        <v>187.0</v>
      </c>
      <c r="B374" s="152">
        <v>2025.0</v>
      </c>
      <c r="C374" s="153" t="str">
        <f>CONCATENATE(D374, "-", M374, "-", A374)
</f>
        <v>2023-PH050510000-187</v>
      </c>
      <c r="D374" s="152">
        <f>IF(OR(F373="Published", F373="Unpublished"), 2023, IF(F373="New", 2025, ""))
</f>
        <v>2023</v>
      </c>
      <c r="E374" s="151">
        <v>187.0</v>
      </c>
      <c r="F374" s="156" t="s">
        <v>191</v>
      </c>
      <c r="G374" s="156" t="s">
        <v>191</v>
      </c>
      <c r="H374" s="153" t="str">
        <f>IFERROR(__xludf.DUMMYFUNCTION("""COMPUTED_VALUE"""),"**Region** changed from IV-B to V, **Restoration_project** changed from Artificial Reef Development Program to Unknown, **Restoration_project_short** changed from Site in Canduyong to 2 deployments in the same site (2018, 2013), **Year of establishment** "&amp;"changed from 1985 to 2018, **Project Start** changed from 1985 to 2018, **Project End** changed from 1987 to Unknown, **Technique/Material Type** changed from tires; bamboo to Concrete cubic, **Restoration objective** changed from Unknown to Fish refuge a"&amp;"nd breeding, **Funding agency** changed from BFAR to BFAR Region 5, **Total units** changed from 13 TM; 1 BM to 30 units, **Partners_public** changed from Ministry of Human Settlements to MLGU, **Reference** changed from Conference Proceediing to Buitizon"&amp;", N. (2024, March 19). Artificial Reefs. One of the successful Artificial Reef (AR) was deployed in the coastal water of Malinao, Albay [Status Update]., **Website** changed from http://pubs.iclarm.net/libinfo/Pdf/Pub%20CP6%2049.pdf to https://web.faceboo"&amp;"k.com/photo/?fbid=25137872482494016&amp;set=pcb.25137873715827226, **Contact_name** changed from Miriam Balgos to Unknown")</f>
        <v>**Region** changed from IV-B to V, **Restoration_project** changed from Artificial Reef Development Program to Unknown, **Restoration_project_short** changed from Site in Canduyong to 2 deployments in the same site (2018, 2013), **Year of establishment** changed from 1985 to 2018, **Project Start** changed from 1985 to 2018, **Project End** changed from 1987 to Unknown, **Technique/Material Type** changed from tires; bamboo to Concrete cubic, **Restoration objective** changed from Unknown to Fish refuge and breeding, **Funding agency** changed from BFAR to BFAR Region 5, **Total units** changed from 13 TM; 1 BM to 30 units, **Partners_public** changed from Ministry of Human Settlements to MLGU, **Reference** changed from Conference Proceediing to Buitizon, N. (2024, March 19). Artificial Reefs. One of the successful Artificial Reef (AR) was deployed in the coastal water of Malinao, Albay [Status Update]., **Website** changed from http://pubs.iclarm.net/libinfo/Pdf/Pub%20CP6%2049.pdf to https://web.facebook.com/photo/?fbid=25137872482494016&amp;set=pcb.25137873715827226, **Contact_name** changed from Miriam Balgos to Unknown</v>
      </c>
      <c r="I374" s="153" t="s">
        <v>6857</v>
      </c>
      <c r="J374" s="153" t="s">
        <v>535</v>
      </c>
      <c r="K374" s="153" t="s">
        <v>893</v>
      </c>
      <c r="L374" s="153" t="s">
        <v>2450</v>
      </c>
      <c r="M374" s="181" t="s">
        <v>2451</v>
      </c>
      <c r="N374" s="153" t="s">
        <v>151</v>
      </c>
      <c r="O374" s="158" t="s">
        <v>149</v>
      </c>
      <c r="P374" s="153" t="s">
        <v>6858</v>
      </c>
      <c r="Q374" s="169">
        <v>2018.0</v>
      </c>
      <c r="R374" s="160" t="s">
        <v>6098</v>
      </c>
      <c r="S374" s="160" t="s">
        <v>149</v>
      </c>
      <c r="T374" s="161" t="s">
        <v>150</v>
      </c>
      <c r="U374" s="153">
        <f>IFERROR(__xludf.DUMMYFUNCTION("""COMPUTED_VALUE"""),356.0)</f>
        <v>356</v>
      </c>
      <c r="V374" s="162" t="s">
        <v>3311</v>
      </c>
      <c r="W374" s="184" t="s">
        <v>6032</v>
      </c>
      <c r="X374" s="28" t="s">
        <v>6173</v>
      </c>
      <c r="Y374" s="32" t="s">
        <v>2467</v>
      </c>
      <c r="Z374" s="158" t="s">
        <v>911</v>
      </c>
      <c r="AA374" s="153" t="s">
        <v>911</v>
      </c>
      <c r="AB374" s="153" t="s">
        <v>2452</v>
      </c>
      <c r="AC374" s="153" t="s">
        <v>6859</v>
      </c>
      <c r="AD374" s="158" t="s">
        <v>160</v>
      </c>
      <c r="AE374" s="158" t="s">
        <v>6035</v>
      </c>
      <c r="AF374" s="158" t="s">
        <v>159</v>
      </c>
      <c r="AG374" s="164" t="s">
        <v>149</v>
      </c>
      <c r="AH374" s="158" t="s">
        <v>149</v>
      </c>
      <c r="AI374" s="153" t="s">
        <v>782</v>
      </c>
      <c r="AJ374" s="153" t="s">
        <v>390</v>
      </c>
      <c r="AK374" s="153" t="s">
        <v>6035</v>
      </c>
      <c r="AL374" s="153" t="s">
        <v>369</v>
      </c>
      <c r="AM374" s="156" t="s">
        <v>149</v>
      </c>
      <c r="AN374" s="156" t="s">
        <v>149</v>
      </c>
      <c r="AO374" s="156">
        <v>1.0</v>
      </c>
      <c r="AP374" s="156" t="s">
        <v>6037</v>
      </c>
      <c r="AQ374" s="153" t="s">
        <v>6038</v>
      </c>
      <c r="AR374" s="153" t="s">
        <v>2454</v>
      </c>
      <c r="AS374" s="172" t="s">
        <v>2455</v>
      </c>
      <c r="AT374" s="156" t="s">
        <v>149</v>
      </c>
      <c r="AU374" s="154" t="s">
        <v>149</v>
      </c>
    </row>
    <row r="375">
      <c r="A375" s="186">
        <v>187.0</v>
      </c>
      <c r="B375" s="152">
        <v>2023.0</v>
      </c>
      <c r="D375" s="152"/>
      <c r="E375" s="151">
        <v>187.0</v>
      </c>
      <c r="F375" s="129" t="s">
        <v>140</v>
      </c>
      <c r="G375" s="3" t="s">
        <v>6029</v>
      </c>
      <c r="H375" s="8" t="str">
        <f>IFERROR(__xludf.DUMMYFUNCTION("""COMPUTED_VALUE"""),"")</f>
        <v/>
      </c>
      <c r="I375" s="8" t="s">
        <v>6860</v>
      </c>
      <c r="J375" s="8" t="s">
        <v>535</v>
      </c>
      <c r="K375" s="8" t="s">
        <v>893</v>
      </c>
      <c r="L375" s="8" t="s">
        <v>1622</v>
      </c>
      <c r="M375" s="153" t="s">
        <v>1623</v>
      </c>
      <c r="N375" s="8" t="s">
        <v>6062</v>
      </c>
      <c r="O375" s="154" t="s">
        <v>149</v>
      </c>
      <c r="P375" s="154" t="s">
        <v>149</v>
      </c>
      <c r="Q375" s="142" t="s">
        <v>6145</v>
      </c>
      <c r="R375" s="154" t="s">
        <v>149</v>
      </c>
      <c r="S375" s="154" t="s">
        <v>149</v>
      </c>
      <c r="T375" s="8"/>
      <c r="U375" s="8">
        <f>IFERROR(__xludf.DUMMYFUNCTION("""COMPUTED_VALUE"""),357.0)</f>
        <v>357</v>
      </c>
      <c r="V375" s="8"/>
      <c r="W375" s="8"/>
      <c r="X375" s="8"/>
      <c r="Y375" s="8"/>
      <c r="AA375" s="8" t="s">
        <v>320</v>
      </c>
      <c r="AB375" s="8" t="s">
        <v>6861</v>
      </c>
      <c r="AC375" s="8" t="s">
        <v>1627</v>
      </c>
      <c r="AG375" s="154" t="s">
        <v>149</v>
      </c>
      <c r="AH375" s="154" t="s">
        <v>149</v>
      </c>
      <c r="AI375" s="154" t="s">
        <v>149</v>
      </c>
      <c r="AJ375" s="8" t="s">
        <v>1627</v>
      </c>
      <c r="AL375" s="154" t="s">
        <v>149</v>
      </c>
      <c r="AM375" s="154" t="s">
        <v>149</v>
      </c>
      <c r="AN375" s="154" t="s">
        <v>149</v>
      </c>
      <c r="AO375" s="8"/>
      <c r="AP375" s="8"/>
      <c r="AR375" s="8" t="s">
        <v>166</v>
      </c>
      <c r="AS375" s="8" t="s">
        <v>1631</v>
      </c>
      <c r="AT375" s="154" t="s">
        <v>149</v>
      </c>
      <c r="AU375" s="154" t="s">
        <v>149</v>
      </c>
    </row>
    <row r="376">
      <c r="A376" s="186">
        <v>188.0</v>
      </c>
      <c r="B376" s="152">
        <v>2023.0</v>
      </c>
      <c r="D376" s="152"/>
      <c r="E376" s="151">
        <v>188.0</v>
      </c>
      <c r="F376" s="129" t="s">
        <v>140</v>
      </c>
      <c r="G376" s="3" t="s">
        <v>6029</v>
      </c>
      <c r="H376" s="8" t="str">
        <f>IFERROR(__xludf.DUMMYFUNCTION("""COMPUTED_VALUE"""),"")</f>
        <v/>
      </c>
      <c r="I376" s="8" t="s">
        <v>6862</v>
      </c>
      <c r="J376" s="8" t="s">
        <v>535</v>
      </c>
      <c r="K376" s="8" t="s">
        <v>893</v>
      </c>
      <c r="L376" s="153" t="s">
        <v>6851</v>
      </c>
      <c r="M376" s="153" t="s">
        <v>1876</v>
      </c>
      <c r="N376" s="8" t="s">
        <v>6062</v>
      </c>
      <c r="O376" s="154" t="s">
        <v>149</v>
      </c>
      <c r="P376" s="154" t="s">
        <v>149</v>
      </c>
      <c r="Q376" s="154" t="s">
        <v>149</v>
      </c>
      <c r="R376" s="154" t="s">
        <v>149</v>
      </c>
      <c r="S376" s="154" t="s">
        <v>149</v>
      </c>
      <c r="T376" s="8"/>
      <c r="U376" s="8">
        <f>IFERROR(__xludf.DUMMYFUNCTION("""COMPUTED_VALUE"""),358.0)</f>
        <v>358</v>
      </c>
      <c r="V376" s="8"/>
      <c r="W376" s="8"/>
      <c r="X376" s="8"/>
      <c r="Y376" s="8"/>
      <c r="AA376" s="8" t="s">
        <v>320</v>
      </c>
      <c r="AB376" s="8" t="s">
        <v>6863</v>
      </c>
      <c r="AC376" s="8" t="s">
        <v>369</v>
      </c>
      <c r="AG376" s="154" t="s">
        <v>149</v>
      </c>
      <c r="AH376" s="154" t="s">
        <v>149</v>
      </c>
      <c r="AI376" s="154" t="s">
        <v>149</v>
      </c>
      <c r="AJ376" s="8" t="s">
        <v>369</v>
      </c>
      <c r="AL376" s="154" t="s">
        <v>149</v>
      </c>
      <c r="AM376" s="154" t="s">
        <v>149</v>
      </c>
      <c r="AN376" s="154" t="s">
        <v>149</v>
      </c>
      <c r="AO376" s="8"/>
      <c r="AP376" s="8"/>
      <c r="AR376" s="154" t="s">
        <v>149</v>
      </c>
      <c r="AS376" s="154" t="s">
        <v>149</v>
      </c>
      <c r="AT376" s="154" t="s">
        <v>149</v>
      </c>
      <c r="AU376" s="154" t="s">
        <v>149</v>
      </c>
    </row>
    <row r="377">
      <c r="A377" s="186">
        <v>188.0</v>
      </c>
      <c r="B377" s="152">
        <v>2025.0</v>
      </c>
      <c r="C377" s="153" t="str">
        <f>CONCATENATE(D377, "-", M377, "-", A377)
</f>
        <v>2023-PH050513000-188</v>
      </c>
      <c r="D377" s="152">
        <f>IF(OR(F376="Published", F376="Unpublished"), 2023, IF(F376="New", 2025, ""))
</f>
        <v>2023</v>
      </c>
      <c r="E377" s="151">
        <v>188.0</v>
      </c>
      <c r="F377" s="129" t="s">
        <v>140</v>
      </c>
      <c r="G377" s="156" t="s">
        <v>141</v>
      </c>
      <c r="H377" s="153" t="str">
        <f>IFERROR(__xludf.DUMMYFUNCTION("""COMPUTED_VALUE"""),"**Technique/Material Type** changed from CNU to Iron bar dome CNU; coral transplantation, **Restoration objective** changed from Tourist attraction to Tourism and educational purposes, **Reference** changed from Unknown to Mendoza, A. B., Nieves, P., &amp; Ku"&amp;"bota, S. (n.d.). Reef Coral Restoration Program in the Bicol Region, Philippines. https://kochi.repo.nii.ac.jp/?action=repository_action_common_download&amp;item_id=8640&amp;item_no=1&amp;attribute_id=17&amp;file_no=1, **Website** changed from Unknown to https://kochi.re"&amp;"po.nii.ac.jp/?action=repository_action_common_download&amp;item_id=8640&amp;item_no=1&amp;attribute_id=17&amp;file_no=1, **Contact_name** changed from Unknown to Antonino B. Mendoza")</f>
        <v>**Technique/Material Type** changed from CNU to Iron bar dome CNU; coral transplantation, **Restoration objective** changed from Tourist attraction to Tourism and educational purposes, **Reference** changed from Unknown to Mendoza, A. B., Nieves, P., &amp; Kubota, S. (n.d.). Reef Coral Restoration Program in the Bicol Region, Philippines. https://kochi.repo.nii.ac.jp/?action=repository_action_common_download&amp;item_id=8640&amp;item_no=1&amp;attribute_id=17&amp;file_no=1, **Website** changed from Unknown to https://kochi.repo.nii.ac.jp/?action=repository_action_common_download&amp;item_id=8640&amp;item_no=1&amp;attribute_id=17&amp;file_no=1, **Contact_name** changed from Unknown to Antonino B. Mendoza</v>
      </c>
      <c r="I377" s="153" t="s">
        <v>6864</v>
      </c>
      <c r="J377" s="153" t="s">
        <v>535</v>
      </c>
      <c r="K377" s="153" t="s">
        <v>893</v>
      </c>
      <c r="L377" s="153" t="s">
        <v>2797</v>
      </c>
      <c r="M377" s="181" t="s">
        <v>2798</v>
      </c>
      <c r="N377" s="153" t="s">
        <v>6062</v>
      </c>
      <c r="O377" s="158" t="s">
        <v>149</v>
      </c>
      <c r="P377" s="154" t="s">
        <v>149</v>
      </c>
      <c r="Q377" s="178" t="s">
        <v>149</v>
      </c>
      <c r="R377" s="160" t="s">
        <v>149</v>
      </c>
      <c r="S377" s="160" t="s">
        <v>149</v>
      </c>
      <c r="T377" s="156" t="s">
        <v>177</v>
      </c>
      <c r="U377" s="153">
        <f>IFERROR(__xludf.DUMMYFUNCTION("""COMPUTED_VALUE"""),359.0)</f>
        <v>359</v>
      </c>
      <c r="V377" s="191" t="s">
        <v>1359</v>
      </c>
      <c r="W377" s="179" t="s">
        <v>6066</v>
      </c>
      <c r="X377" s="180"/>
      <c r="Y377" s="180" t="s">
        <v>154</v>
      </c>
      <c r="Z377" s="158" t="s">
        <v>179</v>
      </c>
      <c r="AA377" s="153" t="s">
        <v>6865</v>
      </c>
      <c r="AB377" s="158" t="s">
        <v>6866</v>
      </c>
      <c r="AC377" s="158" t="s">
        <v>369</v>
      </c>
      <c r="AD377" s="158" t="s">
        <v>160</v>
      </c>
      <c r="AE377" s="158" t="s">
        <v>6035</v>
      </c>
      <c r="AF377" s="158" t="s">
        <v>159</v>
      </c>
      <c r="AG377" s="164" t="s">
        <v>149</v>
      </c>
      <c r="AH377" s="158" t="s">
        <v>149</v>
      </c>
      <c r="AI377" s="158" t="s">
        <v>149</v>
      </c>
      <c r="AJ377" s="158" t="s">
        <v>369</v>
      </c>
      <c r="AK377" s="158" t="s">
        <v>6035</v>
      </c>
      <c r="AL377" s="154" t="s">
        <v>149</v>
      </c>
      <c r="AM377" s="154" t="s">
        <v>149</v>
      </c>
      <c r="AN377" s="154" t="s">
        <v>149</v>
      </c>
      <c r="AO377" s="156">
        <v>1.0</v>
      </c>
      <c r="AP377" s="156" t="s">
        <v>6037</v>
      </c>
      <c r="AQ377" s="158" t="s">
        <v>1159</v>
      </c>
      <c r="AR377" s="153" t="s">
        <v>1160</v>
      </c>
      <c r="AS377" s="172" t="s">
        <v>1161</v>
      </c>
      <c r="AT377" s="153" t="s">
        <v>2803</v>
      </c>
      <c r="AU377" s="154" t="s">
        <v>149</v>
      </c>
    </row>
    <row r="378">
      <c r="A378" s="186">
        <v>189.0</v>
      </c>
      <c r="B378" s="152">
        <v>2023.0</v>
      </c>
      <c r="D378" s="152"/>
      <c r="E378" s="151">
        <v>189.0</v>
      </c>
      <c r="F378" s="129" t="s">
        <v>140</v>
      </c>
      <c r="G378" s="3" t="s">
        <v>6029</v>
      </c>
      <c r="H378" s="8" t="str">
        <f>IFERROR(__xludf.DUMMYFUNCTION("""COMPUTED_VALUE"""),"")</f>
        <v/>
      </c>
      <c r="I378" s="8" t="s">
        <v>6867</v>
      </c>
      <c r="J378" s="8" t="s">
        <v>535</v>
      </c>
      <c r="K378" s="8" t="s">
        <v>893</v>
      </c>
      <c r="L378" s="8" t="s">
        <v>2797</v>
      </c>
      <c r="M378" s="153" t="s">
        <v>2798</v>
      </c>
      <c r="N378" s="8" t="s">
        <v>6062</v>
      </c>
      <c r="O378" s="154" t="s">
        <v>149</v>
      </c>
      <c r="P378" s="154" t="s">
        <v>149</v>
      </c>
      <c r="Q378" s="154" t="s">
        <v>149</v>
      </c>
      <c r="R378" s="154" t="s">
        <v>149</v>
      </c>
      <c r="S378" s="154" t="s">
        <v>149</v>
      </c>
      <c r="T378" s="8"/>
      <c r="U378" s="8">
        <f>IFERROR(__xludf.DUMMYFUNCTION("""COMPUTED_VALUE"""),360.0)</f>
        <v>360</v>
      </c>
      <c r="V378" s="8"/>
      <c r="W378" s="8"/>
      <c r="X378" s="8"/>
      <c r="Y378" s="8"/>
      <c r="AA378" s="8" t="s">
        <v>6868</v>
      </c>
      <c r="AB378" s="8" t="s">
        <v>699</v>
      </c>
      <c r="AC378" s="8" t="s">
        <v>6869</v>
      </c>
      <c r="AG378" s="154" t="s">
        <v>149</v>
      </c>
      <c r="AH378" s="154" t="s">
        <v>149</v>
      </c>
      <c r="AI378" s="154" t="s">
        <v>149</v>
      </c>
      <c r="AJ378" s="8" t="s">
        <v>1158</v>
      </c>
      <c r="AL378" s="154" t="s">
        <v>149</v>
      </c>
      <c r="AM378" s="154" t="s">
        <v>149</v>
      </c>
      <c r="AN378" s="154" t="s">
        <v>149</v>
      </c>
      <c r="AO378" s="8"/>
      <c r="AP378" s="8"/>
      <c r="AR378" s="8" t="s">
        <v>1159</v>
      </c>
      <c r="AS378" s="8" t="s">
        <v>1161</v>
      </c>
      <c r="AT378" s="8" t="s">
        <v>2803</v>
      </c>
      <c r="AU378" s="154" t="s">
        <v>149</v>
      </c>
    </row>
    <row r="379">
      <c r="A379" s="186">
        <v>189.0</v>
      </c>
      <c r="B379" s="152">
        <v>2025.0</v>
      </c>
      <c r="C379" s="153" t="str">
        <f t="shared" ref="C379:C380" si="35">CONCATENATE(D379, "-", M379, "-", A379)
</f>
        <v>2023-PH050516000-189</v>
      </c>
      <c r="D379" s="152">
        <f t="shared" ref="D379:D380" si="36">IF(OR(F378="Published", F378="Unpublished"), 2023, IF(F378="New", 2025, ""))
</f>
        <v>2023</v>
      </c>
      <c r="E379" s="151">
        <v>189.0</v>
      </c>
      <c r="F379" s="129" t="s">
        <v>140</v>
      </c>
      <c r="G379" s="156" t="s">
        <v>141</v>
      </c>
      <c r="H379" s="153" t="str">
        <f>IFERROR(__xludf.DUMMYFUNCTION("""COMPUTED_VALUE"""),"**Restoration_project** changed from Unknown to Artificial Reef Development Program, **Restoration_project_short** changed from Unknown to Site in Alimsog, **Year of establishment** changed from Unknown to 1983, **Project Start** changed from Unknown to 1"&amp;"985, **Project End** changed from Unknown to 1987, **Restoration method** changed from Asexual Reproduction to Artificial Reef, **Technique/Material Type** changed from Coral planting; CNU to tires; bamboo, **Restoration objective** changed from Experimen"&amp;"tal to Unknown, **Funding agency** changed from Bicol University - Tabaco Campu to BFAR, **Total units** changed from Unknown to 4 TM; 4 BM, **Implementing institution** changed from Bicol University - Tabaco Campus to BFAR, **Partners_public** changed fr"&amp;"om Unknown to Ministry of Human Settlements, **Reference** changed from Unpublished article to Balgos, M.C. (1995). Evaluation of artificial reef development in the Philippines. In Munro, J.L. &amp; Balgos, M. (eds.) Artificial reefs in the Philippines. ICLAR"&amp;"M Conf. Proc. 49, pp. 6-22., **Website** changed from https://kochi.repo.nii.ac.jp/?action=repository_action_common_download&amp;item_id=8640&amp;item_no=1&amp;attribute_id=17&amp;file_no=1 to https://core.ac.uk/download/pdf/6515223.pdf; https://www.ircwash.org/sites/def"&amp;"ault/files/802-PH90-8920.pdf, **Contact_name** changed from Antonino B. Mendoza to Miriam Balgos")</f>
        <v>**Restoration_project** changed from Unknown to Artificial Reef Development Program, **Restoration_project_short** changed from Unknown to Site in Alimsog, **Year of establishment** changed from Unknown to 1983, **Project Start** changed from Unknown to 1985, **Project End** changed from Unknown to 1987, **Restoration method** changed from Asexual Reproduction to Artificial Reef, **Technique/Material Type** changed from Coral planting; CNU to tires; bamboo, **Restoration objective** changed from Experimental to Unknown, **Funding agency** changed from Bicol University - Tabaco Campu to BFAR, **Total units** changed from Unknown to 4 TM; 4 BM, **Implementing institution** changed from Bicol University - Tabaco Campus to BFAR, **Partners_public** changed from Unknown to Ministry of Human Settlements, **Reference** changed from Unpublished article to Balgos, M.C. (1995). Evaluation of artificial reef development in the Philippines. In Munro, J.L. &amp; Balgos, M. (eds.) Artificial reefs in the Philippines. ICLARM Conf. Proc. 49, pp. 6-22., **Website** changed from https://kochi.repo.nii.ac.jp/?action=repository_action_common_download&amp;item_id=8640&amp;item_no=1&amp;attribute_id=17&amp;file_no=1 to https://core.ac.uk/download/pdf/6515223.pdf; https://www.ircwash.org/sites/default/files/802-PH90-8920.pdf, **Contact_name** changed from Antonino B. Mendoza to Miriam Balgos</v>
      </c>
      <c r="I379" s="153" t="s">
        <v>6870</v>
      </c>
      <c r="J379" s="153" t="s">
        <v>535</v>
      </c>
      <c r="K379" s="153" t="s">
        <v>893</v>
      </c>
      <c r="L379" s="153" t="s">
        <v>894</v>
      </c>
      <c r="M379" s="181" t="s">
        <v>895</v>
      </c>
      <c r="N379" s="153" t="s">
        <v>151</v>
      </c>
      <c r="O379" s="153" t="s">
        <v>384</v>
      </c>
      <c r="P379" s="153" t="s">
        <v>2868</v>
      </c>
      <c r="Q379" s="169">
        <v>1983.0</v>
      </c>
      <c r="R379" s="175" t="s">
        <v>6052</v>
      </c>
      <c r="S379" s="175" t="s">
        <v>6053</v>
      </c>
      <c r="T379" s="161" t="s">
        <v>150</v>
      </c>
      <c r="U379" s="153">
        <f>IFERROR(__xludf.DUMMYFUNCTION("""COMPUTED_VALUE"""),361.0)</f>
        <v>361</v>
      </c>
      <c r="V379" s="162" t="s">
        <v>3311</v>
      </c>
      <c r="W379" s="179" t="s">
        <v>6081</v>
      </c>
      <c r="X379" s="28" t="s">
        <v>6082</v>
      </c>
      <c r="Y379" s="32" t="s">
        <v>468</v>
      </c>
      <c r="Z379" s="158" t="s">
        <v>469</v>
      </c>
      <c r="AA379" s="153" t="s">
        <v>469</v>
      </c>
      <c r="AB379" s="158" t="s">
        <v>149</v>
      </c>
      <c r="AC379" s="153" t="s">
        <v>390</v>
      </c>
      <c r="AD379" s="158" t="s">
        <v>160</v>
      </c>
      <c r="AE379" s="158" t="s">
        <v>6035</v>
      </c>
      <c r="AF379" s="158" t="s">
        <v>159</v>
      </c>
      <c r="AG379" s="164" t="s">
        <v>149</v>
      </c>
      <c r="AH379" s="158" t="s">
        <v>149</v>
      </c>
      <c r="AI379" s="153" t="s">
        <v>2870</v>
      </c>
      <c r="AJ379" s="153" t="s">
        <v>390</v>
      </c>
      <c r="AK379" s="153" t="s">
        <v>6035</v>
      </c>
      <c r="AL379" s="153" t="s">
        <v>6055</v>
      </c>
      <c r="AM379" s="154" t="s">
        <v>149</v>
      </c>
      <c r="AN379" s="154" t="s">
        <v>149</v>
      </c>
      <c r="AO379" s="156">
        <v>1.0</v>
      </c>
      <c r="AP379" s="156" t="s">
        <v>6037</v>
      </c>
      <c r="AQ379" s="158" t="s">
        <v>395</v>
      </c>
      <c r="AR379" s="153" t="s">
        <v>6060</v>
      </c>
      <c r="AS379" s="158" t="s">
        <v>397</v>
      </c>
      <c r="AT379" s="153" t="s">
        <v>398</v>
      </c>
      <c r="AU379" s="154" t="s">
        <v>149</v>
      </c>
    </row>
    <row r="380">
      <c r="A380" s="186">
        <v>190.0</v>
      </c>
      <c r="B380" s="152">
        <v>2025.0</v>
      </c>
      <c r="C380" s="153" t="str">
        <f t="shared" si="35"/>
        <v>2023-PH050516000-190</v>
      </c>
      <c r="D380" s="152">
        <f t="shared" si="36"/>
        <v>2023</v>
      </c>
      <c r="E380" s="151">
        <v>190.0</v>
      </c>
      <c r="F380" s="156" t="s">
        <v>191</v>
      </c>
      <c r="G380" s="156" t="s">
        <v>191</v>
      </c>
      <c r="H380" s="153" t="str">
        <f>IFERROR(__xludf.DUMMYFUNCTION("""COMPUTED_VALUE"""),"**Restoration_project** changed from Artificial Reef Development Program to Coral Genesis Project, **Restoration_project_short** changed from Site in Alimsog to Sites in Brgy San Vicente and Brgy Pandayan; The coral beads were implanted with 56 microsolar"&amp;" panels at the concrete structure, wires, lead conductor and glass jar, **Year of establishment** changed from 1983 to 2013, **Project Start** changed from 1985 to Unknown, **Project End** changed from 1987 to Unknown, **Restoration method** changed from "&amp;"Artificial Reef to Artificial Reef; Mineral accretion, **Technique/Material Type** changed from tires; bamboo to Concrete; micro solar panel implants, **Restoration objective** changed from Unknown to Coral reef propagation and restoration; tourist attrac"&amp;"tion, **Funding agency** changed from BFAR to JCI Legazpi, **Total area of restoration** changed from Unknown to 65m long, **Total units** changed from 4 TM; 4 BM to Unknown, **Implementing institution** changed from BFAR to JCI Legazpi, **Partners_public"&amp;"** changed from Ministry of Human Settlements to Philippine Navy, PCG, **Partners_private** changed from Unknown to Bicol SCUBA Divers Foundation, **Reference** changed from Balgos, M.C. (1995). Evaluation of artificial reef development in the Philippines"&amp;". In Munro, J.L. &amp; Balgos, M. (eds.) Artificial reefs in the Philippines. ICLARM Conf. Proc. 49, pp. 6-22. to Arguelles, M. (2013, August 7). Helping coral reefs with beads of faith. Philippine Daily Inquirer. https://newsinfo.inquirer.net/460845/helping-"&amp;"coral-reefs-with-beads-of-faith#ixzz5IKRlKWsE, **Website** changed from https://core.ac.uk/download/pdf/6515223.pdf; https://www.ircwash.org/sites/default/files/802-PH90-8920.pdf to https://newsinfo.inquirer.net/460845/helping-coral-reefs-with-beads-of-fa"&amp;"ith#ixzz5IKRlKWsE, **Contact_name** changed from Miriam Balgos to Unknown")</f>
        <v>**Restoration_project** changed from Artificial Reef Development Program to Coral Genesis Project, **Restoration_project_short** changed from Site in Alimsog to Sites in Brgy San Vicente and Brgy Pandayan; The coral beads were implanted with 56 microsolar panels at the concrete structure, wires, lead conductor and glass jar, **Year of establishment** changed from 1983 to 2013, **Project Start** changed from 1985 to Unknown, **Project End** changed from 1987 to Unknown, **Restoration method** changed from Artificial Reef to Artificial Reef; Mineral accretion, **Technique/Material Type** changed from tires; bamboo to Concrete; micro solar panel implants, **Restoration objective** changed from Unknown to Coral reef propagation and restoration; tourist attraction, **Funding agency** changed from BFAR to JCI Legazpi, **Total area of restoration** changed from Unknown to 65m long, **Total units** changed from 4 TM; 4 BM to Unknown, **Implementing institution** changed from BFAR to JCI Legazpi, **Partners_public** changed from Ministry of Human Settlements to Philippine Navy, PCG, **Partners_private** changed from Unknown to Bicol SCUBA Divers Foundation, **Reference** changed from Balgos, M.C. (1995). Evaluation of artificial reef development in the Philippines. In Munro, J.L. &amp; Balgos, M. (eds.) Artificial reefs in the Philippines. ICLARM Conf. Proc. 49, pp. 6-22. to Arguelles, M. (2013, August 7). Helping coral reefs with beads of faith. Philippine Daily Inquirer. https://newsinfo.inquirer.net/460845/helping-coral-reefs-with-beads-of-faith#ixzz5IKRlKWsE, **Website** changed from https://core.ac.uk/download/pdf/6515223.pdf; https://www.ircwash.org/sites/default/files/802-PH90-8920.pdf to https://newsinfo.inquirer.net/460845/helping-coral-reefs-with-beads-of-faith#ixzz5IKRlKWsE, **Contact_name** changed from Miriam Balgos to Unknown</v>
      </c>
      <c r="I380" s="153" t="s">
        <v>6871</v>
      </c>
      <c r="J380" s="153" t="s">
        <v>535</v>
      </c>
      <c r="K380" s="153" t="s">
        <v>893</v>
      </c>
      <c r="L380" s="153" t="s">
        <v>894</v>
      </c>
      <c r="M380" s="181" t="s">
        <v>895</v>
      </c>
      <c r="N380" s="153" t="s">
        <v>6872</v>
      </c>
      <c r="O380" s="153" t="s">
        <v>896</v>
      </c>
      <c r="P380" s="153" t="s">
        <v>6873</v>
      </c>
      <c r="Q380" s="169">
        <v>2013.0</v>
      </c>
      <c r="R380" s="164" t="s">
        <v>149</v>
      </c>
      <c r="S380" s="160" t="s">
        <v>149</v>
      </c>
      <c r="T380" s="161" t="s">
        <v>150</v>
      </c>
      <c r="U380" s="153">
        <f>IFERROR(__xludf.DUMMYFUNCTION("""COMPUTED_VALUE"""),362.0)</f>
        <v>362</v>
      </c>
      <c r="V380" s="162" t="s">
        <v>6874</v>
      </c>
      <c r="W380" s="184" t="s">
        <v>6875</v>
      </c>
      <c r="X380" s="28" t="s">
        <v>6173</v>
      </c>
      <c r="Y380" s="32" t="s">
        <v>6474</v>
      </c>
      <c r="Z380" s="158" t="s">
        <v>899</v>
      </c>
      <c r="AA380" s="158" t="s">
        <v>899</v>
      </c>
      <c r="AB380" s="153" t="s">
        <v>6876</v>
      </c>
      <c r="AC380" s="153" t="s">
        <v>901</v>
      </c>
      <c r="AD380" s="158" t="s">
        <v>160</v>
      </c>
      <c r="AE380" s="158" t="s">
        <v>271</v>
      </c>
      <c r="AF380" s="158" t="s">
        <v>159</v>
      </c>
      <c r="AG380" s="164" t="s">
        <v>149</v>
      </c>
      <c r="AH380" s="153" t="s">
        <v>902</v>
      </c>
      <c r="AI380" s="158" t="s">
        <v>149</v>
      </c>
      <c r="AJ380" s="153" t="s">
        <v>901</v>
      </c>
      <c r="AK380" s="153" t="s">
        <v>271</v>
      </c>
      <c r="AL380" s="153" t="s">
        <v>6877</v>
      </c>
      <c r="AM380" s="153" t="s">
        <v>904</v>
      </c>
      <c r="AN380" s="156" t="s">
        <v>149</v>
      </c>
      <c r="AO380" s="156">
        <v>1.0</v>
      </c>
      <c r="AP380" s="156" t="s">
        <v>6037</v>
      </c>
      <c r="AQ380" s="158" t="s">
        <v>166</v>
      </c>
      <c r="AR380" s="153" t="s">
        <v>905</v>
      </c>
      <c r="AS380" s="165" t="s">
        <v>906</v>
      </c>
      <c r="AT380" s="156" t="s">
        <v>149</v>
      </c>
      <c r="AU380" s="156" t="s">
        <v>149</v>
      </c>
    </row>
    <row r="381">
      <c r="A381" s="186">
        <v>190.0</v>
      </c>
      <c r="B381" s="152">
        <v>2023.0</v>
      </c>
      <c r="D381" s="152"/>
      <c r="E381" s="151">
        <v>190.0</v>
      </c>
      <c r="F381" s="129" t="s">
        <v>140</v>
      </c>
      <c r="G381" s="3" t="s">
        <v>6029</v>
      </c>
      <c r="H381" s="8" t="str">
        <f>IFERROR(__xludf.DUMMYFUNCTION("""COMPUTED_VALUE"""),"")</f>
        <v/>
      </c>
      <c r="I381" s="8" t="s">
        <v>6878</v>
      </c>
      <c r="J381" s="8" t="s">
        <v>535</v>
      </c>
      <c r="K381" s="8" t="s">
        <v>893</v>
      </c>
      <c r="L381" s="8" t="s">
        <v>894</v>
      </c>
      <c r="M381" s="153" t="s">
        <v>895</v>
      </c>
      <c r="N381" s="8" t="s">
        <v>151</v>
      </c>
      <c r="O381" s="8" t="s">
        <v>384</v>
      </c>
      <c r="P381" s="8" t="s">
        <v>2868</v>
      </c>
      <c r="Q381" s="181" t="s">
        <v>6078</v>
      </c>
      <c r="R381" s="142" t="s">
        <v>6052</v>
      </c>
      <c r="S381" s="142" t="s">
        <v>6053</v>
      </c>
      <c r="T381" s="8"/>
      <c r="U381" s="8">
        <f>IFERROR(__xludf.DUMMYFUNCTION("""COMPUTED_VALUE"""),363.0)</f>
        <v>363</v>
      </c>
      <c r="V381" s="8"/>
      <c r="W381" s="8"/>
      <c r="X381" s="8"/>
      <c r="Y381" s="8"/>
      <c r="AA381" s="8" t="s">
        <v>469</v>
      </c>
      <c r="AB381" s="154" t="s">
        <v>149</v>
      </c>
      <c r="AC381" s="8" t="s">
        <v>390</v>
      </c>
      <c r="AG381" s="154" t="s">
        <v>149</v>
      </c>
      <c r="AH381" s="154" t="s">
        <v>149</v>
      </c>
      <c r="AI381" s="8" t="s">
        <v>2870</v>
      </c>
      <c r="AJ381" s="8" t="s">
        <v>390</v>
      </c>
      <c r="AL381" s="8" t="s">
        <v>6055</v>
      </c>
      <c r="AM381" s="154" t="s">
        <v>149</v>
      </c>
      <c r="AN381" s="154" t="s">
        <v>149</v>
      </c>
      <c r="AO381" s="8"/>
      <c r="AP381" s="8"/>
      <c r="AR381" s="8" t="s">
        <v>6057</v>
      </c>
      <c r="AS381" s="8" t="s">
        <v>2873</v>
      </c>
      <c r="AT381" s="8" t="s">
        <v>398</v>
      </c>
      <c r="AU381" s="154" t="s">
        <v>149</v>
      </c>
    </row>
    <row r="382">
      <c r="A382" s="186">
        <v>191.0</v>
      </c>
      <c r="B382" s="152">
        <v>2023.0</v>
      </c>
      <c r="D382" s="152"/>
      <c r="E382" s="151">
        <v>191.0</v>
      </c>
      <c r="F382" s="129" t="s">
        <v>140</v>
      </c>
      <c r="G382" s="3" t="s">
        <v>6029</v>
      </c>
      <c r="H382" s="8" t="str">
        <f>IFERROR(__xludf.DUMMYFUNCTION("""COMPUTED_VALUE"""),"")</f>
        <v/>
      </c>
      <c r="I382" s="8" t="s">
        <v>6879</v>
      </c>
      <c r="J382" s="8" t="s">
        <v>535</v>
      </c>
      <c r="K382" s="8" t="s">
        <v>893</v>
      </c>
      <c r="L382" s="153" t="s">
        <v>6880</v>
      </c>
      <c r="M382" s="153" t="s">
        <v>1152</v>
      </c>
      <c r="N382" s="8" t="s">
        <v>6062</v>
      </c>
      <c r="O382" s="8" t="s">
        <v>1153</v>
      </c>
      <c r="P382" s="154" t="s">
        <v>149</v>
      </c>
      <c r="Q382" s="154" t="s">
        <v>149</v>
      </c>
      <c r="R382" s="154" t="s">
        <v>149</v>
      </c>
      <c r="S382" s="154" t="s">
        <v>149</v>
      </c>
      <c r="T382" s="8"/>
      <c r="U382" s="8">
        <f>IFERROR(__xludf.DUMMYFUNCTION("""COMPUTED_VALUE"""),364.0)</f>
        <v>364</v>
      </c>
      <c r="V382" s="8"/>
      <c r="W382" s="154"/>
      <c r="X382" s="8"/>
      <c r="Y382" s="8"/>
      <c r="AA382" s="154" t="s">
        <v>149</v>
      </c>
      <c r="AB382" s="8" t="s">
        <v>699</v>
      </c>
      <c r="AC382" s="154" t="s">
        <v>149</v>
      </c>
      <c r="AG382" s="154" t="s">
        <v>149</v>
      </c>
      <c r="AH382" s="154" t="s">
        <v>149</v>
      </c>
      <c r="AI382" s="154" t="s">
        <v>149</v>
      </c>
      <c r="AJ382" s="154" t="s">
        <v>149</v>
      </c>
      <c r="AL382" s="154" t="s">
        <v>149</v>
      </c>
      <c r="AM382" s="154" t="s">
        <v>149</v>
      </c>
      <c r="AN382" s="154" t="s">
        <v>149</v>
      </c>
      <c r="AO382" s="8"/>
      <c r="AP382" s="8"/>
      <c r="AR382" s="154" t="s">
        <v>149</v>
      </c>
      <c r="AS382" s="154" t="s">
        <v>149</v>
      </c>
      <c r="AT382" s="154" t="s">
        <v>149</v>
      </c>
      <c r="AU382" s="154" t="s">
        <v>149</v>
      </c>
    </row>
    <row r="383">
      <c r="A383" s="186">
        <v>191.0</v>
      </c>
      <c r="B383" s="152">
        <v>2025.0</v>
      </c>
      <c r="C383" s="153" t="str">
        <f>CONCATENATE(D383, "-", M383, "-", A383)
</f>
        <v>2023-PH050517000-191</v>
      </c>
      <c r="D383" s="152">
        <f>IF(OR(F382="Published", F382="Unpublished"), 2023, IF(F382="New", 2025, ""))
</f>
        <v>2023</v>
      </c>
      <c r="E383" s="151">
        <v>191.0</v>
      </c>
      <c r="F383" s="129" t="s">
        <v>140</v>
      </c>
      <c r="G383" s="156" t="s">
        <v>141</v>
      </c>
      <c r="H383" s="153" t="str">
        <f>IFERROR(__xludf.DUMMYFUNCTION("""COMPUTED_VALUE"""),"**Restoration_project_short** changed from Unknown to Site in San Miguel Island, **Year of establishment** changed from Unknown to 2016, **Technique/Material Type** changed from Unknown to Bamboo raft; hanging monoline, **Restoration objective** changed f"&amp;"rom Experimental to Experimental; Viability of low technology and low cost methodologies in coral reef restoration, **Funding agency** changed from Unknown to Bicol University - Tabaco Campus, **Implementing institution** changed from Unknown to Bicol Uni"&amp;"versity - Tabaco Campus, **Reference** changed from Unknown to Mendoza, A. B., Nieves, P., &amp; Kubota, S. (n.d.). Reef Coral Restoration Program in the Bicol Region, Philippines. https://kochi.repo.nii.ac.jp/?action=repository_action_common_download&amp;item_id"&amp;"=8640&amp;item_no=1&amp;attribute_id=17&amp;file_no=1, **Website** changed from Unknown to https://kochi.repo.nii.ac.jp/?action=repository_action_common_download&amp;item_id=8640&amp;item_no=1&amp;attribute_id=17&amp;file_no=1")</f>
        <v>**Restoration_project_short** changed from Unknown to Site in San Miguel Island, **Year of establishment** changed from Unknown to 2016, **Technique/Material Type** changed from Unknown to Bamboo raft; hanging monoline, **Restoration objective** changed from Experimental to Experimental; Viability of low technology and low cost methodologies in coral reef restoration, **Funding agency** changed from Unknown to Bicol University - Tabaco Campus, **Implementing institution** changed from Unknown to Bicol University - Tabaco Campus, **Reference** changed from Unknown to Mendoza, A. B., Nieves, P., &amp; Kubota, S. (n.d.). Reef Coral Restoration Program in the Bicol Region, Philippines. https://kochi.repo.nii.ac.jp/?action=repository_action_common_download&amp;item_id=8640&amp;item_no=1&amp;attribute_id=17&amp;file_no=1, **Website** changed from Unknown to https://kochi.repo.nii.ac.jp/?action=repository_action_common_download&amp;item_id=8640&amp;item_no=1&amp;attribute_id=17&amp;file_no=1</v>
      </c>
      <c r="I383" s="153" t="s">
        <v>6881</v>
      </c>
      <c r="J383" s="153" t="s">
        <v>535</v>
      </c>
      <c r="K383" s="153" t="s">
        <v>893</v>
      </c>
      <c r="L383" s="153" t="s">
        <v>6882</v>
      </c>
      <c r="M383" s="181" t="s">
        <v>1152</v>
      </c>
      <c r="N383" s="153" t="s">
        <v>6062</v>
      </c>
      <c r="O383" s="153" t="s">
        <v>1153</v>
      </c>
      <c r="P383" s="158" t="s">
        <v>1154</v>
      </c>
      <c r="Q383" s="169">
        <v>2016.0</v>
      </c>
      <c r="R383" s="160" t="s">
        <v>149</v>
      </c>
      <c r="S383" s="160" t="s">
        <v>149</v>
      </c>
      <c r="T383" s="156" t="s">
        <v>177</v>
      </c>
      <c r="U383" s="153">
        <f>IFERROR(__xludf.DUMMYFUNCTION("""COMPUTED_VALUE"""),365.0)</f>
        <v>365</v>
      </c>
      <c r="V383" s="191" t="s">
        <v>1359</v>
      </c>
      <c r="W383" s="184" t="s">
        <v>1037</v>
      </c>
      <c r="X383" s="180"/>
      <c r="Y383" s="180" t="s">
        <v>154</v>
      </c>
      <c r="Z383" s="158" t="s">
        <v>1156</v>
      </c>
      <c r="AA383" s="158" t="s">
        <v>1156</v>
      </c>
      <c r="AB383" s="153" t="s">
        <v>1157</v>
      </c>
      <c r="AC383" s="158" t="s">
        <v>1158</v>
      </c>
      <c r="AD383" s="158" t="s">
        <v>160</v>
      </c>
      <c r="AE383" s="158" t="s">
        <v>209</v>
      </c>
      <c r="AF383" s="158" t="s">
        <v>204</v>
      </c>
      <c r="AG383" s="164" t="s">
        <v>149</v>
      </c>
      <c r="AH383" s="158" t="s">
        <v>149</v>
      </c>
      <c r="AI383" s="158" t="s">
        <v>149</v>
      </c>
      <c r="AJ383" s="153" t="s">
        <v>1158</v>
      </c>
      <c r="AK383" s="158" t="s">
        <v>6068</v>
      </c>
      <c r="AL383" s="154" t="s">
        <v>149</v>
      </c>
      <c r="AM383" s="154" t="s">
        <v>149</v>
      </c>
      <c r="AN383" s="154" t="s">
        <v>149</v>
      </c>
      <c r="AO383" s="156">
        <v>1.0</v>
      </c>
      <c r="AP383" s="156" t="s">
        <v>6037</v>
      </c>
      <c r="AQ383" s="158" t="s">
        <v>1159</v>
      </c>
      <c r="AR383" s="153" t="s">
        <v>1160</v>
      </c>
      <c r="AS383" s="172" t="s">
        <v>1161</v>
      </c>
      <c r="AT383" s="154" t="s">
        <v>149</v>
      </c>
      <c r="AU383" s="154" t="s">
        <v>149</v>
      </c>
    </row>
    <row r="384">
      <c r="A384" s="186">
        <v>192.0</v>
      </c>
      <c r="B384" s="152">
        <v>2023.0</v>
      </c>
      <c r="D384" s="152"/>
      <c r="E384" s="151">
        <v>192.0</v>
      </c>
      <c r="F384" s="129" t="s">
        <v>140</v>
      </c>
      <c r="G384" s="3" t="s">
        <v>6029</v>
      </c>
      <c r="H384" s="8" t="str">
        <f>IFERROR(__xludf.DUMMYFUNCTION("""COMPUTED_VALUE"""),"")</f>
        <v/>
      </c>
      <c r="I384" s="8" t="s">
        <v>6883</v>
      </c>
      <c r="J384" s="8" t="s">
        <v>535</v>
      </c>
      <c r="K384" s="8" t="s">
        <v>893</v>
      </c>
      <c r="L384" s="8" t="s">
        <v>1442</v>
      </c>
      <c r="M384" s="153" t="s">
        <v>1443</v>
      </c>
      <c r="N384" s="8" t="s">
        <v>151</v>
      </c>
      <c r="O384" s="8" t="s">
        <v>1377</v>
      </c>
      <c r="P384" s="154" t="s">
        <v>149</v>
      </c>
      <c r="Q384" s="154" t="s">
        <v>149</v>
      </c>
      <c r="R384" s="142" t="s">
        <v>6198</v>
      </c>
      <c r="S384" s="142" t="s">
        <v>6199</v>
      </c>
      <c r="T384" s="8"/>
      <c r="U384" s="8">
        <f>IFERROR(__xludf.DUMMYFUNCTION("""COMPUTED_VALUE"""),366.0)</f>
        <v>366</v>
      </c>
      <c r="V384" s="8"/>
      <c r="W384" s="154"/>
      <c r="X384" s="8"/>
      <c r="Y384" s="8"/>
      <c r="AA384" s="154" t="s">
        <v>149</v>
      </c>
      <c r="AB384" s="154" t="s">
        <v>149</v>
      </c>
      <c r="AC384" s="8" t="s">
        <v>1381</v>
      </c>
      <c r="AG384" s="154" t="s">
        <v>149</v>
      </c>
      <c r="AH384" s="154" t="s">
        <v>149</v>
      </c>
      <c r="AI384" s="154" t="s">
        <v>149</v>
      </c>
      <c r="AJ384" s="8" t="s">
        <v>660</v>
      </c>
      <c r="AL384" s="8" t="s">
        <v>369</v>
      </c>
      <c r="AM384" s="154" t="s">
        <v>149</v>
      </c>
      <c r="AN384" s="154" t="s">
        <v>149</v>
      </c>
      <c r="AO384" s="8"/>
      <c r="AP384" s="8"/>
      <c r="AR384" s="8" t="s">
        <v>395</v>
      </c>
      <c r="AS384" s="8" t="s">
        <v>2873</v>
      </c>
      <c r="AT384" s="8" t="s">
        <v>398</v>
      </c>
      <c r="AU384" s="154" t="s">
        <v>149</v>
      </c>
    </row>
    <row r="385">
      <c r="A385" s="186">
        <v>192.0</v>
      </c>
      <c r="B385" s="152">
        <v>2025.0</v>
      </c>
      <c r="C385" s="153" t="str">
        <f>CONCATENATE(D385, "-", M385, "-", A385)
</f>
        <v>2023-PH050518000-192</v>
      </c>
      <c r="D385" s="152">
        <f>IF(OR(F384="Published", F384="Unpublished"), 2023, IF(F384="New", 2025, ""))
</f>
        <v>2023</v>
      </c>
      <c r="E385" s="151">
        <v>192.0</v>
      </c>
      <c r="F385" s="129" t="s">
        <v>140</v>
      </c>
      <c r="G385" s="156" t="s">
        <v>141</v>
      </c>
      <c r="H385" s="153" t="str">
        <f>IFERROR(__xludf.DUMMYFUNCTION("""COMPUTED_VALUE"""),"**Year of establishment** changed from Unknown to 1992, **Reference** changed from Conference Proceeding to Balgos, M.C. (1995). Evaluation of artificial reef development in the Philippines. In Munro, J.L. &amp; Balgos, M. (eds.) Artificial reefs in the Phili"&amp;"ppines. ICLARM Conf. Proc. 49, pp. 6-22., **Website** changed from http://pubs.iclarm.net/libinfo/Pdf/Pub%20CP6%2049.pdf to https://core.ac.uk/download/pdf/6515223.pdf;")</f>
        <v>**Year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85" s="153" t="s">
        <v>6884</v>
      </c>
      <c r="J385" s="153" t="s">
        <v>535</v>
      </c>
      <c r="K385" s="153" t="s">
        <v>893</v>
      </c>
      <c r="L385" s="153" t="s">
        <v>1442</v>
      </c>
      <c r="M385" s="181" t="s">
        <v>1443</v>
      </c>
      <c r="N385" s="153" t="s">
        <v>151</v>
      </c>
      <c r="O385" s="153" t="s">
        <v>1377</v>
      </c>
      <c r="P385" s="154" t="s">
        <v>149</v>
      </c>
      <c r="Q385" s="178">
        <v>1992.0</v>
      </c>
      <c r="R385" s="175" t="s">
        <v>6198</v>
      </c>
      <c r="S385" s="175" t="s">
        <v>6199</v>
      </c>
      <c r="T385" s="161" t="s">
        <v>150</v>
      </c>
      <c r="U385" s="153">
        <f>IFERROR(__xludf.DUMMYFUNCTION("""COMPUTED_VALUE"""),367.0)</f>
        <v>367</v>
      </c>
      <c r="V385" s="162" t="s">
        <v>3311</v>
      </c>
      <c r="W385" s="187" t="s">
        <v>149</v>
      </c>
      <c r="X385" s="184"/>
      <c r="Y385" s="184" t="s">
        <v>149</v>
      </c>
      <c r="Z385" s="158" t="s">
        <v>149</v>
      </c>
      <c r="AA385" s="158" t="s">
        <v>149</v>
      </c>
      <c r="AB385" s="158" t="s">
        <v>149</v>
      </c>
      <c r="AC385" s="153" t="s">
        <v>1381</v>
      </c>
      <c r="AD385" s="158" t="s">
        <v>6154</v>
      </c>
      <c r="AE385" s="158" t="s">
        <v>206</v>
      </c>
      <c r="AF385" s="158" t="s">
        <v>159</v>
      </c>
      <c r="AG385" s="164" t="s">
        <v>149</v>
      </c>
      <c r="AH385" s="158" t="s">
        <v>149</v>
      </c>
      <c r="AI385" s="158" t="s">
        <v>149</v>
      </c>
      <c r="AJ385" s="153" t="s">
        <v>660</v>
      </c>
      <c r="AK385" s="153" t="s">
        <v>6035</v>
      </c>
      <c r="AL385" s="153" t="s">
        <v>369</v>
      </c>
      <c r="AM385" s="154" t="s">
        <v>149</v>
      </c>
      <c r="AN385" s="154" t="s">
        <v>149</v>
      </c>
      <c r="AO385" s="156">
        <v>1.0</v>
      </c>
      <c r="AP385" s="156" t="s">
        <v>6037</v>
      </c>
      <c r="AQ385" s="158" t="s">
        <v>395</v>
      </c>
      <c r="AR385" s="153" t="s">
        <v>6060</v>
      </c>
      <c r="AS385" s="158" t="s">
        <v>6711</v>
      </c>
      <c r="AT385" s="153" t="s">
        <v>398</v>
      </c>
      <c r="AU385" s="154" t="s">
        <v>149</v>
      </c>
    </row>
    <row r="386">
      <c r="A386" s="186">
        <v>193.0</v>
      </c>
      <c r="B386" s="152">
        <v>2023.0</v>
      </c>
      <c r="D386" s="152"/>
      <c r="E386" s="151">
        <v>193.0</v>
      </c>
      <c r="F386" s="129" t="s">
        <v>140</v>
      </c>
      <c r="G386" s="3" t="s">
        <v>6029</v>
      </c>
      <c r="H386" s="8" t="str">
        <f>IFERROR(__xludf.DUMMYFUNCTION("""COMPUTED_VALUE"""),"")</f>
        <v/>
      </c>
      <c r="I386" s="8" t="s">
        <v>6885</v>
      </c>
      <c r="J386" s="8" t="s">
        <v>535</v>
      </c>
      <c r="K386" s="8" t="s">
        <v>893</v>
      </c>
      <c r="L386" s="8" t="s">
        <v>1442</v>
      </c>
      <c r="M386" s="153" t="s">
        <v>1443</v>
      </c>
      <c r="N386" s="8" t="s">
        <v>151</v>
      </c>
      <c r="O386" s="154" t="s">
        <v>149</v>
      </c>
      <c r="P386" s="154" t="s">
        <v>149</v>
      </c>
      <c r="Q386" s="142" t="s">
        <v>6198</v>
      </c>
      <c r="R386" s="154" t="s">
        <v>149</v>
      </c>
      <c r="S386" s="154" t="s">
        <v>149</v>
      </c>
      <c r="T386" s="8"/>
      <c r="U386" s="8">
        <f>IFERROR(__xludf.DUMMYFUNCTION("""COMPUTED_VALUE"""),368.0)</f>
        <v>368</v>
      </c>
      <c r="V386" s="8"/>
      <c r="W386" s="154"/>
      <c r="X386" s="8"/>
      <c r="Y386" s="8"/>
      <c r="AA386" s="154" t="s">
        <v>149</v>
      </c>
      <c r="AB386" s="8" t="s">
        <v>6506</v>
      </c>
      <c r="AC386" s="154" t="s">
        <v>149</v>
      </c>
      <c r="AG386" s="154" t="s">
        <v>149</v>
      </c>
      <c r="AH386" s="154" t="s">
        <v>149</v>
      </c>
      <c r="AI386" s="154" t="s">
        <v>149</v>
      </c>
      <c r="AJ386" s="8" t="s">
        <v>2304</v>
      </c>
      <c r="AL386" s="8" t="s">
        <v>6507</v>
      </c>
      <c r="AM386" s="154" t="s">
        <v>149</v>
      </c>
      <c r="AN386" s="154" t="s">
        <v>149</v>
      </c>
      <c r="AO386" s="8"/>
      <c r="AP386" s="8"/>
      <c r="AR386" s="8" t="s">
        <v>395</v>
      </c>
      <c r="AS386" s="8" t="s">
        <v>2873</v>
      </c>
      <c r="AT386" s="8" t="s">
        <v>398</v>
      </c>
      <c r="AU386" s="154" t="s">
        <v>149</v>
      </c>
    </row>
    <row r="387">
      <c r="A387" s="186">
        <v>193.0</v>
      </c>
      <c r="B387" s="152">
        <v>2025.0</v>
      </c>
      <c r="C387" s="153" t="str">
        <f>CONCATENATE(D387, "-", M387, "-", A387)
</f>
        <v>2023-PH050518000-193</v>
      </c>
      <c r="D387" s="152">
        <f>IF(OR(F386="Published", F386="Unpublished"), 2023, IF(F386="New", 2025, ""))
</f>
        <v>2023</v>
      </c>
      <c r="E387" s="151">
        <v>193.0</v>
      </c>
      <c r="F387" s="129" t="s">
        <v>140</v>
      </c>
      <c r="G387" s="156" t="s">
        <v>141</v>
      </c>
      <c r="H387" s="153" t="str">
        <f>IFERROR(__xludf.DUMMYFUNCTION("""COMPUTED_VALUE"""),"**Year of establishment** changed from 1990 to 1990, **Project Start** changed from Unknown to 1990, **Project End** changed from Unknown to 1990, **Technique/Material Type** changed from Unknown to tires, **Restoration objective** changed from Fishing to"&amp;" Fishing; In response to allegations that power plants were causing diminishing fish catch, **Funding agency** changed from Unknown to National Power Corporation, **Reference** changed from Conference Proceeding to Balgos, M.C. (1995). Evaluation of artif"&amp;"icial reef development in the Philippines. In Munro, J.L. &amp; Balgos, M. (eds.) Artificial reefs in the Philippines. ICLARM Conf. Proc. 49, pp. 6-22., **Website** changed from http://pubs.iclarm.net/libinfo/Pdf/Pub%20CP6%2049.pdf to https://core.ac.uk/downl"&amp;"oad/pdf/6515223.pdf;")</f>
        <v>**Year of establishment** changed from 1990 to 1990, **Project Start** changed from Unknown to 1990, **Project End** changed from Unknown to 1990, **Technique/Material Type** changed from Unknown to tires, **Restoration objective** changed from Fishing to Fishing; In response to allegations that power plants were causing diminishing fish catch, **Funding agency** changed from Unknown to National Power Corporation,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87" s="153" t="s">
        <v>6885</v>
      </c>
      <c r="J387" s="153" t="s">
        <v>535</v>
      </c>
      <c r="K387" s="153" t="s">
        <v>893</v>
      </c>
      <c r="L387" s="153" t="s">
        <v>1442</v>
      </c>
      <c r="M387" s="181" t="s">
        <v>1443</v>
      </c>
      <c r="N387" s="153" t="s">
        <v>151</v>
      </c>
      <c r="O387" s="158" t="s">
        <v>149</v>
      </c>
      <c r="P387" s="154" t="s">
        <v>149</v>
      </c>
      <c r="Q387" s="169">
        <v>1990.0</v>
      </c>
      <c r="R387" s="160" t="s">
        <v>6198</v>
      </c>
      <c r="S387" s="160" t="s">
        <v>6198</v>
      </c>
      <c r="T387" s="161" t="s">
        <v>150</v>
      </c>
      <c r="U387" s="153">
        <f>IFERROR(__xludf.DUMMYFUNCTION("""COMPUTED_VALUE"""),368.0)</f>
        <v>368</v>
      </c>
      <c r="V387" s="162" t="s">
        <v>3311</v>
      </c>
      <c r="W387" s="170" t="s">
        <v>6059</v>
      </c>
      <c r="X387" s="28" t="s">
        <v>6033</v>
      </c>
      <c r="Y387" s="28" t="s">
        <v>386</v>
      </c>
      <c r="Z387" s="176" t="s">
        <v>386</v>
      </c>
      <c r="AA387" s="158" t="s">
        <v>6054</v>
      </c>
      <c r="AB387" s="153" t="s">
        <v>6886</v>
      </c>
      <c r="AC387" s="158" t="s">
        <v>2304</v>
      </c>
      <c r="AD387" s="158" t="s">
        <v>160</v>
      </c>
      <c r="AE387" s="158" t="s">
        <v>6035</v>
      </c>
      <c r="AF387" s="158" t="s">
        <v>159</v>
      </c>
      <c r="AG387" s="164" t="s">
        <v>149</v>
      </c>
      <c r="AH387" s="158" t="s">
        <v>149</v>
      </c>
      <c r="AI387" s="158" t="s">
        <v>149</v>
      </c>
      <c r="AJ387" s="153" t="s">
        <v>2304</v>
      </c>
      <c r="AK387" s="158" t="s">
        <v>6035</v>
      </c>
      <c r="AL387" s="153" t="s">
        <v>6507</v>
      </c>
      <c r="AM387" s="154" t="s">
        <v>149</v>
      </c>
      <c r="AN387" s="154" t="s">
        <v>149</v>
      </c>
      <c r="AO387" s="156">
        <v>1.0</v>
      </c>
      <c r="AP387" s="156" t="s">
        <v>6037</v>
      </c>
      <c r="AQ387" s="158" t="s">
        <v>395</v>
      </c>
      <c r="AR387" s="153" t="s">
        <v>6060</v>
      </c>
      <c r="AS387" s="158" t="s">
        <v>6711</v>
      </c>
      <c r="AT387" s="153" t="s">
        <v>398</v>
      </c>
      <c r="AU387" s="154" t="s">
        <v>149</v>
      </c>
    </row>
    <row r="388">
      <c r="A388" s="186">
        <v>194.0</v>
      </c>
      <c r="B388" s="152">
        <v>2023.0</v>
      </c>
      <c r="D388" s="152"/>
      <c r="E388" s="151">
        <v>194.0</v>
      </c>
      <c r="F388" s="129" t="s">
        <v>140</v>
      </c>
      <c r="G388" s="3" t="s">
        <v>6029</v>
      </c>
      <c r="H388" s="8" t="str">
        <f>IFERROR(__xludf.DUMMYFUNCTION("""COMPUTED_VALUE"""),"")</f>
        <v/>
      </c>
      <c r="I388" s="8" t="s">
        <v>6887</v>
      </c>
      <c r="J388" s="8" t="s">
        <v>535</v>
      </c>
      <c r="K388" s="8" t="s">
        <v>1445</v>
      </c>
      <c r="L388" s="8" t="s">
        <v>2406</v>
      </c>
      <c r="M388" s="153" t="s">
        <v>2407</v>
      </c>
      <c r="N388" s="8" t="s">
        <v>151</v>
      </c>
      <c r="O388" s="154" t="s">
        <v>149</v>
      </c>
      <c r="P388" s="8" t="s">
        <v>6888</v>
      </c>
      <c r="Q388" s="142" t="s">
        <v>6030</v>
      </c>
      <c r="R388" s="154" t="s">
        <v>149</v>
      </c>
      <c r="S388" s="154" t="s">
        <v>149</v>
      </c>
      <c r="T388" s="8"/>
      <c r="U388" s="8">
        <f>IFERROR(__xludf.DUMMYFUNCTION("""COMPUTED_VALUE"""),369.0)</f>
        <v>369</v>
      </c>
      <c r="V388" s="8"/>
      <c r="W388" s="8"/>
      <c r="X388" s="8"/>
      <c r="Y388" s="8"/>
      <c r="AA388" s="8" t="s">
        <v>6889</v>
      </c>
      <c r="AB388" s="154" t="s">
        <v>149</v>
      </c>
      <c r="AC388" s="8" t="s">
        <v>369</v>
      </c>
      <c r="AG388" s="154" t="s">
        <v>149</v>
      </c>
      <c r="AH388" s="154" t="s">
        <v>149</v>
      </c>
      <c r="AI388" s="8" t="s">
        <v>1336</v>
      </c>
      <c r="AJ388" s="8" t="s">
        <v>2410</v>
      </c>
      <c r="AL388" s="8" t="s">
        <v>2411</v>
      </c>
      <c r="AM388" s="154" t="s">
        <v>149</v>
      </c>
      <c r="AN388" s="8" t="s">
        <v>1195</v>
      </c>
      <c r="AO388" s="8"/>
      <c r="AP388" s="8"/>
      <c r="AR388" s="8" t="s">
        <v>166</v>
      </c>
      <c r="AS388" s="8" t="s">
        <v>2413</v>
      </c>
      <c r="AT388" s="154" t="s">
        <v>149</v>
      </c>
      <c r="AU388" s="154" t="s">
        <v>149</v>
      </c>
    </row>
    <row r="389">
      <c r="A389" s="186">
        <v>194.0</v>
      </c>
      <c r="B389" s="152">
        <v>2025.0</v>
      </c>
      <c r="C389" s="153" t="str">
        <f>CONCATENATE(D389, "-", M389, "-", A389)
</f>
        <v>2023-PH051605000-194</v>
      </c>
      <c r="D389" s="152">
        <f>IF(OR(F388="Published", F388="Unpublished"), 2023, IF(F388="New", 2025, ""))
</f>
        <v>2023</v>
      </c>
      <c r="E389" s="151">
        <v>194.0</v>
      </c>
      <c r="F389" s="156" t="s">
        <v>140</v>
      </c>
      <c r="G389" s="156" t="s">
        <v>141</v>
      </c>
      <c r="H389" s="153" t="str">
        <f>IFERROR(__xludf.DUMMYFUNCTION("""COMPUTED_VALUE"""),"**Restoration_project_short** changed from *Part of the celebration of Maritime and Archipelagic Awareness Month to Site in Calalanay Island; Part of the celebration of Maritime and Archipelagic Awareness Month, **Year of establishment** changed from 2021"&amp;" to 2021, **Technique/Material Type** changed from Frame to Unknown, **Restoration objective** changed from Unknown to Breding and spawning ground for fish, **Total units** changed from 40 units to Unknown, **Reference** changed from News/Press Release to"&amp;" BNFM Daet (2021, Sept. 23). Artificial coral reefs inilagay sa karagatang sakop ng Jose Panganiban, bahagi ng Marine Protected Areas idedeklarang fish sanctuary ng LGU. Brigada News. https://brigadanews.ph/artificial-coral-reefs-inilagay-sa-karagatang-sa"&amp;"kop-ng-jose-panganiban-bahagi-ng-marine-protected-areas-idedeklarang-fish-santuary-ng-lgu/")</f>
        <v>**Restoration_project_short** changed from *Part of the celebration of Maritime and Archipelagic Awareness Month to Site in Calalanay Island; Part of the celebration of Maritime and Archipelagic Awareness Month, **Year of establishment** changed from 2021 to 2021, **Technique/Material Type** changed from Frame to Unknown, **Restoration objective** changed from Unknown to Breding and spawning ground for fish, **Total units** changed from 40 units to Unknown, **Reference** changed from News/Press Release to BNFM Daet (2021, Sept. 23). Artificial coral reefs inilagay sa karagatang sakop ng Jose Panganiban, bahagi ng Marine Protected Areas idedeklarang fish sanctuary ng LGU. Brigada News. https://brigadanews.ph/artificial-coral-reefs-inilagay-sa-karagatang-sakop-ng-jose-panganiban-bahagi-ng-marine-protected-areas-idedeklarang-fish-santuary-ng-lgu/</v>
      </c>
      <c r="I389" s="153" t="s">
        <v>6887</v>
      </c>
      <c r="J389" s="153" t="s">
        <v>535</v>
      </c>
      <c r="K389" s="153" t="s">
        <v>1445</v>
      </c>
      <c r="L389" s="153" t="s">
        <v>2406</v>
      </c>
      <c r="M389" s="181" t="s">
        <v>2407</v>
      </c>
      <c r="N389" s="153" t="s">
        <v>151</v>
      </c>
      <c r="O389" s="158" t="s">
        <v>149</v>
      </c>
      <c r="P389" s="153" t="s">
        <v>6890</v>
      </c>
      <c r="Q389" s="169">
        <v>2021.0</v>
      </c>
      <c r="R389" s="164" t="s">
        <v>149</v>
      </c>
      <c r="S389" s="160" t="s">
        <v>149</v>
      </c>
      <c r="T389" s="161" t="s">
        <v>150</v>
      </c>
      <c r="U389" s="153">
        <f>IFERROR(__xludf.DUMMYFUNCTION("""COMPUTED_VALUE"""),369.0)</f>
        <v>369</v>
      </c>
      <c r="V389" s="162" t="s">
        <v>3311</v>
      </c>
      <c r="W389" s="187" t="s">
        <v>149</v>
      </c>
      <c r="X389" s="184"/>
      <c r="Y389" s="184" t="s">
        <v>149</v>
      </c>
      <c r="Z389" s="158" t="s">
        <v>149</v>
      </c>
      <c r="AA389" s="158" t="s">
        <v>149</v>
      </c>
      <c r="AB389" s="158" t="s">
        <v>6891</v>
      </c>
      <c r="AC389" s="153" t="s">
        <v>369</v>
      </c>
      <c r="AD389" s="158" t="s">
        <v>160</v>
      </c>
      <c r="AE389" s="158" t="s">
        <v>6035</v>
      </c>
      <c r="AF389" s="158" t="s">
        <v>159</v>
      </c>
      <c r="AG389" s="164" t="s">
        <v>149</v>
      </c>
      <c r="AH389" s="158" t="s">
        <v>149</v>
      </c>
      <c r="AI389" s="158" t="s">
        <v>149</v>
      </c>
      <c r="AJ389" s="153" t="s">
        <v>2410</v>
      </c>
      <c r="AK389" s="153" t="s">
        <v>6035</v>
      </c>
      <c r="AL389" s="153" t="s">
        <v>2411</v>
      </c>
      <c r="AM389" s="154" t="s">
        <v>149</v>
      </c>
      <c r="AN389" s="153" t="s">
        <v>1195</v>
      </c>
      <c r="AO389" s="156">
        <v>1.0</v>
      </c>
      <c r="AP389" s="156" t="s">
        <v>6037</v>
      </c>
      <c r="AQ389" s="158" t="s">
        <v>166</v>
      </c>
      <c r="AR389" s="153" t="s">
        <v>2412</v>
      </c>
      <c r="AS389" s="172" t="s">
        <v>2413</v>
      </c>
      <c r="AT389" s="154" t="s">
        <v>149</v>
      </c>
      <c r="AU389" s="154" t="s">
        <v>149</v>
      </c>
    </row>
    <row r="390">
      <c r="A390" s="186">
        <v>195.0</v>
      </c>
      <c r="B390" s="152">
        <v>2023.0</v>
      </c>
      <c r="D390" s="152"/>
      <c r="E390" s="151">
        <v>195.0</v>
      </c>
      <c r="F390" s="129" t="s">
        <v>140</v>
      </c>
      <c r="G390" s="3" t="s">
        <v>6029</v>
      </c>
      <c r="H390" s="8" t="str">
        <f>IFERROR(__xludf.DUMMYFUNCTION("""COMPUTED_VALUE"""),"")</f>
        <v/>
      </c>
      <c r="I390" s="8" t="s">
        <v>6892</v>
      </c>
      <c r="J390" s="8" t="s">
        <v>535</v>
      </c>
      <c r="K390" s="8" t="s">
        <v>1445</v>
      </c>
      <c r="L390" s="8" t="s">
        <v>1446</v>
      </c>
      <c r="M390" s="153" t="s">
        <v>1447</v>
      </c>
      <c r="N390" s="8" t="s">
        <v>151</v>
      </c>
      <c r="O390" s="8" t="s">
        <v>1377</v>
      </c>
      <c r="P390" s="8" t="s">
        <v>1448</v>
      </c>
      <c r="Q390" s="154" t="s">
        <v>149</v>
      </c>
      <c r="R390" s="142" t="s">
        <v>6198</v>
      </c>
      <c r="S390" s="142" t="s">
        <v>6199</v>
      </c>
      <c r="T390" s="8"/>
      <c r="U390" s="8">
        <f>IFERROR(__xludf.DUMMYFUNCTION("""COMPUTED_VALUE"""),370.0)</f>
        <v>370</v>
      </c>
      <c r="V390" s="8"/>
      <c r="W390" s="154"/>
      <c r="X390" s="3"/>
      <c r="Y390" s="3"/>
      <c r="Z390" s="3" t="s">
        <v>149</v>
      </c>
      <c r="AA390" s="154" t="s">
        <v>149</v>
      </c>
      <c r="AB390" s="154" t="s">
        <v>149</v>
      </c>
      <c r="AC390" s="8" t="s">
        <v>1381</v>
      </c>
      <c r="AD390" s="3" t="s">
        <v>149</v>
      </c>
      <c r="AE390" s="3" t="s">
        <v>149</v>
      </c>
      <c r="AF390" s="3" t="s">
        <v>149</v>
      </c>
      <c r="AG390" s="154" t="s">
        <v>149</v>
      </c>
      <c r="AH390" s="154" t="s">
        <v>149</v>
      </c>
      <c r="AI390" s="154" t="s">
        <v>149</v>
      </c>
      <c r="AJ390" s="8" t="s">
        <v>660</v>
      </c>
      <c r="AK390" s="3" t="s">
        <v>149</v>
      </c>
      <c r="AL390" s="8" t="s">
        <v>369</v>
      </c>
      <c r="AM390" s="154" t="s">
        <v>149</v>
      </c>
      <c r="AN390" s="154" t="s">
        <v>149</v>
      </c>
      <c r="AO390" s="8"/>
      <c r="AP390" s="8"/>
      <c r="AQ390" s="3" t="s">
        <v>149</v>
      </c>
      <c r="AR390" s="8" t="s">
        <v>395</v>
      </c>
      <c r="AS390" s="8" t="s">
        <v>2873</v>
      </c>
      <c r="AT390" s="8" t="s">
        <v>398</v>
      </c>
      <c r="AU390" s="154" t="s">
        <v>149</v>
      </c>
    </row>
    <row r="391">
      <c r="A391" s="186">
        <v>195.0</v>
      </c>
      <c r="B391" s="152">
        <v>2025.0</v>
      </c>
      <c r="C391" s="153" t="str">
        <f t="shared" ref="C391:C392" si="37">CONCATENATE(D391, "-", M391, "-", A391)
</f>
        <v>2023-PH051607000-195</v>
      </c>
      <c r="D391" s="152">
        <f t="shared" ref="D391:D392" si="38">IF(OR(F390="Published", F390="Unpublished"), 2023, IF(F390="New", 2025, ""))
</f>
        <v>2023</v>
      </c>
      <c r="E391" s="151">
        <v>195.0</v>
      </c>
      <c r="F391" s="156" t="s">
        <v>140</v>
      </c>
      <c r="G391" s="156" t="s">
        <v>141</v>
      </c>
      <c r="H391" s="153" t="str">
        <f>IFERROR(__xludf.DUMMYFUNCTION("""COMPUTED_VALUE"""),"**Year of establishment** changed from Unknown to 1992, **Reference** changed from Conference Proceeding to Balgos, M.C. (1995). Evaluation of artificial reef development in the Philippines. In Munro, J.L. &amp; Balgos, M. (eds.) Artificial reefs in the Phili"&amp;"ppines. ICLARM Conf. Proc. 49, pp. 6-22., **Website** changed from http://pubs.iclarm.net/libinfo/Pdf/Pub%20CP6%2049.pdf to https://core.ac.uk/download/pdf/6515223.pdf;")</f>
        <v>**Year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91" s="153" t="s">
        <v>6893</v>
      </c>
      <c r="J391" s="153" t="s">
        <v>535</v>
      </c>
      <c r="K391" s="153" t="s">
        <v>1445</v>
      </c>
      <c r="L391" s="153" t="s">
        <v>1446</v>
      </c>
      <c r="M391" s="181" t="s">
        <v>1447</v>
      </c>
      <c r="N391" s="153" t="s">
        <v>151</v>
      </c>
      <c r="O391" s="153" t="s">
        <v>1377</v>
      </c>
      <c r="P391" s="153" t="s">
        <v>1448</v>
      </c>
      <c r="Q391" s="169">
        <v>1992.0</v>
      </c>
      <c r="R391" s="175" t="s">
        <v>6198</v>
      </c>
      <c r="S391" s="175" t="s">
        <v>6199</v>
      </c>
      <c r="T391" s="161" t="s">
        <v>150</v>
      </c>
      <c r="U391" s="153">
        <f>IFERROR(__xludf.DUMMYFUNCTION("""COMPUTED_VALUE"""),371.0)</f>
        <v>371</v>
      </c>
      <c r="V391" s="162" t="s">
        <v>3311</v>
      </c>
      <c r="W391" s="187" t="s">
        <v>149</v>
      </c>
      <c r="X391" s="184"/>
      <c r="Y391" s="184" t="s">
        <v>149</v>
      </c>
      <c r="Z391" s="158" t="s">
        <v>149</v>
      </c>
      <c r="AA391" s="158" t="s">
        <v>149</v>
      </c>
      <c r="AB391" s="158" t="s">
        <v>149</v>
      </c>
      <c r="AC391" s="153" t="s">
        <v>1381</v>
      </c>
      <c r="AD391" s="158" t="s">
        <v>6154</v>
      </c>
      <c r="AE391" s="158" t="s">
        <v>206</v>
      </c>
      <c r="AF391" s="158" t="s">
        <v>159</v>
      </c>
      <c r="AG391" s="164" t="s">
        <v>149</v>
      </c>
      <c r="AH391" s="158" t="s">
        <v>149</v>
      </c>
      <c r="AI391" s="158" t="s">
        <v>149</v>
      </c>
      <c r="AJ391" s="153" t="s">
        <v>660</v>
      </c>
      <c r="AK391" s="153" t="s">
        <v>6035</v>
      </c>
      <c r="AL391" s="153" t="s">
        <v>369</v>
      </c>
      <c r="AM391" s="154" t="s">
        <v>149</v>
      </c>
      <c r="AN391" s="154" t="s">
        <v>149</v>
      </c>
      <c r="AO391" s="156">
        <v>1.0</v>
      </c>
      <c r="AP391" s="156" t="s">
        <v>6037</v>
      </c>
      <c r="AQ391" s="158" t="s">
        <v>395</v>
      </c>
      <c r="AR391" s="153" t="s">
        <v>6060</v>
      </c>
      <c r="AS391" s="158" t="s">
        <v>6711</v>
      </c>
      <c r="AT391" s="153" t="s">
        <v>398</v>
      </c>
      <c r="AU391" s="154" t="s">
        <v>149</v>
      </c>
    </row>
    <row r="392">
      <c r="A392" s="186">
        <v>196.0</v>
      </c>
      <c r="B392" s="152">
        <v>2025.0</v>
      </c>
      <c r="C392" s="153" t="str">
        <f t="shared" si="37"/>
        <v>2023-PH051702000-196</v>
      </c>
      <c r="D392" s="152">
        <f t="shared" si="38"/>
        <v>2023</v>
      </c>
      <c r="E392" s="151">
        <v>196.0</v>
      </c>
      <c r="F392" s="129" t="s">
        <v>140</v>
      </c>
      <c r="G392" s="156" t="s">
        <v>141</v>
      </c>
      <c r="H392" s="153" t="str">
        <f>IFERROR(__xludf.DUMMYFUNCTION("""COMPUTED_VALUE"""),"**Restoration_project** changed from Fisheries Sector Program to Unknown, **Restoration_project_short** changed from Site in Quinapaguian Island to Unknown, **Year of establishment** changed from 1992 to Unknown, **Project Start** changed from 1990 to Unk"&amp;"nown, **Project End** changed from 1994 to Unknown, **Restoration objective** changed from Unknown to Shelter and breeding ground, **Funding agency** changed from ADB, Overseas Economic Cooperation Fund of Japan to Unknown, **Implementing institution** ch"&amp;"anged from DA to Philippine Coast Guard Auxiliary, **Partners_public** changed from MLGU to BFAR, **Partners_private** changed from Unknown to USANT College of Maritime Education and College of Engineering and Architecture, **Reference** changed from Balg"&amp;"os, M.C. (1995). Evaluation of artificial reef development in the Philippines. In Munro, J.L. &amp; Balgos, M. (eds.) Artificial reefs in the Philippines. ICLARM Conf. Proc. 49, pp. 6-22. to Ballesteros, J. B. (2020). Build an Artificial Coral Reef Community "&amp;"Extension Project: An Impact Study. JPAIR Multidisciplinary Research Journal, 42(1). https://ejournals.ph/article.php?id=15657 , **Website** changed from https://core.ac.uk/download/pdf/6515223.pdf; to https://ejournals.ph/article.php?id=15657, **Contact_"&amp;"name** changed from Miriam Balgos to Jose B. Ballesteros")</f>
        <v>**Restoration_project** changed from Fisheries Sector Program to Unknown, **Restoration_project_short** changed from Site in Quinapaguian Island to Unknown, **Year of establishment** changed from 1992 to Unknown, **Project Start** changed from 1990 to Unknown, **Project End** changed from 1994 to Unknown, **Restoration objective** changed from Unknown to Shelter and breeding ground, **Funding agency** changed from ADB, Overseas Economic Cooperation Fund of Japan to Unknown, **Implementing institution** changed from DA to Philippine Coast Guard Auxiliary, **Partners_public** changed from MLGU to BFAR, **Partners_private** changed from Unknown to USANT College of Maritime Education and College of Engineering and Architecture, **Reference** changed from Balgos, M.C. (1995). Evaluation of artificial reef development in the Philippines. In Munro, J.L. &amp; Balgos, M. (eds.) Artificial reefs in the Philippines. ICLARM Conf. Proc. 49, pp. 6-22. to Ballesteros, J. B. (2020). Build an Artificial Coral Reef Community Extension Project: An Impact Study. JPAIR Multidisciplinary Research Journal, 42(1). https://ejournals.ph/article.php?id=15657 , **Website** changed from https://core.ac.uk/download/pdf/6515223.pdf; to https://ejournals.ph/article.php?id=15657, **Contact_name** changed from Miriam Balgos to Jose B. Ballesteros</v>
      </c>
      <c r="I392" s="153" t="s">
        <v>6894</v>
      </c>
      <c r="J392" s="153" t="s">
        <v>535</v>
      </c>
      <c r="K392" s="153" t="s">
        <v>1089</v>
      </c>
      <c r="L392" s="153" t="s">
        <v>2511</v>
      </c>
      <c r="M392" s="181" t="s">
        <v>2512</v>
      </c>
      <c r="N392" s="153" t="s">
        <v>151</v>
      </c>
      <c r="O392" s="158" t="s">
        <v>149</v>
      </c>
      <c r="P392" s="154" t="s">
        <v>149</v>
      </c>
      <c r="Q392" s="178" t="s">
        <v>149</v>
      </c>
      <c r="R392" s="160" t="s">
        <v>149</v>
      </c>
      <c r="S392" s="160" t="s">
        <v>149</v>
      </c>
      <c r="T392" s="161" t="s">
        <v>150</v>
      </c>
      <c r="U392" s="153">
        <f>IFERROR(__xludf.DUMMYFUNCTION("""COMPUTED_VALUE"""),372.0)</f>
        <v>372</v>
      </c>
      <c r="V392" s="162" t="s">
        <v>3311</v>
      </c>
      <c r="W392" s="187" t="s">
        <v>149</v>
      </c>
      <c r="X392" s="184"/>
      <c r="Y392" s="184" t="s">
        <v>149</v>
      </c>
      <c r="Z392" s="158" t="s">
        <v>149</v>
      </c>
      <c r="AA392" s="158" t="s">
        <v>149</v>
      </c>
      <c r="AB392" s="153" t="s">
        <v>2513</v>
      </c>
      <c r="AC392" s="158" t="s">
        <v>149</v>
      </c>
      <c r="AD392" s="158" t="s">
        <v>149</v>
      </c>
      <c r="AE392" s="158" t="s">
        <v>149</v>
      </c>
      <c r="AF392" s="158" t="s">
        <v>149</v>
      </c>
      <c r="AG392" s="164" t="s">
        <v>149</v>
      </c>
      <c r="AH392" s="158" t="s">
        <v>149</v>
      </c>
      <c r="AI392" s="158" t="s">
        <v>149</v>
      </c>
      <c r="AJ392" s="153" t="s">
        <v>765</v>
      </c>
      <c r="AK392" s="153" t="s">
        <v>6035</v>
      </c>
      <c r="AL392" s="153" t="s">
        <v>390</v>
      </c>
      <c r="AM392" s="153" t="s">
        <v>2514</v>
      </c>
      <c r="AN392" s="154" t="s">
        <v>149</v>
      </c>
      <c r="AO392" s="156">
        <v>1.0</v>
      </c>
      <c r="AP392" s="156" t="s">
        <v>6037</v>
      </c>
      <c r="AQ392" s="158" t="s">
        <v>6214</v>
      </c>
      <c r="AR392" s="153" t="s">
        <v>2515</v>
      </c>
      <c r="AS392" s="165" t="s">
        <v>2516</v>
      </c>
      <c r="AT392" s="153" t="s">
        <v>2517</v>
      </c>
      <c r="AU392" s="154" t="s">
        <v>149</v>
      </c>
    </row>
    <row r="393">
      <c r="A393" s="186">
        <v>196.0</v>
      </c>
      <c r="B393" s="152">
        <v>2023.0</v>
      </c>
      <c r="D393" s="152"/>
      <c r="E393" s="151">
        <v>196.0</v>
      </c>
      <c r="F393" s="129" t="s">
        <v>140</v>
      </c>
      <c r="G393" s="3" t="s">
        <v>6029</v>
      </c>
      <c r="H393" s="8" t="str">
        <f>IFERROR(__xludf.DUMMYFUNCTION("""COMPUTED_VALUE"""),"")</f>
        <v/>
      </c>
      <c r="I393" s="8" t="s">
        <v>6895</v>
      </c>
      <c r="J393" s="8" t="s">
        <v>535</v>
      </c>
      <c r="K393" s="8" t="s">
        <v>1089</v>
      </c>
      <c r="L393" s="8" t="s">
        <v>1667</v>
      </c>
      <c r="M393" s="153" t="s">
        <v>1668</v>
      </c>
      <c r="N393" s="8" t="s">
        <v>151</v>
      </c>
      <c r="O393" s="153" t="s">
        <v>1659</v>
      </c>
      <c r="P393" s="154" t="s">
        <v>149</v>
      </c>
      <c r="Q393" s="154" t="s">
        <v>149</v>
      </c>
      <c r="R393" s="142" t="s">
        <v>6198</v>
      </c>
      <c r="S393" s="142" t="s">
        <v>6896</v>
      </c>
      <c r="T393" s="8"/>
      <c r="U393" s="8">
        <f>IFERROR(__xludf.DUMMYFUNCTION("""COMPUTED_VALUE"""),373.0)</f>
        <v>373</v>
      </c>
      <c r="V393" s="8"/>
      <c r="W393" s="8"/>
      <c r="X393" s="8"/>
      <c r="Y393" s="8"/>
      <c r="AA393" s="8" t="s">
        <v>6897</v>
      </c>
      <c r="AB393" s="8" t="s">
        <v>1380</v>
      </c>
      <c r="AC393" s="8" t="s">
        <v>1663</v>
      </c>
      <c r="AG393" s="154" t="s">
        <v>149</v>
      </c>
      <c r="AH393" s="154" t="s">
        <v>149</v>
      </c>
      <c r="AI393" s="154" t="s">
        <v>149</v>
      </c>
      <c r="AJ393" s="8" t="s">
        <v>3307</v>
      </c>
      <c r="AL393" s="8" t="s">
        <v>1663</v>
      </c>
      <c r="AM393" s="154" t="s">
        <v>149</v>
      </c>
      <c r="AN393" s="154" t="s">
        <v>149</v>
      </c>
      <c r="AO393" s="8"/>
      <c r="AP393" s="8"/>
      <c r="AR393" s="8" t="s">
        <v>395</v>
      </c>
      <c r="AS393" s="8" t="s">
        <v>2873</v>
      </c>
      <c r="AT393" s="8" t="s">
        <v>398</v>
      </c>
      <c r="AU393" s="154" t="s">
        <v>149</v>
      </c>
    </row>
    <row r="394">
      <c r="A394" s="186">
        <v>197.0</v>
      </c>
      <c r="B394" s="152">
        <v>2023.0</v>
      </c>
      <c r="D394" s="152"/>
      <c r="E394" s="151">
        <v>197.0</v>
      </c>
      <c r="F394" s="129" t="s">
        <v>140</v>
      </c>
      <c r="G394" s="3" t="s">
        <v>6029</v>
      </c>
      <c r="H394" s="8" t="str">
        <f>IFERROR(__xludf.DUMMYFUNCTION("""COMPUTED_VALUE"""),"")</f>
        <v/>
      </c>
      <c r="I394" s="8" t="s">
        <v>6898</v>
      </c>
      <c r="J394" s="8" t="s">
        <v>535</v>
      </c>
      <c r="K394" s="8" t="s">
        <v>1089</v>
      </c>
      <c r="L394" s="8" t="s">
        <v>2511</v>
      </c>
      <c r="M394" s="153" t="s">
        <v>2512</v>
      </c>
      <c r="N394" s="8" t="s">
        <v>151</v>
      </c>
      <c r="O394" s="154" t="s">
        <v>149</v>
      </c>
      <c r="P394" s="154" t="s">
        <v>149</v>
      </c>
      <c r="Q394" s="154" t="s">
        <v>149</v>
      </c>
      <c r="R394" s="154" t="s">
        <v>149</v>
      </c>
      <c r="S394" s="154" t="s">
        <v>149</v>
      </c>
      <c r="T394" s="8"/>
      <c r="U394" s="8">
        <f>IFERROR(__xludf.DUMMYFUNCTION("""COMPUTED_VALUE"""),374.0)</f>
        <v>374</v>
      </c>
      <c r="V394" s="8"/>
      <c r="W394" s="154"/>
      <c r="X394" s="8"/>
      <c r="Y394" s="8"/>
      <c r="AA394" s="154" t="s">
        <v>149</v>
      </c>
      <c r="AB394" s="8" t="s">
        <v>2513</v>
      </c>
      <c r="AC394" s="154" t="s">
        <v>149</v>
      </c>
      <c r="AG394" s="142" t="s">
        <v>765</v>
      </c>
      <c r="AH394" s="154" t="s">
        <v>149</v>
      </c>
      <c r="AI394" s="154" t="s">
        <v>149</v>
      </c>
      <c r="AJ394" s="8" t="s">
        <v>765</v>
      </c>
      <c r="AL394" s="8" t="s">
        <v>390</v>
      </c>
      <c r="AM394" s="8" t="s">
        <v>2514</v>
      </c>
      <c r="AN394" s="154" t="s">
        <v>149</v>
      </c>
      <c r="AO394" s="8"/>
      <c r="AP394" s="8"/>
      <c r="AR394" s="8" t="s">
        <v>6214</v>
      </c>
      <c r="AS394" s="172" t="s">
        <v>2516</v>
      </c>
      <c r="AT394" s="8" t="s">
        <v>2517</v>
      </c>
      <c r="AU394" s="154" t="s">
        <v>149</v>
      </c>
    </row>
    <row r="395">
      <c r="A395" s="186">
        <v>197.0</v>
      </c>
      <c r="B395" s="152">
        <v>2025.0</v>
      </c>
      <c r="C395" s="153" t="str">
        <f t="shared" ref="C395:C396" si="39">CONCATENATE(D395, "-", M395, "-", A395)
</f>
        <v>2023-PH051711000-197</v>
      </c>
      <c r="D395" s="152">
        <f t="shared" ref="D395:D396" si="40">IF(OR(F394="Published", F394="Unpublished"), 2023, IF(F394="New", 2025, ""))
</f>
        <v>2023</v>
      </c>
      <c r="E395" s="151">
        <v>197.0</v>
      </c>
      <c r="F395" s="129" t="s">
        <v>140</v>
      </c>
      <c r="G395" s="156" t="s">
        <v>141</v>
      </c>
      <c r="H395" s="153" t="str">
        <f>IFERROR(__xludf.DUMMYFUNCTION("""COMPUTED_VALUE"""),"**Restoration method** changed from Artificial Reef to Asexual Reproduction, **Technique/Material Type** changed from Unknown to Coral transplantation, **Restoration objective** changed from Shelter and breeding ground to Unknown, **Funding agency** chang"&amp;"ed from Unknown to Reefs for Life, **Total funding** changed from Philippine Coast Guard Auxiliary to Unknown, **Total area of restoration** changed from Unknown to Uknown, **Implementing institution** changed from Philippine Coast Guard Auxiliary to Reef"&amp;"s for Life, **Partners_public** changed from BFAR to MLGU, **Partners_private** changed from USANT College of Maritime Education and College of Engineering and Architecture to Unknown, **Reference** changed from Published article to Reefs for Life (2022, "&amp;"October 27). Did you know that the Philippines has close to 600 species of coral of which 200 are considered vulnerable or endangered? [Status Update]. , **Website** changed from https://ejournals.ph/article.php?id=15657 to https://web.facebook.com/Caramo"&amp;"anCoralReefProject/photos/a.3514110111966651/5665048640206110/ , **Contact_name** changed from Jose B. Ballesteros to Bryan, **Contact_details** changed from Unknown to bryan@reefsforlife.org")</f>
        <v>**Restoration method** changed from Artificial Reef to Asexual Reproduction, **Technique/Material Type** changed from Unknown to Coral transplantation, **Restoration objective** changed from Shelter and breeding ground to Unknown, **Funding agency** changed from Unknown to Reefs for Life, **Total funding** changed from Philippine Coast Guard Auxiliary to Unknown, **Total area of restoration** changed from Unknown to Uknown, **Implementing institution** changed from Philippine Coast Guard Auxiliary to Reefs for Life, **Partners_public** changed from BFAR to MLGU, **Partners_private** changed from USANT College of Maritime Education and College of Engineering and Architecture to Unknown, **Reference** changed from Published article to Reefs for Life (2022, October 27). Did you know that the Philippines has close to 600 species of coral of which 200 are considered vulnerable or endangered? [Status Update]. , **Website** changed from https://ejournals.ph/article.php?id=15657 to https://web.facebook.com/CaramoanCoralReefProject/photos/a.3514110111966651/5665048640206110/ , **Contact_name** changed from Jose B. Ballesteros to Bryan, **Contact_details** changed from Unknown to bryan@reefsforlife.org</v>
      </c>
      <c r="I395" s="153" t="s">
        <v>6899</v>
      </c>
      <c r="J395" s="153" t="s">
        <v>535</v>
      </c>
      <c r="K395" s="153" t="s">
        <v>1089</v>
      </c>
      <c r="L395" s="153" t="s">
        <v>3081</v>
      </c>
      <c r="M395" s="181" t="s">
        <v>3082</v>
      </c>
      <c r="N395" s="153" t="s">
        <v>6062</v>
      </c>
      <c r="O395" s="158" t="s">
        <v>149</v>
      </c>
      <c r="P395" s="154" t="s">
        <v>149</v>
      </c>
      <c r="Q395" s="178" t="s">
        <v>149</v>
      </c>
      <c r="R395" s="160" t="s">
        <v>149</v>
      </c>
      <c r="S395" s="160" t="s">
        <v>149</v>
      </c>
      <c r="T395" s="156" t="s">
        <v>177</v>
      </c>
      <c r="U395" s="153">
        <f>IFERROR(__xludf.DUMMYFUNCTION("""COMPUTED_VALUE"""),375.0)</f>
        <v>375</v>
      </c>
      <c r="V395" s="191" t="s">
        <v>1359</v>
      </c>
      <c r="W395" s="184" t="s">
        <v>149</v>
      </c>
      <c r="X395" s="180"/>
      <c r="Y395" s="180" t="s">
        <v>154</v>
      </c>
      <c r="Z395" s="158" t="s">
        <v>179</v>
      </c>
      <c r="AA395" s="158" t="s">
        <v>179</v>
      </c>
      <c r="AB395" s="158" t="s">
        <v>149</v>
      </c>
      <c r="AC395" s="153" t="s">
        <v>3083</v>
      </c>
      <c r="AD395" s="158" t="s">
        <v>160</v>
      </c>
      <c r="AE395" s="158" t="s">
        <v>306</v>
      </c>
      <c r="AF395" s="158" t="s">
        <v>159</v>
      </c>
      <c r="AG395" s="164" t="s">
        <v>149</v>
      </c>
      <c r="AH395" s="158" t="s">
        <v>3084</v>
      </c>
      <c r="AI395" s="158" t="s">
        <v>149</v>
      </c>
      <c r="AJ395" s="153" t="s">
        <v>3083</v>
      </c>
      <c r="AK395" s="153" t="s">
        <v>306</v>
      </c>
      <c r="AL395" s="153" t="s">
        <v>369</v>
      </c>
      <c r="AM395" s="154" t="s">
        <v>149</v>
      </c>
      <c r="AN395" s="154" t="s">
        <v>149</v>
      </c>
      <c r="AO395" s="156">
        <v>1.0</v>
      </c>
      <c r="AP395" s="156" t="s">
        <v>6037</v>
      </c>
      <c r="AQ395" s="153" t="s">
        <v>6038</v>
      </c>
      <c r="AR395" s="153" t="s">
        <v>3085</v>
      </c>
      <c r="AS395" s="190" t="s">
        <v>3086</v>
      </c>
      <c r="AT395" s="153" t="s">
        <v>3087</v>
      </c>
      <c r="AU395" s="153" t="s">
        <v>3088</v>
      </c>
    </row>
    <row r="396">
      <c r="A396" s="186">
        <v>198.0</v>
      </c>
      <c r="B396" s="152">
        <v>2025.0</v>
      </c>
      <c r="C396" s="153" t="str">
        <f t="shared" si="39"/>
        <v>2023-PH051712000-198</v>
      </c>
      <c r="D396" s="152">
        <f t="shared" si="40"/>
        <v>2023</v>
      </c>
      <c r="E396" s="151">
        <v>198.0</v>
      </c>
      <c r="F396" s="156" t="s">
        <v>191</v>
      </c>
      <c r="G396" s="156" t="s">
        <v>191</v>
      </c>
      <c r="H396" s="153" t="str">
        <f>IFERROR(__xludf.DUMMYFUNCTION("""COMPUTED_VALUE"""),"**Restoration_project** changed from Unknown to Coral Rehabilitation Project, **Year of establishment** changed from Unknown to 2021, **Technique/Material Type** changed from Coral transplantation to Unknown, **Funding agency** changed from Reefs for Life"&amp;" to MLGU, **Total area of restoration** changed from Uknown to Unknown, **Implementing institution** changed from Reefs for Life to MLGU, **Partners_public** changed from MLGU to BFAR 5, **Reference** changed from Reefs for Life (2022, October 27). Did yo"&amp;"u know that the Philippines has close to 600 species of coral of which 200 are considered vulnerable or endangered? [Status Update]. to BFAR 5 Dive Team (2021, June 2). Experience Del Gallego. We are so grateful and thankful for the effort of people of De"&amp;"l Gallego who envolved and participated in the [Status Update], **Website** changed from https://web.facebook.com/CaramoanCoralReefProject/photos/a.3514110111966651/5665048640206110/ to https://web.facebook.com/109393900941452/videos/836922833909809, **Co"&amp;"ntact_name** changed from Bryan to Unknown, **Contact_details** changed from bryan@reefsforlife.org to Unknown")</f>
        <v>**Restoration_project** changed from Unknown to Coral Rehabilitation Project, **Year of establishment** changed from Unknown to 2021, **Technique/Material Type** changed from Coral transplantation to Unknown, **Funding agency** changed from Reefs for Life to MLGU, **Total area of restoration** changed from Uknown to Unknown, **Implementing institution** changed from Reefs for Life to MLGU, **Partners_public** changed from MLGU to BFAR 5, **Reference** changed from Reefs for Life (2022, October 27). Did you know that the Philippines has close to 600 species of coral of which 200 are considered vulnerable or endangered? [Status Update]. to BFAR 5 Dive Team (2021, June 2). Experience Del Gallego. We are so grateful and thankful for the effort of people of Del Gallego who envolved and participated in the [Status Update], **Website** changed from https://web.facebook.com/CaramoanCoralReefProject/photos/a.3514110111966651/5665048640206110/ to https://web.facebook.com/109393900941452/videos/836922833909809, **Contact_name** changed from Bryan to Unknown, **Contact_details** changed from bryan@reefsforlife.org to Unknown</v>
      </c>
      <c r="I396" s="153" t="s">
        <v>6900</v>
      </c>
      <c r="J396" s="153" t="s">
        <v>535</v>
      </c>
      <c r="K396" s="153" t="s">
        <v>1089</v>
      </c>
      <c r="L396" s="153" t="s">
        <v>1090</v>
      </c>
      <c r="M396" s="181" t="s">
        <v>1091</v>
      </c>
      <c r="N396" s="153" t="s">
        <v>6062</v>
      </c>
      <c r="O396" s="153" t="s">
        <v>1092</v>
      </c>
      <c r="P396" s="156" t="s">
        <v>149</v>
      </c>
      <c r="Q396" s="169">
        <v>2021.0</v>
      </c>
      <c r="R396" s="160" t="s">
        <v>149</v>
      </c>
      <c r="S396" s="160" t="s">
        <v>149</v>
      </c>
      <c r="T396" s="156" t="s">
        <v>177</v>
      </c>
      <c r="U396" s="153">
        <f>IFERROR(__xludf.DUMMYFUNCTION("""COMPUTED_VALUE"""),376.0)</f>
        <v>376</v>
      </c>
      <c r="V396" s="191" t="s">
        <v>3245</v>
      </c>
      <c r="W396" s="180" t="s">
        <v>149</v>
      </c>
      <c r="X396" s="180"/>
      <c r="Y396" s="180" t="s">
        <v>154</v>
      </c>
      <c r="Z396" s="158" t="s">
        <v>149</v>
      </c>
      <c r="AA396" s="158" t="s">
        <v>149</v>
      </c>
      <c r="AB396" s="158" t="s">
        <v>149</v>
      </c>
      <c r="AC396" s="153" t="s">
        <v>369</v>
      </c>
      <c r="AD396" s="158" t="s">
        <v>160</v>
      </c>
      <c r="AE396" s="158" t="s">
        <v>6035</v>
      </c>
      <c r="AF396" s="158" t="s">
        <v>159</v>
      </c>
      <c r="AG396" s="164" t="s">
        <v>149</v>
      </c>
      <c r="AH396" s="158" t="s">
        <v>149</v>
      </c>
      <c r="AI396" s="158" t="s">
        <v>149</v>
      </c>
      <c r="AJ396" s="153" t="s">
        <v>369</v>
      </c>
      <c r="AK396" s="153" t="s">
        <v>6035</v>
      </c>
      <c r="AL396" s="153" t="s">
        <v>1093</v>
      </c>
      <c r="AM396" s="156" t="s">
        <v>149</v>
      </c>
      <c r="AN396" s="156" t="s">
        <v>149</v>
      </c>
      <c r="AO396" s="156">
        <v>1.0</v>
      </c>
      <c r="AP396" s="156" t="s">
        <v>6037</v>
      </c>
      <c r="AQ396" s="153" t="s">
        <v>6038</v>
      </c>
      <c r="AR396" s="153" t="s">
        <v>1094</v>
      </c>
      <c r="AS396" s="172" t="s">
        <v>1095</v>
      </c>
      <c r="AT396" s="156" t="s">
        <v>149</v>
      </c>
      <c r="AU396" s="156" t="s">
        <v>149</v>
      </c>
    </row>
    <row r="397" ht="15.0" customHeight="1">
      <c r="A397" s="186">
        <v>198.0</v>
      </c>
      <c r="B397" s="152">
        <v>2023.0</v>
      </c>
      <c r="D397" s="152"/>
      <c r="E397" s="151">
        <v>198.0</v>
      </c>
      <c r="F397" s="129" t="s">
        <v>140</v>
      </c>
      <c r="G397" s="3" t="s">
        <v>6029</v>
      </c>
      <c r="H397" s="8" t="str">
        <f>IFERROR(__xludf.DUMMYFUNCTION("""COMPUTED_VALUE"""),"")</f>
        <v/>
      </c>
      <c r="I397" s="8" t="s">
        <v>6901</v>
      </c>
      <c r="J397" s="8" t="s">
        <v>535</v>
      </c>
      <c r="K397" s="8" t="s">
        <v>1089</v>
      </c>
      <c r="L397" s="8" t="s">
        <v>3081</v>
      </c>
      <c r="M397" s="153" t="s">
        <v>3082</v>
      </c>
      <c r="N397" s="8" t="s">
        <v>6062</v>
      </c>
      <c r="O397" s="154" t="s">
        <v>149</v>
      </c>
      <c r="P397" s="154" t="s">
        <v>149</v>
      </c>
      <c r="Q397" s="154" t="s">
        <v>149</v>
      </c>
      <c r="R397" s="154" t="s">
        <v>149</v>
      </c>
      <c r="S397" s="154" t="s">
        <v>149</v>
      </c>
      <c r="T397" s="8"/>
      <c r="U397" s="8">
        <f>IFERROR(__xludf.DUMMYFUNCTION("""COMPUTED_VALUE"""),377.0)</f>
        <v>377</v>
      </c>
      <c r="V397" s="8"/>
      <c r="W397" s="8"/>
      <c r="X397" s="8"/>
      <c r="Y397" s="8"/>
      <c r="AA397" s="8" t="s">
        <v>6666</v>
      </c>
      <c r="AB397" s="154" t="s">
        <v>149</v>
      </c>
      <c r="AC397" s="8" t="s">
        <v>3083</v>
      </c>
      <c r="AG397" s="154" t="s">
        <v>149</v>
      </c>
      <c r="AH397" s="154" t="s">
        <v>149</v>
      </c>
      <c r="AI397" s="154" t="s">
        <v>149</v>
      </c>
      <c r="AJ397" s="8" t="s">
        <v>3083</v>
      </c>
      <c r="AL397" s="8" t="s">
        <v>369</v>
      </c>
      <c r="AM397" s="154" t="s">
        <v>149</v>
      </c>
      <c r="AN397" s="154" t="s">
        <v>149</v>
      </c>
      <c r="AO397" s="8"/>
      <c r="AP397" s="8"/>
      <c r="AR397" s="8" t="s">
        <v>6038</v>
      </c>
      <c r="AS397" s="8" t="s">
        <v>6902</v>
      </c>
      <c r="AT397" s="8" t="s">
        <v>3087</v>
      </c>
      <c r="AU397" s="8" t="s">
        <v>3088</v>
      </c>
    </row>
    <row r="398">
      <c r="A398" s="186">
        <v>199.0</v>
      </c>
      <c r="B398" s="152">
        <v>2023.0</v>
      </c>
      <c r="D398" s="152"/>
      <c r="E398" s="151">
        <v>199.0</v>
      </c>
      <c r="F398" s="129" t="s">
        <v>140</v>
      </c>
      <c r="G398" s="3" t="s">
        <v>6029</v>
      </c>
      <c r="H398" s="8" t="str">
        <f>IFERROR(__xludf.DUMMYFUNCTION("""COMPUTED_VALUE"""),"")</f>
        <v/>
      </c>
      <c r="I398" s="8" t="s">
        <v>6903</v>
      </c>
      <c r="J398" s="8" t="s">
        <v>535</v>
      </c>
      <c r="K398" s="8" t="s">
        <v>1089</v>
      </c>
      <c r="L398" s="8" t="s">
        <v>1324</v>
      </c>
      <c r="M398" s="153" t="s">
        <v>1325</v>
      </c>
      <c r="N398" s="8" t="s">
        <v>151</v>
      </c>
      <c r="O398" s="8" t="s">
        <v>1377</v>
      </c>
      <c r="P398" s="154" t="s">
        <v>149</v>
      </c>
      <c r="Q398" s="154" t="s">
        <v>149</v>
      </c>
      <c r="R398" s="142" t="s">
        <v>6198</v>
      </c>
      <c r="S398" s="142" t="s">
        <v>6199</v>
      </c>
      <c r="T398" s="8"/>
      <c r="U398" s="8">
        <f>IFERROR(__xludf.DUMMYFUNCTION("""COMPUTED_VALUE"""),378.0)</f>
        <v>378</v>
      </c>
      <c r="V398" s="8"/>
      <c r="W398" s="154"/>
      <c r="X398" s="8"/>
      <c r="Y398" s="8"/>
      <c r="AA398" s="154" t="s">
        <v>149</v>
      </c>
      <c r="AB398" s="154" t="s">
        <v>149</v>
      </c>
      <c r="AC398" s="8" t="s">
        <v>1381</v>
      </c>
      <c r="AG398" s="154" t="s">
        <v>149</v>
      </c>
      <c r="AH398" s="154" t="s">
        <v>149</v>
      </c>
      <c r="AI398" s="154" t="s">
        <v>149</v>
      </c>
      <c r="AJ398" s="8" t="s">
        <v>660</v>
      </c>
      <c r="AL398" s="8" t="s">
        <v>369</v>
      </c>
      <c r="AM398" s="154" t="s">
        <v>149</v>
      </c>
      <c r="AN398" s="154" t="s">
        <v>149</v>
      </c>
      <c r="AO398" s="8"/>
      <c r="AP398" s="8"/>
      <c r="AR398" s="8" t="s">
        <v>395</v>
      </c>
      <c r="AS398" s="8" t="s">
        <v>2873</v>
      </c>
      <c r="AT398" s="8" t="s">
        <v>398</v>
      </c>
      <c r="AU398" s="154" t="s">
        <v>149</v>
      </c>
    </row>
    <row r="399">
      <c r="A399" s="186">
        <v>199.0</v>
      </c>
      <c r="B399" s="152">
        <v>2025.0</v>
      </c>
      <c r="C399" s="153" t="str">
        <f>CONCATENATE(D399, "-", M399, "-", A399)
</f>
        <v>2023-PH051727000-199</v>
      </c>
      <c r="D399" s="152">
        <f>IF(OR(F398="Published", F398="Unpublished"), 2023, IF(F398="New", 2025, ""))
</f>
        <v>2023</v>
      </c>
      <c r="E399" s="151">
        <v>199.0</v>
      </c>
      <c r="F399" s="156" t="s">
        <v>140</v>
      </c>
      <c r="G399" s="156" t="s">
        <v>141</v>
      </c>
      <c r="H399" s="153" t="str">
        <f>IFERROR(__xludf.DUMMYFUNCTION("""COMPUTED_VALUE"""),"**Reference** changed from Conference Proceeding to Balgos, M.C. (1995). Evaluation of artificial reef development in the Philippines. In Munro, J.L. &amp; Balgos, M. (eds.) Artificial reefs in the Philippines. ICLARM Conf. Proc. 49, pp. 6-22., **Website** ch"&amp;"anged from http://pubs.iclarm.net/libinfo/Pdf/Pub%20CP6%2049.pdf to https://core.ac.uk/download/pdf/6515223.pdf;")</f>
        <v>**Reference**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399" s="153" t="s">
        <v>6903</v>
      </c>
      <c r="J399" s="153" t="s">
        <v>535</v>
      </c>
      <c r="K399" s="153" t="s">
        <v>1089</v>
      </c>
      <c r="L399" s="153" t="s">
        <v>1324</v>
      </c>
      <c r="M399" s="181" t="s">
        <v>1325</v>
      </c>
      <c r="N399" s="153" t="s">
        <v>151</v>
      </c>
      <c r="O399" s="153" t="s">
        <v>1377</v>
      </c>
      <c r="P399" s="154" t="s">
        <v>149</v>
      </c>
      <c r="Q399" s="178" t="s">
        <v>149</v>
      </c>
      <c r="R399" s="175" t="s">
        <v>6198</v>
      </c>
      <c r="S399" s="175" t="s">
        <v>6199</v>
      </c>
      <c r="T399" s="161" t="s">
        <v>150</v>
      </c>
      <c r="U399" s="153">
        <f>IFERROR(__xludf.DUMMYFUNCTION("""COMPUTED_VALUE"""),378.0)</f>
        <v>378</v>
      </c>
      <c r="V399" s="162" t="s">
        <v>3311</v>
      </c>
      <c r="W399" s="187" t="s">
        <v>149</v>
      </c>
      <c r="X399" s="184"/>
      <c r="Y399" s="184" t="s">
        <v>149</v>
      </c>
      <c r="Z399" s="158" t="s">
        <v>149</v>
      </c>
      <c r="AA399" s="158" t="s">
        <v>149</v>
      </c>
      <c r="AB399" s="158" t="s">
        <v>149</v>
      </c>
      <c r="AC399" s="153" t="s">
        <v>1381</v>
      </c>
      <c r="AD399" s="158" t="s">
        <v>6154</v>
      </c>
      <c r="AE399" s="158" t="s">
        <v>206</v>
      </c>
      <c r="AF399" s="158" t="s">
        <v>159</v>
      </c>
      <c r="AG399" s="164" t="s">
        <v>149</v>
      </c>
      <c r="AH399" s="158" t="s">
        <v>149</v>
      </c>
      <c r="AI399" s="158" t="s">
        <v>149</v>
      </c>
      <c r="AJ399" s="153" t="s">
        <v>660</v>
      </c>
      <c r="AK399" s="153" t="s">
        <v>6035</v>
      </c>
      <c r="AL399" s="153" t="s">
        <v>369</v>
      </c>
      <c r="AM399" s="154" t="s">
        <v>149</v>
      </c>
      <c r="AN399" s="154" t="s">
        <v>149</v>
      </c>
      <c r="AO399" s="156">
        <v>1.0</v>
      </c>
      <c r="AP399" s="156" t="s">
        <v>6037</v>
      </c>
      <c r="AQ399" s="158" t="s">
        <v>395</v>
      </c>
      <c r="AR399" s="153" t="s">
        <v>6060</v>
      </c>
      <c r="AS399" s="158" t="s">
        <v>6711</v>
      </c>
      <c r="AT399" s="153" t="s">
        <v>398</v>
      </c>
      <c r="AU399" s="154" t="s">
        <v>149</v>
      </c>
    </row>
    <row r="400">
      <c r="A400" s="186">
        <v>200.0</v>
      </c>
      <c r="B400" s="152">
        <v>2023.0</v>
      </c>
      <c r="D400" s="152"/>
      <c r="E400" s="151">
        <v>200.0</v>
      </c>
      <c r="F400" s="129" t="s">
        <v>140</v>
      </c>
      <c r="G400" s="3" t="s">
        <v>6029</v>
      </c>
      <c r="H400" s="8" t="str">
        <f>IFERROR(__xludf.DUMMYFUNCTION("""COMPUTED_VALUE"""),"")</f>
        <v/>
      </c>
      <c r="I400" s="8" t="s">
        <v>6904</v>
      </c>
      <c r="J400" s="8" t="s">
        <v>535</v>
      </c>
      <c r="K400" s="8" t="s">
        <v>1089</v>
      </c>
      <c r="L400" s="8" t="s">
        <v>1324</v>
      </c>
      <c r="M400" s="153" t="s">
        <v>1325</v>
      </c>
      <c r="N400" s="8" t="s">
        <v>151</v>
      </c>
      <c r="O400" s="154" t="s">
        <v>149</v>
      </c>
      <c r="P400" s="154" t="s">
        <v>149</v>
      </c>
      <c r="Q400" s="142" t="s">
        <v>6776</v>
      </c>
      <c r="R400" s="154" t="s">
        <v>149</v>
      </c>
      <c r="S400" s="154" t="s">
        <v>149</v>
      </c>
      <c r="T400" s="8"/>
      <c r="U400" s="8">
        <f>IFERROR(__xludf.DUMMYFUNCTION("""COMPUTED_VALUE"""),379.0)</f>
        <v>379</v>
      </c>
      <c r="V400" s="8"/>
      <c r="W400" s="154"/>
      <c r="X400" s="8"/>
      <c r="Y400" s="8"/>
      <c r="AA400" s="154" t="s">
        <v>149</v>
      </c>
      <c r="AB400" s="154" t="s">
        <v>149</v>
      </c>
      <c r="AC400" s="154" t="s">
        <v>149</v>
      </c>
      <c r="AG400" s="154" t="s">
        <v>149</v>
      </c>
      <c r="AH400" s="154" t="s">
        <v>149</v>
      </c>
      <c r="AI400" s="154" t="s">
        <v>149</v>
      </c>
      <c r="AJ400" s="154" t="s">
        <v>149</v>
      </c>
      <c r="AL400" s="154" t="s">
        <v>149</v>
      </c>
      <c r="AM400" s="154" t="s">
        <v>149</v>
      </c>
      <c r="AN400" s="154" t="s">
        <v>149</v>
      </c>
      <c r="AO400" s="8"/>
      <c r="AP400" s="8"/>
      <c r="AR400" s="8" t="s">
        <v>395</v>
      </c>
      <c r="AS400" s="8" t="s">
        <v>2873</v>
      </c>
      <c r="AT400" s="8" t="s">
        <v>398</v>
      </c>
      <c r="AU400" s="154" t="s">
        <v>149</v>
      </c>
    </row>
    <row r="401">
      <c r="A401" s="186">
        <v>200.0</v>
      </c>
      <c r="B401" s="152">
        <v>2025.0</v>
      </c>
      <c r="C401" s="153" t="str">
        <f>CONCATENATE(D401, "-", M401, "-", A401)
</f>
        <v>2023-PH051727000-200</v>
      </c>
      <c r="D401" s="152">
        <f>IF(OR(F400="Published", F400="Unpublished"), 2023, IF(F400="New", 2025, ""))
</f>
        <v>2023</v>
      </c>
      <c r="E401" s="151">
        <v>200.0</v>
      </c>
      <c r="F401" s="156" t="s">
        <v>140</v>
      </c>
      <c r="G401" s="156" t="s">
        <v>141</v>
      </c>
      <c r="H401" s="153" t="str">
        <f>IFERROR(__xludf.DUMMYFUNCTION("""COMPUTED_VALUE"""),"**Year of establishment** changed from 1989 to 1989, **Reference** changed from Conference Proceeding to Balgos, M.C. (1995). Evaluation of artificial reef development in the Philippines. In Munro, J.L. &amp; Balgos, M. (eds.) Artificial reefs in the Philippi"&amp;"nes. ICLARM Conf. Proc. 49, pp. 6-22., **Website** changed from http://pubs.iclarm.net/libinfo/Pdf/Pub%20CP6%2049.pdf to https://core.ac.uk/download/pdf/6515223.pdf;")</f>
        <v>**Year of establishment** changed from 1989 to 1989,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01" s="153" t="s">
        <v>6904</v>
      </c>
      <c r="J401" s="153" t="s">
        <v>535</v>
      </c>
      <c r="K401" s="153" t="s">
        <v>1089</v>
      </c>
      <c r="L401" s="153" t="s">
        <v>1324</v>
      </c>
      <c r="M401" s="181" t="s">
        <v>1325</v>
      </c>
      <c r="N401" s="153" t="s">
        <v>151</v>
      </c>
      <c r="O401" s="158" t="s">
        <v>149</v>
      </c>
      <c r="P401" s="154" t="s">
        <v>149</v>
      </c>
      <c r="Q401" s="169">
        <v>1989.0</v>
      </c>
      <c r="R401" s="160" t="s">
        <v>149</v>
      </c>
      <c r="S401" s="160" t="s">
        <v>149</v>
      </c>
      <c r="T401" s="161" t="s">
        <v>150</v>
      </c>
      <c r="U401" s="153">
        <f>IFERROR(__xludf.DUMMYFUNCTION("""COMPUTED_VALUE"""),379.0)</f>
        <v>379</v>
      </c>
      <c r="V401" s="162" t="s">
        <v>3311</v>
      </c>
      <c r="W401" s="187" t="s">
        <v>149</v>
      </c>
      <c r="X401" s="184"/>
      <c r="Y401" s="184" t="s">
        <v>149</v>
      </c>
      <c r="Z401" s="158" t="s">
        <v>149</v>
      </c>
      <c r="AA401" s="158" t="s">
        <v>149</v>
      </c>
      <c r="AB401" s="158" t="s">
        <v>149</v>
      </c>
      <c r="AC401" s="158" t="s">
        <v>149</v>
      </c>
      <c r="AD401" s="158" t="s">
        <v>149</v>
      </c>
      <c r="AE401" s="158" t="s">
        <v>149</v>
      </c>
      <c r="AF401" s="158" t="s">
        <v>149</v>
      </c>
      <c r="AG401" s="164" t="s">
        <v>149</v>
      </c>
      <c r="AH401" s="158" t="s">
        <v>149</v>
      </c>
      <c r="AI401" s="158" t="s">
        <v>149</v>
      </c>
      <c r="AJ401" s="158" t="s">
        <v>149</v>
      </c>
      <c r="AK401" s="158" t="s">
        <v>149</v>
      </c>
      <c r="AL401" s="154" t="s">
        <v>149</v>
      </c>
      <c r="AM401" s="154" t="s">
        <v>149</v>
      </c>
      <c r="AN401" s="154" t="s">
        <v>149</v>
      </c>
      <c r="AO401" s="156">
        <v>1.0</v>
      </c>
      <c r="AP401" s="156" t="s">
        <v>6037</v>
      </c>
      <c r="AQ401" s="158" t="s">
        <v>395</v>
      </c>
      <c r="AR401" s="153" t="s">
        <v>6060</v>
      </c>
      <c r="AS401" s="158" t="s">
        <v>6711</v>
      </c>
      <c r="AT401" s="153" t="s">
        <v>398</v>
      </c>
      <c r="AU401" s="154" t="s">
        <v>149</v>
      </c>
    </row>
    <row r="402">
      <c r="A402" s="186">
        <v>201.0</v>
      </c>
      <c r="B402" s="152">
        <v>2023.0</v>
      </c>
      <c r="D402" s="152"/>
      <c r="E402" s="151">
        <v>201.0</v>
      </c>
      <c r="F402" s="129" t="s">
        <v>140</v>
      </c>
      <c r="G402" s="3" t="s">
        <v>6029</v>
      </c>
      <c r="H402" s="8" t="str">
        <f>IFERROR(__xludf.DUMMYFUNCTION("""COMPUTED_VALUE"""),"")</f>
        <v/>
      </c>
      <c r="I402" s="8" t="s">
        <v>6905</v>
      </c>
      <c r="J402" s="8" t="s">
        <v>535</v>
      </c>
      <c r="K402" s="8" t="s">
        <v>1089</v>
      </c>
      <c r="L402" s="8" t="s">
        <v>1324</v>
      </c>
      <c r="M402" s="153" t="s">
        <v>1325</v>
      </c>
      <c r="N402" s="8" t="s">
        <v>151</v>
      </c>
      <c r="O402" s="8" t="s">
        <v>1309</v>
      </c>
      <c r="P402" s="154" t="s">
        <v>149</v>
      </c>
      <c r="Q402" s="142" t="s">
        <v>6906</v>
      </c>
      <c r="R402" s="154" t="s">
        <v>149</v>
      </c>
      <c r="S402" s="154" t="s">
        <v>149</v>
      </c>
      <c r="T402" s="8"/>
      <c r="U402" s="8">
        <f>IFERROR(__xludf.DUMMYFUNCTION("""COMPUTED_VALUE"""),380.0)</f>
        <v>380</v>
      </c>
      <c r="V402" s="8"/>
      <c r="W402" s="154"/>
      <c r="X402" s="8"/>
      <c r="Y402" s="8"/>
      <c r="AA402" s="154" t="s">
        <v>149</v>
      </c>
      <c r="AB402" s="154" t="s">
        <v>149</v>
      </c>
      <c r="AC402" s="8" t="s">
        <v>6907</v>
      </c>
      <c r="AG402" s="154" t="s">
        <v>149</v>
      </c>
      <c r="AH402" s="154" t="s">
        <v>149</v>
      </c>
      <c r="AI402" s="8" t="s">
        <v>6908</v>
      </c>
      <c r="AJ402" s="8" t="s">
        <v>390</v>
      </c>
      <c r="AL402" s="8" t="s">
        <v>6909</v>
      </c>
      <c r="AM402" s="154" t="s">
        <v>149</v>
      </c>
      <c r="AN402" s="154" t="s">
        <v>149</v>
      </c>
      <c r="AO402" s="8"/>
      <c r="AP402" s="8"/>
      <c r="AR402" s="8" t="s">
        <v>6084</v>
      </c>
      <c r="AS402" s="8" t="s">
        <v>1331</v>
      </c>
      <c r="AT402" s="154" t="s">
        <v>149</v>
      </c>
      <c r="AU402" s="154" t="s">
        <v>149</v>
      </c>
    </row>
    <row r="403">
      <c r="A403" s="186">
        <v>201.0</v>
      </c>
      <c r="B403" s="152">
        <v>2025.0</v>
      </c>
      <c r="C403" s="153" t="str">
        <f>CONCATENATE(D403, "-", M403, "-", A403)
</f>
        <v>2023-PH051727000-201</v>
      </c>
      <c r="D403" s="152">
        <f>IF(OR(F402="Published", F402="Unpublished"), 2023, IF(F402="New", 2025, ""))
</f>
        <v>2023</v>
      </c>
      <c r="E403" s="151">
        <v>201.0</v>
      </c>
      <c r="F403" s="156" t="s">
        <v>140</v>
      </c>
      <c r="G403" s="156" t="s">
        <v>141</v>
      </c>
      <c r="H403" s="153" t="str">
        <f>IFERROR(__xludf.DUMMYFUNCTION("""COMPUTED_VALUE"""),"**Year of establishment** changed from 2020 to 2020, **Project Start** changed from Unknown to 2016, **Project End** changed from Unknown to 2020, **Restoration objective** changed from Unknown to Habitat for coral reef fishes; fisheries productivity, **F"&amp;"unding agency** changed from IFAD to International Fund for Agricultural Development, **Total units** changed from 632 units to 37 units, **Reference** changed from Report to BFAR (2020). Fisheries, Coastal Resources and Livelihood Project (FishCORAL) Ann"&amp;"ual Progress Report Year 2020. https://www.bfar.da.gov.ph/wp-content/uploads/2022/05/FishCORAL-Project-Annual-Report-2020.pdf")</f>
        <v>**Year of establishment** changed from 2020 to 2020, **Project Start** changed from Unknown to 2016, **Project End** changed from Unknown to 2020, **Restoration objective** changed from Unknown to Habitat for coral reef fishes; fisheries productivity, **Funding agency** changed from IFAD to International Fund for Agricultural Development, **Total units** changed from 632 units to 37 units, **Reference** changed from Report to BFAR (2020). Fisheries, Coastal Resources and Livelihood Project (FishCORAL) Annual Progress Report Year 2020. https://www.bfar.da.gov.ph/wp-content/uploads/2022/05/FishCORAL-Project-Annual-Report-2020.pdf</v>
      </c>
      <c r="I403" s="153" t="s">
        <v>6905</v>
      </c>
      <c r="J403" s="153" t="s">
        <v>535</v>
      </c>
      <c r="K403" s="153" t="s">
        <v>1089</v>
      </c>
      <c r="L403" s="153" t="s">
        <v>1324</v>
      </c>
      <c r="M403" s="181" t="s">
        <v>1325</v>
      </c>
      <c r="N403" s="153" t="s">
        <v>151</v>
      </c>
      <c r="O403" s="153" t="s">
        <v>1309</v>
      </c>
      <c r="P403" s="154" t="s">
        <v>149</v>
      </c>
      <c r="Q403" s="169">
        <v>2020.0</v>
      </c>
      <c r="R403" s="160" t="s">
        <v>6064</v>
      </c>
      <c r="S403" s="160" t="s">
        <v>6906</v>
      </c>
      <c r="T403" s="161" t="s">
        <v>150</v>
      </c>
      <c r="U403" s="153">
        <f>IFERROR(__xludf.DUMMYFUNCTION("""COMPUTED_VALUE"""),380.0)</f>
        <v>380</v>
      </c>
      <c r="V403" s="162" t="s">
        <v>3311</v>
      </c>
      <c r="W403" s="187" t="s">
        <v>149</v>
      </c>
      <c r="X403" s="184"/>
      <c r="Y403" s="184" t="s">
        <v>149</v>
      </c>
      <c r="Z403" s="158" t="s">
        <v>149</v>
      </c>
      <c r="AA403" s="158" t="s">
        <v>149</v>
      </c>
      <c r="AB403" s="158" t="s">
        <v>6910</v>
      </c>
      <c r="AC403" s="158" t="s">
        <v>1327</v>
      </c>
      <c r="AD403" s="158" t="s">
        <v>6154</v>
      </c>
      <c r="AE403" s="158" t="s">
        <v>206</v>
      </c>
      <c r="AF403" s="158" t="s">
        <v>159</v>
      </c>
      <c r="AG403" s="164" t="s">
        <v>149</v>
      </c>
      <c r="AH403" s="158" t="s">
        <v>149</v>
      </c>
      <c r="AI403" s="153" t="s">
        <v>1328</v>
      </c>
      <c r="AJ403" s="153" t="s">
        <v>390</v>
      </c>
      <c r="AK403" s="153" t="s">
        <v>6035</v>
      </c>
      <c r="AL403" s="153" t="s">
        <v>6909</v>
      </c>
      <c r="AM403" s="154" t="s">
        <v>149</v>
      </c>
      <c r="AN403" s="154" t="s">
        <v>149</v>
      </c>
      <c r="AO403" s="156">
        <v>1.0</v>
      </c>
      <c r="AP403" s="156" t="s">
        <v>6037</v>
      </c>
      <c r="AQ403" s="153" t="s">
        <v>6084</v>
      </c>
      <c r="AR403" s="153" t="s">
        <v>1330</v>
      </c>
      <c r="AS403" s="153" t="s">
        <v>1331</v>
      </c>
      <c r="AT403" s="154" t="s">
        <v>149</v>
      </c>
      <c r="AU403" s="154" t="s">
        <v>149</v>
      </c>
    </row>
    <row r="404">
      <c r="A404" s="186">
        <v>202.0</v>
      </c>
      <c r="B404" s="152">
        <v>2023.0</v>
      </c>
      <c r="D404" s="152"/>
      <c r="E404" s="151">
        <v>202.0</v>
      </c>
      <c r="F404" s="129" t="s">
        <v>140</v>
      </c>
      <c r="G404" s="3" t="s">
        <v>6029</v>
      </c>
      <c r="H404" s="8" t="str">
        <f>IFERROR(__xludf.DUMMYFUNCTION("""COMPUTED_VALUE"""),"")</f>
        <v/>
      </c>
      <c r="I404" s="8" t="s">
        <v>6911</v>
      </c>
      <c r="J404" s="8" t="s">
        <v>535</v>
      </c>
      <c r="K404" s="8" t="s">
        <v>1089</v>
      </c>
      <c r="L404" s="8" t="s">
        <v>2457</v>
      </c>
      <c r="M404" s="153" t="s">
        <v>2458</v>
      </c>
      <c r="N404" s="8" t="s">
        <v>6062</v>
      </c>
      <c r="O404" s="154" t="s">
        <v>149</v>
      </c>
      <c r="P404" s="154" t="s">
        <v>149</v>
      </c>
      <c r="Q404" s="142" t="s">
        <v>6273</v>
      </c>
      <c r="R404" s="154" t="s">
        <v>149</v>
      </c>
      <c r="S404" s="154" t="s">
        <v>149</v>
      </c>
      <c r="T404" s="8"/>
      <c r="U404" s="8">
        <f>IFERROR(__xludf.DUMMYFUNCTION("""COMPUTED_VALUE"""),381.0)</f>
        <v>381</v>
      </c>
      <c r="V404" s="8"/>
      <c r="W404" s="8"/>
      <c r="X404" s="8"/>
      <c r="Y404" s="8"/>
      <c r="AA404" s="8" t="s">
        <v>6666</v>
      </c>
      <c r="AB404" s="8" t="s">
        <v>2459</v>
      </c>
      <c r="AC404" s="8" t="s">
        <v>369</v>
      </c>
      <c r="AG404" s="154" t="s">
        <v>149</v>
      </c>
      <c r="AH404" s="154" t="s">
        <v>149</v>
      </c>
      <c r="AI404" s="154" t="s">
        <v>149</v>
      </c>
      <c r="AJ404" s="8" t="s">
        <v>2410</v>
      </c>
      <c r="AL404" s="8" t="s">
        <v>6912</v>
      </c>
      <c r="AM404" s="154" t="s">
        <v>149</v>
      </c>
      <c r="AN404" s="154" t="s">
        <v>149</v>
      </c>
      <c r="AO404" s="8"/>
      <c r="AP404" s="8"/>
      <c r="AR404" s="8" t="s">
        <v>166</v>
      </c>
      <c r="AS404" s="172" t="s">
        <v>2462</v>
      </c>
      <c r="AT404" s="154" t="s">
        <v>149</v>
      </c>
      <c r="AU404" s="154" t="s">
        <v>149</v>
      </c>
    </row>
    <row r="405">
      <c r="A405" s="186">
        <v>202.0</v>
      </c>
      <c r="B405" s="152">
        <v>2025.0</v>
      </c>
      <c r="C405" s="153" t="str">
        <f>CONCATENATE(D405, "-", M405, "-", A405)
</f>
        <v>2023-PH051729000-202</v>
      </c>
      <c r="D405" s="152">
        <f>IF(OR(F404="Published", F404="Unpublished"), 2023, IF(F404="New", 2025, ""))
</f>
        <v>2023</v>
      </c>
      <c r="E405" s="151">
        <v>202.0</v>
      </c>
      <c r="F405" s="156" t="s">
        <v>140</v>
      </c>
      <c r="G405" s="156" t="s">
        <v>141</v>
      </c>
      <c r="H405" s="153" t="str">
        <f>IFERROR(__xludf.DUMMYFUNCTION("""COMPUTED_VALUE"""),"**Year of establishment** changed from 2019 to 2019, **Reference** changed from News/Press Release to DENR Region 5 (2019, October 9). Coral Reef Restoration at Gamban Reef [Press Release]. https://r5.denr.gov.ph/index.php/news-events/photo-releases/1292-"&amp;"coral-reef-restoration-at-gamban-reef")</f>
        <v>**Year of establishment** changed from 2019 to 2019, **Reference** changed from News/Press Release to DENR Region 5 (2019, October 9). Coral Reef Restoration at Gamban Reef [Press Release]. https://r5.denr.gov.ph/index.php/news-events/photo-releases/1292-coral-reef-restoration-at-gamban-reef</v>
      </c>
      <c r="I405" s="153" t="s">
        <v>6911</v>
      </c>
      <c r="J405" s="153" t="s">
        <v>535</v>
      </c>
      <c r="K405" s="153" t="s">
        <v>1089</v>
      </c>
      <c r="L405" s="153" t="s">
        <v>2457</v>
      </c>
      <c r="M405" s="181" t="s">
        <v>2458</v>
      </c>
      <c r="N405" s="153" t="s">
        <v>6062</v>
      </c>
      <c r="O405" s="158" t="s">
        <v>149</v>
      </c>
      <c r="P405" s="154" t="s">
        <v>149</v>
      </c>
      <c r="Q405" s="169">
        <v>2019.0</v>
      </c>
      <c r="R405" s="160" t="s">
        <v>149</v>
      </c>
      <c r="S405" s="160" t="s">
        <v>149</v>
      </c>
      <c r="T405" s="156" t="s">
        <v>177</v>
      </c>
      <c r="U405" s="153">
        <f>IFERROR(__xludf.DUMMYFUNCTION("""COMPUTED_VALUE"""),381.0)</f>
        <v>381</v>
      </c>
      <c r="V405" s="191" t="s">
        <v>3245</v>
      </c>
      <c r="W405" s="179" t="s">
        <v>149</v>
      </c>
      <c r="X405" s="180"/>
      <c r="Y405" s="180" t="s">
        <v>154</v>
      </c>
      <c r="Z405" s="158" t="s">
        <v>179</v>
      </c>
      <c r="AA405" s="153" t="s">
        <v>6666</v>
      </c>
      <c r="AB405" s="153" t="s">
        <v>2459</v>
      </c>
      <c r="AC405" s="153" t="s">
        <v>369</v>
      </c>
      <c r="AD405" s="158" t="s">
        <v>160</v>
      </c>
      <c r="AE405" s="158" t="s">
        <v>6035</v>
      </c>
      <c r="AF405" s="158" t="s">
        <v>159</v>
      </c>
      <c r="AG405" s="164" t="s">
        <v>149</v>
      </c>
      <c r="AH405" s="158" t="s">
        <v>149</v>
      </c>
      <c r="AI405" s="158" t="s">
        <v>149</v>
      </c>
      <c r="AJ405" s="153" t="s">
        <v>2410</v>
      </c>
      <c r="AK405" s="153" t="s">
        <v>6035</v>
      </c>
      <c r="AL405" s="153" t="s">
        <v>6912</v>
      </c>
      <c r="AM405" s="154" t="s">
        <v>149</v>
      </c>
      <c r="AN405" s="154" t="s">
        <v>149</v>
      </c>
      <c r="AO405" s="156">
        <v>1.0</v>
      </c>
      <c r="AP405" s="156" t="s">
        <v>6037</v>
      </c>
      <c r="AQ405" s="158" t="s">
        <v>166</v>
      </c>
      <c r="AR405" s="153" t="s">
        <v>2461</v>
      </c>
      <c r="AS405" s="165" t="s">
        <v>2462</v>
      </c>
      <c r="AT405" s="154" t="s">
        <v>149</v>
      </c>
      <c r="AU405" s="154" t="s">
        <v>149</v>
      </c>
    </row>
    <row r="406">
      <c r="A406" s="186">
        <v>203.0</v>
      </c>
      <c r="B406" s="152">
        <v>2023.0</v>
      </c>
      <c r="D406" s="152"/>
      <c r="E406" s="151">
        <v>203.0</v>
      </c>
      <c r="F406" s="129" t="s">
        <v>140</v>
      </c>
      <c r="G406" s="3" t="s">
        <v>6029</v>
      </c>
      <c r="H406" s="8" t="str">
        <f>IFERROR(__xludf.DUMMYFUNCTION("""COMPUTED_VALUE"""),"")</f>
        <v/>
      </c>
      <c r="I406" s="8" t="s">
        <v>6913</v>
      </c>
      <c r="J406" s="8" t="s">
        <v>535</v>
      </c>
      <c r="K406" s="8" t="s">
        <v>1089</v>
      </c>
      <c r="L406" s="153" t="s">
        <v>1451</v>
      </c>
      <c r="M406" s="153" t="s">
        <v>1452</v>
      </c>
      <c r="N406" s="8" t="s">
        <v>151</v>
      </c>
      <c r="O406" s="8" t="s">
        <v>1377</v>
      </c>
      <c r="P406" s="8" t="s">
        <v>1453</v>
      </c>
      <c r="Q406" s="154" t="s">
        <v>149</v>
      </c>
      <c r="R406" s="142" t="s">
        <v>6198</v>
      </c>
      <c r="S406" s="142" t="s">
        <v>6199</v>
      </c>
      <c r="T406" s="8"/>
      <c r="U406" s="8">
        <f>IFERROR(__xludf.DUMMYFUNCTION("""COMPUTED_VALUE"""),382.0)</f>
        <v>382</v>
      </c>
      <c r="V406" s="8"/>
      <c r="W406" s="154"/>
      <c r="X406" s="8"/>
      <c r="Y406" s="8"/>
      <c r="AA406" s="154" t="s">
        <v>149</v>
      </c>
      <c r="AB406" s="154" t="s">
        <v>149</v>
      </c>
      <c r="AC406" s="8" t="s">
        <v>1381</v>
      </c>
      <c r="AG406" s="154" t="s">
        <v>149</v>
      </c>
      <c r="AH406" s="154" t="s">
        <v>149</v>
      </c>
      <c r="AI406" s="154" t="s">
        <v>149</v>
      </c>
      <c r="AJ406" s="8" t="s">
        <v>660</v>
      </c>
      <c r="AL406" s="8" t="s">
        <v>369</v>
      </c>
      <c r="AM406" s="154" t="s">
        <v>149</v>
      </c>
      <c r="AN406" s="154" t="s">
        <v>149</v>
      </c>
      <c r="AO406" s="8"/>
      <c r="AP406" s="8"/>
      <c r="AR406" s="8" t="s">
        <v>395</v>
      </c>
      <c r="AS406" s="8" t="s">
        <v>2873</v>
      </c>
      <c r="AT406" s="8" t="s">
        <v>398</v>
      </c>
      <c r="AU406" s="154" t="s">
        <v>149</v>
      </c>
    </row>
    <row r="407">
      <c r="A407" s="186">
        <v>203.0</v>
      </c>
      <c r="B407" s="152">
        <v>2025.0</v>
      </c>
      <c r="C407" s="153" t="str">
        <f t="shared" ref="C407:C408" si="41">CONCATENATE(D407, "-", M407, "-", A407)
</f>
        <v>2023-PH051731000-203</v>
      </c>
      <c r="D407" s="152">
        <f t="shared" ref="D407:D408" si="42">IF(OR(F406="Published", F406="Unpublished"), 2023, IF(F406="New", 2025, ""))
</f>
        <v>2023</v>
      </c>
      <c r="E407" s="151">
        <v>203.0</v>
      </c>
      <c r="F407" s="156" t="s">
        <v>140</v>
      </c>
      <c r="G407" s="156" t="s">
        <v>141</v>
      </c>
      <c r="H407" s="153" t="str">
        <f>IFERROR(__xludf.DUMMYFUNCTION("""COMPUTED_VALUE"""),"**Year of establishment** changed from Unknown to 1992, **Reference** changed from Conference Proceeding to Balgos, M.C. (1995). Evaluation of artificial reef development in the Philippines. In Munro, J.L. &amp; Balgos, M. (eds.) Artificial reefs in the Phili"&amp;"ppines. ICLARM Conf. Proc. 49, pp. 6-22., **Website** changed from http://pubs.iclarm.net/libinfo/Pdf/Pub%20CP6%2049.pdf to https://core.ac.uk/download/pdf/6515223.pdf;")</f>
        <v>**Year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07" s="153" t="s">
        <v>6914</v>
      </c>
      <c r="J407" s="153" t="s">
        <v>535</v>
      </c>
      <c r="K407" s="153" t="s">
        <v>1089</v>
      </c>
      <c r="L407" s="153" t="s">
        <v>1451</v>
      </c>
      <c r="M407" s="181" t="s">
        <v>1452</v>
      </c>
      <c r="N407" s="153" t="s">
        <v>151</v>
      </c>
      <c r="O407" s="153" t="s">
        <v>1377</v>
      </c>
      <c r="P407" s="153" t="s">
        <v>1453</v>
      </c>
      <c r="Q407" s="178">
        <v>1992.0</v>
      </c>
      <c r="R407" s="175" t="s">
        <v>6198</v>
      </c>
      <c r="S407" s="175" t="s">
        <v>6199</v>
      </c>
      <c r="T407" s="161" t="s">
        <v>150</v>
      </c>
      <c r="U407" s="153">
        <f>IFERROR(__xludf.DUMMYFUNCTION("""COMPUTED_VALUE"""),383.0)</f>
        <v>383</v>
      </c>
      <c r="V407" s="162" t="s">
        <v>3311</v>
      </c>
      <c r="W407" s="187" t="s">
        <v>149</v>
      </c>
      <c r="X407" s="184"/>
      <c r="Y407" s="184" t="s">
        <v>149</v>
      </c>
      <c r="Z407" s="158" t="s">
        <v>149</v>
      </c>
      <c r="AA407" s="158" t="s">
        <v>149</v>
      </c>
      <c r="AB407" s="158" t="s">
        <v>149</v>
      </c>
      <c r="AC407" s="153" t="s">
        <v>1381</v>
      </c>
      <c r="AD407" s="158" t="s">
        <v>6154</v>
      </c>
      <c r="AE407" s="158" t="s">
        <v>206</v>
      </c>
      <c r="AF407" s="158" t="s">
        <v>159</v>
      </c>
      <c r="AG407" s="164" t="s">
        <v>149</v>
      </c>
      <c r="AH407" s="158" t="s">
        <v>149</v>
      </c>
      <c r="AI407" s="158" t="s">
        <v>149</v>
      </c>
      <c r="AJ407" s="153" t="s">
        <v>660</v>
      </c>
      <c r="AK407" s="153" t="s">
        <v>6035</v>
      </c>
      <c r="AL407" s="153" t="s">
        <v>369</v>
      </c>
      <c r="AM407" s="154" t="s">
        <v>149</v>
      </c>
      <c r="AN407" s="154" t="s">
        <v>149</v>
      </c>
      <c r="AO407" s="156">
        <v>1.0</v>
      </c>
      <c r="AP407" s="156" t="s">
        <v>6037</v>
      </c>
      <c r="AQ407" s="158" t="s">
        <v>395</v>
      </c>
      <c r="AR407" s="153" t="s">
        <v>6060</v>
      </c>
      <c r="AS407" s="158" t="s">
        <v>6711</v>
      </c>
      <c r="AT407" s="153" t="s">
        <v>398</v>
      </c>
      <c r="AU407" s="154" t="s">
        <v>149</v>
      </c>
    </row>
    <row r="408">
      <c r="A408" s="186">
        <v>204.0</v>
      </c>
      <c r="B408" s="152">
        <v>2025.0</v>
      </c>
      <c r="C408" s="153" t="str">
        <f t="shared" si="41"/>
        <v>2023-PH051733000-204</v>
      </c>
      <c r="D408" s="152">
        <f t="shared" si="42"/>
        <v>2023</v>
      </c>
      <c r="E408" s="151">
        <v>204.0</v>
      </c>
      <c r="F408" s="129" t="s">
        <v>140</v>
      </c>
      <c r="G408" s="156" t="s">
        <v>141</v>
      </c>
      <c r="H408" s="153" t="str">
        <f>IFERROR(__xludf.DUMMYFUNCTION("""COMPUTED_VALUE"""),"**Restoration_project** changed from Fisheries Sector Program to National Coral Reef Management Conservation Program, **Restoration_project_short** changed from Site in Sibaguan to Originally with PCAMRD, **Year of establishment** changed from 1992 to 199"&amp;"1, **Project End** changed from 1994 to 1992, **Technique/Material Type** changed from Unknown to Tires, concrete cubes and pyramid, **Restoration objective** changed from Unknown to Fishing and rehabilitation, **Funding agency** changed from ADB, Oversea"&amp;"s Economic Cooperation Fund of Japan to DOST-PCAARRD, **Implementing institution** changed from DA to PCAMRD")</f>
        <v>**Restoration_project** changed from Fisheries Sector Program to National Coral Reef Management Conservation Program, **Restoration_project_short** changed from Site in Sibaguan to Originally with PCAMRD, **Year of establishment** changed from 1992 to 1991, **Project End** changed from 1994 to 1992, **Technique/Material Type** changed from Unknown to Tires, concrete cubes and pyramid, **Restoration objective** changed from Unknown to Fishing and rehabilitation, **Funding agency** changed from ADB, Overseas Economic Cooperation Fund of Japan to DOST-PCAARRD, **Implementing institution** changed from DA to PCAMRD</v>
      </c>
      <c r="I408" s="153" t="s">
        <v>6915</v>
      </c>
      <c r="J408" s="153" t="s">
        <v>535</v>
      </c>
      <c r="K408" s="153" t="s">
        <v>1089</v>
      </c>
      <c r="L408" s="153" t="s">
        <v>1667</v>
      </c>
      <c r="M408" s="181" t="s">
        <v>1668</v>
      </c>
      <c r="N408" s="153" t="s">
        <v>151</v>
      </c>
      <c r="O408" s="153" t="s">
        <v>1659</v>
      </c>
      <c r="P408" s="158" t="s">
        <v>6916</v>
      </c>
      <c r="Q408" s="178">
        <v>1991.0</v>
      </c>
      <c r="R408" s="175" t="s">
        <v>6198</v>
      </c>
      <c r="S408" s="175" t="s">
        <v>6896</v>
      </c>
      <c r="T408" s="161" t="s">
        <v>150</v>
      </c>
      <c r="U408" s="153">
        <f>IFERROR(__xludf.DUMMYFUNCTION("""COMPUTED_VALUE"""),384.0)</f>
        <v>384</v>
      </c>
      <c r="V408" s="162" t="s">
        <v>3311</v>
      </c>
      <c r="W408" s="179" t="s">
        <v>6172</v>
      </c>
      <c r="X408" s="28" t="s">
        <v>6082</v>
      </c>
      <c r="Y408" s="32" t="s">
        <v>1660</v>
      </c>
      <c r="Z408" s="158" t="s">
        <v>6917</v>
      </c>
      <c r="AA408" s="153" t="s">
        <v>6918</v>
      </c>
      <c r="AB408" s="153" t="s">
        <v>1380</v>
      </c>
      <c r="AC408" s="158" t="s">
        <v>321</v>
      </c>
      <c r="AD408" s="158" t="s">
        <v>160</v>
      </c>
      <c r="AE408" s="158" t="s">
        <v>6035</v>
      </c>
      <c r="AF408" s="158" t="s">
        <v>159</v>
      </c>
      <c r="AG408" s="164" t="s">
        <v>149</v>
      </c>
      <c r="AH408" s="158" t="s">
        <v>149</v>
      </c>
      <c r="AI408" s="158" t="s">
        <v>149</v>
      </c>
      <c r="AJ408" s="158" t="s">
        <v>1663</v>
      </c>
      <c r="AK408" s="153" t="s">
        <v>6035</v>
      </c>
      <c r="AL408" s="158" t="s">
        <v>369</v>
      </c>
      <c r="AM408" s="154" t="s">
        <v>149</v>
      </c>
      <c r="AN408" s="154" t="s">
        <v>149</v>
      </c>
      <c r="AO408" s="156">
        <v>1.0</v>
      </c>
      <c r="AP408" s="156" t="s">
        <v>6037</v>
      </c>
      <c r="AQ408" s="158" t="s">
        <v>395</v>
      </c>
      <c r="AR408" s="153" t="s">
        <v>6060</v>
      </c>
      <c r="AS408" s="158" t="s">
        <v>6711</v>
      </c>
      <c r="AT408" s="153" t="s">
        <v>398</v>
      </c>
      <c r="AU408" s="154" t="s">
        <v>149</v>
      </c>
    </row>
    <row r="409">
      <c r="A409" s="186">
        <v>204.0</v>
      </c>
      <c r="B409" s="152">
        <v>2023.0</v>
      </c>
      <c r="D409" s="152"/>
      <c r="E409" s="151">
        <v>204.0</v>
      </c>
      <c r="F409" s="129" t="s">
        <v>140</v>
      </c>
      <c r="G409" s="3" t="s">
        <v>6029</v>
      </c>
      <c r="H409" s="8" t="str">
        <f>IFERROR(__xludf.DUMMYFUNCTION("""COMPUTED_VALUE"""),"")</f>
        <v/>
      </c>
      <c r="I409" s="8" t="s">
        <v>6919</v>
      </c>
      <c r="J409" s="8" t="s">
        <v>535</v>
      </c>
      <c r="K409" s="8" t="s">
        <v>1089</v>
      </c>
      <c r="L409" s="153" t="s">
        <v>1455</v>
      </c>
      <c r="M409" s="153" t="s">
        <v>1456</v>
      </c>
      <c r="N409" s="8" t="s">
        <v>151</v>
      </c>
      <c r="O409" s="8" t="s">
        <v>1377</v>
      </c>
      <c r="P409" s="8" t="s">
        <v>1457</v>
      </c>
      <c r="Q409" s="154" t="s">
        <v>149</v>
      </c>
      <c r="R409" s="142" t="s">
        <v>6198</v>
      </c>
      <c r="S409" s="142" t="s">
        <v>6199</v>
      </c>
      <c r="T409" s="8"/>
      <c r="U409" s="8">
        <f>IFERROR(__xludf.DUMMYFUNCTION("""COMPUTED_VALUE"""),385.0)</f>
        <v>385</v>
      </c>
      <c r="V409" s="8"/>
      <c r="W409" s="154"/>
      <c r="X409" s="8"/>
      <c r="Y409" s="8"/>
      <c r="AA409" s="154" t="s">
        <v>149</v>
      </c>
      <c r="AB409" s="154" t="s">
        <v>149</v>
      </c>
      <c r="AC409" s="8" t="s">
        <v>1381</v>
      </c>
      <c r="AG409" s="154" t="s">
        <v>149</v>
      </c>
      <c r="AH409" s="154" t="s">
        <v>149</v>
      </c>
      <c r="AI409" s="154" t="s">
        <v>149</v>
      </c>
      <c r="AJ409" s="8" t="s">
        <v>660</v>
      </c>
      <c r="AL409" s="8" t="s">
        <v>369</v>
      </c>
      <c r="AM409" s="154" t="s">
        <v>149</v>
      </c>
      <c r="AN409" s="154" t="s">
        <v>149</v>
      </c>
      <c r="AO409" s="8"/>
      <c r="AP409" s="8"/>
      <c r="AR409" s="8" t="s">
        <v>395</v>
      </c>
      <c r="AS409" s="8" t="s">
        <v>2873</v>
      </c>
      <c r="AT409" s="8" t="s">
        <v>398</v>
      </c>
      <c r="AU409" s="154" t="s">
        <v>149</v>
      </c>
    </row>
    <row r="410">
      <c r="A410" s="186">
        <v>205.0</v>
      </c>
      <c r="B410" s="152">
        <v>2023.0</v>
      </c>
      <c r="D410" s="152"/>
      <c r="E410" s="151">
        <v>205.0</v>
      </c>
      <c r="F410" s="129" t="s">
        <v>140</v>
      </c>
      <c r="G410" s="3" t="s">
        <v>6029</v>
      </c>
      <c r="H410" s="8" t="str">
        <f>IFERROR(__xludf.DUMMYFUNCTION("""COMPUTED_VALUE"""),"")</f>
        <v/>
      </c>
      <c r="I410" s="8" t="s">
        <v>6920</v>
      </c>
      <c r="J410" s="8" t="s">
        <v>535</v>
      </c>
      <c r="K410" s="8" t="s">
        <v>1459</v>
      </c>
      <c r="L410" s="8" t="s">
        <v>1460</v>
      </c>
      <c r="M410" s="153" t="s">
        <v>1461</v>
      </c>
      <c r="N410" s="8" t="s">
        <v>151</v>
      </c>
      <c r="O410" s="8" t="s">
        <v>1377</v>
      </c>
      <c r="P410" s="8" t="s">
        <v>1462</v>
      </c>
      <c r="Q410" s="154" t="s">
        <v>149</v>
      </c>
      <c r="R410" s="142" t="s">
        <v>6198</v>
      </c>
      <c r="S410" s="142" t="s">
        <v>6199</v>
      </c>
      <c r="T410" s="8"/>
      <c r="U410" s="8">
        <f>IFERROR(__xludf.DUMMYFUNCTION("""COMPUTED_VALUE"""),386.0)</f>
        <v>386</v>
      </c>
      <c r="V410" s="8"/>
      <c r="W410" s="154"/>
      <c r="X410" s="8"/>
      <c r="Y410" s="8"/>
      <c r="AA410" s="154" t="s">
        <v>149</v>
      </c>
      <c r="AB410" s="154" t="s">
        <v>149</v>
      </c>
      <c r="AC410" s="8" t="s">
        <v>1381</v>
      </c>
      <c r="AG410" s="154" t="s">
        <v>149</v>
      </c>
      <c r="AH410" s="154" t="s">
        <v>149</v>
      </c>
      <c r="AI410" s="154" t="s">
        <v>149</v>
      </c>
      <c r="AJ410" s="8" t="s">
        <v>660</v>
      </c>
      <c r="AL410" s="8" t="s">
        <v>369</v>
      </c>
      <c r="AM410" s="154" t="s">
        <v>149</v>
      </c>
      <c r="AN410" s="154" t="s">
        <v>149</v>
      </c>
      <c r="AO410" s="8"/>
      <c r="AP410" s="8"/>
      <c r="AR410" s="8" t="s">
        <v>395</v>
      </c>
      <c r="AS410" s="8" t="s">
        <v>2873</v>
      </c>
      <c r="AT410" s="8" t="s">
        <v>398</v>
      </c>
      <c r="AU410" s="154" t="s">
        <v>149</v>
      </c>
    </row>
    <row r="411">
      <c r="A411" s="186">
        <v>205.0</v>
      </c>
      <c r="B411" s="152">
        <v>2025.0</v>
      </c>
      <c r="C411" s="153" t="str">
        <f t="shared" ref="C411:C412" si="43">CONCATENATE(D411, "-", M411, "-", A411)
</f>
        <v>2023-PH051735000-205</v>
      </c>
      <c r="D411" s="152">
        <f t="shared" ref="D411:D412" si="44">IF(OR(F410="Published", F410="Unpublished"), 2023, IF(F410="New", 2025, ""))
</f>
        <v>2023</v>
      </c>
      <c r="E411" s="151">
        <v>205.0</v>
      </c>
      <c r="F411" s="129" t="s">
        <v>140</v>
      </c>
      <c r="G411" s="156" t="s">
        <v>141</v>
      </c>
      <c r="H411" s="153" t="str">
        <f>IFERROR(__xludf.DUMMYFUNCTION("""COMPUTED_VALUE"""),"**Restoration_project_short** changed from Site in Cabcab to Site in Sapinitan Bay, **Year of establishment** changed from Unknown to 1992, **Reference** changed from Conference Proceeding to Balgos, M.C. (1995). Evaluation of artificial reef development "&amp;"in the Philippines. In Munro, J.L. &amp; Balgos, M. (eds.) Artificial reefs in the Philippines. ICLARM Conf. Proc. 49, pp. 6-22., **Website** changed from http://pubs.iclarm.net/libinfo/Pdf/Pub%20CP6%2049.pdf to https://core.ac.uk/download/pdf/6515223.pdf;")</f>
        <v>**Restoration_project_short** changed from Site in Cabcab to Site in Sapinitan Bay,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11" s="153" t="s">
        <v>6921</v>
      </c>
      <c r="J411" s="153" t="s">
        <v>535</v>
      </c>
      <c r="K411" s="153" t="s">
        <v>1089</v>
      </c>
      <c r="L411" s="153" t="s">
        <v>1455</v>
      </c>
      <c r="M411" s="181" t="s">
        <v>1456</v>
      </c>
      <c r="N411" s="153" t="s">
        <v>151</v>
      </c>
      <c r="O411" s="153" t="s">
        <v>1377</v>
      </c>
      <c r="P411" s="153" t="s">
        <v>1457</v>
      </c>
      <c r="Q411" s="178">
        <v>1992.0</v>
      </c>
      <c r="R411" s="175" t="s">
        <v>6198</v>
      </c>
      <c r="S411" s="175" t="s">
        <v>6199</v>
      </c>
      <c r="T411" s="161" t="s">
        <v>150</v>
      </c>
      <c r="U411" s="153">
        <f>IFERROR(__xludf.DUMMYFUNCTION("""COMPUTED_VALUE"""),387.0)</f>
        <v>387</v>
      </c>
      <c r="V411" s="162" t="s">
        <v>3311</v>
      </c>
      <c r="W411" s="187" t="s">
        <v>149</v>
      </c>
      <c r="X411" s="184"/>
      <c r="Y411" s="184" t="s">
        <v>149</v>
      </c>
      <c r="Z411" s="158" t="s">
        <v>149</v>
      </c>
      <c r="AA411" s="158" t="s">
        <v>149</v>
      </c>
      <c r="AB411" s="158" t="s">
        <v>149</v>
      </c>
      <c r="AC411" s="153" t="s">
        <v>1381</v>
      </c>
      <c r="AD411" s="158" t="s">
        <v>6154</v>
      </c>
      <c r="AE411" s="158" t="s">
        <v>206</v>
      </c>
      <c r="AF411" s="158" t="s">
        <v>159</v>
      </c>
      <c r="AG411" s="164" t="s">
        <v>149</v>
      </c>
      <c r="AH411" s="158" t="s">
        <v>149</v>
      </c>
      <c r="AI411" s="158" t="s">
        <v>149</v>
      </c>
      <c r="AJ411" s="153" t="s">
        <v>660</v>
      </c>
      <c r="AK411" s="153" t="s">
        <v>6035</v>
      </c>
      <c r="AL411" s="153" t="s">
        <v>369</v>
      </c>
      <c r="AM411" s="154" t="s">
        <v>149</v>
      </c>
      <c r="AN411" s="154" t="s">
        <v>149</v>
      </c>
      <c r="AO411" s="156">
        <v>1.0</v>
      </c>
      <c r="AP411" s="156" t="s">
        <v>6037</v>
      </c>
      <c r="AQ411" s="158" t="s">
        <v>395</v>
      </c>
      <c r="AR411" s="153" t="s">
        <v>6060</v>
      </c>
      <c r="AS411" s="158" t="s">
        <v>6711</v>
      </c>
      <c r="AT411" s="153" t="s">
        <v>398</v>
      </c>
      <c r="AU411" s="154" t="s">
        <v>149</v>
      </c>
    </row>
    <row r="412">
      <c r="A412" s="186">
        <v>206.0</v>
      </c>
      <c r="B412" s="152">
        <v>2025.0</v>
      </c>
      <c r="C412" s="153" t="str">
        <f t="shared" si="43"/>
        <v>2023-PH052011000-206</v>
      </c>
      <c r="D412" s="152">
        <f t="shared" si="44"/>
        <v>2023</v>
      </c>
      <c r="E412" s="151">
        <v>206.0</v>
      </c>
      <c r="F412" s="156" t="s">
        <v>191</v>
      </c>
      <c r="G412" s="156" t="s">
        <v>191</v>
      </c>
      <c r="H412" s="153" t="str">
        <f>IFERROR(__xludf.DUMMYFUNCTION("""COMPUTED_VALUE"""),"**Restoration_project** changed from Fisheries Sector Program to Unknown, **Restoration_project_short** changed from Site in Sapinitan Bay to Site in Brgy. Balete, **Year of establishment** changed from 1992 to 2024, **Project Start** changed from 1990 to"&amp;" 2024, **Project End** changed from 1994 to Unknown, **Technique/Material Type** changed from Unknown to Concrete cubes, **Restoration objective** changed from Unknown to Habitat restoration, **Funding agency** changed from ADB, Overseas Economic Cooperat"&amp;"ion Fund of Japan to Philippine Society of Otolaryngology Head and Neck Surgery, **Total units** changed from Unknown to 6 units, **Implementing institution** changed from DA to Philippine Society of Otolaryngology Head and Neck Surgery, **Partners_public"&amp;"** changed from MLGU to BFAR, MLGU, **Reference** changed from Balgos, M.C. (1995). Evaluation of artificial reef development in the Philippines. In Munro, J.L. &amp; Balgos, M. (eds.) Artificial reefs in the Philippines. ICLARM Conf. Proc. 49, pp. 6-22. to B"&amp;"uitizon, N. (2024, July 9). This is how we work underwater in the deployment of concrete modules for artificial reefs (ARs) in Virac, Catanduanes [Status Update]., **Website** changed from https://core.ac.uk/download/pdf/6515223.pdf; to https://web.facebo"&amp;"ok.com/nia.buitizon/videos/404223295357898, **Contact_name** changed from Miriam Balgos to Unknown")</f>
        <v>**Restoration_project** changed from Fisheries Sector Program to Unknown, **Restoration_project_short** changed from Site in Sapinitan Bay to Site in Brgy. Balete, **Year of establishment** changed from 1992 to 2024, **Project Start** changed from 1990 to 2024, **Project End** changed from 1994 to Unknown, **Technique/Material Type** changed from Unknown to Concrete cubes, **Restoration objective** changed from Unknown to Habitat restoration, **Funding agency** changed from ADB, Overseas Economic Cooperation Fund of Japan to Philippine Society of Otolaryngology Head and Neck Surgery, **Total units** changed from Unknown to 6 units, **Implementing institution** changed from DA to Philippine Society of Otolaryngology Head and Neck Surgery, **Partners_public** changed from MLGU to BFAR, MLGU, **Reference** changed from Balgos, M.C. (1995). Evaluation of artificial reef development in the Philippines. In Munro, J.L. &amp; Balgos, M. (eds.) Artificial reefs in the Philippines. ICLARM Conf. Proc. 49, pp. 6-22. to Buitizon, N. (2024, July 9). This is how we work underwater in the deployment of concrete modules for artificial reefs (ARs) in Virac, Catanduanes [Status Update]., **Website** changed from https://core.ac.uk/download/pdf/6515223.pdf; to https://web.facebook.com/nia.buitizon/videos/404223295357898, **Contact_name** changed from Miriam Balgos to Unknown</v>
      </c>
      <c r="I412" s="153" t="s">
        <v>6922</v>
      </c>
      <c r="J412" s="153" t="s">
        <v>535</v>
      </c>
      <c r="K412" s="153" t="s">
        <v>1459</v>
      </c>
      <c r="L412" s="153" t="s">
        <v>2464</v>
      </c>
      <c r="M412" s="181" t="s">
        <v>2465</v>
      </c>
      <c r="N412" s="153" t="s">
        <v>151</v>
      </c>
      <c r="O412" s="158" t="s">
        <v>149</v>
      </c>
      <c r="P412" s="153" t="s">
        <v>2466</v>
      </c>
      <c r="Q412" s="169">
        <v>2024.0</v>
      </c>
      <c r="R412" s="175" t="s">
        <v>16</v>
      </c>
      <c r="S412" s="160" t="s">
        <v>149</v>
      </c>
      <c r="T412" s="161" t="s">
        <v>150</v>
      </c>
      <c r="U412" s="153">
        <f>IFERROR(__xludf.DUMMYFUNCTION("""COMPUTED_VALUE"""),388.0)</f>
        <v>388</v>
      </c>
      <c r="V412" s="162" t="s">
        <v>3311</v>
      </c>
      <c r="W412" s="184" t="s">
        <v>6032</v>
      </c>
      <c r="X412" s="28" t="s">
        <v>6173</v>
      </c>
      <c r="Y412" s="32" t="s">
        <v>2467</v>
      </c>
      <c r="Z412" s="153" t="s">
        <v>2468</v>
      </c>
      <c r="AA412" s="153" t="s">
        <v>2468</v>
      </c>
      <c r="AB412" s="153" t="s">
        <v>2469</v>
      </c>
      <c r="AC412" s="153" t="s">
        <v>2470</v>
      </c>
      <c r="AD412" s="158" t="s">
        <v>160</v>
      </c>
      <c r="AE412" s="158" t="s">
        <v>184</v>
      </c>
      <c r="AF412" s="158" t="s">
        <v>159</v>
      </c>
      <c r="AG412" s="164" t="s">
        <v>149</v>
      </c>
      <c r="AH412" s="158" t="s">
        <v>149</v>
      </c>
      <c r="AI412" s="153" t="s">
        <v>2471</v>
      </c>
      <c r="AJ412" s="153" t="s">
        <v>2470</v>
      </c>
      <c r="AK412" s="153" t="s">
        <v>271</v>
      </c>
      <c r="AL412" s="153" t="s">
        <v>6140</v>
      </c>
      <c r="AM412" s="156" t="s">
        <v>149</v>
      </c>
      <c r="AN412" s="156" t="s">
        <v>149</v>
      </c>
      <c r="AO412" s="156">
        <v>1.0</v>
      </c>
      <c r="AP412" s="156" t="s">
        <v>6037</v>
      </c>
      <c r="AQ412" s="153" t="s">
        <v>6038</v>
      </c>
      <c r="AR412" s="153" t="s">
        <v>2472</v>
      </c>
      <c r="AS412" s="172" t="s">
        <v>2473</v>
      </c>
      <c r="AT412" s="156" t="s">
        <v>149</v>
      </c>
      <c r="AU412" s="156" t="s">
        <v>149</v>
      </c>
    </row>
    <row r="413">
      <c r="A413" s="186">
        <v>206.0</v>
      </c>
      <c r="B413" s="152">
        <v>2023.0</v>
      </c>
      <c r="D413" s="152"/>
      <c r="E413" s="151">
        <v>206.0</v>
      </c>
      <c r="F413" s="129" t="s">
        <v>140</v>
      </c>
      <c r="G413" s="3" t="s">
        <v>6029</v>
      </c>
      <c r="H413" s="8" t="str">
        <f>IFERROR(__xludf.DUMMYFUNCTION("""COMPUTED_VALUE"""),"")</f>
        <v/>
      </c>
      <c r="I413" s="8" t="s">
        <v>6923</v>
      </c>
      <c r="J413" s="8" t="s">
        <v>535</v>
      </c>
      <c r="K413" s="8" t="s">
        <v>1191</v>
      </c>
      <c r="L413" s="8" t="s">
        <v>1816</v>
      </c>
      <c r="M413" s="153" t="s">
        <v>1817</v>
      </c>
      <c r="N413" s="8" t="s">
        <v>151</v>
      </c>
      <c r="O413" s="8" t="s">
        <v>1818</v>
      </c>
      <c r="P413" s="154" t="s">
        <v>149</v>
      </c>
      <c r="Q413" s="142" t="s">
        <v>6152</v>
      </c>
      <c r="R413" s="142" t="s">
        <v>6152</v>
      </c>
      <c r="S413" s="154" t="s">
        <v>149</v>
      </c>
      <c r="T413" s="8"/>
      <c r="U413" s="8">
        <f>IFERROR(__xludf.DUMMYFUNCTION("""COMPUTED_VALUE"""),389.0)</f>
        <v>389</v>
      </c>
      <c r="V413" s="8"/>
      <c r="W413" s="8"/>
      <c r="X413" s="8"/>
      <c r="Y413" s="8"/>
      <c r="AA413" s="8" t="s">
        <v>337</v>
      </c>
      <c r="AB413" s="8" t="s">
        <v>1819</v>
      </c>
      <c r="AC413" s="8" t="s">
        <v>1820</v>
      </c>
      <c r="AG413" s="154" t="s">
        <v>149</v>
      </c>
      <c r="AH413" s="8" t="s">
        <v>6924</v>
      </c>
      <c r="AI413" s="188" t="s">
        <v>1822</v>
      </c>
      <c r="AJ413" s="8" t="s">
        <v>6925</v>
      </c>
      <c r="AL413" s="154" t="s">
        <v>149</v>
      </c>
      <c r="AM413" s="154" t="s">
        <v>149</v>
      </c>
      <c r="AN413" s="154" t="s">
        <v>149</v>
      </c>
      <c r="AO413" s="8"/>
      <c r="AP413" s="8"/>
      <c r="AR413" s="8" t="s">
        <v>166</v>
      </c>
      <c r="AS413" s="8" t="s">
        <v>1826</v>
      </c>
      <c r="AT413" s="154" t="s">
        <v>149</v>
      </c>
      <c r="AU413" s="154" t="s">
        <v>149</v>
      </c>
    </row>
    <row r="414">
      <c r="A414" s="186">
        <v>207.0</v>
      </c>
      <c r="B414" s="152">
        <v>2025.0</v>
      </c>
      <c r="C414" s="153" t="str">
        <f>CONCATENATE(D414, "-", M414, "-", A414)
</f>
        <v>2023-PH052008000-207</v>
      </c>
      <c r="D414" s="152">
        <f>IF(OR(F413="Published", F413="Unpublished"), 2023, IF(F413="New", 2025, ""))
</f>
        <v>2023</v>
      </c>
      <c r="E414" s="151">
        <v>207.0</v>
      </c>
      <c r="F414" s="156" t="s">
        <v>140</v>
      </c>
      <c r="G414" s="156" t="s">
        <v>141</v>
      </c>
      <c r="H414" s="153" t="str">
        <f>IFERROR(__xludf.DUMMYFUNCTION("""COMPUTED_VALUE"""),"**Restoration_project** changed from Port Barrera Rehabilitation Project to Fisheries Sector Program, **Restoration_project_short** changed from Unknown to Site in Cabcab, **Year of establishment** changed from 2017 to 1992, **Project Start** changed from"&amp;" 2017 to 1990, **Project End** changed from Unknown to 1994, **Technique/Material Type** changed from Reef ball to Unknown, **Restoration objective** changed from Corporate social responsibility; Coral regeneration in the MPA to Unknown, **Funding agency*"&amp;"* changed from Philippine Gold Processing and Refining Corp.; Filminera Resources Corp. to ADB, Overseas Economic Cooperation Fund of Japan , **Total area of restoration** changed from 129 ha to Unknown, **Total units** changed from 2,742 units to Unknown"&amp;", **Implementing institution** changed from Reef Ball Foundation to DA, **Partners_public** changed from Unknown to MLGU, **Reference** changed from News/Press Release to Balgos, M.C. (1995). Evaluation of artificial reef development in the Philippines. I"&amp;"n Munro, J.L. &amp; Balgos, M. (eds.) Artificial reefs in the Philippines. ICLARM Conf. Proc. 49, pp. 6-22., **Website** changed from https://www.rappler.com/nation/210840-tigbao-masbate-reef-balls-revive-endangered-corals/; https://manilastandard.net/lgu/314"&amp;"250679/philgold-grows-coral-reef-balls-in-masbate.html; https://www.philippine-resources.com/articles/2020/6/environmental-stewardship-in-masbate-s-marine-ecosystem https://newsinfo.inquirer.net/1645158/dying-masbate-marine-ecosystem-revived-as-philgold-d"&amp;"eploys-thousands-of-reef-balls to https://core.ac.uk/download/pdf/6515223.pdf;, **Contact_name** changed from Unknown to Miriam Balgos")</f>
        <v>**Restoration_project** changed from Port Barrera Rehabilitation Project to Fisheries Sector Program, **Restoration_project_short** changed from Unknown to Site in Cabcab, **Year of establishment** changed from 2017 to 1992, **Project Start** changed from 2017 to 1990, **Project End** changed from Unknown to 1994, **Technique/Material Type** changed from Reef ball to Unknown, **Restoration objective** changed from Corporate social responsibility; Coral regeneration in the MPA to Unknown, **Funding agency** changed from Philippine Gold Processing and Refining Corp.; Filminera Resources Corp. to ADB, Overseas Economic Cooperation Fund of Japan , **Total area of restoration** changed from 129 ha to Unknown, **Total units** changed from 2,742 units to Unknown, **Implementing institution** changed from Reef Ball Foundation to DA, **Partners_public** changed from Unknown to MLGU, **Reference** changed from News/Press Release to Balgos, M.C. (1995). Evaluation of artificial reef development in the Philippines. In Munro, J.L. &amp; Balgos, M. (eds.) Artificial reefs in the Philippines. ICLARM Conf. Proc. 49, pp. 6-22., **Website** changed from 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 to https://core.ac.uk/download/pdf/6515223.pdf;, **Contact_name** changed from Unknown to Miriam Balgos</v>
      </c>
      <c r="I414" s="153" t="s">
        <v>6926</v>
      </c>
      <c r="J414" s="153" t="s">
        <v>535</v>
      </c>
      <c r="K414" s="153" t="s">
        <v>1459</v>
      </c>
      <c r="L414" s="153" t="s">
        <v>1460</v>
      </c>
      <c r="M414" s="181" t="s">
        <v>1461</v>
      </c>
      <c r="N414" s="153" t="s">
        <v>151</v>
      </c>
      <c r="O414" s="153" t="s">
        <v>1377</v>
      </c>
      <c r="P414" s="153" t="s">
        <v>1462</v>
      </c>
      <c r="Q414" s="178">
        <v>1992.0</v>
      </c>
      <c r="R414" s="175" t="s">
        <v>6198</v>
      </c>
      <c r="S414" s="175" t="s">
        <v>6199</v>
      </c>
      <c r="T414" s="161" t="s">
        <v>150</v>
      </c>
      <c r="U414" s="153">
        <f>IFERROR(__xludf.DUMMYFUNCTION("""COMPUTED_VALUE"""),390.0)</f>
        <v>390</v>
      </c>
      <c r="V414" s="162" t="s">
        <v>3311</v>
      </c>
      <c r="W414" s="187" t="s">
        <v>149</v>
      </c>
      <c r="X414" s="184"/>
      <c r="Y414" s="184" t="s">
        <v>149</v>
      </c>
      <c r="Z414" s="158" t="s">
        <v>149</v>
      </c>
      <c r="AA414" s="158" t="s">
        <v>149</v>
      </c>
      <c r="AB414" s="158" t="s">
        <v>149</v>
      </c>
      <c r="AC414" s="153" t="s">
        <v>1381</v>
      </c>
      <c r="AD414" s="158" t="s">
        <v>6154</v>
      </c>
      <c r="AE414" s="158" t="s">
        <v>206</v>
      </c>
      <c r="AF414" s="158" t="s">
        <v>159</v>
      </c>
      <c r="AG414" s="164" t="s">
        <v>149</v>
      </c>
      <c r="AH414" s="158" t="s">
        <v>149</v>
      </c>
      <c r="AI414" s="158" t="s">
        <v>149</v>
      </c>
      <c r="AJ414" s="153" t="s">
        <v>660</v>
      </c>
      <c r="AK414" s="153" t="s">
        <v>6035</v>
      </c>
      <c r="AL414" s="153" t="s">
        <v>369</v>
      </c>
      <c r="AM414" s="154" t="s">
        <v>149</v>
      </c>
      <c r="AN414" s="154" t="s">
        <v>149</v>
      </c>
      <c r="AO414" s="156">
        <v>1.0</v>
      </c>
      <c r="AP414" s="156" t="s">
        <v>6037</v>
      </c>
      <c r="AQ414" s="158" t="s">
        <v>395</v>
      </c>
      <c r="AR414" s="153" t="s">
        <v>6060</v>
      </c>
      <c r="AS414" s="158" t="s">
        <v>6711</v>
      </c>
      <c r="AT414" s="153" t="s">
        <v>398</v>
      </c>
      <c r="AU414" s="154" t="s">
        <v>149</v>
      </c>
    </row>
    <row r="415">
      <c r="A415" s="186">
        <v>207.0</v>
      </c>
      <c r="B415" s="152">
        <v>2023.0</v>
      </c>
      <c r="D415" s="152"/>
      <c r="E415" s="151">
        <v>207.0</v>
      </c>
      <c r="F415" s="129" t="s">
        <v>140</v>
      </c>
      <c r="G415" s="3" t="s">
        <v>3279</v>
      </c>
      <c r="H415" s="8" t="str">
        <f>IFERROR(__xludf.DUMMYFUNCTION("""COMPUTED_VALUE"""),"")</f>
        <v/>
      </c>
      <c r="I415" s="8" t="s">
        <v>6927</v>
      </c>
      <c r="J415" s="8" t="s">
        <v>535</v>
      </c>
      <c r="K415" s="8" t="s">
        <v>1191</v>
      </c>
      <c r="L415" s="8" t="s">
        <v>4636</v>
      </c>
      <c r="M415" s="153" t="s">
        <v>4637</v>
      </c>
      <c r="N415" s="8" t="s">
        <v>151</v>
      </c>
      <c r="O415" s="8" t="s">
        <v>6928</v>
      </c>
      <c r="Q415" s="142" t="s">
        <v>6113</v>
      </c>
      <c r="R415" s="142"/>
      <c r="S415" s="142"/>
      <c r="U415" s="8">
        <f>IFERROR(__xludf.DUMMYFUNCTION("""COMPUTED_VALUE"""),391.0)</f>
        <v>391</v>
      </c>
      <c r="V415" s="8"/>
      <c r="W415" s="8"/>
      <c r="AC415" s="8" t="s">
        <v>6929</v>
      </c>
      <c r="AG415" s="142"/>
      <c r="AI415" s="188"/>
      <c r="AJ415" s="8" t="s">
        <v>6113</v>
      </c>
      <c r="AO415" s="8"/>
      <c r="AP415" s="8"/>
      <c r="AR415" s="8" t="s">
        <v>6257</v>
      </c>
      <c r="AS415" s="172" t="s">
        <v>6930</v>
      </c>
    </row>
    <row r="416">
      <c r="A416" s="186">
        <v>208.0</v>
      </c>
      <c r="B416" s="152">
        <v>2025.0</v>
      </c>
      <c r="C416" s="153" t="str">
        <f>CONCATENATE(D416, "-", M416, "-", A416)
</f>
        <v>2023-PH054101000-208</v>
      </c>
      <c r="D416" s="152">
        <f>IF(OR(F415="Published", F415="Unpublished"), 2023, IF(F415="New", 2025, ""))
</f>
        <v>2023</v>
      </c>
      <c r="E416" s="151">
        <v>208.0</v>
      </c>
      <c r="F416" s="129" t="s">
        <v>140</v>
      </c>
      <c r="G416" s="156" t="s">
        <v>141</v>
      </c>
      <c r="H416" s="153" t="str">
        <f>IFERROR(__xludf.DUMMYFUNCTION("""COMPUTED_VALUE"""),"**Restoration_project** changed from Artificial Reef Development Project to Port Barrera Rehabilitation Project, **Restoration_project_short** changed from to Unknown, **Year of establishment** changed from *Not indicated to 2017, **Project Start** change"&amp;"d from to 2017, **Project End** changed from to Unknown, **Technique/Material Type** changed from to Reef ball, **Restoration objective** changed from to Corporate social responsibility; Coral regeneration in the MPA, **Funding agency** changed from Austr"&amp;"alian International Development Assistance Bureau (AIDAB) to Philippine Gold Processing and Refining Corp.; Filminera Resources Corp., **Total funding** changed from to Unknown, **Total area of restoration** changed from to 129 ha, **Total units** changed"&amp;" from to 2,742 units, **Implementing institution** changed from *Not indicated to Philippine Gold Processing and Refining Corp, **Partners_public** changed from to Unknown, **Partners_private** changed from to Reef Ball Foundation, **Partners_communities*"&amp;"* changed from to Unknown, **Reference** changed from Technical Report to Cimatu, F. (2018, Aug. 31). Masbate town hopes reef balls will revive endangered corals. Rappler. https://www.rappler.com/nation/210840-tigbao-masbate-reef-balls-revive-endangered-c"&amp;"orals/, **Website** changed from http://www.pemsea.org/sites/default/files/tc-v11n1.pdf to https://www.rappler.com/nation/210840-tigbao-masbate-reef-balls-revive-endangered-corals/; https://manilastandard.net/lgu/314250679/philgold-grows-coral-reef-balls-"&amp;"in-masbate.html; https://www.philippine-resources.com/articles/2020/6/environmental-stewardship-in-masbate-s-marine-ecosystem https://newsinfo.inquirer.net/1645158/dying-masbate-marine-ecosystem-revived-as-philgold-deploys-thousands-of-reef-balls, **Conta"&amp;"ct_name** changed from to Unknown, **Contact_details** changed from to Unknown")</f>
        <v>**Restoration_project** changed from Artificial Reef Development Project to Port Barrera Rehabilitation Project, **Restoration_project_short** changed from to Unknown, **Year of establishment** changed from *Not indicated to 2017, **Project Start** changed from to 2017, **Project End** changed from to Unknown, **Technique/Material Type** changed from to Reef ball, **Restoration objective** changed from to Corporate social responsibility; Coral regeneration in the MPA, **Funding agency** changed from Australian International Development Assistance Bureau (AIDAB) to Philippine Gold Processing and Refining Corp.; Filminera Resources Corp., **Total funding** changed from to Unknown, **Total area of restoration** changed from to 129 ha, **Total units** changed from to 2,742 units, **Implementing institution** changed from *Not indicated to Philippine Gold Processing and Refining Corp, **Partners_public** changed from to Unknown, **Partners_private** changed from to Reef Ball Foundation, **Partners_communities** changed from to Unknown, **Reference** changed from Technical Report to Cimatu, F. (2018, Aug. 31). Masbate town hopes reef balls will revive endangered corals. Rappler. https://www.rappler.com/nation/210840-tigbao-masbate-reef-balls-revive-endangered-corals/, **Website** changed from http://www.pemsea.org/sites/default/files/tc-v11n1.pdf to https://www.rappler.com/nation/210840-tigbao-masbate-reef-balls-revive-endangered-corals/; https://manilastandard.net/lgu/314250679/philgold-grows-coral-reef-balls-in-masbate.html; https://www.philippine-resources.com/articles/2020/6/environmental-stewardship-in-masbate-s-marine-ecosystem https://newsinfo.inquirer.net/1645158/dying-masbate-marine-ecosystem-revived-as-philgold-deploys-thousands-of-reef-balls, **Contact_name** changed from to Unknown, **Contact_details** changed from to Unknown</v>
      </c>
      <c r="I416" s="153" t="s">
        <v>6931</v>
      </c>
      <c r="J416" s="153" t="s">
        <v>535</v>
      </c>
      <c r="K416" s="153" t="s">
        <v>1191</v>
      </c>
      <c r="L416" s="153" t="s">
        <v>1816</v>
      </c>
      <c r="M416" s="181" t="s">
        <v>1817</v>
      </c>
      <c r="N416" s="153" t="s">
        <v>151</v>
      </c>
      <c r="O416" s="153" t="s">
        <v>1818</v>
      </c>
      <c r="P416" s="154" t="s">
        <v>149</v>
      </c>
      <c r="Q416" s="169">
        <v>2017.0</v>
      </c>
      <c r="R416" s="175" t="s">
        <v>6152</v>
      </c>
      <c r="S416" s="175" t="s">
        <v>149</v>
      </c>
      <c r="T416" s="161" t="s">
        <v>150</v>
      </c>
      <c r="U416" s="153">
        <f>IFERROR(__xludf.DUMMYFUNCTION("""COMPUTED_VALUE"""),392.0)</f>
        <v>392</v>
      </c>
      <c r="V416" s="162" t="s">
        <v>3311</v>
      </c>
      <c r="W416" s="179" t="s">
        <v>6032</v>
      </c>
      <c r="X416" s="28" t="s">
        <v>6033</v>
      </c>
      <c r="Y416" s="32" t="s">
        <v>337</v>
      </c>
      <c r="Z416" s="158" t="s">
        <v>337</v>
      </c>
      <c r="AA416" s="153" t="s">
        <v>337</v>
      </c>
      <c r="AB416" s="153" t="s">
        <v>1819</v>
      </c>
      <c r="AC416" s="153" t="s">
        <v>1820</v>
      </c>
      <c r="AD416" s="158" t="s">
        <v>160</v>
      </c>
      <c r="AE416" s="158" t="s">
        <v>184</v>
      </c>
      <c r="AF416" s="158" t="s">
        <v>159</v>
      </c>
      <c r="AG416" s="164" t="s">
        <v>149</v>
      </c>
      <c r="AH416" s="153" t="s">
        <v>6924</v>
      </c>
      <c r="AI416" s="188" t="s">
        <v>1822</v>
      </c>
      <c r="AJ416" s="153" t="s">
        <v>1823</v>
      </c>
      <c r="AK416" s="158" t="s">
        <v>184</v>
      </c>
      <c r="AL416" s="154" t="s">
        <v>149</v>
      </c>
      <c r="AM416" s="158" t="s">
        <v>1824</v>
      </c>
      <c r="AN416" s="154" t="s">
        <v>149</v>
      </c>
      <c r="AO416" s="156">
        <v>1.0</v>
      </c>
      <c r="AP416" s="156" t="s">
        <v>6037</v>
      </c>
      <c r="AQ416" s="158" t="s">
        <v>166</v>
      </c>
      <c r="AR416" s="153" t="s">
        <v>1825</v>
      </c>
      <c r="AS416" s="153" t="s">
        <v>1826</v>
      </c>
      <c r="AT416" s="154" t="s">
        <v>149</v>
      </c>
      <c r="AU416" s="154" t="s">
        <v>149</v>
      </c>
    </row>
    <row r="417" ht="15.75" customHeight="1">
      <c r="A417" s="186">
        <v>208.0</v>
      </c>
      <c r="B417" s="152">
        <v>2023.0</v>
      </c>
      <c r="D417" s="152"/>
      <c r="E417" s="151">
        <v>208.0</v>
      </c>
      <c r="F417" s="129" t="s">
        <v>140</v>
      </c>
      <c r="G417" s="3" t="s">
        <v>6029</v>
      </c>
      <c r="H417" s="8" t="str">
        <f>IFERROR(__xludf.DUMMYFUNCTION("""COMPUTED_VALUE"""),"")</f>
        <v/>
      </c>
      <c r="I417" s="8" t="s">
        <v>6932</v>
      </c>
      <c r="J417" s="8" t="s">
        <v>535</v>
      </c>
      <c r="K417" s="8" t="s">
        <v>1191</v>
      </c>
      <c r="L417" s="8" t="s">
        <v>6933</v>
      </c>
      <c r="M417" s="153" t="s">
        <v>2829</v>
      </c>
      <c r="N417" s="8" t="s">
        <v>6062</v>
      </c>
      <c r="O417" s="154" t="s">
        <v>149</v>
      </c>
      <c r="P417" s="154" t="s">
        <v>149</v>
      </c>
      <c r="Q417" s="154" t="s">
        <v>149</v>
      </c>
      <c r="R417" s="154" t="s">
        <v>149</v>
      </c>
      <c r="S417" s="154" t="s">
        <v>149</v>
      </c>
      <c r="T417" s="8"/>
      <c r="U417" s="8">
        <f>IFERROR(__xludf.DUMMYFUNCTION("""COMPUTED_VALUE"""),393.0)</f>
        <v>393</v>
      </c>
      <c r="V417" s="8"/>
      <c r="W417" s="8"/>
      <c r="X417" s="8"/>
      <c r="Y417" s="8"/>
      <c r="AA417" s="8" t="s">
        <v>2830</v>
      </c>
      <c r="AB417" s="154" t="s">
        <v>149</v>
      </c>
      <c r="AC417" s="154" t="s">
        <v>149</v>
      </c>
      <c r="AG417" s="154" t="s">
        <v>149</v>
      </c>
      <c r="AH417" s="154" t="s">
        <v>149</v>
      </c>
      <c r="AI417" s="154" t="s">
        <v>149</v>
      </c>
      <c r="AJ417" s="154" t="s">
        <v>149</v>
      </c>
      <c r="AL417" s="154" t="s">
        <v>149</v>
      </c>
      <c r="AM417" s="154" t="s">
        <v>149</v>
      </c>
      <c r="AN417" s="154" t="s">
        <v>149</v>
      </c>
      <c r="AO417" s="8"/>
      <c r="AP417" s="8"/>
      <c r="AR417" s="8" t="s">
        <v>1159</v>
      </c>
      <c r="AS417" s="172" t="s">
        <v>1161</v>
      </c>
      <c r="AT417" s="8" t="s">
        <v>2834</v>
      </c>
      <c r="AU417" s="154" t="s">
        <v>149</v>
      </c>
    </row>
    <row r="418">
      <c r="A418" s="186">
        <v>209.0</v>
      </c>
      <c r="B418" s="152">
        <v>2025.0</v>
      </c>
      <c r="C418" s="153" t="str">
        <f>CONCATENATE(D418, "-", M418, "-", A418)
</f>
        <v>2023-PH054111000-209</v>
      </c>
      <c r="D418" s="152">
        <f>IF(OR(F417="Published", F417="Unpublished"), 2023, IF(F417="New", 2025, ""))
</f>
        <v>2023</v>
      </c>
      <c r="E418" s="151">
        <v>209.0</v>
      </c>
      <c r="F418" s="156" t="s">
        <v>140</v>
      </c>
      <c r="G418" s="156" t="s">
        <v>141</v>
      </c>
      <c r="H418" s="153" t="str">
        <f>IFERROR(__xludf.DUMMYFUNCTION("""COMPUTED_VALUE"""),"**Restoration_project_short** changed from Unknown to First approached by the Filipinnovation on Coral Reef Restoration. But supported by CHED, **Year of establishment** changed from Unknown to 2018, **Project Start** changed from Unknown to 2014, **Proje"&amp;"ct End** changed from Unknown to 2018, **Restoration objective** changed from Unknown to Demonstrate the viability of reef restoraion technique to encourage LGUs to adopt the method, **Funding agency** changed from Unknown to CHED, **Implementing institut"&amp;"ion** changed from Unknown to Bicol University - Tabaco Campus, **Reference** changed from Unpublished article to Mendoza, A. B., Nieves, P., &amp; Kubota, S. (n.d.). Reef Coral Restoration Program in the Bicol Region, Philippines. https://kochi.repo.nii.ac.j"&amp;"p/?action=repository_action_common_download&amp;item_id=8640&amp;item_no=1&amp;attribute_id=17&amp;file_no=1")</f>
        <v>**Restoration_project_short** changed from Unknown to First approached by the Filipinnovation on Coral Reef Restoration. But supported by CHED, **Year of establishment** changed from Unknown to 2018, **Project Start** changed from Unknown to 2014, **Project End** changed from Unknown to 2018, **Restoration objective** changed from Unknown to Demonstrate the viability of reef restoraion technique to encourage LGUs to adopt the method, **Funding agency** changed from Unknown to CHED, **Implementing institution** changed from Unknown to Bicol University - Tabaco Campus, **Reference** changed from Unpublished article to Mendoza, A. B., Nieves, P., &amp; Kubota, S. (n.d.). Reef Coral Restoration Program in the Bicol Region, Philippines. https://kochi.repo.nii.ac.jp/?action=repository_action_common_download&amp;item_id=8640&amp;item_no=1&amp;attribute_id=17&amp;file_no=1</v>
      </c>
      <c r="I418" s="153" t="s">
        <v>6934</v>
      </c>
      <c r="J418" s="153" t="s">
        <v>535</v>
      </c>
      <c r="K418" s="153" t="s">
        <v>1191</v>
      </c>
      <c r="L418" s="153" t="s">
        <v>6933</v>
      </c>
      <c r="M418" s="181" t="s">
        <v>2829</v>
      </c>
      <c r="N418" s="153" t="s">
        <v>6062</v>
      </c>
      <c r="O418" s="158" t="s">
        <v>149</v>
      </c>
      <c r="P418" s="153" t="s">
        <v>6935</v>
      </c>
      <c r="Q418" s="169">
        <v>2018.0</v>
      </c>
      <c r="R418" s="175" t="s">
        <v>6063</v>
      </c>
      <c r="S418" s="175" t="s">
        <v>6098</v>
      </c>
      <c r="T418" s="156" t="s">
        <v>177</v>
      </c>
      <c r="U418" s="153">
        <f>IFERROR(__xludf.DUMMYFUNCTION("""COMPUTED_VALUE"""),394.0)</f>
        <v>394</v>
      </c>
      <c r="V418" s="191" t="s">
        <v>1359</v>
      </c>
      <c r="W418" s="179" t="s">
        <v>6066</v>
      </c>
      <c r="X418" s="180"/>
      <c r="Y418" s="180" t="s">
        <v>154</v>
      </c>
      <c r="Z418" s="158" t="s">
        <v>179</v>
      </c>
      <c r="AA418" s="153" t="s">
        <v>2830</v>
      </c>
      <c r="AB418" s="158" t="s">
        <v>2832</v>
      </c>
      <c r="AC418" s="158" t="s">
        <v>2833</v>
      </c>
      <c r="AD418" s="158" t="s">
        <v>160</v>
      </c>
      <c r="AE418" s="158" t="s">
        <v>6035</v>
      </c>
      <c r="AF418" s="158" t="s">
        <v>149</v>
      </c>
      <c r="AG418" s="164" t="s">
        <v>149</v>
      </c>
      <c r="AH418" s="158" t="s">
        <v>149</v>
      </c>
      <c r="AI418" s="158" t="s">
        <v>149</v>
      </c>
      <c r="AJ418" s="153" t="s">
        <v>1158</v>
      </c>
      <c r="AK418" s="158" t="s">
        <v>6068</v>
      </c>
      <c r="AL418" s="154" t="s">
        <v>149</v>
      </c>
      <c r="AM418" s="154" t="s">
        <v>149</v>
      </c>
      <c r="AN418" s="154" t="s">
        <v>149</v>
      </c>
      <c r="AO418" s="156">
        <v>1.0</v>
      </c>
      <c r="AP418" s="156" t="s">
        <v>6037</v>
      </c>
      <c r="AQ418" s="158" t="s">
        <v>1159</v>
      </c>
      <c r="AR418" s="153" t="s">
        <v>1160</v>
      </c>
      <c r="AS418" s="165" t="s">
        <v>1161</v>
      </c>
      <c r="AT418" s="153" t="s">
        <v>2834</v>
      </c>
      <c r="AU418" s="154" t="s">
        <v>149</v>
      </c>
    </row>
    <row r="419">
      <c r="A419" s="186">
        <v>209.0</v>
      </c>
      <c r="B419" s="152">
        <v>2023.0</v>
      </c>
      <c r="D419" s="152"/>
      <c r="E419" s="151">
        <v>209.0</v>
      </c>
      <c r="F419" s="129" t="s">
        <v>140</v>
      </c>
      <c r="G419" s="3" t="s">
        <v>6029</v>
      </c>
      <c r="H419" s="8" t="str">
        <f>IFERROR(__xludf.DUMMYFUNCTION("""COMPUTED_VALUE"""),"")</f>
        <v/>
      </c>
      <c r="I419" s="8" t="s">
        <v>6936</v>
      </c>
      <c r="J419" s="8" t="s">
        <v>535</v>
      </c>
      <c r="K419" s="8" t="s">
        <v>1191</v>
      </c>
      <c r="L419" s="8" t="s">
        <v>1987</v>
      </c>
      <c r="M419" s="153" t="s">
        <v>1988</v>
      </c>
      <c r="N419" s="8" t="s">
        <v>151</v>
      </c>
      <c r="O419" s="8" t="s">
        <v>384</v>
      </c>
      <c r="P419" s="8" t="s">
        <v>2872</v>
      </c>
      <c r="Q419" s="181" t="s">
        <v>6352</v>
      </c>
      <c r="R419" s="142" t="s">
        <v>6052</v>
      </c>
      <c r="S419" s="142" t="s">
        <v>6053</v>
      </c>
      <c r="T419" s="8"/>
      <c r="U419" s="8">
        <f>IFERROR(__xludf.DUMMYFUNCTION("""COMPUTED_VALUE"""),395.0)</f>
        <v>395</v>
      </c>
      <c r="V419" s="8"/>
      <c r="W419" s="8"/>
      <c r="X419" s="8"/>
      <c r="Y419" s="8"/>
      <c r="AA419" s="8" t="s">
        <v>469</v>
      </c>
      <c r="AB419" s="154" t="s">
        <v>149</v>
      </c>
      <c r="AC419" s="8" t="s">
        <v>390</v>
      </c>
      <c r="AG419" s="154" t="s">
        <v>149</v>
      </c>
      <c r="AH419" s="154" t="s">
        <v>149</v>
      </c>
      <c r="AI419" s="8" t="s">
        <v>2870</v>
      </c>
      <c r="AJ419" s="8" t="s">
        <v>390</v>
      </c>
      <c r="AL419" s="8" t="s">
        <v>6055</v>
      </c>
      <c r="AM419" s="154" t="s">
        <v>149</v>
      </c>
      <c r="AN419" s="154" t="s">
        <v>149</v>
      </c>
      <c r="AO419" s="8"/>
      <c r="AP419" s="8"/>
      <c r="AR419" s="8" t="s">
        <v>6057</v>
      </c>
      <c r="AS419" s="8" t="s">
        <v>2873</v>
      </c>
      <c r="AT419" s="8" t="s">
        <v>398</v>
      </c>
      <c r="AU419" s="154" t="s">
        <v>149</v>
      </c>
    </row>
    <row r="420">
      <c r="A420" s="186">
        <v>210.0</v>
      </c>
      <c r="B420" s="152">
        <v>2023.0</v>
      </c>
      <c r="D420" s="152"/>
      <c r="E420" s="151">
        <v>210.0</v>
      </c>
      <c r="F420" s="129" t="s">
        <v>140</v>
      </c>
      <c r="G420" s="3" t="s">
        <v>6029</v>
      </c>
      <c r="H420" s="8" t="str">
        <f>IFERROR(__xludf.DUMMYFUNCTION("""COMPUTED_VALUE"""),"")</f>
        <v/>
      </c>
      <c r="I420" s="8" t="s">
        <v>6937</v>
      </c>
      <c r="J420" s="8" t="s">
        <v>535</v>
      </c>
      <c r="K420" s="8" t="s">
        <v>1191</v>
      </c>
      <c r="L420" s="8" t="s">
        <v>1987</v>
      </c>
      <c r="M420" s="153" t="s">
        <v>1988</v>
      </c>
      <c r="N420" s="8" t="s">
        <v>151</v>
      </c>
      <c r="O420" s="8" t="s">
        <v>6938</v>
      </c>
      <c r="P420" s="154" t="s">
        <v>149</v>
      </c>
      <c r="Q420" s="154" t="s">
        <v>149</v>
      </c>
      <c r="R420" s="142" t="s">
        <v>6352</v>
      </c>
      <c r="S420" s="142" t="s">
        <v>6052</v>
      </c>
      <c r="T420" s="8"/>
      <c r="U420" s="8">
        <f>IFERROR(__xludf.DUMMYFUNCTION("""COMPUTED_VALUE"""),396.0)</f>
        <v>396</v>
      </c>
      <c r="V420" s="8"/>
      <c r="W420" s="8"/>
      <c r="X420" s="8"/>
      <c r="Y420" s="8"/>
      <c r="AA420" s="8" t="s">
        <v>6076</v>
      </c>
      <c r="AB420" s="8" t="s">
        <v>1380</v>
      </c>
      <c r="AC420" s="154" t="s">
        <v>149</v>
      </c>
      <c r="AG420" s="154" t="s">
        <v>149</v>
      </c>
      <c r="AH420" s="154" t="s">
        <v>149</v>
      </c>
      <c r="AI420" s="8" t="s">
        <v>1992</v>
      </c>
      <c r="AJ420" s="8" t="s">
        <v>1993</v>
      </c>
      <c r="AL420" s="154" t="s">
        <v>149</v>
      </c>
      <c r="AM420" s="154" t="s">
        <v>149</v>
      </c>
      <c r="AN420" s="154" t="s">
        <v>149</v>
      </c>
      <c r="AO420" s="8"/>
      <c r="AP420" s="8"/>
      <c r="AR420" s="8" t="s">
        <v>6027</v>
      </c>
      <c r="AS420" s="8" t="s">
        <v>1995</v>
      </c>
      <c r="AT420" s="8" t="s">
        <v>398</v>
      </c>
      <c r="AU420" s="154" t="s">
        <v>149</v>
      </c>
    </row>
    <row r="421">
      <c r="A421" s="186">
        <v>210.0</v>
      </c>
      <c r="B421" s="152">
        <v>2025.0</v>
      </c>
      <c r="C421" s="153" t="str">
        <f>CONCATENATE(D421, "-", M421, "-", A421)
</f>
        <v>2023-PH054119000-210</v>
      </c>
      <c r="D421" s="152">
        <f>IF(OR(F420="Published", F420="Unpublished"), 2023, IF(F420="New", 2025, ""))
</f>
        <v>2023</v>
      </c>
      <c r="E421" s="151">
        <v>210.0</v>
      </c>
      <c r="F421" s="129" t="s">
        <v>140</v>
      </c>
      <c r="G421" s="156" t="s">
        <v>141</v>
      </c>
      <c r="H421" s="153" t="str">
        <f>IFERROR(__xludf.DUMMYFUNCTION("""COMPUTED_VALUE"""),"**Restoration_project** changed from Samar-Sea Ticao Pass Project to Artificial Reef Development Program, **Restoration_project_short** changed from Unknown to Site in Washington, **Year of establishment** changed from Unknown to 1984, **Project Start** c"&amp;"hanged from 1984 to 1985, **Project End** changed from 1985 to 1987, **Technique/Material Type** changed from bamboo to tires; bamboo, **Restoration objective** changed from Fishing and rehabilitation to Unknown, **Funding agency** changed from Unknown to"&amp;" BFAR, **Total units** changed from 4,000 units to 4 TM; 4 BM, **Implementing institution** changed from Philippine Fisheries Devt. Authority to BFAR, **Partners_public** changed from Unknown to Ministry of Human Settlements, **Reference** changed from We"&amp;"bsite to Balgos, M.C. (1995). Evaluation of artificial reef development in the Philippines. In Munro, J.L. &amp; Balgos, M. (eds.) Artificial reefs in the Philippines. ICLARM Conf. Proc. 49, pp. 6-22., **Website** changed from https://www.nzdl.org/cgi-bin/lib"&amp;"rary?e=d-00000-00---off-0hdl--00-0----0-10-0---0---0direct-10---4-------0-1l--11-en-50---20-about---00-0-1-00-0--4----0-0-11-10-0utfZz-8-10&amp;cl=CL2.17.2&amp;d=HASHfc8d613128f6e253a7fd93.6&amp;gc=1 to http://pubs.iclarm.net/libinfo/Pdf/Pub%20CP6%2049.pdf")</f>
        <v>**Restoration_project** changed from Samar-Sea Ticao Pass Project to Artificial Reef Development Program, **Restoration_project_short** changed from Unknown to Site in Washington, **Year of establishment** changed from Unknown to 1984, **Project Start** changed from 1984 to 1985, **Project End** changed from 1985 to 1987, **Technique/Material Type** changed from bamboo to tires; bamboo, **Restoration objective** changed from Fishing and rehabilitation to Unknown, **Funding agency** changed from Unknown to BFAR, **Total units** changed from 4,000 units to 4 TM; 4 BM, **Implementing institution** changed from Philippine Fisheries Devt. Authority to BFAR, **Partners_public** changed from Unknown to Ministry of Human Settlements, **Reference** changed from Website to Balgos, M.C. (1995). Evaluation of artificial reef development in the Philippines. In Munro, J.L. &amp; Balgos, M. (eds.) Artificial reefs in the Philippines. ICLARM Conf. Proc. 49, pp. 6-22., **Website** changed from https://www.nzdl.org/cgi-bin/library?e=d-00000-00---off-0hdl--00-0----0-10-0---0---0direct-10---4-------0-1l--11-en-50---20-about---00-0-1-00-0--4----0-0-11-10-0utfZz-8-10&amp;cl=CL2.17.2&amp;d=HASHfc8d613128f6e253a7fd93.6&amp;gc=1 to http://pubs.iclarm.net/libinfo/Pdf/Pub%20CP6%2049.pdf</v>
      </c>
      <c r="I421" s="153" t="s">
        <v>6939</v>
      </c>
      <c r="J421" s="153" t="s">
        <v>535</v>
      </c>
      <c r="K421" s="153" t="s">
        <v>1191</v>
      </c>
      <c r="L421" s="153" t="s">
        <v>1987</v>
      </c>
      <c r="M421" s="181" t="s">
        <v>1988</v>
      </c>
      <c r="N421" s="153" t="s">
        <v>151</v>
      </c>
      <c r="O421" s="153" t="s">
        <v>384</v>
      </c>
      <c r="P421" s="153" t="s">
        <v>2872</v>
      </c>
      <c r="Q421" s="169">
        <v>1984.0</v>
      </c>
      <c r="R421" s="175" t="s">
        <v>6052</v>
      </c>
      <c r="S421" s="175" t="s">
        <v>6053</v>
      </c>
      <c r="T421" s="161" t="s">
        <v>150</v>
      </c>
      <c r="U421" s="153">
        <f>IFERROR(__xludf.DUMMYFUNCTION("""COMPUTED_VALUE"""),397.0)</f>
        <v>397</v>
      </c>
      <c r="V421" s="162" t="s">
        <v>3311</v>
      </c>
      <c r="W421" s="179" t="s">
        <v>6081</v>
      </c>
      <c r="X421" s="28" t="s">
        <v>6082</v>
      </c>
      <c r="Y421" s="32" t="s">
        <v>468</v>
      </c>
      <c r="Z421" s="158" t="s">
        <v>469</v>
      </c>
      <c r="AA421" s="153" t="s">
        <v>469</v>
      </c>
      <c r="AB421" s="158" t="s">
        <v>149</v>
      </c>
      <c r="AC421" s="153" t="s">
        <v>390</v>
      </c>
      <c r="AD421" s="158" t="s">
        <v>160</v>
      </c>
      <c r="AE421" s="158" t="s">
        <v>6035</v>
      </c>
      <c r="AF421" s="158" t="s">
        <v>159</v>
      </c>
      <c r="AG421" s="164" t="s">
        <v>149</v>
      </c>
      <c r="AH421" s="158" t="s">
        <v>149</v>
      </c>
      <c r="AI421" s="153" t="s">
        <v>2870</v>
      </c>
      <c r="AJ421" s="153" t="s">
        <v>390</v>
      </c>
      <c r="AK421" s="153" t="s">
        <v>6035</v>
      </c>
      <c r="AL421" s="153" t="s">
        <v>6055</v>
      </c>
      <c r="AM421" s="154" t="s">
        <v>149</v>
      </c>
      <c r="AN421" s="154" t="s">
        <v>149</v>
      </c>
      <c r="AO421" s="156">
        <v>1.0</v>
      </c>
      <c r="AP421" s="156" t="s">
        <v>6037</v>
      </c>
      <c r="AQ421" s="158" t="s">
        <v>395</v>
      </c>
      <c r="AR421" s="153" t="s">
        <v>6060</v>
      </c>
      <c r="AS421" s="153" t="s">
        <v>2873</v>
      </c>
      <c r="AT421" s="153" t="s">
        <v>398</v>
      </c>
      <c r="AU421" s="154" t="s">
        <v>149</v>
      </c>
    </row>
    <row r="422">
      <c r="A422" s="186">
        <v>211.0</v>
      </c>
      <c r="B422" s="152">
        <v>2023.0</v>
      </c>
      <c r="D422" s="152"/>
      <c r="E422" s="151">
        <v>211.0</v>
      </c>
      <c r="F422" s="129" t="s">
        <v>140</v>
      </c>
      <c r="G422" s="3" t="s">
        <v>6029</v>
      </c>
      <c r="H422" s="8" t="str">
        <f>IFERROR(__xludf.DUMMYFUNCTION("""COMPUTED_VALUE"""),"")</f>
        <v/>
      </c>
      <c r="I422" s="8" t="s">
        <v>6940</v>
      </c>
      <c r="J422" s="8" t="s">
        <v>535</v>
      </c>
      <c r="K422" s="8" t="s">
        <v>1191</v>
      </c>
      <c r="L422" s="8" t="s">
        <v>1120</v>
      </c>
      <c r="M422" s="153" t="s">
        <v>1192</v>
      </c>
      <c r="N422" s="8" t="s">
        <v>6062</v>
      </c>
      <c r="O422" s="8" t="s">
        <v>1174</v>
      </c>
      <c r="P422" s="154" t="s">
        <v>149</v>
      </c>
      <c r="Q422" s="154" t="s">
        <v>149</v>
      </c>
      <c r="R422" s="142" t="s">
        <v>6151</v>
      </c>
      <c r="S422" s="142" t="s">
        <v>6089</v>
      </c>
      <c r="T422" s="8"/>
      <c r="U422" s="8">
        <f>IFERROR(__xludf.DUMMYFUNCTION("""COMPUTED_VALUE"""),398.0)</f>
        <v>398</v>
      </c>
      <c r="V422" s="8"/>
      <c r="W422" s="8"/>
      <c r="X422" s="8"/>
      <c r="Y422" s="8"/>
      <c r="AA422" s="8" t="s">
        <v>320</v>
      </c>
      <c r="AB422" s="8" t="s">
        <v>1193</v>
      </c>
      <c r="AC422" s="8" t="s">
        <v>321</v>
      </c>
      <c r="AG422" s="154" t="s">
        <v>149</v>
      </c>
      <c r="AH422" s="154" t="s">
        <v>149</v>
      </c>
      <c r="AI422" s="8" t="s">
        <v>1194</v>
      </c>
      <c r="AJ422" s="8" t="s">
        <v>1158</v>
      </c>
      <c r="AL422" s="154" t="s">
        <v>149</v>
      </c>
      <c r="AM422" s="154" t="s">
        <v>149</v>
      </c>
      <c r="AN422" s="8" t="s">
        <v>1195</v>
      </c>
      <c r="AO422" s="8"/>
      <c r="AP422" s="8"/>
      <c r="AR422" s="8" t="s">
        <v>6069</v>
      </c>
      <c r="AS422" s="154" t="s">
        <v>149</v>
      </c>
      <c r="AT422" s="154" t="s">
        <v>149</v>
      </c>
      <c r="AU422" s="154" t="s">
        <v>149</v>
      </c>
    </row>
    <row r="423">
      <c r="A423" s="186">
        <v>211.0</v>
      </c>
      <c r="B423" s="152">
        <v>2025.0</v>
      </c>
      <c r="C423" s="153" t="str">
        <f t="shared" ref="C423:C424" si="45">CONCATENATE(D423, "-", M423, "-", A423)
</f>
        <v>2023-PH054119000-211</v>
      </c>
      <c r="D423" s="152">
        <f t="shared" ref="D423:D424" si="46">IF(OR(F422="Published", F422="Unpublished"), 2023, IF(F422="New", 2025, ""))
</f>
        <v>2023</v>
      </c>
      <c r="E423" s="151">
        <v>211.0</v>
      </c>
      <c r="F423" s="129" t="s">
        <v>140</v>
      </c>
      <c r="G423" s="156" t="s">
        <v>141</v>
      </c>
      <c r="H423" s="153" t="str">
        <f>IFERROR(__xludf.DUMMYFUNCTION("""COMPUTED_VALUE"""),"**Restoration_project** changed from Filipinnovation on Coral Reef Restoration to Samar-Sea Ticao Pass Fisheries Development Corporation, **Project Start** changed from 2012 to 1984, **Project End** changed from 2013 to 1985, **Restoration method** change"&amp;"d from Asexual Reproduction to Artificial Reef, **Technique/Material Type** changed from CNU to ""Brush parks"", **Restoration objective** changed from Experimental; rehabilitate degraded coral reefs to Fishing and rehabilitation of stocks, **Funding agen"&amp;"cy** changed from DOST-PCAARRD to Unknown, **Total units** changed from 40 CNUs/18,000 COPs to 4,000 units, **Implementing institution** changed from Bicol University - Tabaco Campus to Philippine Fisheries Devt. Authority, **Partners_communities** change"&amp;"d from MFARMC to Unknown, **Reference** changed from Briefer Report to National Research Council (1988). Fisheries Technologies for Developing Countries. National Academy Press Washington D.C. Retrieved from https://www.nzdl.org/cgi-bin/library?e=d-00000-"&amp;"00---off-0hdl--00-0----0-10-0---0---0direct-10---4-------0-1l--11-en-50---20-about---00-0-1-00-0-0-11----0-0-&amp;cl=CL2.17.2&amp;d=HASHfc8d613128f6e253a7fd93&amp;gt=1, **Website** changed from Unknown to https://www.nzdl.org/cgi-bin/library?e=d-00000-00---off-0hdl--"&amp;"00-0----0-10-0---0---0direct-10---4-------0-1l--11-en-50---20-about---00-0-1-00-0--4----0-0-11-10-0utfZz-8-10&amp;cl=CL2.17.2&amp;d=HASHfc8d613128f6e253a7fd93.6&amp;gc=1, **Contact_name** changed from Unknown to Miriam Balgos")</f>
        <v>**Restoration_project** changed from Filipinnovation on Coral Reef Restoration to Samar-Sea Ticao Pass Fisheries Development Corporation, **Project Start** changed from 2012 to 1984, **Project End** changed from 2013 to 1985, **Restoration method** changed from Asexual Reproduction to Artificial Reef, **Technique/Material Type** changed from CNU to "Brush parks", **Restoration objective** changed from Experimental; rehabilitate degraded coral reefs to Fishing and rehabilitation of stocks, **Funding agency** changed from DOST-PCAARRD to Unknown, **Total units** changed from 40 CNUs/18,000 COPs to 4,000 units, **Implementing institution** changed from Bicol University - Tabaco Campus to Philippine Fisheries Devt. Authority, **Partners_communities** changed from MFARMC to Unknown, **Reference** changed from Briefer Report to National Research Council (1988). Fisheries Technologies for Developing Countries. National Academy Press Washington D.C. Retrieved from https://www.nzdl.org/cgi-bin/library?e=d-00000-00---off-0hdl--00-0----0-10-0---0---0direct-10---4-------0-1l--11-en-50---20-about---00-0-1-00-0-0-11----0-0-&amp;cl=CL2.17.2&amp;d=HASHfc8d613128f6e253a7fd93&amp;gt=1, **Website** changed from Unknown to https://www.nzdl.org/cgi-bin/library?e=d-00000-00---off-0hdl--00-0----0-10-0---0---0direct-10---4-------0-1l--11-en-50---20-about---00-0-1-00-0--4----0-0-11-10-0utfZz-8-10&amp;cl=CL2.17.2&amp;d=HASHfc8d613128f6e253a7fd93.6&amp;gc=1, **Contact_name** changed from Unknown to Miriam Balgos</v>
      </c>
      <c r="I423" s="153" t="s">
        <v>6941</v>
      </c>
      <c r="J423" s="153" t="s">
        <v>535</v>
      </c>
      <c r="K423" s="153" t="s">
        <v>1191</v>
      </c>
      <c r="L423" s="153" t="s">
        <v>1987</v>
      </c>
      <c r="M423" s="181" t="s">
        <v>1988</v>
      </c>
      <c r="N423" s="153" t="s">
        <v>151</v>
      </c>
      <c r="O423" s="153" t="s">
        <v>1989</v>
      </c>
      <c r="P423" s="154" t="s">
        <v>149</v>
      </c>
      <c r="Q423" s="178" t="s">
        <v>149</v>
      </c>
      <c r="R423" s="175" t="s">
        <v>6352</v>
      </c>
      <c r="S423" s="175" t="s">
        <v>6052</v>
      </c>
      <c r="T423" s="161" t="s">
        <v>150</v>
      </c>
      <c r="U423" s="153">
        <f>IFERROR(__xludf.DUMMYFUNCTION("""COMPUTED_VALUE"""),399.0)</f>
        <v>399</v>
      </c>
      <c r="V423" s="162" t="s">
        <v>3311</v>
      </c>
      <c r="W423" s="179" t="s">
        <v>6075</v>
      </c>
      <c r="X423" s="28" t="s">
        <v>604</v>
      </c>
      <c r="Y423" s="28" t="s">
        <v>605</v>
      </c>
      <c r="Z423" s="176" t="s">
        <v>605</v>
      </c>
      <c r="AA423" s="158" t="s">
        <v>6942</v>
      </c>
      <c r="AB423" s="153" t="s">
        <v>1991</v>
      </c>
      <c r="AC423" s="158" t="s">
        <v>149</v>
      </c>
      <c r="AD423" s="158" t="s">
        <v>149</v>
      </c>
      <c r="AE423" s="158" t="s">
        <v>149</v>
      </c>
      <c r="AF423" s="158" t="s">
        <v>149</v>
      </c>
      <c r="AG423" s="164" t="s">
        <v>149</v>
      </c>
      <c r="AH423" s="158" t="s">
        <v>149</v>
      </c>
      <c r="AI423" s="153" t="s">
        <v>1992</v>
      </c>
      <c r="AJ423" s="153" t="s">
        <v>1993</v>
      </c>
      <c r="AK423" s="153" t="s">
        <v>6035</v>
      </c>
      <c r="AL423" s="154" t="s">
        <v>149</v>
      </c>
      <c r="AM423" s="154" t="s">
        <v>149</v>
      </c>
      <c r="AN423" s="154" t="s">
        <v>149</v>
      </c>
      <c r="AO423" s="156">
        <v>1.0</v>
      </c>
      <c r="AP423" s="156" t="s">
        <v>6037</v>
      </c>
      <c r="AQ423" s="153" t="s">
        <v>889</v>
      </c>
      <c r="AR423" s="153" t="s">
        <v>1994</v>
      </c>
      <c r="AS423" s="165" t="s">
        <v>1995</v>
      </c>
      <c r="AT423" s="153" t="s">
        <v>398</v>
      </c>
      <c r="AU423" s="154" t="s">
        <v>149</v>
      </c>
    </row>
    <row r="424">
      <c r="A424" s="186">
        <v>212.0</v>
      </c>
      <c r="B424" s="152">
        <v>2025.0</v>
      </c>
      <c r="C424" s="153" t="str">
        <f t="shared" si="45"/>
        <v>2023-PH054118000-212</v>
      </c>
      <c r="D424" s="152">
        <f t="shared" si="46"/>
        <v>2023</v>
      </c>
      <c r="E424" s="151">
        <v>212.0</v>
      </c>
      <c r="F424" s="129" t="s">
        <v>140</v>
      </c>
      <c r="G424" s="156" t="s">
        <v>141</v>
      </c>
      <c r="H424" s="153" t="str">
        <f>IFERROR(__xludf.DUMMYFUNCTION("""COMPUTED_VALUE"""),"**Restoration_project** changed from Samar-Sea Ticao Pass Fisheries Development Corporation to Filipinnovation on Coral Reef Restoration, **Year of establishment** changed from Unknown to 2013, **Project Start** changed from 1984 to 2012, **Project End** "&amp;"changed from 1985 to 2013, **Restoration method** changed from Artificial Reef to Asexual Reproduction, **Technique/Material Type** changed from ""Brush parks"" to CNU, **Restoration objective** changed from Fishing and rehabilitation of stocks to Experim"&amp;"ental; rehabilitate degraded coral reefs, **Funding agency** changed from Unknown to DOST-PCAARRD, **Total units** changed from 4,000 units to 40 CNUs/18,000 COPs, **Implementing institution** changed from Philippine Fisheries Devt. Authority to Bicol Uni"&amp;"versity - Tabaco Campus, **Partners_communities** changed from Unknown to MFARMC, **Reference** changed from National Research Council (1988). Fisheries Technologies for Developing Countries. National Academy Press Washington D.C. Retrieved from https://w"&amp;"ww.nzdl.org/cgi-bin/library?e=d-00000-00---off-0hdl--00-0----0-10-0---0---0direct-10---4-------0-1l--11-en-50---20-about---00-0-1-00-0-0-11----0-0-&amp;cl=CL2.17.2&amp;d=HASHfc8d613128f6e253a7fd93&amp;gt=1 to DOST-PCAARRD (2013d). Project 4: Pilot Technology Demonstr"&amp;"ation on Coral Reef Restoration in Ticao, Island, Masbate., **Website** changed from https://www.nzdl.org/cgi-bin/library?e=d-00000-00---off-0hdl--00-0----0-10-0---0---0direct-10---4-------0-1l--11-en-50---20-about---00-0-1-00-0--4----0-0-11-10-0utfZz-8-1"&amp;"0&amp;cl=CL2.17.2&amp;d=HASHfc8d613128f6e253a7fd93.6&amp;gc=1 to Report uploaded in the Google Drive, **Contact_name** changed from Miriam Balgos to Unknown")</f>
        <v>**Restoration_project** changed from Samar-Sea Ticao Pass Fisheries Development Corporation to Filipinnovation on Coral Reef Restoration, **Year of establishment** changed from Unknown to 2013, **Project Start** changed from 1984 to 2012, **Project End** changed from 1985 to 2013, **Restoration method** changed from Artificial Reef to Asexual Reproduction, **Technique/Material Type** changed from "Brush parks" to CNU, **Restoration objective** changed from Fishing and rehabilitation of stocks to Experimental; rehabilitate degraded coral reefs, **Funding agency** changed from Unknown to DOST-PCAARRD, **Total units** changed from 4,000 units to 40 CNUs/18,000 COPs, **Implementing institution** changed from Philippine Fisheries Devt. Authority to Bicol University - Tabaco Campus, **Partners_communities** changed from Unknown to MFARMC, **Reference** changed from National Research Council (1988). Fisheries Technologies for Developing Countries. National Academy Press Washington D.C. Retrieved from https://www.nzdl.org/cgi-bin/library?e=d-00000-00---off-0hdl--00-0----0-10-0---0---0direct-10---4-------0-1l--11-en-50---20-about---00-0-1-00-0-0-11----0-0-&amp;cl=CL2.17.2&amp;d=HASHfc8d613128f6e253a7fd93&amp;gt=1 to DOST-PCAARRD (2013d). Project 4: Pilot Technology Demonstration on Coral Reef Restoration in Ticao, Island, Masbate., **Website** changed from https://www.nzdl.org/cgi-bin/library?e=d-00000-00---off-0hdl--00-0----0-10-0---0---0direct-10---4-------0-1l--11-en-50---20-about---00-0-1-00-0--4----0-0-11-10-0utfZz-8-10&amp;cl=CL2.17.2&amp;d=HASHfc8d613128f6e253a7fd93.6&amp;gc=1 to Report uploaded in the Google Drive, **Contact_name** changed from Miriam Balgos to Unknown</v>
      </c>
      <c r="I424" s="153" t="s">
        <v>6943</v>
      </c>
      <c r="J424" s="153" t="s">
        <v>535</v>
      </c>
      <c r="K424" s="153" t="s">
        <v>1191</v>
      </c>
      <c r="L424" s="153" t="s">
        <v>1120</v>
      </c>
      <c r="M424" s="181" t="s">
        <v>1192</v>
      </c>
      <c r="N424" s="153" t="s">
        <v>6062</v>
      </c>
      <c r="O424" s="153" t="s">
        <v>1174</v>
      </c>
      <c r="P424" s="154" t="s">
        <v>149</v>
      </c>
      <c r="Q424" s="178">
        <v>2013.0</v>
      </c>
      <c r="R424" s="175" t="s">
        <v>6151</v>
      </c>
      <c r="S424" s="175" t="s">
        <v>6089</v>
      </c>
      <c r="T424" s="156" t="s">
        <v>177</v>
      </c>
      <c r="U424" s="153">
        <f>IFERROR(__xludf.DUMMYFUNCTION("""COMPUTED_VALUE"""),400.0)</f>
        <v>400</v>
      </c>
      <c r="V424" s="191" t="s">
        <v>1359</v>
      </c>
      <c r="W424" s="179" t="s">
        <v>6066</v>
      </c>
      <c r="X424" s="180"/>
      <c r="Y424" s="180" t="s">
        <v>154</v>
      </c>
      <c r="Z424" s="158" t="s">
        <v>179</v>
      </c>
      <c r="AA424" s="153" t="s">
        <v>320</v>
      </c>
      <c r="AB424" s="153" t="s">
        <v>1193</v>
      </c>
      <c r="AC424" s="153" t="s">
        <v>321</v>
      </c>
      <c r="AD424" s="158" t="s">
        <v>160</v>
      </c>
      <c r="AE424" s="158" t="s">
        <v>6035</v>
      </c>
      <c r="AF424" s="158" t="s">
        <v>204</v>
      </c>
      <c r="AG424" s="164" t="s">
        <v>149</v>
      </c>
      <c r="AH424" s="158" t="s">
        <v>149</v>
      </c>
      <c r="AI424" s="153" t="s">
        <v>1194</v>
      </c>
      <c r="AJ424" s="153" t="s">
        <v>1158</v>
      </c>
      <c r="AK424" s="158" t="s">
        <v>6068</v>
      </c>
      <c r="AL424" s="154" t="s">
        <v>149</v>
      </c>
      <c r="AM424" s="154" t="s">
        <v>149</v>
      </c>
      <c r="AN424" s="153" t="s">
        <v>1195</v>
      </c>
      <c r="AO424" s="156">
        <v>1.0</v>
      </c>
      <c r="AP424" s="156" t="s">
        <v>6037</v>
      </c>
      <c r="AQ424" s="158" t="s">
        <v>6069</v>
      </c>
      <c r="AR424" s="153" t="s">
        <v>1196</v>
      </c>
      <c r="AS424" s="153" t="s">
        <v>6070</v>
      </c>
      <c r="AT424" s="154" t="s">
        <v>149</v>
      </c>
      <c r="AU424" s="154" t="s">
        <v>149</v>
      </c>
    </row>
    <row r="425">
      <c r="A425" s="186">
        <v>212.0</v>
      </c>
      <c r="B425" s="152">
        <v>2023.0</v>
      </c>
      <c r="D425" s="152"/>
      <c r="E425" s="151">
        <v>212.0</v>
      </c>
      <c r="F425" s="129" t="s">
        <v>140</v>
      </c>
      <c r="G425" s="3" t="s">
        <v>6029</v>
      </c>
      <c r="H425" s="8" t="str">
        <f>IFERROR(__xludf.DUMMYFUNCTION("""COMPUTED_VALUE"""),"")</f>
        <v/>
      </c>
      <c r="I425" s="8" t="s">
        <v>6944</v>
      </c>
      <c r="J425" s="8" t="s">
        <v>535</v>
      </c>
      <c r="K425" s="8" t="s">
        <v>536</v>
      </c>
      <c r="L425" s="8" t="s">
        <v>6945</v>
      </c>
      <c r="M425" s="153" t="s">
        <v>538</v>
      </c>
      <c r="N425" s="8" t="s">
        <v>151</v>
      </c>
      <c r="O425" s="8" t="s">
        <v>384</v>
      </c>
      <c r="P425" s="8" t="s">
        <v>6946</v>
      </c>
      <c r="Q425" s="142" t="s">
        <v>6052</v>
      </c>
      <c r="R425" s="142" t="s">
        <v>6052</v>
      </c>
      <c r="S425" s="142" t="s">
        <v>6053</v>
      </c>
      <c r="T425" s="8"/>
      <c r="U425" s="8">
        <f>IFERROR(__xludf.DUMMYFUNCTION("""COMPUTED_VALUE"""),401.0)</f>
        <v>401</v>
      </c>
      <c r="V425" s="8"/>
      <c r="W425" s="8"/>
      <c r="X425" s="8"/>
      <c r="Y425" s="8"/>
      <c r="AA425" s="8" t="s">
        <v>469</v>
      </c>
      <c r="AB425" s="158" t="s">
        <v>149</v>
      </c>
      <c r="AC425" s="8" t="s">
        <v>390</v>
      </c>
      <c r="AG425" s="164" t="s">
        <v>149</v>
      </c>
      <c r="AH425" s="158" t="s">
        <v>149</v>
      </c>
      <c r="AI425" s="154" t="s">
        <v>149</v>
      </c>
      <c r="AJ425" s="8" t="s">
        <v>390</v>
      </c>
      <c r="AL425" s="8" t="s">
        <v>6055</v>
      </c>
      <c r="AM425" s="154" t="s">
        <v>149</v>
      </c>
      <c r="AN425" s="154" t="s">
        <v>149</v>
      </c>
      <c r="AO425" s="8"/>
      <c r="AP425" s="8"/>
      <c r="AR425" s="8" t="s">
        <v>6057</v>
      </c>
      <c r="AS425" s="8" t="s">
        <v>2873</v>
      </c>
      <c r="AT425" s="8" t="s">
        <v>398</v>
      </c>
      <c r="AU425" s="154" t="s">
        <v>149</v>
      </c>
    </row>
    <row r="426">
      <c r="A426" s="186">
        <v>213.0</v>
      </c>
      <c r="B426" s="152">
        <v>2023.0</v>
      </c>
      <c r="D426" s="152"/>
      <c r="E426" s="151">
        <v>213.0</v>
      </c>
      <c r="F426" s="129" t="s">
        <v>140</v>
      </c>
      <c r="G426" s="3" t="s">
        <v>6029</v>
      </c>
      <c r="H426" s="8" t="str">
        <f>IFERROR(__xludf.DUMMYFUNCTION("""COMPUTED_VALUE"""),"")</f>
        <v/>
      </c>
      <c r="I426" s="8" t="s">
        <v>6947</v>
      </c>
      <c r="J426" s="8" t="s">
        <v>535</v>
      </c>
      <c r="K426" s="8" t="s">
        <v>536</v>
      </c>
      <c r="L426" s="8" t="s">
        <v>6945</v>
      </c>
      <c r="M426" s="153" t="s">
        <v>538</v>
      </c>
      <c r="N426" s="8" t="s">
        <v>151</v>
      </c>
      <c r="O426" s="8" t="s">
        <v>384</v>
      </c>
      <c r="P426" s="8" t="s">
        <v>6948</v>
      </c>
      <c r="Q426" s="142" t="s">
        <v>6052</v>
      </c>
      <c r="R426" s="142" t="s">
        <v>6052</v>
      </c>
      <c r="S426" s="142" t="s">
        <v>6053</v>
      </c>
      <c r="T426" s="8"/>
      <c r="U426" s="8">
        <f>IFERROR(__xludf.DUMMYFUNCTION("""COMPUTED_VALUE"""),402.0)</f>
        <v>402</v>
      </c>
      <c r="V426" s="8"/>
      <c r="W426" s="8"/>
      <c r="X426" s="8"/>
      <c r="Y426" s="8"/>
      <c r="AA426" s="8" t="s">
        <v>6054</v>
      </c>
      <c r="AB426" s="154" t="s">
        <v>149</v>
      </c>
      <c r="AC426" s="8" t="s">
        <v>390</v>
      </c>
      <c r="AG426" s="154" t="s">
        <v>149</v>
      </c>
      <c r="AH426" s="154" t="s">
        <v>149</v>
      </c>
      <c r="AI426" s="8" t="s">
        <v>391</v>
      </c>
      <c r="AJ426" s="8" t="s">
        <v>390</v>
      </c>
      <c r="AL426" s="8" t="s">
        <v>6055</v>
      </c>
      <c r="AM426" s="154" t="s">
        <v>149</v>
      </c>
      <c r="AN426" s="154" t="s">
        <v>149</v>
      </c>
      <c r="AO426" s="8"/>
      <c r="AP426" s="8"/>
      <c r="AR426" s="8" t="s">
        <v>6057</v>
      </c>
      <c r="AS426" s="8" t="s">
        <v>2873</v>
      </c>
      <c r="AT426" s="8" t="s">
        <v>398</v>
      </c>
      <c r="AU426" s="154" t="s">
        <v>149</v>
      </c>
    </row>
    <row r="427">
      <c r="A427" s="186">
        <v>213.0</v>
      </c>
      <c r="B427" s="152">
        <v>2025.0</v>
      </c>
      <c r="C427" s="153" t="str">
        <f>CONCATENATE(D427, "-", M427, "-", A427)
</f>
        <v>2023-PH056216000-213</v>
      </c>
      <c r="D427" s="152">
        <f>IF(OR(F426="Published", F426="Unpublished"), 2023, IF(F426="New", 2025, ""))
</f>
        <v>2023</v>
      </c>
      <c r="E427" s="151">
        <v>213.0</v>
      </c>
      <c r="F427" s="129" t="s">
        <v>140</v>
      </c>
      <c r="G427" s="156" t="s">
        <v>141</v>
      </c>
      <c r="H427" s="153" t="str">
        <f>IFERROR(__xludf.DUMMYFUNCTION("""COMPUTED_VALUE"""),"**Restoration_project_short** changed from Site in Bato; *Stated as Bacon in the literature, now part of Sorsogon City to Site in Caricaran; *Stated as Bacon in the literature, now part of Sorsogon City, **Year of establishment** changed from 1985 to 1985"&amp;", **Technique/Material Type** changed from tires to tires; bamboo, **Total units** changed from 10 TM to Unknown, **Reference** changed from Conference Proceediing to Balgos, M.C. (1995). Evaluation of artificial reef development in the Philippines. In Mu"&amp;"nro, J.L. &amp; Balgos, M. (eds.) Artificial reefs in the Philippines. ICLARM Conf. Proc. 49, pp. 6-22., **Website** changed from http://pubs.iclarm.net/libinfo/Pdf/Pub%20CP6%2049.pdf to https://core.ac.uk/download/pdf/6515223.pdf;")</f>
        <v>**Restoration_project_short** changed from Site in Bato; *Stated as Bacon in the literature, now part of Sorsogon City to Site in Caricaran; *Stated as Bacon in the literature, now part of Sorsogon City, **Year of establishment** changed from 1985 to 1985, **Technique/Material Type** changed from tires to tires; bamboo, **Total units** changed from 10 TM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27" s="153" t="s">
        <v>6947</v>
      </c>
      <c r="J427" s="153" t="s">
        <v>535</v>
      </c>
      <c r="K427" s="153" t="s">
        <v>536</v>
      </c>
      <c r="L427" s="153" t="s">
        <v>6945</v>
      </c>
      <c r="M427" s="181" t="s">
        <v>538</v>
      </c>
      <c r="N427" s="153" t="s">
        <v>151</v>
      </c>
      <c r="O427" s="153" t="s">
        <v>384</v>
      </c>
      <c r="P427" s="153" t="s">
        <v>6949</v>
      </c>
      <c r="Q427" s="169">
        <v>1985.0</v>
      </c>
      <c r="R427" s="175" t="s">
        <v>6052</v>
      </c>
      <c r="S427" s="175" t="s">
        <v>6053</v>
      </c>
      <c r="T427" s="161" t="s">
        <v>150</v>
      </c>
      <c r="U427" s="153">
        <f>IFERROR(__xludf.DUMMYFUNCTION("""COMPUTED_VALUE"""),402.0)</f>
        <v>402</v>
      </c>
      <c r="V427" s="162" t="s">
        <v>3311</v>
      </c>
      <c r="W427" s="179" t="s">
        <v>6081</v>
      </c>
      <c r="X427" s="28" t="s">
        <v>6082</v>
      </c>
      <c r="Y427" s="32" t="s">
        <v>468</v>
      </c>
      <c r="Z427" s="158" t="s">
        <v>469</v>
      </c>
      <c r="AA427" s="153" t="s">
        <v>469</v>
      </c>
      <c r="AB427" s="158" t="s">
        <v>149</v>
      </c>
      <c r="AC427" s="153" t="s">
        <v>390</v>
      </c>
      <c r="AD427" s="158" t="s">
        <v>160</v>
      </c>
      <c r="AE427" s="158" t="s">
        <v>6035</v>
      </c>
      <c r="AF427" s="158" t="s">
        <v>159</v>
      </c>
      <c r="AG427" s="164" t="s">
        <v>149</v>
      </c>
      <c r="AH427" s="158" t="s">
        <v>149</v>
      </c>
      <c r="AI427" s="158" t="s">
        <v>149</v>
      </c>
      <c r="AJ427" s="153" t="s">
        <v>390</v>
      </c>
      <c r="AK427" s="153" t="s">
        <v>6035</v>
      </c>
      <c r="AL427" s="153" t="s">
        <v>6055</v>
      </c>
      <c r="AM427" s="154" t="s">
        <v>149</v>
      </c>
      <c r="AN427" s="154" t="s">
        <v>149</v>
      </c>
      <c r="AO427" s="156">
        <v>1.0</v>
      </c>
      <c r="AP427" s="156" t="s">
        <v>6037</v>
      </c>
      <c r="AQ427" s="158" t="s">
        <v>395</v>
      </c>
      <c r="AR427" s="153" t="s">
        <v>6060</v>
      </c>
      <c r="AS427" s="158" t="s">
        <v>6711</v>
      </c>
      <c r="AT427" s="153" t="s">
        <v>398</v>
      </c>
      <c r="AU427" s="154" t="s">
        <v>149</v>
      </c>
    </row>
    <row r="428">
      <c r="A428" s="186">
        <v>214.0</v>
      </c>
      <c r="B428" s="152">
        <v>2023.0</v>
      </c>
      <c r="D428" s="152"/>
      <c r="E428" s="151">
        <v>214.0</v>
      </c>
      <c r="F428" s="129" t="s">
        <v>140</v>
      </c>
      <c r="G428" s="3" t="s">
        <v>6029</v>
      </c>
      <c r="H428" s="8" t="str">
        <f>IFERROR(__xludf.DUMMYFUNCTION("""COMPUTED_VALUE"""),"")</f>
        <v/>
      </c>
      <c r="I428" s="8" t="s">
        <v>6950</v>
      </c>
      <c r="J428" s="8" t="s">
        <v>535</v>
      </c>
      <c r="K428" s="8" t="s">
        <v>536</v>
      </c>
      <c r="L428" s="8" t="s">
        <v>6945</v>
      </c>
      <c r="M428" s="153" t="s">
        <v>538</v>
      </c>
      <c r="N428" s="8" t="s">
        <v>151</v>
      </c>
      <c r="O428" s="8" t="s">
        <v>384</v>
      </c>
      <c r="P428" s="8" t="s">
        <v>6951</v>
      </c>
      <c r="Q428" s="142" t="s">
        <v>6051</v>
      </c>
      <c r="R428" s="142" t="s">
        <v>6052</v>
      </c>
      <c r="S428" s="142" t="s">
        <v>6053</v>
      </c>
      <c r="T428" s="8"/>
      <c r="U428" s="8">
        <f>IFERROR(__xludf.DUMMYFUNCTION("""COMPUTED_VALUE"""),403.0)</f>
        <v>403</v>
      </c>
      <c r="V428" s="8"/>
      <c r="W428" s="8"/>
      <c r="X428" s="8"/>
      <c r="Y428" s="8"/>
      <c r="AA428" s="8" t="s">
        <v>6054</v>
      </c>
      <c r="AB428" s="158" t="s">
        <v>149</v>
      </c>
      <c r="AC428" s="8" t="s">
        <v>390</v>
      </c>
      <c r="AG428" s="164" t="s">
        <v>149</v>
      </c>
      <c r="AH428" s="158" t="s">
        <v>149</v>
      </c>
      <c r="AI428" s="8" t="s">
        <v>414</v>
      </c>
      <c r="AJ428" s="8" t="s">
        <v>390</v>
      </c>
      <c r="AL428" s="8" t="s">
        <v>6055</v>
      </c>
      <c r="AM428" s="154" t="s">
        <v>149</v>
      </c>
      <c r="AN428" s="154" t="s">
        <v>149</v>
      </c>
      <c r="AO428" s="8"/>
      <c r="AP428" s="8"/>
      <c r="AR428" s="8" t="s">
        <v>6057</v>
      </c>
      <c r="AS428" s="8" t="s">
        <v>2873</v>
      </c>
      <c r="AT428" s="8" t="s">
        <v>398</v>
      </c>
      <c r="AU428" s="154" t="s">
        <v>149</v>
      </c>
    </row>
    <row r="429">
      <c r="A429" s="186">
        <v>214.0</v>
      </c>
      <c r="B429" s="152">
        <v>2025.0</v>
      </c>
      <c r="C429" s="153" t="str">
        <f>CONCATENATE(D429, "-", M429, "-", A429)
</f>
        <v>2023-PH056216000-214</v>
      </c>
      <c r="D429" s="152">
        <f>IF(OR(F428="Published", F428="Unpublished"), 2023, IF(F428="New", 2025, ""))
</f>
        <v>2023</v>
      </c>
      <c r="E429" s="151">
        <v>214.0</v>
      </c>
      <c r="F429" s="129" t="s">
        <v>140</v>
      </c>
      <c r="G429" s="156" t="s">
        <v>141</v>
      </c>
      <c r="H429" s="153" t="str">
        <f>IFERROR(__xludf.DUMMYFUNCTION("""COMPUTED_VALUE"""),"**Restoration_project_short** changed from Site in Gatbo; *Stated as Bacon in the literature, now part of Sorsogon City to Site in Bato; *Stated as Bacon in the literature, now part of Sorsogon City, **Year of establishment** changed from 1986 to 1985, **"&amp;"Total units** changed from 8 TM to 10 TM, **Reference** changed from Conference Proceediing to Balgos, M.C. (1995). Evaluation of artificial reef development in the Philippines. In Munro, J.L. &amp; Balgos, M. (eds.) Artificial reefs in the Philippines. ICLAR"&amp;"M Conf. Proc. 49, pp. 6-22., **Website** changed from http://pubs.iclarm.net/libinfo/Pdf/Pub%20CP6%2049.pdf to https://core.ac.uk/download/pdf/6515223.pdf;")</f>
        <v>**Restoration_project_short** changed from Site in Gatbo; *Stated as Bacon in the literature, now part of Sorsogon City to Site in Bato; *Stated as Bacon in the literature, now part of Sorsogon City, **Year of establishment** changed from 1986 to 1985, **Total units** changed from 8 TM to 10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29" s="153" t="s">
        <v>6952</v>
      </c>
      <c r="J429" s="153" t="s">
        <v>535</v>
      </c>
      <c r="K429" s="153" t="s">
        <v>536</v>
      </c>
      <c r="L429" s="153" t="s">
        <v>6945</v>
      </c>
      <c r="M429" s="181" t="s">
        <v>538</v>
      </c>
      <c r="N429" s="153" t="s">
        <v>151</v>
      </c>
      <c r="O429" s="153" t="s">
        <v>384</v>
      </c>
      <c r="P429" s="153" t="s">
        <v>6953</v>
      </c>
      <c r="Q429" s="169">
        <v>1985.0</v>
      </c>
      <c r="R429" s="175" t="s">
        <v>6052</v>
      </c>
      <c r="S429" s="175" t="s">
        <v>6053</v>
      </c>
      <c r="T429" s="161" t="s">
        <v>150</v>
      </c>
      <c r="U429" s="153">
        <f>IFERROR(__xludf.DUMMYFUNCTION("""COMPUTED_VALUE"""),404.0)</f>
        <v>404</v>
      </c>
      <c r="V429" s="162" t="s">
        <v>3311</v>
      </c>
      <c r="W429" s="170" t="s">
        <v>6059</v>
      </c>
      <c r="X429" s="28" t="s">
        <v>6033</v>
      </c>
      <c r="Y429" s="28" t="s">
        <v>386</v>
      </c>
      <c r="Z429" s="176" t="s">
        <v>386</v>
      </c>
      <c r="AA429" s="153" t="s">
        <v>6054</v>
      </c>
      <c r="AB429" s="158" t="s">
        <v>149</v>
      </c>
      <c r="AC429" s="153" t="s">
        <v>390</v>
      </c>
      <c r="AD429" s="158" t="s">
        <v>160</v>
      </c>
      <c r="AE429" s="158" t="s">
        <v>6035</v>
      </c>
      <c r="AF429" s="158" t="s">
        <v>159</v>
      </c>
      <c r="AG429" s="164" t="s">
        <v>149</v>
      </c>
      <c r="AH429" s="158" t="s">
        <v>149</v>
      </c>
      <c r="AI429" s="153" t="s">
        <v>391</v>
      </c>
      <c r="AJ429" s="153" t="s">
        <v>390</v>
      </c>
      <c r="AK429" s="153" t="s">
        <v>6035</v>
      </c>
      <c r="AL429" s="153" t="s">
        <v>6055</v>
      </c>
      <c r="AM429" s="154" t="s">
        <v>149</v>
      </c>
      <c r="AN429" s="154" t="s">
        <v>149</v>
      </c>
      <c r="AO429" s="156">
        <v>1.0</v>
      </c>
      <c r="AP429" s="156" t="s">
        <v>6037</v>
      </c>
      <c r="AQ429" s="158" t="s">
        <v>395</v>
      </c>
      <c r="AR429" s="153" t="s">
        <v>6060</v>
      </c>
      <c r="AS429" s="158" t="s">
        <v>6711</v>
      </c>
      <c r="AT429" s="153" t="s">
        <v>398</v>
      </c>
      <c r="AU429" s="154" t="s">
        <v>149</v>
      </c>
    </row>
    <row r="430">
      <c r="A430" s="186">
        <v>215.0</v>
      </c>
      <c r="B430" s="152">
        <v>2023.0</v>
      </c>
      <c r="D430" s="152"/>
      <c r="E430" s="151">
        <v>215.0</v>
      </c>
      <c r="F430" s="129" t="s">
        <v>140</v>
      </c>
      <c r="G430" s="3" t="s">
        <v>6029</v>
      </c>
      <c r="H430" s="8" t="str">
        <f>IFERROR(__xludf.DUMMYFUNCTION("""COMPUTED_VALUE"""),"")</f>
        <v/>
      </c>
      <c r="I430" s="8" t="s">
        <v>6954</v>
      </c>
      <c r="J430" s="8" t="s">
        <v>535</v>
      </c>
      <c r="K430" s="8" t="s">
        <v>536</v>
      </c>
      <c r="L430" s="8" t="s">
        <v>6945</v>
      </c>
      <c r="M430" s="153" t="s">
        <v>538</v>
      </c>
      <c r="N430" s="8" t="s">
        <v>151</v>
      </c>
      <c r="O430" s="8" t="s">
        <v>384</v>
      </c>
      <c r="P430" s="8" t="s">
        <v>6955</v>
      </c>
      <c r="Q430" s="142" t="s">
        <v>6051</v>
      </c>
      <c r="R430" s="142" t="s">
        <v>6052</v>
      </c>
      <c r="S430" s="142" t="s">
        <v>6053</v>
      </c>
      <c r="T430" s="8"/>
      <c r="U430" s="8">
        <f>IFERROR(__xludf.DUMMYFUNCTION("""COMPUTED_VALUE"""),405.0)</f>
        <v>405</v>
      </c>
      <c r="V430" s="8"/>
      <c r="W430" s="8"/>
      <c r="X430" s="8"/>
      <c r="Y430" s="8"/>
      <c r="AA430" s="8" t="s">
        <v>6054</v>
      </c>
      <c r="AB430" s="158" t="s">
        <v>149</v>
      </c>
      <c r="AC430" s="8" t="s">
        <v>390</v>
      </c>
      <c r="AG430" s="164" t="s">
        <v>149</v>
      </c>
      <c r="AH430" s="158" t="s">
        <v>149</v>
      </c>
      <c r="AI430" s="8" t="s">
        <v>548</v>
      </c>
      <c r="AJ430" s="8" t="s">
        <v>390</v>
      </c>
      <c r="AL430" s="8" t="s">
        <v>6055</v>
      </c>
      <c r="AM430" s="154" t="s">
        <v>149</v>
      </c>
      <c r="AN430" s="154" t="s">
        <v>149</v>
      </c>
      <c r="AO430" s="8"/>
      <c r="AP430" s="8"/>
      <c r="AR430" s="8" t="s">
        <v>6057</v>
      </c>
      <c r="AS430" s="8" t="s">
        <v>2873</v>
      </c>
      <c r="AT430" s="8" t="s">
        <v>398</v>
      </c>
      <c r="AU430" s="154" t="s">
        <v>149</v>
      </c>
    </row>
    <row r="431">
      <c r="A431" s="186">
        <v>215.0</v>
      </c>
      <c r="B431" s="152">
        <v>2025.0</v>
      </c>
      <c r="C431" s="153" t="str">
        <f>CONCATENATE(D431, "-", M431, "-", A431)
</f>
        <v>2023-PH056216000-215</v>
      </c>
      <c r="D431" s="152">
        <f>IF(OR(F430="Published", F430="Unpublished"), 2023, IF(F430="New", 2025, ""))
</f>
        <v>2023</v>
      </c>
      <c r="E431" s="151">
        <v>215.0</v>
      </c>
      <c r="F431" s="129" t="s">
        <v>140</v>
      </c>
      <c r="G431" s="156" t="s">
        <v>141</v>
      </c>
      <c r="H431" s="153" t="str">
        <f>IFERROR(__xludf.DUMMYFUNCTION("""COMPUTED_VALUE"""),"**Restoration_project_short** changed from Site in Bon-ot; *Stated as Bacon in the literature, now part of Sorsogon City to Site in Gatbo; *Stated as Bacon in the literature, now part of Sorsogon City, **Year of establishment** changed from 1986 to 1986, "&amp;"**Total units** changed from 11 TM to 8 TM, **Reference** changed from Conference Proceediing to Balgos, M.C. (1995). Evaluation of artificial reef development in the Philippines. In Munro, J.L. &amp; Balgos, M. (eds.) Artificial reefs in the Philippines. ICL"&amp;"ARM Conf. Proc. 49, pp. 6-22., **Website** changed from http://pubs.iclarm.net/libinfo/Pdf/Pub%20CP6%2049.pdf to https://core.ac.uk/download/pdf/6515223.pdf;")</f>
        <v>**Restoration_project_short** changed from Site in Bon-ot; *Stated as Bacon in the literature, now part of Sorsogon City to Site in Gatbo; *Stated as Bacon in the literature, now part of Sorsogon City, **Year of establishment** changed from 1986 to 1986, **Total units** changed from 11 TM to 8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1" s="153" t="s">
        <v>6954</v>
      </c>
      <c r="J431" s="153" t="s">
        <v>535</v>
      </c>
      <c r="K431" s="153" t="s">
        <v>536</v>
      </c>
      <c r="L431" s="153" t="s">
        <v>6945</v>
      </c>
      <c r="M431" s="181" t="s">
        <v>538</v>
      </c>
      <c r="N431" s="153" t="s">
        <v>151</v>
      </c>
      <c r="O431" s="153" t="s">
        <v>384</v>
      </c>
      <c r="P431" s="153" t="s">
        <v>6956</v>
      </c>
      <c r="Q431" s="169">
        <v>1986.0</v>
      </c>
      <c r="R431" s="175" t="s">
        <v>6052</v>
      </c>
      <c r="S431" s="175" t="s">
        <v>6053</v>
      </c>
      <c r="T431" s="161" t="s">
        <v>150</v>
      </c>
      <c r="U431" s="153">
        <f>IFERROR(__xludf.DUMMYFUNCTION("""COMPUTED_VALUE"""),405.0)</f>
        <v>405</v>
      </c>
      <c r="V431" s="162" t="s">
        <v>3311</v>
      </c>
      <c r="W431" s="170" t="s">
        <v>6059</v>
      </c>
      <c r="X431" s="28" t="s">
        <v>6033</v>
      </c>
      <c r="Y431" s="28" t="s">
        <v>386</v>
      </c>
      <c r="Z431" s="176" t="s">
        <v>386</v>
      </c>
      <c r="AA431" s="153" t="s">
        <v>6054</v>
      </c>
      <c r="AB431" s="158" t="s">
        <v>149</v>
      </c>
      <c r="AC431" s="153" t="s">
        <v>390</v>
      </c>
      <c r="AD431" s="158" t="s">
        <v>160</v>
      </c>
      <c r="AE431" s="158" t="s">
        <v>6035</v>
      </c>
      <c r="AF431" s="158" t="s">
        <v>159</v>
      </c>
      <c r="AG431" s="164" t="s">
        <v>149</v>
      </c>
      <c r="AH431" s="158" t="s">
        <v>149</v>
      </c>
      <c r="AI431" s="153" t="s">
        <v>414</v>
      </c>
      <c r="AJ431" s="153" t="s">
        <v>390</v>
      </c>
      <c r="AK431" s="153" t="s">
        <v>6035</v>
      </c>
      <c r="AL431" s="153" t="s">
        <v>6055</v>
      </c>
      <c r="AM431" s="154" t="s">
        <v>149</v>
      </c>
      <c r="AN431" s="154" t="s">
        <v>149</v>
      </c>
      <c r="AO431" s="156">
        <v>1.0</v>
      </c>
      <c r="AP431" s="156" t="s">
        <v>6037</v>
      </c>
      <c r="AQ431" s="158" t="s">
        <v>395</v>
      </c>
      <c r="AR431" s="153" t="s">
        <v>6060</v>
      </c>
      <c r="AS431" s="158" t="s">
        <v>6711</v>
      </c>
      <c r="AT431" s="153" t="s">
        <v>398</v>
      </c>
      <c r="AU431" s="154" t="s">
        <v>149</v>
      </c>
    </row>
    <row r="432">
      <c r="A432" s="186">
        <v>216.0</v>
      </c>
      <c r="B432" s="152">
        <v>2023.0</v>
      </c>
      <c r="D432" s="152"/>
      <c r="E432" s="151">
        <v>216.0</v>
      </c>
      <c r="F432" s="129" t="s">
        <v>140</v>
      </c>
      <c r="G432" s="3" t="s">
        <v>6029</v>
      </c>
      <c r="H432" s="8" t="str">
        <f>IFERROR(__xludf.DUMMYFUNCTION("""COMPUTED_VALUE"""),"")</f>
        <v/>
      </c>
      <c r="I432" s="8" t="s">
        <v>6957</v>
      </c>
      <c r="J432" s="8" t="s">
        <v>535</v>
      </c>
      <c r="K432" s="8" t="s">
        <v>536</v>
      </c>
      <c r="L432" s="8" t="s">
        <v>6945</v>
      </c>
      <c r="M432" s="153" t="s">
        <v>538</v>
      </c>
      <c r="N432" s="8" t="s">
        <v>151</v>
      </c>
      <c r="O432" s="8" t="s">
        <v>384</v>
      </c>
      <c r="P432" s="8" t="s">
        <v>6958</v>
      </c>
      <c r="Q432" s="142" t="s">
        <v>6051</v>
      </c>
      <c r="R432" s="142" t="s">
        <v>6052</v>
      </c>
      <c r="S432" s="142" t="s">
        <v>6053</v>
      </c>
      <c r="T432" s="8"/>
      <c r="U432" s="8">
        <f>IFERROR(__xludf.DUMMYFUNCTION("""COMPUTED_VALUE"""),406.0)</f>
        <v>406</v>
      </c>
      <c r="V432" s="8"/>
      <c r="W432" s="8"/>
      <c r="X432" s="8"/>
      <c r="Y432" s="8"/>
      <c r="AA432" s="8" t="s">
        <v>6054</v>
      </c>
      <c r="AB432" s="158" t="s">
        <v>149</v>
      </c>
      <c r="AC432" s="8" t="s">
        <v>390</v>
      </c>
      <c r="AG432" s="164" t="s">
        <v>149</v>
      </c>
      <c r="AH432" s="158" t="s">
        <v>149</v>
      </c>
      <c r="AI432" s="8" t="s">
        <v>391</v>
      </c>
      <c r="AJ432" s="8" t="s">
        <v>390</v>
      </c>
      <c r="AL432" s="8" t="s">
        <v>6055</v>
      </c>
      <c r="AM432" s="154" t="s">
        <v>149</v>
      </c>
      <c r="AN432" s="154" t="s">
        <v>149</v>
      </c>
      <c r="AO432" s="8"/>
      <c r="AP432" s="8"/>
      <c r="AR432" s="8" t="s">
        <v>6057</v>
      </c>
      <c r="AS432" s="8" t="s">
        <v>2873</v>
      </c>
      <c r="AT432" s="8" t="s">
        <v>398</v>
      </c>
      <c r="AU432" s="154" t="s">
        <v>149</v>
      </c>
    </row>
    <row r="433">
      <c r="A433" s="186">
        <v>216.0</v>
      </c>
      <c r="B433" s="152">
        <v>2025.0</v>
      </c>
      <c r="C433" s="153" t="str">
        <f>CONCATENATE(D433, "-", M433, "-", A433)
</f>
        <v>2023-PH056216000-216</v>
      </c>
      <c r="D433" s="152">
        <f>IF(OR(F432="Published", F432="Unpublished"), 2023, IF(F432="New", 2025, ""))
</f>
        <v>2023</v>
      </c>
      <c r="E433" s="151">
        <v>216.0</v>
      </c>
      <c r="F433" s="129" t="s">
        <v>140</v>
      </c>
      <c r="G433" s="156" t="s">
        <v>141</v>
      </c>
      <c r="H433" s="153" t="str">
        <f>IFERROR(__xludf.DUMMYFUNCTION("""COMPUTED_VALUE"""),"**Restoration_project_short** changed from Site in Santa Lucia; *Stated as Bacon in the literature, now part of Sorsogon City to Site in Bon-ot; *Stated as Bacon in the literature, now part of Sorsogon City, **Year of establishment** changed from 1986 to "&amp;"1986, **Total units** changed from 10 TM to 11 TM, **Reference** changed from Conference Proceediing to Balgos, M.C. (1995). Evaluation of artificial reef development in the Philippines. In Munro, J.L. &amp; Balgos, M. (eds.) Artificial reefs in the Philippin"&amp;"es. ICLARM Conf. Proc. 49, pp. 6-22., **Website** changed from http://pubs.iclarm.net/libinfo/Pdf/Pub%20CP6%2049.pdf to https://core.ac.uk/download/pdf/6515223.pdf;")</f>
        <v>**Restoration_project_short** changed from Site in Santa Lucia; *Stated as Bacon in the literature, now part of Sorsogon City to Site in Bon-ot; *Stated as Bacon in the literature, now part of Sorsogon City, **Year of establishment** changed from 1986 to 1986, **Total units** changed from 10 TM to 11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3" s="153" t="s">
        <v>6957</v>
      </c>
      <c r="J433" s="153" t="s">
        <v>535</v>
      </c>
      <c r="K433" s="153" t="s">
        <v>536</v>
      </c>
      <c r="L433" s="153" t="s">
        <v>6945</v>
      </c>
      <c r="M433" s="181" t="s">
        <v>538</v>
      </c>
      <c r="N433" s="153" t="s">
        <v>151</v>
      </c>
      <c r="O433" s="153" t="s">
        <v>384</v>
      </c>
      <c r="P433" s="153" t="s">
        <v>6959</v>
      </c>
      <c r="Q433" s="169">
        <v>1986.0</v>
      </c>
      <c r="R433" s="175" t="s">
        <v>6052</v>
      </c>
      <c r="S433" s="175" t="s">
        <v>6053</v>
      </c>
      <c r="T433" s="161" t="s">
        <v>150</v>
      </c>
      <c r="U433" s="153">
        <f>IFERROR(__xludf.DUMMYFUNCTION("""COMPUTED_VALUE"""),406.0)</f>
        <v>406</v>
      </c>
      <c r="V433" s="162" t="s">
        <v>3311</v>
      </c>
      <c r="W433" s="170" t="s">
        <v>6059</v>
      </c>
      <c r="X433" s="28" t="s">
        <v>6033</v>
      </c>
      <c r="Y433" s="28" t="s">
        <v>386</v>
      </c>
      <c r="Z433" s="176" t="s">
        <v>386</v>
      </c>
      <c r="AA433" s="153" t="s">
        <v>6054</v>
      </c>
      <c r="AB433" s="158" t="s">
        <v>149</v>
      </c>
      <c r="AC433" s="153" t="s">
        <v>390</v>
      </c>
      <c r="AD433" s="158" t="s">
        <v>160</v>
      </c>
      <c r="AE433" s="158" t="s">
        <v>6035</v>
      </c>
      <c r="AF433" s="158" t="s">
        <v>159</v>
      </c>
      <c r="AG433" s="164" t="s">
        <v>149</v>
      </c>
      <c r="AH433" s="158" t="s">
        <v>149</v>
      </c>
      <c r="AI433" s="153" t="s">
        <v>548</v>
      </c>
      <c r="AJ433" s="153" t="s">
        <v>390</v>
      </c>
      <c r="AK433" s="153" t="s">
        <v>6035</v>
      </c>
      <c r="AL433" s="153" t="s">
        <v>6055</v>
      </c>
      <c r="AM433" s="154" t="s">
        <v>149</v>
      </c>
      <c r="AN433" s="154" t="s">
        <v>149</v>
      </c>
      <c r="AO433" s="156">
        <v>1.0</v>
      </c>
      <c r="AP433" s="156" t="s">
        <v>6037</v>
      </c>
      <c r="AQ433" s="158" t="s">
        <v>395</v>
      </c>
      <c r="AR433" s="153" t="s">
        <v>6060</v>
      </c>
      <c r="AS433" s="158" t="s">
        <v>6711</v>
      </c>
      <c r="AT433" s="153" t="s">
        <v>398</v>
      </c>
      <c r="AU433" s="154" t="s">
        <v>149</v>
      </c>
    </row>
    <row r="434">
      <c r="A434" s="186">
        <v>217.0</v>
      </c>
      <c r="B434" s="152">
        <v>2023.0</v>
      </c>
      <c r="D434" s="152"/>
      <c r="E434" s="151">
        <v>217.0</v>
      </c>
      <c r="F434" s="129" t="s">
        <v>140</v>
      </c>
      <c r="G434" s="3" t="s">
        <v>6029</v>
      </c>
      <c r="H434" s="8" t="str">
        <f>IFERROR(__xludf.DUMMYFUNCTION("""COMPUTED_VALUE"""),"")</f>
        <v/>
      </c>
      <c r="I434" s="8" t="s">
        <v>6960</v>
      </c>
      <c r="J434" s="8" t="s">
        <v>535</v>
      </c>
      <c r="K434" s="8" t="s">
        <v>536</v>
      </c>
      <c r="L434" s="8" t="s">
        <v>6945</v>
      </c>
      <c r="M434" s="153" t="s">
        <v>538</v>
      </c>
      <c r="N434" s="8" t="s">
        <v>151</v>
      </c>
      <c r="O434" s="8" t="s">
        <v>384</v>
      </c>
      <c r="P434" s="8" t="s">
        <v>6961</v>
      </c>
      <c r="Q434" s="142" t="s">
        <v>6051</v>
      </c>
      <c r="R434" s="142" t="s">
        <v>6052</v>
      </c>
      <c r="S434" s="142" t="s">
        <v>6053</v>
      </c>
      <c r="T434" s="8"/>
      <c r="U434" s="8">
        <f>IFERROR(__xludf.DUMMYFUNCTION("""COMPUTED_VALUE"""),407.0)</f>
        <v>407</v>
      </c>
      <c r="V434" s="8"/>
      <c r="W434" s="8"/>
      <c r="X434" s="8"/>
      <c r="Y434" s="8"/>
      <c r="AA434" s="8" t="s">
        <v>6054</v>
      </c>
      <c r="AB434" s="158" t="s">
        <v>149</v>
      </c>
      <c r="AC434" s="8" t="s">
        <v>390</v>
      </c>
      <c r="AG434" s="164" t="s">
        <v>149</v>
      </c>
      <c r="AH434" s="158" t="s">
        <v>149</v>
      </c>
      <c r="AI434" s="8" t="s">
        <v>548</v>
      </c>
      <c r="AJ434" s="8" t="s">
        <v>390</v>
      </c>
      <c r="AL434" s="8" t="s">
        <v>6055</v>
      </c>
      <c r="AM434" s="154" t="s">
        <v>149</v>
      </c>
      <c r="AN434" s="154" t="s">
        <v>149</v>
      </c>
      <c r="AO434" s="8"/>
      <c r="AP434" s="8"/>
      <c r="AR434" s="8" t="s">
        <v>6057</v>
      </c>
      <c r="AS434" s="8" t="s">
        <v>2873</v>
      </c>
      <c r="AT434" s="8" t="s">
        <v>398</v>
      </c>
      <c r="AU434" s="154" t="s">
        <v>149</v>
      </c>
    </row>
    <row r="435">
      <c r="A435" s="186">
        <v>217.0</v>
      </c>
      <c r="B435" s="152">
        <v>2025.0</v>
      </c>
      <c r="C435" s="153" t="str">
        <f>CONCATENATE(D435, "-", M435, "-", A435)
</f>
        <v>2023-PH056216000-217</v>
      </c>
      <c r="D435" s="152">
        <f>IF(OR(F434="Published", F434="Unpublished"), 2023, IF(F434="New", 2025, ""))
</f>
        <v>2023</v>
      </c>
      <c r="E435" s="151">
        <v>217.0</v>
      </c>
      <c r="F435" s="129" t="s">
        <v>140</v>
      </c>
      <c r="G435" s="156" t="s">
        <v>141</v>
      </c>
      <c r="H435" s="153" t="str">
        <f>IFERROR(__xludf.DUMMYFUNCTION("""COMPUTED_VALUE"""),"**Restoration_project_short** changed from Site in Sawanga; *Stated as Bacon in the literature, now part of Sorsogon City to Site in Santa Lucia; *Stated as Bacon in the literature, now part of Sorsogon City, **Year of establishment** changed from 1986 to"&amp;" 1986, **Total units** changed from 11 TM to 10 TM, **Reference** changed from Conference Proceediing to Balgos, M.C. (1995). Evaluation of artificial reef development in the Philippines. In Munro, J.L. &amp; Balgos, M. (eds.) Artificial reefs in the Philippi"&amp;"nes. ICLARM Conf. Proc. 49, pp. 6-22., **Website** changed from http://pubs.iclarm.net/libinfo/Pdf/Pub%20CP6%2049.pdf to https://core.ac.uk/download/pdf/6515223.pdf;")</f>
        <v>**Restoration_project_short** changed from Site in Sawanga; *Stated as Bacon in the literature, now part of Sorsogon City to Site in Santa Lucia; *Stated as Bacon in the literature, now part of Sorsogon City, **Year of establishment** changed from 1986 to 1986, **Total units** changed from 11 TM to 10 TM,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5" s="153" t="s">
        <v>6960</v>
      </c>
      <c r="J435" s="153" t="s">
        <v>535</v>
      </c>
      <c r="K435" s="153" t="s">
        <v>536</v>
      </c>
      <c r="L435" s="153" t="s">
        <v>6945</v>
      </c>
      <c r="M435" s="181" t="s">
        <v>538</v>
      </c>
      <c r="N435" s="153" t="s">
        <v>151</v>
      </c>
      <c r="O435" s="153" t="s">
        <v>384</v>
      </c>
      <c r="P435" s="153" t="s">
        <v>6962</v>
      </c>
      <c r="Q435" s="169">
        <v>1986.0</v>
      </c>
      <c r="R435" s="175" t="s">
        <v>6052</v>
      </c>
      <c r="S435" s="175" t="s">
        <v>6053</v>
      </c>
      <c r="T435" s="161" t="s">
        <v>150</v>
      </c>
      <c r="U435" s="153">
        <f>IFERROR(__xludf.DUMMYFUNCTION("""COMPUTED_VALUE"""),407.0)</f>
        <v>407</v>
      </c>
      <c r="V435" s="162" t="s">
        <v>3311</v>
      </c>
      <c r="W435" s="170" t="s">
        <v>6059</v>
      </c>
      <c r="X435" s="28" t="s">
        <v>6033</v>
      </c>
      <c r="Y435" s="28" t="s">
        <v>386</v>
      </c>
      <c r="Z435" s="176" t="s">
        <v>386</v>
      </c>
      <c r="AA435" s="153" t="s">
        <v>6054</v>
      </c>
      <c r="AB435" s="158" t="s">
        <v>149</v>
      </c>
      <c r="AC435" s="153" t="s">
        <v>390</v>
      </c>
      <c r="AD435" s="158" t="s">
        <v>160</v>
      </c>
      <c r="AE435" s="158" t="s">
        <v>6035</v>
      </c>
      <c r="AF435" s="158" t="s">
        <v>159</v>
      </c>
      <c r="AG435" s="164" t="s">
        <v>149</v>
      </c>
      <c r="AH435" s="158" t="s">
        <v>149</v>
      </c>
      <c r="AI435" s="153" t="s">
        <v>391</v>
      </c>
      <c r="AJ435" s="153" t="s">
        <v>390</v>
      </c>
      <c r="AK435" s="153" t="s">
        <v>6035</v>
      </c>
      <c r="AL435" s="153" t="s">
        <v>6055</v>
      </c>
      <c r="AM435" s="154" t="s">
        <v>149</v>
      </c>
      <c r="AN435" s="154" t="s">
        <v>149</v>
      </c>
      <c r="AO435" s="156">
        <v>1.0</v>
      </c>
      <c r="AP435" s="156" t="s">
        <v>6037</v>
      </c>
      <c r="AQ435" s="158" t="s">
        <v>395</v>
      </c>
      <c r="AR435" s="153" t="s">
        <v>6060</v>
      </c>
      <c r="AS435" s="158" t="s">
        <v>6711</v>
      </c>
      <c r="AT435" s="153" t="s">
        <v>398</v>
      </c>
      <c r="AU435" s="154" t="s">
        <v>149</v>
      </c>
    </row>
    <row r="436">
      <c r="A436" s="186">
        <v>218.0</v>
      </c>
      <c r="B436" s="152">
        <v>2023.0</v>
      </c>
      <c r="D436" s="152"/>
      <c r="E436" s="151">
        <v>218.0</v>
      </c>
      <c r="F436" s="129" t="s">
        <v>140</v>
      </c>
      <c r="G436" s="3" t="s">
        <v>6029</v>
      </c>
      <c r="H436" s="8" t="str">
        <f>IFERROR(__xludf.DUMMYFUNCTION("""COMPUTED_VALUE"""),"")</f>
        <v/>
      </c>
      <c r="I436" s="8" t="s">
        <v>6963</v>
      </c>
      <c r="J436" s="8" t="s">
        <v>535</v>
      </c>
      <c r="K436" s="8" t="s">
        <v>536</v>
      </c>
      <c r="L436" s="8" t="s">
        <v>554</v>
      </c>
      <c r="M436" s="153" t="s">
        <v>555</v>
      </c>
      <c r="N436" s="8" t="s">
        <v>151</v>
      </c>
      <c r="O436" s="8" t="s">
        <v>384</v>
      </c>
      <c r="P436" s="8" t="s">
        <v>556</v>
      </c>
      <c r="Q436" s="142" t="s">
        <v>6051</v>
      </c>
      <c r="R436" s="142" t="s">
        <v>6052</v>
      </c>
      <c r="S436" s="142" t="s">
        <v>6053</v>
      </c>
      <c r="T436" s="8"/>
      <c r="U436" s="8">
        <f>IFERROR(__xludf.DUMMYFUNCTION("""COMPUTED_VALUE"""),408.0)</f>
        <v>408</v>
      </c>
      <c r="V436" s="8"/>
      <c r="W436" s="8"/>
      <c r="X436" s="8"/>
      <c r="Y436" s="8"/>
      <c r="AA436" s="8" t="s">
        <v>6054</v>
      </c>
      <c r="AB436" s="154" t="s">
        <v>149</v>
      </c>
      <c r="AC436" s="8" t="s">
        <v>390</v>
      </c>
      <c r="AG436" s="154" t="s">
        <v>149</v>
      </c>
      <c r="AH436" s="154" t="s">
        <v>149</v>
      </c>
      <c r="AI436" s="8" t="s">
        <v>548</v>
      </c>
      <c r="AJ436" s="8" t="s">
        <v>390</v>
      </c>
      <c r="AL436" s="8" t="s">
        <v>6055</v>
      </c>
      <c r="AM436" s="154" t="s">
        <v>149</v>
      </c>
      <c r="AN436" s="154" t="s">
        <v>149</v>
      </c>
      <c r="AO436" s="8"/>
      <c r="AP436" s="8"/>
      <c r="AR436" s="8" t="s">
        <v>6057</v>
      </c>
      <c r="AS436" s="8" t="s">
        <v>2873</v>
      </c>
      <c r="AT436" s="8" t="s">
        <v>398</v>
      </c>
      <c r="AU436" s="154" t="s">
        <v>149</v>
      </c>
    </row>
    <row r="437">
      <c r="A437" s="186">
        <v>218.0</v>
      </c>
      <c r="B437" s="152">
        <v>2025.0</v>
      </c>
      <c r="C437" s="153" t="str">
        <f t="shared" ref="C437:C438" si="47">CONCATENATE(D437, "-", M437, "-", A437)
</f>
        <v>2023-PH056216000-218</v>
      </c>
      <c r="D437" s="152">
        <f t="shared" ref="D437:D438" si="48">IF(OR(F436="Published", F436="Unpublished"), 2023, IF(F436="New", 2025, ""))
</f>
        <v>2023</v>
      </c>
      <c r="E437" s="151">
        <v>218.0</v>
      </c>
      <c r="F437" s="129" t="s">
        <v>140</v>
      </c>
      <c r="G437" s="156" t="s">
        <v>141</v>
      </c>
      <c r="H437" s="153" t="str">
        <f>IFERROR(__xludf.DUMMYFUNCTION("""COMPUTED_VALUE"""),"**Restoration_project_short** changed from Site in Cawit to Site in Sawanga; *Stated as Bacon in the literature, now part of Sorsogon City, **Year of establishment** changed from 1986 to 1986, **Reference** changed from Conference Proceediing to Balgos, M"&amp;".C. (1995). Evaluation of artificial reef development in the Philippines. In Munro, J.L. &amp; Balgos, M. (eds.) Artificial reefs in the Philippines. ICLARM Conf. Proc. 49, pp. 6-22., **Website** changed from http://pubs.iclarm.net/libinfo/Pdf/Pub%20CP6%2049."&amp;"pdf to https://core.ac.uk/download/pdf/6515223.pdf;")</f>
        <v>**Restoration_project_short** changed from Site in Cawit to Site in Sawanga; *Stated as Bacon in the literature, now part of Sorsogon City, **Year of establishment** changed from 1986 to 1986,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437" s="153" t="s">
        <v>6964</v>
      </c>
      <c r="J437" s="153" t="s">
        <v>535</v>
      </c>
      <c r="K437" s="153" t="s">
        <v>536</v>
      </c>
      <c r="L437" s="153" t="s">
        <v>6945</v>
      </c>
      <c r="M437" s="181" t="s">
        <v>538</v>
      </c>
      <c r="N437" s="153" t="s">
        <v>151</v>
      </c>
      <c r="O437" s="153" t="s">
        <v>384</v>
      </c>
      <c r="P437" s="153" t="s">
        <v>6965</v>
      </c>
      <c r="Q437" s="169">
        <v>1986.0</v>
      </c>
      <c r="R437" s="175" t="s">
        <v>6052</v>
      </c>
      <c r="S437" s="175" t="s">
        <v>6053</v>
      </c>
      <c r="T437" s="161" t="s">
        <v>150</v>
      </c>
      <c r="U437" s="153">
        <f>IFERROR(__xludf.DUMMYFUNCTION("""COMPUTED_VALUE"""),409.0)</f>
        <v>409</v>
      </c>
      <c r="V437" s="162" t="s">
        <v>3311</v>
      </c>
      <c r="W437" s="170" t="s">
        <v>6059</v>
      </c>
      <c r="X437" s="28" t="s">
        <v>6033</v>
      </c>
      <c r="Y437" s="28" t="s">
        <v>386</v>
      </c>
      <c r="Z437" s="176" t="s">
        <v>386</v>
      </c>
      <c r="AA437" s="153" t="s">
        <v>6054</v>
      </c>
      <c r="AB437" s="158" t="s">
        <v>149</v>
      </c>
      <c r="AC437" s="153" t="s">
        <v>390</v>
      </c>
      <c r="AD437" s="158" t="s">
        <v>160</v>
      </c>
      <c r="AE437" s="158" t="s">
        <v>6035</v>
      </c>
      <c r="AF437" s="158" t="s">
        <v>159</v>
      </c>
      <c r="AG437" s="164" t="s">
        <v>149</v>
      </c>
      <c r="AH437" s="158" t="s">
        <v>149</v>
      </c>
      <c r="AI437" s="153" t="s">
        <v>548</v>
      </c>
      <c r="AJ437" s="153" t="s">
        <v>390</v>
      </c>
      <c r="AK437" s="153" t="s">
        <v>6035</v>
      </c>
      <c r="AL437" s="153" t="s">
        <v>6055</v>
      </c>
      <c r="AM437" s="154" t="s">
        <v>149</v>
      </c>
      <c r="AN437" s="154" t="s">
        <v>149</v>
      </c>
      <c r="AO437" s="156">
        <v>1.0</v>
      </c>
      <c r="AP437" s="156" t="s">
        <v>6037</v>
      </c>
      <c r="AQ437" s="158" t="s">
        <v>395</v>
      </c>
      <c r="AR437" s="153" t="s">
        <v>6060</v>
      </c>
      <c r="AS437" s="158" t="s">
        <v>6711</v>
      </c>
      <c r="AT437" s="153" t="s">
        <v>398</v>
      </c>
      <c r="AU437" s="154" t="s">
        <v>149</v>
      </c>
    </row>
    <row r="438">
      <c r="A438" s="186">
        <v>219.0</v>
      </c>
      <c r="B438" s="152">
        <v>2025.0</v>
      </c>
      <c r="C438" s="153" t="str">
        <f t="shared" si="47"/>
        <v>2023-PH056205000-219</v>
      </c>
      <c r="D438" s="152">
        <f t="shared" si="48"/>
        <v>2023</v>
      </c>
      <c r="E438" s="151">
        <v>219.0</v>
      </c>
      <c r="F438" s="129" t="s">
        <v>140</v>
      </c>
      <c r="G438" s="156" t="s">
        <v>141</v>
      </c>
      <c r="H438" s="153" t="str">
        <f>IFERROR(__xludf.DUMMYFUNCTION("""COMPUTED_VALUE"""),"**Restoration_project_short** changed from Site in Sawanga; *Stated as Bacon in the literature, now part of Sorsogon City to Site in Cawit")</f>
        <v>**Restoration_project_short** changed from Site in Sawanga; *Stated as Bacon in the literature, now part of Sorsogon City to Site in Cawit</v>
      </c>
      <c r="I438" s="153" t="s">
        <v>6966</v>
      </c>
      <c r="J438" s="153" t="s">
        <v>535</v>
      </c>
      <c r="K438" s="153" t="s">
        <v>536</v>
      </c>
      <c r="L438" s="153" t="s">
        <v>554</v>
      </c>
      <c r="M438" s="181" t="s">
        <v>555</v>
      </c>
      <c r="N438" s="153" t="s">
        <v>151</v>
      </c>
      <c r="O438" s="153" t="s">
        <v>384</v>
      </c>
      <c r="P438" s="153" t="s">
        <v>556</v>
      </c>
      <c r="Q438" s="169">
        <v>1986.0</v>
      </c>
      <c r="R438" s="175" t="s">
        <v>6052</v>
      </c>
      <c r="S438" s="175" t="s">
        <v>6053</v>
      </c>
      <c r="T438" s="161" t="s">
        <v>150</v>
      </c>
      <c r="U438" s="153">
        <f>IFERROR(__xludf.DUMMYFUNCTION("""COMPUTED_VALUE"""),410.0)</f>
        <v>410</v>
      </c>
      <c r="V438" s="162" t="s">
        <v>3311</v>
      </c>
      <c r="W438" s="170" t="s">
        <v>6059</v>
      </c>
      <c r="X438" s="28" t="s">
        <v>6033</v>
      </c>
      <c r="Y438" s="28" t="s">
        <v>386</v>
      </c>
      <c r="Z438" s="176" t="s">
        <v>386</v>
      </c>
      <c r="AA438" s="153" t="s">
        <v>6054</v>
      </c>
      <c r="AB438" s="158" t="s">
        <v>149</v>
      </c>
      <c r="AC438" s="153" t="s">
        <v>390</v>
      </c>
      <c r="AD438" s="158" t="s">
        <v>160</v>
      </c>
      <c r="AE438" s="158" t="s">
        <v>6035</v>
      </c>
      <c r="AF438" s="158" t="s">
        <v>159</v>
      </c>
      <c r="AG438" s="164" t="s">
        <v>149</v>
      </c>
      <c r="AH438" s="158" t="s">
        <v>149</v>
      </c>
      <c r="AI438" s="153" t="s">
        <v>548</v>
      </c>
      <c r="AJ438" s="153" t="s">
        <v>390</v>
      </c>
      <c r="AK438" s="153" t="s">
        <v>6035</v>
      </c>
      <c r="AL438" s="153" t="s">
        <v>6055</v>
      </c>
      <c r="AM438" s="154" t="s">
        <v>149</v>
      </c>
      <c r="AN438" s="154" t="s">
        <v>149</v>
      </c>
      <c r="AO438" s="156">
        <v>1.0</v>
      </c>
      <c r="AP438" s="156" t="s">
        <v>6037</v>
      </c>
      <c r="AQ438" s="158" t="s">
        <v>395</v>
      </c>
      <c r="AR438" s="153" t="s">
        <v>6060</v>
      </c>
      <c r="AS438" s="158" t="s">
        <v>6711</v>
      </c>
      <c r="AT438" s="153" t="s">
        <v>398</v>
      </c>
      <c r="AU438" s="154" t="s">
        <v>149</v>
      </c>
    </row>
    <row r="439">
      <c r="A439" s="186">
        <v>219.0</v>
      </c>
      <c r="B439" s="152">
        <v>2023.0</v>
      </c>
      <c r="D439" s="152"/>
      <c r="E439" s="151">
        <v>219.0</v>
      </c>
      <c r="F439" s="129" t="s">
        <v>140</v>
      </c>
      <c r="G439" s="3" t="s">
        <v>6029</v>
      </c>
      <c r="H439" s="8" t="str">
        <f>IFERROR(__xludf.DUMMYFUNCTION("""COMPUTED_VALUE"""),"")</f>
        <v/>
      </c>
      <c r="I439" s="8" t="s">
        <v>6967</v>
      </c>
      <c r="J439" s="8" t="s">
        <v>314</v>
      </c>
      <c r="K439" s="8" t="s">
        <v>315</v>
      </c>
      <c r="L439" s="8" t="s">
        <v>747</v>
      </c>
      <c r="M439" s="8" t="s">
        <v>748</v>
      </c>
      <c r="N439" s="8" t="s">
        <v>151</v>
      </c>
      <c r="O439" s="8" t="s">
        <v>6742</v>
      </c>
      <c r="P439" s="3" t="s">
        <v>149</v>
      </c>
      <c r="Q439" s="142" t="s">
        <v>6089</v>
      </c>
      <c r="R439" s="3" t="s">
        <v>149</v>
      </c>
      <c r="S439" s="3" t="s">
        <v>149</v>
      </c>
      <c r="T439" s="8"/>
      <c r="U439" s="8">
        <f>IFERROR(__xludf.DUMMYFUNCTION("""COMPUTED_VALUE"""),411.0)</f>
        <v>411</v>
      </c>
      <c r="V439" s="8"/>
      <c r="W439" s="3"/>
      <c r="X439" s="8"/>
      <c r="Y439" s="8"/>
      <c r="AA439" s="3" t="s">
        <v>149</v>
      </c>
      <c r="AB439" s="8" t="s">
        <v>6968</v>
      </c>
      <c r="AC439" s="3" t="s">
        <v>149</v>
      </c>
      <c r="AG439" s="3" t="s">
        <v>149</v>
      </c>
      <c r="AH439" s="3" t="s">
        <v>149</v>
      </c>
      <c r="AI439" s="3" t="s">
        <v>149</v>
      </c>
      <c r="AJ439" s="3" t="s">
        <v>149</v>
      </c>
      <c r="AL439" s="3" t="s">
        <v>149</v>
      </c>
      <c r="AM439" s="8" t="s">
        <v>6969</v>
      </c>
      <c r="AN439" s="8" t="s">
        <v>1613</v>
      </c>
      <c r="AO439" s="8"/>
      <c r="AP439" s="8"/>
      <c r="AR439" s="8" t="s">
        <v>6970</v>
      </c>
      <c r="AS439" s="172" t="s">
        <v>1609</v>
      </c>
      <c r="AT439" s="3" t="s">
        <v>149</v>
      </c>
      <c r="AU439" s="3" t="s">
        <v>149</v>
      </c>
    </row>
    <row r="440">
      <c r="A440" s="186">
        <v>220.0</v>
      </c>
      <c r="B440" s="152">
        <v>2025.0</v>
      </c>
      <c r="C440" s="153" t="str">
        <f>CONCATENATE(D440, "-", M440, "-", A440)
</f>
        <v>2023-PH060404000-220</v>
      </c>
      <c r="D440" s="152">
        <f>IF(OR(F439="Published", F439="Unpublished"), 2023, IF(F439="New", 2025, ""))
</f>
        <v>2023</v>
      </c>
      <c r="E440" s="151">
        <v>220.0</v>
      </c>
      <c r="F440" s="156" t="s">
        <v>191</v>
      </c>
      <c r="G440" s="156" t="s">
        <v>191</v>
      </c>
      <c r="H440" s="153" t="str">
        <f>IFERROR(__xludf.DUMMYFUNCTION("""COMPUTED_VALUE"""),"**Restoration_project** changed from KALAHI-CIDSS Subproject to Unknown, **Restoration_project_short** changed from Unknown to *Simultaneous deployment during celebration of Aklan Day 2017, **Year of establishment** changed from 2013 to 2017, **Restoratio"&amp;"n objective** changed from Fish stock enhancement; fishing ground to Unknown, **Funding agency** changed from Unknown to PLGU, **Implementing institution** changed from Unknown to PLGU, **Partners_private** changed from Millenium Challenge Corporation to "&amp;"Unknown, **Partners_communities** changed from San Isidro Fisherfolks to Unknown, **Reference** changed from Compendium to Panay News (2017, April 25). Aklan turns 61. Panay News. https://www.panaynews.net/aklan-turns-61/, **Website** changed from https:/"&amp;"/kalahi.dswd.gov.ph/press/downloads/category/58-old-iec-materials?download=322:tayo-na-tayo-na-disaster-resiliency-compendium to https://www.panaynews.net/aklan-turns-61/")</f>
        <v>**Restoration_project** changed from KALAHI-CIDSS Subproject to Unknown, **Restoration_project_short** changed from Unknown to *Simultaneous deployment during celebration of Aklan Day 2017, **Year of establishment** changed from 2013 to 2017, **Restoration objective** changed from Fish stock enhancement; fishing ground to Unknown, **Funding agency** changed from Unknown to PLGU, **Implementing institution** changed from Unknown to PLGU, **Partners_private** changed from Millenium Challenge Corporation to Unknown, **Partners_communities** changed from San Isidro Fisherfolks to Unknown, **Reference** changed from Compendium to Panay News (2017, April 25). Aklan turns 61. Panay News. https://www.panaynews.net/aklan-turns-61/, **Website** changed from https://kalahi.dswd.gov.ph/press/downloads/category/58-old-iec-materials?download=322:tayo-na-tayo-na-disaster-resiliency-compendium to https://www.panaynews.net/aklan-turns-61/</v>
      </c>
      <c r="I440" s="153" t="s">
        <v>6971</v>
      </c>
      <c r="J440" s="153" t="s">
        <v>314</v>
      </c>
      <c r="K440" s="153" t="s">
        <v>315</v>
      </c>
      <c r="L440" s="153" t="s">
        <v>3090</v>
      </c>
      <c r="M440" s="181" t="s">
        <v>3091</v>
      </c>
      <c r="N440" s="153" t="s">
        <v>151</v>
      </c>
      <c r="O440" s="158" t="s">
        <v>149</v>
      </c>
      <c r="P440" s="153" t="s">
        <v>6972</v>
      </c>
      <c r="Q440" s="169">
        <v>2017.0</v>
      </c>
      <c r="R440" s="160" t="s">
        <v>149</v>
      </c>
      <c r="S440" s="160" t="s">
        <v>149</v>
      </c>
      <c r="T440" s="161" t="s">
        <v>150</v>
      </c>
      <c r="U440" s="153">
        <f>IFERROR(__xludf.DUMMYFUNCTION("""COMPUTED_VALUE"""),412.0)</f>
        <v>412</v>
      </c>
      <c r="V440" s="162" t="s">
        <v>3311</v>
      </c>
      <c r="W440" s="187" t="s">
        <v>149</v>
      </c>
      <c r="X440" s="184"/>
      <c r="Y440" s="184" t="s">
        <v>149</v>
      </c>
      <c r="Z440" s="158" t="s">
        <v>149</v>
      </c>
      <c r="AA440" s="158" t="s">
        <v>149</v>
      </c>
      <c r="AB440" s="158" t="s">
        <v>149</v>
      </c>
      <c r="AC440" s="153" t="s">
        <v>158</v>
      </c>
      <c r="AD440" s="158" t="s">
        <v>160</v>
      </c>
      <c r="AE440" s="158" t="s">
        <v>6035</v>
      </c>
      <c r="AF440" s="158" t="s">
        <v>159</v>
      </c>
      <c r="AG440" s="164" t="s">
        <v>149</v>
      </c>
      <c r="AH440" s="158" t="s">
        <v>149</v>
      </c>
      <c r="AI440" s="158" t="s">
        <v>149</v>
      </c>
      <c r="AJ440" s="153" t="s">
        <v>158</v>
      </c>
      <c r="AK440" s="153" t="s">
        <v>6035</v>
      </c>
      <c r="AL440" s="156" t="s">
        <v>149</v>
      </c>
      <c r="AM440" s="156" t="s">
        <v>149</v>
      </c>
      <c r="AN440" s="156" t="s">
        <v>149</v>
      </c>
      <c r="AO440" s="156">
        <v>1.0</v>
      </c>
      <c r="AP440" s="156" t="s">
        <v>6037</v>
      </c>
      <c r="AQ440" s="158" t="s">
        <v>166</v>
      </c>
      <c r="AR440" s="153" t="s">
        <v>3092</v>
      </c>
      <c r="AS440" s="172" t="s">
        <v>3093</v>
      </c>
      <c r="AT440" s="156" t="s">
        <v>149</v>
      </c>
      <c r="AU440" s="156" t="s">
        <v>149</v>
      </c>
    </row>
    <row r="441">
      <c r="A441" s="186">
        <v>220.0</v>
      </c>
      <c r="B441" s="152">
        <v>2023.0</v>
      </c>
      <c r="D441" s="152"/>
      <c r="E441" s="151">
        <v>220.0</v>
      </c>
      <c r="F441" s="129" t="s">
        <v>140</v>
      </c>
      <c r="G441" s="3" t="s">
        <v>6029</v>
      </c>
      <c r="H441" s="8" t="str">
        <f>IFERROR(__xludf.DUMMYFUNCTION("""COMPUTED_VALUE"""),"")</f>
        <v/>
      </c>
      <c r="I441" s="8" t="s">
        <v>6973</v>
      </c>
      <c r="J441" s="8" t="s">
        <v>314</v>
      </c>
      <c r="K441" s="8" t="s">
        <v>315</v>
      </c>
      <c r="L441" s="8" t="s">
        <v>747</v>
      </c>
      <c r="M441" s="8" t="s">
        <v>748</v>
      </c>
      <c r="N441" s="8" t="s">
        <v>151</v>
      </c>
      <c r="O441" s="8" t="s">
        <v>749</v>
      </c>
      <c r="P441" s="3" t="s">
        <v>149</v>
      </c>
      <c r="Q441" s="142" t="s">
        <v>6145</v>
      </c>
      <c r="R441" s="142" t="s">
        <v>6145</v>
      </c>
      <c r="S441" s="142" t="s">
        <v>14</v>
      </c>
      <c r="T441" s="8"/>
      <c r="U441" s="8">
        <f>IFERROR(__xludf.DUMMYFUNCTION("""COMPUTED_VALUE"""),413.0)</f>
        <v>413</v>
      </c>
      <c r="V441" s="8"/>
      <c r="W441" s="3"/>
      <c r="X441" s="8"/>
      <c r="Y441" s="8"/>
      <c r="AA441" s="3" t="s">
        <v>149</v>
      </c>
      <c r="AB441" s="8" t="s">
        <v>752</v>
      </c>
      <c r="AC441" s="8" t="s">
        <v>369</v>
      </c>
      <c r="AG441" s="3" t="s">
        <v>149</v>
      </c>
      <c r="AH441" s="3" t="s">
        <v>149</v>
      </c>
      <c r="AI441" s="3" t="s">
        <v>149</v>
      </c>
      <c r="AJ441" s="8" t="s">
        <v>369</v>
      </c>
      <c r="AL441" s="3" t="s">
        <v>149</v>
      </c>
      <c r="AM441" s="3" t="s">
        <v>149</v>
      </c>
      <c r="AN441" s="3" t="s">
        <v>149</v>
      </c>
      <c r="AO441" s="8"/>
      <c r="AP441" s="8"/>
      <c r="AR441" s="8" t="s">
        <v>213</v>
      </c>
      <c r="AS441" s="3" t="s">
        <v>149</v>
      </c>
      <c r="AT441" s="8" t="s">
        <v>753</v>
      </c>
      <c r="AU441" s="8" t="s">
        <v>754</v>
      </c>
    </row>
    <row r="442">
      <c r="A442" s="186">
        <v>221.0</v>
      </c>
      <c r="B442" s="152">
        <v>2025.0</v>
      </c>
      <c r="C442" s="153" t="str">
        <f>CONCATENATE(D442, "-", M442, "-", A442)
</f>
        <v>2023-PH060406000-221</v>
      </c>
      <c r="D442" s="152">
        <f>IF(OR(F441="Published", F441="Unpublished"), 2023, IF(F441="New", 2025, ""))
</f>
        <v>2023</v>
      </c>
      <c r="E442" s="151">
        <v>221.0</v>
      </c>
      <c r="F442" s="156" t="s">
        <v>140</v>
      </c>
      <c r="G442" s="156" t="s">
        <v>141</v>
      </c>
      <c r="H442" s="153" t="str">
        <f>IFERROR(__xludf.DUMMYFUNCTION("""COMPUTED_VALUE"""),"**Restoration_project** changed from Bugtong Bato MPA Artificial Coral Reef Project to KALAHI-CIDSS Subproject, **Year of establishment** changed from 2022 to 2013, **Project Start** changed from 2022 to Unknown, **Project End** changed from 2025 to Unkno"&amp;"wn, **Technique/Material Type** changed from Unknown to Jackstone, **Restoration objective** changed from Rehabilitate MPA; tourism to Address destructive fishing and declining fish catch; Fish stock enhancement; fishing ground; , **Funding agency** chang"&amp;"ed from MLGU to DSWD Kalahi-CIDSS - Millenium Challenge Corporation, **Implementing institution** changed from MLGU to San Isidro Fisherfolks, **Partners_public** changed from Unknown to DSWD, **Reference** changed from Survey to Sison, M., Marbella, J., "&amp;"Calubiran, M., Mohammad, L. &amp; Reyes, M. D. (n.d.). Tayo na,Tay ô na!: Stories on how Kalahi-CIDSS provides support on disaster reduction and environmental protection to Filipino communities. https://kalahi.dswd.gov.ph/press/downloads/category/58-old-iec-m"&amp;"aterials?download=322:tayo-na-tayo-na-disaster-resiliency-compendium, **Website** changed from Unknown to https://kalahi.dswd.gov.ph/press/downloads/category/58-old-iec-materials?download=322:tayo-na-tayo-na-disaster-resiliency-compendium; https://fo6.dsw"&amp;"d.gov.ph/2014/05/kalahi-cidss-reaps-biodiversity-award/, **Contact_name** changed from SB Chair on Environment to Unknown, **Contact_details** changed from Nefnef22@gmail.com; 2892024 to Unknown")</f>
        <v>**Restoration_project** changed from Bugtong Bato MPA Artificial Coral Reef Project to KALAHI-CIDSS Subproject, **Year of establishment** changed from 2022 to 2013, **Project Start** changed from 2022 to Unknown, **Project End** changed from 2025 to Unknown, **Technique/Material Type** changed from Unknown to Jackstone, **Restoration objective** changed from Rehabilitate MPA; tourism to Address destructive fishing and declining fish catch; Fish stock enhancement; fishing ground; , **Funding agency** changed from MLGU to DSWD Kalahi-CIDSS - Millenium Challenge Corporation, **Implementing institution** changed from MLGU to San Isidro Fisherfolks, **Partners_public** changed from Unknown to DSWD, **Reference** changed from Survey to 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 **Website** changed from Unknown to https://kalahi.dswd.gov.ph/press/downloads/category/58-old-iec-materials?download=322:tayo-na-tayo-na-disaster-resiliency-compendium; https://fo6.dswd.gov.ph/2014/05/kalahi-cidss-reaps-biodiversity-award/, **Contact_name** changed from SB Chair on Environment to Unknown, **Contact_details** changed from Nefnef22@gmail.com; 2892024 to Unknown</v>
      </c>
      <c r="I442" s="153" t="s">
        <v>6974</v>
      </c>
      <c r="J442" s="153" t="s">
        <v>314</v>
      </c>
      <c r="K442" s="153" t="s">
        <v>315</v>
      </c>
      <c r="L442" s="153" t="s">
        <v>747</v>
      </c>
      <c r="M442" s="181" t="s">
        <v>748</v>
      </c>
      <c r="N442" s="153" t="s">
        <v>151</v>
      </c>
      <c r="O442" s="153" t="s">
        <v>6742</v>
      </c>
      <c r="P442" s="3" t="s">
        <v>149</v>
      </c>
      <c r="Q442" s="169">
        <v>2013.0</v>
      </c>
      <c r="R442" s="160" t="s">
        <v>149</v>
      </c>
      <c r="S442" s="160" t="s">
        <v>149</v>
      </c>
      <c r="T442" s="161" t="s">
        <v>150</v>
      </c>
      <c r="U442" s="153">
        <f>IFERROR(__xludf.DUMMYFUNCTION("""COMPUTED_VALUE"""),414.0)</f>
        <v>414</v>
      </c>
      <c r="V442" s="162" t="s">
        <v>3311</v>
      </c>
      <c r="W442" s="184" t="s">
        <v>6032</v>
      </c>
      <c r="X442" s="28" t="s">
        <v>6033</v>
      </c>
      <c r="Y442" s="32" t="s">
        <v>789</v>
      </c>
      <c r="Z442" s="158" t="s">
        <v>790</v>
      </c>
      <c r="AA442" s="158" t="s">
        <v>790</v>
      </c>
      <c r="AB442" s="153" t="s">
        <v>6975</v>
      </c>
      <c r="AC442" s="158" t="s">
        <v>1612</v>
      </c>
      <c r="AD442" s="158" t="s">
        <v>160</v>
      </c>
      <c r="AE442" s="158" t="s">
        <v>6035</v>
      </c>
      <c r="AF442" s="158" t="s">
        <v>159</v>
      </c>
      <c r="AG442" s="164" t="s">
        <v>149</v>
      </c>
      <c r="AH442" s="158" t="s">
        <v>149</v>
      </c>
      <c r="AI442" s="158" t="s">
        <v>149</v>
      </c>
      <c r="AJ442" s="158" t="s">
        <v>1613</v>
      </c>
      <c r="AK442" s="158" t="s">
        <v>662</v>
      </c>
      <c r="AL442" s="153" t="s">
        <v>1594</v>
      </c>
      <c r="AM442" s="3" t="s">
        <v>149</v>
      </c>
      <c r="AN442" s="3" t="s">
        <v>149</v>
      </c>
      <c r="AO442" s="156">
        <v>1.0</v>
      </c>
      <c r="AP442" s="156" t="s">
        <v>6037</v>
      </c>
      <c r="AQ442" s="153" t="s">
        <v>6976</v>
      </c>
      <c r="AR442" s="153" t="s">
        <v>1608</v>
      </c>
      <c r="AS442" s="165" t="s">
        <v>1614</v>
      </c>
      <c r="AT442" s="3" t="s">
        <v>149</v>
      </c>
      <c r="AU442" s="3" t="s">
        <v>149</v>
      </c>
    </row>
    <row r="443">
      <c r="A443" s="186">
        <v>221.0</v>
      </c>
      <c r="B443" s="152">
        <v>2023.0</v>
      </c>
      <c r="D443" s="152"/>
      <c r="E443" s="151">
        <v>221.0</v>
      </c>
      <c r="F443" s="129" t="s">
        <v>140</v>
      </c>
      <c r="G443" s="3" t="s">
        <v>6029</v>
      </c>
      <c r="H443" s="8" t="str">
        <f>IFERROR(__xludf.DUMMYFUNCTION("""COMPUTED_VALUE"""),"")</f>
        <v/>
      </c>
      <c r="I443" s="8" t="s">
        <v>6977</v>
      </c>
      <c r="J443" s="8" t="s">
        <v>314</v>
      </c>
      <c r="K443" s="8" t="s">
        <v>315</v>
      </c>
      <c r="L443" s="8" t="s">
        <v>316</v>
      </c>
      <c r="M443" s="8" t="s">
        <v>317</v>
      </c>
      <c r="N443" s="8" t="s">
        <v>6062</v>
      </c>
      <c r="O443" s="8" t="s">
        <v>1080</v>
      </c>
      <c r="P443" s="3" t="s">
        <v>149</v>
      </c>
      <c r="Q443" s="142" t="s">
        <v>6145</v>
      </c>
      <c r="R443" s="3" t="s">
        <v>149</v>
      </c>
      <c r="S443" s="3" t="s">
        <v>149</v>
      </c>
      <c r="T443" s="8"/>
      <c r="U443" s="8">
        <f>IFERROR(__xludf.DUMMYFUNCTION("""COMPUTED_VALUE"""),415.0)</f>
        <v>415</v>
      </c>
      <c r="V443" s="8"/>
      <c r="W443" s="8"/>
      <c r="X443" s="8"/>
      <c r="Y443" s="8"/>
      <c r="AA443" s="8" t="s">
        <v>730</v>
      </c>
      <c r="AB443" s="8" t="s">
        <v>6978</v>
      </c>
      <c r="AC443" s="8" t="s">
        <v>1084</v>
      </c>
      <c r="AG443" s="3" t="s">
        <v>149</v>
      </c>
      <c r="AH443" s="3" t="s">
        <v>149</v>
      </c>
      <c r="AI443" s="3" t="s">
        <v>149</v>
      </c>
      <c r="AJ443" s="8" t="s">
        <v>739</v>
      </c>
      <c r="AL443" s="8" t="s">
        <v>369</v>
      </c>
      <c r="AM443" s="8" t="s">
        <v>1085</v>
      </c>
      <c r="AN443" s="3" t="s">
        <v>149</v>
      </c>
      <c r="AO443" s="8"/>
      <c r="AP443" s="8"/>
      <c r="AR443" s="8" t="s">
        <v>166</v>
      </c>
      <c r="AS443" s="172" t="s">
        <v>6979</v>
      </c>
      <c r="AT443" s="3" t="s">
        <v>149</v>
      </c>
      <c r="AU443" s="3" t="s">
        <v>149</v>
      </c>
    </row>
    <row r="444">
      <c r="A444" s="186">
        <v>222.0</v>
      </c>
      <c r="B444" s="152">
        <v>2025.0</v>
      </c>
      <c r="C444" s="153" t="str">
        <f>CONCATENATE(D444, "-", M444, "-", A444)
</f>
        <v>2023-PH060406000-222</v>
      </c>
      <c r="D444" s="152">
        <f>IF(OR(F443="Published", F443="Unpublished"), 2023, IF(F443="New", 2025, ""))
</f>
        <v>2023</v>
      </c>
      <c r="E444" s="151">
        <v>222.0</v>
      </c>
      <c r="F444" s="156" t="s">
        <v>191</v>
      </c>
      <c r="G444" s="156" t="s">
        <v>191</v>
      </c>
      <c r="H444" s="153" t="str">
        <f>IFERROR(__xludf.DUMMYFUNCTION("""COMPUTED_VALUE"""),"**Restoration_project** changed from Coral REEFhabilitation Program to Unknown, **Restoration_project_short** changed from Unknown to *Simultaneous deployment during celebration of Aklan Day 2017, **Year of establishment** changed from 2022 to 2017, **Res"&amp;"toration method** changed from Asexual Reproduction to Artificial Reef, **Technique/Material Type** changed from CNU; coral planting to Unknown, **Restoration objective** changed from Preservation of Boracay Island to Unknown, **Funding agency** changed f"&amp;"rom Boracay Island Water Company to PLGU, **Implementing institution** changed from Boracay Foundation to PLGU, **Partners_public** changed from MLGU to Unknown, **Partners_private** changed from Boracay Island Water Company; Boracay Business Scuba Diving"&amp;" Schools to Unknown, **Reference** changed from News/Press Release to Panay News (2017, April 25). Aklan turns 61. Panay News. https://www.panaynews.net/aklan-turns-61/, **Website** changed from https://www.manilawater.com/corporate/boracay-water/agos/202"&amp;"2-06-16/boracay-island-water-company-invests-in-marine-life to https://www.panaynews.net/aklan-turns-61/")</f>
        <v>**Restoration_project** changed from Coral REEFhabilitation Program to Unknown, **Restoration_project_short** changed from Unknown to *Simultaneous deployment during celebration of Aklan Day 2017, **Year of establishment** changed from 2022 to 2017, **Restoration method** changed from Asexual Reproduction to Artificial Reef, **Technique/Material Type** changed from CNU; coral planting to Unknown, **Restoration objective** changed from Preservation of Boracay Island to Unknown, **Funding agency** changed from Boracay Island Water Company to PLGU, **Implementing institution** changed from Boracay Foundation to PLGU, **Partners_public** changed from MLGU to Unknown, **Partners_private** changed from Boracay Island Water Company; Boracay Business Scuba Diving Schools to Unknown, **Reference** changed from News/Press Release to Panay News (2017, April 25). Aklan turns 61. Panay News. https://www.panaynews.net/aklan-turns-61/, **Website** changed from https://www.manilawater.com/corporate/boracay-water/agos/2022-06-16/boracay-island-water-company-invests-in-marine-life to https://www.panaynews.net/aklan-turns-61/</v>
      </c>
      <c r="I444" s="153" t="s">
        <v>6980</v>
      </c>
      <c r="J444" s="153" t="s">
        <v>314</v>
      </c>
      <c r="K444" s="153" t="s">
        <v>315</v>
      </c>
      <c r="L444" s="153" t="s">
        <v>747</v>
      </c>
      <c r="M444" s="181" t="s">
        <v>748</v>
      </c>
      <c r="N444" s="153" t="s">
        <v>151</v>
      </c>
      <c r="O444" s="158" t="s">
        <v>149</v>
      </c>
      <c r="P444" s="153" t="s">
        <v>6972</v>
      </c>
      <c r="Q444" s="169">
        <v>2017.0</v>
      </c>
      <c r="R444" s="164" t="s">
        <v>149</v>
      </c>
      <c r="S444" s="160" t="s">
        <v>149</v>
      </c>
      <c r="T444" s="161" t="s">
        <v>150</v>
      </c>
      <c r="U444" s="153">
        <f>IFERROR(__xludf.DUMMYFUNCTION("""COMPUTED_VALUE"""),416.0)</f>
        <v>416</v>
      </c>
      <c r="V444" s="162" t="s">
        <v>3311</v>
      </c>
      <c r="W444" s="187" t="s">
        <v>149</v>
      </c>
      <c r="X444" s="184"/>
      <c r="Y444" s="184" t="s">
        <v>149</v>
      </c>
      <c r="Z444" s="158" t="s">
        <v>149</v>
      </c>
      <c r="AA444" s="158" t="s">
        <v>149</v>
      </c>
      <c r="AB444" s="158" t="s">
        <v>149</v>
      </c>
      <c r="AC444" s="153" t="s">
        <v>158</v>
      </c>
      <c r="AD444" s="158" t="s">
        <v>160</v>
      </c>
      <c r="AE444" s="158" t="s">
        <v>6035</v>
      </c>
      <c r="AF444" s="158" t="s">
        <v>159</v>
      </c>
      <c r="AG444" s="164" t="s">
        <v>149</v>
      </c>
      <c r="AH444" s="158" t="s">
        <v>149</v>
      </c>
      <c r="AI444" s="158" t="s">
        <v>149</v>
      </c>
      <c r="AJ444" s="153" t="s">
        <v>158</v>
      </c>
      <c r="AK444" s="153" t="s">
        <v>6035</v>
      </c>
      <c r="AL444" s="156" t="s">
        <v>149</v>
      </c>
      <c r="AM444" s="156" t="s">
        <v>149</v>
      </c>
      <c r="AN444" s="156" t="s">
        <v>149</v>
      </c>
      <c r="AO444" s="156">
        <v>1.0</v>
      </c>
      <c r="AP444" s="156" t="s">
        <v>6037</v>
      </c>
      <c r="AQ444" s="158" t="s">
        <v>166</v>
      </c>
      <c r="AR444" s="153" t="s">
        <v>3092</v>
      </c>
      <c r="AS444" s="165" t="s">
        <v>3093</v>
      </c>
      <c r="AT444" s="156" t="s">
        <v>149</v>
      </c>
      <c r="AU444" s="156" t="s">
        <v>149</v>
      </c>
    </row>
    <row r="445">
      <c r="A445" s="186">
        <v>222.0</v>
      </c>
      <c r="B445" s="152">
        <v>2023.0</v>
      </c>
      <c r="D445" s="152"/>
      <c r="E445" s="151">
        <v>222.0</v>
      </c>
      <c r="F445" s="129" t="s">
        <v>140</v>
      </c>
      <c r="G445" s="3" t="s">
        <v>6029</v>
      </c>
      <c r="H445" s="8" t="str">
        <f>IFERROR(__xludf.DUMMYFUNCTION("""COMPUTED_VALUE"""),"")</f>
        <v/>
      </c>
      <c r="I445" s="8" t="s">
        <v>6981</v>
      </c>
      <c r="J445" s="8" t="s">
        <v>314</v>
      </c>
      <c r="K445" s="8" t="s">
        <v>315</v>
      </c>
      <c r="L445" s="8" t="s">
        <v>316</v>
      </c>
      <c r="M445" s="8" t="s">
        <v>317</v>
      </c>
      <c r="N445" s="8" t="s">
        <v>6062</v>
      </c>
      <c r="O445" s="8" t="s">
        <v>736</v>
      </c>
      <c r="P445" s="3" t="s">
        <v>149</v>
      </c>
      <c r="Q445" s="142" t="s">
        <v>6114</v>
      </c>
      <c r="R445" s="3" t="s">
        <v>149</v>
      </c>
      <c r="S445" s="3" t="s">
        <v>149</v>
      </c>
      <c r="T445" s="8"/>
      <c r="U445" s="8">
        <f>IFERROR(__xludf.DUMMYFUNCTION("""COMPUTED_VALUE"""),417.0)</f>
        <v>417</v>
      </c>
      <c r="V445" s="8"/>
      <c r="W445" s="8"/>
      <c r="X445" s="8"/>
      <c r="Y445" s="8"/>
      <c r="AA445" s="8" t="s">
        <v>730</v>
      </c>
      <c r="AB445" s="3" t="s">
        <v>149</v>
      </c>
      <c r="AC445" s="8" t="s">
        <v>738</v>
      </c>
      <c r="AG445" s="3" t="s">
        <v>149</v>
      </c>
      <c r="AH445" s="3" t="s">
        <v>149</v>
      </c>
      <c r="AI445" s="3" t="s">
        <v>149</v>
      </c>
      <c r="AJ445" s="8" t="s">
        <v>739</v>
      </c>
      <c r="AL445" s="8" t="s">
        <v>369</v>
      </c>
      <c r="AM445" s="8" t="s">
        <v>738</v>
      </c>
      <c r="AN445" s="3" t="s">
        <v>149</v>
      </c>
      <c r="AO445" s="8"/>
      <c r="AP445" s="8"/>
      <c r="AR445" s="8" t="s">
        <v>166</v>
      </c>
      <c r="AS445" s="8" t="s">
        <v>741</v>
      </c>
      <c r="AT445" s="3" t="s">
        <v>149</v>
      </c>
      <c r="AU445" s="3" t="s">
        <v>149</v>
      </c>
    </row>
    <row r="446">
      <c r="A446" s="186">
        <v>223.0</v>
      </c>
      <c r="B446" s="152">
        <v>2025.0</v>
      </c>
      <c r="C446" s="153" t="str">
        <f>CONCATENATE(D446, "-", M446, "-", A446)
</f>
        <v>2023-PH060406000-223</v>
      </c>
      <c r="D446" s="152">
        <f>IF(OR(F445="Published", F445="Unpublished"), 2023, IF(F445="New", 2025, ""))
</f>
        <v>2023</v>
      </c>
      <c r="E446" s="151">
        <v>223.0</v>
      </c>
      <c r="F446" s="156" t="s">
        <v>140</v>
      </c>
      <c r="G446" s="156" t="s">
        <v>707</v>
      </c>
      <c r="H446" s="153" t="str">
        <f>IFERROR(__xludf.DUMMYFUNCTION("""COMPUTED_VALUE"""),"**Restoration_project** changed from Boracay Beach Management Program to Bugtong Bato MPA Artificial Coral Reef Project, **Year of establishment** changed from 2010 to 2022, **Project Start** changed from Unknown to 2022, **Project End** changed from Unkn"&amp;"own to 2025, **Restoration method** changed from Asexual Reproduction to Artificial Reef, **Technique/Material Type** changed from CNU; coral planting to Unknown, **Restoration objective** changed from Unknown to Rehabilitate MPA; tourism, **Funding agenc"&amp;"y** changed from Petron Foundation; San Miguel Corp. to MLGU, **Implementing institution** changed from Boracay Foundation to MLGU, **Partners_public** changed from MLGU to Unknown, **Partners_private** changed from Petron Foundation; San Miguel Corp. to "&amp;"Unknown, **Reference** changed from News/Press Release to Survey, **Website** changed from https://gadgetsmagazine.com.ph/technology/artificial-reef-dome-deployment-in-boracay to Unknown, **Contact_name** changed from Unknown to SB Chair on Environment, *"&amp;"*Contact_details** changed from Unknown to Nefnef22@gmail.com; 2892024")</f>
        <v>**Restoration_project** changed from Boracay Beach Management Program to Bugtong Bato MPA Artificial Coral Reef Project, **Year of establishment** changed from 2010 to 2022, **Project Start** changed from Unknown to 2022, **Project End** changed from Unknown to 2025, **Restoration method** changed from Asexual Reproduction to Artificial Reef, **Technique/Material Type** changed from CNU; coral planting to Unknown, **Restoration objective** changed from Unknown to Rehabilitate MPA; tourism, **Funding agency** changed from Petron Foundation; San Miguel Corp. to MLGU, **Implementing institution** changed from Boracay Foundation to MLGU, **Partners_public** changed from MLGU to Unknown, **Partners_private** changed from Petron Foundation; San Miguel Corp. to Unknown, **Reference** changed from News/Press Release to Survey, **Website** changed from https://gadgetsmagazine.com.ph/technology/artificial-reef-dome-deployment-in-boracay to Unknown, **Contact_name** changed from Unknown to SB Chair on Environment, **Contact_details** changed from Unknown to Nefnef22@gmail.com; 2892024</v>
      </c>
      <c r="I446" s="153" t="s">
        <v>6982</v>
      </c>
      <c r="J446" s="153" t="s">
        <v>314</v>
      </c>
      <c r="K446" s="153" t="s">
        <v>315</v>
      </c>
      <c r="L446" s="153" t="s">
        <v>747</v>
      </c>
      <c r="M446" s="181" t="s">
        <v>748</v>
      </c>
      <c r="N446" s="153" t="s">
        <v>151</v>
      </c>
      <c r="O446" s="153" t="s">
        <v>749</v>
      </c>
      <c r="P446" s="3" t="s">
        <v>149</v>
      </c>
      <c r="Q446" s="169">
        <v>2022.0</v>
      </c>
      <c r="R446" s="175" t="s">
        <v>6145</v>
      </c>
      <c r="S446" s="175" t="s">
        <v>14</v>
      </c>
      <c r="T446" s="161" t="s">
        <v>150</v>
      </c>
      <c r="U446" s="153">
        <f>IFERROR(__xludf.DUMMYFUNCTION("""COMPUTED_VALUE"""),418.0)</f>
        <v>418</v>
      </c>
      <c r="V446" s="162" t="s">
        <v>3311</v>
      </c>
      <c r="W446" s="187" t="s">
        <v>149</v>
      </c>
      <c r="X446" s="184"/>
      <c r="Y446" s="184" t="s">
        <v>149</v>
      </c>
      <c r="Z446" s="158" t="s">
        <v>149</v>
      </c>
      <c r="AA446" s="158" t="s">
        <v>149</v>
      </c>
      <c r="AB446" s="153" t="s">
        <v>752</v>
      </c>
      <c r="AC446" s="153" t="s">
        <v>369</v>
      </c>
      <c r="AD446" s="158" t="s">
        <v>160</v>
      </c>
      <c r="AE446" s="158" t="s">
        <v>6035</v>
      </c>
      <c r="AF446" s="158" t="s">
        <v>159</v>
      </c>
      <c r="AG446" s="164" t="s">
        <v>149</v>
      </c>
      <c r="AH446" s="158" t="s">
        <v>149</v>
      </c>
      <c r="AI446" s="158" t="s">
        <v>149</v>
      </c>
      <c r="AJ446" s="153" t="s">
        <v>369</v>
      </c>
      <c r="AK446" s="153" t="s">
        <v>6035</v>
      </c>
      <c r="AL446" s="3" t="s">
        <v>149</v>
      </c>
      <c r="AM446" s="3" t="s">
        <v>149</v>
      </c>
      <c r="AN446" s="3" t="s">
        <v>149</v>
      </c>
      <c r="AO446" s="156">
        <v>1.0</v>
      </c>
      <c r="AP446" s="156" t="s">
        <v>6037</v>
      </c>
      <c r="AQ446" s="153" t="s">
        <v>213</v>
      </c>
      <c r="AR446" s="153" t="s">
        <v>213</v>
      </c>
      <c r="AS446" s="3" t="s">
        <v>149</v>
      </c>
      <c r="AT446" s="153" t="s">
        <v>753</v>
      </c>
      <c r="AU446" s="153" t="s">
        <v>754</v>
      </c>
    </row>
    <row r="447">
      <c r="A447" s="186">
        <v>223.0</v>
      </c>
      <c r="B447" s="152">
        <v>2023.0</v>
      </c>
      <c r="D447" s="152"/>
      <c r="E447" s="151">
        <v>223.0</v>
      </c>
      <c r="F447" s="129" t="s">
        <v>140</v>
      </c>
      <c r="G447" s="3" t="s">
        <v>6029</v>
      </c>
      <c r="H447" s="8" t="str">
        <f>IFERROR(__xludf.DUMMYFUNCTION("""COMPUTED_VALUE"""),"")</f>
        <v/>
      </c>
      <c r="I447" s="8" t="s">
        <v>6983</v>
      </c>
      <c r="J447" s="8" t="s">
        <v>314</v>
      </c>
      <c r="K447" s="8" t="s">
        <v>315</v>
      </c>
      <c r="L447" s="8" t="s">
        <v>316</v>
      </c>
      <c r="M447" s="8" t="s">
        <v>317</v>
      </c>
      <c r="N447" s="8" t="s">
        <v>151</v>
      </c>
      <c r="O447" s="8" t="s">
        <v>736</v>
      </c>
      <c r="P447" s="3" t="s">
        <v>149</v>
      </c>
      <c r="Q447" s="142" t="s">
        <v>6042</v>
      </c>
      <c r="R447" s="3" t="s">
        <v>149</v>
      </c>
      <c r="S447" s="3" t="s">
        <v>149</v>
      </c>
      <c r="T447" s="8"/>
      <c r="U447" s="8">
        <f>IFERROR(__xludf.DUMMYFUNCTION("""COMPUTED_VALUE"""),419.0)</f>
        <v>419</v>
      </c>
      <c r="V447" s="8"/>
      <c r="W447" s="3"/>
      <c r="X447" s="8"/>
      <c r="Y447" s="8"/>
      <c r="AA447" s="3" t="s">
        <v>149</v>
      </c>
      <c r="AB447" s="3" t="s">
        <v>149</v>
      </c>
      <c r="AC447" s="8" t="s">
        <v>745</v>
      </c>
      <c r="AG447" s="3" t="s">
        <v>149</v>
      </c>
      <c r="AH447" s="3" t="s">
        <v>149</v>
      </c>
      <c r="AI447" s="3" t="s">
        <v>149</v>
      </c>
      <c r="AJ447" s="8" t="s">
        <v>739</v>
      </c>
      <c r="AL447" s="8" t="s">
        <v>369</v>
      </c>
      <c r="AM447" s="3" t="s">
        <v>149</v>
      </c>
      <c r="AN447" s="3" t="s">
        <v>149</v>
      </c>
      <c r="AO447" s="8"/>
      <c r="AP447" s="8"/>
      <c r="AR447" s="8" t="s">
        <v>166</v>
      </c>
      <c r="AS447" s="172" t="s">
        <v>741</v>
      </c>
      <c r="AT447" s="3" t="s">
        <v>149</v>
      </c>
      <c r="AU447" s="3" t="s">
        <v>149</v>
      </c>
    </row>
    <row r="448">
      <c r="A448" s="186">
        <v>224.0</v>
      </c>
      <c r="B448" s="152">
        <v>2025.0</v>
      </c>
      <c r="C448" s="153" t="str">
        <f>CONCATENATE(D448, "-", M448, "-", A448)
</f>
        <v>2023-PH060407000-224</v>
      </c>
      <c r="D448" s="152">
        <f>IF(OR(F447="Published", F447="Unpublished"), 2023, IF(F447="New", 2025, ""))
</f>
        <v>2023</v>
      </c>
      <c r="E448" s="151">
        <v>224.0</v>
      </c>
      <c r="F448" s="156" t="s">
        <v>191</v>
      </c>
      <c r="G448" s="156" t="s">
        <v>191</v>
      </c>
      <c r="H448" s="153" t="str">
        <f>IFERROR(__xludf.DUMMYFUNCTION("""COMPUTED_VALUE"""),"**Restoration_project** changed from Boracay Beach Management Program to Unknown, **Restoration_project_short** changed from Unknown to AR already 14 years old by the time of survey in 2003, **Year of establishment** changed from 2011 to Unknown, **Techni"&amp;"que/Material Type** changed from Unknown to tires, **Funding agency** changed from Petron Foundation to Unknown, **Implementing institution** changed from Boracay Foundation to Unknown, **Partners_public** changed from MLGU to Unknown, **Reference** chang"&amp;"ed from News/Press Release to Kuhlmann, K. J. (2003). Ecological Evaluation of Near-Shore Spots as Key to Legalize Marine Protected Areas at the Coastline of Aklan, Philippines. https://nsgl.gso.uri.edu/riu/riuc04001/pdffiles/papers/20988.pdf, **Website**"&amp;" changed from https://gadgetsmagazine.com.ph/technology/artificial-reef-dome-deployment-in-boracay to https://www.researchgate.net/publication/267416722_ECOLOGICAL_EVALUATION_OF_NEAR-SHORE_SPOTS_AS_KEY_TO_LEGALIZE_MARINE_PROTECTED_AREAS_AT_THE_COASTLINE_O"&amp;"F_AKLAN_PHILIPPINES")</f>
        <v>**Restoration_project** changed from Boracay Beach Management Program to Unknown, **Restoration_project_short** changed from Unknown to AR already 14 years old by the time of survey in 2003, **Year of establishment** changed from 2011 to Unknown, **Technique/Material Type** changed from Unknown to tires, **Funding agency** changed from Petron Foundation to Unknown, **Implementing institution** changed from Boracay Foundation to Unknown, **Partners_public** changed from MLGU to Unknown, **Reference** changed from News/Press Release to Kuhlmann, K. J. (2003). Ecological Evaluation of Near-Shore Spots as Key to Legalize Marine Protected Areas at the Coastline of Aklan, Philippines. https://nsgl.gso.uri.edu/riu/riuc04001/pdffiles/papers/20988.pdf, **Website** changed from https://gadgetsmagazine.com.ph/technology/artificial-reef-dome-deployment-in-boracay to https://www.researchgate.net/publication/267416722_ECOLOGICAL_EVALUATION_OF_NEAR-SHORE_SPOTS_AS_KEY_TO_LEGALIZE_MARINE_PROTECTED_AREAS_AT_THE_COASTLINE_OF_AKLAN_PHILIPPINES</v>
      </c>
      <c r="I448" s="153" t="s">
        <v>6984</v>
      </c>
      <c r="J448" s="153" t="s">
        <v>314</v>
      </c>
      <c r="K448" s="153" t="s">
        <v>315</v>
      </c>
      <c r="L448" s="153" t="s">
        <v>3096</v>
      </c>
      <c r="M448" s="181" t="s">
        <v>3097</v>
      </c>
      <c r="N448" s="153" t="s">
        <v>151</v>
      </c>
      <c r="O448" s="158" t="s">
        <v>149</v>
      </c>
      <c r="P448" s="153" t="s">
        <v>6985</v>
      </c>
      <c r="Q448" s="197" t="s">
        <v>149</v>
      </c>
      <c r="R448" s="164" t="s">
        <v>149</v>
      </c>
      <c r="S448" s="160" t="s">
        <v>149</v>
      </c>
      <c r="T448" s="161" t="s">
        <v>150</v>
      </c>
      <c r="U448" s="153">
        <f>IFERROR(__xludf.DUMMYFUNCTION("""COMPUTED_VALUE"""),420.0)</f>
        <v>420</v>
      </c>
      <c r="V448" s="162" t="s">
        <v>3311</v>
      </c>
      <c r="W448" s="170" t="s">
        <v>6059</v>
      </c>
      <c r="X448" s="28" t="s">
        <v>6033</v>
      </c>
      <c r="Y448" s="28" t="s">
        <v>386</v>
      </c>
      <c r="Z448" s="176" t="s">
        <v>386</v>
      </c>
      <c r="AA448" s="153" t="s">
        <v>6054</v>
      </c>
      <c r="AB448" s="158" t="s">
        <v>149</v>
      </c>
      <c r="AC448" s="158" t="s">
        <v>149</v>
      </c>
      <c r="AD448" s="158" t="s">
        <v>149</v>
      </c>
      <c r="AE448" s="158" t="s">
        <v>149</v>
      </c>
      <c r="AF448" s="158" t="s">
        <v>149</v>
      </c>
      <c r="AG448" s="164" t="s">
        <v>149</v>
      </c>
      <c r="AH448" s="158" t="s">
        <v>149</v>
      </c>
      <c r="AI448" s="158" t="s">
        <v>149</v>
      </c>
      <c r="AJ448" s="158" t="s">
        <v>149</v>
      </c>
      <c r="AK448" s="158" t="s">
        <v>149</v>
      </c>
      <c r="AL448" s="156" t="s">
        <v>149</v>
      </c>
      <c r="AM448" s="156" t="s">
        <v>149</v>
      </c>
      <c r="AN448" s="156" t="s">
        <v>149</v>
      </c>
      <c r="AO448" s="156">
        <v>1.0</v>
      </c>
      <c r="AP448" s="156" t="s">
        <v>6037</v>
      </c>
      <c r="AQ448" s="158" t="s">
        <v>1159</v>
      </c>
      <c r="AR448" s="153" t="s">
        <v>3098</v>
      </c>
      <c r="AS448" s="172" t="s">
        <v>3099</v>
      </c>
      <c r="AT448" s="156" t="s">
        <v>149</v>
      </c>
      <c r="AU448" s="156" t="s">
        <v>149</v>
      </c>
    </row>
    <row r="449">
      <c r="A449" s="186">
        <v>224.0</v>
      </c>
      <c r="B449" s="152">
        <v>2023.0</v>
      </c>
      <c r="D449" s="152"/>
      <c r="E449" s="151">
        <v>224.0</v>
      </c>
      <c r="F449" s="129" t="s">
        <v>140</v>
      </c>
      <c r="G449" s="3" t="s">
        <v>6029</v>
      </c>
      <c r="H449" s="8" t="str">
        <f>IFERROR(__xludf.DUMMYFUNCTION("""COMPUTED_VALUE"""),"")</f>
        <v/>
      </c>
      <c r="I449" s="8" t="s">
        <v>6986</v>
      </c>
      <c r="J449" s="8" t="s">
        <v>314</v>
      </c>
      <c r="K449" s="8" t="s">
        <v>315</v>
      </c>
      <c r="L449" s="8" t="s">
        <v>316</v>
      </c>
      <c r="M449" s="8" t="s">
        <v>317</v>
      </c>
      <c r="N449" s="8" t="s">
        <v>151</v>
      </c>
      <c r="O449" s="3" t="s">
        <v>149</v>
      </c>
      <c r="P449" s="8" t="s">
        <v>6987</v>
      </c>
      <c r="Q449" s="3" t="s">
        <v>149</v>
      </c>
      <c r="R449" s="3" t="s">
        <v>149</v>
      </c>
      <c r="S449" s="3" t="s">
        <v>149</v>
      </c>
      <c r="T449" s="8"/>
      <c r="U449" s="8">
        <f>IFERROR(__xludf.DUMMYFUNCTION("""COMPUTED_VALUE"""),421.0)</f>
        <v>421</v>
      </c>
      <c r="V449" s="8"/>
      <c r="W449" s="8"/>
      <c r="X449" s="8"/>
      <c r="Y449" s="8"/>
      <c r="AA449" s="8" t="s">
        <v>337</v>
      </c>
      <c r="AB449" s="3" t="s">
        <v>149</v>
      </c>
      <c r="AC449" s="8" t="s">
        <v>3103</v>
      </c>
      <c r="AG449" s="3" t="s">
        <v>149</v>
      </c>
      <c r="AH449" s="3" t="s">
        <v>149</v>
      </c>
      <c r="AI449" s="3" t="s">
        <v>149</v>
      </c>
      <c r="AJ449" s="8" t="s">
        <v>3103</v>
      </c>
      <c r="AL449" s="3" t="s">
        <v>149</v>
      </c>
      <c r="AM449" s="3" t="s">
        <v>149</v>
      </c>
      <c r="AN449" s="3" t="s">
        <v>149</v>
      </c>
      <c r="AO449" s="8"/>
      <c r="AP449" s="8"/>
      <c r="AR449" s="8" t="s">
        <v>6027</v>
      </c>
      <c r="AS449" s="8" t="s">
        <v>3106</v>
      </c>
      <c r="AT449" s="3" t="s">
        <v>149</v>
      </c>
      <c r="AU449" s="3" t="s">
        <v>149</v>
      </c>
    </row>
    <row r="450" ht="14.25" customHeight="1">
      <c r="A450" s="186">
        <v>225.0</v>
      </c>
      <c r="B450" s="152">
        <v>2023.0</v>
      </c>
      <c r="D450" s="152"/>
      <c r="E450" s="151">
        <v>225.0</v>
      </c>
      <c r="F450" s="129" t="s">
        <v>648</v>
      </c>
      <c r="G450" s="3" t="s">
        <v>6029</v>
      </c>
      <c r="H450" s="8" t="str">
        <f>IFERROR(__xludf.DUMMYFUNCTION("""COMPUTED_VALUE"""),"")</f>
        <v/>
      </c>
      <c r="I450" s="8" t="s">
        <v>6988</v>
      </c>
      <c r="J450" s="8" t="s">
        <v>314</v>
      </c>
      <c r="K450" s="8" t="s">
        <v>315</v>
      </c>
      <c r="L450" s="8" t="s">
        <v>316</v>
      </c>
      <c r="M450" s="8" t="s">
        <v>317</v>
      </c>
      <c r="N450" s="3" t="s">
        <v>149</v>
      </c>
      <c r="O450" s="3" t="s">
        <v>149</v>
      </c>
      <c r="P450" s="3" t="s">
        <v>149</v>
      </c>
      <c r="Q450" s="142" t="s">
        <v>6042</v>
      </c>
      <c r="R450" s="3" t="s">
        <v>149</v>
      </c>
      <c r="S450" s="3" t="s">
        <v>149</v>
      </c>
      <c r="T450" s="3"/>
      <c r="U450" s="8">
        <f>IFERROR(__xludf.DUMMYFUNCTION("""COMPUTED_VALUE"""),422.0)</f>
        <v>422</v>
      </c>
      <c r="V450" s="3"/>
      <c r="W450" s="3"/>
      <c r="X450" s="8"/>
      <c r="Y450" s="8"/>
      <c r="AA450" s="3" t="s">
        <v>149</v>
      </c>
      <c r="AB450" s="3" t="s">
        <v>149</v>
      </c>
      <c r="AC450" s="3" t="s">
        <v>149</v>
      </c>
      <c r="AG450" s="3" t="s">
        <v>149</v>
      </c>
      <c r="AH450" s="3" t="s">
        <v>149</v>
      </c>
      <c r="AI450" s="3" t="s">
        <v>149</v>
      </c>
      <c r="AJ450" s="3" t="s">
        <v>149</v>
      </c>
      <c r="AL450" s="3" t="s">
        <v>149</v>
      </c>
      <c r="AM450" s="3" t="s">
        <v>149</v>
      </c>
      <c r="AN450" s="3" t="s">
        <v>149</v>
      </c>
      <c r="AO450" s="3"/>
      <c r="AP450" s="3"/>
      <c r="AR450" s="3" t="s">
        <v>149</v>
      </c>
      <c r="AS450" s="3" t="s">
        <v>149</v>
      </c>
      <c r="AT450" s="3" t="s">
        <v>149</v>
      </c>
      <c r="AU450" s="3" t="s">
        <v>149</v>
      </c>
    </row>
    <row r="451">
      <c r="A451" s="186">
        <v>225.0</v>
      </c>
      <c r="B451" s="152">
        <v>2025.0</v>
      </c>
      <c r="C451" s="153" t="str">
        <f>CONCATENATE(D451, "-", M451, "-", A451)
</f>
        <v>2023-PH060412000-225</v>
      </c>
      <c r="D451" s="152">
        <f>IF(OR(F450="Published", F450="Unpublished"), 2023, IF(F450="New", 2025, ""))
</f>
        <v>2023</v>
      </c>
      <c r="E451" s="151">
        <v>225.0</v>
      </c>
      <c r="F451" s="156" t="s">
        <v>648</v>
      </c>
      <c r="G451" s="156" t="s">
        <v>141</v>
      </c>
      <c r="H451" s="153" t="str">
        <f>IFERROR(__xludf.DUMMYFUNCTION("""COMPUTED_VALUE"""),"**Restoration_project_short** changed from Unknown to inside MPA, **Year of establishment** changed from 2011 to 2003, **Restoration method** changed from Unknown to Artificial Reef, **Technique/Material Type** changed from Unknown to Jackstone, **Referen"&amp;"ce** changed from Unknown to Kuhlmann, K. J. (2003). Ecological Evaluation of Near-Shore Spots as Key to Legalize Marine Protected Areas at the Coastline of Aklan, Philippines. https://nsgl.gso.uri.edu/riu/riuc04001/pdffiles/papers/20988.pdf, **Website** "&amp;"changed from Unknown to https://www.researchgate.net/publication/267416722_ECOLOGICAL_EVALUATION_OF_NEAR-SHORE_SPOTS_AS_KEY_TO_LEGALIZE_MARINE_PROTECTED_AREAS_AT_THE_COASTLINE_OF_AKLAN_PHILIPPINES")</f>
        <v>**Restoration_project_short** changed from Unknown to inside MPA, **Year of establishment** changed from 2011 to 2003, **Restoration method** changed from Unknown to Artificial Reef, **Technique/Material Type** changed from Unknown to Jackstone, **Reference** changed from Unknown to Kuhlmann, K. J. (2003). Ecological Evaluation of Near-Shore Spots as Key to Legalize Marine Protected Areas at the Coastline of Aklan, Philippines. https://nsgl.gso.uri.edu/riu/riuc04001/pdffiles/papers/20988.pdf, **Website** changed from Unknown to https://www.researchgate.net/publication/267416722_ECOLOGICAL_EVALUATION_OF_NEAR-SHORE_SPOTS_AS_KEY_TO_LEGALIZE_MARINE_PROTECTED_AREAS_AT_THE_COASTLINE_OF_AKLAN_PHILIPPINES</v>
      </c>
      <c r="I451" s="153" t="s">
        <v>6989</v>
      </c>
      <c r="J451" s="153" t="s">
        <v>314</v>
      </c>
      <c r="K451" s="153" t="s">
        <v>315</v>
      </c>
      <c r="L451" s="153" t="s">
        <v>316</v>
      </c>
      <c r="M451" s="181" t="s">
        <v>317</v>
      </c>
      <c r="N451" s="153" t="s">
        <v>151</v>
      </c>
      <c r="O451" s="158" t="s">
        <v>149</v>
      </c>
      <c r="P451" s="153" t="s">
        <v>6990</v>
      </c>
      <c r="Q451" s="169">
        <v>2003.0</v>
      </c>
      <c r="R451" s="164" t="s">
        <v>149</v>
      </c>
      <c r="S451" s="160" t="s">
        <v>149</v>
      </c>
      <c r="T451" s="161" t="s">
        <v>150</v>
      </c>
      <c r="U451" s="153">
        <f>IFERROR(__xludf.DUMMYFUNCTION("""COMPUTED_VALUE"""),423.0)</f>
        <v>423</v>
      </c>
      <c r="V451" s="162" t="s">
        <v>3311</v>
      </c>
      <c r="W451" s="184" t="s">
        <v>6032</v>
      </c>
      <c r="X451" s="28" t="s">
        <v>6033</v>
      </c>
      <c r="Y451" s="32" t="s">
        <v>789</v>
      </c>
      <c r="Z451" s="153" t="s">
        <v>790</v>
      </c>
      <c r="AA451" s="153" t="s">
        <v>790</v>
      </c>
      <c r="AB451" s="158" t="s">
        <v>149</v>
      </c>
      <c r="AC451" s="158" t="s">
        <v>149</v>
      </c>
      <c r="AD451" s="158" t="s">
        <v>149</v>
      </c>
      <c r="AE451" s="158" t="s">
        <v>149</v>
      </c>
      <c r="AF451" s="158" t="s">
        <v>149</v>
      </c>
      <c r="AG451" s="164" t="s">
        <v>149</v>
      </c>
      <c r="AH451" s="158" t="s">
        <v>149</v>
      </c>
      <c r="AI451" s="158" t="s">
        <v>149</v>
      </c>
      <c r="AJ451" s="158" t="s">
        <v>149</v>
      </c>
      <c r="AK451" s="158" t="s">
        <v>149</v>
      </c>
      <c r="AL451" s="3" t="s">
        <v>149</v>
      </c>
      <c r="AM451" s="3" t="s">
        <v>149</v>
      </c>
      <c r="AN451" s="3" t="s">
        <v>149</v>
      </c>
      <c r="AO451" s="156">
        <v>1.0</v>
      </c>
      <c r="AP451" s="156" t="s">
        <v>6037</v>
      </c>
      <c r="AQ451" s="158" t="s">
        <v>1159</v>
      </c>
      <c r="AR451" s="153" t="s">
        <v>3098</v>
      </c>
      <c r="AS451" s="165" t="s">
        <v>3099</v>
      </c>
      <c r="AT451" s="3" t="s">
        <v>149</v>
      </c>
      <c r="AU451" s="3" t="s">
        <v>149</v>
      </c>
    </row>
    <row r="452">
      <c r="A452" s="186">
        <v>226.0</v>
      </c>
      <c r="B452" s="152">
        <v>2023.0</v>
      </c>
      <c r="D452" s="152"/>
      <c r="E452" s="151">
        <v>226.0</v>
      </c>
      <c r="F452" s="129" t="s">
        <v>140</v>
      </c>
      <c r="G452" s="3" t="s">
        <v>6029</v>
      </c>
      <c r="H452" s="8" t="str">
        <f>IFERROR(__xludf.DUMMYFUNCTION("""COMPUTED_VALUE"""),"")</f>
        <v/>
      </c>
      <c r="I452" s="8" t="s">
        <v>6991</v>
      </c>
      <c r="J452" s="8" t="s">
        <v>314</v>
      </c>
      <c r="K452" s="8" t="s">
        <v>315</v>
      </c>
      <c r="L452" s="8" t="s">
        <v>316</v>
      </c>
      <c r="M452" s="8" t="s">
        <v>317</v>
      </c>
      <c r="N452" s="8" t="s">
        <v>6062</v>
      </c>
      <c r="O452" s="8" t="s">
        <v>318</v>
      </c>
      <c r="P452" s="3" t="s">
        <v>149</v>
      </c>
      <c r="Q452" s="3" t="s">
        <v>149</v>
      </c>
      <c r="R452" s="3" t="s">
        <v>149</v>
      </c>
      <c r="S452" s="3" t="s">
        <v>149</v>
      </c>
      <c r="T452" s="8"/>
      <c r="U452" s="8">
        <f>IFERROR(__xludf.DUMMYFUNCTION("""COMPUTED_VALUE"""),424.0)</f>
        <v>424</v>
      </c>
      <c r="V452" s="8"/>
      <c r="W452" s="3"/>
      <c r="X452" s="8"/>
      <c r="Y452" s="8"/>
      <c r="AA452" s="3" t="s">
        <v>149</v>
      </c>
      <c r="AB452" s="3" t="s">
        <v>149</v>
      </c>
      <c r="AC452" s="3" t="s">
        <v>149</v>
      </c>
      <c r="AG452" s="3" t="s">
        <v>149</v>
      </c>
      <c r="AH452" s="3" t="s">
        <v>149</v>
      </c>
      <c r="AI452" s="3" t="s">
        <v>149</v>
      </c>
      <c r="AJ452" s="3" t="s">
        <v>149</v>
      </c>
      <c r="AL452" s="8" t="s">
        <v>325</v>
      </c>
      <c r="AM452" s="8" t="s">
        <v>326</v>
      </c>
      <c r="AN452" s="3" t="s">
        <v>149</v>
      </c>
      <c r="AO452" s="8"/>
      <c r="AP452" s="8"/>
      <c r="AR452" s="8" t="s">
        <v>166</v>
      </c>
      <c r="AS452" s="172" t="s">
        <v>6992</v>
      </c>
      <c r="AT452" s="3" t="s">
        <v>149</v>
      </c>
      <c r="AU452" s="3" t="s">
        <v>149</v>
      </c>
    </row>
    <row r="453">
      <c r="A453" s="186">
        <v>226.0</v>
      </c>
      <c r="B453" s="152">
        <v>2025.0</v>
      </c>
      <c r="C453" s="153" t="str">
        <f>CONCATENATE(D453, "-", M453, "-", A453)
</f>
        <v>2023-PH060412000-226</v>
      </c>
      <c r="D453" s="152">
        <f>IF(OR(F452="Published", F452="Unpublished"), 2023, IF(F452="New", 2025, ""))
</f>
        <v>2023</v>
      </c>
      <c r="E453" s="151">
        <v>226.0</v>
      </c>
      <c r="F453" s="156" t="s">
        <v>140</v>
      </c>
      <c r="G453" s="156" t="s">
        <v>141</v>
      </c>
      <c r="H453" s="153" t="str">
        <f>IFERROR(__xludf.DUMMYFUNCTION("""COMPUTED_VALUE"""),"**Restoration_project** changed from APEC PPSTI-5 to Coral REEFhabilitation Program, **Year of establishment** changed from Unknown to 2022, **Technique/Material Type** changed from Unknown to CNU; coral planting, **Restoration objective** changed from Un"&amp;"known to Preservation of Boracay Island, **Funding agency** changed from Unknown to Boracay Island Water Company, **Implementing institution** changed from Unknown to Boracay Foundation, **Partners_public** changed from Philippine Coast Guard; DOST to MLG"&amp;"U, **Partners_private** changed from Sangkalikasan Producers Cooperative to Boracay Island Water Company; Boracay Business Scuba Diving Schools, **Reference** changed from News/Press Release to Boracay Island Water Company invests in marine life (2022, Ju"&amp;"ne 16). Manila Water. https://www.manilawater.com/corporate/boracay-water/agos/2022-06-16/boracay-island-water-company-invests-in-marine-life, **Website** changed from https://noonbreakbalita.com/2016/4993/filipinnovation-to-effectively-restore-coral-reef"&amp;"s-in-the-philippines/ to https://www.manilawater.com/corporate/boracay-water/agos/2022-06-16/boracay-island-water-company-invests-in-marine-life")</f>
        <v>**Restoration_project** changed from APEC PPSTI-5 to Coral REEFhabilitation Program, **Year of establishment** changed from Unknown to 2022, **Technique/Material Type** changed from Unknown to CNU; coral planting, **Restoration objective** changed from Unknown to Preservation of Boracay Island, **Funding agency** changed from Unknown to Boracay Island Water Company, **Implementing institution** changed from Unknown to Boracay Foundation, **Partners_public** changed from Philippine Coast Guard; DOST to MLGU, **Partners_private** changed from Sangkalikasan Producers Cooperative to Boracay Island Water Company; Boracay Business Scuba Diving Schools, **Reference** changed from News/Press Release to Boracay Island Water Company invests in marine life (2022, June 16). Manila Water. https://www.manilawater.com/corporate/boracay-water/agos/2022-06-16/boracay-island-water-company-invests-in-marine-life, **Website** changed from https://noonbreakbalita.com/2016/4993/filipinnovation-to-effectively-restore-coral-reefs-in-the-philippines/ to https://www.manilawater.com/corporate/boracay-water/agos/2022-06-16/boracay-island-water-company-invests-in-marine-life</v>
      </c>
      <c r="I453" s="153" t="s">
        <v>6993</v>
      </c>
      <c r="J453" s="153" t="s">
        <v>314</v>
      </c>
      <c r="K453" s="153" t="s">
        <v>315</v>
      </c>
      <c r="L453" s="153" t="s">
        <v>316</v>
      </c>
      <c r="M453" s="181" t="s">
        <v>317</v>
      </c>
      <c r="N453" s="153" t="s">
        <v>6062</v>
      </c>
      <c r="O453" s="153" t="s">
        <v>1080</v>
      </c>
      <c r="P453" s="3" t="s">
        <v>149</v>
      </c>
      <c r="Q453" s="169">
        <v>2022.0</v>
      </c>
      <c r="R453" s="160" t="s">
        <v>149</v>
      </c>
      <c r="S453" s="160" t="s">
        <v>149</v>
      </c>
      <c r="T453" s="156" t="s">
        <v>177</v>
      </c>
      <c r="U453" s="153">
        <f>IFERROR(__xludf.DUMMYFUNCTION("""COMPUTED_VALUE"""),425.0)</f>
        <v>425</v>
      </c>
      <c r="V453" s="191" t="s">
        <v>1359</v>
      </c>
      <c r="W453" s="179" t="s">
        <v>6066</v>
      </c>
      <c r="X453" s="180"/>
      <c r="Y453" s="180" t="s">
        <v>154</v>
      </c>
      <c r="Z453" s="153" t="s">
        <v>179</v>
      </c>
      <c r="AA453" s="153" t="s">
        <v>730</v>
      </c>
      <c r="AB453" s="153" t="s">
        <v>6978</v>
      </c>
      <c r="AC453" s="153" t="s">
        <v>1084</v>
      </c>
      <c r="AD453" s="158" t="s">
        <v>160</v>
      </c>
      <c r="AE453" s="158" t="s">
        <v>184</v>
      </c>
      <c r="AF453" s="158" t="s">
        <v>159</v>
      </c>
      <c r="AG453" s="164" t="s">
        <v>149</v>
      </c>
      <c r="AH453" s="158" t="s">
        <v>149</v>
      </c>
      <c r="AI453" s="158" t="s">
        <v>149</v>
      </c>
      <c r="AJ453" s="153" t="s">
        <v>739</v>
      </c>
      <c r="AK453" s="158" t="s">
        <v>306</v>
      </c>
      <c r="AL453" s="153" t="s">
        <v>369</v>
      </c>
      <c r="AM453" s="153" t="s">
        <v>1085</v>
      </c>
      <c r="AN453" s="3" t="s">
        <v>149</v>
      </c>
      <c r="AO453" s="156">
        <v>1.0</v>
      </c>
      <c r="AP453" s="156" t="s">
        <v>6037</v>
      </c>
      <c r="AQ453" s="158" t="s">
        <v>166</v>
      </c>
      <c r="AR453" s="153" t="s">
        <v>1086</v>
      </c>
      <c r="AS453" s="165" t="s">
        <v>6979</v>
      </c>
      <c r="AT453" s="3" t="s">
        <v>149</v>
      </c>
      <c r="AU453" s="3" t="s">
        <v>149</v>
      </c>
    </row>
    <row r="454">
      <c r="A454" s="186">
        <v>227.0</v>
      </c>
      <c r="B454" s="152">
        <v>2023.0</v>
      </c>
      <c r="D454" s="152"/>
      <c r="E454" s="151">
        <v>227.0</v>
      </c>
      <c r="F454" s="129" t="s">
        <v>140</v>
      </c>
      <c r="G454" s="3" t="s">
        <v>6029</v>
      </c>
      <c r="H454" s="8" t="str">
        <f>IFERROR(__xludf.DUMMYFUNCTION("""COMPUTED_VALUE"""),"")</f>
        <v/>
      </c>
      <c r="I454" s="8" t="s">
        <v>6994</v>
      </c>
      <c r="J454" s="8" t="s">
        <v>314</v>
      </c>
      <c r="K454" s="8" t="s">
        <v>315</v>
      </c>
      <c r="L454" s="8" t="s">
        <v>316</v>
      </c>
      <c r="M454" s="8" t="s">
        <v>317</v>
      </c>
      <c r="N454" s="8" t="s">
        <v>151</v>
      </c>
      <c r="O454" s="8" t="s">
        <v>850</v>
      </c>
      <c r="P454" s="3" t="s">
        <v>149</v>
      </c>
      <c r="Q454" s="142" t="s">
        <v>6151</v>
      </c>
      <c r="R454" s="3" t="s">
        <v>149</v>
      </c>
      <c r="S454" s="3" t="s">
        <v>149</v>
      </c>
      <c r="T454" s="8"/>
      <c r="U454" s="8">
        <f>IFERROR(__xludf.DUMMYFUNCTION("""COMPUTED_VALUE"""),426.0)</f>
        <v>426</v>
      </c>
      <c r="V454" s="8"/>
      <c r="W454" s="3"/>
      <c r="X454" s="8"/>
      <c r="Y454" s="8"/>
      <c r="AA454" s="3" t="s">
        <v>851</v>
      </c>
      <c r="AB454" s="3" t="s">
        <v>149</v>
      </c>
      <c r="AC454" s="8" t="s">
        <v>852</v>
      </c>
      <c r="AG454" s="3" t="s">
        <v>149</v>
      </c>
      <c r="AH454" s="3" t="s">
        <v>149</v>
      </c>
      <c r="AI454" s="3" t="s">
        <v>149</v>
      </c>
      <c r="AJ454" s="8" t="s">
        <v>326</v>
      </c>
      <c r="AL454" s="3" t="s">
        <v>149</v>
      </c>
      <c r="AM454" s="8" t="s">
        <v>854</v>
      </c>
      <c r="AN454" s="3" t="s">
        <v>149</v>
      </c>
      <c r="AO454" s="8"/>
      <c r="AP454" s="8"/>
      <c r="AR454" s="8" t="s">
        <v>6517</v>
      </c>
      <c r="AS454" s="8" t="s">
        <v>6995</v>
      </c>
      <c r="AT454" s="3" t="s">
        <v>149</v>
      </c>
      <c r="AU454" s="3" t="s">
        <v>149</v>
      </c>
    </row>
    <row r="455">
      <c r="A455" s="186">
        <v>227.0</v>
      </c>
      <c r="B455" s="152">
        <v>2025.0</v>
      </c>
      <c r="C455" s="153" t="str">
        <f>CONCATENATE(D455, "-", M455, "-", A455)
</f>
        <v>2023-PH060412000-227</v>
      </c>
      <c r="D455" s="152">
        <f>IF(OR(F454="Published", F454="Unpublished"), 2023, IF(F454="New", 2025, ""))
</f>
        <v>2023</v>
      </c>
      <c r="E455" s="151">
        <v>227.0</v>
      </c>
      <c r="F455" s="156" t="s">
        <v>140</v>
      </c>
      <c r="G455" s="156" t="s">
        <v>141</v>
      </c>
      <c r="H455" s="153" t="str">
        <f>IFERROR(__xludf.DUMMYFUNCTION("""COMPUTED_VALUE"""),"**Restoration_project** changed from Code Blue to Boracay Beach Management Program, **Restoration_project_short** changed from Unknown to coral nursery using PVC nets; established near Crocodile Island, **Year of establishment** changed from 2012 to 2010,"&amp;" **Restoration method** changed from Artificial Reef to Asexual Reproduction, **Technique/Material Type** changed from Reefbuds to CNU; coral planting, **Funding agency** changed from Loren Legarda Foundation to Petron Foundation; San Miguel Corp., **Impl"&amp;"ementing institution** changed from Sangkalikasan Producers Cooperative to Boracay Foundation, **Partners_public** changed from Unknown to MLGU, **Partners_private** changed from Dr. Harald Kremnitz; Boracay Assoc. of SCUBA diving schools to Petron Founda"&amp;"tion; San Miguel Corp., **Reference** changed from Feature to Artificial reef dome deployment in Boracay (2012, January 26). Gadgets Magazine. https://gadgetsmagazine.com.ph/technology/artificial-reef-dome-deployment-in-boracay, **Website** changed from h"&amp;"ttps://sites.google.com/a/islandecosystems.org/gics; https://newsinfo.inquirer.net/140121/5000-%E2%80%98reefbuds%E2%80%99-to-repair-boracay%E2%80%99s-coral-reef-system to https://gadgetsmagazine.com.ph/technology/artificial-reef-dome-deployment-in-boracay")</f>
        <v>**Restoration_project** changed from Code Blue to Boracay Beach Management Program, **Restoration_project_short** changed from Unknown to coral nursery using PVC nets; established near Crocodile Island, **Year of establishment** changed from 2012 to 2010, **Restoration method** changed from Artificial Reef to Asexual Reproduction, **Technique/Material Type** changed from Reefbuds to CNU; coral planting, **Funding agency** changed from Loren Legarda Foundation to Petron Foundation; San Miguel Corp., **Implementing institution** changed from Sangkalikasan Producers Cooperative to Boracay Foundation, **Partners_public** changed from Unknown to MLGU, **Partners_private** changed from Dr. Harald Kremnitz; Boracay Assoc. of SCUBA diving schools to Petron Foundation; San Miguel Corp., **Reference** changed from Feature to Artificial reef dome deployment in Boracay (2012, January 26). Gadgets Magazine. https://gadgetsmagazine.com.ph/technology/artificial-reef-dome-deployment-in-boracay, **Website** changed from https://sites.google.com/a/islandecosystems.org/gics; https://newsinfo.inquirer.net/140121/5000-%E2%80%98reefbuds%E2%80%99-to-repair-boracay%E2%80%99s-coral-reef-system to https://gadgetsmagazine.com.ph/technology/artificial-reef-dome-deployment-in-boracay</v>
      </c>
      <c r="I455" s="153" t="s">
        <v>6996</v>
      </c>
      <c r="J455" s="153" t="s">
        <v>314</v>
      </c>
      <c r="K455" s="153" t="s">
        <v>315</v>
      </c>
      <c r="L455" s="153" t="s">
        <v>316</v>
      </c>
      <c r="M455" s="181" t="s">
        <v>317</v>
      </c>
      <c r="N455" s="153" t="s">
        <v>6062</v>
      </c>
      <c r="O455" s="153" t="s">
        <v>736</v>
      </c>
      <c r="P455" s="153" t="s">
        <v>6997</v>
      </c>
      <c r="Q455" s="169">
        <v>2010.0</v>
      </c>
      <c r="R455" s="160" t="s">
        <v>149</v>
      </c>
      <c r="S455" s="160" t="s">
        <v>149</v>
      </c>
      <c r="T455" s="156" t="s">
        <v>177</v>
      </c>
      <c r="U455" s="153">
        <f>IFERROR(__xludf.DUMMYFUNCTION("""COMPUTED_VALUE"""),427.0)</f>
        <v>427</v>
      </c>
      <c r="V455" s="191" t="s">
        <v>1359</v>
      </c>
      <c r="W455" s="179" t="s">
        <v>6066</v>
      </c>
      <c r="X455" s="180"/>
      <c r="Y455" s="180" t="s">
        <v>154</v>
      </c>
      <c r="Z455" s="153" t="s">
        <v>179</v>
      </c>
      <c r="AA455" s="153" t="s">
        <v>730</v>
      </c>
      <c r="AB455" s="158" t="s">
        <v>149</v>
      </c>
      <c r="AC455" s="153" t="s">
        <v>738</v>
      </c>
      <c r="AD455" s="158" t="s">
        <v>160</v>
      </c>
      <c r="AE455" s="158" t="s">
        <v>184</v>
      </c>
      <c r="AF455" s="158" t="s">
        <v>159</v>
      </c>
      <c r="AG455" s="164" t="s">
        <v>149</v>
      </c>
      <c r="AH455" s="158" t="s">
        <v>149</v>
      </c>
      <c r="AI455" s="158" t="s">
        <v>149</v>
      </c>
      <c r="AJ455" s="153" t="s">
        <v>739</v>
      </c>
      <c r="AK455" s="158" t="s">
        <v>306</v>
      </c>
      <c r="AL455" s="153" t="s">
        <v>369</v>
      </c>
      <c r="AM455" s="153" t="s">
        <v>738</v>
      </c>
      <c r="AN455" s="3" t="s">
        <v>149</v>
      </c>
      <c r="AO455" s="156">
        <v>1.0</v>
      </c>
      <c r="AP455" s="156" t="s">
        <v>6037</v>
      </c>
      <c r="AQ455" s="158" t="s">
        <v>166</v>
      </c>
      <c r="AR455" s="153" t="s">
        <v>6998</v>
      </c>
      <c r="AS455" s="165" t="s">
        <v>741</v>
      </c>
      <c r="AT455" s="3" t="s">
        <v>149</v>
      </c>
      <c r="AU455" s="3" t="s">
        <v>149</v>
      </c>
    </row>
    <row r="456">
      <c r="A456" s="186">
        <v>228.0</v>
      </c>
      <c r="B456" s="152">
        <v>2023.0</v>
      </c>
      <c r="D456" s="152"/>
      <c r="E456" s="151">
        <v>228.0</v>
      </c>
      <c r="F456" s="129" t="s">
        <v>140</v>
      </c>
      <c r="G456" s="3" t="s">
        <v>6029</v>
      </c>
      <c r="H456" s="8" t="str">
        <f>IFERROR(__xludf.DUMMYFUNCTION("""COMPUTED_VALUE"""),"")</f>
        <v/>
      </c>
      <c r="I456" s="8" t="s">
        <v>6999</v>
      </c>
      <c r="J456" s="8" t="s">
        <v>314</v>
      </c>
      <c r="K456" s="8" t="s">
        <v>315</v>
      </c>
      <c r="L456" s="8" t="s">
        <v>316</v>
      </c>
      <c r="M456" s="8" t="s">
        <v>317</v>
      </c>
      <c r="N456" s="8" t="s">
        <v>6062</v>
      </c>
      <c r="O456" s="8" t="s">
        <v>1174</v>
      </c>
      <c r="P456" s="3" t="s">
        <v>149</v>
      </c>
      <c r="Q456" s="3" t="s">
        <v>149</v>
      </c>
      <c r="R456" s="142" t="s">
        <v>6151</v>
      </c>
      <c r="S456" s="142" t="s">
        <v>6089</v>
      </c>
      <c r="T456" s="8"/>
      <c r="U456" s="8">
        <f>IFERROR(__xludf.DUMMYFUNCTION("""COMPUTED_VALUE"""),428.0)</f>
        <v>428</v>
      </c>
      <c r="V456" s="8"/>
      <c r="W456" s="8"/>
      <c r="X456" s="8"/>
      <c r="Y456" s="8"/>
      <c r="AA456" s="8" t="s">
        <v>320</v>
      </c>
      <c r="AB456" s="3" t="s">
        <v>149</v>
      </c>
      <c r="AC456" s="8" t="s">
        <v>321</v>
      </c>
      <c r="AG456" s="3" t="s">
        <v>149</v>
      </c>
      <c r="AH456" s="3" t="s">
        <v>149</v>
      </c>
      <c r="AI456" s="8" t="s">
        <v>1267</v>
      </c>
      <c r="AJ456" s="8" t="s">
        <v>885</v>
      </c>
      <c r="AL456" s="3" t="s">
        <v>149</v>
      </c>
      <c r="AM456" s="8" t="s">
        <v>1204</v>
      </c>
      <c r="AN456" s="3" t="s">
        <v>149</v>
      </c>
      <c r="AO456" s="8"/>
      <c r="AP456" s="8"/>
      <c r="AR456" s="8" t="s">
        <v>6069</v>
      </c>
      <c r="AS456" s="3" t="s">
        <v>149</v>
      </c>
      <c r="AT456" s="3" t="s">
        <v>149</v>
      </c>
      <c r="AU456" s="3" t="s">
        <v>149</v>
      </c>
    </row>
    <row r="457" ht="13.5" customHeight="1">
      <c r="A457" s="186">
        <v>228.0</v>
      </c>
      <c r="B457" s="152">
        <v>2025.0</v>
      </c>
      <c r="C457" s="153" t="str">
        <f t="shared" ref="C457:C458" si="49">CONCATENATE(D457, "-", M457, "-", A457)
</f>
        <v>2023-PH060412000-228</v>
      </c>
      <c r="D457" s="152">
        <f t="shared" ref="D457:D458" si="50">IF(OR(F456="Published", F456="Unpublished"), 2023, IF(F456="New", 2025, ""))
</f>
        <v>2023</v>
      </c>
      <c r="E457" s="151">
        <v>228.0</v>
      </c>
      <c r="F457" s="156" t="s">
        <v>140</v>
      </c>
      <c r="G457" s="156" t="s">
        <v>141</v>
      </c>
      <c r="H457" s="153" t="str">
        <f>IFERROR(__xludf.DUMMYFUNCTION("""COMPUTED_VALUE"""),"**Restoration_project** changed from Filipinnovation on Coral Reef Restoration to Boracay Beach Management Program, **Restoration_project_short** changed from Unknown to coral nursery near Balinghai snorkeling area; reef domes in Boracay shoreline, **Year"&amp;" of establishment** changed from Unknown to 2011, **Project Start** changed from 2012 to Unknown, **Project End** changed from 2013 to Unknown, **Restoration method** changed from Asexual Reproduction to Artificial Reef, **Technique/Material Type** change"&amp;"d from CNU to Unknown, **Funding agency** changed from DOST-PCAARRD to Petron Foundation, **Total units** changed from 36 CNUs/12,998 COPs to Unknown, **Implementing institution** changed from University of San Carlos to Boracay Foundation, **Partners_pub"&amp;"lic** changed from Unknown to MLGU, **Partners_private** changed from Aklan State University to Unknown, **Reference** changed from Briefer Report to Artificial reef dome deployment in Boracay (2012, January 26). Gadgets Magazine. https://gadgetsmagazine."&amp;"com.ph/technology/artificial-reef-dome-deployment-in-boracay, **Website** changed from Unknown to https://gadgetsmagazine.com.ph/technology/artificial-reef-dome-deployment-in-boracay")</f>
        <v>**Restoration_project** changed from Filipinnovation on Coral Reef Restoration to Boracay Beach Management Program, **Restoration_project_short** changed from Unknown to coral nursery near Balinghai snorkeling area; reef domes in Boracay shoreline, **Year of establishment** changed from Unknown to 2011, **Project Start** changed from 2012 to Unknown, **Project End** changed from 2013 to Unknown, **Restoration method** changed from Asexual Reproduction to Artificial Reef, **Technique/Material Type** changed from CNU to Unknown, **Funding agency** changed from DOST-PCAARRD to Petron Foundation, **Total units** changed from 36 CNUs/12,998 COPs to Unknown, **Implementing institution** changed from University of San Carlos to Boracay Foundation, **Partners_public** changed from Unknown to MLGU, **Partners_private** changed from Aklan State University to Unknown, **Reference** changed from Briefer Report to Artificial reef dome deployment in Boracay (2012, January 26). Gadgets Magazine. https://gadgetsmagazine.com.ph/technology/artificial-reef-dome-deployment-in-boracay, **Website** changed from Unknown to https://gadgetsmagazine.com.ph/technology/artificial-reef-dome-deployment-in-boracay</v>
      </c>
      <c r="I457" s="153" t="s">
        <v>7000</v>
      </c>
      <c r="J457" s="153" t="s">
        <v>314</v>
      </c>
      <c r="K457" s="153" t="s">
        <v>315</v>
      </c>
      <c r="L457" s="153" t="s">
        <v>316</v>
      </c>
      <c r="M457" s="181" t="s">
        <v>317</v>
      </c>
      <c r="N457" s="153" t="s">
        <v>151</v>
      </c>
      <c r="O457" s="153" t="s">
        <v>736</v>
      </c>
      <c r="P457" s="153" t="s">
        <v>7001</v>
      </c>
      <c r="Q457" s="169">
        <v>2011.0</v>
      </c>
      <c r="R457" s="160" t="s">
        <v>149</v>
      </c>
      <c r="S457" s="160" t="s">
        <v>149</v>
      </c>
      <c r="T457" s="161" t="s">
        <v>150</v>
      </c>
      <c r="U457" s="153">
        <f>IFERROR(__xludf.DUMMYFUNCTION("""COMPUTED_VALUE"""),429.0)</f>
        <v>429</v>
      </c>
      <c r="V457" s="162" t="s">
        <v>3311</v>
      </c>
      <c r="W457" s="187" t="s">
        <v>149</v>
      </c>
      <c r="X457" s="184"/>
      <c r="Y457" s="184" t="s">
        <v>149</v>
      </c>
      <c r="Z457" s="158" t="s">
        <v>149</v>
      </c>
      <c r="AA457" s="158" t="s">
        <v>149</v>
      </c>
      <c r="AB457" s="158" t="s">
        <v>149</v>
      </c>
      <c r="AC457" s="153" t="s">
        <v>745</v>
      </c>
      <c r="AD457" s="158" t="s">
        <v>160</v>
      </c>
      <c r="AE457" s="158" t="s">
        <v>184</v>
      </c>
      <c r="AF457" s="158" t="s">
        <v>159</v>
      </c>
      <c r="AG457" s="164" t="s">
        <v>149</v>
      </c>
      <c r="AH457" s="158" t="s">
        <v>149</v>
      </c>
      <c r="AI457" s="158" t="s">
        <v>149</v>
      </c>
      <c r="AJ457" s="153" t="s">
        <v>739</v>
      </c>
      <c r="AK457" s="158" t="s">
        <v>306</v>
      </c>
      <c r="AL457" s="153" t="s">
        <v>369</v>
      </c>
      <c r="AM457" s="3" t="s">
        <v>149</v>
      </c>
      <c r="AN457" s="3" t="s">
        <v>149</v>
      </c>
      <c r="AO457" s="156">
        <v>1.0</v>
      </c>
      <c r="AP457" s="156" t="s">
        <v>6037</v>
      </c>
      <c r="AQ457" s="158" t="s">
        <v>166</v>
      </c>
      <c r="AR457" s="153" t="s">
        <v>6998</v>
      </c>
      <c r="AS457" s="165" t="s">
        <v>741</v>
      </c>
      <c r="AT457" s="3" t="s">
        <v>149</v>
      </c>
      <c r="AU457" s="3" t="s">
        <v>149</v>
      </c>
    </row>
    <row r="458">
      <c r="A458" s="186">
        <v>229.0</v>
      </c>
      <c r="B458" s="152">
        <v>2025.0</v>
      </c>
      <c r="C458" s="153" t="str">
        <f t="shared" si="49"/>
        <v>2023-PH060412000-229</v>
      </c>
      <c r="D458" s="152">
        <f t="shared" si="50"/>
        <v>2023</v>
      </c>
      <c r="E458" s="151">
        <v>229.0</v>
      </c>
      <c r="F458" s="156" t="s">
        <v>140</v>
      </c>
      <c r="G458" s="156" t="s">
        <v>141</v>
      </c>
      <c r="H458" s="153" t="str">
        <f>IFERROR(__xludf.DUMMYFUNCTION("""COMPUTED_VALUE"""),"**Restoration_project** changed from Boracay Beach Management Program to Unknown, **Restoration_project_short** changed from coral nursery near Balinghai snorkeling area; reef domes in Boracay shoreline to (*Mention of Rotary Club Boracay installing ""ree"&amp;"fballs""), **Year of establishment** changed from 2011 to Unknown, **Technique/Material Type** changed from Unknown to Reef ball, **Funding agency** changed from Petron Foundation to Rotary Club Boracay, **Total units** changed from Unknown to 250 reef ba"&amp;"lls, **Implementing institution** changed from Boracay Foundation to Rotary Club Boracay, **Partners_public** changed from MLGU to Unknown, **Reference** changed from Artificial reef dome deployment in Boracay (2012, January 26). Gadgets Magazine. https:/"&amp;"/gadgetsmagazine.com.ph/technology/artificial-reef-dome-deployment-in-boracay to Boracay Rotary Club Reef Ball Project (n.d.). Reef Ball Foundation. http://www.reefball.org/album/philippines/boracayreef/index.html, **Website** changed from https://gadgets"&amp;"magazine.com.ph/technology/artificial-reef-dome-deployment-in-boracay to http://www.reefball.org/album/philippines/boracayreef/index.html")</f>
        <v>**Restoration_project** changed from Boracay Beach Management Program to Unknown, **Restoration_project_short** changed from coral nursery near Balinghai snorkeling area; reef domes in Boracay shoreline to (*Mention of Rotary Club Boracay installing "reefballs"), **Year of establishment** changed from 2011 to Unknown, **Technique/Material Type** changed from Unknown to Reef ball, **Funding agency** changed from Petron Foundation to Rotary Club Boracay, **Total units** changed from Unknown to 250 reef balls, **Implementing institution** changed from Boracay Foundation to Rotary Club Boracay, **Partners_public** changed from MLGU to Unknown, **Reference** changed from Artificial reef dome deployment in Boracay (2012, January 26). Gadgets Magazine. https://gadgetsmagazine.com.ph/technology/artificial-reef-dome-deployment-in-boracay to Boracay Rotary Club Reef Ball Project (n.d.). Reef Ball Foundation. http://www.reefball.org/album/philippines/boracayreef/index.html, **Website** changed from https://gadgetsmagazine.com.ph/technology/artificial-reef-dome-deployment-in-boracay to http://www.reefball.org/album/philippines/boracayreef/index.html</v>
      </c>
      <c r="I458" s="153" t="s">
        <v>7002</v>
      </c>
      <c r="J458" s="153" t="s">
        <v>314</v>
      </c>
      <c r="K458" s="153" t="s">
        <v>315</v>
      </c>
      <c r="L458" s="153" t="s">
        <v>316</v>
      </c>
      <c r="M458" s="181" t="s">
        <v>317</v>
      </c>
      <c r="N458" s="153" t="s">
        <v>151</v>
      </c>
      <c r="O458" s="158" t="s">
        <v>149</v>
      </c>
      <c r="P458" s="153" t="s">
        <v>6987</v>
      </c>
      <c r="Q458" s="178" t="s">
        <v>149</v>
      </c>
      <c r="R458" s="160" t="s">
        <v>149</v>
      </c>
      <c r="S458" s="160" t="s">
        <v>149</v>
      </c>
      <c r="T458" s="161" t="s">
        <v>150</v>
      </c>
      <c r="U458" s="153">
        <f>IFERROR(__xludf.DUMMYFUNCTION("""COMPUTED_VALUE"""),430.0)</f>
        <v>430</v>
      </c>
      <c r="V458" s="162" t="s">
        <v>3311</v>
      </c>
      <c r="W458" s="184" t="s">
        <v>6032</v>
      </c>
      <c r="X458" s="28" t="s">
        <v>6033</v>
      </c>
      <c r="Y458" s="32" t="s">
        <v>337</v>
      </c>
      <c r="Z458" s="153" t="s">
        <v>337</v>
      </c>
      <c r="AA458" s="158" t="s">
        <v>337</v>
      </c>
      <c r="AB458" s="158" t="s">
        <v>149</v>
      </c>
      <c r="AC458" s="153" t="s">
        <v>3103</v>
      </c>
      <c r="AD458" s="158" t="s">
        <v>160</v>
      </c>
      <c r="AE458" s="158" t="s">
        <v>271</v>
      </c>
      <c r="AF458" s="158" t="s">
        <v>159</v>
      </c>
      <c r="AG458" s="164" t="s">
        <v>149</v>
      </c>
      <c r="AH458" s="158" t="s">
        <v>149</v>
      </c>
      <c r="AI458" s="153" t="s">
        <v>3104</v>
      </c>
      <c r="AJ458" s="153" t="s">
        <v>3103</v>
      </c>
      <c r="AK458" s="153" t="s">
        <v>271</v>
      </c>
      <c r="AL458" s="3" t="s">
        <v>149</v>
      </c>
      <c r="AM458" s="3" t="s">
        <v>149</v>
      </c>
      <c r="AN458" s="3" t="s">
        <v>149</v>
      </c>
      <c r="AO458" s="156">
        <v>1.0</v>
      </c>
      <c r="AP458" s="156" t="s">
        <v>6037</v>
      </c>
      <c r="AQ458" s="153" t="s">
        <v>7003</v>
      </c>
      <c r="AR458" s="153" t="s">
        <v>3105</v>
      </c>
      <c r="AS458" s="165" t="s">
        <v>3106</v>
      </c>
      <c r="AT458" s="3" t="s">
        <v>149</v>
      </c>
      <c r="AU458" s="3" t="s">
        <v>149</v>
      </c>
    </row>
    <row r="459" ht="15.0" customHeight="1">
      <c r="A459" s="186">
        <v>229.0</v>
      </c>
      <c r="B459" s="152">
        <v>2023.0</v>
      </c>
      <c r="D459" s="152"/>
      <c r="E459" s="151">
        <v>229.0</v>
      </c>
      <c r="F459" s="129" t="s">
        <v>140</v>
      </c>
      <c r="G459" s="3" t="s">
        <v>6029</v>
      </c>
      <c r="H459" s="8" t="str">
        <f>IFERROR(__xludf.DUMMYFUNCTION("""COMPUTED_VALUE"""),"")</f>
        <v/>
      </c>
      <c r="I459" s="8" t="s">
        <v>7004</v>
      </c>
      <c r="J459" s="8" t="s">
        <v>314</v>
      </c>
      <c r="K459" s="8" t="s">
        <v>315</v>
      </c>
      <c r="L459" s="8" t="s">
        <v>1199</v>
      </c>
      <c r="M459" s="8" t="s">
        <v>1200</v>
      </c>
      <c r="N459" s="8" t="s">
        <v>6624</v>
      </c>
      <c r="O459" s="8" t="s">
        <v>2237</v>
      </c>
      <c r="P459" s="3" t="s">
        <v>149</v>
      </c>
      <c r="Q459" s="3" t="s">
        <v>149</v>
      </c>
      <c r="R459" s="3" t="s">
        <v>149</v>
      </c>
      <c r="S459" s="3" t="s">
        <v>149</v>
      </c>
      <c r="T459" s="8"/>
      <c r="U459" s="8">
        <f>IFERROR(__xludf.DUMMYFUNCTION("""COMPUTED_VALUE"""),431.0)</f>
        <v>431</v>
      </c>
      <c r="V459" s="8"/>
      <c r="W459" s="8"/>
      <c r="X459" s="8"/>
      <c r="Y459" s="8"/>
      <c r="AA459" s="8" t="s">
        <v>179</v>
      </c>
      <c r="AB459" s="8" t="s">
        <v>2238</v>
      </c>
      <c r="AC459" s="3" t="s">
        <v>149</v>
      </c>
      <c r="AG459" s="3" t="s">
        <v>149</v>
      </c>
      <c r="AH459" s="8" t="s">
        <v>2239</v>
      </c>
      <c r="AI459" s="3" t="s">
        <v>149</v>
      </c>
      <c r="AJ459" s="8" t="s">
        <v>369</v>
      </c>
      <c r="AL459" s="8" t="s">
        <v>390</v>
      </c>
      <c r="AM459" s="3" t="s">
        <v>149</v>
      </c>
      <c r="AN459" s="3" t="s">
        <v>149</v>
      </c>
      <c r="AO459" s="8"/>
      <c r="AP459" s="8"/>
      <c r="AR459" s="8" t="s">
        <v>1159</v>
      </c>
      <c r="AS459" s="8" t="s">
        <v>7005</v>
      </c>
      <c r="AT459" s="3" t="s">
        <v>149</v>
      </c>
      <c r="AU459" s="3" t="s">
        <v>149</v>
      </c>
    </row>
    <row r="460">
      <c r="A460" s="186">
        <v>230.0</v>
      </c>
      <c r="B460" s="152">
        <v>2025.0</v>
      </c>
      <c r="C460" s="153" t="str">
        <f>CONCATENATE(D460, "-", M460, "-", A460)
</f>
        <v>2023-PH060412000-230</v>
      </c>
      <c r="D460" s="152">
        <f>IF(OR(F459="Published", F459="Unpublished"), 2023, IF(F459="New", 2025, ""))
</f>
        <v>2023</v>
      </c>
      <c r="E460" s="151">
        <v>230.0</v>
      </c>
      <c r="F460" s="156" t="s">
        <v>140</v>
      </c>
      <c r="G460" s="156" t="s">
        <v>141</v>
      </c>
      <c r="H460" s="153" t="str">
        <f>IFERROR(__xludf.DUMMYFUNCTION("""COMPUTED_VALUE"""),"**Restoration_project** changed from The Coral Gardening and Reef Rehabilitation Project to APEC PPSTI-5, **Restoration method** changed from Artificial Reef; Asexual Reproduction to Asexual Reproduction, **Technique/Material Type** changed from Coral tra"&amp;"nsplantation to CNU, **Restoration objective** changed from Restore damaged reefs to Unknown, **Funding agency** changed from Unknown to DOST-PCAARRD, **Total area of restoration** changed from 15.36 ha to Unknown, **Implementing institution** changed fro"&amp;"m MLGU to Sangkalikasan Producers Cooperative, DOST, **Partners_public** changed from BFAR to Philippine Coast Guard; DOST, **Partners_private** changed from Unknown to Sangkalikasan Producers Cooperative, **Reference** changed from Unpublished article to"&amp;" Carlos, M. B., Surara, C. A., &amp; Mananghaya, R. A. (2016, February 12). Restoring the country's coral reefs through Filippinovation. DOST-PCAARRD. https://www.pcaarrd.dost.gov.ph/index.php/quick-information-dispatch-qid-articles/restoring-the-country-s-co"&amp;"ral-reefs-through-filipinnovation, **Website** changed from http://repository.seafdec.or.th/bitstream/handle/20.500.12067/882/DicksonAC2004.pdf;jsessionid=EEA396868A0490A721A5E9B77D356436?sequence=1; http://nrife.fra.affrc.go.jp/reprint/gyosyou%20ws.pdf t"&amp;"o https://www.pcaarrd.dost.gov.ph/index.php/quick-information-dispatch-qid-articles/restoring-the-country-s-coral-reefs-through-filipinnovation")</f>
        <v>**Restoration_project** changed from The Coral Gardening and Reef Rehabilitation Project to APEC PPSTI-5, **Restoration method** changed from Artificial Reef; Asexual Reproduction to Asexual Reproduction, **Technique/Material Type** changed from Coral transplantation to CNU, **Restoration objective** changed from Restore damaged reefs to Unknown, **Funding agency** changed from Unknown to DOST-PCAARRD, **Total area of restoration** changed from 15.36 ha to Unknown, **Implementing institution** changed from MLGU to Sangkalikasan Producers Cooperative, DOST, **Partners_public** changed from BFAR to Philippine Coast Guard; DOST, **Partners_private** changed from Unknown to Sangkalikasan Producers Cooperative, **Reference** changed from Unpublished article to Carlos, M. B., Surara, C. A., &amp; Mananghaya, R. A. (2016, February 12). Restoring the country's coral reefs through Filippinovation. DOST-PCAARRD. https://www.pcaarrd.dost.gov.ph/index.php/quick-information-dispatch-qid-articles/restoring-the-country-s-coral-reefs-through-filipinnovation, **Website** changed from http://repository.seafdec.or.th/bitstream/handle/20.500.12067/882/DicksonAC2004.pdf;jsessionid=EEA396868A0490A721A5E9B77D356436?sequence=1; http://nrife.fra.affrc.go.jp/reprint/gyosyou%20ws.pdf to https://www.pcaarrd.dost.gov.ph/index.php/quick-information-dispatch-qid-articles/restoring-the-country-s-coral-reefs-through-filipinnovation</v>
      </c>
      <c r="I460" s="153" t="s">
        <v>7006</v>
      </c>
      <c r="J460" s="153" t="s">
        <v>314</v>
      </c>
      <c r="K460" s="153" t="s">
        <v>315</v>
      </c>
      <c r="L460" s="153" t="s">
        <v>316</v>
      </c>
      <c r="M460" s="181" t="s">
        <v>317</v>
      </c>
      <c r="N460" s="153" t="s">
        <v>6062</v>
      </c>
      <c r="O460" s="153" t="s">
        <v>318</v>
      </c>
      <c r="P460" s="3" t="s">
        <v>149</v>
      </c>
      <c r="Q460" s="178" t="s">
        <v>149</v>
      </c>
      <c r="R460" s="160" t="s">
        <v>149</v>
      </c>
      <c r="S460" s="160" t="s">
        <v>149</v>
      </c>
      <c r="T460" s="156" t="s">
        <v>177</v>
      </c>
      <c r="U460" s="153">
        <f>IFERROR(__xludf.DUMMYFUNCTION("""COMPUTED_VALUE"""),432.0)</f>
        <v>432</v>
      </c>
      <c r="V460" s="191" t="s">
        <v>1359</v>
      </c>
      <c r="W460" s="179" t="s">
        <v>6066</v>
      </c>
      <c r="X460" s="180"/>
      <c r="Y460" s="180" t="s">
        <v>154</v>
      </c>
      <c r="Z460" s="176" t="s">
        <v>320</v>
      </c>
      <c r="AA460" s="176" t="s">
        <v>320</v>
      </c>
      <c r="AB460" s="158" t="s">
        <v>149</v>
      </c>
      <c r="AC460" s="153" t="s">
        <v>321</v>
      </c>
      <c r="AD460" s="158" t="s">
        <v>160</v>
      </c>
      <c r="AE460" s="158" t="s">
        <v>6035</v>
      </c>
      <c r="AF460" s="158" t="s">
        <v>159</v>
      </c>
      <c r="AG460" s="164" t="s">
        <v>149</v>
      </c>
      <c r="AH460" s="158" t="s">
        <v>149</v>
      </c>
      <c r="AI460" s="158" t="s">
        <v>149</v>
      </c>
      <c r="AJ460" s="153" t="s">
        <v>324</v>
      </c>
      <c r="AK460" s="158" t="s">
        <v>271</v>
      </c>
      <c r="AL460" s="153" t="s">
        <v>325</v>
      </c>
      <c r="AM460" s="153" t="s">
        <v>326</v>
      </c>
      <c r="AN460" s="3" t="s">
        <v>149</v>
      </c>
      <c r="AO460" s="156">
        <v>1.0</v>
      </c>
      <c r="AP460" s="156" t="s">
        <v>6037</v>
      </c>
      <c r="AQ460" s="158" t="s">
        <v>166</v>
      </c>
      <c r="AR460" s="153" t="s">
        <v>327</v>
      </c>
      <c r="AS460" s="165" t="s">
        <v>328</v>
      </c>
      <c r="AT460" s="3" t="s">
        <v>149</v>
      </c>
      <c r="AU460" s="3" t="s">
        <v>149</v>
      </c>
    </row>
    <row r="461">
      <c r="A461" s="186">
        <v>230.0</v>
      </c>
      <c r="B461" s="152">
        <v>2023.0</v>
      </c>
      <c r="D461" s="152"/>
      <c r="E461" s="151">
        <v>230.0</v>
      </c>
      <c r="F461" s="129" t="s">
        <v>140</v>
      </c>
      <c r="G461" s="3" t="s">
        <v>6029</v>
      </c>
      <c r="H461" s="8" t="str">
        <f>IFERROR(__xludf.DUMMYFUNCTION("""COMPUTED_VALUE"""),"")</f>
        <v/>
      </c>
      <c r="I461" s="8" t="s">
        <v>7007</v>
      </c>
      <c r="J461" s="8" t="s">
        <v>314</v>
      </c>
      <c r="K461" s="8" t="s">
        <v>315</v>
      </c>
      <c r="L461" s="8" t="s">
        <v>1199</v>
      </c>
      <c r="M461" s="8" t="s">
        <v>1200</v>
      </c>
      <c r="N461" s="8" t="s">
        <v>6062</v>
      </c>
      <c r="O461" s="8" t="s">
        <v>1174</v>
      </c>
      <c r="P461" s="3" t="s">
        <v>149</v>
      </c>
      <c r="Q461" s="3" t="s">
        <v>149</v>
      </c>
      <c r="R461" s="142" t="s">
        <v>6151</v>
      </c>
      <c r="S461" s="142" t="s">
        <v>6089</v>
      </c>
      <c r="T461" s="8"/>
      <c r="U461" s="8">
        <f>IFERROR(__xludf.DUMMYFUNCTION("""COMPUTED_VALUE"""),433.0)</f>
        <v>433</v>
      </c>
      <c r="V461" s="8"/>
      <c r="W461" s="8"/>
      <c r="X461" s="8"/>
      <c r="Y461" s="8"/>
      <c r="AA461" s="8" t="s">
        <v>1201</v>
      </c>
      <c r="AB461" s="8" t="s">
        <v>1202</v>
      </c>
      <c r="AC461" s="8" t="s">
        <v>321</v>
      </c>
      <c r="AG461" s="3" t="s">
        <v>149</v>
      </c>
      <c r="AH461" s="3" t="s">
        <v>149</v>
      </c>
      <c r="AI461" s="8" t="s">
        <v>1203</v>
      </c>
      <c r="AJ461" s="8" t="s">
        <v>885</v>
      </c>
      <c r="AL461" s="8" t="s">
        <v>1204</v>
      </c>
      <c r="AM461" s="3" t="s">
        <v>149</v>
      </c>
      <c r="AN461" s="3" t="s">
        <v>149</v>
      </c>
      <c r="AO461" s="8"/>
      <c r="AP461" s="8"/>
      <c r="AR461" s="8" t="s">
        <v>6069</v>
      </c>
      <c r="AS461" s="3" t="s">
        <v>149</v>
      </c>
      <c r="AT461" s="3" t="s">
        <v>149</v>
      </c>
      <c r="AU461" s="3" t="s">
        <v>149</v>
      </c>
    </row>
    <row r="462">
      <c r="A462" s="186">
        <v>231.0</v>
      </c>
      <c r="B462" s="152">
        <v>2023.0</v>
      </c>
      <c r="D462" s="152"/>
      <c r="E462" s="151">
        <v>231.0</v>
      </c>
      <c r="F462" s="129" t="s">
        <v>140</v>
      </c>
      <c r="G462" s="3" t="s">
        <v>6029</v>
      </c>
      <c r="H462" s="8" t="str">
        <f>IFERROR(__xludf.DUMMYFUNCTION("""COMPUTED_VALUE"""),"")</f>
        <v/>
      </c>
      <c r="I462" s="8" t="s">
        <v>7008</v>
      </c>
      <c r="J462" s="8" t="s">
        <v>314</v>
      </c>
      <c r="K462" s="8" t="s">
        <v>858</v>
      </c>
      <c r="L462" s="8" t="s">
        <v>1296</v>
      </c>
      <c r="M462" s="8" t="s">
        <v>1297</v>
      </c>
      <c r="N462" s="8" t="s">
        <v>6062</v>
      </c>
      <c r="O462" s="8" t="s">
        <v>1174</v>
      </c>
      <c r="P462" s="3" t="s">
        <v>149</v>
      </c>
      <c r="Q462" s="3" t="s">
        <v>149</v>
      </c>
      <c r="R462" s="142" t="s">
        <v>6151</v>
      </c>
      <c r="S462" s="142" t="s">
        <v>6089</v>
      </c>
      <c r="T462" s="8"/>
      <c r="U462" s="8">
        <f>IFERROR(__xludf.DUMMYFUNCTION("""COMPUTED_VALUE"""),434.0)</f>
        <v>434</v>
      </c>
      <c r="V462" s="8"/>
      <c r="W462" s="8"/>
      <c r="X462" s="8"/>
      <c r="Y462" s="8"/>
      <c r="AA462" s="8" t="s">
        <v>1201</v>
      </c>
      <c r="AB462" s="3" t="s">
        <v>149</v>
      </c>
      <c r="AC462" s="8" t="s">
        <v>321</v>
      </c>
      <c r="AG462" s="3" t="s">
        <v>149</v>
      </c>
      <c r="AH462" s="3" t="s">
        <v>149</v>
      </c>
      <c r="AI462" s="8" t="s">
        <v>1298</v>
      </c>
      <c r="AJ462" s="8" t="s">
        <v>885</v>
      </c>
      <c r="AL462" s="8" t="s">
        <v>1299</v>
      </c>
      <c r="AM462" s="3" t="s">
        <v>149</v>
      </c>
      <c r="AN462" s="3" t="s">
        <v>149</v>
      </c>
      <c r="AO462" s="8"/>
      <c r="AP462" s="8"/>
      <c r="AR462" s="8" t="s">
        <v>6069</v>
      </c>
      <c r="AS462" s="3" t="s">
        <v>149</v>
      </c>
      <c r="AT462" s="3" t="s">
        <v>149</v>
      </c>
      <c r="AU462" s="3" t="s">
        <v>149</v>
      </c>
    </row>
    <row r="463">
      <c r="A463" s="186">
        <v>231.0</v>
      </c>
      <c r="B463" s="152">
        <v>2025.0</v>
      </c>
      <c r="C463" s="153" t="str">
        <f>CONCATENATE(D463, "-", M463, "-", A463)
</f>
        <v>2023-PH060412000-231</v>
      </c>
      <c r="D463" s="152">
        <f>IF(OR(F462="Published", F462="Unpublished"), 2023, IF(F462="New", 2025, ""))
</f>
        <v>2023</v>
      </c>
      <c r="E463" s="186">
        <v>231.0</v>
      </c>
      <c r="F463" s="129" t="s">
        <v>140</v>
      </c>
      <c r="G463" s="156" t="s">
        <v>141</v>
      </c>
      <c r="H463" s="153" t="str">
        <f>IFERROR(__xludf.DUMMYFUNCTION("""COMPUTED_VALUE"""),"**Restoration_project** changed from Filipinnovation on Coral Reef Restoration to Code Blue, **Year of establishment** changed from Unknown to 2012, **Project Start** changed from 2012 to Unknown, **Project End** changed from 2013 to Unknown, **Restoratio"&amp;"n method** changed from Asexual Reproduction to Artificial Reef, **Technique/Material Type** changed from CNU; coral transplantation to Reefbuds, **Funding agency** changed from DOST-PCAARRD to Loren Legarda Foundation, **Total units** changed from 12 CNU"&amp;"s/30,710 COPs to 5000 units, **Implementing institution** changed from University of San Carlos to Sangkalikasan Producers Cooperative, **Partners_public** changed from Philippine Army to Unknown, **Partners_private** changed from Unknown to Dr. Harald Kr"&amp;"emnitz; Boracay Assoc. of SCUBA diving schools, **Reference** changed from Briefer Report to Burgos, N. (2012, February 5). 5,000 ""reefbuds"" to repair Boracay's coral reef system. Philippine Daily Inquirer. https://newsinfo.inquirer.net/140121/5000-%E2%"&amp;"80%98reefbuds%E2%80%99-to-repair-boracay%E2%80%99s-coral-reef-system, **Website** changed from Unknown to https://newsinfo.inquirer.net/140121/5000-%E2%80%98reefbuds%E2%80%99-to-repair-boracay%E2%80%99s-coral-reef-system; https://sites.google.com/a/island"&amp;"ecosystems.org/gics;")</f>
        <v>**Restoration_project** changed from Filipinnovation on Coral Reef Restoration to Code Blue, **Year of establishment** changed from Unknown to 2012, **Project Start** changed from 2012 to Unknown, **Project End** changed from 2013 to Unknown, **Restoration method** changed from Asexual Reproduction to Artificial Reef, **Technique/Material Type** changed from CNU; coral transplantation to Reefbuds, **Funding agency** changed from DOST-PCAARRD to Loren Legarda Foundation, **Total units** changed from 12 CNUs/30,710 COPs to 5000 units, **Implementing institution** changed from University of San Carlos to Sangkalikasan Producers Cooperative, **Partners_public** changed from Philippine Army to Unknown, **Partners_private** changed from Unknown to Dr. Harald Kremnitz; Boracay Assoc. of SCUBA diving schools, **Reference** changed from Briefer Report to Burgos, N. (2012, February 5). 5,000 "reefbuds" to repair Boracay's coral reef system. Philippine Daily Inquirer. https://newsinfo.inquirer.net/140121/5000-%E2%80%98reefbuds%E2%80%99-to-repair-boracay%E2%80%99s-coral-reef-system, **Website** changed from Unknown to https://newsinfo.inquirer.net/140121/5000-%E2%80%98reefbuds%E2%80%99-to-repair-boracay%E2%80%99s-coral-reef-system; https://sites.google.com/a/islandecosystems.org/gics;</v>
      </c>
      <c r="I463" s="153" t="s">
        <v>7009</v>
      </c>
      <c r="J463" s="153" t="s">
        <v>314</v>
      </c>
      <c r="K463" s="153" t="s">
        <v>315</v>
      </c>
      <c r="L463" s="153" t="s">
        <v>316</v>
      </c>
      <c r="M463" s="181" t="s">
        <v>317</v>
      </c>
      <c r="N463" s="153" t="s">
        <v>151</v>
      </c>
      <c r="O463" s="153" t="s">
        <v>850</v>
      </c>
      <c r="P463" s="3" t="s">
        <v>149</v>
      </c>
      <c r="Q463" s="169">
        <v>2012.0</v>
      </c>
      <c r="R463" s="160" t="s">
        <v>149</v>
      </c>
      <c r="S463" s="160" t="s">
        <v>149</v>
      </c>
      <c r="T463" s="161" t="s">
        <v>150</v>
      </c>
      <c r="U463" s="153">
        <f>IFERROR(__xludf.DUMMYFUNCTION("""COMPUTED_VALUE"""),435.0)</f>
        <v>435</v>
      </c>
      <c r="V463" s="162" t="s">
        <v>3311</v>
      </c>
      <c r="W463" s="179" t="s">
        <v>6032</v>
      </c>
      <c r="X463" s="28" t="s">
        <v>6033</v>
      </c>
      <c r="Y463" s="32" t="s">
        <v>851</v>
      </c>
      <c r="Z463" s="153" t="s">
        <v>851</v>
      </c>
      <c r="AA463" s="158" t="s">
        <v>851</v>
      </c>
      <c r="AB463" s="158" t="s">
        <v>149</v>
      </c>
      <c r="AC463" s="153" t="s">
        <v>852</v>
      </c>
      <c r="AD463" s="158" t="s">
        <v>160</v>
      </c>
      <c r="AE463" s="158" t="s">
        <v>306</v>
      </c>
      <c r="AF463" s="158" t="s">
        <v>159</v>
      </c>
      <c r="AG463" s="164" t="s">
        <v>149</v>
      </c>
      <c r="AH463" s="158" t="s">
        <v>149</v>
      </c>
      <c r="AI463" s="188" t="s">
        <v>853</v>
      </c>
      <c r="AJ463" s="153" t="s">
        <v>326</v>
      </c>
      <c r="AK463" s="158" t="s">
        <v>271</v>
      </c>
      <c r="AL463" s="3" t="s">
        <v>149</v>
      </c>
      <c r="AM463" s="153" t="s">
        <v>854</v>
      </c>
      <c r="AN463" s="3" t="s">
        <v>149</v>
      </c>
      <c r="AO463" s="156">
        <v>1.0</v>
      </c>
      <c r="AP463" s="156" t="s">
        <v>6037</v>
      </c>
      <c r="AQ463" s="158" t="s">
        <v>166</v>
      </c>
      <c r="AR463" s="153" t="s">
        <v>855</v>
      </c>
      <c r="AS463" s="153" t="s">
        <v>856</v>
      </c>
      <c r="AT463" s="3" t="s">
        <v>149</v>
      </c>
      <c r="AU463" s="3" t="s">
        <v>149</v>
      </c>
    </row>
    <row r="464">
      <c r="A464" s="186">
        <v>232.0</v>
      </c>
      <c r="B464" s="152">
        <v>2023.0</v>
      </c>
      <c r="D464" s="152"/>
      <c r="E464" s="151">
        <v>232.0</v>
      </c>
      <c r="F464" s="129" t="s">
        <v>140</v>
      </c>
      <c r="G464" s="3" t="s">
        <v>6029</v>
      </c>
      <c r="H464" s="8" t="str">
        <f>IFERROR(__xludf.DUMMYFUNCTION("""COMPUTED_VALUE"""),"")</f>
        <v/>
      </c>
      <c r="I464" s="8" t="s">
        <v>7010</v>
      </c>
      <c r="J464" s="8" t="s">
        <v>314</v>
      </c>
      <c r="K464" s="8" t="s">
        <v>858</v>
      </c>
      <c r="L464" s="8" t="s">
        <v>1296</v>
      </c>
      <c r="M464" s="8" t="s">
        <v>1297</v>
      </c>
      <c r="N464" s="3" t="s">
        <v>149</v>
      </c>
      <c r="O464" s="8" t="s">
        <v>6587</v>
      </c>
      <c r="P464" s="3" t="s">
        <v>149</v>
      </c>
      <c r="Q464" s="142" t="s">
        <v>6064</v>
      </c>
      <c r="R464" s="3" t="s">
        <v>149</v>
      </c>
      <c r="S464" s="3" t="s">
        <v>149</v>
      </c>
      <c r="T464" s="3"/>
      <c r="U464" s="8">
        <f>IFERROR(__xludf.DUMMYFUNCTION("""COMPUTED_VALUE"""),436.0)</f>
        <v>436</v>
      </c>
      <c r="V464" s="3"/>
      <c r="W464" s="3"/>
      <c r="X464" s="8"/>
      <c r="Y464" s="8"/>
      <c r="AA464" s="3" t="s">
        <v>149</v>
      </c>
      <c r="AB464" s="8" t="s">
        <v>2147</v>
      </c>
      <c r="AC464" s="3" t="s">
        <v>149</v>
      </c>
      <c r="AG464" s="3" t="s">
        <v>149</v>
      </c>
      <c r="AH464" s="3" t="s">
        <v>149</v>
      </c>
      <c r="AI464" s="3" t="s">
        <v>149</v>
      </c>
      <c r="AJ464" s="3" t="s">
        <v>149</v>
      </c>
      <c r="AL464" s="3" t="s">
        <v>149</v>
      </c>
      <c r="AM464" s="3" t="s">
        <v>149</v>
      </c>
      <c r="AN464" s="3" t="s">
        <v>149</v>
      </c>
      <c r="AO464" s="3"/>
      <c r="AP464" s="3"/>
      <c r="AR464" s="8" t="s">
        <v>6038</v>
      </c>
      <c r="AS464" s="8" t="s">
        <v>2149</v>
      </c>
      <c r="AT464" s="3" t="s">
        <v>149</v>
      </c>
      <c r="AU464" s="3" t="s">
        <v>149</v>
      </c>
    </row>
    <row r="465">
      <c r="A465" s="186">
        <v>232.0</v>
      </c>
      <c r="B465" s="152">
        <v>2025.0</v>
      </c>
      <c r="C465" s="153" t="str">
        <f t="shared" ref="C465:C466" si="51">CONCATENATE(D465, "-", M465, "-", A465)
</f>
        <v>2023-PH060412000-232</v>
      </c>
      <c r="D465" s="152">
        <f t="shared" ref="D465:D466" si="52">IF(OR(F464="Published", F464="Unpublished"), 2023, IF(F464="New", 2025, ""))
</f>
        <v>2023</v>
      </c>
      <c r="E465" s="151">
        <v>232.0</v>
      </c>
      <c r="F465" s="156" t="s">
        <v>140</v>
      </c>
      <c r="G465" s="156" t="s">
        <v>141</v>
      </c>
      <c r="H465" s="153" t="str">
        <f>IFERROR(__xludf.DUMMYFUNCTION("""COMPUTED_VALUE"""),"**Restoration_project** changed from SCREMP to Filipinnovation on Coral Reef Restoration, **Year of establishment** changed from 2016 to Unknown, **Project Start** changed from Unknown to 2012, **Project End** changed from Unknown to 2013, **Restoration m"&amp;"ethod** changed from Unknown to Asexual Reproduction, **Technique/Material Type** changed from Unknown to CNU, **Restoration objective** changed from Coral rehabilitation to Unknown, **Funding agency** changed from Unknown to DOST-PCAARRD, **Total units**"&amp;" changed from Unknown to 36 CNUs/12,998 COPs, **Implementing institution** changed from Unknown to University of San Carlos, **Partners_private** changed from Unknown to Aklan State University, **Reference** changed from Social Media to DOST-PCAARRD (2013"&amp;"f). Project 5-2: Pilot Technology Demonstration on Coral Reef Restoration in Boracay Island, Aklan., **Website** changed from https://web.facebook.com/watch/?v=220661800165072 to Report uploaded in the Google Drive")</f>
        <v>**Restoration_project** changed from SCREMP to Filipinnovation on Coral Reef Restoration, **Year of establishment** changed from 2016 to Unknown, **Project Start** changed from Unknown to 2012, **Project End** changed from Unknown to 2013, **Restoration method** changed from Unknown to Asexual Reproduction, **Technique/Material Type** changed from Unknown to CNU, **Restoration objective** changed from Coral rehabilitation to Unknown, **Funding agency** changed from Unknown to DOST-PCAARRD, **Total units** changed from Unknown to 36 CNUs/12,998 COPs, **Implementing institution** changed from Unknown to University of San Carlos, **Partners_private** changed from Unknown to Aklan State University, **Reference** changed from Social Media to DOST-PCAARRD (2013f). Project 5-2: Pilot Technology Demonstration on Coral Reef Restoration in Boracay Island, Aklan., **Website** changed from https://web.facebook.com/watch/?v=220661800165072 to Report uploaded in the Google Drive</v>
      </c>
      <c r="I465" s="153" t="s">
        <v>7011</v>
      </c>
      <c r="J465" s="153" t="s">
        <v>314</v>
      </c>
      <c r="K465" s="153" t="s">
        <v>315</v>
      </c>
      <c r="L465" s="153" t="s">
        <v>316</v>
      </c>
      <c r="M465" s="181" t="s">
        <v>317</v>
      </c>
      <c r="N465" s="153" t="s">
        <v>6062</v>
      </c>
      <c r="O465" s="153" t="s">
        <v>1174</v>
      </c>
      <c r="P465" s="3" t="s">
        <v>149</v>
      </c>
      <c r="Q465" s="178" t="s">
        <v>149</v>
      </c>
      <c r="R465" s="175" t="s">
        <v>6151</v>
      </c>
      <c r="S465" s="175" t="s">
        <v>6089</v>
      </c>
      <c r="T465" s="156" t="s">
        <v>177</v>
      </c>
      <c r="U465" s="153">
        <f>IFERROR(__xludf.DUMMYFUNCTION("""COMPUTED_VALUE"""),437.0)</f>
        <v>437</v>
      </c>
      <c r="V465" s="191" t="s">
        <v>1359</v>
      </c>
      <c r="W465" s="179" t="s">
        <v>6066</v>
      </c>
      <c r="X465" s="180"/>
      <c r="Y465" s="180" t="s">
        <v>154</v>
      </c>
      <c r="Z465" s="158" t="s">
        <v>179</v>
      </c>
      <c r="AA465" s="153" t="s">
        <v>320</v>
      </c>
      <c r="AB465" s="158" t="s">
        <v>149</v>
      </c>
      <c r="AC465" s="153" t="s">
        <v>321</v>
      </c>
      <c r="AD465" s="158" t="s">
        <v>160</v>
      </c>
      <c r="AE465" s="158" t="s">
        <v>6035</v>
      </c>
      <c r="AF465" s="158" t="s">
        <v>159</v>
      </c>
      <c r="AG465" s="164" t="s">
        <v>149</v>
      </c>
      <c r="AH465" s="158" t="s">
        <v>149</v>
      </c>
      <c r="AI465" s="153" t="s">
        <v>1267</v>
      </c>
      <c r="AJ465" s="153" t="s">
        <v>885</v>
      </c>
      <c r="AK465" s="158" t="s">
        <v>6068</v>
      </c>
      <c r="AL465" s="3" t="s">
        <v>149</v>
      </c>
      <c r="AM465" s="153" t="s">
        <v>1204</v>
      </c>
      <c r="AN465" s="3" t="s">
        <v>149</v>
      </c>
      <c r="AO465" s="156">
        <v>1.0</v>
      </c>
      <c r="AP465" s="156" t="s">
        <v>6037</v>
      </c>
      <c r="AQ465" s="158" t="s">
        <v>6069</v>
      </c>
      <c r="AR465" s="153" t="s">
        <v>1268</v>
      </c>
      <c r="AS465" s="153" t="s">
        <v>6070</v>
      </c>
      <c r="AT465" s="3" t="s">
        <v>149</v>
      </c>
      <c r="AU465" s="3" t="s">
        <v>149</v>
      </c>
    </row>
    <row r="466">
      <c r="A466" s="186">
        <v>233.0</v>
      </c>
      <c r="B466" s="152">
        <v>2025.0</v>
      </c>
      <c r="C466" s="153" t="str">
        <f t="shared" si="51"/>
        <v>2023-PH060414000-233</v>
      </c>
      <c r="D466" s="152">
        <f t="shared" si="52"/>
        <v>2023</v>
      </c>
      <c r="E466" s="151">
        <v>233.0</v>
      </c>
      <c r="F466" s="156" t="s">
        <v>191</v>
      </c>
      <c r="G466" s="156" t="s">
        <v>191</v>
      </c>
      <c r="H466" s="153" t="str">
        <f>IFERROR(__xludf.DUMMYFUNCTION("""COMPUTED_VALUE"""),"**Restoration_project** changed from Filipinnovation on Coral Reef Restoration to Unknown, **Restoration_project_short** changed from Unknown to *Simultaneous deployment during celebration of Aklan Day 2017, **Year of establishment** changed from Unknown "&amp;"to 2017, **Project Start** changed from 2012 to Unknown, **Project End** changed from 2013 to Unknown, **Restoration method** changed from Asexual Reproduction to Artificial Reef, **Technique/Material Type** changed from CNU to Unknown, **Funding agency**"&amp;" changed from DOST-PCAARRD to PLGU, **Total units** changed from 36 CNUs/12,998 COPs to Unknown, **Implementing institution** changed from University of San Carlos to PLGU, **Partners_private** changed from Aklan State University to Unknown, **Reference**"&amp;" changed from DOST-PCAARRD (2013f). Project 5-2: Pilot Technology Demonstration on Coral Reef Restoration in Boracay Island, Aklan. to Panay News (2017, April 25). Aklan turns 61. Panay News. https://www.panaynews.net/aklan-turns-61/, **Website** changed "&amp;"from Report uploaded in the Google Drive to https://www.panaynews.net/aklan-turns-61/")</f>
        <v>**Restoration_project** changed from Filipinnovation on Coral Reef Restoration to Unknown, **Restoration_project_short** changed from Unknown to *Simultaneous deployment during celebration of Aklan Day 2017, **Year of establishment** changed from Unknown to 2017, **Project Start** changed from 2012 to Unknown, **Project End** changed from 2013 to Unknown, **Restoration method** changed from Asexual Reproduction to Artificial Reef, **Technique/Material Type** changed from CNU to Unknown, **Funding agency** changed from DOST-PCAARRD to PLGU, **Total units** changed from 36 CNUs/12,998 COPs to Unknown, **Implementing institution** changed from University of San Carlos to PLGU, **Partners_private** changed from Aklan State University to Unknown, **Reference** changed from DOST-PCAARRD (2013f). Project 5-2: Pilot Technology Demonstration on Coral Reef Restoration in Boracay Island, Aklan. to Panay News (2017, April 25). Aklan turns 61. Panay News. https://www.panaynews.net/aklan-turns-61/, **Website** changed from Report uploaded in the Google Drive to https://www.panaynews.net/aklan-turns-61/</v>
      </c>
      <c r="I466" s="153" t="s">
        <v>7012</v>
      </c>
      <c r="J466" s="153" t="s">
        <v>314</v>
      </c>
      <c r="K466" s="153" t="s">
        <v>315</v>
      </c>
      <c r="L466" s="153" t="s">
        <v>3108</v>
      </c>
      <c r="M466" s="181" t="s">
        <v>3109</v>
      </c>
      <c r="N466" s="153" t="s">
        <v>151</v>
      </c>
      <c r="O466" s="158" t="s">
        <v>149</v>
      </c>
      <c r="P466" s="153" t="s">
        <v>6972</v>
      </c>
      <c r="Q466" s="169">
        <v>2017.0</v>
      </c>
      <c r="R466" s="164" t="s">
        <v>149</v>
      </c>
      <c r="S466" s="164" t="s">
        <v>149</v>
      </c>
      <c r="T466" s="161" t="s">
        <v>150</v>
      </c>
      <c r="U466" s="153">
        <f>IFERROR(__xludf.DUMMYFUNCTION("""COMPUTED_VALUE"""),438.0)</f>
        <v>438</v>
      </c>
      <c r="V466" s="162" t="s">
        <v>3311</v>
      </c>
      <c r="W466" s="187" t="s">
        <v>149</v>
      </c>
      <c r="X466" s="184"/>
      <c r="Y466" s="184" t="s">
        <v>149</v>
      </c>
      <c r="Z466" s="158" t="s">
        <v>149</v>
      </c>
      <c r="AA466" s="158" t="s">
        <v>149</v>
      </c>
      <c r="AB466" s="158" t="s">
        <v>149</v>
      </c>
      <c r="AC466" s="153" t="s">
        <v>158</v>
      </c>
      <c r="AD466" s="158" t="s">
        <v>160</v>
      </c>
      <c r="AE466" s="158" t="s">
        <v>6035</v>
      </c>
      <c r="AF466" s="158" t="s">
        <v>159</v>
      </c>
      <c r="AG466" s="164" t="s">
        <v>149</v>
      </c>
      <c r="AH466" s="158" t="s">
        <v>149</v>
      </c>
      <c r="AI466" s="158" t="s">
        <v>149</v>
      </c>
      <c r="AJ466" s="153" t="s">
        <v>158</v>
      </c>
      <c r="AK466" s="153" t="s">
        <v>6035</v>
      </c>
      <c r="AL466" s="156" t="s">
        <v>149</v>
      </c>
      <c r="AM466" s="156" t="s">
        <v>149</v>
      </c>
      <c r="AN466" s="156" t="s">
        <v>149</v>
      </c>
      <c r="AO466" s="156">
        <v>1.0</v>
      </c>
      <c r="AP466" s="156" t="s">
        <v>6037</v>
      </c>
      <c r="AQ466" s="158" t="s">
        <v>166</v>
      </c>
      <c r="AR466" s="153" t="s">
        <v>3092</v>
      </c>
      <c r="AS466" s="172" t="s">
        <v>3093</v>
      </c>
      <c r="AT466" s="156" t="s">
        <v>149</v>
      </c>
      <c r="AU466" s="156" t="s">
        <v>149</v>
      </c>
    </row>
    <row r="467">
      <c r="A467" s="186">
        <v>233.0</v>
      </c>
      <c r="B467" s="152">
        <v>2023.0</v>
      </c>
      <c r="D467" s="152"/>
      <c r="E467" s="151">
        <v>233.0</v>
      </c>
      <c r="F467" s="129" t="s">
        <v>140</v>
      </c>
      <c r="G467" s="3" t="s">
        <v>6029</v>
      </c>
      <c r="H467" s="8" t="str">
        <f>IFERROR(__xludf.DUMMYFUNCTION("""COMPUTED_VALUE"""),"")</f>
        <v/>
      </c>
      <c r="I467" s="8" t="s">
        <v>7013</v>
      </c>
      <c r="J467" s="8" t="s">
        <v>314</v>
      </c>
      <c r="K467" s="8" t="s">
        <v>858</v>
      </c>
      <c r="L467" s="8" t="s">
        <v>859</v>
      </c>
      <c r="M467" s="8" t="s">
        <v>860</v>
      </c>
      <c r="N467" s="8" t="s">
        <v>151</v>
      </c>
      <c r="O467" s="8" t="s">
        <v>861</v>
      </c>
      <c r="P467" s="3" t="s">
        <v>149</v>
      </c>
      <c r="Q467" s="142" t="s">
        <v>6199</v>
      </c>
      <c r="R467" s="3" t="s">
        <v>149</v>
      </c>
      <c r="S467" s="3" t="s">
        <v>149</v>
      </c>
      <c r="T467" s="8"/>
      <c r="U467" s="8">
        <f>IFERROR(__xludf.DUMMYFUNCTION("""COMPUTED_VALUE"""),439.0)</f>
        <v>439</v>
      </c>
      <c r="V467" s="8"/>
      <c r="W467" s="8"/>
      <c r="X467" s="8"/>
      <c r="Y467" s="8"/>
      <c r="AA467" s="8" t="s">
        <v>3393</v>
      </c>
      <c r="AB467" s="8" t="s">
        <v>866</v>
      </c>
      <c r="AC467" s="3" t="s">
        <v>149</v>
      </c>
      <c r="AG467" s="3" t="s">
        <v>149</v>
      </c>
      <c r="AH467" s="3" t="s">
        <v>149</v>
      </c>
      <c r="AI467" s="8" t="s">
        <v>867</v>
      </c>
      <c r="AJ467" s="8" t="s">
        <v>868</v>
      </c>
      <c r="AL467" s="3" t="s">
        <v>149</v>
      </c>
      <c r="AM467" s="3" t="s">
        <v>149</v>
      </c>
      <c r="AN467" s="3" t="s">
        <v>149</v>
      </c>
      <c r="AO467" s="8"/>
      <c r="AP467" s="8"/>
      <c r="AR467" s="8" t="s">
        <v>395</v>
      </c>
      <c r="AS467" s="8" t="s">
        <v>2873</v>
      </c>
      <c r="AT467" s="8" t="s">
        <v>398</v>
      </c>
      <c r="AU467" s="3" t="s">
        <v>149</v>
      </c>
    </row>
    <row r="468">
      <c r="A468" s="186">
        <v>234.0</v>
      </c>
      <c r="B468" s="152">
        <v>2025.0</v>
      </c>
      <c r="C468" s="153" t="str">
        <f>CONCATENATE(D468, "-", M468, "-", A468)
</f>
        <v>2023-PH060415000-234</v>
      </c>
      <c r="D468" s="152">
        <f>IF(OR(F467="Published", F467="Unpublished"), 2023, IF(F467="New", 2025, ""))
</f>
        <v>2023</v>
      </c>
      <c r="E468" s="151">
        <v>234.0</v>
      </c>
      <c r="F468" s="156" t="s">
        <v>191</v>
      </c>
      <c r="G468" s="156" t="s">
        <v>191</v>
      </c>
      <c r="H468" s="153" t="str">
        <f>IFERROR(__xludf.DUMMYFUNCTION("""COMPUTED_VALUE"""),"**Restoration_project** changed from Community Fishery Resources Management to Unknown, **Restoration_project_short** changed from Unknown to AR already 9 years old by the time of survey in 2003, **Year of establishment** changed from 1994 to Unknown, **T"&amp;"echnique/Material Type** changed from Beams and cylinders to concrete, **Restoration objective** changed from Experimental; Rehabilitation of fish and benthic communities to Unknown, **Total units** changed from 31 modules to Unknown, **Implementing insti"&amp;"tution** changed from Southeast Asian Fisheries Development Center (SEAFDEC) AQD to Unknown, **Reference** changed from Conference Proceeding to Kuhlmann, K. J. (2003). Ecological Evaluation of Near-Shore Spots as Key to Legalize Marine Protected Areas at"&amp;" the Coastline of Aklan, Philippines. https://nsgl.gso.uri.edu/riu/riuc04001/pdffiles/papers/20988.pdf, **Website** changed from http://pubs.iclarm.net/libinfo/Pdf/Pub%20CP6%2049.pdf to https://www.researchgate.net/publication/267416722_ECOLOGICAL_EVALUAT"&amp;"ION_OF_NEAR-SHORE_SPOTS_AS_KEY_TO_LEGALIZE_MARINE_PROTECTED_AREAS_AT_THE_COASTLINE_OF_AKLAN_PHILIPPINES, **Contact_name** changed from Miriam Balgos to Unknown")</f>
        <v>**Restoration_project** changed from Community Fishery Resources Management to Unknown, **Restoration_project_short** changed from Unknown to AR already 9 years old by the time of survey in 2003, **Year of establishment** changed from 1994 to Unknown, **Technique/Material Type** changed from Beams and cylinders to concrete, **Restoration objective** changed from Experimental; Rehabilitation of fish and benthic communities to Unknown, **Total units** changed from 31 modules to Unknown, **Implementing institution** changed from Southeast Asian Fisheries Development Center (SEAFDEC) AQD to Unknown, **Reference** changed from Conference Proceeding to Kuhlmann, K. J. (2003). Ecological Evaluation of Near-Shore Spots as Key to Legalize Marine Protected Areas at the Coastline of Aklan, Philippines. https://nsgl.gso.uri.edu/riu/riuc04001/pdffiles/papers/20988.pdf, **Website** changed from http://pubs.iclarm.net/libinfo/Pdf/Pub%20CP6%2049.pdf to https://www.researchgate.net/publication/267416722_ECOLOGICAL_EVALUATION_OF_NEAR-SHORE_SPOTS_AS_KEY_TO_LEGALIZE_MARINE_PROTECTED_AREAS_AT_THE_COASTLINE_OF_AKLAN_PHILIPPINES, **Contact_name** changed from Miriam Balgos to Unknown</v>
      </c>
      <c r="I468" s="153" t="s">
        <v>7014</v>
      </c>
      <c r="J468" s="153" t="s">
        <v>314</v>
      </c>
      <c r="K468" s="153" t="s">
        <v>315</v>
      </c>
      <c r="L468" s="153" t="s">
        <v>3111</v>
      </c>
      <c r="M468" s="181" t="s">
        <v>3112</v>
      </c>
      <c r="N468" s="153" t="s">
        <v>151</v>
      </c>
      <c r="O468" s="158" t="s">
        <v>149</v>
      </c>
      <c r="P468" s="153" t="s">
        <v>7015</v>
      </c>
      <c r="Q468" s="197" t="s">
        <v>149</v>
      </c>
      <c r="R468" s="164" t="s">
        <v>149</v>
      </c>
      <c r="S468" s="164" t="s">
        <v>149</v>
      </c>
      <c r="T468" s="161" t="s">
        <v>150</v>
      </c>
      <c r="U468" s="153">
        <f>IFERROR(__xludf.DUMMYFUNCTION("""COMPUTED_VALUE"""),440.0)</f>
        <v>440</v>
      </c>
      <c r="V468" s="162" t="s">
        <v>3311</v>
      </c>
      <c r="W468" s="187" t="s">
        <v>149</v>
      </c>
      <c r="X468" s="184"/>
      <c r="Y468" s="184" t="s">
        <v>149</v>
      </c>
      <c r="Z468" s="158" t="s">
        <v>149</v>
      </c>
      <c r="AA468" s="153" t="s">
        <v>3113</v>
      </c>
      <c r="AB468" s="158" t="s">
        <v>149</v>
      </c>
      <c r="AC468" s="158" t="s">
        <v>149</v>
      </c>
      <c r="AD468" s="158" t="s">
        <v>149</v>
      </c>
      <c r="AE468" s="158" t="s">
        <v>149</v>
      </c>
      <c r="AF468" s="158" t="s">
        <v>149</v>
      </c>
      <c r="AG468" s="164" t="s">
        <v>149</v>
      </c>
      <c r="AH468" s="158" t="s">
        <v>149</v>
      </c>
      <c r="AI468" s="158" t="s">
        <v>149</v>
      </c>
      <c r="AJ468" s="158" t="s">
        <v>149</v>
      </c>
      <c r="AK468" s="158" t="s">
        <v>149</v>
      </c>
      <c r="AL468" s="156" t="s">
        <v>149</v>
      </c>
      <c r="AM468" s="156" t="s">
        <v>149</v>
      </c>
      <c r="AN468" s="156" t="s">
        <v>149</v>
      </c>
      <c r="AO468" s="156">
        <v>1.0</v>
      </c>
      <c r="AP468" s="156" t="s">
        <v>6037</v>
      </c>
      <c r="AQ468" s="158" t="s">
        <v>1159</v>
      </c>
      <c r="AR468" s="153" t="s">
        <v>3098</v>
      </c>
      <c r="AS468" s="172" t="s">
        <v>3099</v>
      </c>
      <c r="AT468" s="156" t="s">
        <v>149</v>
      </c>
      <c r="AU468" s="156" t="s">
        <v>149</v>
      </c>
    </row>
    <row r="469">
      <c r="A469" s="186">
        <v>234.0</v>
      </c>
      <c r="B469" s="152">
        <v>2023.0</v>
      </c>
      <c r="D469" s="152"/>
      <c r="E469" s="151">
        <v>234.0</v>
      </c>
      <c r="F469" s="129" t="s">
        <v>140</v>
      </c>
      <c r="G469" s="3" t="s">
        <v>6029</v>
      </c>
      <c r="H469" s="8" t="str">
        <f>IFERROR(__xludf.DUMMYFUNCTION("""COMPUTED_VALUE"""),"")</f>
        <v/>
      </c>
      <c r="I469" s="8" t="s">
        <v>7016</v>
      </c>
      <c r="J469" s="8" t="s">
        <v>314</v>
      </c>
      <c r="K469" s="8" t="s">
        <v>1364</v>
      </c>
      <c r="L469" s="8" t="s">
        <v>3917</v>
      </c>
      <c r="M469" s="8" t="s">
        <v>3131</v>
      </c>
      <c r="N469" s="8" t="s">
        <v>151</v>
      </c>
      <c r="O469" s="3" t="s">
        <v>149</v>
      </c>
      <c r="P469" s="8" t="s">
        <v>7017</v>
      </c>
      <c r="Q469" s="3" t="s">
        <v>149</v>
      </c>
      <c r="R469" s="3" t="s">
        <v>149</v>
      </c>
      <c r="S469" s="3" t="s">
        <v>149</v>
      </c>
      <c r="T469" s="8"/>
      <c r="U469" s="8">
        <f>IFERROR(__xludf.DUMMYFUNCTION("""COMPUTED_VALUE"""),441.0)</f>
        <v>441</v>
      </c>
      <c r="V469" s="8"/>
      <c r="W469" s="8"/>
      <c r="X469" s="8"/>
      <c r="Y469" s="8"/>
      <c r="AA469" s="8" t="s">
        <v>790</v>
      </c>
      <c r="AB469" s="3" t="s">
        <v>149</v>
      </c>
      <c r="AC469" s="8" t="s">
        <v>390</v>
      </c>
      <c r="AG469" s="3" t="s">
        <v>149</v>
      </c>
      <c r="AH469" s="3" t="s">
        <v>149</v>
      </c>
      <c r="AI469" s="3" t="s">
        <v>149</v>
      </c>
      <c r="AJ469" s="8" t="s">
        <v>228</v>
      </c>
      <c r="AL469" s="3" t="s">
        <v>149</v>
      </c>
      <c r="AM469" s="3" t="s">
        <v>149</v>
      </c>
      <c r="AN469" s="3" t="s">
        <v>149</v>
      </c>
      <c r="AO469" s="8"/>
      <c r="AP469" s="8"/>
      <c r="AR469" s="8" t="s">
        <v>6027</v>
      </c>
      <c r="AS469" s="172" t="s">
        <v>3135</v>
      </c>
      <c r="AT469" s="3" t="s">
        <v>149</v>
      </c>
      <c r="AU469" s="3" t="s">
        <v>149</v>
      </c>
    </row>
    <row r="470">
      <c r="A470" s="186">
        <v>235.0</v>
      </c>
      <c r="B470" s="152">
        <v>2025.0</v>
      </c>
      <c r="C470" s="153" t="str">
        <f>CONCATENATE(D470, "-", M470, "-", A470)
</f>
        <v>2023-PH060416000-235</v>
      </c>
      <c r="D470" s="152">
        <f>IF(OR(F469="Published", F469="Unpublished"), 2023, IF(F469="New", 2025, ""))
</f>
        <v>2023</v>
      </c>
      <c r="E470" s="151">
        <v>235.0</v>
      </c>
      <c r="F470" s="156" t="s">
        <v>191</v>
      </c>
      <c r="G470" s="156" t="s">
        <v>191</v>
      </c>
      <c r="H470" s="153" t="str">
        <f>IFERROR(__xludf.DUMMYFUNCTION("""COMPUTED_VALUE"""),"**Restoration_project_short** changed from (*Mention of Roxas City receiving 1M from BFAR for installation of jackstone type Ars) to *Simultaneous deployment during celebration of Aklan Day 2017; Site in Camanci Norte, **Year of establishment** changed fr"&amp;"om Unknown to 2017, **Technique/Material Type** changed from Jackstone to Unknown, **Funding agency** changed from BFAR to PLGU, **Implementing institution** changed from CLGU to PLGU, **Reference** changed from Website to Panay News (2017, April 25). Akl"&amp;"an turns 61. Panay News. https://www.panaynews.net/aklan-turns-61/, **Website** changed from http://roxascity.gov.ph/roxas-city-receives-p1m-for-560-units-jackstone-type-artificial-reefs-project/ to https://www.panaynews.net/aklan-turns-61/")</f>
        <v>**Restoration_project_short** changed from (*Mention of Roxas City receiving 1M from BFAR for installation of jackstone type Ars) to *Simultaneous deployment during celebration of Aklan Day 2017; Site in Camanci Norte, **Year of establishment** changed from Unknown to 2017, **Technique/Material Type** changed from Jackstone to Unknown, **Funding agency** changed from BFAR to PLGU, **Implementing institution** changed from CLGU to PLGU, **Reference** changed from Website to Panay News (2017, April 25). Aklan turns 61. Panay News. https://www.panaynews.net/aklan-turns-61/, **Website** changed from http://roxascity.gov.ph/roxas-city-receives-p1m-for-560-units-jackstone-type-artificial-reefs-project/ to https://www.panaynews.net/aklan-turns-61/</v>
      </c>
      <c r="I470" s="153" t="s">
        <v>7018</v>
      </c>
      <c r="J470" s="153" t="s">
        <v>314</v>
      </c>
      <c r="K470" s="153" t="s">
        <v>315</v>
      </c>
      <c r="L470" s="153" t="s">
        <v>3115</v>
      </c>
      <c r="M470" s="181" t="s">
        <v>3116</v>
      </c>
      <c r="N470" s="153" t="s">
        <v>151</v>
      </c>
      <c r="O470" s="158" t="s">
        <v>149</v>
      </c>
      <c r="P470" s="153" t="s">
        <v>7019</v>
      </c>
      <c r="Q470" s="169">
        <v>2017.0</v>
      </c>
      <c r="R470" s="164" t="s">
        <v>149</v>
      </c>
      <c r="S470" s="164" t="s">
        <v>149</v>
      </c>
      <c r="T470" s="161" t="s">
        <v>150</v>
      </c>
      <c r="U470" s="153">
        <f>IFERROR(__xludf.DUMMYFUNCTION("""COMPUTED_VALUE"""),442.0)</f>
        <v>442</v>
      </c>
      <c r="V470" s="162" t="s">
        <v>3311</v>
      </c>
      <c r="W470" s="187" t="s">
        <v>149</v>
      </c>
      <c r="X470" s="184"/>
      <c r="Y470" s="184" t="s">
        <v>149</v>
      </c>
      <c r="Z470" s="158" t="s">
        <v>149</v>
      </c>
      <c r="AA470" s="158" t="s">
        <v>149</v>
      </c>
      <c r="AB470" s="158" t="s">
        <v>149</v>
      </c>
      <c r="AC470" s="153" t="s">
        <v>158</v>
      </c>
      <c r="AD470" s="158" t="s">
        <v>160</v>
      </c>
      <c r="AE470" s="158" t="s">
        <v>6035</v>
      </c>
      <c r="AF470" s="158" t="s">
        <v>159</v>
      </c>
      <c r="AG470" s="164" t="s">
        <v>149</v>
      </c>
      <c r="AH470" s="158" t="s">
        <v>149</v>
      </c>
      <c r="AI470" s="158" t="s">
        <v>149</v>
      </c>
      <c r="AJ470" s="153" t="s">
        <v>158</v>
      </c>
      <c r="AK470" s="153" t="s">
        <v>6035</v>
      </c>
      <c r="AL470" s="156" t="s">
        <v>149</v>
      </c>
      <c r="AM470" s="156" t="s">
        <v>149</v>
      </c>
      <c r="AN470" s="156" t="s">
        <v>149</v>
      </c>
      <c r="AO470" s="156">
        <v>1.0</v>
      </c>
      <c r="AP470" s="156" t="s">
        <v>6037</v>
      </c>
      <c r="AQ470" s="158" t="s">
        <v>166</v>
      </c>
      <c r="AR470" s="153" t="s">
        <v>3092</v>
      </c>
      <c r="AS470" s="172" t="s">
        <v>3093</v>
      </c>
      <c r="AT470" s="156" t="s">
        <v>149</v>
      </c>
      <c r="AU470" s="156" t="s">
        <v>149</v>
      </c>
    </row>
    <row r="471">
      <c r="A471" s="186">
        <v>235.0</v>
      </c>
      <c r="B471" s="152">
        <v>2023.0</v>
      </c>
      <c r="D471" s="152"/>
      <c r="E471" s="151">
        <v>235.0</v>
      </c>
      <c r="F471" s="129" t="s">
        <v>140</v>
      </c>
      <c r="G471" s="3" t="s">
        <v>6029</v>
      </c>
      <c r="H471" s="8" t="str">
        <f>IFERROR(__xludf.DUMMYFUNCTION("""COMPUTED_VALUE"""),"")</f>
        <v/>
      </c>
      <c r="I471" s="8" t="s">
        <v>7020</v>
      </c>
      <c r="J471" s="8" t="s">
        <v>314</v>
      </c>
      <c r="K471" s="8" t="s">
        <v>558</v>
      </c>
      <c r="L471" s="8" t="s">
        <v>1604</v>
      </c>
      <c r="M471" s="8" t="s">
        <v>1605</v>
      </c>
      <c r="N471" s="8" t="s">
        <v>151</v>
      </c>
      <c r="O471" s="8" t="s">
        <v>6742</v>
      </c>
      <c r="P471" s="3" t="s">
        <v>149</v>
      </c>
      <c r="Q471" s="142" t="s">
        <v>6328</v>
      </c>
      <c r="R471" s="3" t="s">
        <v>149</v>
      </c>
      <c r="S471" s="3" t="s">
        <v>149</v>
      </c>
      <c r="T471" s="8"/>
      <c r="U471" s="8">
        <f>IFERROR(__xludf.DUMMYFUNCTION("""COMPUTED_VALUE"""),443.0)</f>
        <v>443</v>
      </c>
      <c r="V471" s="8"/>
      <c r="W471" s="3"/>
      <c r="X471" s="8"/>
      <c r="Y471" s="8"/>
      <c r="AA471" s="3" t="s">
        <v>149</v>
      </c>
      <c r="AB471" s="8" t="s">
        <v>793</v>
      </c>
      <c r="AC471" s="8" t="s">
        <v>1594</v>
      </c>
      <c r="AG471" s="3" t="s">
        <v>149</v>
      </c>
      <c r="AH471" s="3" t="s">
        <v>149</v>
      </c>
      <c r="AI471" s="3" t="s">
        <v>149</v>
      </c>
      <c r="AJ471" s="8" t="s">
        <v>369</v>
      </c>
      <c r="AL471" s="3" t="s">
        <v>149</v>
      </c>
      <c r="AM471" s="3" t="s">
        <v>149</v>
      </c>
      <c r="AN471" s="8" t="s">
        <v>1607</v>
      </c>
      <c r="AO471" s="8"/>
      <c r="AP471" s="8"/>
      <c r="AR471" s="8" t="s">
        <v>6970</v>
      </c>
      <c r="AS471" s="172" t="s">
        <v>1609</v>
      </c>
      <c r="AT471" s="3" t="s">
        <v>149</v>
      </c>
      <c r="AU471" s="3" t="s">
        <v>149</v>
      </c>
    </row>
    <row r="472">
      <c r="A472" s="186">
        <v>236.0</v>
      </c>
      <c r="B472" s="152">
        <v>2025.0</v>
      </c>
      <c r="C472" s="153" t="str">
        <f>CONCATENATE(D472, "-", M472, "-", A472)
</f>
        <v>2023-PH060417000-236</v>
      </c>
      <c r="D472" s="152">
        <f>IF(OR(F471="Published", F471="Unpublished"), 2023, IF(F471="New", 2025, ""))
</f>
        <v>2023</v>
      </c>
      <c r="E472" s="151">
        <v>236.0</v>
      </c>
      <c r="F472" s="156" t="s">
        <v>191</v>
      </c>
      <c r="G472" s="156" t="s">
        <v>191</v>
      </c>
      <c r="H472" s="153" t="str">
        <f>IFERROR(__xludf.DUMMYFUNCTION("""COMPUTED_VALUE"""),"**Restoration_project** changed from KALAHI-CIDSS Subproject to Unknown, **Restoration_project_short** changed from Unknown to inside MPA, **Year of establishment** changed from 2004 to 2003, **Technique/Material Type** changed from Unknown to ""Bar tower"&amp;"s"", **Restoration objective** changed from fish stock enhancement; fishing ground to Unknown, **Funding agency** changed from DSWD to Unknown, **Total units** changed from Unknown to 52 units, **Implementing institution** changed from MLGU to Unknown, **"&amp;"Partners_communities** changed from Nasidman Island Fisherfolks to Unknown, **Reference** changed from Compendium to Kuhlmann, K. J. (2003). Ecological Evaluation of Near-Shore Spots as Key to Legalize Marine Protected Areas at the Coastline of Aklan, Phi"&amp;"lippines. https://nsgl.gso.uri.edu/riu/riuc04001/pdffiles/papers/20988.pdf, **Website** changed from https://kalahi.dswd.gov.ph/press/downloads/category/58-old-iec-materials?download=322:tayo-na-tayo-na-disaster-resiliency-compendium to https://www.resear"&amp;"chgate.net/publication/267416722_ECOLOGICAL_EVALUATION_OF_NEAR-SHORE_SPOTS_AS_KEY_TO_LEGALIZE_MARINE_PROTECTED_AREAS_AT_THE_COASTLINE_OF_AKLAN_PHILIPPINES")</f>
        <v>**Restoration_project** changed from KALAHI-CIDSS Subproject to Unknown, **Restoration_project_short** changed from Unknown to inside MPA, **Year of establishment** changed from 2004 to 2003, **Technique/Material Type** changed from Unknown to "Bar towers", **Restoration objective** changed from fish stock enhancement; fishing ground to Unknown, **Funding agency** changed from DSWD to Unknown, **Total units** changed from Unknown to 52 units, **Implementing institution** changed from MLGU to Unknown, **Partners_communities** changed from Nasidman Island Fisherfolks to Unknown, **Reference** changed from Compendium to Kuhlmann, K. J. (2003). Ecological Evaluation of Near-Shore Spots as Key to Legalize Marine Protected Areas at the Coastline of Aklan, Philippines. https://nsgl.gso.uri.edu/riu/riuc04001/pdffiles/papers/20988.pdf, **Website** changed from https://kalahi.dswd.gov.ph/press/downloads/category/58-old-iec-materials?download=322:tayo-na-tayo-na-disaster-resiliency-compendium to https://www.researchgate.net/publication/267416722_ECOLOGICAL_EVALUATION_OF_NEAR-SHORE_SPOTS_AS_KEY_TO_LEGALIZE_MARINE_PROTECTED_AREAS_AT_THE_COASTLINE_OF_AKLAN_PHILIPPINES</v>
      </c>
      <c r="I472" s="153" t="s">
        <v>7021</v>
      </c>
      <c r="J472" s="153" t="s">
        <v>314</v>
      </c>
      <c r="K472" s="153" t="s">
        <v>315</v>
      </c>
      <c r="L472" s="153" t="s">
        <v>1199</v>
      </c>
      <c r="M472" s="181" t="s">
        <v>1200</v>
      </c>
      <c r="N472" s="153" t="s">
        <v>151</v>
      </c>
      <c r="O472" s="158" t="s">
        <v>149</v>
      </c>
      <c r="P472" s="153" t="s">
        <v>6990</v>
      </c>
      <c r="Q472" s="169">
        <v>2003.0</v>
      </c>
      <c r="R472" s="164" t="s">
        <v>149</v>
      </c>
      <c r="S472" s="164" t="s">
        <v>149</v>
      </c>
      <c r="T472" s="206" t="s">
        <v>150</v>
      </c>
      <c r="U472" s="153">
        <f>IFERROR(__xludf.DUMMYFUNCTION("""COMPUTED_VALUE"""),444.0)</f>
        <v>444</v>
      </c>
      <c r="V472" s="162" t="s">
        <v>3311</v>
      </c>
      <c r="W472" s="187" t="s">
        <v>149</v>
      </c>
      <c r="X472" s="184"/>
      <c r="Y472" s="184" t="s">
        <v>149</v>
      </c>
      <c r="Z472" s="158" t="s">
        <v>149</v>
      </c>
      <c r="AA472" s="158" t="s">
        <v>3119</v>
      </c>
      <c r="AB472" s="158" t="s">
        <v>149</v>
      </c>
      <c r="AC472" s="158" t="s">
        <v>149</v>
      </c>
      <c r="AD472" s="158" t="s">
        <v>149</v>
      </c>
      <c r="AE472" s="158" t="s">
        <v>149</v>
      </c>
      <c r="AF472" s="158" t="s">
        <v>149</v>
      </c>
      <c r="AG472" s="164" t="s">
        <v>149</v>
      </c>
      <c r="AH472" s="158" t="s">
        <v>149</v>
      </c>
      <c r="AI472" s="153" t="s">
        <v>3120</v>
      </c>
      <c r="AJ472" s="158" t="s">
        <v>149</v>
      </c>
      <c r="AK472" s="158" t="s">
        <v>149</v>
      </c>
      <c r="AL472" s="156" t="s">
        <v>149</v>
      </c>
      <c r="AM472" s="156" t="s">
        <v>149</v>
      </c>
      <c r="AN472" s="156" t="s">
        <v>149</v>
      </c>
      <c r="AO472" s="156">
        <v>1.0</v>
      </c>
      <c r="AP472" s="156" t="s">
        <v>6037</v>
      </c>
      <c r="AQ472" s="158" t="s">
        <v>1159</v>
      </c>
      <c r="AR472" s="153" t="s">
        <v>3098</v>
      </c>
      <c r="AS472" s="165" t="s">
        <v>3099</v>
      </c>
      <c r="AT472" s="156" t="s">
        <v>149</v>
      </c>
      <c r="AU472" s="156" t="s">
        <v>149</v>
      </c>
    </row>
    <row r="473">
      <c r="A473" s="186">
        <v>236.0</v>
      </c>
      <c r="B473" s="152">
        <v>2023.0</v>
      </c>
      <c r="D473" s="152"/>
      <c r="E473" s="151">
        <v>236.0</v>
      </c>
      <c r="F473" s="129" t="s">
        <v>140</v>
      </c>
      <c r="G473" s="3" t="s">
        <v>6029</v>
      </c>
      <c r="H473" s="8" t="str">
        <f>IFERROR(__xludf.DUMMYFUNCTION("""COMPUTED_VALUE"""),"")</f>
        <v/>
      </c>
      <c r="I473" s="8" t="s">
        <v>7022</v>
      </c>
      <c r="J473" s="8" t="s">
        <v>314</v>
      </c>
      <c r="K473" s="8" t="s">
        <v>558</v>
      </c>
      <c r="L473" s="8" t="s">
        <v>1604</v>
      </c>
      <c r="M473" s="8" t="s">
        <v>1605</v>
      </c>
      <c r="N473" s="8" t="s">
        <v>6624</v>
      </c>
      <c r="O473" s="3" t="s">
        <v>149</v>
      </c>
      <c r="P473" s="8" t="s">
        <v>2331</v>
      </c>
      <c r="Q473" s="142" t="s">
        <v>6063</v>
      </c>
      <c r="R473" s="3" t="s">
        <v>149</v>
      </c>
      <c r="S473" s="3" t="s">
        <v>149</v>
      </c>
      <c r="T473" s="8"/>
      <c r="U473" s="8">
        <f>IFERROR(__xludf.DUMMYFUNCTION("""COMPUTED_VALUE"""),445.0)</f>
        <v>445</v>
      </c>
      <c r="V473" s="8"/>
      <c r="W473" s="8"/>
      <c r="X473" s="8"/>
      <c r="Y473" s="8"/>
      <c r="AA473" s="8" t="s">
        <v>730</v>
      </c>
      <c r="AB473" s="8" t="s">
        <v>1923</v>
      </c>
      <c r="AC473" s="8" t="s">
        <v>2332</v>
      </c>
      <c r="AG473" s="3" t="s">
        <v>149</v>
      </c>
      <c r="AH473" s="3" t="s">
        <v>149</v>
      </c>
      <c r="AI473" s="3" t="s">
        <v>149</v>
      </c>
      <c r="AJ473" s="8" t="s">
        <v>2332</v>
      </c>
      <c r="AL473" s="8" t="s">
        <v>7023</v>
      </c>
      <c r="AM473" s="3" t="s">
        <v>149</v>
      </c>
      <c r="AN473" s="3" t="s">
        <v>149</v>
      </c>
      <c r="AO473" s="8"/>
      <c r="AP473" s="8"/>
      <c r="AR473" s="8" t="s">
        <v>6084</v>
      </c>
      <c r="AS473" s="172" t="s">
        <v>2336</v>
      </c>
      <c r="AT473" s="3" t="s">
        <v>149</v>
      </c>
      <c r="AU473" s="3" t="s">
        <v>149</v>
      </c>
    </row>
    <row r="474">
      <c r="A474" s="207">
        <v>237.0</v>
      </c>
      <c r="B474" s="152">
        <v>2023.0</v>
      </c>
      <c r="C474" s="208"/>
      <c r="D474" s="152"/>
      <c r="E474" s="209">
        <v>237.0</v>
      </c>
      <c r="F474" s="129" t="s">
        <v>140</v>
      </c>
      <c r="G474" s="3" t="s">
        <v>6029</v>
      </c>
      <c r="H474" s="208" t="str">
        <f>IFERROR(__xludf.DUMMYFUNCTION("""COMPUTED_VALUE"""),"")</f>
        <v/>
      </c>
      <c r="I474" s="208" t="s">
        <v>7024</v>
      </c>
      <c r="J474" s="208" t="s">
        <v>314</v>
      </c>
      <c r="K474" s="208" t="s">
        <v>558</v>
      </c>
      <c r="L474" s="208" t="s">
        <v>1604</v>
      </c>
      <c r="M474" s="208" t="s">
        <v>1605</v>
      </c>
      <c r="N474" s="208" t="s">
        <v>151</v>
      </c>
      <c r="O474" s="210" t="s">
        <v>149</v>
      </c>
      <c r="P474" s="210" t="s">
        <v>149</v>
      </c>
      <c r="Q474" s="142" t="s">
        <v>6339</v>
      </c>
      <c r="R474" s="210" t="s">
        <v>149</v>
      </c>
      <c r="S474" s="210" t="s">
        <v>149</v>
      </c>
      <c r="T474" s="8"/>
      <c r="U474" s="208">
        <f>IFERROR(__xludf.DUMMYFUNCTION("""COMPUTED_VALUE"""),446.0)</f>
        <v>446</v>
      </c>
      <c r="V474" s="8"/>
      <c r="W474" s="3"/>
      <c r="X474" s="8"/>
      <c r="Y474" s="8"/>
      <c r="Z474" s="208"/>
      <c r="AA474" s="3" t="s">
        <v>149</v>
      </c>
      <c r="AB474" s="8" t="s">
        <v>793</v>
      </c>
      <c r="AC474" s="208" t="s">
        <v>158</v>
      </c>
      <c r="AD474" s="208"/>
      <c r="AE474" s="208"/>
      <c r="AF474" s="208"/>
      <c r="AG474" s="3" t="s">
        <v>149</v>
      </c>
      <c r="AH474" s="3" t="s">
        <v>149</v>
      </c>
      <c r="AI474" s="3" t="s">
        <v>149</v>
      </c>
      <c r="AJ474" s="208" t="s">
        <v>158</v>
      </c>
      <c r="AK474" s="208"/>
      <c r="AL474" s="210" t="s">
        <v>149</v>
      </c>
      <c r="AM474" s="3" t="s">
        <v>149</v>
      </c>
      <c r="AN474" s="3" t="s">
        <v>149</v>
      </c>
      <c r="AO474" s="8"/>
      <c r="AP474" s="8"/>
      <c r="AQ474" s="208"/>
      <c r="AR474" s="208" t="s">
        <v>1159</v>
      </c>
      <c r="AS474" s="211" t="s">
        <v>2676</v>
      </c>
      <c r="AT474" s="210" t="s">
        <v>149</v>
      </c>
      <c r="AU474" s="210" t="s">
        <v>149</v>
      </c>
    </row>
    <row r="475">
      <c r="A475" s="186">
        <v>237.0</v>
      </c>
      <c r="B475" s="152">
        <v>2025.0</v>
      </c>
      <c r="C475" s="153" t="str">
        <f>CONCATENATE(D475, "-", M475, "-", A475)
</f>
        <v>2023-PH060417000-237</v>
      </c>
      <c r="D475" s="152">
        <f>IF(OR(F474="Published", F474="Unpublished"), 2023, IF(F474="New", 2025, ""))
</f>
        <v>2023</v>
      </c>
      <c r="E475" s="151">
        <v>237.0</v>
      </c>
      <c r="F475" s="156" t="s">
        <v>140</v>
      </c>
      <c r="G475" s="156" t="s">
        <v>141</v>
      </c>
      <c r="H475" s="153" t="str">
        <f>IFERROR(__xludf.DUMMYFUNCTION("""COMPUTED_VALUE"""),"**Restoration_project** changed from Unknown to The Coral Gardening and Reef Rehabilitation Project, **Year of establishment** changed from 1995 to Unknown, **Restoration method** changed from Artificial Reef to Artificial Reef; Asexual Reproduction, **Te"&amp;"chnique/Material Type** changed from Unknown to Coral transplantation, **Restoration objective** changed from fish stock enhancement; fishing ground to Restore damaged reefs, **Funding agency** changed from PLGU to Unknown, **Total area of restoration** c"&amp;"hanged from Unknown to 15.36 ha, **Total units** changed from Unknown to 832 units (52 modules), **Implementing institution** changed from PLGU to MLGU, **Partners_public** changed from Unknown to BFAR, **Reference** changed from Unpublished article to Di"&amp;"ckson, A. &amp; Velasco, P. E. (2011). The Coral Garden &amp; Reef Rehabilitation Project of the Bureau of Fisheries and Aquatic Resources (BFAR) in Tangalan Aklan, Philippines [Abstract]. The FRA-SEAFDEC Joint International Workshop on Artificial Reefs for Fishe"&amp;"ries Resource Recovery Program and Proceedings. http://nrife.fra.affrc.go.jp/reprint/gyosyou%20ws.pdf, **Website** changed from https://nanopdf.com/download/community-based-coastal-resource-management-in-nasidman-island-iloilo-philippine_pdf to http://rep"&amp;"ository.seafdec.or.th/bitstream/handle/20.500.12067/882/DicksonAC2004.pdf;jsessionid=EEA396868A0490A721A5E9B77D356436?sequence=1; http://nrife.fra.affrc.go.jp/reprint/gyosyou%20ws.pdf")</f>
        <v>**Restoration_project** changed from Unknown to The Coral Gardening and Reef Rehabilitation Project, **Year of establishment** changed from 1995 to Unknown, **Restoration method** changed from Artificial Reef to Artificial Reef; Asexual Reproduction, **Technique/Material Type** changed from Unknown to Coral transplantation, **Restoration objective** changed from fish stock enhancement; fishing ground to Restore damaged reefs, **Funding agency** changed from PLGU to Unknown, **Total area of restoration** changed from Unknown to 15.36 ha, **Total units** changed from Unknown to 832 units (52 modules), **Implementing institution** changed from PLGU to MLGU, **Partners_public** changed from Unknown to BFAR, **Reference** changed from Unpublished article to Dickson, A. &amp; Velasco, P. E. (2011). The Coral Garden &amp; Reef Rehabilitation Project of the Bureau of Fisheries and Aquatic Resources (BFAR) in Tangalan Aklan, Philippines [Abstract]. The FRA-SEAFDEC Joint International Workshop on Artificial Reefs for Fisheries Resource Recovery Program and Proceedings. http://nrife.fra.affrc.go.jp/reprint/gyosyou%20ws.pdf, **Website** changed from https://nanopdf.com/download/community-based-coastal-resource-management-in-nasidman-island-iloilo-philippine_pdf to http://repository.seafdec.or.th/bitstream/handle/20.500.12067/882/DicksonAC2004.pdf;jsessionid=EEA396868A0490A721A5E9B77D356436?sequence=1; http://nrife.fra.affrc.go.jp/reprint/gyosyou%20ws.pdf</v>
      </c>
      <c r="I475" s="153" t="s">
        <v>7025</v>
      </c>
      <c r="J475" s="153" t="s">
        <v>314</v>
      </c>
      <c r="K475" s="153" t="s">
        <v>315</v>
      </c>
      <c r="L475" s="153" t="s">
        <v>1199</v>
      </c>
      <c r="M475" s="181" t="s">
        <v>1200</v>
      </c>
      <c r="N475" s="153" t="s">
        <v>6624</v>
      </c>
      <c r="O475" s="153" t="s">
        <v>2237</v>
      </c>
      <c r="P475" s="3" t="s">
        <v>149</v>
      </c>
      <c r="Q475" s="178" t="s">
        <v>149</v>
      </c>
      <c r="R475" s="160" t="s">
        <v>149</v>
      </c>
      <c r="S475" s="160" t="s">
        <v>149</v>
      </c>
      <c r="T475" s="156" t="s">
        <v>263</v>
      </c>
      <c r="U475" s="153">
        <f>IFERROR(__xludf.DUMMYFUNCTION("""COMPUTED_VALUE"""),447.0)</f>
        <v>447</v>
      </c>
      <c r="V475" s="191" t="s">
        <v>6625</v>
      </c>
      <c r="W475" s="179" t="s">
        <v>149</v>
      </c>
      <c r="X475" s="191"/>
      <c r="Y475" s="191" t="s">
        <v>149</v>
      </c>
      <c r="Z475" s="153" t="s">
        <v>179</v>
      </c>
      <c r="AA475" s="153" t="s">
        <v>179</v>
      </c>
      <c r="AB475" s="153" t="s">
        <v>2238</v>
      </c>
      <c r="AC475" s="158" t="s">
        <v>149</v>
      </c>
      <c r="AD475" s="158" t="s">
        <v>149</v>
      </c>
      <c r="AE475" s="158" t="s">
        <v>149</v>
      </c>
      <c r="AF475" s="158" t="s">
        <v>149</v>
      </c>
      <c r="AG475" s="164" t="s">
        <v>149</v>
      </c>
      <c r="AH475" s="153" t="s">
        <v>2239</v>
      </c>
      <c r="AI475" s="153" t="s">
        <v>2240</v>
      </c>
      <c r="AJ475" s="158" t="s">
        <v>369</v>
      </c>
      <c r="AK475" s="153" t="s">
        <v>6035</v>
      </c>
      <c r="AL475" s="158" t="s">
        <v>390</v>
      </c>
      <c r="AM475" s="3" t="s">
        <v>149</v>
      </c>
      <c r="AN475" s="3" t="s">
        <v>149</v>
      </c>
      <c r="AO475" s="156">
        <v>2.0</v>
      </c>
      <c r="AP475" s="156" t="s">
        <v>6628</v>
      </c>
      <c r="AQ475" s="158" t="s">
        <v>1159</v>
      </c>
      <c r="AR475" s="153" t="s">
        <v>2241</v>
      </c>
      <c r="AS475" s="153" t="s">
        <v>7005</v>
      </c>
      <c r="AT475" s="156" t="s">
        <v>149</v>
      </c>
      <c r="AU475" s="3" t="s">
        <v>149</v>
      </c>
    </row>
    <row r="476">
      <c r="A476" s="186">
        <v>238.0</v>
      </c>
      <c r="B476" s="152">
        <v>2023.0</v>
      </c>
      <c r="D476" s="152"/>
      <c r="E476" s="151">
        <v>238.0</v>
      </c>
      <c r="F476" s="129" t="s">
        <v>140</v>
      </c>
      <c r="G476" s="3" t="s">
        <v>6029</v>
      </c>
      <c r="H476" s="8" t="str">
        <f>IFERROR(__xludf.DUMMYFUNCTION("""COMPUTED_VALUE"""),"")</f>
        <v/>
      </c>
      <c r="I476" s="8" t="s">
        <v>7026</v>
      </c>
      <c r="J476" s="8" t="s">
        <v>314</v>
      </c>
      <c r="K476" s="8" t="s">
        <v>558</v>
      </c>
      <c r="L476" s="8" t="s">
        <v>1616</v>
      </c>
      <c r="M476" s="8" t="s">
        <v>1617</v>
      </c>
      <c r="N476" s="8" t="s">
        <v>151</v>
      </c>
      <c r="O476" s="8" t="s">
        <v>6742</v>
      </c>
      <c r="P476" s="3" t="s">
        <v>149</v>
      </c>
      <c r="Q476" s="3" t="s">
        <v>149</v>
      </c>
      <c r="R476" s="3" t="s">
        <v>149</v>
      </c>
      <c r="S476" s="3" t="s">
        <v>149</v>
      </c>
      <c r="T476" s="8"/>
      <c r="U476" s="8">
        <f>IFERROR(__xludf.DUMMYFUNCTION("""COMPUTED_VALUE"""),448.0)</f>
        <v>448</v>
      </c>
      <c r="V476" s="8"/>
      <c r="W476" s="3"/>
      <c r="X476" s="8"/>
      <c r="Y476" s="8"/>
      <c r="AA476" s="3" t="s">
        <v>149</v>
      </c>
      <c r="AB476" s="3" t="s">
        <v>149</v>
      </c>
      <c r="AC476" s="8" t="s">
        <v>1594</v>
      </c>
      <c r="AG476" s="3" t="s">
        <v>149</v>
      </c>
      <c r="AH476" s="3" t="s">
        <v>149</v>
      </c>
      <c r="AI476" s="3" t="s">
        <v>149</v>
      </c>
      <c r="AJ476" s="8" t="s">
        <v>369</v>
      </c>
      <c r="AL476" s="3" t="s">
        <v>149</v>
      </c>
      <c r="AM476" s="3" t="s">
        <v>149</v>
      </c>
      <c r="AN476" s="3" t="s">
        <v>149</v>
      </c>
      <c r="AO476" s="8"/>
      <c r="AP476" s="8"/>
      <c r="AR476" s="8" t="s">
        <v>6084</v>
      </c>
      <c r="AS476" s="172" t="s">
        <v>1620</v>
      </c>
      <c r="AT476" s="3" t="s">
        <v>149</v>
      </c>
      <c r="AU476" s="3" t="s">
        <v>149</v>
      </c>
    </row>
    <row r="477">
      <c r="A477" s="186">
        <v>238.0</v>
      </c>
      <c r="B477" s="152">
        <v>2025.0</v>
      </c>
      <c r="C477" s="153" t="str">
        <f t="shared" ref="C477:C478" si="53">CONCATENATE(D477, "-", M477, "-", A477)
</f>
        <v>2023-PH060417000-238</v>
      </c>
      <c r="D477" s="152">
        <f t="shared" ref="D477:D478" si="54">IF(OR(F476="Published", F476="Unpublished"), 2023, IF(F476="New", 2025, ""))
</f>
        <v>2023</v>
      </c>
      <c r="E477" s="151">
        <v>238.0</v>
      </c>
      <c r="F477" s="156" t="s">
        <v>140</v>
      </c>
      <c r="G477" s="156" t="s">
        <v>141</v>
      </c>
      <c r="H477" s="153" t="str">
        <f>IFERROR(__xludf.DUMMYFUNCTION("""COMPUTED_VALUE"""),"**Restoration_project** changed from KALAHI-CIDSS Subproject to Filipinnovation on Coral Reef Restoration, **Year of establishment** changed from Unknown to 2013, **Project Start** changed from Unknown to 2012, **Project End** changed from Unknown to 2013"&amp;", **Restoration method** changed from Artificial Reef to Asexual Reproduction, **Technique/Material Type** changed from Unknown to CNU; coral transplantation, **Restoration objective** changed from Unknown to Experimental; rehabilitate degraded reefs, **F"&amp;"unding agency** changed from DSWD to DOST-PCAARRD, **Total units** changed from Unknown to 40 CNUs/11,944 COPs, **Implementing institution** changed from MLGU to University of San Carlos, **Partners_public** changed from Unknown to Aklan State University,"&amp;" **Reference** changed from Report to DOST-PCAARRD (2013e). Project 5-1: Pilot Technology Demonstration on Coral Reef Restoration in Tangalan, Aklan., **Website** changed from https://www.adb.org/sites/default/files/publication/29878/kalahi-cidss-project-"&amp;"philippines.pdf to Report uploaded in the Google Drive")</f>
        <v>**Restoration_project** changed from KALAHI-CIDSS Subproject to Filipinnovation on Coral Reef Restoration, **Year of establishment** changed from Unknown to 2013, **Project Start** changed from Unknown to 2012, **Project End** changed from Unknown to 2013, **Restoration method** changed from Artificial Reef to Asexual Reproduction, **Technique/Material Type** changed from Unknown to CNU; coral transplantation, **Restoration objective** changed from Unknown to Experimental; rehabilitate degraded reefs, **Funding agency** changed from DSWD to DOST-PCAARRD, **Total units** changed from Unknown to 40 CNUs/11,944 COPs, **Implementing institution** changed from MLGU to University of San Carlos, **Partners_public** changed from Unknown to Aklan State University, **Reference** changed from Report to DOST-PCAARRD (2013e). Project 5-1: Pilot Technology Demonstration on Coral Reef Restoration in Tangalan, Aklan., **Website** changed from https://www.adb.org/sites/default/files/publication/29878/kalahi-cidss-project-philippines.pdf to Report uploaded in the Google Drive</v>
      </c>
      <c r="I477" s="153" t="s">
        <v>7027</v>
      </c>
      <c r="J477" s="153" t="s">
        <v>314</v>
      </c>
      <c r="K477" s="153" t="s">
        <v>315</v>
      </c>
      <c r="L477" s="153" t="s">
        <v>1199</v>
      </c>
      <c r="M477" s="181" t="s">
        <v>1200</v>
      </c>
      <c r="N477" s="153" t="s">
        <v>6062</v>
      </c>
      <c r="O477" s="153" t="s">
        <v>1174</v>
      </c>
      <c r="P477" s="3" t="s">
        <v>149</v>
      </c>
      <c r="Q477" s="178">
        <v>2013.0</v>
      </c>
      <c r="R477" s="175" t="s">
        <v>6151</v>
      </c>
      <c r="S477" s="175" t="s">
        <v>6089</v>
      </c>
      <c r="T477" s="156" t="s">
        <v>177</v>
      </c>
      <c r="U477" s="153">
        <f>IFERROR(__xludf.DUMMYFUNCTION("""COMPUTED_VALUE"""),449.0)</f>
        <v>449</v>
      </c>
      <c r="V477" s="191" t="s">
        <v>1359</v>
      </c>
      <c r="W477" s="179" t="s">
        <v>6066</v>
      </c>
      <c r="X477" s="180"/>
      <c r="Y477" s="180" t="s">
        <v>154</v>
      </c>
      <c r="Z477" s="158" t="s">
        <v>179</v>
      </c>
      <c r="AA477" s="153" t="s">
        <v>1201</v>
      </c>
      <c r="AB477" s="153" t="s">
        <v>1202</v>
      </c>
      <c r="AC477" s="153" t="s">
        <v>321</v>
      </c>
      <c r="AD477" s="158" t="s">
        <v>160</v>
      </c>
      <c r="AE477" s="158" t="s">
        <v>6035</v>
      </c>
      <c r="AF477" s="158" t="s">
        <v>204</v>
      </c>
      <c r="AG477" s="164" t="s">
        <v>149</v>
      </c>
      <c r="AH477" s="158" t="s">
        <v>149</v>
      </c>
      <c r="AI477" s="153" t="s">
        <v>1203</v>
      </c>
      <c r="AJ477" s="153" t="s">
        <v>885</v>
      </c>
      <c r="AK477" s="158" t="s">
        <v>6068</v>
      </c>
      <c r="AL477" s="153" t="s">
        <v>1204</v>
      </c>
      <c r="AM477" s="3" t="s">
        <v>149</v>
      </c>
      <c r="AN477" s="3" t="s">
        <v>149</v>
      </c>
      <c r="AO477" s="156">
        <v>1.0</v>
      </c>
      <c r="AP477" s="156" t="s">
        <v>6037</v>
      </c>
      <c r="AQ477" s="158" t="s">
        <v>6069</v>
      </c>
      <c r="AR477" s="153" t="s">
        <v>1205</v>
      </c>
      <c r="AS477" s="153" t="s">
        <v>6070</v>
      </c>
      <c r="AT477" s="3" t="s">
        <v>149</v>
      </c>
      <c r="AU477" s="3" t="s">
        <v>149</v>
      </c>
    </row>
    <row r="478">
      <c r="A478" s="186">
        <v>239.0</v>
      </c>
      <c r="B478" s="152">
        <v>2025.0</v>
      </c>
      <c r="C478" s="153" t="str">
        <f t="shared" si="53"/>
        <v>2023-PH060601000-239</v>
      </c>
      <c r="D478" s="152">
        <f t="shared" si="54"/>
        <v>2023</v>
      </c>
      <c r="E478" s="151">
        <v>239.0</v>
      </c>
      <c r="F478" s="129" t="s">
        <v>140</v>
      </c>
      <c r="G478" s="156" t="s">
        <v>141</v>
      </c>
      <c r="H478" s="153" t="str">
        <f>IFERROR(__xludf.DUMMYFUNCTION("""COMPUTED_VALUE"""),"**Restoration objective** changed from Experimental; rehabilitate degraded reefs to Unknown, **Total units** changed from 40 CNUs/11,944 COPs to 12 CNUs/30,710 COPs, **Partners_public** changed from Aklan State University to Philippine Army, **Reference**"&amp;" changed from DOST-PCAARRD (2013e). Project 5-1: Pilot Technology Demonstration on Coral Reef Restoration in Tangalan, Aklan. to DOST-PCAARRD. (n.d.). DOST-PCAARRD National Corals Rehabilitation Program Briefer Report. , **Website** changed from Report up"&amp;"loaded in the Google Drive to Report uploaded in the Google Drive; https://savethephilippinecoralreefs.wordpress.com/2013/03/24/government-and-army-assist-with-coral-farming-on-nogas-coral-reefs/")</f>
        <v>**Restoration objective** changed from Experimental; rehabilitate degraded reefs to Unknown, **Total units** changed from 40 CNUs/11,944 COPs to 12 CNUs/30,710 COPs, **Partners_public** changed from Aklan State University to Philippine Army, **Reference** changed from DOST-PCAARRD (2013e). Project 5-1: Pilot Technology Demonstration on Coral Reef Restoration in Tangalan, Aklan. to DOST-PCAARRD. (n.d.). DOST-PCAARRD National Corals Rehabilitation Program Briefer Report. , **Website** changed from Report uploaded in the Google Drive to Report uploaded in the Google Drive; https://savethephilippinecoralreefs.wordpress.com/2013/03/24/government-and-army-assist-with-coral-farming-on-nogas-coral-reefs/</v>
      </c>
      <c r="I478" s="153" t="s">
        <v>7028</v>
      </c>
      <c r="J478" s="153" t="s">
        <v>314</v>
      </c>
      <c r="K478" s="153" t="s">
        <v>858</v>
      </c>
      <c r="L478" s="153" t="s">
        <v>1296</v>
      </c>
      <c r="M478" s="181" t="s">
        <v>1297</v>
      </c>
      <c r="N478" s="153" t="s">
        <v>6062</v>
      </c>
      <c r="O478" s="153" t="s">
        <v>1174</v>
      </c>
      <c r="P478" s="3" t="s">
        <v>149</v>
      </c>
      <c r="Q478" s="178">
        <v>2013.0</v>
      </c>
      <c r="R478" s="175" t="s">
        <v>6151</v>
      </c>
      <c r="S478" s="175" t="s">
        <v>6089</v>
      </c>
      <c r="T478" s="156" t="s">
        <v>177</v>
      </c>
      <c r="U478" s="153">
        <f>IFERROR(__xludf.DUMMYFUNCTION("""COMPUTED_VALUE"""),450.0)</f>
        <v>450</v>
      </c>
      <c r="V478" s="191" t="s">
        <v>1359</v>
      </c>
      <c r="W478" s="179" t="s">
        <v>6066</v>
      </c>
      <c r="X478" s="180"/>
      <c r="Y478" s="180" t="s">
        <v>154</v>
      </c>
      <c r="Z478" s="158" t="s">
        <v>179</v>
      </c>
      <c r="AA478" s="153" t="s">
        <v>1201</v>
      </c>
      <c r="AB478" s="158" t="s">
        <v>149</v>
      </c>
      <c r="AC478" s="153" t="s">
        <v>321</v>
      </c>
      <c r="AD478" s="158" t="s">
        <v>160</v>
      </c>
      <c r="AE478" s="158" t="s">
        <v>6035</v>
      </c>
      <c r="AF478" s="158" t="s">
        <v>204</v>
      </c>
      <c r="AG478" s="164" t="s">
        <v>149</v>
      </c>
      <c r="AH478" s="158" t="s">
        <v>149</v>
      </c>
      <c r="AI478" s="153" t="s">
        <v>1298</v>
      </c>
      <c r="AJ478" s="153" t="s">
        <v>885</v>
      </c>
      <c r="AK478" s="158" t="s">
        <v>6068</v>
      </c>
      <c r="AL478" s="153" t="s">
        <v>1299</v>
      </c>
      <c r="AM478" s="3" t="s">
        <v>149</v>
      </c>
      <c r="AN478" s="3" t="s">
        <v>149</v>
      </c>
      <c r="AO478" s="156">
        <v>1.0</v>
      </c>
      <c r="AP478" s="156" t="s">
        <v>6037</v>
      </c>
      <c r="AQ478" s="158" t="s">
        <v>6069</v>
      </c>
      <c r="AR478" s="153" t="s">
        <v>1300</v>
      </c>
      <c r="AS478" s="153" t="s">
        <v>7029</v>
      </c>
      <c r="AT478" s="3" t="s">
        <v>149</v>
      </c>
      <c r="AU478" s="3" t="s">
        <v>149</v>
      </c>
    </row>
    <row r="479">
      <c r="A479" s="186">
        <v>239.0</v>
      </c>
      <c r="B479" s="152">
        <v>2023.0</v>
      </c>
      <c r="D479" s="152"/>
      <c r="E479" s="151">
        <v>239.0</v>
      </c>
      <c r="F479" s="129" t="s">
        <v>140</v>
      </c>
      <c r="G479" s="3" t="s">
        <v>6029</v>
      </c>
      <c r="H479" s="8" t="str">
        <f>IFERROR(__xludf.DUMMYFUNCTION("""COMPUTED_VALUE"""),"")</f>
        <v/>
      </c>
      <c r="I479" s="8" t="s">
        <v>7030</v>
      </c>
      <c r="J479" s="8" t="s">
        <v>314</v>
      </c>
      <c r="K479" s="8" t="s">
        <v>558</v>
      </c>
      <c r="L479" s="8" t="s">
        <v>3137</v>
      </c>
      <c r="M479" s="8" t="s">
        <v>3138</v>
      </c>
      <c r="N479" s="8" t="s">
        <v>151</v>
      </c>
      <c r="O479" s="3" t="s">
        <v>149</v>
      </c>
      <c r="P479" s="8" t="s">
        <v>7031</v>
      </c>
      <c r="Q479" s="3" t="s">
        <v>149</v>
      </c>
      <c r="R479" s="3" t="s">
        <v>149</v>
      </c>
      <c r="S479" s="3" t="s">
        <v>149</v>
      </c>
      <c r="T479" s="8"/>
      <c r="U479" s="8">
        <f>IFERROR(__xludf.DUMMYFUNCTION("""COMPUTED_VALUE"""),451.0)</f>
        <v>451</v>
      </c>
      <c r="V479" s="8"/>
      <c r="W479" s="3"/>
      <c r="X479" s="8"/>
      <c r="Y479" s="8"/>
      <c r="AA479" s="3" t="s">
        <v>149</v>
      </c>
      <c r="AB479" s="3" t="s">
        <v>149</v>
      </c>
      <c r="AC479" s="3" t="s">
        <v>149</v>
      </c>
      <c r="AG479" s="3" t="s">
        <v>149</v>
      </c>
      <c r="AH479" s="3" t="s">
        <v>149</v>
      </c>
      <c r="AI479" s="3" t="s">
        <v>149</v>
      </c>
      <c r="AJ479" s="3" t="s">
        <v>149</v>
      </c>
      <c r="AL479" s="3" t="s">
        <v>149</v>
      </c>
      <c r="AM479" s="3" t="s">
        <v>149</v>
      </c>
      <c r="AN479" s="3" t="s">
        <v>149</v>
      </c>
      <c r="AO479" s="8"/>
      <c r="AP479" s="8"/>
      <c r="AR479" s="8" t="s">
        <v>6257</v>
      </c>
      <c r="AS479" s="172" t="s">
        <v>3141</v>
      </c>
      <c r="AT479" s="3" t="s">
        <v>149</v>
      </c>
      <c r="AU479" s="3" t="s">
        <v>149</v>
      </c>
      <c r="AV479" s="8" t="s">
        <v>6109</v>
      </c>
    </row>
    <row r="480">
      <c r="A480" s="186">
        <v>240.0</v>
      </c>
      <c r="B480" s="152">
        <v>2025.0</v>
      </c>
      <c r="C480" s="153" t="str">
        <f>CONCATENATE(D480, "-", M480, "-", A480)
</f>
        <v>2023-PH060601000-240</v>
      </c>
      <c r="D480" s="152">
        <f>IF(OR(F479="Published", F479="Unpublished"), 2023, IF(F479="New", 2025, ""))
</f>
        <v>2023</v>
      </c>
      <c r="E480" s="151">
        <v>240.0</v>
      </c>
      <c r="F480" s="129" t="s">
        <v>140</v>
      </c>
      <c r="G480" s="156" t="s">
        <v>141</v>
      </c>
      <c r="H480" s="153" t="str">
        <f>IFERROR(__xludf.DUMMYFUNCTION("""COMPUTED_VALUE"""),"**Restoration_project** changed from Unknown to SCREMP, **Restoration_project_short** changed from Artificial Reef, Fish Reservoir and Reforestation to Unknown, **Year of establishment** changed from Unknown to 2016, **Restoration method** changed from Ar"&amp;"tificial Reef to Unknown, **Restoration objective** changed from Unknown to Coral rehabilitation, **Funding agency** changed from Unknown to DENR, **Implementing institution** changed from Unknown to DENR, **Reference** changed from Technical Report to Lo"&amp;"ren Legarda. (2021, Nov. 2). Antique Coral Restoration Program [video]. https://web.facebook.com/watch/?v=220661800165072, **Website** changed from https://www.crc.uri.edu/download/CB_000E.pdf to https://web.facebook.com/watch/?v=220661800165072")</f>
        <v>**Restoration_project** changed from Unknown to SCREMP, **Restoration_project_short** changed from Artificial Reef, Fish Reservoir and Reforestation to Unknown, **Year of establishment** changed from Unknown to 2016, **Restoration method** changed from Artificial Reef to Unknown, **Restoration objective** changed from Unknown to Coral rehabilitation, **Funding agency** changed from Unknown to DENR, **Implementing institution** changed from Unknown to DENR, **Reference** changed from Technical Report to Loren Legarda. (2021, Nov. 2). Antique Coral Restoration Program [video]. https://web.facebook.com/watch/?v=220661800165072, **Website** changed from https://www.crc.uri.edu/download/CB_000E.pdf to https://web.facebook.com/watch/?v=220661800165072</v>
      </c>
      <c r="I480" s="153" t="s">
        <v>7032</v>
      </c>
      <c r="J480" s="153" t="s">
        <v>314</v>
      </c>
      <c r="K480" s="153" t="s">
        <v>858</v>
      </c>
      <c r="L480" s="153" t="s">
        <v>1296</v>
      </c>
      <c r="M480" s="181" t="s">
        <v>1297</v>
      </c>
      <c r="N480" s="158" t="s">
        <v>149</v>
      </c>
      <c r="O480" s="153" t="s">
        <v>6587</v>
      </c>
      <c r="P480" s="3" t="s">
        <v>149</v>
      </c>
      <c r="Q480" s="169">
        <v>2016.0</v>
      </c>
      <c r="R480" s="160" t="s">
        <v>149</v>
      </c>
      <c r="S480" s="160" t="s">
        <v>149</v>
      </c>
      <c r="T480" s="176" t="s">
        <v>149</v>
      </c>
      <c r="U480" s="153">
        <f>IFERROR(__xludf.DUMMYFUNCTION("""COMPUTED_VALUE"""),452.0)</f>
        <v>452</v>
      </c>
      <c r="V480" s="158"/>
      <c r="W480" s="158"/>
      <c r="X480" s="158"/>
      <c r="Y480" s="158"/>
      <c r="Z480" s="158" t="s">
        <v>149</v>
      </c>
      <c r="AA480" s="158" t="s">
        <v>149</v>
      </c>
      <c r="AB480" s="153" t="s">
        <v>2147</v>
      </c>
      <c r="AC480" s="158" t="s">
        <v>341</v>
      </c>
      <c r="AD480" s="158" t="s">
        <v>160</v>
      </c>
      <c r="AE480" s="158" t="s">
        <v>6035</v>
      </c>
      <c r="AF480" s="158" t="s">
        <v>159</v>
      </c>
      <c r="AG480" s="164" t="s">
        <v>149</v>
      </c>
      <c r="AH480" s="158" t="s">
        <v>149</v>
      </c>
      <c r="AI480" s="158" t="s">
        <v>149</v>
      </c>
      <c r="AJ480" s="153" t="s">
        <v>341</v>
      </c>
      <c r="AK480" s="153" t="s">
        <v>6035</v>
      </c>
      <c r="AL480" s="3" t="s">
        <v>149</v>
      </c>
      <c r="AM480" s="3" t="s">
        <v>149</v>
      </c>
      <c r="AN480" s="3" t="s">
        <v>149</v>
      </c>
      <c r="AO480" s="176">
        <v>0.0</v>
      </c>
      <c r="AP480" s="176" t="s">
        <v>6037</v>
      </c>
      <c r="AQ480" s="153" t="s">
        <v>6038</v>
      </c>
      <c r="AR480" s="153" t="s">
        <v>2148</v>
      </c>
      <c r="AS480" s="165" t="s">
        <v>2149</v>
      </c>
      <c r="AT480" s="3" t="s">
        <v>149</v>
      </c>
      <c r="AU480" s="3" t="s">
        <v>149</v>
      </c>
    </row>
    <row r="481">
      <c r="A481" s="207">
        <v>240.0</v>
      </c>
      <c r="B481" s="152">
        <v>2023.0</v>
      </c>
      <c r="D481" s="152"/>
      <c r="E481" s="209">
        <v>240.0</v>
      </c>
      <c r="F481" s="129" t="s">
        <v>140</v>
      </c>
      <c r="G481" s="3" t="s">
        <v>6029</v>
      </c>
      <c r="H481" s="8" t="str">
        <f>IFERROR(__xludf.DUMMYFUNCTION("""COMPUTED_VALUE"""),"")</f>
        <v/>
      </c>
      <c r="I481" s="8" t="s">
        <v>7033</v>
      </c>
      <c r="J481" s="208" t="s">
        <v>314</v>
      </c>
      <c r="K481" s="208" t="s">
        <v>558</v>
      </c>
      <c r="L481" s="208" t="s">
        <v>786</v>
      </c>
      <c r="M481" s="208" t="s">
        <v>787</v>
      </c>
      <c r="N481" s="208" t="s">
        <v>151</v>
      </c>
      <c r="O481" s="208" t="s">
        <v>788</v>
      </c>
      <c r="P481" s="210" t="s">
        <v>149</v>
      </c>
      <c r="Q481" s="174" t="s">
        <v>6268</v>
      </c>
      <c r="R481" s="210" t="s">
        <v>149</v>
      </c>
      <c r="S481" s="210" t="s">
        <v>149</v>
      </c>
      <c r="T481" s="8"/>
      <c r="U481" s="8">
        <f>IFERROR(__xludf.DUMMYFUNCTION("""COMPUTED_VALUE"""),453.0)</f>
        <v>453</v>
      </c>
      <c r="V481" s="8"/>
      <c r="W481" s="3"/>
      <c r="X481" s="8"/>
      <c r="Y481" s="8"/>
      <c r="Z481" s="208"/>
      <c r="AA481" s="210" t="s">
        <v>149</v>
      </c>
      <c r="AB481" s="208" t="s">
        <v>793</v>
      </c>
      <c r="AC481" s="208" t="s">
        <v>794</v>
      </c>
      <c r="AD481" s="208"/>
      <c r="AE481" s="208"/>
      <c r="AF481" s="208"/>
      <c r="AG481" s="210" t="s">
        <v>149</v>
      </c>
      <c r="AH481" s="210" t="s">
        <v>149</v>
      </c>
      <c r="AI481" s="210" t="s">
        <v>149</v>
      </c>
      <c r="AJ481" s="208" t="s">
        <v>796</v>
      </c>
      <c r="AK481" s="208"/>
      <c r="AL481" s="210" t="s">
        <v>149</v>
      </c>
      <c r="AM481" s="3" t="s">
        <v>149</v>
      </c>
      <c r="AN481" s="8" t="s">
        <v>797</v>
      </c>
      <c r="AO481" s="8"/>
      <c r="AP481" s="8"/>
      <c r="AQ481" s="208"/>
      <c r="AR481" s="208" t="s">
        <v>7034</v>
      </c>
      <c r="AS481" s="208" t="s">
        <v>799</v>
      </c>
      <c r="AT481" s="210" t="s">
        <v>149</v>
      </c>
      <c r="AU481" s="208" t="s">
        <v>800</v>
      </c>
    </row>
    <row r="482">
      <c r="A482" s="186">
        <v>241.0</v>
      </c>
      <c r="B482" s="152">
        <v>2025.0</v>
      </c>
      <c r="C482" s="153" t="str">
        <f>CONCATENATE(D482, "-", M482, "-", A482)
</f>
        <v>2023-PH060602000-241</v>
      </c>
      <c r="D482" s="152">
        <f>IF(OR(F481="Published", F481="Unpublished"), 2023, IF(F481="New", 2025, ""))
</f>
        <v>2023</v>
      </c>
      <c r="E482" s="151">
        <v>241.0</v>
      </c>
      <c r="F482" s="156" t="s">
        <v>191</v>
      </c>
      <c r="G482" s="156" t="s">
        <v>191</v>
      </c>
      <c r="H482" s="153" t="str">
        <f>IFERROR(__xludf.DUMMYFUNCTION("""COMPUTED_VALUE"""),"**Restoration_project** changed from Building Back Better to Unknown, **Year of establishment** changed from 2015 to 2015, **Technique/Material Type** changed from Unknown to jackstone type, **Restoration objective** changed from fish stock enhancement; f"&amp;"ishing ground to Unknown, **Funding agency** changed from Christian Aid to OWWA, **Implementing institution** changed from Iloilo CODE of NGOs to OWWA, **Partners_public** changed from Unknown to DOLE, MLGU, BFAR, **Partners_communities** changed from Bay"&amp;"as Maliog-liog Small Fisherfolks Association to Unknown, **Reference** changed from News to WOW Barbaza (2020). BATABAT CORAL REEF
Salamat sa buhi nga grasya kag Dunang Manggad kang Barbaza. Naga amat amat ka recover ang aton [Status Update] [Images attac"&amp;"hed]. Facebook. https://web.facebook.com/WowBarbaza/posts/1465824566934101/?locale=hi_IN&amp;paipv=0&amp;eav=AfZGOrjdBSpfnDByXcj_hdkMBUl2YwXgKC2OTKkQpaMRz9lV5OLoqc7rel_f4h4K1EI&amp;_rdc=1&amp;_rdr, **Website** changed from https://www.rappler.com/moveph/145137-iloilo-fis"&amp;"hermen-lead-coastal-management/ to https://web.facebook.com/WowBarbaza/posts/1465824566934101/?locale=hi_IN&amp;paipv=0&amp;eav=AfZGOrjdBSpfnDByXcj_hdkMBUl2YwXgKC2OTKkQpaMRz9lV5OLoqc7rel_f4h4K1EI&amp;_rdc=1&amp;_rdr, **Contact_details** changed from lgucarlesiloilo@gmail"&amp;".com to Unknown")</f>
        <v>**Restoration_project** changed from Building Back Better to Unknown, **Year of establishment** changed from 2015 to 2015, **Technique/Material Type** changed from Unknown to jackstone type, **Restoration objective** changed from fish stock enhancement; fishing ground to Unknown, **Funding agency** changed from Christian Aid to OWWA, **Implementing institution** changed from Iloilo CODE of NGOs to OWWA, **Partners_public** changed from Unknown to DOLE, MLGU, BFAR, **Partners_communities** changed from Bayas Maliog-liog Small Fisherfolks Association to Unknown, **Reference** changed from News to WOW Barbaza (2020). BATABAT CORAL REEF
Salamat sa buhi nga grasya kag Dunang Manggad kang Barbaza. Naga amat amat ka recover ang aton [Status Update] [Images attached]. Facebook. https://web.facebook.com/WowBarbaza/posts/1465824566934101/?locale=hi_IN&amp;paipv=0&amp;eav=AfZGOrjdBSpfnDByXcj_hdkMBUl2YwXgKC2OTKkQpaMRz9lV5OLoqc7rel_f4h4K1EI&amp;_rdc=1&amp;_rdr, **Website** changed from https://www.rappler.com/moveph/145137-iloilo-fishermen-lead-coastal-management/ to https://web.facebook.com/WowBarbaza/posts/1465824566934101/?locale=hi_IN&amp;paipv=0&amp;eav=AfZGOrjdBSpfnDByXcj_hdkMBUl2YwXgKC2OTKkQpaMRz9lV5OLoqc7rel_f4h4K1EI&amp;_rdc=1&amp;_rdr, **Contact_details** changed from lgucarlesiloilo@gmail.com to Unknown</v>
      </c>
      <c r="I482" s="153" t="s">
        <v>7035</v>
      </c>
      <c r="J482" s="153" t="s">
        <v>314</v>
      </c>
      <c r="K482" s="153" t="s">
        <v>858</v>
      </c>
      <c r="L482" s="153" t="s">
        <v>3122</v>
      </c>
      <c r="M482" s="181" t="s">
        <v>3123</v>
      </c>
      <c r="N482" s="153" t="s">
        <v>151</v>
      </c>
      <c r="O482" s="158" t="s">
        <v>149</v>
      </c>
      <c r="P482" s="156" t="s">
        <v>149</v>
      </c>
      <c r="Q482" s="169">
        <v>2015.0</v>
      </c>
      <c r="R482" s="160" t="s">
        <v>149</v>
      </c>
      <c r="S482" s="160" t="s">
        <v>149</v>
      </c>
      <c r="T482" s="161" t="s">
        <v>150</v>
      </c>
      <c r="U482" s="153">
        <f>IFERROR(__xludf.DUMMYFUNCTION("""COMPUTED_VALUE"""),454.0)</f>
        <v>454</v>
      </c>
      <c r="V482" s="162" t="s">
        <v>3311</v>
      </c>
      <c r="W482" s="184" t="s">
        <v>6032</v>
      </c>
      <c r="X482" s="28" t="s">
        <v>6033</v>
      </c>
      <c r="Y482" s="32" t="s">
        <v>789</v>
      </c>
      <c r="Z482" s="158" t="s">
        <v>790</v>
      </c>
      <c r="AA482" s="153" t="s">
        <v>7036</v>
      </c>
      <c r="AB482" s="158" t="s">
        <v>149</v>
      </c>
      <c r="AC482" s="153" t="s">
        <v>3124</v>
      </c>
      <c r="AD482" s="158" t="s">
        <v>160</v>
      </c>
      <c r="AE482" s="158" t="s">
        <v>6035</v>
      </c>
      <c r="AF482" s="158" t="s">
        <v>159</v>
      </c>
      <c r="AG482" s="164" t="s">
        <v>149</v>
      </c>
      <c r="AH482" s="158" t="s">
        <v>149</v>
      </c>
      <c r="AI482" s="158" t="s">
        <v>149</v>
      </c>
      <c r="AJ482" s="153" t="s">
        <v>3124</v>
      </c>
      <c r="AK482" s="153" t="s">
        <v>6035</v>
      </c>
      <c r="AL482" s="153" t="s">
        <v>7037</v>
      </c>
      <c r="AM482" s="156" t="s">
        <v>149</v>
      </c>
      <c r="AN482" s="156" t="s">
        <v>149</v>
      </c>
      <c r="AO482" s="156">
        <v>1.0</v>
      </c>
      <c r="AP482" s="156" t="s">
        <v>6037</v>
      </c>
      <c r="AQ482" s="153" t="s">
        <v>6038</v>
      </c>
      <c r="AR482" s="153" t="s">
        <v>3127</v>
      </c>
      <c r="AS482" s="177" t="s">
        <v>3128</v>
      </c>
      <c r="AT482" s="190" t="s">
        <v>149</v>
      </c>
      <c r="AU482" s="156" t="s">
        <v>149</v>
      </c>
    </row>
    <row r="483">
      <c r="A483" s="186">
        <v>241.0</v>
      </c>
      <c r="B483" s="152">
        <v>2023.0</v>
      </c>
      <c r="D483" s="152"/>
      <c r="E483" s="151">
        <v>241.0</v>
      </c>
      <c r="F483" s="129" t="s">
        <v>140</v>
      </c>
      <c r="G483" s="3" t="s">
        <v>6029</v>
      </c>
      <c r="H483" s="8" t="str">
        <f>IFERROR(__xludf.DUMMYFUNCTION("""COMPUTED_VALUE"""),"")</f>
        <v/>
      </c>
      <c r="I483" s="8" t="s">
        <v>7038</v>
      </c>
      <c r="J483" s="8" t="s">
        <v>314</v>
      </c>
      <c r="K483" s="8" t="s">
        <v>558</v>
      </c>
      <c r="L483" s="8" t="s">
        <v>786</v>
      </c>
      <c r="M483" s="8" t="s">
        <v>787</v>
      </c>
      <c r="N483" s="8" t="s">
        <v>6624</v>
      </c>
      <c r="O483" s="3" t="s">
        <v>149</v>
      </c>
      <c r="P483" s="8" t="s">
        <v>2331</v>
      </c>
      <c r="Q483" s="142" t="s">
        <v>6063</v>
      </c>
      <c r="R483" s="3" t="s">
        <v>149</v>
      </c>
      <c r="S483" s="3" t="s">
        <v>149</v>
      </c>
      <c r="T483" s="8"/>
      <c r="U483" s="8">
        <f>IFERROR(__xludf.DUMMYFUNCTION("""COMPUTED_VALUE"""),455.0)</f>
        <v>455</v>
      </c>
      <c r="V483" s="8"/>
      <c r="W483" s="8"/>
      <c r="X483" s="8"/>
      <c r="Y483" s="8"/>
      <c r="AA483" s="8" t="s">
        <v>730</v>
      </c>
      <c r="AB483" s="8" t="s">
        <v>1923</v>
      </c>
      <c r="AC483" s="8" t="s">
        <v>2332</v>
      </c>
      <c r="AG483" s="3" t="s">
        <v>149</v>
      </c>
      <c r="AH483" s="3" t="s">
        <v>149</v>
      </c>
      <c r="AI483" s="3" t="s">
        <v>149</v>
      </c>
      <c r="AJ483" s="8" t="s">
        <v>2332</v>
      </c>
      <c r="AL483" s="8" t="s">
        <v>2339</v>
      </c>
      <c r="AM483" s="3" t="s">
        <v>149</v>
      </c>
      <c r="AN483" s="3" t="s">
        <v>149</v>
      </c>
      <c r="AO483" s="8"/>
      <c r="AP483" s="8"/>
      <c r="AR483" s="8" t="s">
        <v>6084</v>
      </c>
      <c r="AS483" s="8" t="s">
        <v>2336</v>
      </c>
      <c r="AT483" s="3" t="s">
        <v>149</v>
      </c>
      <c r="AU483" s="3" t="s">
        <v>149</v>
      </c>
    </row>
    <row r="484">
      <c r="A484" s="186">
        <v>242.0</v>
      </c>
      <c r="B484" s="152">
        <v>2025.0</v>
      </c>
      <c r="C484" s="153" t="str">
        <f>CONCATENATE(D484, "-", M484, "-", A484)
</f>
        <v>2023-PH060605000-242</v>
      </c>
      <c r="D484" s="152">
        <f>IF(OR(F483="Published", F483="Unpublished"), 2023, IF(F483="New", 2025, ""))
</f>
        <v>2023</v>
      </c>
      <c r="E484" s="151">
        <v>242.0</v>
      </c>
      <c r="F484" s="156" t="s">
        <v>191</v>
      </c>
      <c r="G484" s="156" t="s">
        <v>191</v>
      </c>
      <c r="H484" s="153" t="str">
        <f>IFERROR(__xludf.DUMMYFUNCTION("""COMPUTED_VALUE"""),"**Restoration_project_short** changed from Supporting recovery of fishing livelihoods, mangroves and coral reefs in the Philippines after Typhoon Haiyan to Site in Semirara waters, **Year of establishment** changed from 2014 to 2022, **Restoration method*"&amp;"* changed from Artificial Reef; Asexual Reproduction to Artificial Reef, **Technique/Material Type** changed from CNU; coral planting to Reefballs, **Restoration objective** changed from Coral reef rehabilitation to Mitigate the impacts of overfishing, de"&amp;"structive fishing and coastal development, **Funding agency** changed from CONCERN Worldwide to Semirara Mining and Power Corporation, **Implementing institution** changed from CONCERN Worldwide to Semirara Mining and Power Corporation, **Partners_public*"&amp;"* changed from UP Visayas to Unknown, **Reference** changed from Report to Panay News (2022, October 7). SMPC turns over 40 fiberglass bancas for fishing livelihood. Panay News. https://www.panaynews.net/smpc-turns-over-40-fiberglass-bancas-for-fishing-li"&amp;"velihood/, **Website** changed from https://admin.concern.net/sites/default/files/media/migrated/_supporting_recovery_of_fishing_livelihoods_mangroves_and_coral_reefs_in_the_philippines_0.pdf to https://www.panaynews.net/smpc-turns-over-40-fiberglass-banc"&amp;"as-for-fishing-livelihood/")</f>
        <v>**Restoration_project_short** changed from Supporting recovery of fishing livelihoods, mangroves and coral reefs in the Philippines after Typhoon Haiyan to Site in Semirara waters, **Year of establishment** changed from 2014 to 2022, **Restoration method** changed from Artificial Reef; Asexual Reproduction to Artificial Reef, **Technique/Material Type** changed from CNU; coral planting to Reefballs, **Restoration objective** changed from Coral reef rehabilitation to Mitigate the impacts of overfishing, destructive fishing and coastal development, **Funding agency** changed from CONCERN Worldwide to Semirara Mining and Power Corporation, **Implementing institution** changed from CONCERN Worldwide to Semirara Mining and Power Corporation, **Partners_public** changed from UP Visayas to Unknown, **Reference** changed from Report to Panay News (2022, October 7). SMPC turns over 40 fiberglass bancas for fishing livelihood. Panay News. https://www.panaynews.net/smpc-turns-over-40-fiberglass-bancas-for-fishing-livelihood/, **Website** changed from https://admin.concern.net/sites/default/files/media/migrated/_supporting_recovery_of_fishing_livelihoods_mangroves_and_coral_reefs_in_the_philippines_0.pdf to https://www.panaynews.net/smpc-turns-over-40-fiberglass-bancas-for-fishing-livelihood/</v>
      </c>
      <c r="I484" s="153" t="s">
        <v>7039</v>
      </c>
      <c r="J484" s="153" t="s">
        <v>314</v>
      </c>
      <c r="K484" s="153" t="s">
        <v>858</v>
      </c>
      <c r="L484" s="153" t="s">
        <v>2660</v>
      </c>
      <c r="M484" s="181" t="s">
        <v>2661</v>
      </c>
      <c r="N484" s="153" t="s">
        <v>151</v>
      </c>
      <c r="O484" s="158" t="s">
        <v>149</v>
      </c>
      <c r="P484" s="153" t="s">
        <v>2662</v>
      </c>
      <c r="Q484" s="169">
        <v>2022.0</v>
      </c>
      <c r="R484" s="160" t="s">
        <v>149</v>
      </c>
      <c r="S484" s="160" t="s">
        <v>149</v>
      </c>
      <c r="T484" s="161" t="s">
        <v>150</v>
      </c>
      <c r="U484" s="153">
        <f>IFERROR(__xludf.DUMMYFUNCTION("""COMPUTED_VALUE"""),456.0)</f>
        <v>456</v>
      </c>
      <c r="V484" s="162" t="s">
        <v>3311</v>
      </c>
      <c r="W484" s="179" t="s">
        <v>6032</v>
      </c>
      <c r="X484" s="28" t="s">
        <v>6033</v>
      </c>
      <c r="Y484" s="32" t="s">
        <v>337</v>
      </c>
      <c r="Z484" s="158" t="s">
        <v>337</v>
      </c>
      <c r="AA484" s="153" t="s">
        <v>7040</v>
      </c>
      <c r="AB484" s="153" t="s">
        <v>2663</v>
      </c>
      <c r="AC484" s="153" t="s">
        <v>2664</v>
      </c>
      <c r="AD484" s="158" t="s">
        <v>160</v>
      </c>
      <c r="AE484" s="158" t="s">
        <v>184</v>
      </c>
      <c r="AF484" s="158" t="s">
        <v>159</v>
      </c>
      <c r="AG484" s="164" t="s">
        <v>149</v>
      </c>
      <c r="AH484" s="158" t="s">
        <v>149</v>
      </c>
      <c r="AI484" s="158" t="s">
        <v>149</v>
      </c>
      <c r="AJ484" s="153" t="s">
        <v>2664</v>
      </c>
      <c r="AK484" s="158" t="s">
        <v>184</v>
      </c>
      <c r="AL484" s="156" t="s">
        <v>149</v>
      </c>
      <c r="AM484" s="156" t="s">
        <v>149</v>
      </c>
      <c r="AN484" s="156" t="s">
        <v>149</v>
      </c>
      <c r="AO484" s="156">
        <v>1.0</v>
      </c>
      <c r="AP484" s="156" t="s">
        <v>6037</v>
      </c>
      <c r="AQ484" s="158" t="s">
        <v>166</v>
      </c>
      <c r="AR484" s="153" t="s">
        <v>2665</v>
      </c>
      <c r="AS484" s="172" t="s">
        <v>2666</v>
      </c>
      <c r="AT484" s="190" t="s">
        <v>149</v>
      </c>
      <c r="AU484" s="156" t="s">
        <v>149</v>
      </c>
    </row>
    <row r="485">
      <c r="A485" s="186">
        <v>242.0</v>
      </c>
      <c r="B485" s="152">
        <v>2023.0</v>
      </c>
      <c r="D485" s="152"/>
      <c r="E485" s="151">
        <v>242.0</v>
      </c>
      <c r="F485" s="129" t="s">
        <v>140</v>
      </c>
      <c r="G485" s="3" t="s">
        <v>6029</v>
      </c>
      <c r="H485" s="8" t="str">
        <f>IFERROR(__xludf.DUMMYFUNCTION("""COMPUTED_VALUE"""),"")</f>
        <v/>
      </c>
      <c r="I485" s="8" t="s">
        <v>7041</v>
      </c>
      <c r="J485" s="8" t="s">
        <v>314</v>
      </c>
      <c r="K485" s="8" t="s">
        <v>558</v>
      </c>
      <c r="L485" s="8" t="s">
        <v>2066</v>
      </c>
      <c r="M485" s="8" t="s">
        <v>2067</v>
      </c>
      <c r="N485" s="8" t="s">
        <v>6624</v>
      </c>
      <c r="O485" s="3" t="s">
        <v>149</v>
      </c>
      <c r="P485" s="8" t="s">
        <v>2331</v>
      </c>
      <c r="Q485" s="142" t="s">
        <v>6063</v>
      </c>
      <c r="R485" s="3" t="s">
        <v>149</v>
      </c>
      <c r="S485" s="3" t="s">
        <v>149</v>
      </c>
      <c r="T485" s="8"/>
      <c r="U485" s="8">
        <f>IFERROR(__xludf.DUMMYFUNCTION("""COMPUTED_VALUE"""),457.0)</f>
        <v>457</v>
      </c>
      <c r="V485" s="8"/>
      <c r="W485" s="8"/>
      <c r="X485" s="8"/>
      <c r="Y485" s="8"/>
      <c r="AA485" s="8" t="s">
        <v>730</v>
      </c>
      <c r="AB485" s="8" t="s">
        <v>1923</v>
      </c>
      <c r="AC485" s="8" t="s">
        <v>2332</v>
      </c>
      <c r="AG485" s="3" t="s">
        <v>149</v>
      </c>
      <c r="AH485" s="3" t="s">
        <v>149</v>
      </c>
      <c r="AI485" s="3" t="s">
        <v>149</v>
      </c>
      <c r="AJ485" s="8" t="s">
        <v>2332</v>
      </c>
      <c r="AL485" s="8" t="s">
        <v>2339</v>
      </c>
      <c r="AM485" s="3" t="s">
        <v>149</v>
      </c>
      <c r="AN485" s="3" t="s">
        <v>149</v>
      </c>
      <c r="AO485" s="8"/>
      <c r="AP485" s="8"/>
      <c r="AR485" s="8" t="s">
        <v>6084</v>
      </c>
      <c r="AS485" s="172" t="s">
        <v>2336</v>
      </c>
      <c r="AT485" s="3" t="s">
        <v>149</v>
      </c>
      <c r="AU485" s="3" t="s">
        <v>149</v>
      </c>
      <c r="AV485" s="8" t="s">
        <v>6109</v>
      </c>
    </row>
    <row r="486">
      <c r="A486" s="186">
        <v>243.0</v>
      </c>
      <c r="B486" s="152">
        <v>2025.0</v>
      </c>
      <c r="C486" s="153" t="str">
        <f>CONCATENATE(D486, "-", M486, "-", A486)
</f>
        <v>2023-PH060606000-243</v>
      </c>
      <c r="D486" s="152">
        <f>IF(OR(F485="Published", F485="Unpublished"), 2023, IF(F485="New", 2025, ""))
</f>
        <v>2023</v>
      </c>
      <c r="E486" s="151">
        <v>243.0</v>
      </c>
      <c r="F486" s="129" t="s">
        <v>140</v>
      </c>
      <c r="G486" s="156" t="s">
        <v>141</v>
      </c>
      <c r="H486" s="153" t="str">
        <f>IFERROR(__xludf.DUMMYFUNCTION("""COMPUTED_VALUE"""),"**Restoration_project** changed from Unknown to Community Fishery Resources Management , **Restoration_project_short** changed from Supporting recovery of fishing livelihoods, mangroves and coral reefs in the Philippines after Typhoon Haiyan to Unknown, *"&amp;"*Year of establishment** changed from 2014 to 1994, **Restoration method** changed from Artificial Reef; Asexual Reproduction to Artificial Reef, **Technique/Material Type** changed from CNU; coral planting to Beams and cylinders, **Restoration objective*"&amp;"* changed from Coral reef rehabilitation to Experimental; Rehabilitation of fish and benthic communities, **Funding agency** changed from CONCERN Worldwide to Unknown, **Total units** changed from Unknown to 31 modules, **Implementing institution** change"&amp;"d from CONCERN Worldwide to Southeast Asian Fisheries Development Center (SEAFDEC) AQD, **Partners_public** changed from UP Visayas to Unknown, **Reference** changed from Report to Balgos, M.C. (1995). Evaluation of artificial reef development in the Phil"&amp;"ippines. In Munro, J.L. &amp; Balgos, M. (eds.) Artificial reefs in the Philippines. ICLARM Conf. Proc. 49, pp. 6-22., **Website** changed from https://admin.concern.net/sites/default/files/media/migrated/_supporting_recovery_of_fishing_livelihoods_mangroves_"&amp;"and_coral_reefs_in_the_philippines_0.pdf to https://core.ac.uk/download/pdf/6515223.pdf;, **Contact_name** changed from Unknown to Miriam Balgos")</f>
        <v>**Restoration_project** changed from Unknown to Community Fishery Resources Management , **Restoration_project_short** changed from Supporting recovery of fishing livelihoods, mangroves and coral reefs in the Philippines after Typhoon Haiyan to Unknown, **Year of establishment** changed from 2014 to 1994, **Restoration method** changed from Artificial Reef; Asexual Reproduction to Artificial Reef, **Technique/Material Type** changed from CNU; coral planting to Beams and cylinders, **Restoration objective** changed from Coral reef rehabilitation to Experimental; Rehabilitation of fish and benthic communities, **Funding agency** changed from CONCERN Worldwide to Unknown, **Total units** changed from Unknown to 31 modules, **Implementing institution** changed from CONCERN Worldwide to Southeast Asian Fisheries Development Center (SEAFDEC) AQD, **Partners_public** changed from UP Visayas to Unknown, **Reference** changed from Report to Balgos, M.C. (1995). Evaluation of artificial reef development in the Philippines. In Munro, J.L. &amp; Balgos, M. (eds.) Artificial reefs in the Philippines. ICLARM Conf. Proc. 49, pp. 6-22., **Website** changed from https://admin.concern.net/sites/default/files/media/migrated/_supporting_recovery_of_fishing_livelihoods_mangroves_and_coral_reefs_in_the_philippines_0.pdf to https://core.ac.uk/download/pdf/6515223.pdf;, **Contact_name** changed from Unknown to Miriam Balgos</v>
      </c>
      <c r="I486" s="153" t="s">
        <v>7042</v>
      </c>
      <c r="J486" s="153" t="s">
        <v>314</v>
      </c>
      <c r="K486" s="153" t="s">
        <v>858</v>
      </c>
      <c r="L486" s="153" t="s">
        <v>859</v>
      </c>
      <c r="M486" s="181" t="s">
        <v>860</v>
      </c>
      <c r="N486" s="153" t="s">
        <v>151</v>
      </c>
      <c r="O486" s="153" t="s">
        <v>861</v>
      </c>
      <c r="P486" s="3" t="s">
        <v>149</v>
      </c>
      <c r="Q486" s="169">
        <v>1994.0</v>
      </c>
      <c r="R486" s="160" t="s">
        <v>149</v>
      </c>
      <c r="S486" s="160" t="s">
        <v>149</v>
      </c>
      <c r="T486" s="161" t="s">
        <v>150</v>
      </c>
      <c r="U486" s="153">
        <f>IFERROR(__xludf.DUMMYFUNCTION("""COMPUTED_VALUE"""),458.0)</f>
        <v>458</v>
      </c>
      <c r="V486" s="162" t="s">
        <v>3311</v>
      </c>
      <c r="W486" s="179" t="s">
        <v>6626</v>
      </c>
      <c r="X486" s="28" t="s">
        <v>6173</v>
      </c>
      <c r="Y486" s="32" t="s">
        <v>3393</v>
      </c>
      <c r="Z486" s="158" t="s">
        <v>3393</v>
      </c>
      <c r="AA486" s="153" t="s">
        <v>3393</v>
      </c>
      <c r="AB486" s="153" t="s">
        <v>866</v>
      </c>
      <c r="AC486" s="158" t="s">
        <v>149</v>
      </c>
      <c r="AD486" s="158" t="s">
        <v>149</v>
      </c>
      <c r="AE486" s="158" t="s">
        <v>149</v>
      </c>
      <c r="AF486" s="158" t="s">
        <v>149</v>
      </c>
      <c r="AG486" s="164" t="s">
        <v>149</v>
      </c>
      <c r="AH486" s="158" t="s">
        <v>149</v>
      </c>
      <c r="AI486" s="153" t="s">
        <v>867</v>
      </c>
      <c r="AJ486" s="153" t="s">
        <v>868</v>
      </c>
      <c r="AK486" s="158" t="s">
        <v>869</v>
      </c>
      <c r="AL486" s="3" t="s">
        <v>149</v>
      </c>
      <c r="AM486" s="3" t="s">
        <v>149</v>
      </c>
      <c r="AN486" s="3" t="s">
        <v>149</v>
      </c>
      <c r="AO486" s="156">
        <v>1.0</v>
      </c>
      <c r="AP486" s="156" t="s">
        <v>6037</v>
      </c>
      <c r="AQ486" s="158" t="s">
        <v>395</v>
      </c>
      <c r="AR486" s="153" t="s">
        <v>6060</v>
      </c>
      <c r="AS486" s="158" t="s">
        <v>6711</v>
      </c>
      <c r="AT486" s="153" t="s">
        <v>398</v>
      </c>
      <c r="AU486" s="3" t="s">
        <v>149</v>
      </c>
    </row>
    <row r="487">
      <c r="A487" s="186">
        <v>243.0</v>
      </c>
      <c r="B487" s="152">
        <v>2023.0</v>
      </c>
      <c r="D487" s="152"/>
      <c r="E487" s="151">
        <v>243.0</v>
      </c>
      <c r="F487" s="129" t="s">
        <v>140</v>
      </c>
      <c r="G487" s="3" t="s">
        <v>6029</v>
      </c>
      <c r="H487" s="8" t="str">
        <f>IFERROR(__xludf.DUMMYFUNCTION("""COMPUTED_VALUE"""),"")</f>
        <v/>
      </c>
      <c r="I487" s="8" t="s">
        <v>7043</v>
      </c>
      <c r="J487" s="8" t="s">
        <v>314</v>
      </c>
      <c r="K487" s="8" t="s">
        <v>558</v>
      </c>
      <c r="L487" s="8" t="s">
        <v>3143</v>
      </c>
      <c r="M487" s="8" t="s">
        <v>3144</v>
      </c>
      <c r="N487" s="8" t="s">
        <v>151</v>
      </c>
      <c r="O487" s="3" t="s">
        <v>149</v>
      </c>
      <c r="P487" s="3" t="s">
        <v>7044</v>
      </c>
      <c r="Q487" s="3" t="s">
        <v>149</v>
      </c>
      <c r="R487" s="3" t="s">
        <v>149</v>
      </c>
      <c r="S487" s="3" t="s">
        <v>149</v>
      </c>
      <c r="T487" s="8"/>
      <c r="U487" s="8">
        <f>IFERROR(__xludf.DUMMYFUNCTION("""COMPUTED_VALUE"""),459.0)</f>
        <v>459</v>
      </c>
      <c r="V487" s="8"/>
      <c r="W487" s="3"/>
      <c r="X487" s="8"/>
      <c r="Y487" s="8"/>
      <c r="AA487" s="3" t="s">
        <v>149</v>
      </c>
      <c r="AB487" s="3" t="s">
        <v>149</v>
      </c>
      <c r="AC487" s="3" t="s">
        <v>149</v>
      </c>
      <c r="AG487" s="3" t="s">
        <v>149</v>
      </c>
      <c r="AH487" s="3" t="s">
        <v>149</v>
      </c>
      <c r="AI487" s="3" t="s">
        <v>149</v>
      </c>
      <c r="AJ487" s="3" t="s">
        <v>149</v>
      </c>
      <c r="AL487" s="3" t="s">
        <v>149</v>
      </c>
      <c r="AM487" s="3" t="s">
        <v>149</v>
      </c>
      <c r="AN487" s="3" t="s">
        <v>149</v>
      </c>
      <c r="AO487" s="8"/>
      <c r="AP487" s="8"/>
      <c r="AR487" s="8" t="s">
        <v>6027</v>
      </c>
      <c r="AS487" s="8" t="s">
        <v>2105</v>
      </c>
      <c r="AT487" s="3" t="s">
        <v>149</v>
      </c>
      <c r="AU487" s="3" t="s">
        <v>149</v>
      </c>
    </row>
    <row r="488">
      <c r="A488" s="186">
        <v>244.0</v>
      </c>
      <c r="B488" s="152">
        <v>2023.0</v>
      </c>
      <c r="D488" s="152"/>
      <c r="E488" s="151">
        <v>244.0</v>
      </c>
      <c r="F488" s="129" t="s">
        <v>140</v>
      </c>
      <c r="G488" s="3" t="s">
        <v>6029</v>
      </c>
      <c r="H488" s="8" t="str">
        <f>IFERROR(__xludf.DUMMYFUNCTION("""COMPUTED_VALUE"""),"")</f>
        <v/>
      </c>
      <c r="I488" s="8" t="s">
        <v>7045</v>
      </c>
      <c r="J488" s="8" t="s">
        <v>314</v>
      </c>
      <c r="K488" s="8" t="s">
        <v>558</v>
      </c>
      <c r="L488" s="8" t="s">
        <v>559</v>
      </c>
      <c r="M488" s="153" t="s">
        <v>560</v>
      </c>
      <c r="N488" s="8" t="s">
        <v>151</v>
      </c>
      <c r="O488" s="8" t="s">
        <v>384</v>
      </c>
      <c r="P488" s="8" t="s">
        <v>561</v>
      </c>
      <c r="Q488" s="142" t="s">
        <v>6052</v>
      </c>
      <c r="R488" s="142" t="s">
        <v>6052</v>
      </c>
      <c r="S488" s="142" t="s">
        <v>6053</v>
      </c>
      <c r="T488" s="8"/>
      <c r="U488" s="8">
        <f>IFERROR(__xludf.DUMMYFUNCTION("""COMPUTED_VALUE"""),460.0)</f>
        <v>460</v>
      </c>
      <c r="V488" s="8"/>
      <c r="W488" s="8"/>
      <c r="X488" s="8"/>
      <c r="Y488" s="8"/>
      <c r="AA488" s="8" t="s">
        <v>6054</v>
      </c>
      <c r="AB488" s="3" t="s">
        <v>149</v>
      </c>
      <c r="AC488" s="8" t="s">
        <v>390</v>
      </c>
      <c r="AG488" s="3" t="s">
        <v>149</v>
      </c>
      <c r="AH488" s="3" t="s">
        <v>149</v>
      </c>
      <c r="AI488" s="3" t="s">
        <v>149</v>
      </c>
      <c r="AJ488" s="8" t="s">
        <v>390</v>
      </c>
      <c r="AL488" s="8" t="s">
        <v>6055</v>
      </c>
      <c r="AM488" s="3" t="s">
        <v>149</v>
      </c>
      <c r="AN488" s="3" t="s">
        <v>149</v>
      </c>
      <c r="AO488" s="8"/>
      <c r="AP488" s="8"/>
      <c r="AR488" s="8" t="s">
        <v>6057</v>
      </c>
      <c r="AS488" s="8" t="s">
        <v>2873</v>
      </c>
      <c r="AT488" s="8" t="s">
        <v>398</v>
      </c>
      <c r="AU488" s="3" t="s">
        <v>149</v>
      </c>
    </row>
    <row r="489">
      <c r="A489" s="186">
        <v>244.0</v>
      </c>
      <c r="B489" s="152">
        <v>2025.0</v>
      </c>
      <c r="C489" s="153" t="str">
        <f t="shared" ref="C489:C490" si="55">CONCATENATE(D489, "-", M489, "-", A489)
</f>
        <v>2023-PH061914000-244</v>
      </c>
      <c r="D489" s="152">
        <f t="shared" ref="D489:D490" si="56">IF(OR(F488="Published", F488="Unpublished"), 2023, IF(F488="New", 2025, ""))
</f>
        <v>2023</v>
      </c>
      <c r="E489" s="151">
        <v>244.0</v>
      </c>
      <c r="F489" s="156" t="s">
        <v>140</v>
      </c>
      <c r="G489" s="156" t="s">
        <v>141</v>
      </c>
      <c r="H489" s="153" t="str">
        <f>IFERROR(__xludf.DUMMYFUNCTION("""COMPUTED_VALUE"""),"**Restoration_project** changed from Artificial Reef Development Program to Unknown, **Restoration_project_short** changed from Site in Bungol to (*Mention of Roxas City receiving 1M from BFAR for installation of jackstone type Ars), **Year of establishme"&amp;"nt** changed from 1985 to Unknown, **Project Start** changed from 1985 to Unknown, **Project End** changed from 1987 to Unknown, **Technique/Material Type** changed from tires to Jackstone, **Total units** changed from Unknown to 560 units, **Implementing"&amp;" institution** changed from BFAR to CLGU, **Partners_public** changed from Ministry of Human Settlements to Unknown, **Reference** changed from Conference Proceediing to Dadivas, R. (n.d.). ""Guintugyan subong sa akon nanday Mr. Alvin Beltran kag Vincent "&amp;"Fernandez sang Bureau of Fisheries and Aquatic Resources (BFAR) ang P1 million"". Roxas City receives P1M for 560 Units Jackstone Type Artificial Reefs Project. http://roxascity.gov.ph/roxas-city-receives-p1m-for-560-units-jackstone-type-artificial-reefs-"&amp;"project/, **Website** changed from http://pubs.iclarm.net/libinfo/Pdf/Pub%20CP6%2049.pdf to http://roxascity.gov.ph/roxas-city-receives-p1m-for-560-units-jackstone-type-artificial-reefs-project/, **Contact_name** changed from Miriam Balgos to Unknown")</f>
        <v>**Restoration_project** changed from Artificial Reef Development Program to Unknown, **Restoration_project_short** changed from Site in Bungol to (*Mention of Roxas City receiving 1M from BFAR for installation of jackstone type Ars), **Year of establishment** changed from 1985 to Unknown, **Project Start** changed from 1985 to Unknown, **Project End** changed from 1987 to Unknown, **Technique/Material Type** changed from tires to Jackstone, **Total units** changed from Unknown to 560 units, **Implementing institution** changed from BFAR to CLGU, **Partners_public** changed from Ministry of Human Settlements to Unknown, **Reference** changed from Conference Proceediing to 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 **Website** changed from http://pubs.iclarm.net/libinfo/Pdf/Pub%20CP6%2049.pdf to http://roxascity.gov.ph/roxas-city-receives-p1m-for-560-units-jackstone-type-artificial-reefs-project/, **Contact_name** changed from Miriam Balgos to Unknown</v>
      </c>
      <c r="I489" s="153" t="s">
        <v>7046</v>
      </c>
      <c r="J489" s="153" t="s">
        <v>314</v>
      </c>
      <c r="K489" s="153" t="s">
        <v>1364</v>
      </c>
      <c r="L489" s="153" t="s">
        <v>3917</v>
      </c>
      <c r="M489" s="181" t="s">
        <v>3131</v>
      </c>
      <c r="N489" s="153" t="s">
        <v>151</v>
      </c>
      <c r="O489" s="158" t="s">
        <v>149</v>
      </c>
      <c r="P489" s="153" t="s">
        <v>7017</v>
      </c>
      <c r="Q489" s="178" t="s">
        <v>149</v>
      </c>
      <c r="R489" s="160" t="s">
        <v>149</v>
      </c>
      <c r="S489" s="160" t="s">
        <v>149</v>
      </c>
      <c r="T489" s="161" t="s">
        <v>150</v>
      </c>
      <c r="U489" s="153">
        <f>IFERROR(__xludf.DUMMYFUNCTION("""COMPUTED_VALUE"""),461.0)</f>
        <v>461</v>
      </c>
      <c r="V489" s="162" t="s">
        <v>3311</v>
      </c>
      <c r="W489" s="184" t="s">
        <v>6032</v>
      </c>
      <c r="X489" s="28" t="s">
        <v>6033</v>
      </c>
      <c r="Y489" s="32" t="s">
        <v>789</v>
      </c>
      <c r="Z489" s="158" t="s">
        <v>790</v>
      </c>
      <c r="AA489" s="153" t="s">
        <v>790</v>
      </c>
      <c r="AB489" s="158" t="s">
        <v>149</v>
      </c>
      <c r="AC489" s="153" t="s">
        <v>390</v>
      </c>
      <c r="AD489" s="158" t="s">
        <v>160</v>
      </c>
      <c r="AE489" s="158" t="s">
        <v>6035</v>
      </c>
      <c r="AF489" s="158" t="s">
        <v>159</v>
      </c>
      <c r="AG489" s="164" t="s">
        <v>149</v>
      </c>
      <c r="AH489" s="158" t="s">
        <v>149</v>
      </c>
      <c r="AI489" s="153" t="s">
        <v>3133</v>
      </c>
      <c r="AJ489" s="153" t="s">
        <v>228</v>
      </c>
      <c r="AK489" s="153" t="s">
        <v>6035</v>
      </c>
      <c r="AL489" s="3" t="s">
        <v>149</v>
      </c>
      <c r="AM489" s="3" t="s">
        <v>149</v>
      </c>
      <c r="AN489" s="3" t="s">
        <v>149</v>
      </c>
      <c r="AO489" s="156">
        <v>1.0</v>
      </c>
      <c r="AP489" s="156" t="s">
        <v>6037</v>
      </c>
      <c r="AQ489" s="158" t="s">
        <v>6027</v>
      </c>
      <c r="AR489" s="153" t="s">
        <v>3134</v>
      </c>
      <c r="AS489" s="165" t="s">
        <v>3135</v>
      </c>
      <c r="AT489" s="3" t="s">
        <v>149</v>
      </c>
      <c r="AU489" s="3" t="s">
        <v>149</v>
      </c>
    </row>
    <row r="490">
      <c r="A490" s="186">
        <v>245.0</v>
      </c>
      <c r="B490" s="152">
        <v>2025.0</v>
      </c>
      <c r="C490" s="153" t="str">
        <f t="shared" si="55"/>
        <v>2023-PH061915000-245</v>
      </c>
      <c r="D490" s="152">
        <f t="shared" si="56"/>
        <v>2023</v>
      </c>
      <c r="E490" s="151">
        <v>245.0</v>
      </c>
      <c r="F490" s="156" t="s">
        <v>191</v>
      </c>
      <c r="G490" s="156" t="s">
        <v>191</v>
      </c>
      <c r="H490" s="153" t="str">
        <f>IFERROR(__xludf.DUMMYFUNCTION("""COMPUTED_VALUE"""),"**Restoration_project** changed from Unknown to Fisheries Resource Management Project, **Restoration_project_short** changed from (*Mention of Roxas City receiving 1M from BFAR for installation of jackstone type Ars) to Site in Sapian Bay; located in the "&amp;"buffer zone of Sapian Bay MPA, **Project Start** changed from Unknown to 1999, **Project End** changed from Unknown to 2005, **Technique/Material Type** changed from Jackstone to Concrete cubic, **Restoration objective** changed from Unknown to Recover fi"&amp;"sh resources; deterrence against trawlers, **Funding agency** changed from BFAR to ADB, Japan Bank for International Cooperation, **Total units** changed from 560 units to 64 units, **Implementing institution** changed from CLGU to BFAR, **Reference** cha"&amp;"nged from Dadivas, R. (n.d.). ""Guintugyan subong sa akon nanday Mr. Alvin Beltran kag Vincent Fernandez sang Bureau of Fisheries and Aquatic Resources (BFAR) ang P1 million"". Roxas City receives P1M for 560 Units Jackstone Type Artificial Reefs Project."&amp;" http://roxascity.gov.ph/roxas-city-receives-p1m-for-560-units-jackstone-type-artificial-reefs-project/ to Watanuki, N., &amp; Gonzales, B. (2006). The Potential of Artificial Reefs as Fisheries Management Tools in Developing Countries. Bulletin of Marine Sci"&amp;"ence, 78(1), 9-19. https://pkp-new.pcsd.gov.ph/the-potential-of-artificial-reefs-as-fisheries-management-tools-in-developing-countries/, **Website** changed from http://roxascity.gov.ph/roxas-city-receives-p1m-for-560-units-jackstone-type-artificial-reefs"&amp;"-project/ to https://www.researchgate.net/publication/233680292_The_potential_of_artificial_reefs_as_fisheries_management_tools_in_developing_countries")</f>
        <v>**Restoration_project** changed from Unknown to Fisheries Resource Management Project, **Restoration_project_short** changed from (*Mention of Roxas City receiving 1M from BFAR for installation of jackstone type Ars) to Site in Sapian Bay; located in the buffer zone of Sapian Bay MPA, **Project Start** changed from Unknown to 1999, **Project End** changed from Unknown to 2005, **Technique/Material Type** changed from Jackstone to Concrete cubic, **Restoration objective** changed from Unknown to Recover fish resources; deterrence against trawlers, **Funding agency** changed from BFAR to ADB, Japan Bank for International Cooperation, **Total units** changed from 560 units to 64 units, **Implementing institution** changed from CLGU to BFAR, **Reference** changed from Dadivas, R. (n.d.). "Guintugyan subong sa akon nanday Mr. Alvin Beltran kag Vincent Fernandez sang Bureau of Fisheries and Aquatic Resources (BFAR) ang P1 million". Roxas City receives P1M for 560 Units Jackstone Type Artificial Reefs Project. http://roxascity.gov.ph/roxas-city-receives-p1m-for-560-units-jackstone-type-artificial-reefs-project/ to Watanuki, N., &amp; Gonzales, B. (2006). The Potential of Artificial Reefs as Fisheries Management Tools in Developing Countries. Bulletin of Marine Science, 78(1), 9-19. https://pkp-new.pcsd.gov.ph/the-potential-of-artificial-reefs-as-fisheries-management-tools-in-developing-countries/, **Website** changed from http://roxascity.gov.ph/roxas-city-receives-p1m-for-560-units-jackstone-type-artificial-reefs-project/ to https://www.researchgate.net/publication/233680292_The_potential_of_artificial_reefs_as_fisheries_management_tools_in_developing_countries</v>
      </c>
      <c r="I490" s="153" t="s">
        <v>7047</v>
      </c>
      <c r="J490" s="153" t="s">
        <v>314</v>
      </c>
      <c r="K490" s="153" t="s">
        <v>1364</v>
      </c>
      <c r="L490" s="153" t="s">
        <v>7048</v>
      </c>
      <c r="M490" s="181" t="s">
        <v>1366</v>
      </c>
      <c r="N490" s="153" t="s">
        <v>151</v>
      </c>
      <c r="O490" s="158" t="s">
        <v>1367</v>
      </c>
      <c r="P490" s="153" t="s">
        <v>7049</v>
      </c>
      <c r="Q490" s="197" t="s">
        <v>149</v>
      </c>
      <c r="R490" s="160" t="s">
        <v>6210</v>
      </c>
      <c r="S490" s="160" t="s">
        <v>6230</v>
      </c>
      <c r="T490" s="161" t="s">
        <v>150</v>
      </c>
      <c r="U490" s="153">
        <f>IFERROR(__xludf.DUMMYFUNCTION("""COMPUTED_VALUE"""),462.0)</f>
        <v>462</v>
      </c>
      <c r="V490" s="162" t="s">
        <v>3311</v>
      </c>
      <c r="W490" s="184" t="s">
        <v>6032</v>
      </c>
      <c r="X490" s="28" t="s">
        <v>6173</v>
      </c>
      <c r="Y490" s="32" t="s">
        <v>6474</v>
      </c>
      <c r="Z490" s="158" t="s">
        <v>152</v>
      </c>
      <c r="AA490" s="158" t="s">
        <v>911</v>
      </c>
      <c r="AB490" s="153" t="s">
        <v>1369</v>
      </c>
      <c r="AC490" s="158" t="s">
        <v>1370</v>
      </c>
      <c r="AD490" s="158" t="s">
        <v>6154</v>
      </c>
      <c r="AE490" s="158" t="s">
        <v>206</v>
      </c>
      <c r="AF490" s="158" t="s">
        <v>159</v>
      </c>
      <c r="AG490" s="164" t="s">
        <v>149</v>
      </c>
      <c r="AH490" s="158" t="s">
        <v>149</v>
      </c>
      <c r="AI490" s="153" t="s">
        <v>1371</v>
      </c>
      <c r="AJ490" s="158" t="s">
        <v>390</v>
      </c>
      <c r="AK490" s="158" t="s">
        <v>6035</v>
      </c>
      <c r="AL490" s="156" t="s">
        <v>149</v>
      </c>
      <c r="AM490" s="156" t="s">
        <v>149</v>
      </c>
      <c r="AN490" s="156" t="s">
        <v>149</v>
      </c>
      <c r="AO490" s="156">
        <v>1.0</v>
      </c>
      <c r="AP490" s="156" t="s">
        <v>6037</v>
      </c>
      <c r="AQ490" s="158" t="s">
        <v>6214</v>
      </c>
      <c r="AR490" s="153" t="s">
        <v>1372</v>
      </c>
      <c r="AS490" s="172" t="s">
        <v>1373</v>
      </c>
      <c r="AT490" s="156" t="s">
        <v>149</v>
      </c>
      <c r="AU490" s="156" t="s">
        <v>149</v>
      </c>
    </row>
    <row r="491">
      <c r="A491" s="186">
        <v>245.0</v>
      </c>
      <c r="B491" s="152">
        <v>2023.0</v>
      </c>
      <c r="D491" s="152"/>
      <c r="E491" s="151">
        <v>245.0</v>
      </c>
      <c r="F491" s="129" t="s">
        <v>140</v>
      </c>
      <c r="G491" s="3" t="s">
        <v>6029</v>
      </c>
      <c r="H491" s="8" t="str">
        <f>IFERROR(__xludf.DUMMYFUNCTION("""COMPUTED_VALUE"""),"")</f>
        <v/>
      </c>
      <c r="I491" s="8" t="s">
        <v>7050</v>
      </c>
      <c r="J491" s="8" t="s">
        <v>314</v>
      </c>
      <c r="K491" s="8" t="s">
        <v>558</v>
      </c>
      <c r="L491" s="8" t="s">
        <v>2553</v>
      </c>
      <c r="M491" s="8" t="s">
        <v>2554</v>
      </c>
      <c r="N491" s="8" t="s">
        <v>151</v>
      </c>
      <c r="O491" s="3" t="s">
        <v>149</v>
      </c>
      <c r="P491" s="3" t="s">
        <v>149</v>
      </c>
      <c r="Q491" s="142" t="s">
        <v>6089</v>
      </c>
      <c r="R491" s="3" t="s">
        <v>149</v>
      </c>
      <c r="S491" s="3" t="s">
        <v>149</v>
      </c>
      <c r="T491" s="8"/>
      <c r="U491" s="8">
        <f>IFERROR(__xludf.DUMMYFUNCTION("""COMPUTED_VALUE"""),463.0)</f>
        <v>463</v>
      </c>
      <c r="V491" s="8"/>
      <c r="W491" s="3"/>
      <c r="X491" s="8"/>
      <c r="Y491" s="8"/>
      <c r="AA491" s="3" t="s">
        <v>149</v>
      </c>
      <c r="AB491" s="8" t="s">
        <v>7051</v>
      </c>
      <c r="AC491" s="3" t="s">
        <v>149</v>
      </c>
      <c r="AG491" s="3" t="s">
        <v>149</v>
      </c>
      <c r="AH491" s="3" t="s">
        <v>149</v>
      </c>
      <c r="AI491" s="3" t="s">
        <v>149</v>
      </c>
      <c r="AJ491" s="3" t="s">
        <v>149</v>
      </c>
      <c r="AL491" s="8" t="s">
        <v>2557</v>
      </c>
      <c r="AM491" s="3" t="s">
        <v>149</v>
      </c>
      <c r="AN491" s="3" t="s">
        <v>149</v>
      </c>
      <c r="AO491" s="8"/>
      <c r="AP491" s="8"/>
      <c r="AR491" s="8" t="s">
        <v>7034</v>
      </c>
      <c r="AS491" s="8" t="s">
        <v>2559</v>
      </c>
      <c r="AT491" s="3" t="s">
        <v>149</v>
      </c>
      <c r="AU491" s="3" t="s">
        <v>149</v>
      </c>
    </row>
    <row r="492">
      <c r="A492" s="186">
        <v>246.0</v>
      </c>
      <c r="B492" s="152">
        <v>2025.0</v>
      </c>
      <c r="C492" s="153" t="str">
        <f>CONCATENATE(D492, "-", M492, "-", A492)
</f>
        <v>2023-PH063001000-246</v>
      </c>
      <c r="D492" s="152">
        <f>IF(OR(F491="Published", F491="Unpublished"), 2023, IF(F491="New", 2025, ""))
</f>
        <v>2023</v>
      </c>
      <c r="E492" s="151">
        <v>246.0</v>
      </c>
      <c r="F492" s="129" t="s">
        <v>140</v>
      </c>
      <c r="G492" s="156" t="s">
        <v>141</v>
      </c>
      <c r="H492" s="153" t="str">
        <f>IFERROR(__xludf.DUMMYFUNCTION("""COMPUTED_VALUE"""),"**Restoration_project** changed from Unknown to KALAHI-CIDSS Subproject, **Year of establishment** changed from 2013 to 2004, **Restoration objective** changed from revive fishing; habitat of fish and marine resources to fish stock enhancement; fishing gr"&amp;"ound, **Funding agency** changed from Unknown to DSWD, **Total units** changed from Unknown to 150 units, **Implementing institution** changed from Unknown to MLGU, **Partners_public** changed from MLGU; PLGU; BFAR to Unknown, **Partners_communities** cha"&amp;"nged from Unknown to Nasidman Island Fisherfolks, **Reference** changed from News to Sison, M., Marbella, J., Calubiran, M., Mohammad, L. &amp; Reyes, M. D. (n.d.). Tayo na,Tay ô na!: Stories on how Kalahi-CIDSS provides support on disaster reduction and envi"&amp;"ronmental protection to Filipino communities. https://kalahi.dswd.gov.ph/press/downloads/category/58-old-iec-materials?download=322:tayo-na-tayo-na-disaster-resiliency-compendium, **Website** changed from https://www.sunstar.com.ph/article/267935/artifici"&amp;"al-reefs-dropped-into-oton-sea to https://kalahi.dswd.gov.ph/press/downloads/category/58-old-iec-materials?download=322:tayo-na-tayo-na-disaster-resiliency-compendium")</f>
        <v>**Restoration_project** changed from Unknown to KALAHI-CIDSS Subproject, **Year of establishment** changed from 2013 to 2004, **Restoration objective** changed from revive fishing; habitat of fish and marine resources to fish stock enhancement; fishing ground, **Funding agency** changed from Unknown to DSWD, **Total units** changed from Unknown to 150 units, **Implementing institution** changed from Unknown to MLGU, **Partners_public** changed from MLGU; PLGU; BFAR to Unknown, **Partners_communities** changed from Unknown to Nasidman Island Fisherfolks, **Reference** changed from News to Sison, M., Marbella, J., Calubiran, M., Mohammad, L. &amp; Reyes, M. D. (n.d.). Tayo na,Tay ô na!: Stories on how Kalahi-CIDSS provides support on disaster reduction and environmental protection to Filipino communities. https://kalahi.dswd.gov.ph/press/downloads/category/58-old-iec-materials?download=322:tayo-na-tayo-na-disaster-resiliency-compendium, **Website** changed from https://www.sunstar.com.ph/article/267935/artificial-reefs-dropped-into-oton-sea to https://kalahi.dswd.gov.ph/press/downloads/category/58-old-iec-materials?download=322:tayo-na-tayo-na-disaster-resiliency-compendium</v>
      </c>
      <c r="I492" s="153" t="s">
        <v>7052</v>
      </c>
      <c r="J492" s="153" t="s">
        <v>314</v>
      </c>
      <c r="K492" s="153" t="s">
        <v>558</v>
      </c>
      <c r="L492" s="153" t="s">
        <v>1604</v>
      </c>
      <c r="M492" s="181" t="s">
        <v>1605</v>
      </c>
      <c r="N492" s="153" t="s">
        <v>151</v>
      </c>
      <c r="O492" s="153" t="s">
        <v>6742</v>
      </c>
      <c r="P492" s="3" t="s">
        <v>149</v>
      </c>
      <c r="Q492" s="169">
        <v>2004.0</v>
      </c>
      <c r="R492" s="160" t="s">
        <v>149</v>
      </c>
      <c r="S492" s="160" t="s">
        <v>149</v>
      </c>
      <c r="T492" s="161" t="s">
        <v>150</v>
      </c>
      <c r="U492" s="153">
        <f>IFERROR(__xludf.DUMMYFUNCTION("""COMPUTED_VALUE"""),464.0)</f>
        <v>464</v>
      </c>
      <c r="V492" s="162" t="s">
        <v>3311</v>
      </c>
      <c r="W492" s="187" t="s">
        <v>149</v>
      </c>
      <c r="X492" s="184"/>
      <c r="Y492" s="184" t="s">
        <v>149</v>
      </c>
      <c r="Z492" s="158" t="s">
        <v>149</v>
      </c>
      <c r="AA492" s="158" t="s">
        <v>149</v>
      </c>
      <c r="AB492" s="153" t="s">
        <v>793</v>
      </c>
      <c r="AC492" s="153" t="s">
        <v>1594</v>
      </c>
      <c r="AD492" s="158" t="s">
        <v>160</v>
      </c>
      <c r="AE492" s="158" t="s">
        <v>6035</v>
      </c>
      <c r="AF492" s="158" t="s">
        <v>159</v>
      </c>
      <c r="AG492" s="164" t="s">
        <v>149</v>
      </c>
      <c r="AH492" s="158" t="s">
        <v>149</v>
      </c>
      <c r="AI492" s="153" t="s">
        <v>1606</v>
      </c>
      <c r="AJ492" s="158" t="s">
        <v>369</v>
      </c>
      <c r="AK492" s="153" t="s">
        <v>6035</v>
      </c>
      <c r="AL492" s="3" t="s">
        <v>149</v>
      </c>
      <c r="AM492" s="3" t="s">
        <v>149</v>
      </c>
      <c r="AN492" s="153" t="s">
        <v>1607</v>
      </c>
      <c r="AO492" s="156">
        <v>1.0</v>
      </c>
      <c r="AP492" s="156" t="s">
        <v>6037</v>
      </c>
      <c r="AQ492" s="153" t="s">
        <v>6976</v>
      </c>
      <c r="AR492" s="153" t="s">
        <v>1608</v>
      </c>
      <c r="AS492" s="165" t="s">
        <v>1609</v>
      </c>
      <c r="AT492" s="3" t="s">
        <v>149</v>
      </c>
      <c r="AU492" s="3" t="s">
        <v>149</v>
      </c>
    </row>
    <row r="493">
      <c r="A493" s="186">
        <v>246.0</v>
      </c>
      <c r="B493" s="152">
        <v>2023.0</v>
      </c>
      <c r="D493" s="152"/>
      <c r="E493" s="151">
        <v>246.0</v>
      </c>
      <c r="F493" s="129" t="s">
        <v>140</v>
      </c>
      <c r="G493" s="3" t="s">
        <v>6029</v>
      </c>
      <c r="H493" s="8" t="str">
        <f>IFERROR(__xludf.DUMMYFUNCTION("""COMPUTED_VALUE"""),"")</f>
        <v/>
      </c>
      <c r="I493" s="8" t="s">
        <v>7053</v>
      </c>
      <c r="J493" s="8" t="s">
        <v>314</v>
      </c>
      <c r="K493" s="8" t="s">
        <v>558</v>
      </c>
      <c r="L493" s="8" t="s">
        <v>959</v>
      </c>
      <c r="M493" s="8" t="s">
        <v>960</v>
      </c>
      <c r="N493" s="8" t="s">
        <v>151</v>
      </c>
      <c r="O493" s="3" t="s">
        <v>149</v>
      </c>
      <c r="P493" s="3" t="s">
        <v>149</v>
      </c>
      <c r="Q493" s="142" t="s">
        <v>6268</v>
      </c>
      <c r="R493" s="3" t="s">
        <v>149</v>
      </c>
      <c r="S493" s="3" t="s">
        <v>149</v>
      </c>
      <c r="T493" s="8"/>
      <c r="U493" s="8">
        <f>IFERROR(__xludf.DUMMYFUNCTION("""COMPUTED_VALUE"""),465.0)</f>
        <v>465</v>
      </c>
      <c r="V493" s="8"/>
      <c r="W493" s="3"/>
      <c r="X493" s="8"/>
      <c r="Y493" s="8"/>
      <c r="AA493" s="3" t="s">
        <v>149</v>
      </c>
      <c r="AB493" s="8" t="s">
        <v>2668</v>
      </c>
      <c r="AC493" s="3" t="s">
        <v>149</v>
      </c>
      <c r="AG493" s="3" t="s">
        <v>149</v>
      </c>
      <c r="AH493" s="3" t="s">
        <v>149</v>
      </c>
      <c r="AI493" s="3" t="s">
        <v>149</v>
      </c>
      <c r="AJ493" s="8" t="s">
        <v>1974</v>
      </c>
      <c r="AL493" s="3" t="s">
        <v>149</v>
      </c>
      <c r="AM493" s="3" t="s">
        <v>149</v>
      </c>
      <c r="AN493" s="3" t="s">
        <v>149</v>
      </c>
      <c r="AO493" s="8"/>
      <c r="AP493" s="8"/>
      <c r="AR493" s="8" t="s">
        <v>6214</v>
      </c>
      <c r="AS493" s="172" t="s">
        <v>2670</v>
      </c>
      <c r="AT493" s="8" t="s">
        <v>2671</v>
      </c>
      <c r="AU493" s="172" t="s">
        <v>2672</v>
      </c>
    </row>
    <row r="494">
      <c r="A494" s="186">
        <v>247.0</v>
      </c>
      <c r="B494" s="152">
        <v>2025.0</v>
      </c>
      <c r="C494" s="153" t="str">
        <f>CONCATENATE(D494, "-", M494, "-", A494)
</f>
        <v>2023-PH063001000-247</v>
      </c>
      <c r="D494" s="152">
        <f>IF(OR(F493="Published", F493="Unpublished"), 2023, IF(F493="New", 2025, ""))
</f>
        <v>2023</v>
      </c>
      <c r="E494" s="151">
        <v>247.0</v>
      </c>
      <c r="F494" s="129" t="s">
        <v>140</v>
      </c>
      <c r="G494" s="156" t="s">
        <v>141</v>
      </c>
      <c r="H494" s="153" t="str">
        <f>IFERROR(__xludf.DUMMYFUNCTION("""COMPUTED_VALUE"""),"**Restoration_project_short** changed from Unknown to Supporting recovery of fishing livelihoods, mangroves and coral reefs in the Philippines after Typhoon Haiyan, **Year of establishment** changed from 2015 to 2014, **Restoration method** changed from A"&amp;"rtificial Reef to Artificial Reef; Asexual Reproduction, **Technique/Material Type** changed from Unknown to CNU; coral planting, **Restoration objective** changed from Minimize active fishing operations to Coral reef rehabilitation, **Funding agency** ch"&amp;"anged from Unknown to CONCERN Worldwide, **Total units** changed from Unknown to 3,400 live fragments; 600 jackstones, **Implementing institution** changed from MLGU; BFAR to CONCERN Worldwide, **Partners_public** changed from Unknown to MLGU; , **Referen"&amp;"ce** changed from Published article to Potier, V. (n.d.). Supporting recovery of fishing livelihoods, mangroves and coral reefs in the Philippines after Typhoon Haiyan: A CONCERN Worldwide Learning Paper. https://admin.concern.net/sites/default/files/medi"&amp;"a/migrated/_supporting_recovery_of_fishing_livelihoods_mangroves_and_coral_reefs_in_the_philippines_0.pdf, **Website** changed from https://dergipark.org.tr/en/download/article-file/2047698 to https://admin.concern.net/sites/default/files/media/migrated/_"&amp;"supporting_recovery_of_fishing_livelihoods_mangroves_and_coral_reefs_in_the_philippines_0.pdf, **Contact_name** changed from Maria Liza Toring-Farquerabao to Unknown, **Contact_details** changed from albarist20@gmail.com to Unknown")</f>
        <v>**Restoration_project_short** changed from Unknown to Supporting recovery of fishing livelihoods, mangroves and coral reefs in the Philippines after Typhoon Haiyan, **Year of establishment** changed from 2015 to 2014, **Restoration method** changed from Artificial Reef to Artificial Reef; Asexual Reproduction, **Technique/Material Type** changed from Unknown to CNU; coral planting, **Restoration objective** changed from Minimize active fishing operations to Coral reef rehabilitation, **Funding agency** changed from Unknown to CONCERN Worldwide, **Total units** changed from Unknown to 3,400 live fragments; 600 jackstones, **Implementing institution** changed from MLGU; BFAR to CONCERN Worldwide, **Partners_public** changed from Unknown to MLGU; , **Reference** changed from Published article to 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 **Website** changed from https://dergipark.org.tr/en/download/article-file/2047698 to https://admin.concern.net/sites/default/files/media/migrated/_supporting_recovery_of_fishing_livelihoods_mangroves_and_coral_reefs_in_the_philippines_0.pdf, **Contact_name** changed from Maria Liza Toring-Farquerabao to Unknown, **Contact_details** changed from albarist20@gmail.com to Unknown</v>
      </c>
      <c r="I494" s="153" t="s">
        <v>7054</v>
      </c>
      <c r="J494" s="153" t="s">
        <v>314</v>
      </c>
      <c r="K494" s="153" t="s">
        <v>558</v>
      </c>
      <c r="L494" s="153" t="s">
        <v>1604</v>
      </c>
      <c r="M494" s="181" t="s">
        <v>1605</v>
      </c>
      <c r="N494" s="153" t="s">
        <v>6624</v>
      </c>
      <c r="O494" s="158" t="s">
        <v>149</v>
      </c>
      <c r="P494" s="153" t="s">
        <v>2331</v>
      </c>
      <c r="Q494" s="169">
        <v>2014.0</v>
      </c>
      <c r="R494" s="160" t="s">
        <v>149</v>
      </c>
      <c r="S494" s="160" t="s">
        <v>149</v>
      </c>
      <c r="T494" s="156" t="s">
        <v>263</v>
      </c>
      <c r="U494" s="153">
        <f>IFERROR(__xludf.DUMMYFUNCTION("""COMPUTED_VALUE"""),466.0)</f>
        <v>466</v>
      </c>
      <c r="V494" s="191" t="s">
        <v>6790</v>
      </c>
      <c r="W494" s="179" t="s">
        <v>149</v>
      </c>
      <c r="X494" s="180"/>
      <c r="Y494" s="180" t="s">
        <v>149</v>
      </c>
      <c r="Z494" s="158" t="s">
        <v>179</v>
      </c>
      <c r="AA494" s="153" t="s">
        <v>730</v>
      </c>
      <c r="AB494" s="153" t="s">
        <v>1923</v>
      </c>
      <c r="AC494" s="153" t="s">
        <v>2332</v>
      </c>
      <c r="AD494" s="158" t="s">
        <v>6154</v>
      </c>
      <c r="AE494" s="158" t="s">
        <v>306</v>
      </c>
      <c r="AF494" s="158" t="s">
        <v>159</v>
      </c>
      <c r="AG494" s="164" t="s">
        <v>149</v>
      </c>
      <c r="AH494" s="158" t="s">
        <v>149</v>
      </c>
      <c r="AI494" s="153" t="s">
        <v>7055</v>
      </c>
      <c r="AJ494" s="153" t="s">
        <v>2332</v>
      </c>
      <c r="AK494" s="153" t="s">
        <v>306</v>
      </c>
      <c r="AL494" s="153" t="s">
        <v>2334</v>
      </c>
      <c r="AM494" s="3" t="s">
        <v>149</v>
      </c>
      <c r="AN494" s="3" t="s">
        <v>149</v>
      </c>
      <c r="AO494" s="156">
        <v>2.0</v>
      </c>
      <c r="AP494" s="156" t="s">
        <v>6628</v>
      </c>
      <c r="AQ494" s="158" t="s">
        <v>6084</v>
      </c>
      <c r="AR494" s="153" t="s">
        <v>2335</v>
      </c>
      <c r="AS494" s="165" t="s">
        <v>2336</v>
      </c>
      <c r="AT494" s="3" t="s">
        <v>149</v>
      </c>
      <c r="AU494" s="3" t="s">
        <v>149</v>
      </c>
    </row>
    <row r="495">
      <c r="A495" s="186">
        <v>247.0</v>
      </c>
      <c r="B495" s="152">
        <v>2023.0</v>
      </c>
      <c r="D495" s="152"/>
      <c r="E495" s="151">
        <v>247.0</v>
      </c>
      <c r="F495" s="129" t="s">
        <v>140</v>
      </c>
      <c r="G495" s="3" t="s">
        <v>6029</v>
      </c>
      <c r="H495" s="8" t="str">
        <f>IFERROR(__xludf.DUMMYFUNCTION("""COMPUTED_VALUE"""),"")</f>
        <v/>
      </c>
      <c r="I495" s="8" t="s">
        <v>7056</v>
      </c>
      <c r="J495" s="8" t="s">
        <v>314</v>
      </c>
      <c r="K495" s="8" t="s">
        <v>558</v>
      </c>
      <c r="L495" s="8" t="s">
        <v>959</v>
      </c>
      <c r="M495" s="8" t="s">
        <v>960</v>
      </c>
      <c r="N495" s="8" t="s">
        <v>6062</v>
      </c>
      <c r="O495" s="8" t="s">
        <v>934</v>
      </c>
      <c r="P495" s="3" t="s">
        <v>149</v>
      </c>
      <c r="Q495" s="142" t="s">
        <v>6229</v>
      </c>
      <c r="R495" s="142" t="s">
        <v>6229</v>
      </c>
      <c r="S495" s="142" t="s">
        <v>6230</v>
      </c>
      <c r="T495" s="8"/>
      <c r="U495" s="8">
        <f>IFERROR(__xludf.DUMMYFUNCTION("""COMPUTED_VALUE"""),467.0)</f>
        <v>467</v>
      </c>
      <c r="V495" s="8"/>
      <c r="W495" s="8"/>
      <c r="X495" s="8"/>
      <c r="Y495" s="8"/>
      <c r="AA495" s="8" t="s">
        <v>6276</v>
      </c>
      <c r="AB495" s="8" t="s">
        <v>939</v>
      </c>
      <c r="AC495" s="8" t="s">
        <v>940</v>
      </c>
      <c r="AG495" s="3" t="s">
        <v>149</v>
      </c>
      <c r="AH495" s="3" t="s">
        <v>149</v>
      </c>
      <c r="AI495" s="3" t="s">
        <v>149</v>
      </c>
      <c r="AJ495" s="8" t="s">
        <v>233</v>
      </c>
      <c r="AL495" s="3" t="s">
        <v>149</v>
      </c>
      <c r="AM495" s="3" t="s">
        <v>149</v>
      </c>
      <c r="AN495" s="3" t="s">
        <v>149</v>
      </c>
      <c r="AO495" s="8"/>
      <c r="AP495" s="8"/>
      <c r="AR495" s="8" t="s">
        <v>6214</v>
      </c>
      <c r="AS495" s="8" t="s">
        <v>942</v>
      </c>
      <c r="AT495" s="8" t="s">
        <v>943</v>
      </c>
      <c r="AU495" s="3" t="s">
        <v>149</v>
      </c>
    </row>
    <row r="496">
      <c r="A496" s="186">
        <v>248.0</v>
      </c>
      <c r="B496" s="152">
        <v>2025.0</v>
      </c>
      <c r="C496" s="153" t="str">
        <f>CONCATENATE(D496, "-", M496, "-", A496)
</f>
        <v>2023-PH063001000-248</v>
      </c>
      <c r="D496" s="152">
        <f>IF(OR(F495="Published", F495="Unpublished"), 2023, IF(F495="New", 2025, ""))
</f>
        <v>2023</v>
      </c>
      <c r="E496" s="151">
        <v>248.0</v>
      </c>
      <c r="F496" s="129" t="s">
        <v>140</v>
      </c>
      <c r="G496" s="156" t="s">
        <v>141</v>
      </c>
      <c r="H496" s="153" t="str">
        <f>IFERROR(__xludf.DUMMYFUNCTION("""COMPUTED_VALUE"""),"**Restoration_project** changed from Coral Reef Habitat and Productivity Enhancement through Coral Transplantation and Giant Clam Restocking to Unknown, **Year of establishment** changed from 2001 to 1995, **Project Start** changed from 2001 to Unknown, *"&amp;"*Project End** changed from 2005 to Unknown, **Restoration method** changed from Asexual Reproduction to Artificial Reef, **Technique/Material Type** changed from Direct transplantation; to Unknown, **Restoration objective** changed from Improve biodivers"&amp;"ity and productivity of stressed coral reef habitats in 10 selected demonstration sites to fish stock enhancement; fishing ground, **Funding agency** changed from Pew Marine Conservation Fellowship to PLGU, **Total units** changed from Unknown to 72 units"&amp;", **Implementing institution** changed from UP MSI to PLGU, **Reference** changed from Published article to Jr Fernandez, P. R. (2004). Community-Based Coastal Resource Management in Nasidman Island Iloilo, Philippines. IIFET 2004 Japan Proceedings. https"&amp;"://nanopdf.com/download/community-based-coastal-resource-management-in-nasidman-island-iloilo-philippine_pdf, **Website** changed from https://aquadocs.org/bitstream/handle/1834/40478/GomezED2006.pdf?sequence=1&amp;isAllowed=y to https://nanopdf.com/download/"&amp;"community-based-coastal-resource-management-in-nasidman-island-iloilo-philippine_pdf, **Contact_name** changed from Dr. Patrick Cabaitan to Unknown")</f>
        <v>**Restoration_project** changed from Coral Reef Habitat and Productivity Enhancement through Coral Transplantation and Giant Clam Restocking to Unknown, **Year of establishment** changed from 2001 to 1995, **Project Start** changed from 2001 to Unknown,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fish stock enhancement; fishing ground, **Funding agency** changed from Pew Marine Conservation Fellowship to PLGU, **Total units** changed from Unknown to 72 units, **Implementing institution** changed from UP MSI to PLGU, **Reference** changed from Published article to Jr Fernandez, P. R. (2004). Community-Based Coastal Resource Management in Nasidman Island Iloilo, Philippines. IIFET 2004 Japan Proceedings. https://nanopdf.com/download/community-based-coastal-resource-management-in-nasidman-island-iloilo-philippine_pdf, **Website** changed from https://aquadocs.org/bitstream/handle/1834/40478/GomezED2006.pdf?sequence=1&amp;isAllowed=y to https://nanopdf.com/download/community-based-coastal-resource-management-in-nasidman-island-iloilo-philippine_pdf, **Contact_name** changed from Dr. Patrick Cabaitan to Unknown</v>
      </c>
      <c r="I496" s="153" t="s">
        <v>7057</v>
      </c>
      <c r="J496" s="153" t="s">
        <v>314</v>
      </c>
      <c r="K496" s="153" t="s">
        <v>558</v>
      </c>
      <c r="L496" s="153" t="s">
        <v>1604</v>
      </c>
      <c r="M496" s="181" t="s">
        <v>1605</v>
      </c>
      <c r="N496" s="153" t="s">
        <v>151</v>
      </c>
      <c r="O496" s="158" t="s">
        <v>149</v>
      </c>
      <c r="P496" s="3" t="s">
        <v>149</v>
      </c>
      <c r="Q496" s="169">
        <v>1995.0</v>
      </c>
      <c r="R496" s="160" t="s">
        <v>149</v>
      </c>
      <c r="S496" s="160" t="s">
        <v>149</v>
      </c>
      <c r="T496" s="161" t="s">
        <v>150</v>
      </c>
      <c r="U496" s="153">
        <f>IFERROR(__xludf.DUMMYFUNCTION("""COMPUTED_VALUE"""),468.0)</f>
        <v>468</v>
      </c>
      <c r="V496" s="162" t="s">
        <v>3311</v>
      </c>
      <c r="W496" s="179" t="s">
        <v>149</v>
      </c>
      <c r="X496" s="180"/>
      <c r="Y496" s="180" t="s">
        <v>149</v>
      </c>
      <c r="Z496" s="158" t="s">
        <v>149</v>
      </c>
      <c r="AA496" s="158" t="s">
        <v>149</v>
      </c>
      <c r="AB496" s="153" t="s">
        <v>793</v>
      </c>
      <c r="AC496" s="153" t="s">
        <v>158</v>
      </c>
      <c r="AD496" s="158" t="s">
        <v>160</v>
      </c>
      <c r="AE496" s="158" t="s">
        <v>6035</v>
      </c>
      <c r="AF496" s="158" t="s">
        <v>159</v>
      </c>
      <c r="AG496" s="164" t="s">
        <v>149</v>
      </c>
      <c r="AH496" s="158" t="s">
        <v>149</v>
      </c>
      <c r="AI496" s="153" t="s">
        <v>2674</v>
      </c>
      <c r="AJ496" s="153" t="s">
        <v>158</v>
      </c>
      <c r="AK496" s="153" t="s">
        <v>6035</v>
      </c>
      <c r="AL496" s="3" t="s">
        <v>149</v>
      </c>
      <c r="AM496" s="3" t="s">
        <v>149</v>
      </c>
      <c r="AN496" s="3" t="s">
        <v>149</v>
      </c>
      <c r="AO496" s="156">
        <v>1.0</v>
      </c>
      <c r="AP496" s="156" t="s">
        <v>6037</v>
      </c>
      <c r="AQ496" s="158" t="s">
        <v>395</v>
      </c>
      <c r="AR496" s="153" t="s">
        <v>2675</v>
      </c>
      <c r="AS496" s="165" t="s">
        <v>2676</v>
      </c>
      <c r="AT496" s="3" t="s">
        <v>149</v>
      </c>
      <c r="AU496" s="3" t="s">
        <v>149</v>
      </c>
    </row>
    <row r="497">
      <c r="A497" s="186">
        <v>248.0</v>
      </c>
      <c r="B497" s="152">
        <v>2023.0</v>
      </c>
      <c r="D497" s="152"/>
      <c r="E497" s="151">
        <v>248.0</v>
      </c>
      <c r="F497" s="129" t="s">
        <v>140</v>
      </c>
      <c r="G497" s="3" t="s">
        <v>6029</v>
      </c>
      <c r="H497" s="8" t="str">
        <f>IFERROR(__xludf.DUMMYFUNCTION("""COMPUTED_VALUE"""),"")</f>
        <v/>
      </c>
      <c r="I497" s="8" t="s">
        <v>7058</v>
      </c>
      <c r="J497" s="8" t="s">
        <v>314</v>
      </c>
      <c r="K497" s="8" t="s">
        <v>626</v>
      </c>
      <c r="L497" s="153" t="s">
        <v>627</v>
      </c>
      <c r="M497" s="153" t="s">
        <v>7059</v>
      </c>
      <c r="N497" s="8" t="s">
        <v>151</v>
      </c>
      <c r="O497" s="8" t="s">
        <v>384</v>
      </c>
      <c r="P497" s="8" t="s">
        <v>629</v>
      </c>
      <c r="Q497" s="142" t="s">
        <v>6052</v>
      </c>
      <c r="R497" s="142" t="s">
        <v>6052</v>
      </c>
      <c r="S497" s="142" t="s">
        <v>6053</v>
      </c>
      <c r="T497" s="8"/>
      <c r="U497" s="8">
        <f>IFERROR(__xludf.DUMMYFUNCTION("""COMPUTED_VALUE"""),469.0)</f>
        <v>469</v>
      </c>
      <c r="V497" s="8"/>
      <c r="W497" s="8"/>
      <c r="X497" s="8"/>
      <c r="Y497" s="8"/>
      <c r="AA497" s="8" t="s">
        <v>6054</v>
      </c>
      <c r="AB497" s="154" t="s">
        <v>149</v>
      </c>
      <c r="AC497" s="8" t="s">
        <v>390</v>
      </c>
      <c r="AG497" s="154" t="s">
        <v>149</v>
      </c>
      <c r="AH497" s="154" t="s">
        <v>149</v>
      </c>
      <c r="AI497" s="8" t="s">
        <v>391</v>
      </c>
      <c r="AJ497" s="8" t="s">
        <v>390</v>
      </c>
      <c r="AL497" s="8" t="s">
        <v>6055</v>
      </c>
      <c r="AM497" s="154" t="s">
        <v>149</v>
      </c>
      <c r="AN497" s="154" t="s">
        <v>149</v>
      </c>
      <c r="AO497" s="8"/>
      <c r="AP497" s="8"/>
      <c r="AR497" s="8" t="s">
        <v>6057</v>
      </c>
      <c r="AS497" s="8" t="s">
        <v>2873</v>
      </c>
      <c r="AT497" s="8" t="s">
        <v>398</v>
      </c>
      <c r="AU497" s="154" t="s">
        <v>149</v>
      </c>
    </row>
    <row r="498">
      <c r="A498" s="186">
        <v>249.0</v>
      </c>
      <c r="B498" s="152">
        <v>2025.0</v>
      </c>
      <c r="C498" s="153" t="str">
        <f>CONCATENATE(D498, "-", M498, "-", A498)
</f>
        <v>2023-PH063008000-249</v>
      </c>
      <c r="D498" s="152">
        <f>IF(OR(F497="Published", F497="Unpublished"), 2023, IF(F497="New", 2025, ""))
</f>
        <v>2023</v>
      </c>
      <c r="E498" s="151">
        <v>249.0</v>
      </c>
      <c r="F498" s="129" t="s">
        <v>140</v>
      </c>
      <c r="G498" s="156" t="s">
        <v>141</v>
      </c>
      <c r="H498" s="153" t="str">
        <f>IFERROR(__xludf.DUMMYFUNCTION("""COMPUTED_VALUE"""),"**Restoration_project** changed from Artificial Reef Development Program to KALAHI-CIDSS Subproject, **Restoration_project_short** changed from Site in Banago to Site in Nueva Sevilla, **Year of establishment** changed from 1985 to Unknown, **Project Star"&amp;"t** changed from 1985 to Unknown, **Project End** changed from 1987 to Unknown, **Technique/Material Type** changed from tires to Unknown, **Funding agency** changed from BFAR to DSWD, **Total units** changed from 10 TM to Unknown, **Implementing institut"&amp;"ion** changed from BFAR to MLGU, **Partners_public** changed from Ministry of Human Settlements to Unknown, **Reference** changed from Conference Proceediing to Asian Development Bank (2012). The Kalahi-CIDSS project in the Philippines: Sharing knowledge "&amp;"on community-driven development. Mandaluyong City, Philippines. https://www.adb.org/sites/default/files/publication/29878/kalahi-cidss-project-philippines.pdf, **Website** changed from http://pubs.iclarm.net/libinfo/Pdf/Pub%20CP6%2049.pdf to https://www.a"&amp;"db.org/sites/default/files/publication/29878/kalahi-cidss-project-philippines.pdf, **Contact_name** changed from Miriam Balgos to Unknown")</f>
        <v>**Restoration_project** changed from Artificial Reef Development Program to KALAHI-CIDSS Subproject, **Restoration_project_short** changed from Site in Banago to Site in Nueva Sevilla, **Year of establishment** changed from 1985 to Unknown, **Project Start** changed from 1985 to Unknown, **Project End** changed from 1987 to Unknown, **Technique/Material Type** changed from tires to Unknown, **Funding agency** changed from BFAR to DSWD, **Total units** changed from 10 TM to Unknown, **Implementing institution** changed from BFAR to MLGU, **Partners_public** changed from Ministry of Human Settlements to Unknown, **Reference** changed from Conference Proceediing to Asian Development Bank (2012). The Kalahi-CIDSS project in the Philippines: Sharing knowledge on community-driven development. Mandaluyong City, Philippines. https://www.adb.org/sites/default/files/publication/29878/kalahi-cidss-project-philippines.pdf, **Website** changed from http://pubs.iclarm.net/libinfo/Pdf/Pub%20CP6%2049.pdf to https://www.adb.org/sites/default/files/publication/29878/kalahi-cidss-project-philippines.pdf, **Contact_name** changed from Miriam Balgos to Unknown</v>
      </c>
      <c r="I498" s="153" t="s">
        <v>7060</v>
      </c>
      <c r="J498" s="153" t="s">
        <v>314</v>
      </c>
      <c r="K498" s="153" t="s">
        <v>558</v>
      </c>
      <c r="L498" s="153" t="s">
        <v>1616</v>
      </c>
      <c r="M498" s="181" t="s">
        <v>1617</v>
      </c>
      <c r="N498" s="153" t="s">
        <v>151</v>
      </c>
      <c r="O498" s="153" t="s">
        <v>6742</v>
      </c>
      <c r="P498" s="153" t="s">
        <v>1618</v>
      </c>
      <c r="Q498" s="178" t="s">
        <v>149</v>
      </c>
      <c r="R498" s="160" t="s">
        <v>149</v>
      </c>
      <c r="S498" s="160" t="s">
        <v>149</v>
      </c>
      <c r="T498" s="161" t="s">
        <v>150</v>
      </c>
      <c r="U498" s="153">
        <f>IFERROR(__xludf.DUMMYFUNCTION("""COMPUTED_VALUE"""),470.0)</f>
        <v>470</v>
      </c>
      <c r="V498" s="162" t="s">
        <v>3311</v>
      </c>
      <c r="W498" s="179" t="s">
        <v>149</v>
      </c>
      <c r="X498" s="180"/>
      <c r="Y498" s="180" t="s">
        <v>149</v>
      </c>
      <c r="Z498" s="158" t="s">
        <v>149</v>
      </c>
      <c r="AA498" s="158" t="s">
        <v>149</v>
      </c>
      <c r="AB498" s="158" t="s">
        <v>149</v>
      </c>
      <c r="AC498" s="153" t="s">
        <v>1594</v>
      </c>
      <c r="AD498" s="158" t="s">
        <v>160</v>
      </c>
      <c r="AE498" s="158" t="s">
        <v>6035</v>
      </c>
      <c r="AF498" s="158" t="s">
        <v>159</v>
      </c>
      <c r="AG498" s="164" t="s">
        <v>149</v>
      </c>
      <c r="AH498" s="158" t="s">
        <v>149</v>
      </c>
      <c r="AI498" s="158" t="s">
        <v>149</v>
      </c>
      <c r="AJ498" s="153" t="s">
        <v>369</v>
      </c>
      <c r="AK498" s="153" t="s">
        <v>6035</v>
      </c>
      <c r="AL498" s="3" t="s">
        <v>149</v>
      </c>
      <c r="AM498" s="3" t="s">
        <v>149</v>
      </c>
      <c r="AN498" s="3" t="s">
        <v>149</v>
      </c>
      <c r="AO498" s="156">
        <v>1.0</v>
      </c>
      <c r="AP498" s="156" t="s">
        <v>6037</v>
      </c>
      <c r="AQ498" s="153" t="s">
        <v>6084</v>
      </c>
      <c r="AR498" s="153" t="s">
        <v>7061</v>
      </c>
      <c r="AS498" s="165" t="s">
        <v>1620</v>
      </c>
      <c r="AT498" s="3" t="s">
        <v>149</v>
      </c>
      <c r="AU498" s="3" t="s">
        <v>149</v>
      </c>
    </row>
    <row r="499">
      <c r="A499" s="186">
        <v>249.0</v>
      </c>
      <c r="B499" s="152">
        <v>2023.0</v>
      </c>
      <c r="D499" s="152"/>
      <c r="E499" s="151">
        <v>249.0</v>
      </c>
      <c r="F499" s="129" t="s">
        <v>140</v>
      </c>
      <c r="G499" s="3" t="s">
        <v>6029</v>
      </c>
      <c r="H499" s="8" t="str">
        <f>IFERROR(__xludf.DUMMYFUNCTION("""COMPUTED_VALUE"""),"")</f>
        <v/>
      </c>
      <c r="I499" s="8" t="s">
        <v>7062</v>
      </c>
      <c r="J499" s="8" t="s">
        <v>314</v>
      </c>
      <c r="K499" s="8" t="s">
        <v>626</v>
      </c>
      <c r="L499" s="8" t="s">
        <v>983</v>
      </c>
      <c r="M499" s="198" t="s">
        <v>7063</v>
      </c>
      <c r="N499" s="8" t="s">
        <v>6062</v>
      </c>
      <c r="O499" s="8" t="s">
        <v>934</v>
      </c>
      <c r="Q499" s="142" t="s">
        <v>6229</v>
      </c>
      <c r="R499" s="142" t="s">
        <v>6229</v>
      </c>
      <c r="S499" s="142" t="s">
        <v>6230</v>
      </c>
      <c r="T499" s="8"/>
      <c r="U499" s="8">
        <f>IFERROR(__xludf.DUMMYFUNCTION("""COMPUTED_VALUE"""),471.0)</f>
        <v>471</v>
      </c>
      <c r="V499" s="8"/>
      <c r="W499" s="3"/>
      <c r="X499" s="8"/>
      <c r="Y499" s="8"/>
      <c r="AA499" s="3" t="s">
        <v>3245</v>
      </c>
      <c r="AB499" s="8" t="s">
        <v>939</v>
      </c>
      <c r="AC499" s="8" t="s">
        <v>940</v>
      </c>
      <c r="AG499" s="3" t="s">
        <v>149</v>
      </c>
      <c r="AH499" s="3" t="s">
        <v>149</v>
      </c>
      <c r="AI499" s="3" t="s">
        <v>149</v>
      </c>
      <c r="AJ499" s="8" t="s">
        <v>233</v>
      </c>
      <c r="AL499" s="3" t="s">
        <v>149</v>
      </c>
      <c r="AM499" s="3" t="s">
        <v>149</v>
      </c>
      <c r="AN499" s="3" t="s">
        <v>149</v>
      </c>
      <c r="AO499" s="8"/>
      <c r="AP499" s="8"/>
      <c r="AR499" s="8" t="s">
        <v>6214</v>
      </c>
      <c r="AS499" s="8" t="s">
        <v>942</v>
      </c>
      <c r="AT499" s="8" t="s">
        <v>943</v>
      </c>
      <c r="AU499" s="3" t="s">
        <v>149</v>
      </c>
    </row>
    <row r="500">
      <c r="A500" s="186">
        <v>250.0</v>
      </c>
      <c r="B500" s="152">
        <v>2025.0</v>
      </c>
      <c r="C500" s="153" t="str">
        <f>CONCATENATE(D500, "-", M500, "-", A500)
</f>
        <v>2023-PH063009000-250</v>
      </c>
      <c r="D500" s="152">
        <f>IF(OR(F499="Published", F499="Unpublished"), 2023, IF(F499="New", 2025, ""))
</f>
        <v>2023</v>
      </c>
      <c r="E500" s="151">
        <v>250.0</v>
      </c>
      <c r="F500" s="129" t="s">
        <v>140</v>
      </c>
      <c r="G500" s="156" t="s">
        <v>141</v>
      </c>
      <c r="H500" s="153" t="str">
        <f>IFERROR(__xludf.DUMMYFUNCTION("""COMPUTED_VALUE"""),"**Restoration_project** changed from Coral Reef Habitat and Productivity Enhancement through Coral Transplantation and Giant Clam Restocking to Unknown, **Restoration_project_short** changed from to Artificial Reef, Fish Reservoir and Reforestation, **Yea"&amp;"r of establishment** changed from 2001 to Unknown, **Project Start** changed from 2001 to Unknown, **Project End** changed from 2005 to Unknown, **Restoration method** changed from Asexual Reproduction to Artificial Reef, **Technique/Material Type** chang"&amp;"ed from Direct transplantation to Unknown, **Restoration objective** changed from Improve biodiversity and productivity of stressed coral reef habitats in 10 selected demonstration sites to Unknown, **Funding agency** changed from Pew Marine Conservation "&amp;"Fellowship to Unknown, **Implementing institution** changed from UP MSI to Unknown, **Reference** changed from Published article to Crawford, B., Balgos, M., &amp; Pagdilao, C. (2000). Community-based Marine Sanctuaries in the Philippines: A Report on Focus G"&amp;"roup Discussions. Coastal Resources Center, University of Rhode Island. https://www.crc.uri.edu/download/CB_000E.pdf, **Website** changed from https://aquadocs.org/bitstream/handle/1834/40478/GomezED2006.pdf?sequence=1&amp;isAllowed=y to https://www.crc.uri.e"&amp;"du/download/CB_000E.pdf, **Contact_name** changed from Dr. Patrick Cabaitan to Unknown")</f>
        <v>**Restoration_project** changed from Coral Reef Habitat and Productivity Enhancement through Coral Transplantation and Giant Clam Restocking to Unknown, **Restoration_project_short** changed from to Artificial Reef, Fish Reservoir and Reforestation, **Year of establishment** changed from 2001 to Unknown, **Project Start** changed from 2001 to Unknown,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Unknown, **Implementing institution** changed from UP MSI to Unknown, **Reference** changed from Published article to Crawford, B., Balgos, M., &amp; Pagdilao, C. (2000). Community-based Marine Sanctuaries in the Philippines: A Report on Focus Group Discussions. Coastal Resources Center, University of Rhode Island. https://www.crc.uri.edu/download/CB_000E.pdf, **Website** changed from https://aquadocs.org/bitstream/handle/1834/40478/GomezED2006.pdf?sequence=1&amp;isAllowed=y to https://www.crc.uri.edu/download/CB_000E.pdf, **Contact_name** changed from Dr. Patrick Cabaitan to Unknown</v>
      </c>
      <c r="I500" s="153" t="s">
        <v>7064</v>
      </c>
      <c r="J500" s="153" t="s">
        <v>314</v>
      </c>
      <c r="K500" s="153" t="s">
        <v>558</v>
      </c>
      <c r="L500" s="153" t="s">
        <v>3137</v>
      </c>
      <c r="M500" s="181" t="s">
        <v>3138</v>
      </c>
      <c r="N500" s="153" t="s">
        <v>151</v>
      </c>
      <c r="O500" s="158" t="s">
        <v>149</v>
      </c>
      <c r="P500" s="153" t="s">
        <v>7031</v>
      </c>
      <c r="Q500" s="178" t="s">
        <v>149</v>
      </c>
      <c r="R500" s="160" t="s">
        <v>149</v>
      </c>
      <c r="S500" s="160" t="s">
        <v>149</v>
      </c>
      <c r="T500" s="161" t="s">
        <v>150</v>
      </c>
      <c r="U500" s="153">
        <f>IFERROR(__xludf.DUMMYFUNCTION("""COMPUTED_VALUE"""),472.0)</f>
        <v>472</v>
      </c>
      <c r="V500" s="162" t="s">
        <v>3311</v>
      </c>
      <c r="W500" s="179" t="s">
        <v>149</v>
      </c>
      <c r="X500" s="180"/>
      <c r="Y500" s="180" t="s">
        <v>149</v>
      </c>
      <c r="Z500" s="158" t="s">
        <v>149</v>
      </c>
      <c r="AA500" s="158" t="s">
        <v>149</v>
      </c>
      <c r="AB500" s="158" t="s">
        <v>149</v>
      </c>
      <c r="AC500" s="158" t="s">
        <v>149</v>
      </c>
      <c r="AD500" s="158" t="s">
        <v>149</v>
      </c>
      <c r="AE500" s="158" t="s">
        <v>149</v>
      </c>
      <c r="AF500" s="158" t="s">
        <v>149</v>
      </c>
      <c r="AG500" s="164" t="s">
        <v>149</v>
      </c>
      <c r="AH500" s="158" t="s">
        <v>149</v>
      </c>
      <c r="AI500" s="158" t="s">
        <v>149</v>
      </c>
      <c r="AJ500" s="158" t="s">
        <v>149</v>
      </c>
      <c r="AK500" s="158" t="s">
        <v>149</v>
      </c>
      <c r="AL500" s="3" t="s">
        <v>149</v>
      </c>
      <c r="AM500" s="3" t="s">
        <v>149</v>
      </c>
      <c r="AN500" s="3" t="s">
        <v>149</v>
      </c>
      <c r="AO500" s="156">
        <v>1.0</v>
      </c>
      <c r="AP500" s="156" t="s">
        <v>6037</v>
      </c>
      <c r="AQ500" s="158" t="s">
        <v>6257</v>
      </c>
      <c r="AR500" s="153" t="s">
        <v>7065</v>
      </c>
      <c r="AS500" s="165" t="s">
        <v>3141</v>
      </c>
      <c r="AT500" s="3" t="s">
        <v>149</v>
      </c>
      <c r="AU500" s="3" t="s">
        <v>149</v>
      </c>
    </row>
    <row r="501">
      <c r="A501" s="186">
        <v>250.0</v>
      </c>
      <c r="B501" s="152">
        <v>2023.0</v>
      </c>
      <c r="D501" s="152"/>
      <c r="E501" s="151">
        <v>250.0</v>
      </c>
      <c r="F501" s="129" t="s">
        <v>140</v>
      </c>
      <c r="G501" s="3" t="s">
        <v>6029</v>
      </c>
      <c r="H501" s="8" t="str">
        <f>IFERROR(__xludf.DUMMYFUNCTION("""COMPUTED_VALUE"""),"")</f>
        <v/>
      </c>
      <c r="I501" s="8" t="s">
        <v>7066</v>
      </c>
      <c r="J501" s="8" t="s">
        <v>314</v>
      </c>
      <c r="K501" s="8" t="s">
        <v>626</v>
      </c>
      <c r="L501" s="8" t="s">
        <v>5445</v>
      </c>
      <c r="M501" s="8" t="s">
        <v>5446</v>
      </c>
      <c r="N501" s="8" t="s">
        <v>151</v>
      </c>
      <c r="O501" s="8" t="s">
        <v>1659</v>
      </c>
      <c r="Q501" s="3" t="s">
        <v>149</v>
      </c>
      <c r="R501" s="142" t="s">
        <v>6198</v>
      </c>
      <c r="S501" s="142" t="s">
        <v>6896</v>
      </c>
      <c r="T501" s="8"/>
      <c r="U501" s="8">
        <f>IFERROR(__xludf.DUMMYFUNCTION("""COMPUTED_VALUE"""),473.0)</f>
        <v>473</v>
      </c>
      <c r="V501" s="8"/>
      <c r="W501" s="3"/>
      <c r="X501" s="8"/>
      <c r="Y501" s="8"/>
      <c r="AA501" s="3" t="s">
        <v>7067</v>
      </c>
      <c r="AB501" s="8" t="s">
        <v>1380</v>
      </c>
      <c r="AC501" s="8" t="s">
        <v>1663</v>
      </c>
      <c r="AG501" s="3" t="s">
        <v>149</v>
      </c>
      <c r="AH501" s="3" t="s">
        <v>149</v>
      </c>
      <c r="AI501" s="3" t="s">
        <v>149</v>
      </c>
      <c r="AJ501" s="8" t="s">
        <v>1663</v>
      </c>
      <c r="AL501" s="3" t="s">
        <v>149</v>
      </c>
      <c r="AM501" s="3" t="s">
        <v>149</v>
      </c>
      <c r="AN501" s="3" t="s">
        <v>149</v>
      </c>
      <c r="AO501" s="8"/>
      <c r="AP501" s="8"/>
      <c r="AR501" s="8" t="s">
        <v>395</v>
      </c>
      <c r="AS501" s="8" t="s">
        <v>2873</v>
      </c>
      <c r="AT501" s="8" t="s">
        <v>398</v>
      </c>
      <c r="AU501" s="3" t="s">
        <v>149</v>
      </c>
    </row>
    <row r="502">
      <c r="A502" s="186">
        <v>251.0</v>
      </c>
      <c r="B502" s="152">
        <v>2025.0</v>
      </c>
      <c r="C502" s="153" t="str">
        <f>CONCATENATE(D502, "-", M502, "-", A502)
</f>
        <v>2023-PH063014000-251</v>
      </c>
      <c r="D502" s="152">
        <f>IF(OR(F501="Published", F501="Unpublished"), 2023, IF(F501="New", 2025, ""))
</f>
        <v>2023</v>
      </c>
      <c r="E502" s="151">
        <v>251.0</v>
      </c>
      <c r="F502" s="129" t="s">
        <v>140</v>
      </c>
      <c r="G502" s="156" t="s">
        <v>141</v>
      </c>
      <c r="H502" s="153" t="str">
        <f>IFERROR(__xludf.DUMMYFUNCTION("""COMPUTED_VALUE"""),"**Restoration_project** changed from National Coral Reef Management Conservation Program to Building Back Better, **Restoration_project_short** changed from to Unknown, **Year of establishment** changed from Unknown to 2015, **Project Start** changed from"&amp;" 1990 to Unknown, **Project End** changed from 1992 to Unknown, **Technique/Material Type** changed from tires, concrete to Jackstone, **Restoration objective** changed from Fishing and rehabilitation to fish stock enhancement; fishing ground, **Funding a"&amp;"gency** changed from PCAMRD to Christian Aid, **Total units** changed from Unknown to 100 units, **Implementing institution** changed from PCAMRD to Iloilo CODE of NGOs, **Partners_communities** changed from Unknown to Bayas Maliog-liog Small Fisherfolks "&amp;"Association, **Reference** changed from Conference Proceeding to Lozada, D. (2016, September 4). ""For the next generation"": Iloilo's fishermen take lead in coastal management. Rappler. https://www.rappler.com/environment/disasters/145137-iloilo-fisherme"&amp;"n-lead-coastal-management/, **Website** changed from http://pubs.iclarm.net/libinfo/Pdf/Pub%20CP6%2049.pdf to https://www.rappler.com/moveph/145137-iloilo-fishermen-lead-coastal-management/, **Contact_name** changed from Miriam Balgos to Unknown, **Contac"&amp;"t_details** changed from Unknown to lgucarlesiloilo@gmail.com")</f>
        <v>**Restoration_project** changed from National Coral Reef Management Conservation Program to Building Back Better, **Restoration_project_short** changed from to Unknown, **Year of establishment** changed from Unknown to 2015, **Project Start** changed from 1990 to Unknown, **Project End** changed from 1992 to Unknown, **Technique/Material Type** changed from tires, concrete to Jackstone, **Restoration objective** changed from Fishing and rehabilitation to fish stock enhancement; fishing ground, **Funding agency** changed from PCAMRD to Christian Aid, **Total units** changed from Unknown to 100 units, **Implementing institution** changed from PCAMRD to Iloilo CODE of NGOs, **Partners_communities** changed from Unknown to Bayas Maliog-liog Small Fisherfolks Association, **Reference** changed from Conference Proceeding to Lozada, D. (2016, September 4). "For the next generation": Iloilo's fishermen take lead in coastal management. Rappler. https://www.rappler.com/environment/disasters/145137-iloilo-fishermen-lead-coastal-management/, **Website** changed from http://pubs.iclarm.net/libinfo/Pdf/Pub%20CP6%2049.pdf to https://www.rappler.com/moveph/145137-iloilo-fishermen-lead-coastal-management/, **Contact_name** changed from Miriam Balgos to Unknown, **Contact_details** changed from Unknown to lgucarlesiloilo@gmail.com</v>
      </c>
      <c r="I502" s="153" t="s">
        <v>7068</v>
      </c>
      <c r="J502" s="153" t="s">
        <v>314</v>
      </c>
      <c r="K502" s="153" t="s">
        <v>558</v>
      </c>
      <c r="L502" s="153" t="s">
        <v>786</v>
      </c>
      <c r="M502" s="181" t="s">
        <v>787</v>
      </c>
      <c r="N502" s="153" t="s">
        <v>151</v>
      </c>
      <c r="O502" s="153" t="s">
        <v>788</v>
      </c>
      <c r="P502" s="3" t="s">
        <v>149</v>
      </c>
      <c r="Q502" s="169">
        <v>2015.0</v>
      </c>
      <c r="R502" s="160" t="s">
        <v>149</v>
      </c>
      <c r="S502" s="160" t="s">
        <v>149</v>
      </c>
      <c r="T502" s="161" t="s">
        <v>150</v>
      </c>
      <c r="U502" s="153">
        <f>IFERROR(__xludf.DUMMYFUNCTION("""COMPUTED_VALUE"""),474.0)</f>
        <v>474</v>
      </c>
      <c r="V502" s="162" t="s">
        <v>3311</v>
      </c>
      <c r="W502" s="184" t="s">
        <v>6032</v>
      </c>
      <c r="X502" s="28" t="s">
        <v>6033</v>
      </c>
      <c r="Y502" s="32" t="s">
        <v>789</v>
      </c>
      <c r="Z502" s="158" t="s">
        <v>790</v>
      </c>
      <c r="AA502" s="158" t="s">
        <v>790</v>
      </c>
      <c r="AB502" s="153" t="s">
        <v>793</v>
      </c>
      <c r="AC502" s="153" t="s">
        <v>794</v>
      </c>
      <c r="AD502" s="158" t="s">
        <v>6154</v>
      </c>
      <c r="AE502" s="158" t="s">
        <v>306</v>
      </c>
      <c r="AF502" s="158" t="s">
        <v>159</v>
      </c>
      <c r="AG502" s="164" t="s">
        <v>149</v>
      </c>
      <c r="AH502" s="158" t="s">
        <v>149</v>
      </c>
      <c r="AI502" s="153" t="s">
        <v>795</v>
      </c>
      <c r="AJ502" s="153" t="s">
        <v>796</v>
      </c>
      <c r="AK502" s="153" t="s">
        <v>306</v>
      </c>
      <c r="AL502" s="3" t="s">
        <v>149</v>
      </c>
      <c r="AM502" s="3" t="s">
        <v>149</v>
      </c>
      <c r="AN502" s="153" t="s">
        <v>797</v>
      </c>
      <c r="AO502" s="156">
        <v>1.0</v>
      </c>
      <c r="AP502" s="156" t="s">
        <v>6037</v>
      </c>
      <c r="AQ502" s="158" t="s">
        <v>166</v>
      </c>
      <c r="AR502" s="153" t="s">
        <v>798</v>
      </c>
      <c r="AS502" s="165" t="s">
        <v>799</v>
      </c>
      <c r="AT502" s="3" t="s">
        <v>149</v>
      </c>
      <c r="AU502" s="153" t="s">
        <v>800</v>
      </c>
    </row>
    <row r="503">
      <c r="A503" s="186">
        <v>251.0</v>
      </c>
      <c r="B503" s="152">
        <v>2023.0</v>
      </c>
      <c r="D503" s="152"/>
      <c r="E503" s="151">
        <v>251.0</v>
      </c>
      <c r="F503" s="129" t="s">
        <v>140</v>
      </c>
      <c r="G503" s="3" t="s">
        <v>3279</v>
      </c>
      <c r="H503" s="8" t="str">
        <f>IFERROR(__xludf.DUMMYFUNCTION("""COMPUTED_VALUE"""),"")</f>
        <v/>
      </c>
      <c r="I503" s="8" t="s">
        <v>7069</v>
      </c>
      <c r="J503" s="8" t="s">
        <v>314</v>
      </c>
      <c r="K503" s="8" t="s">
        <v>626</v>
      </c>
      <c r="L503" s="8" t="s">
        <v>4871</v>
      </c>
      <c r="M503" s="153" t="s">
        <v>7070</v>
      </c>
      <c r="N503" s="8" t="s">
        <v>151</v>
      </c>
      <c r="O503" s="8" t="s">
        <v>6113</v>
      </c>
      <c r="P503" s="8" t="s">
        <v>7071</v>
      </c>
      <c r="Q503" s="142" t="s">
        <v>6113</v>
      </c>
      <c r="R503" s="142"/>
      <c r="S503" s="142"/>
      <c r="U503" s="8">
        <f>IFERROR(__xludf.DUMMYFUNCTION("""COMPUTED_VALUE"""),475.0)</f>
        <v>475</v>
      </c>
      <c r="V503" s="8"/>
      <c r="W503" s="8"/>
      <c r="AG503" s="142"/>
      <c r="AO503" s="8"/>
      <c r="AP503" s="8"/>
    </row>
    <row r="504">
      <c r="A504" s="186">
        <v>252.0</v>
      </c>
      <c r="B504" s="152">
        <v>2025.0</v>
      </c>
      <c r="C504" s="153" t="str">
        <f>CONCATENATE(D504, "-", M504, "-", A504)
</f>
        <v>2023-PH063014000-252</v>
      </c>
      <c r="D504" s="152">
        <f>IF(OR(F503="Published", F503="Unpublished"), 2023, IF(F503="New", 2025, ""))
</f>
        <v>2023</v>
      </c>
      <c r="E504" s="151">
        <v>252.0</v>
      </c>
      <c r="F504" s="129" t="s">
        <v>140</v>
      </c>
      <c r="G504" s="156" t="s">
        <v>141</v>
      </c>
      <c r="H504" s="153" t="str">
        <f>IFERROR(__xludf.DUMMYFUNCTION("""COMPUTED_VALUE"""),"**Restoration_project** changed from *Not indicated to Unknown, **Restoration_project_short** changed from (*Mention of artificial reef installation in a DSWD all CDD report) to Supporting recovery of fishing livelihoods, mangroves and coral reefs in the "&amp;"Philippines after Typhoon Haiyan, **Year of establishment** changed from *Not indicated to 2014, **Project Start** changed from to Unknown, **Project End** changed from to Unknown, **Restoration method** changed from Artificial Reef to Artificial Reef; As"&amp;"exual Reproduction, **Technique/Material Type** changed from to CNU; coral planting, **Restoration objective** changed from to Coral reef rehabilitation, **Funding agency** changed from to CONCERN Worldwide, **Total funding** changed from to Unknown, **To"&amp;"tal area of restoration** changed from to Unknown, **Total units** changed from to Unknown, **Implementing institution** changed from to CONCERN Worldwide, **Partners_public** changed from to MLGU, **Partners_private** changed from to Unknown, **Partners_"&amp;"communities** changed from to Unknown, **Reference** changed from to Potier, V. (n.d.). Supporting recovery of fishing livelihoods, mangroves and coral reefs in the Philippines after Typhoon Haiyan: A CONCERN Worldwide Learning Paper. https://admin.concer"&amp;"n.net/sites/default/files/media/migrated/_supporting_recovery_of_fishing_livelihoods_mangroves_and_coral_reefs_in_the_philippines_0.pdf, **Website** changed from to https://admin.concern.net/sites/default/files/media/migrated/_supporting_recovery_of_fishi"&amp;"ng_livelihoods_mangroves_and_coral_reefs_in_the_philippines_0.pdf, **Contact_name** changed from to Unknown, **Contact_details** changed from to Unknown")</f>
        <v>**Restoration_project** changed from *Not indicated to Unknown, **Restoration_project_short** changed from (*Mention of artificial reef installation in a DSWD all CDD report) to Supporting recovery of fishing livelihoods, mangroves and coral reefs in the Philippines after Typhoon Haiyan, **Year of establishment** changed from *Not indicated to 2014, **Project Start** changed from to Unknown, **Project End** changed from to Unknown, **Restoration method** changed from Artificial Reef to Artificial Reef; Asexual Reproduction, **Technique/Material Type** changed from to CNU; coral planting, **Restoration objective** changed from to Coral reef rehabilitation, **Funding agency** changed from to CONCERN Worldwide, **Total funding** changed from to Unknown, **Total area of restoration** changed from to Unknown, **Total units** changed from to Unknown, **Implementing institution** changed from to CONCERN Worldwide, **Partners_public** changed from to MLGU, **Partners_private** changed from to Unknown, **Partners_communities** changed from to Unknown, **Reference** changed from to 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 **Website** changed from to https://admin.concern.net/sites/default/files/media/migrated/_supporting_recovery_of_fishing_livelihoods_mangroves_and_coral_reefs_in_the_philippines_0.pdf, **Contact_name** changed from to Unknown, **Contact_details** changed from to Unknown</v>
      </c>
      <c r="I504" s="153" t="s">
        <v>7072</v>
      </c>
      <c r="J504" s="153" t="s">
        <v>314</v>
      </c>
      <c r="K504" s="153" t="s">
        <v>558</v>
      </c>
      <c r="L504" s="153" t="s">
        <v>786</v>
      </c>
      <c r="M504" s="181" t="s">
        <v>787</v>
      </c>
      <c r="N504" s="153" t="s">
        <v>6624</v>
      </c>
      <c r="O504" s="158" t="s">
        <v>149</v>
      </c>
      <c r="P504" s="153" t="s">
        <v>2331</v>
      </c>
      <c r="Q504" s="169">
        <v>2014.0</v>
      </c>
      <c r="R504" s="160" t="s">
        <v>149</v>
      </c>
      <c r="S504" s="160" t="s">
        <v>149</v>
      </c>
      <c r="T504" s="156" t="s">
        <v>263</v>
      </c>
      <c r="U504" s="153">
        <f>IFERROR(__xludf.DUMMYFUNCTION("""COMPUTED_VALUE"""),476.0)</f>
        <v>476</v>
      </c>
      <c r="V504" s="191" t="s">
        <v>6790</v>
      </c>
      <c r="W504" s="179" t="s">
        <v>149</v>
      </c>
      <c r="X504" s="180"/>
      <c r="Y504" s="180" t="s">
        <v>149</v>
      </c>
      <c r="Z504" s="158" t="s">
        <v>179</v>
      </c>
      <c r="AA504" s="153" t="s">
        <v>730</v>
      </c>
      <c r="AB504" s="153" t="s">
        <v>1923</v>
      </c>
      <c r="AC504" s="153" t="s">
        <v>2332</v>
      </c>
      <c r="AD504" s="158" t="s">
        <v>6154</v>
      </c>
      <c r="AE504" s="158" t="s">
        <v>306</v>
      </c>
      <c r="AF504" s="158" t="s">
        <v>159</v>
      </c>
      <c r="AG504" s="164" t="s">
        <v>149</v>
      </c>
      <c r="AH504" s="158" t="s">
        <v>149</v>
      </c>
      <c r="AI504" s="158" t="s">
        <v>149</v>
      </c>
      <c r="AJ504" s="153" t="s">
        <v>2332</v>
      </c>
      <c r="AK504" s="153" t="s">
        <v>306</v>
      </c>
      <c r="AL504" s="153" t="s">
        <v>369</v>
      </c>
      <c r="AM504" s="3" t="s">
        <v>149</v>
      </c>
      <c r="AN504" s="3" t="s">
        <v>149</v>
      </c>
      <c r="AO504" s="156">
        <v>2.0</v>
      </c>
      <c r="AP504" s="156" t="s">
        <v>6628</v>
      </c>
      <c r="AQ504" s="153" t="s">
        <v>6084</v>
      </c>
      <c r="AR504" s="153" t="s">
        <v>2335</v>
      </c>
      <c r="AS504" s="153" t="s">
        <v>2336</v>
      </c>
      <c r="AT504" s="3" t="s">
        <v>149</v>
      </c>
      <c r="AU504" s="3" t="s">
        <v>149</v>
      </c>
    </row>
    <row r="505">
      <c r="A505" s="186">
        <v>252.0</v>
      </c>
      <c r="B505" s="152">
        <v>2023.0</v>
      </c>
      <c r="D505" s="152"/>
      <c r="E505" s="151">
        <v>252.0</v>
      </c>
      <c r="F505" s="129" t="s">
        <v>140</v>
      </c>
      <c r="G505" s="3" t="s">
        <v>6029</v>
      </c>
      <c r="H505" s="8" t="str">
        <f>IFERROR(__xludf.DUMMYFUNCTION("""COMPUTED_VALUE"""),"")</f>
        <v/>
      </c>
      <c r="I505" s="8" t="s">
        <v>7073</v>
      </c>
      <c r="J505" s="8" t="s">
        <v>193</v>
      </c>
      <c r="K505" s="8" t="s">
        <v>563</v>
      </c>
      <c r="L505" s="8" t="s">
        <v>230</v>
      </c>
      <c r="M505" s="212" t="s">
        <v>1713</v>
      </c>
      <c r="N505" s="8" t="s">
        <v>6062</v>
      </c>
      <c r="O505" s="8" t="s">
        <v>1683</v>
      </c>
      <c r="Q505" s="155" t="s">
        <v>149</v>
      </c>
      <c r="R505" s="142" t="s">
        <v>6063</v>
      </c>
      <c r="S505" s="142" t="s">
        <v>6064</v>
      </c>
      <c r="T505" s="8"/>
      <c r="U505" s="8">
        <f>IFERROR(__xludf.DUMMYFUNCTION("""COMPUTED_VALUE"""),477.0)</f>
        <v>477</v>
      </c>
      <c r="V505" s="8"/>
      <c r="W505" s="8"/>
      <c r="X505" s="8"/>
      <c r="Y505" s="8"/>
      <c r="AA505" s="8" t="s">
        <v>320</v>
      </c>
      <c r="AB505" s="155" t="s">
        <v>149</v>
      </c>
      <c r="AC505" s="8" t="s">
        <v>321</v>
      </c>
      <c r="AG505" s="155" t="s">
        <v>149</v>
      </c>
      <c r="AH505" s="155" t="s">
        <v>149</v>
      </c>
      <c r="AI505" s="8" t="s">
        <v>1692</v>
      </c>
      <c r="AJ505" s="8" t="s">
        <v>1714</v>
      </c>
      <c r="AL505" s="155" t="s">
        <v>149</v>
      </c>
      <c r="AM505" s="155" t="s">
        <v>149</v>
      </c>
      <c r="AN505" s="155" t="s">
        <v>149</v>
      </c>
      <c r="AO505" s="8"/>
      <c r="AP505" s="8"/>
      <c r="AR505" s="8" t="s">
        <v>6069</v>
      </c>
      <c r="AS505" s="155" t="s">
        <v>149</v>
      </c>
      <c r="AT505" s="8" t="s">
        <v>1716</v>
      </c>
      <c r="AU505" s="172" t="s">
        <v>1717</v>
      </c>
    </row>
    <row r="506">
      <c r="A506" s="186">
        <v>253.0</v>
      </c>
      <c r="B506" s="152">
        <v>2025.0</v>
      </c>
      <c r="C506" s="153" t="str">
        <f>CONCATENATE(D506, "-", M506, "-", A506)
</f>
        <v>2023-PH063015000-253</v>
      </c>
      <c r="D506" s="152">
        <f>IF(OR(F505="Published", F505="Unpublished"), 2023, IF(F505="New", 2025, ""))
</f>
        <v>2023</v>
      </c>
      <c r="E506" s="151">
        <v>253.0</v>
      </c>
      <c r="F506" s="129" t="s">
        <v>140</v>
      </c>
      <c r="G506" s="156" t="s">
        <v>141</v>
      </c>
      <c r="H506" s="153" t="str">
        <f>IFERROR(__xludf.DUMMYFUNCTION("""COMPUTED_VALUE"""),"**Region** changed from VII to VI, **Restoration_project** changed from National Coral Reef Rehabilitation Roll-Out Program to Unknown, **Restoration_project_short** changed from to Supporting recovery of fishing livelihoods, mangroves and coral reefs in "&amp;"the Philippines after Typhoon Haiyan, **Year of establishment** changed from Unknown to 2014, **Project Start** changed from 2014 to Unknown, **Project End** changed from 2016 to Unknown, **Restoration method** changed from Asexual Reproduction to Artific"&amp;"ial Reef; Asexual Reproduction, **Technique/Material Type** changed from CNU to CNU; coral planting, **Restoration objective** changed from Unknown to Coral reef rehabilitation, **Funding agency** changed from DOST-PCAARRD to CONCERN Worldwide, **Total un"&amp;"its** changed from 10 CNUs/30,000 COPs to Unknown, **Implementing institution** changed from Bohol Island State University to CONCERN Worldwide, **Partners_public** changed from Unknown to MLGU, **Partners_private** changed from Unknown to UP Visayas, **R"&amp;"eference** changed from Briefer Report to Potier, V. (n.d.). Supporting recovery of fishing livelihoods, mangroves and coral reefs in the Philippines after Typhoon Haiyan: A CONCERN Worldwide Learning Paper. https://admin.concern.net/sites/default/files/m"&amp;"edia/migrated/_supporting_recovery_of_fishing_livelihoods_mangroves_and_coral_reefs_in_the_philippines_0.pdf, **Website** changed from Unknown to https://admin.concern.net/sites/default/files/media/migrated/_supporting_recovery_of_fishing_livelihoods_mang"&amp;"roves_and_coral_reefs_in_the_philippines_0.pdf, **Contact_name** changed from Dr. Samuel Gulayan to Unknown, **Contact_details** changed from samgulayan@yahoo.com to Unknown")</f>
        <v>**Region** changed from VII to VI, **Restoration_project** changed from National Coral Reef Rehabilitation Roll-Out Program to Unknown, **Restoration_project_short** changed from to Supporting recovery of fishing livelihoods, mangroves and coral reefs in the Philippines after Typhoon Haiyan, **Year of establishment** changed from Unknown to 2014, **Project Start** changed from 2014 to Unknown, **Project End** changed from 2016 to Unknown, **Restoration method** changed from Asexual Reproduction to Artificial Reef; Asexual Reproduction, **Technique/Material Type** changed from CNU to CNU; coral planting, **Restoration objective** changed from Unknown to Coral reef rehabilitation, **Funding agency** changed from DOST-PCAARRD to CONCERN Worldwide, **Total units** changed from 10 CNUs/30,000 COPs to Unknown, **Implementing institution** changed from Bohol Island State University to CONCERN Worldwide, **Partners_public** changed from Unknown to MLGU, **Partners_private** changed from Unknown to UP Visayas, **Reference** changed from Briefer Report to Potier, V. (n.d.). Supporting recovery of fishing livelihoods, mangroves and coral reefs in the Philippines after Typhoon Haiyan: A CONCERN Worldwide Learning Paper. https://admin.concern.net/sites/default/files/media/migrated/_supporting_recovery_of_fishing_livelihoods_mangroves_and_coral_reefs_in_the_philippines_0.pdf, **Website** changed from Unknown to https://admin.concern.net/sites/default/files/media/migrated/_supporting_recovery_of_fishing_livelihoods_mangroves_and_coral_reefs_in_the_philippines_0.pdf, **Contact_name** changed from Dr. Samuel Gulayan to Unknown, **Contact_details** changed from samgulayan@yahoo.com to Unknown</v>
      </c>
      <c r="I506" s="153" t="s">
        <v>7074</v>
      </c>
      <c r="J506" s="153" t="s">
        <v>314</v>
      </c>
      <c r="K506" s="153" t="s">
        <v>558</v>
      </c>
      <c r="L506" s="153" t="s">
        <v>2066</v>
      </c>
      <c r="M506" s="181" t="s">
        <v>2067</v>
      </c>
      <c r="N506" s="153" t="s">
        <v>6624</v>
      </c>
      <c r="O506" s="158" t="s">
        <v>149</v>
      </c>
      <c r="P506" s="153" t="s">
        <v>2331</v>
      </c>
      <c r="Q506" s="169">
        <v>2014.0</v>
      </c>
      <c r="R506" s="160" t="s">
        <v>149</v>
      </c>
      <c r="S506" s="160" t="s">
        <v>149</v>
      </c>
      <c r="T506" s="156" t="s">
        <v>263</v>
      </c>
      <c r="U506" s="153">
        <f>IFERROR(__xludf.DUMMYFUNCTION("""COMPUTED_VALUE"""),478.0)</f>
        <v>478</v>
      </c>
      <c r="V506" s="191" t="s">
        <v>6790</v>
      </c>
      <c r="W506" s="179" t="s">
        <v>149</v>
      </c>
      <c r="X506" s="180"/>
      <c r="Y506" s="180" t="s">
        <v>149</v>
      </c>
      <c r="Z506" s="158" t="s">
        <v>179</v>
      </c>
      <c r="AA506" s="153" t="s">
        <v>730</v>
      </c>
      <c r="AB506" s="153" t="s">
        <v>1923</v>
      </c>
      <c r="AC506" s="153" t="s">
        <v>2332</v>
      </c>
      <c r="AD506" s="158" t="s">
        <v>6154</v>
      </c>
      <c r="AE506" s="158" t="s">
        <v>306</v>
      </c>
      <c r="AF506" s="158" t="s">
        <v>159</v>
      </c>
      <c r="AG506" s="164" t="s">
        <v>149</v>
      </c>
      <c r="AH506" s="158" t="s">
        <v>149</v>
      </c>
      <c r="AI506" s="158" t="s">
        <v>149</v>
      </c>
      <c r="AJ506" s="153" t="s">
        <v>2332</v>
      </c>
      <c r="AK506" s="153" t="s">
        <v>306</v>
      </c>
      <c r="AL506" s="153" t="s">
        <v>369</v>
      </c>
      <c r="AM506" s="153" t="s">
        <v>2339</v>
      </c>
      <c r="AN506" s="3" t="s">
        <v>149</v>
      </c>
      <c r="AO506" s="156">
        <v>2.0</v>
      </c>
      <c r="AP506" s="156" t="s">
        <v>6628</v>
      </c>
      <c r="AQ506" s="153" t="s">
        <v>6084</v>
      </c>
      <c r="AR506" s="153" t="s">
        <v>2335</v>
      </c>
      <c r="AS506" s="165" t="s">
        <v>2336</v>
      </c>
      <c r="AT506" s="3" t="s">
        <v>149</v>
      </c>
      <c r="AU506" s="3" t="s">
        <v>149</v>
      </c>
    </row>
    <row r="507">
      <c r="A507" s="186">
        <v>253.0</v>
      </c>
      <c r="B507" s="152">
        <v>2023.0</v>
      </c>
      <c r="D507" s="152"/>
      <c r="E507" s="151">
        <v>253.0</v>
      </c>
      <c r="F507" s="129" t="s">
        <v>140</v>
      </c>
      <c r="G507" s="3" t="s">
        <v>3279</v>
      </c>
      <c r="H507" s="8" t="str">
        <f>IFERROR(__xludf.DUMMYFUNCTION("""COMPUTED_VALUE"""),"")</f>
        <v/>
      </c>
      <c r="I507" s="8" t="s">
        <v>7075</v>
      </c>
      <c r="J507" s="8" t="s">
        <v>193</v>
      </c>
      <c r="K507" s="8" t="s">
        <v>563</v>
      </c>
      <c r="L507" s="8" t="s">
        <v>230</v>
      </c>
      <c r="M507" s="212" t="s">
        <v>1713</v>
      </c>
      <c r="N507" s="8" t="s">
        <v>6062</v>
      </c>
      <c r="O507" s="8" t="s">
        <v>6113</v>
      </c>
      <c r="P507" s="8" t="s">
        <v>7076</v>
      </c>
      <c r="Q507" s="142" t="s">
        <v>6268</v>
      </c>
      <c r="R507" s="142" t="s">
        <v>6268</v>
      </c>
      <c r="S507" s="142" t="s">
        <v>6064</v>
      </c>
      <c r="U507" s="8">
        <f>IFERROR(__xludf.DUMMYFUNCTION("""COMPUTED_VALUE"""),479.0)</f>
        <v>479</v>
      </c>
      <c r="V507" s="8"/>
      <c r="W507" s="8"/>
      <c r="AA507" s="8" t="s">
        <v>3245</v>
      </c>
      <c r="AB507" s="8" t="s">
        <v>7077</v>
      </c>
      <c r="AC507" s="8" t="s">
        <v>321</v>
      </c>
      <c r="AG507" s="142"/>
      <c r="AI507" s="8" t="s">
        <v>7078</v>
      </c>
      <c r="AJ507" s="8" t="s">
        <v>1714</v>
      </c>
      <c r="AO507" s="8"/>
      <c r="AP507" s="8"/>
      <c r="AR507" s="8" t="s">
        <v>6214</v>
      </c>
      <c r="AS507" s="8" t="s">
        <v>7079</v>
      </c>
      <c r="AT507" s="8" t="s">
        <v>1716</v>
      </c>
      <c r="AU507" s="172" t="s">
        <v>1717</v>
      </c>
    </row>
    <row r="508">
      <c r="A508" s="186">
        <v>254.0</v>
      </c>
      <c r="B508" s="152">
        <v>2025.0</v>
      </c>
      <c r="C508" s="153" t="str">
        <f>CONCATENATE(D508, "-", M508, "-", A508)
</f>
        <v>2023-PH063015000-254</v>
      </c>
      <c r="D508" s="152">
        <f>IF(OR(F507="Published", F507="Unpublished"), 2023, IF(F507="New", 2025, ""))
</f>
        <v>2023</v>
      </c>
      <c r="E508" s="151">
        <v>254.0</v>
      </c>
      <c r="F508" s="156" t="s">
        <v>191</v>
      </c>
      <c r="G508" s="156" t="s">
        <v>191</v>
      </c>
      <c r="H508" s="153" t="str">
        <f>IFERROR(__xludf.DUMMYFUNCTION("""COMPUTED_VALUE"""),"**Region** changed from VII to VI, **Restoration_project** changed from *Not indicated to Sea of Life, **Restoration_project_short** changed from Coral Transplantation Technology for Sustainable Fisheries and Underwater Tourism to Site in near Pan de Azuc"&amp;"ar Island, **Year of establishment** changed from 2015 to 2015, **Project Start** changed from 2015 to Unknown, **Project End** changed from 2016 to Unknown, **Restoration method** changed from Asexual Reproduction to Artificial Reef, **Technique/Material"&amp;" Type** changed from Direct transplantation to dome, **Restoration objective** changed from Research; Test difference on performance of coral transplantation after 1 year, and fish abundance in the reef to Unknown, **Funding agency** changed from DOST-PCA"&amp;"ARRD to JCI Manila, **Total funding** changed from to Unknown, **Total area of restoration** changed from to Unknown, **Total units** changed from 30,000 COPs to Unknown, **Implementing institution** changed from Bohol Island State University to JCI Manil"&amp;"a, **Partners_public** changed from to Unknown, **Partners_private** changed from to Unknown, **Partners_communities** changed from to Unknown, **Reference** changed from Published article to JCI Manila ""Sea of Life"" (2018, October 8). In 2015, JCI Mani"&amp;"la constructed and deployed 50 artificial dome reefs in Batangas and Iloilo. After a year underwater [Status Update] [Images Attached]. Facebook. https://web.facebook.com/jcimanilaseaoflife/posts/pfbid02pDbrLSGU8G89Y6fFseL879wWeu6hoSHsuHNsYRL4JyTrGsnutkfh"&amp;"xQJMKf7vf5dml, **Website** changed from https://iserd.net/ijerd81/Volume8-1-10.pdf to https://web.facebook.com/jcimanilaseaoflife/posts/pfbid02pDbrLSGU8G89Y6fFseL879wWeu6hoSHsuHNsYRL4JyTrGsnutkfhxQJMKf7vf5dml, **Contact_name** changed from Dr. Samuel Gula"&amp;"yan to Unknown, **Contact_details** changed from samgulayan@yahoo.com to Unknown")</f>
        <v>**Region** changed from VII to VI, **Restoration_project** changed from *Not indicated to Sea of Life, **Restoration_project_short** changed from Coral Transplantation Technology for Sustainable Fisheries and Underwater Tourism to Site in near Pan de Azucar Island, **Year of establishment** changed from 2015 to 2015, **Project Start** changed from 2015 to Unknown, **Project End** changed from 2016 to Unknown, **Restoration method** changed from Asexual Reproduction to Artificial Reef, **Technique/Material Type** changed from Direct transplantation to dome, **Restoration objective** changed from Research; Test difference on performance of coral transplantation after 1 year, and fish abundance in the reef to Unknown, **Funding agency** changed from DOST-PCAARRD to JCI Manila, **Total funding** changed from to Unknown, **Total area of restoration** changed from to Unknown, **Total units** changed from 30,000 COPs to Unknown, **Implementing institution** changed from Bohol Island State University to JCI Manila, **Partners_public** changed from to Unknown, **Partners_private** changed from to Unknown, **Partners_communities** changed from to Unknown, **Reference** changed from Published article to JCI Manila "Sea of Life" (2018, October 8). In 2015, JCI Manila constructed and deployed 50 artificial dome reefs in Batangas and Iloilo. After a year underwater [Status Update] [Images Attached]. Facebook. https://web.facebook.com/jcimanilaseaoflife/posts/pfbid02pDbrLSGU8G89Y6fFseL879wWeu6hoSHsuHNsYRL4JyTrGsnutkfhxQJMKf7vf5dml, **Website** changed from https://iserd.net/ijerd81/Volume8-1-10.pdf to https://web.facebook.com/jcimanilaseaoflife/posts/pfbid02pDbrLSGU8G89Y6fFseL879wWeu6hoSHsuHNsYRL4JyTrGsnutkfhxQJMKf7vf5dml, **Contact_name** changed from Dr. Samuel Gulayan to Unknown, **Contact_details** changed from samgulayan@yahoo.com to Unknown</v>
      </c>
      <c r="I508" s="153" t="s">
        <v>7080</v>
      </c>
      <c r="J508" s="153" t="s">
        <v>314</v>
      </c>
      <c r="K508" s="153" t="s">
        <v>558</v>
      </c>
      <c r="L508" s="153" t="s">
        <v>2066</v>
      </c>
      <c r="M508" s="181" t="s">
        <v>2067</v>
      </c>
      <c r="N508" s="153" t="s">
        <v>151</v>
      </c>
      <c r="O508" s="153" t="s">
        <v>2023</v>
      </c>
      <c r="P508" s="153" t="s">
        <v>7081</v>
      </c>
      <c r="Q508" s="169">
        <v>2015.0</v>
      </c>
      <c r="R508" s="160" t="s">
        <v>149</v>
      </c>
      <c r="S508" s="160" t="s">
        <v>149</v>
      </c>
      <c r="T508" s="161" t="s">
        <v>150</v>
      </c>
      <c r="U508" s="153">
        <f>IFERROR(__xludf.DUMMYFUNCTION("""COMPUTED_VALUE"""),480.0)</f>
        <v>480</v>
      </c>
      <c r="V508" s="162" t="s">
        <v>3311</v>
      </c>
      <c r="W508" s="179" t="s">
        <v>6032</v>
      </c>
      <c r="X508" s="28" t="s">
        <v>6173</v>
      </c>
      <c r="Y508" s="32" t="s">
        <v>361</v>
      </c>
      <c r="Z508" s="158" t="s">
        <v>2069</v>
      </c>
      <c r="AA508" s="153" t="s">
        <v>2069</v>
      </c>
      <c r="AB508" s="158" t="s">
        <v>149</v>
      </c>
      <c r="AC508" s="153" t="s">
        <v>2038</v>
      </c>
      <c r="AD508" s="158" t="s">
        <v>160</v>
      </c>
      <c r="AE508" s="158" t="s">
        <v>271</v>
      </c>
      <c r="AF508" s="158" t="s">
        <v>159</v>
      </c>
      <c r="AG508" s="164" t="s">
        <v>149</v>
      </c>
      <c r="AH508" s="158" t="s">
        <v>149</v>
      </c>
      <c r="AI508" s="158" t="s">
        <v>149</v>
      </c>
      <c r="AJ508" s="153" t="s">
        <v>2038</v>
      </c>
      <c r="AK508" s="153" t="s">
        <v>271</v>
      </c>
      <c r="AL508" s="156" t="s">
        <v>149</v>
      </c>
      <c r="AM508" s="156" t="s">
        <v>149</v>
      </c>
      <c r="AN508" s="156" t="s">
        <v>149</v>
      </c>
      <c r="AO508" s="156">
        <v>1.0</v>
      </c>
      <c r="AP508" s="156" t="s">
        <v>6037</v>
      </c>
      <c r="AQ508" s="153" t="s">
        <v>6038</v>
      </c>
      <c r="AR508" s="153" t="s">
        <v>2070</v>
      </c>
      <c r="AS508" s="165" t="s">
        <v>2071</v>
      </c>
      <c r="AT508" s="156" t="s">
        <v>149</v>
      </c>
      <c r="AU508" s="156" t="s">
        <v>149</v>
      </c>
    </row>
    <row r="509">
      <c r="A509" s="186">
        <v>254.0</v>
      </c>
      <c r="B509" s="152">
        <v>2023.0</v>
      </c>
      <c r="D509" s="152"/>
      <c r="E509" s="151">
        <v>254.0</v>
      </c>
      <c r="F509" s="129" t="s">
        <v>140</v>
      </c>
      <c r="G509" s="3" t="s">
        <v>6029</v>
      </c>
      <c r="H509" s="8" t="str">
        <f>IFERROR(__xludf.DUMMYFUNCTION("""COMPUTED_VALUE"""),"")</f>
        <v/>
      </c>
      <c r="I509" s="8" t="s">
        <v>7082</v>
      </c>
      <c r="J509" s="8" t="s">
        <v>193</v>
      </c>
      <c r="K509" s="8" t="s">
        <v>563</v>
      </c>
      <c r="L509" s="8" t="s">
        <v>962</v>
      </c>
      <c r="M509" s="198" t="s">
        <v>963</v>
      </c>
      <c r="N509" s="8" t="s">
        <v>6062</v>
      </c>
      <c r="O509" s="8" t="s">
        <v>934</v>
      </c>
      <c r="P509" s="155" t="s">
        <v>149</v>
      </c>
      <c r="Q509" s="142" t="s">
        <v>6229</v>
      </c>
      <c r="R509" s="142" t="s">
        <v>6229</v>
      </c>
      <c r="S509" s="142" t="s">
        <v>6230</v>
      </c>
      <c r="T509" s="8"/>
      <c r="U509" s="8">
        <f>IFERROR(__xludf.DUMMYFUNCTION("""COMPUTED_VALUE"""),481.0)</f>
        <v>481</v>
      </c>
      <c r="V509" s="8"/>
      <c r="W509" s="8"/>
      <c r="X509" s="8"/>
      <c r="Y509" s="8"/>
      <c r="AA509" s="8" t="s">
        <v>6276</v>
      </c>
      <c r="AB509" s="8" t="s">
        <v>939</v>
      </c>
      <c r="AC509" s="8" t="s">
        <v>940</v>
      </c>
      <c r="AG509" s="155" t="s">
        <v>149</v>
      </c>
      <c r="AH509" s="155" t="s">
        <v>149</v>
      </c>
      <c r="AI509" s="155" t="s">
        <v>149</v>
      </c>
      <c r="AJ509" s="8" t="s">
        <v>233</v>
      </c>
      <c r="AL509" s="155" t="s">
        <v>149</v>
      </c>
      <c r="AM509" s="155" t="s">
        <v>149</v>
      </c>
      <c r="AN509" s="155" t="s">
        <v>149</v>
      </c>
      <c r="AO509" s="8"/>
      <c r="AP509" s="8"/>
      <c r="AR509" s="8" t="s">
        <v>6214</v>
      </c>
      <c r="AS509" s="8" t="s">
        <v>942</v>
      </c>
      <c r="AT509" s="8" t="s">
        <v>943</v>
      </c>
      <c r="AU509" s="155" t="s">
        <v>149</v>
      </c>
    </row>
    <row r="510">
      <c r="A510" s="186">
        <v>255.0</v>
      </c>
      <c r="B510" s="152">
        <v>2025.0</v>
      </c>
      <c r="C510" s="153" t="str">
        <f>CONCATENATE(D510, "-", M510, "-", A510)
</f>
        <v>2023-PH063019000-255</v>
      </c>
      <c r="D510" s="152">
        <f>IF(OR(F509="Published", F509="Unpublished"), 2023, IF(F509="New", 2025, ""))
</f>
        <v>2023</v>
      </c>
      <c r="E510" s="151">
        <v>255.0</v>
      </c>
      <c r="F510" s="129" t="s">
        <v>140</v>
      </c>
      <c r="G510" s="156" t="s">
        <v>141</v>
      </c>
      <c r="H510" s="153" t="str">
        <f>IFERROR(__xludf.DUMMYFUNCTION("""COMPUTED_VALUE"""),"**Region** changed from VII to VI, **Restoration_project** changed from Coral Reef Habitat and Productivity Enhancement through Coral Transplantation and Giant Clam Restocking to Unknown, **Restoration_project_short** changed from Unknown to *Mention of d"&amp;"eploying artificial reefs in three coastal barangays, **Year of establishment** changed from 2001 to Unknown, **Project Start** changed from 2001 to Unknown, **Project End** changed from 2005 to Unknown, **Restoration method** changed from Asexual Reprodu"&amp;"ction to Artificial Reef, **Technique/Material Type** changed from Direct transplantation; to Unknown, **Restoration objective** changed from Improve biodiversity and productivity of stressed coral reef habitats in 10 selected demonstration sites to Unkno"&amp;"wn, **Funding agency** changed from Pew Marine Conservation Fellowship to Unknown, **Implementing institution** changed from UP MSI to Unknown, **Reference** changed from Published article to The Search for Best Coastal Management Programs 1998 (n.d.). On"&amp;"eOcean. http://oneocean.org/about_crmp/98search.html, **Website** changed from https://aquadocs.org/bitstream/handle/1834/40478/GomezED2006.pdf?sequence=1&amp;isAllowed=y to http://oneocean.org/about_crmp/98search.html, **Contact_name** changed from Dr. Patri"&amp;"ck Cabaitan to Unknown")</f>
        <v>**Region** changed from VII to VI, **Restoration_project** changed from Coral Reef Habitat and Productivity Enhancement through Coral Transplantation and Giant Clam Restocking to Unknown, **Restoration_project_short** changed from Unknown to *Mention of deploying artificial reefs in three coastal barangays, **Year of establishment** changed from 2001 to Unknown, **Project Start** changed from 2001 to Unknown,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Unknown, **Implementing institution** changed from UP MSI to Unknown, **Reference** changed from Published article to The Search for Best Coastal Management Programs 1998 (n.d.). OneOcean. http://oneocean.org/about_crmp/98search.html, **Website** changed from https://aquadocs.org/bitstream/handle/1834/40478/GomezED2006.pdf?sequence=1&amp;isAllowed=y to http://oneocean.org/about_crmp/98search.html, **Contact_name** changed from Dr. Patrick Cabaitan to Unknown</v>
      </c>
      <c r="I510" s="153" t="s">
        <v>7083</v>
      </c>
      <c r="J510" s="153" t="s">
        <v>314</v>
      </c>
      <c r="K510" s="153" t="s">
        <v>558</v>
      </c>
      <c r="L510" s="153" t="s">
        <v>3143</v>
      </c>
      <c r="M510" s="181" t="s">
        <v>3144</v>
      </c>
      <c r="N510" s="153" t="s">
        <v>151</v>
      </c>
      <c r="O510" s="158" t="s">
        <v>149</v>
      </c>
      <c r="P510" s="153" t="s">
        <v>7044</v>
      </c>
      <c r="Q510" s="178" t="s">
        <v>149</v>
      </c>
      <c r="R510" s="160" t="s">
        <v>149</v>
      </c>
      <c r="S510" s="160" t="s">
        <v>149</v>
      </c>
      <c r="T510" s="161" t="s">
        <v>150</v>
      </c>
      <c r="U510" s="153">
        <f>IFERROR(__xludf.DUMMYFUNCTION("""COMPUTED_VALUE"""),482.0)</f>
        <v>482</v>
      </c>
      <c r="V510" s="162" t="s">
        <v>3311</v>
      </c>
      <c r="W510" s="187" t="s">
        <v>149</v>
      </c>
      <c r="X510" s="184"/>
      <c r="Y510" s="184" t="s">
        <v>149</v>
      </c>
      <c r="Z510" s="158" t="s">
        <v>149</v>
      </c>
      <c r="AA510" s="158" t="s">
        <v>149</v>
      </c>
      <c r="AB510" s="158" t="s">
        <v>149</v>
      </c>
      <c r="AC510" s="158" t="s">
        <v>149</v>
      </c>
      <c r="AD510" s="158" t="s">
        <v>149</v>
      </c>
      <c r="AE510" s="158" t="s">
        <v>149</v>
      </c>
      <c r="AF510" s="158" t="s">
        <v>149</v>
      </c>
      <c r="AG510" s="164" t="s">
        <v>149</v>
      </c>
      <c r="AH510" s="158" t="s">
        <v>149</v>
      </c>
      <c r="AI510" s="158" t="s">
        <v>149</v>
      </c>
      <c r="AJ510" s="158" t="s">
        <v>149</v>
      </c>
      <c r="AK510" s="158" t="s">
        <v>149</v>
      </c>
      <c r="AL510" s="3" t="s">
        <v>149</v>
      </c>
      <c r="AM510" s="3" t="s">
        <v>149</v>
      </c>
      <c r="AN510" s="3" t="s">
        <v>149</v>
      </c>
      <c r="AO510" s="156">
        <v>1.0</v>
      </c>
      <c r="AP510" s="156" t="s">
        <v>6037</v>
      </c>
      <c r="AQ510" s="158" t="s">
        <v>6027</v>
      </c>
      <c r="AR510" s="153" t="s">
        <v>2104</v>
      </c>
      <c r="AS510" s="165" t="s">
        <v>2105</v>
      </c>
      <c r="AT510" s="3" t="s">
        <v>149</v>
      </c>
      <c r="AU510" s="3" t="s">
        <v>149</v>
      </c>
    </row>
    <row r="511">
      <c r="A511" s="186">
        <v>255.0</v>
      </c>
      <c r="B511" s="152">
        <v>2023.0</v>
      </c>
      <c r="D511" s="152"/>
      <c r="E511" s="151">
        <v>255.0</v>
      </c>
      <c r="F511" s="129" t="s">
        <v>140</v>
      </c>
      <c r="G511" s="3" t="s">
        <v>6029</v>
      </c>
      <c r="H511" s="8" t="str">
        <f>IFERROR(__xludf.DUMMYFUNCTION("""COMPUTED_VALUE"""),"")</f>
        <v/>
      </c>
      <c r="I511" s="8" t="s">
        <v>7084</v>
      </c>
      <c r="J511" s="8" t="s">
        <v>193</v>
      </c>
      <c r="K511" s="8" t="s">
        <v>563</v>
      </c>
      <c r="L511" s="8" t="s">
        <v>564</v>
      </c>
      <c r="M511" s="198" t="s">
        <v>565</v>
      </c>
      <c r="N511" s="8" t="s">
        <v>151</v>
      </c>
      <c r="O511" s="8" t="s">
        <v>384</v>
      </c>
      <c r="P511" s="8" t="s">
        <v>566</v>
      </c>
      <c r="Q511" s="142" t="s">
        <v>6051</v>
      </c>
      <c r="R511" s="142" t="s">
        <v>6052</v>
      </c>
      <c r="S511" s="142" t="s">
        <v>6053</v>
      </c>
      <c r="T511" s="8"/>
      <c r="U511" s="8">
        <f>IFERROR(__xludf.DUMMYFUNCTION("""COMPUTED_VALUE"""),483.0)</f>
        <v>483</v>
      </c>
      <c r="V511" s="8"/>
      <c r="W511" s="8"/>
      <c r="X511" s="8"/>
      <c r="Y511" s="8"/>
      <c r="AA511" s="8" t="s">
        <v>6054</v>
      </c>
      <c r="AB511" s="155" t="s">
        <v>149</v>
      </c>
      <c r="AC511" s="8" t="s">
        <v>390</v>
      </c>
      <c r="AG511" s="155" t="s">
        <v>149</v>
      </c>
      <c r="AH511" s="155" t="s">
        <v>149</v>
      </c>
      <c r="AI511" s="8" t="s">
        <v>475</v>
      </c>
      <c r="AJ511" s="8" t="s">
        <v>390</v>
      </c>
      <c r="AL511" s="8" t="s">
        <v>6055</v>
      </c>
      <c r="AM511" s="155" t="s">
        <v>149</v>
      </c>
      <c r="AN511" s="155" t="s">
        <v>149</v>
      </c>
      <c r="AO511" s="8"/>
      <c r="AP511" s="8"/>
      <c r="AR511" s="8" t="s">
        <v>6057</v>
      </c>
      <c r="AS511" s="8" t="s">
        <v>2873</v>
      </c>
      <c r="AT511" s="8" t="s">
        <v>398</v>
      </c>
      <c r="AU511" s="155" t="s">
        <v>149</v>
      </c>
    </row>
    <row r="512">
      <c r="A512" s="186">
        <v>256.0</v>
      </c>
      <c r="B512" s="152">
        <v>2025.0</v>
      </c>
      <c r="C512" s="153" t="str">
        <f>CONCATENATE(D512, "-", M512, "-", A512)
</f>
        <v>2023-PH063020000-256</v>
      </c>
      <c r="D512" s="152">
        <f>IF(OR(F511="Published", F511="Unpublished"), 2023, IF(F511="New", 2025, ""))
</f>
        <v>2023</v>
      </c>
      <c r="E512" s="151">
        <v>256.0</v>
      </c>
      <c r="F512" s="129" t="s">
        <v>140</v>
      </c>
      <c r="G512" s="156" t="s">
        <v>141</v>
      </c>
      <c r="H512" s="153" t="str">
        <f>IFERROR(__xludf.DUMMYFUNCTION("""COMPUTED_VALUE"""),"**Region** changed from VII to VI, **Restoration_project_short** changed from Site in Cogtong to Site in Bungol, **Year of establishment** changed from 1986 to 1985, **Total units** changed from 14 TM to Unknown, **Reference** changed from Conference Proc"&amp;"eediing to Balgos, M.C. (1995). Evaluation of artificial reef development in the Philippines. In Munro, J.L. &amp; Balgos, M. (eds.) Artificial reefs in the Philippines. ICLARM Conf. Proc. 49, pp. 6-22., **Website** changed from http://pubs.iclarm.net/libinfo"&amp;"/Pdf/Pub%20CP6%2049.pdf to https://core.ac.uk/download/pdf/6515223.pdf;")</f>
        <v>**Region** changed from VII to VI, **Restoration_project_short** changed from Site in Cogtong to Site in Bungol, **Year of establishment** changed from 1986 to 1985, **Total units** changed from 14 TM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512" s="153" t="s">
        <v>7085</v>
      </c>
      <c r="J512" s="153" t="s">
        <v>314</v>
      </c>
      <c r="K512" s="153" t="s">
        <v>558</v>
      </c>
      <c r="L512" s="153" t="s">
        <v>559</v>
      </c>
      <c r="M512" s="181" t="s">
        <v>560</v>
      </c>
      <c r="N512" s="153" t="s">
        <v>151</v>
      </c>
      <c r="O512" s="153" t="s">
        <v>384</v>
      </c>
      <c r="P512" s="153" t="s">
        <v>561</v>
      </c>
      <c r="Q512" s="169">
        <v>1985.0</v>
      </c>
      <c r="R512" s="175" t="s">
        <v>6052</v>
      </c>
      <c r="S512" s="175" t="s">
        <v>6053</v>
      </c>
      <c r="T512" s="161" t="s">
        <v>150</v>
      </c>
      <c r="U512" s="153">
        <f>IFERROR(__xludf.DUMMYFUNCTION("""COMPUTED_VALUE"""),484.0)</f>
        <v>484</v>
      </c>
      <c r="V512" s="162" t="s">
        <v>3311</v>
      </c>
      <c r="W512" s="170" t="s">
        <v>6059</v>
      </c>
      <c r="X512" s="28" t="s">
        <v>6033</v>
      </c>
      <c r="Y512" s="28" t="s">
        <v>386</v>
      </c>
      <c r="Z512" s="176" t="s">
        <v>386</v>
      </c>
      <c r="AA512" s="153" t="s">
        <v>6054</v>
      </c>
      <c r="AB512" s="158" t="s">
        <v>149</v>
      </c>
      <c r="AC512" s="153" t="s">
        <v>390</v>
      </c>
      <c r="AD512" s="158" t="s">
        <v>160</v>
      </c>
      <c r="AE512" s="158" t="s">
        <v>6035</v>
      </c>
      <c r="AF512" s="158" t="s">
        <v>149</v>
      </c>
      <c r="AG512" s="164" t="s">
        <v>149</v>
      </c>
      <c r="AH512" s="158" t="s">
        <v>149</v>
      </c>
      <c r="AI512" s="158" t="s">
        <v>149</v>
      </c>
      <c r="AJ512" s="153" t="s">
        <v>390</v>
      </c>
      <c r="AK512" s="153" t="s">
        <v>6035</v>
      </c>
      <c r="AL512" s="153" t="s">
        <v>6055</v>
      </c>
      <c r="AM512" s="3" t="s">
        <v>149</v>
      </c>
      <c r="AN512" s="3" t="s">
        <v>149</v>
      </c>
      <c r="AO512" s="156">
        <v>1.0</v>
      </c>
      <c r="AP512" s="156" t="s">
        <v>6037</v>
      </c>
      <c r="AQ512" s="158" t="s">
        <v>395</v>
      </c>
      <c r="AR512" s="153" t="s">
        <v>6060</v>
      </c>
      <c r="AS512" s="158" t="s">
        <v>6711</v>
      </c>
      <c r="AT512" s="153" t="s">
        <v>398</v>
      </c>
      <c r="AU512" s="3" t="s">
        <v>149</v>
      </c>
    </row>
    <row r="513">
      <c r="A513" s="186">
        <v>256.0</v>
      </c>
      <c r="B513" s="152">
        <v>2023.0</v>
      </c>
      <c r="D513" s="152"/>
      <c r="E513" s="151">
        <v>256.0</v>
      </c>
      <c r="F513" s="129" t="s">
        <v>140</v>
      </c>
      <c r="G513" s="3" t="s">
        <v>6029</v>
      </c>
      <c r="H513" s="8" t="str">
        <f>IFERROR(__xludf.DUMMYFUNCTION("""COMPUTED_VALUE"""),"")</f>
        <v/>
      </c>
      <c r="I513" s="8" t="s">
        <v>7086</v>
      </c>
      <c r="J513" s="8" t="s">
        <v>193</v>
      </c>
      <c r="K513" s="8" t="s">
        <v>563</v>
      </c>
      <c r="L513" s="8" t="s">
        <v>1108</v>
      </c>
      <c r="M513" s="8" t="s">
        <v>1109</v>
      </c>
      <c r="N513" s="8" t="s">
        <v>6062</v>
      </c>
      <c r="O513" s="8" t="s">
        <v>1174</v>
      </c>
      <c r="P513" s="155" t="s">
        <v>149</v>
      </c>
      <c r="Q513" s="155" t="s">
        <v>149</v>
      </c>
      <c r="R513" s="142" t="s">
        <v>6151</v>
      </c>
      <c r="S513" s="142" t="s">
        <v>6089</v>
      </c>
      <c r="T513" s="8"/>
      <c r="U513" s="8">
        <f>IFERROR(__xludf.DUMMYFUNCTION("""COMPUTED_VALUE"""),485.0)</f>
        <v>485</v>
      </c>
      <c r="V513" s="8"/>
      <c r="W513" s="8"/>
      <c r="X513" s="8"/>
      <c r="Y513" s="8"/>
      <c r="AA513" s="8" t="s">
        <v>320</v>
      </c>
      <c r="AB513" s="155" t="s">
        <v>149</v>
      </c>
      <c r="AC513" s="8" t="s">
        <v>321</v>
      </c>
      <c r="AG513" s="155" t="s">
        <v>149</v>
      </c>
      <c r="AH513" s="155" t="s">
        <v>149</v>
      </c>
      <c r="AI513" s="8" t="s">
        <v>1303</v>
      </c>
      <c r="AJ513" s="8" t="s">
        <v>885</v>
      </c>
      <c r="AL513" s="155" t="s">
        <v>149</v>
      </c>
      <c r="AM513" s="155" t="s">
        <v>149</v>
      </c>
      <c r="AN513" s="155" t="s">
        <v>149</v>
      </c>
      <c r="AO513" s="8"/>
      <c r="AP513" s="8"/>
      <c r="AR513" s="8" t="s">
        <v>6069</v>
      </c>
      <c r="AS513" s="155" t="s">
        <v>149</v>
      </c>
      <c r="AT513" s="8" t="s">
        <v>1280</v>
      </c>
      <c r="AU513" s="172" t="s">
        <v>1281</v>
      </c>
    </row>
    <row r="514">
      <c r="A514" s="186">
        <v>257.0</v>
      </c>
      <c r="B514" s="152">
        <v>2025.0</v>
      </c>
      <c r="C514" s="153" t="str">
        <f>CONCATENATE(D514, "-", M514, "-", A514)
</f>
        <v>2023-PH063034000-257</v>
      </c>
      <c r="D514" s="152">
        <f>IF(OR(F513="Published", F513="Unpublished"), 2023, IF(F513="New", 2025, ""))
</f>
        <v>2023</v>
      </c>
      <c r="E514" s="151">
        <v>257.0</v>
      </c>
      <c r="F514" s="156" t="s">
        <v>140</v>
      </c>
      <c r="G514" s="156" t="s">
        <v>141</v>
      </c>
      <c r="H514" s="153" t="str">
        <f>IFERROR(__xludf.DUMMYFUNCTION("""COMPUTED_VALUE"""),"**Region** changed from VII to VI, **Restoration_project** changed from Filipinnovation on Coral Reef Restoration to Unknown, **Year of establishment** changed from Unknown to 2013, **Project Start** changed from 2012 to Unknown, **Project End** changed f"&amp;"rom 2013 to Unknown, **Restoration method** changed from Asexual Reproduction to Artificial Reef, **Technique/Material Type** changed from CNU to Unknown, **Restoration objective** changed from Unknown to revive fishing; habitat of fish and marine resourc"&amp;"es, **Funding agency** changed from DOST-PCAARRD to Unknown, **Total units** changed from 40 CNUs/40,000 COPs to 160 jackstone units; 30 pyramid type units; 25 condo type units, **Implementing institution** changed from University of San Carlos to Unknown"&amp;", **Partners_public** changed from Unknown to MLGU; PLGU; BFAR, **Reference** changed from Briefer Report to Artificial reefs dropped into Oton sea (2013, February 4). Sun Star. https://www.sunstar.com.ph/article/267935/artificial-reefs-dropped-into-oton-"&amp;"sea, **Website** changed from Unknown to https://www.sunstar.com.ph/article/267935/artificial-reefs-dropped-into-oton-sea, **Contact_name** changed from Dr. Filipina Sotto to Unknown, **Contact_details** changed from arpee55@yahoo.com to Unknown")</f>
        <v>**Region** changed from VII to VI, **Restoration_project** changed from Filipinnovation on Coral Reef Restoration to Unknown, **Year of establishment** changed from Unknown to 2013, **Project Start** changed from 2012 to Unknown, **Project End** changed from 2013 to Unknown, **Restoration method** changed from Asexual Reproduction to Artificial Reef, **Technique/Material Type** changed from CNU to Unknown, **Restoration objective** changed from Unknown to revive fishing; habitat of fish and marine resources, **Funding agency** changed from DOST-PCAARRD to Unknown, **Total units** changed from 40 CNUs/40,000 COPs to 160 jackstone units; 30 pyramid type units; 25 condo type units, **Implementing institution** changed from University of San Carlos to Unknown, **Partners_public** changed from Unknown to MLGU; PLGU; BFAR, **Reference** changed from Briefer Report to Artificial reefs dropped into Oton sea (2013, February 4). Sun Star. https://www.sunstar.com.ph/article/267935/artificial-reefs-dropped-into-oton-sea, **Website** changed from Unknown to https://www.sunstar.com.ph/article/267935/artificial-reefs-dropped-into-oton-sea, **Contact_name** changed from Dr. Filipina Sotto to Unknown, **Contact_details** changed from arpee55@yahoo.com to Unknown</v>
      </c>
      <c r="I514" s="153" t="s">
        <v>7087</v>
      </c>
      <c r="J514" s="153" t="s">
        <v>314</v>
      </c>
      <c r="K514" s="153" t="s">
        <v>558</v>
      </c>
      <c r="L514" s="153" t="s">
        <v>2553</v>
      </c>
      <c r="M514" s="181" t="s">
        <v>2554</v>
      </c>
      <c r="N514" s="153" t="s">
        <v>151</v>
      </c>
      <c r="O514" s="158" t="s">
        <v>149</v>
      </c>
      <c r="P514" s="3" t="s">
        <v>149</v>
      </c>
      <c r="Q514" s="169">
        <v>2013.0</v>
      </c>
      <c r="R514" s="160" t="s">
        <v>149</v>
      </c>
      <c r="S514" s="160" t="s">
        <v>149</v>
      </c>
      <c r="T514" s="161" t="s">
        <v>150</v>
      </c>
      <c r="U514" s="153">
        <f>IFERROR(__xludf.DUMMYFUNCTION("""COMPUTED_VALUE"""),486.0)</f>
        <v>486</v>
      </c>
      <c r="V514" s="162" t="s">
        <v>3311</v>
      </c>
      <c r="W514" s="187" t="s">
        <v>149</v>
      </c>
      <c r="X514" s="184"/>
      <c r="Y514" s="184" t="s">
        <v>149</v>
      </c>
      <c r="Z514" s="158" t="s">
        <v>149</v>
      </c>
      <c r="AA514" s="158" t="s">
        <v>149</v>
      </c>
      <c r="AB514" s="153" t="s">
        <v>7051</v>
      </c>
      <c r="AC514" s="158" t="s">
        <v>149</v>
      </c>
      <c r="AD514" s="158" t="s">
        <v>149</v>
      </c>
      <c r="AE514" s="158" t="s">
        <v>149</v>
      </c>
      <c r="AF514" s="158" t="s">
        <v>149</v>
      </c>
      <c r="AG514" s="164" t="s">
        <v>149</v>
      </c>
      <c r="AH514" s="158" t="s">
        <v>149</v>
      </c>
      <c r="AI514" s="153" t="s">
        <v>2556</v>
      </c>
      <c r="AJ514" s="158" t="s">
        <v>149</v>
      </c>
      <c r="AK514" s="158" t="s">
        <v>149</v>
      </c>
      <c r="AL514" s="153" t="s">
        <v>2557</v>
      </c>
      <c r="AM514" s="3" t="s">
        <v>149</v>
      </c>
      <c r="AN514" s="3" t="s">
        <v>149</v>
      </c>
      <c r="AO514" s="156">
        <v>1.0</v>
      </c>
      <c r="AP514" s="156" t="s">
        <v>6037</v>
      </c>
      <c r="AQ514" s="158" t="s">
        <v>166</v>
      </c>
      <c r="AR514" s="153" t="s">
        <v>7088</v>
      </c>
      <c r="AS514" s="165" t="s">
        <v>2559</v>
      </c>
      <c r="AT514" s="3" t="s">
        <v>149</v>
      </c>
      <c r="AU514" s="3" t="s">
        <v>149</v>
      </c>
    </row>
    <row r="515">
      <c r="A515" s="186">
        <v>257.0</v>
      </c>
      <c r="B515" s="152">
        <v>2023.0</v>
      </c>
      <c r="D515" s="152"/>
      <c r="E515" s="151">
        <v>257.0</v>
      </c>
      <c r="F515" s="129" t="s">
        <v>140</v>
      </c>
      <c r="G515" s="3" t="s">
        <v>6029</v>
      </c>
      <c r="H515" s="8" t="str">
        <f>IFERROR(__xludf.DUMMYFUNCTION("""COMPUTED_VALUE"""),"")</f>
        <v/>
      </c>
      <c r="I515" s="8" t="s">
        <v>7089</v>
      </c>
      <c r="J515" s="8" t="s">
        <v>193</v>
      </c>
      <c r="K515" s="8" t="s">
        <v>563</v>
      </c>
      <c r="L515" s="8" t="s">
        <v>7090</v>
      </c>
      <c r="M515" s="8" t="s">
        <v>2102</v>
      </c>
      <c r="N515" s="8" t="s">
        <v>151</v>
      </c>
      <c r="O515" s="8" t="s">
        <v>2103</v>
      </c>
      <c r="P515" s="3" t="s">
        <v>7091</v>
      </c>
      <c r="Q515" s="142" t="s">
        <v>6339</v>
      </c>
      <c r="R515" s="166" t="s">
        <v>149</v>
      </c>
      <c r="S515" s="166" t="s">
        <v>149</v>
      </c>
      <c r="T515" s="8"/>
      <c r="U515" s="8">
        <f>IFERROR(__xludf.DUMMYFUNCTION("""COMPUTED_VALUE"""),487.0)</f>
        <v>487</v>
      </c>
      <c r="V515" s="8"/>
      <c r="W515" s="166"/>
      <c r="X515" s="8"/>
      <c r="Y515" s="8"/>
      <c r="AA515" s="166" t="s">
        <v>149</v>
      </c>
      <c r="AB515" s="166" t="s">
        <v>149</v>
      </c>
      <c r="AC515" s="166" t="s">
        <v>149</v>
      </c>
      <c r="AG515" s="166" t="s">
        <v>149</v>
      </c>
      <c r="AH515" s="166" t="s">
        <v>149</v>
      </c>
      <c r="AI515" s="166" t="s">
        <v>149</v>
      </c>
      <c r="AJ515" s="8" t="s">
        <v>369</v>
      </c>
      <c r="AL515" s="166" t="s">
        <v>149</v>
      </c>
      <c r="AM515" s="166" t="s">
        <v>149</v>
      </c>
      <c r="AN515" s="166" t="s">
        <v>149</v>
      </c>
      <c r="AO515" s="8"/>
      <c r="AP515" s="8"/>
      <c r="AR515" s="8" t="s">
        <v>6027</v>
      </c>
      <c r="AS515" s="172" t="s">
        <v>2105</v>
      </c>
      <c r="AT515" s="166" t="s">
        <v>149</v>
      </c>
      <c r="AU515" s="166" t="s">
        <v>149</v>
      </c>
    </row>
    <row r="516">
      <c r="A516" s="186">
        <v>258.0</v>
      </c>
      <c r="B516" s="152">
        <v>2025.0</v>
      </c>
      <c r="C516" s="153" t="str">
        <f>CONCATENATE(D516, "-", M516, "-", A516)
</f>
        <v>2023-PH063045000-258</v>
      </c>
      <c r="D516" s="152">
        <f>IF(OR(F515="Published", F515="Unpublished"), 2023, IF(F515="New", 2025, ""))
</f>
        <v>2023</v>
      </c>
      <c r="E516" s="151">
        <v>258.0</v>
      </c>
      <c r="F516" s="156" t="s">
        <v>140</v>
      </c>
      <c r="G516" s="156" t="s">
        <v>141</v>
      </c>
      <c r="H516" s="153" t="str">
        <f>IFERROR(__xludf.DUMMYFUNCTION("""COMPUTED_VALUE"""),"**Region** changed from VII to VI, **Restoration_project** changed from Small Islands Agricultural Support Services Program (SMISLE) to Unknown, **Restoration_project_short** changed from Mention of artificial reef deployment under the Small Islands Agric"&amp;"ultural Support Services Program (SMISLE) to Unknown, **Year of establishment** changed from 1995 to 2015, **Restoration objective** changed from Unknown to Minimize active fishing operations, **Implementing institution** changed from MLGU to MLGU; BFAR, "&amp;"**Reference** changed from Website to Toring-Farquerabao, M. L. B., Domingo, E. R., &amp; Tahiluddin, A. B. (2021). Effectiveness and Impact of Artificial Reef Project in Tigbauan, Iloilo Philippines: A Case Study. Menba Journal of Fisheries Faculty, 7(2), 77"&amp;"-89. https://dergipark.org.tr/en/download/article-file/2047698, **Website** changed from http://oneocean.org/about_crmp/98search.html to https://dergipark.org.tr/en/download/article-file/2047698, **Contact_name** changed from Unknown to Maria Liza Toring-"&amp;"Farquerabao, **Contact_details** changed from Unknown to albarist20@gmail.com")</f>
        <v>**Region** changed from VII to VI, **Restoration_project** changed from Small Islands Agricultural Support Services Program (SMISLE) to Unknown, **Restoration_project_short** changed from Mention of artificial reef deployment under the Small Islands Agricultural Support Services Program (SMISLE) to Unknown, **Year of establishment** changed from 1995 to 2015, **Restoration objective** changed from Unknown to Minimize active fishing operations, **Implementing institution** changed from MLGU to MLGU; BFAR, **Reference** changed from Website to Toring-Farquerabao, M. L. B., Domingo, E. R., &amp; Tahiluddin, A. B. (2021). Effectiveness and Impact of Artificial Reef Project in Tigbauan, Iloilo Philippines: A Case Study. Menba Journal of Fisheries Faculty, 7(2), 77-89. https://dergipark.org.tr/en/download/article-file/2047698, **Website** changed from http://oneocean.org/about_crmp/98search.html to https://dergipark.org.tr/en/download/article-file/2047698, **Contact_name** changed from Unknown to Maria Liza Toring-Farquerabao, **Contact_details** changed from Unknown to albarist20@gmail.com</v>
      </c>
      <c r="I516" s="153" t="s">
        <v>7092</v>
      </c>
      <c r="J516" s="153" t="s">
        <v>314</v>
      </c>
      <c r="K516" s="153" t="s">
        <v>558</v>
      </c>
      <c r="L516" s="153" t="s">
        <v>959</v>
      </c>
      <c r="M516" s="181" t="s">
        <v>960</v>
      </c>
      <c r="N516" s="153" t="s">
        <v>151</v>
      </c>
      <c r="O516" s="158" t="s">
        <v>149</v>
      </c>
      <c r="P516" s="3" t="s">
        <v>149</v>
      </c>
      <c r="Q516" s="169">
        <v>2015.0</v>
      </c>
      <c r="R516" s="160" t="s">
        <v>149</v>
      </c>
      <c r="S516" s="160" t="s">
        <v>149</v>
      </c>
      <c r="T516" s="161" t="s">
        <v>150</v>
      </c>
      <c r="U516" s="153">
        <f>IFERROR(__xludf.DUMMYFUNCTION("""COMPUTED_VALUE"""),488.0)</f>
        <v>488</v>
      </c>
      <c r="V516" s="162" t="s">
        <v>3311</v>
      </c>
      <c r="W516" s="179" t="s">
        <v>149</v>
      </c>
      <c r="X516" s="191"/>
      <c r="Y516" s="191" t="s">
        <v>149</v>
      </c>
      <c r="Z516" s="158" t="s">
        <v>149</v>
      </c>
      <c r="AA516" s="158" t="s">
        <v>149</v>
      </c>
      <c r="AB516" s="153" t="s">
        <v>2668</v>
      </c>
      <c r="AC516" s="158" t="s">
        <v>149</v>
      </c>
      <c r="AD516" s="158" t="s">
        <v>149</v>
      </c>
      <c r="AE516" s="158" t="s">
        <v>149</v>
      </c>
      <c r="AF516" s="158" t="s">
        <v>149</v>
      </c>
      <c r="AG516" s="164" t="s">
        <v>149</v>
      </c>
      <c r="AH516" s="158" t="s">
        <v>149</v>
      </c>
      <c r="AI516" s="158" t="s">
        <v>149</v>
      </c>
      <c r="AJ516" s="153" t="s">
        <v>1974</v>
      </c>
      <c r="AK516" s="153" t="s">
        <v>6035</v>
      </c>
      <c r="AL516" s="3" t="s">
        <v>149</v>
      </c>
      <c r="AM516" s="3" t="s">
        <v>149</v>
      </c>
      <c r="AN516" s="3" t="s">
        <v>149</v>
      </c>
      <c r="AO516" s="156">
        <v>1.0</v>
      </c>
      <c r="AP516" s="156" t="s">
        <v>6037</v>
      </c>
      <c r="AQ516" s="158" t="s">
        <v>6214</v>
      </c>
      <c r="AR516" s="153" t="s">
        <v>2669</v>
      </c>
      <c r="AS516" s="165" t="s">
        <v>2670</v>
      </c>
      <c r="AT516" s="153" t="s">
        <v>2671</v>
      </c>
      <c r="AU516" s="165" t="s">
        <v>2672</v>
      </c>
    </row>
    <row r="517">
      <c r="A517" s="186">
        <v>258.0</v>
      </c>
      <c r="B517" s="152">
        <v>2023.0</v>
      </c>
      <c r="D517" s="152"/>
      <c r="E517" s="151">
        <v>258.0</v>
      </c>
      <c r="F517" s="129" t="s">
        <v>140</v>
      </c>
      <c r="G517" s="3" t="s">
        <v>6029</v>
      </c>
      <c r="H517" s="8" t="str">
        <f>IFERROR(__xludf.DUMMYFUNCTION("""COMPUTED_VALUE"""),"")</f>
        <v/>
      </c>
      <c r="I517" s="8" t="s">
        <v>7093</v>
      </c>
      <c r="J517" s="8" t="s">
        <v>193</v>
      </c>
      <c r="K517" s="8" t="s">
        <v>563</v>
      </c>
      <c r="L517" s="158" t="s">
        <v>7094</v>
      </c>
      <c r="M517" s="153" t="s">
        <v>2876</v>
      </c>
      <c r="N517" s="8" t="s">
        <v>151</v>
      </c>
      <c r="O517" s="8" t="s">
        <v>384</v>
      </c>
      <c r="P517" s="8" t="s">
        <v>2877</v>
      </c>
      <c r="Q517" s="181" t="s">
        <v>7095</v>
      </c>
      <c r="R517" s="142" t="s">
        <v>6052</v>
      </c>
      <c r="S517" s="142" t="s">
        <v>6053</v>
      </c>
      <c r="T517" s="8"/>
      <c r="U517" s="8">
        <f>IFERROR(__xludf.DUMMYFUNCTION("""COMPUTED_VALUE"""),489.0)</f>
        <v>489</v>
      </c>
      <c r="V517" s="8"/>
      <c r="W517" s="8"/>
      <c r="X517" s="8"/>
      <c r="Y517" s="8"/>
      <c r="AA517" s="8" t="s">
        <v>469</v>
      </c>
      <c r="AB517" s="166" t="s">
        <v>149</v>
      </c>
      <c r="AC517" s="8" t="s">
        <v>390</v>
      </c>
      <c r="AG517" s="166" t="s">
        <v>149</v>
      </c>
      <c r="AH517" s="166" t="s">
        <v>149</v>
      </c>
      <c r="AI517" s="8" t="s">
        <v>2878</v>
      </c>
      <c r="AJ517" s="8" t="s">
        <v>390</v>
      </c>
      <c r="AL517" s="8" t="s">
        <v>6055</v>
      </c>
      <c r="AM517" s="166" t="s">
        <v>149</v>
      </c>
      <c r="AN517" s="166" t="s">
        <v>149</v>
      </c>
      <c r="AO517" s="8"/>
      <c r="AP517" s="8"/>
      <c r="AR517" s="8" t="s">
        <v>6057</v>
      </c>
      <c r="AS517" s="8" t="s">
        <v>2873</v>
      </c>
      <c r="AT517" s="8" t="s">
        <v>398</v>
      </c>
      <c r="AU517" s="166" t="s">
        <v>149</v>
      </c>
    </row>
    <row r="518">
      <c r="A518" s="151">
        <v>259.0</v>
      </c>
      <c r="B518" s="152">
        <v>2025.0</v>
      </c>
      <c r="C518" s="153" t="str">
        <f>CONCATENATE(D518, "-", M518, "-", A518)
</f>
        <v>2023-PH063045000-259</v>
      </c>
      <c r="D518" s="152">
        <f>IF(OR(F517="Published", F517="Unpublished"), 2023, IF(F517="New", 2025, ""))
</f>
        <v>2023</v>
      </c>
      <c r="E518" s="151">
        <v>259.0</v>
      </c>
      <c r="F518" s="156" t="s">
        <v>140</v>
      </c>
      <c r="G518" s="156" t="s">
        <v>141</v>
      </c>
      <c r="H518" s="153" t="str">
        <f>IFERROR(__xludf.DUMMYFUNCTION("""COMPUTED_VALUE"""),"**Region** changed from VII to VI, **Restoration_project** changed from Artificial Reef Development Program to Coral Reef Habitat and Productivity Enhancement through Coral Transplantation and Giant Clam Restocking, **Restoration_project_short** changed f"&amp;"rom Site in Manga to Unknown, **Year of establishment** changed from 1979 to 2001, **Project Start** changed from 1985 to 2001, **Project End** changed from 1987 to 2005, **Restoration method** changed from Artificial Reef to Asexual Reproduction, **Techn"&amp;"ique/Material Type** changed from tires; bamboo to Direct transplantation; , **Restoration objective** changed from Unknown to Improve biodiversity and productivity of stressed coral reef habitats in 10 selected demonstration sites, **Funding agency** cha"&amp;"nged from BFAR to Pew Marine Conservation Fellowship, **Total units** changed from 15 TM; 10 BM to Unknown, **Implementing institution** changed from BFAR to UP MSI, **Partners_public** changed from Ministry of Human Settlements to Unknown, **Reference** "&amp;"changed from Conference Proceediing to Gomez, E., Cabaitan, P., &amp; Vicentuan, K. (2006). Coral culture and transplantation and restocking of giant clams in the Philippines. In J.H. Primavera, E.T. Quinitio, &amp; M. R. R. Eguia (Eds.). Proceedings of the Regio"&amp;"nal Technical Consultation on Stock Enhancement for Threatened Species of International Concern, Iloilo City, Philippines, 13-15 July 2005 (pp. 39-48). Tigbaua, Iloilo, Philippines: Aquaculture Department, Southeast Asian Fisheries Development Center. Ret"&amp;"rieved from https://aquadocs.org/bitstream/handle/1834/40478/GomezED2006.pdf?sequence=1&amp;isAllowed=y, **Website** changed from http://pubs.iclarm.net/libinfo/Pdf/Pub%20CP6%2049.pdf to https://aquadocs.org/bitstream/handle/1834/40478/GomezED2006.pdf?sequenc"&amp;"e=1&amp;isAllowed=y, **Contact_name** changed from Miriam Balgos to Dr. Patrick Cabaitan")</f>
        <v>**Region** changed from VII to VI, **Restoration_project** changed from Artificial Reef Development Program to Coral Reef Habitat and Productivity Enhancement through Coral Transplantation and Giant Clam Restocking, **Restoration_project_short** changed from Site in Manga to Unknown, **Year of establishment** changed from 1979 to 2001, **Project Start** changed from 1985 to 2001, **Project End** changed from 1987 to 2005, **Restoration method** changed from Artificial Reef to Asexual Reproduction, **Technique/Material Type** changed from tires; bamboo to Direct transplantation; , **Restoration objective** changed from Unknown to Improve biodiversity and productivity of stressed coral reef habitats in 10 selected demonstration sites, **Funding agency** changed from BFAR to Pew Marine Conservation Fellowship, **Total units** changed from 15 TM; 10 BM to Unknown, **Implementing institution** changed from BFAR to UP MSI, **Partners_public** changed from Ministry of Human Settlements to Unknown, **Reference** changed from Conference Proceediing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Dr. Patrick Cabaitan</v>
      </c>
      <c r="I518" s="153" t="s">
        <v>7096</v>
      </c>
      <c r="J518" s="153" t="s">
        <v>314</v>
      </c>
      <c r="K518" s="153" t="s">
        <v>558</v>
      </c>
      <c r="L518" s="153" t="s">
        <v>959</v>
      </c>
      <c r="M518" s="181" t="s">
        <v>960</v>
      </c>
      <c r="N518" s="153" t="s">
        <v>6062</v>
      </c>
      <c r="O518" s="153" t="s">
        <v>934</v>
      </c>
      <c r="P518" s="3" t="s">
        <v>149</v>
      </c>
      <c r="Q518" s="169">
        <v>2001.0</v>
      </c>
      <c r="R518" s="175" t="s">
        <v>6229</v>
      </c>
      <c r="S518" s="175" t="s">
        <v>6230</v>
      </c>
      <c r="T518" s="156" t="s">
        <v>177</v>
      </c>
      <c r="U518" s="153">
        <f>IFERROR(__xludf.DUMMYFUNCTION("""COMPUTED_VALUE"""),490.0)</f>
        <v>490</v>
      </c>
      <c r="V518" s="191" t="s">
        <v>3245</v>
      </c>
      <c r="W518" s="179" t="s">
        <v>149</v>
      </c>
      <c r="X518" s="180"/>
      <c r="Y518" s="180" t="s">
        <v>154</v>
      </c>
      <c r="Z518" s="153" t="s">
        <v>179</v>
      </c>
      <c r="AA518" s="153" t="s">
        <v>6276</v>
      </c>
      <c r="AB518" s="153" t="s">
        <v>939</v>
      </c>
      <c r="AC518" s="153" t="s">
        <v>940</v>
      </c>
      <c r="AD518" s="158" t="s">
        <v>6154</v>
      </c>
      <c r="AE518" s="158" t="s">
        <v>206</v>
      </c>
      <c r="AF518" s="158" t="s">
        <v>204</v>
      </c>
      <c r="AG518" s="194" t="s">
        <v>149</v>
      </c>
      <c r="AH518" s="202" t="s">
        <v>149</v>
      </c>
      <c r="AI518" s="202" t="s">
        <v>149</v>
      </c>
      <c r="AJ518" s="153" t="s">
        <v>233</v>
      </c>
      <c r="AK518" s="158" t="s">
        <v>6068</v>
      </c>
      <c r="AL518" s="210" t="s">
        <v>149</v>
      </c>
      <c r="AM518" s="210" t="s">
        <v>149</v>
      </c>
      <c r="AN518" s="210" t="s">
        <v>149</v>
      </c>
      <c r="AO518" s="156">
        <v>1.0</v>
      </c>
      <c r="AP518" s="156" t="s">
        <v>6037</v>
      </c>
      <c r="AQ518" s="158" t="s">
        <v>6214</v>
      </c>
      <c r="AR518" s="153" t="s">
        <v>941</v>
      </c>
      <c r="AS518" s="153" t="s">
        <v>942</v>
      </c>
      <c r="AT518" s="153" t="s">
        <v>943</v>
      </c>
      <c r="AU518" s="210" t="s">
        <v>149</v>
      </c>
    </row>
    <row r="519">
      <c r="A519" s="186">
        <v>259.0</v>
      </c>
      <c r="B519" s="152">
        <v>2023.0</v>
      </c>
      <c r="D519" s="152"/>
      <c r="E519" s="151">
        <v>259.0</v>
      </c>
      <c r="F519" s="129" t="s">
        <v>140</v>
      </c>
      <c r="G519" s="3" t="s">
        <v>6029</v>
      </c>
      <c r="H519" s="8" t="str">
        <f>IFERROR(__xludf.DUMMYFUNCTION("""COMPUTED_VALUE"""),"")</f>
        <v/>
      </c>
      <c r="I519" s="8" t="s">
        <v>7097</v>
      </c>
      <c r="J519" s="208" t="s">
        <v>193</v>
      </c>
      <c r="K519" s="208" t="s">
        <v>194</v>
      </c>
      <c r="L519" s="208" t="s">
        <v>965</v>
      </c>
      <c r="M519" s="201" t="s">
        <v>966</v>
      </c>
      <c r="N519" s="208" t="s">
        <v>6062</v>
      </c>
      <c r="O519" s="208" t="s">
        <v>934</v>
      </c>
      <c r="P519" s="213" t="s">
        <v>149</v>
      </c>
      <c r="Q519" s="174" t="s">
        <v>6229</v>
      </c>
      <c r="R519" s="174" t="s">
        <v>6229</v>
      </c>
      <c r="S519" s="174" t="s">
        <v>6230</v>
      </c>
      <c r="T519" s="208"/>
      <c r="U519" s="8">
        <f>IFERROR(__xludf.DUMMYFUNCTION("""COMPUTED_VALUE"""),491.0)</f>
        <v>491</v>
      </c>
      <c r="V519" s="8"/>
      <c r="W519" s="8"/>
      <c r="Y519" s="8"/>
      <c r="Z519" s="208"/>
      <c r="AA519" s="208" t="s">
        <v>6276</v>
      </c>
      <c r="AB519" s="208" t="s">
        <v>939</v>
      </c>
      <c r="AC519" s="208" t="s">
        <v>940</v>
      </c>
      <c r="AD519" s="208"/>
      <c r="AE519" s="208"/>
      <c r="AF519" s="208"/>
      <c r="AG519" s="214" t="s">
        <v>149</v>
      </c>
      <c r="AH519" s="214" t="s">
        <v>149</v>
      </c>
      <c r="AI519" s="214" t="s">
        <v>149</v>
      </c>
      <c r="AJ519" s="208" t="s">
        <v>233</v>
      </c>
      <c r="AK519" s="208"/>
      <c r="AL519" s="214" t="s">
        <v>149</v>
      </c>
      <c r="AM519" s="214" t="s">
        <v>149</v>
      </c>
      <c r="AN519" s="214" t="s">
        <v>149</v>
      </c>
      <c r="AO519" s="8"/>
      <c r="AP519" s="8"/>
      <c r="AQ519" s="208"/>
      <c r="AR519" s="208" t="s">
        <v>6214</v>
      </c>
      <c r="AS519" s="208" t="s">
        <v>942</v>
      </c>
      <c r="AT519" s="208" t="s">
        <v>943</v>
      </c>
      <c r="AU519" s="214" t="s">
        <v>149</v>
      </c>
    </row>
    <row r="520">
      <c r="A520" s="186">
        <v>260.0</v>
      </c>
      <c r="B520" s="152">
        <v>2025.0</v>
      </c>
      <c r="C520" s="153" t="str">
        <f>CONCATENATE(D520, "-", M520, "-", A520)
</f>
        <v>2023-PH071201000-260</v>
      </c>
      <c r="D520" s="152">
        <f>IF(OR(F519="Published", F519="Unpublished"), 2023, IF(F519="New", 2025, ""))
</f>
        <v>2023</v>
      </c>
      <c r="E520" s="151">
        <v>260.0</v>
      </c>
      <c r="F520" s="156" t="s">
        <v>191</v>
      </c>
      <c r="G520" s="156" t="s">
        <v>191</v>
      </c>
      <c r="H520" s="153" t="str">
        <f>IFERROR(__xludf.DUMMYFUNCTION("""COMPUTED_VALUE"""),"**Restoration_project** changed from Coral Reef Habitat and Productivity Enhancement through Coral Transplantation and Giant Clam Restocking to SCREMP, **Restoration_project_short** changed from Unknown to Part of 300 artificial coral houses distributed i"&amp;"n Bohol and Siquijor under SCREMP, **Year of establishment** changed from 2001 to Unknown, **Project Start** changed from 2001 to 2012, **Project End** changed from 2005 to Unknown, **Restoration method** changed from Asexual Reproduction to Artificial Re"&amp;"ef, **Technique/Material Type** changed from Direct transplantation; to Unknown, **Restoration objective** changed from Improve biodiversity and productivity of stressed coral reef habitats in 10 selected demonstration sites to Reef recovery, **Funding ag"&amp;"ency** changed from Pew Marine Conservation Fellowship to DENR, **Implementing institution** changed from UP MSI to DENR 7 PAWCZMS, **Reference** changed from Published article to JKV (2014, December 30). DENR 7 plants 1T artificial reefs. SunStar. https:"&amp;"//www.sunstar.com.ph/article/385473/denr-7-plants-1t-artificial-reefs-, **Website** changed from https://aquadocs.org/bitstream/handle/1834/40478/GomezED2006.pdf?sequence=1&amp;isAllowed=y to https://www.sunstar.com.ph/article/385473/denr-7-plants-1t-artifici"&amp;"al-reefs-, **Contact_name** changed from Dr. Patrick Cabaitan to Unknown")</f>
        <v>**Restoration_project** changed from Coral Reef Habitat and Productivity Enhancement through Coral Transplantation and Giant Clam Restocking to SCREMP, **Restoration_project_short** changed from Unknown to Part of 300 artificial coral houses distributed in Bohol and Siquijor under SCREMP, **Year of establishment** changed from 2001 to Unknown, **Project Start** changed from 2001 to 2012,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Reef recovery, **Funding agency** changed from Pew Marine Conservation Fellowship to DENR, **Implementing institution** changed from UP MSI to DENR 7 PAWCZMS, **Reference** changed from Published article to JKV (2014, December 30). DENR 7 plants 1T artificial reefs. SunStar. https://www.sunstar.com.ph/article/385473/denr-7-plants-1t-artificial-reefs-, **Website** changed from https://aquadocs.org/bitstream/handle/1834/40478/GomezED2006.pdf?sequence=1&amp;isAllowed=y to https://www.sunstar.com.ph/article/385473/denr-7-plants-1t-artificial-reefs-, **Contact_name** changed from Dr. Patrick Cabaitan to Unknown</v>
      </c>
      <c r="I520" s="153" t="s">
        <v>7098</v>
      </c>
      <c r="J520" s="153" t="s">
        <v>193</v>
      </c>
      <c r="K520" s="153" t="s">
        <v>563</v>
      </c>
      <c r="L520" s="153" t="s">
        <v>7099</v>
      </c>
      <c r="M520" s="181" t="s">
        <v>2152</v>
      </c>
      <c r="N520" s="153" t="s">
        <v>151</v>
      </c>
      <c r="O520" s="153" t="s">
        <v>6587</v>
      </c>
      <c r="P520" s="153" t="s">
        <v>7100</v>
      </c>
      <c r="Q520" s="215" t="s">
        <v>149</v>
      </c>
      <c r="R520" s="216" t="s">
        <v>6151</v>
      </c>
      <c r="S520" s="203" t="s">
        <v>149</v>
      </c>
      <c r="T520" s="161" t="s">
        <v>150</v>
      </c>
      <c r="U520" s="153">
        <f>IFERROR(__xludf.DUMMYFUNCTION("""COMPUTED_VALUE"""),492.0)</f>
        <v>492</v>
      </c>
      <c r="V520" s="162" t="s">
        <v>3311</v>
      </c>
      <c r="W520" s="187" t="s">
        <v>149</v>
      </c>
      <c r="X520" s="184"/>
      <c r="Y520" s="184" t="s">
        <v>149</v>
      </c>
      <c r="Z520" s="158" t="s">
        <v>149</v>
      </c>
      <c r="AA520" s="202" t="s">
        <v>149</v>
      </c>
      <c r="AB520" s="173" t="s">
        <v>7101</v>
      </c>
      <c r="AC520" s="173" t="s">
        <v>341</v>
      </c>
      <c r="AD520" s="158" t="s">
        <v>160</v>
      </c>
      <c r="AE520" s="158" t="s">
        <v>6035</v>
      </c>
      <c r="AF520" s="158" t="s">
        <v>159</v>
      </c>
      <c r="AG520" s="194" t="s">
        <v>149</v>
      </c>
      <c r="AH520" s="158" t="s">
        <v>149</v>
      </c>
      <c r="AI520" s="202" t="s">
        <v>149</v>
      </c>
      <c r="AJ520" s="173" t="s">
        <v>2160</v>
      </c>
      <c r="AK520" s="153" t="s">
        <v>6035</v>
      </c>
      <c r="AL520" s="217" t="s">
        <v>149</v>
      </c>
      <c r="AM520" s="217" t="s">
        <v>149</v>
      </c>
      <c r="AN520" s="217" t="s">
        <v>149</v>
      </c>
      <c r="AO520" s="156">
        <v>1.0</v>
      </c>
      <c r="AP520" s="156" t="s">
        <v>6037</v>
      </c>
      <c r="AQ520" s="158" t="s">
        <v>166</v>
      </c>
      <c r="AR520" s="153" t="s">
        <v>2161</v>
      </c>
      <c r="AS520" s="172" t="s">
        <v>2162</v>
      </c>
      <c r="AT520" s="156" t="s">
        <v>149</v>
      </c>
      <c r="AU520" s="217" t="s">
        <v>149</v>
      </c>
    </row>
    <row r="521">
      <c r="A521" s="186">
        <v>260.0</v>
      </c>
      <c r="B521" s="152">
        <v>2023.0</v>
      </c>
      <c r="D521" s="152"/>
      <c r="E521" s="151">
        <v>260.0</v>
      </c>
      <c r="F521" s="129" t="s">
        <v>140</v>
      </c>
      <c r="G521" s="3" t="s">
        <v>6029</v>
      </c>
      <c r="H521" s="8" t="str">
        <f>IFERROR(__xludf.DUMMYFUNCTION("""COMPUTED_VALUE"""),"")</f>
        <v/>
      </c>
      <c r="I521" s="8" t="s">
        <v>7102</v>
      </c>
      <c r="J521" s="8" t="s">
        <v>193</v>
      </c>
      <c r="K521" s="8" t="s">
        <v>194</v>
      </c>
      <c r="L521" s="8" t="s">
        <v>7103</v>
      </c>
      <c r="M521" s="3" t="s">
        <v>149</v>
      </c>
      <c r="N521" s="8" t="s">
        <v>6062</v>
      </c>
      <c r="O521" s="8" t="s">
        <v>934</v>
      </c>
      <c r="P521" s="3" t="s">
        <v>149</v>
      </c>
      <c r="Q521" s="142" t="s">
        <v>6229</v>
      </c>
      <c r="R521" s="142" t="s">
        <v>6229</v>
      </c>
      <c r="S521" s="142" t="s">
        <v>6230</v>
      </c>
      <c r="T521" s="8"/>
      <c r="U521" s="8">
        <f>IFERROR(__xludf.DUMMYFUNCTION("""COMPUTED_VALUE"""),493.0)</f>
        <v>493</v>
      </c>
      <c r="V521" s="8"/>
      <c r="W521" s="3"/>
      <c r="X521" s="8"/>
      <c r="Y521" s="8"/>
      <c r="AA521" s="3" t="s">
        <v>3245</v>
      </c>
      <c r="AB521" s="8" t="s">
        <v>939</v>
      </c>
      <c r="AC521" s="8" t="s">
        <v>940</v>
      </c>
      <c r="AG521" s="3" t="s">
        <v>149</v>
      </c>
      <c r="AH521" s="3" t="s">
        <v>149</v>
      </c>
      <c r="AI521" s="3" t="s">
        <v>149</v>
      </c>
      <c r="AJ521" s="8" t="s">
        <v>233</v>
      </c>
      <c r="AL521" s="210" t="s">
        <v>149</v>
      </c>
      <c r="AM521" s="210" t="s">
        <v>149</v>
      </c>
      <c r="AN521" s="210" t="s">
        <v>149</v>
      </c>
      <c r="AO521" s="8"/>
      <c r="AP521" s="8"/>
      <c r="AR521" s="8" t="s">
        <v>6214</v>
      </c>
      <c r="AS521" s="8" t="s">
        <v>942</v>
      </c>
      <c r="AT521" s="8" t="s">
        <v>943</v>
      </c>
      <c r="AU521" s="210" t="s">
        <v>149</v>
      </c>
      <c r="AV521" s="8" t="s">
        <v>6109</v>
      </c>
    </row>
    <row r="522">
      <c r="A522" s="186">
        <v>261.0</v>
      </c>
      <c r="B522" s="152">
        <v>2025.0</v>
      </c>
      <c r="C522" s="153" t="str">
        <f>CONCATENATE(D522, "-", M522, "-", A522)
</f>
        <v>2023-PH071203000-261</v>
      </c>
      <c r="D522" s="152">
        <f>IF(OR(F521="Published", F521="Unpublished"), 2023, IF(F521="New", 2025, ""))
</f>
        <v>2023</v>
      </c>
      <c r="E522" s="151">
        <v>261.0</v>
      </c>
      <c r="F522" s="129" t="s">
        <v>140</v>
      </c>
      <c r="G522" s="156" t="s">
        <v>141</v>
      </c>
      <c r="H522" s="153" t="str">
        <f>IFERROR(__xludf.DUMMYFUNCTION("""COMPUTED_VALUE"""),"**Restoration_project** changed from Coral Reef Habitat and Productivity Enhancement through Coral Transplantation and Giant Clam Restocking to National Coral Reef Rehabilitation Roll-Out Program, **Year of establishment** changed from 2001 to 2015, **Pro"&amp;"ject Start** changed from 2001 to 2014, **Project End** changed from 2005 to 2016, **Technique/Material Type** changed from Direct transplantation to CNU, **Restoration objective** changed from Improve biodiversity and productivity of stressed coral reef "&amp;"habitats in 10 selected demonstration sites to Unknown, **Funding agency** changed from Pew Marine Conservation Fellowship to DOST-PCAARRD, **Total units** changed from Unknown to 10 CNUs/30,000 COPs, **Implementing institution** changed from UP MSI to Bo"&amp;"hol Island State University, **Reference** changed from Published article to DOST-PCAARRD. (n.d.). DOST-PCAARRD National Corals Rehabilitation Program Briefer Report. , **Website** changed from https://aquadocs.org/bitstream/handle/1834/40478/GomezED2006."&amp;"pdf?sequence=1&amp;isAllowed=y to Report uploaded in the Google Drive; https://savethephilippinecoralreefs.wordpress.com/2013/03/24/government-and-army-assist-with-coral-farming-on-nogas-coral-reefs/, **Contact_name** changed from Dr. Patrick Cabaitan to Dr. "&amp;"Samuel Gulayan, **Contact_details** changed from Unknown to samgulayan@yahoo.com")</f>
        <v>**Restoration_project** changed from Coral Reef Habitat and Productivity Enhancement through Coral Transplantation and Giant Clam Restocking to National Coral Reef Rehabilitation Roll-Out Program, **Year of establishment** changed from 2001 to 2015, **Project Start** changed from 2001 to 2014, **Project End** changed from 2005 to 2016, **Technique/Material Type** changed from Direct transplantation to CNU, **Restoration objective** changed from Improve biodiversity and productivity of stressed coral reef habitats in 10 selected demonstration sites to Unknown, **Funding agency** changed from Pew Marine Conservation Fellowship to DOST-PCAARRD, **Total units** changed from Unknown to 10 CNUs/30,000 COPs, **Implementing institution** changed from UP MSI to Bohol Island State University, **Reference** changed from Published article to DOST-PCAARRD. (n.d.). DOST-PCAARRD National Corals Rehabilitation Program Briefer Report. , **Website** changed from https://aquadocs.org/bitstream/handle/1834/40478/GomezED2006.pdf?sequence=1&amp;isAllowed=y to Report uploaded in the Google Drive; https://savethephilippinecoralreefs.wordpress.com/2013/03/24/government-and-army-assist-with-coral-farming-on-nogas-coral-reefs/, **Contact_name** changed from Dr. Patrick Cabaitan to Dr. Samuel Gulayan, **Contact_details** changed from Unknown to samgulayan@yahoo.com</v>
      </c>
      <c r="I522" s="153" t="s">
        <v>7104</v>
      </c>
      <c r="J522" s="153" t="s">
        <v>193</v>
      </c>
      <c r="K522" s="153" t="s">
        <v>563</v>
      </c>
      <c r="L522" s="153" t="s">
        <v>230</v>
      </c>
      <c r="M522" s="181" t="s">
        <v>1713</v>
      </c>
      <c r="N522" s="153" t="s">
        <v>6062</v>
      </c>
      <c r="O522" s="153" t="s">
        <v>1683</v>
      </c>
      <c r="P522" s="156" t="s">
        <v>149</v>
      </c>
      <c r="Q522" s="218">
        <v>2015.0</v>
      </c>
      <c r="R522" s="175" t="s">
        <v>6063</v>
      </c>
      <c r="S522" s="175" t="s">
        <v>6064</v>
      </c>
      <c r="T522" s="156" t="s">
        <v>177</v>
      </c>
      <c r="U522" s="153">
        <f>IFERROR(__xludf.DUMMYFUNCTION("""COMPUTED_VALUE"""),494.0)</f>
        <v>494</v>
      </c>
      <c r="V522" s="191" t="s">
        <v>1359</v>
      </c>
      <c r="W522" s="179" t="s">
        <v>6066</v>
      </c>
      <c r="X522" s="180"/>
      <c r="Y522" s="180" t="s">
        <v>154</v>
      </c>
      <c r="Z522" s="158" t="s">
        <v>179</v>
      </c>
      <c r="AA522" s="153" t="s">
        <v>320</v>
      </c>
      <c r="AB522" s="202" t="s">
        <v>149</v>
      </c>
      <c r="AC522" s="153" t="s">
        <v>321</v>
      </c>
      <c r="AD522" s="158" t="s">
        <v>160</v>
      </c>
      <c r="AE522" s="158" t="s">
        <v>6035</v>
      </c>
      <c r="AF522" s="158" t="s">
        <v>159</v>
      </c>
      <c r="AG522" s="194" t="s">
        <v>149</v>
      </c>
      <c r="AH522" s="202" t="s">
        <v>149</v>
      </c>
      <c r="AI522" s="153" t="s">
        <v>1692</v>
      </c>
      <c r="AJ522" s="153" t="s">
        <v>1714</v>
      </c>
      <c r="AK522" s="158" t="s">
        <v>6068</v>
      </c>
      <c r="AL522" s="214" t="s">
        <v>149</v>
      </c>
      <c r="AM522" s="214" t="s">
        <v>149</v>
      </c>
      <c r="AN522" s="214" t="s">
        <v>149</v>
      </c>
      <c r="AO522" s="156">
        <v>1.0</v>
      </c>
      <c r="AP522" s="156" t="s">
        <v>6037</v>
      </c>
      <c r="AQ522" s="158" t="s">
        <v>6069</v>
      </c>
      <c r="AR522" s="153" t="s">
        <v>1300</v>
      </c>
      <c r="AS522" s="173" t="s">
        <v>7029</v>
      </c>
      <c r="AT522" s="153" t="s">
        <v>1716</v>
      </c>
      <c r="AU522" s="165" t="s">
        <v>1717</v>
      </c>
    </row>
    <row r="523">
      <c r="A523" s="151">
        <v>261.0</v>
      </c>
      <c r="B523" s="152">
        <v>2023.0</v>
      </c>
      <c r="D523" s="152"/>
      <c r="E523" s="151">
        <v>261.0</v>
      </c>
      <c r="F523" s="129" t="s">
        <v>140</v>
      </c>
      <c r="G523" s="3" t="s">
        <v>6029</v>
      </c>
      <c r="H523" s="8" t="str">
        <f>IFERROR(__xludf.DUMMYFUNCTION("""COMPUTED_VALUE"""),"")</f>
        <v/>
      </c>
      <c r="I523" s="8" t="s">
        <v>7105</v>
      </c>
      <c r="J523" s="8" t="s">
        <v>193</v>
      </c>
      <c r="K523" s="8" t="s">
        <v>194</v>
      </c>
      <c r="L523" s="8" t="s">
        <v>195</v>
      </c>
      <c r="M523" s="8" t="s">
        <v>196</v>
      </c>
      <c r="N523" s="8" t="s">
        <v>6062</v>
      </c>
      <c r="O523" s="155" t="s">
        <v>149</v>
      </c>
      <c r="P523" s="155" t="s">
        <v>149</v>
      </c>
      <c r="Q523" s="142" t="s">
        <v>6145</v>
      </c>
      <c r="R523" s="155" t="s">
        <v>149</v>
      </c>
      <c r="S523" s="155" t="s">
        <v>149</v>
      </c>
      <c r="T523" s="8"/>
      <c r="U523" s="8">
        <f>IFERROR(__xludf.DUMMYFUNCTION("""COMPUTED_VALUE"""),495.0)</f>
        <v>495</v>
      </c>
      <c r="V523" s="8"/>
      <c r="W523" s="8"/>
      <c r="X523" s="8"/>
      <c r="Y523" s="8"/>
      <c r="AA523" s="8" t="s">
        <v>6666</v>
      </c>
      <c r="AB523" s="155" t="s">
        <v>149</v>
      </c>
      <c r="AC523" s="8" t="s">
        <v>3147</v>
      </c>
      <c r="AG523" s="155" t="s">
        <v>149</v>
      </c>
      <c r="AH523" s="155" t="s">
        <v>149</v>
      </c>
      <c r="AI523" s="155" t="s">
        <v>149</v>
      </c>
      <c r="AJ523" s="155" t="s">
        <v>149</v>
      </c>
      <c r="AL523" s="214" t="s">
        <v>149</v>
      </c>
      <c r="AM523" s="214" t="s">
        <v>149</v>
      </c>
      <c r="AN523" s="214" t="s">
        <v>149</v>
      </c>
      <c r="AO523" s="8"/>
      <c r="AP523" s="8"/>
      <c r="AR523" s="8" t="s">
        <v>214</v>
      </c>
      <c r="AS523" s="155" t="s">
        <v>149</v>
      </c>
      <c r="AT523" s="8" t="s">
        <v>3148</v>
      </c>
      <c r="AU523" s="155" t="s">
        <v>149</v>
      </c>
    </row>
    <row r="524">
      <c r="A524" s="186">
        <v>262.0</v>
      </c>
      <c r="B524" s="152">
        <v>2025.0</v>
      </c>
      <c r="C524" s="153" t="str">
        <f>CONCATENATE(D524, "-", M524, "-", A524)
</f>
        <v>2023-PH071210000-262</v>
      </c>
      <c r="D524" s="152">
        <f>IF(OR(F523="Published", F523="Unpublished"), 2023, IF(F523="New", 2025, ""))
</f>
        <v>2023</v>
      </c>
      <c r="E524" s="151">
        <v>262.0</v>
      </c>
      <c r="F524" s="129" t="s">
        <v>140</v>
      </c>
      <c r="G524" s="156" t="s">
        <v>141</v>
      </c>
      <c r="H524" s="153" t="str">
        <f>IFERROR(__xludf.DUMMYFUNCTION("""COMPUTED_VALUE"""),"**Restoration_project** changed from Unknown to Coral Reef Habitat and Productivity Enhancement through Coral Transplantation and Giant Clam Restocking, **Year of establishment** changed from 2022 to 2001, **Project Start** changed from Unknown to 2001, *"&amp;"*Project End** changed from Unknown to 2005, **Technique/Material Type** changed from Coral planting to Direct transplantation; , **Restoration objective** changed from Unknown to Improve biodiversity and productivity of stressed coral reef habitats in 10"&amp;" selected demonstration sites, **Funding agency** changed from Sustainable Energy and Enterprise Development for Communities (SEED4COM) to Pew Marine Conservation Fellowship, **Implementing institution** changed from Unknown to UP MSI, **Reference** chang"&amp;"ed from Personal communication to Gomez, E., Cabaitan, P., &amp; Vicentuan, K. (2006). Coral culture and transplantation and restocking of giant clams in the Philippines. In J.H. Primavera, E.T. Quinitio, &amp; M. R. R. Eguia (Eds.). Proceedings of the Regional T"&amp;"echnical Consultation on Stock Enhancement for Threatened Species of International Concern, Iloilo City, Philippines, 13-15 July 2005 (pp. 39-48). Tigbaua, Iloilo, Philippines: Aquaculture Department, Southeast Asian Fisheries Development Center. Retrieve"&amp;"d from https://aquadocs.org/bitstream/handle/1834/40478/GomezED2006.pdf?sequence=1&amp;isAllowed=y, **Website** changed from Unknown to https://aquadocs.org/bitstream/handle/1834/40478/GomezED2006.pdf?sequence=1&amp;isAllowed=y, **Contact_name** changed from Dann"&amp;" Diez to Dr. Patrick Cabaitan")</f>
        <v>**Restoration_project** changed from Unknown to Coral Reef Habitat and Productivity Enhancement through Coral Transplantation and Giant Clam Restocking, **Year of establishment** changed from 2022 to 2001, **Project Start** changed from Unknown to 2001, **Project End** changed from Unknown to 2005, **Technique/Material Type** changed from Coral planting to Direct transplantation; , **Restoration objective** changed from Unknown to Improve biodiversity and productivity of stressed coral reef habitats in 10 selected demonstration sites, **Funding agency** changed from Sustainable Energy and Enterprise Development for Communities (SEED4COM) to Pew Marine Conservation Fellowship, **Implementing institution** changed from Unknown to UP MSI, **Reference** changed from Personal communication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Unknown to https://aquadocs.org/bitstream/handle/1834/40478/GomezED2006.pdf?sequence=1&amp;isAllowed=y, **Contact_name** changed from Dann Diez to Dr. Patrick Cabaitan</v>
      </c>
      <c r="I524" s="153" t="s">
        <v>7106</v>
      </c>
      <c r="J524" s="153" t="s">
        <v>193</v>
      </c>
      <c r="K524" s="153" t="s">
        <v>563</v>
      </c>
      <c r="L524" s="153" t="s">
        <v>962</v>
      </c>
      <c r="M524" s="181" t="s">
        <v>963</v>
      </c>
      <c r="N524" s="153" t="s">
        <v>6062</v>
      </c>
      <c r="O524" s="173" t="s">
        <v>934</v>
      </c>
      <c r="P524" s="214" t="s">
        <v>149</v>
      </c>
      <c r="Q524" s="182">
        <v>2001.0</v>
      </c>
      <c r="R524" s="216" t="s">
        <v>6229</v>
      </c>
      <c r="S524" s="216" t="s">
        <v>6230</v>
      </c>
      <c r="T524" s="156" t="s">
        <v>177</v>
      </c>
      <c r="U524" s="153">
        <f>IFERROR(__xludf.DUMMYFUNCTION("""COMPUTED_VALUE"""),496.0)</f>
        <v>496</v>
      </c>
      <c r="V524" s="191" t="s">
        <v>3245</v>
      </c>
      <c r="W524" s="179" t="s">
        <v>149</v>
      </c>
      <c r="X524" s="180"/>
      <c r="Y524" s="180" t="s">
        <v>154</v>
      </c>
      <c r="Z524" s="158" t="s">
        <v>179</v>
      </c>
      <c r="AA524" s="173" t="s">
        <v>6276</v>
      </c>
      <c r="AB524" s="173" t="s">
        <v>939</v>
      </c>
      <c r="AC524" s="173" t="s">
        <v>940</v>
      </c>
      <c r="AD524" s="158" t="s">
        <v>6154</v>
      </c>
      <c r="AE524" s="158" t="s">
        <v>206</v>
      </c>
      <c r="AF524" s="158" t="s">
        <v>204</v>
      </c>
      <c r="AG524" s="194" t="s">
        <v>149</v>
      </c>
      <c r="AH524" s="158" t="s">
        <v>149</v>
      </c>
      <c r="AI524" s="202" t="s">
        <v>149</v>
      </c>
      <c r="AJ524" s="173" t="s">
        <v>233</v>
      </c>
      <c r="AK524" s="158" t="s">
        <v>6068</v>
      </c>
      <c r="AL524" s="214" t="s">
        <v>149</v>
      </c>
      <c r="AM524" s="214" t="s">
        <v>149</v>
      </c>
      <c r="AN524" s="214" t="s">
        <v>149</v>
      </c>
      <c r="AO524" s="156">
        <v>1.0</v>
      </c>
      <c r="AP524" s="156" t="s">
        <v>6037</v>
      </c>
      <c r="AQ524" s="158" t="s">
        <v>6214</v>
      </c>
      <c r="AR524" s="153" t="s">
        <v>941</v>
      </c>
      <c r="AS524" s="153" t="s">
        <v>942</v>
      </c>
      <c r="AT524" s="153" t="s">
        <v>943</v>
      </c>
      <c r="AU524" s="214" t="s">
        <v>149</v>
      </c>
    </row>
    <row r="525">
      <c r="A525" s="186">
        <v>262.0</v>
      </c>
      <c r="B525" s="152">
        <v>2023.0</v>
      </c>
      <c r="D525" s="152"/>
      <c r="E525" s="151">
        <v>262.0</v>
      </c>
      <c r="F525" s="129" t="s">
        <v>140</v>
      </c>
      <c r="G525" s="3" t="s">
        <v>6029</v>
      </c>
      <c r="H525" s="8" t="str">
        <f>IFERROR(__xludf.DUMMYFUNCTION("""COMPUTED_VALUE"""),"")</f>
        <v/>
      </c>
      <c r="I525" s="8" t="s">
        <v>7107</v>
      </c>
      <c r="J525" s="8" t="s">
        <v>193</v>
      </c>
      <c r="K525" s="8" t="s">
        <v>194</v>
      </c>
      <c r="L525" s="8" t="s">
        <v>195</v>
      </c>
      <c r="M525" s="8" t="s">
        <v>196</v>
      </c>
      <c r="N525" s="8" t="s">
        <v>6221</v>
      </c>
      <c r="O525" s="8" t="s">
        <v>3412</v>
      </c>
      <c r="P525" s="155" t="s">
        <v>149</v>
      </c>
      <c r="Q525" s="142" t="s">
        <v>6063</v>
      </c>
      <c r="R525" s="142" t="s">
        <v>6063</v>
      </c>
      <c r="S525" s="142" t="s">
        <v>6064</v>
      </c>
      <c r="T525" s="8"/>
      <c r="U525" s="8">
        <f>IFERROR(__xludf.DUMMYFUNCTION("""COMPUTED_VALUE"""),497.0)</f>
        <v>497</v>
      </c>
      <c r="V525" s="8"/>
      <c r="W525" s="155"/>
      <c r="X525" s="8"/>
      <c r="Y525" s="8"/>
      <c r="AA525" s="155" t="s">
        <v>149</v>
      </c>
      <c r="AB525" s="155" t="s">
        <v>149</v>
      </c>
      <c r="AC525" s="8" t="s">
        <v>321</v>
      </c>
      <c r="AG525" s="155" t="s">
        <v>149</v>
      </c>
      <c r="AH525" s="155" t="s">
        <v>149</v>
      </c>
      <c r="AI525" s="155" t="s">
        <v>149</v>
      </c>
      <c r="AJ525" s="8" t="s">
        <v>885</v>
      </c>
      <c r="AL525" s="208" t="s">
        <v>1858</v>
      </c>
      <c r="AM525" s="214" t="s">
        <v>149</v>
      </c>
      <c r="AN525" s="214" t="s">
        <v>149</v>
      </c>
      <c r="AO525" s="8"/>
      <c r="AP525" s="8"/>
      <c r="AR525" s="8" t="s">
        <v>6257</v>
      </c>
      <c r="AS525" s="155" t="s">
        <v>149</v>
      </c>
      <c r="AT525" s="8" t="s">
        <v>1861</v>
      </c>
      <c r="AU525" s="211" t="s">
        <v>1862</v>
      </c>
    </row>
    <row r="526">
      <c r="A526" s="186">
        <v>263.0</v>
      </c>
      <c r="B526" s="152">
        <v>2025.0</v>
      </c>
      <c r="C526" s="153" t="str">
        <f>CONCATENATE(D526, "-", M526, "-", A526)
</f>
        <v>2023-PH071211000-263</v>
      </c>
      <c r="D526" s="152">
        <f>IF(OR(F525="Published", F525="Unpublished"), 2023, IF(F525="New", 2025, ""))
</f>
        <v>2023</v>
      </c>
      <c r="E526" s="151">
        <v>263.0</v>
      </c>
      <c r="F526" s="129" t="s">
        <v>140</v>
      </c>
      <c r="G526" s="156" t="s">
        <v>141</v>
      </c>
      <c r="H526" s="153" t="str">
        <f>IFERROR(__xludf.DUMMYFUNCTION("""COMPUTED_VALUE"""),"**Restoration_project** changed from Project 2B. Sexual Reproduction of Selected Reef Coral Species Across the Philippine Archipelago (Cebu) to Artificial Reef Development Program, **Restoration_project_short** changed from Unknown to Site in Cogtong, **Y"&amp;"ear of establishment** changed from 2014 to 1986, **Project Start** changed from 2014 to 1985, **Project End** changed from 2016 to 1987, **Restoration method** changed from Sexual Reproduction to Artificial Reef, **Technique/Material Type** changed from "&amp;"Unknown to tires, **Funding agency** changed from DOST-PCAARRD to BFAR, **Total units** changed from Unknown to 14 TM, **Implementing institution** changed from University of San Carlos to BFAR, **Partners_public** changed from University of the Philippin"&amp;"es Marine Science Institute; Mindanao State University - Tawi-Tawi to Ministry of Human Settlements, **Reference** changed from Technical Report to Balgos, M.C. (1995). Evaluation of artificial reef development in the Philippines. In Munro, J.L. &amp; Balgos,"&amp;" M. (eds.) Artificial reefs in the Philippines. ICLARM Conf. Proc. 49, pp. 6-22., **Website** changed from Unknown to https://core.ac.uk/download/pdf/6515223.pdf;, **Contact_name** changed from Dr. Anthony Ilano to Miriam Balgos, **Contact_details** chang"&amp;"ed from gastropoda04@yahoo.com to Unknown")</f>
        <v>**Restoration_project** changed from Project 2B. Sexual Reproduction of Selected Reef Coral Species Across the Philippine Archipelago (Cebu) to Artificial Reef Development Program, **Restoration_project_short** changed from Unknown to Site in Cogtong, **Year of establishment** changed from 2014 to 1986, **Project Start** changed from 2014 to 1985, **Project End** changed from 2016 to 1987, **Restoration method** changed from Sexual Reproduction to Artificial Reef, **Technique/Material Type** changed from Unknown to tires, **Funding agency** changed from DOST-PCAARRD to BFAR, **Total units** changed from Unknown to 14 TM, **Implementing institution** changed from University of San Carlos to BFAR, **Partners_public** changed from University of the Philippines Marine Science Institute; Mindanao State University - Tawi-Tawi to Ministry of Human Settlements, **Reference** changed from Technical Report to Balgos, M.C. (1995). Evaluation of artificial reef development in the Philippines. In Munro, J.L. &amp; Balgos, M. (eds.) Artificial reefs in the Philippines. ICLARM Conf. Proc. 49, pp. 6-22., **Website** changed from Unknown to https://core.ac.uk/download/pdf/6515223.pdf;, **Contact_name** changed from Dr. Anthony Ilano to Miriam Balgos, **Contact_details** changed from gastropoda04@yahoo.com to Unknown</v>
      </c>
      <c r="I526" s="153" t="s">
        <v>7108</v>
      </c>
      <c r="J526" s="153" t="s">
        <v>193</v>
      </c>
      <c r="K526" s="153" t="s">
        <v>563</v>
      </c>
      <c r="L526" s="153" t="s">
        <v>564</v>
      </c>
      <c r="M526" s="181" t="s">
        <v>565</v>
      </c>
      <c r="N526" s="153" t="s">
        <v>151</v>
      </c>
      <c r="O526" s="153" t="s">
        <v>384</v>
      </c>
      <c r="P526" s="173" t="s">
        <v>566</v>
      </c>
      <c r="Q526" s="169">
        <v>1986.0</v>
      </c>
      <c r="R526" s="175" t="s">
        <v>6052</v>
      </c>
      <c r="S526" s="175" t="s">
        <v>6053</v>
      </c>
      <c r="T526" s="161" t="s">
        <v>150</v>
      </c>
      <c r="U526" s="153">
        <f>IFERROR(__xludf.DUMMYFUNCTION("""COMPUTED_VALUE"""),498.0)</f>
        <v>498</v>
      </c>
      <c r="V526" s="162" t="s">
        <v>3311</v>
      </c>
      <c r="W526" s="170" t="s">
        <v>6059</v>
      </c>
      <c r="X526" s="28" t="s">
        <v>6033</v>
      </c>
      <c r="Y526" s="28" t="s">
        <v>386</v>
      </c>
      <c r="Z526" s="176" t="s">
        <v>386</v>
      </c>
      <c r="AA526" s="153" t="s">
        <v>6054</v>
      </c>
      <c r="AB526" s="158" t="s">
        <v>149</v>
      </c>
      <c r="AC526" s="153" t="s">
        <v>390</v>
      </c>
      <c r="AD526" s="158" t="s">
        <v>160</v>
      </c>
      <c r="AE526" s="158" t="s">
        <v>6035</v>
      </c>
      <c r="AF526" s="158" t="s">
        <v>159</v>
      </c>
      <c r="AG526" s="194" t="s">
        <v>149</v>
      </c>
      <c r="AH526" s="202" t="s">
        <v>149</v>
      </c>
      <c r="AI526" s="173" t="s">
        <v>475</v>
      </c>
      <c r="AJ526" s="153" t="s">
        <v>390</v>
      </c>
      <c r="AK526" s="153" t="s">
        <v>6035</v>
      </c>
      <c r="AL526" s="173" t="s">
        <v>6055</v>
      </c>
      <c r="AM526" s="214" t="s">
        <v>149</v>
      </c>
      <c r="AN526" s="214" t="s">
        <v>149</v>
      </c>
      <c r="AO526" s="156">
        <v>1.0</v>
      </c>
      <c r="AP526" s="156" t="s">
        <v>6037</v>
      </c>
      <c r="AQ526" s="158" t="s">
        <v>395</v>
      </c>
      <c r="AR526" s="153" t="s">
        <v>6060</v>
      </c>
      <c r="AS526" s="158" t="s">
        <v>6711</v>
      </c>
      <c r="AT526" s="153" t="s">
        <v>398</v>
      </c>
      <c r="AU526" s="214" t="s">
        <v>149</v>
      </c>
    </row>
    <row r="527">
      <c r="A527" s="186">
        <v>263.0</v>
      </c>
      <c r="B527" s="152">
        <v>2023.0</v>
      </c>
      <c r="D527" s="152"/>
      <c r="E527" s="151">
        <v>263.0</v>
      </c>
      <c r="F527" s="129" t="s">
        <v>140</v>
      </c>
      <c r="G527" s="3" t="s">
        <v>6029</v>
      </c>
      <c r="H527" s="8" t="str">
        <f>IFERROR(__xludf.DUMMYFUNCTION("""COMPUTED_VALUE"""),"")</f>
        <v/>
      </c>
      <c r="I527" s="8" t="s">
        <v>7109</v>
      </c>
      <c r="J527" s="8" t="s">
        <v>193</v>
      </c>
      <c r="K527" s="8" t="s">
        <v>194</v>
      </c>
      <c r="L527" s="8" t="s">
        <v>2222</v>
      </c>
      <c r="M527" s="8" t="s">
        <v>2223</v>
      </c>
      <c r="N527" s="8" t="s">
        <v>7110</v>
      </c>
      <c r="O527" s="8" t="s">
        <v>2224</v>
      </c>
      <c r="P527" s="214" t="s">
        <v>149</v>
      </c>
      <c r="Q527" s="142" t="s">
        <v>6273</v>
      </c>
      <c r="R527" s="142" t="s">
        <v>6273</v>
      </c>
      <c r="S527" s="142" t="s">
        <v>18</v>
      </c>
      <c r="T527" s="8"/>
      <c r="U527" s="8">
        <f>IFERROR(__xludf.DUMMYFUNCTION("""COMPUTED_VALUE"""),499.0)</f>
        <v>499</v>
      </c>
      <c r="V527" s="8"/>
      <c r="W527" s="8"/>
      <c r="X527" s="8"/>
      <c r="Y527" s="8"/>
      <c r="AA527" s="8" t="s">
        <v>320</v>
      </c>
      <c r="AB527" s="8" t="s">
        <v>2227</v>
      </c>
      <c r="AC527" s="8" t="s">
        <v>2228</v>
      </c>
      <c r="AG527" s="155" t="s">
        <v>149</v>
      </c>
      <c r="AH527" s="155" t="s">
        <v>149</v>
      </c>
      <c r="AI527" s="155" t="s">
        <v>149</v>
      </c>
      <c r="AJ527" s="8" t="s">
        <v>2229</v>
      </c>
      <c r="AL527" s="208" t="s">
        <v>2230</v>
      </c>
      <c r="AM527" s="208" t="s">
        <v>7111</v>
      </c>
      <c r="AN527" s="208" t="s">
        <v>2232</v>
      </c>
      <c r="AO527" s="8"/>
      <c r="AP527" s="8"/>
      <c r="AR527" s="8" t="s">
        <v>213</v>
      </c>
      <c r="AS527" s="172" t="s">
        <v>2233</v>
      </c>
      <c r="AT527" s="8" t="s">
        <v>2234</v>
      </c>
      <c r="AU527" s="211" t="s">
        <v>2235</v>
      </c>
    </row>
    <row r="528">
      <c r="A528" s="186">
        <v>264.0</v>
      </c>
      <c r="B528" s="152">
        <v>2025.0</v>
      </c>
      <c r="C528" s="153" t="str">
        <f>CONCATENATE(D528, "-", M528, "-", A528)
</f>
        <v>2023-PH071228000-264</v>
      </c>
      <c r="D528" s="152">
        <f>IF(OR(F527="Published", F527="Unpublished"), 2023, IF(F527="New", 2025, ""))
</f>
        <v>2023</v>
      </c>
      <c r="E528" s="151">
        <v>264.0</v>
      </c>
      <c r="F528" s="156" t="s">
        <v>191</v>
      </c>
      <c r="G528" s="156" t="s">
        <v>191</v>
      </c>
      <c r="H528" s="153" t="str">
        <f>IFERROR(__xludf.DUMMYFUNCTION("""COMPUTED_VALUE"""),"**Restoration_project** changed from TepCorSea Coral Restoration to SCREMP, **Restoration_project_short** changed from Unknown to Part of 300 artificial coral houses distributed in Bohol and Siquijor under SCREMP, **Year of establishment** changed from 20"&amp;"19 to Unknown, **Project Start** changed from 2019 to 2012, **Project End** changed from 2023 to Unknown, **Restoration method** changed from Mineral accretion; Asexual Reproduction to Artificial Reef, **Technique/Material Type** changed from CNU to Unkno"&amp;"wn, **Restoration objective** changed from Improve habitat and LCC; Provide socio-economic benefits; Establish successful model of restoration to Reef recovery, **Funding agency** changed from Tepanee Resort to DENR, **Implementing institution** changed f"&amp;"rom People and the Sea to DENR 7 PAWCZMS, **Partners_public** changed from MLGU; BLGU to Unknown, **Partners_private** changed from Coralive to Unknown, **Partners_communities** changed from Logon Fisherfolks Assoc. to Unknown, **Reference** changed from "&amp;"Survey to JKV (2014, December 30). DENR 7 plants 1T artificial reefs. SunStar. https://www.sunstar.com.ph/article/385473/denr-7-plants-1t-artificial-reefs-, **Website** changed from https://peopleandthesea.org to https://www.sunstar.com.ph/article/385473/"&amp;"denr-7-plants-1t-artificial-reefs-, **Contact_name** changed from Axelle Jorcin to Unknown, **Contact_details** changed from info@peopleandthesea.org to Unknown")</f>
        <v>**Restoration_project** changed from TepCorSea Coral Restoration to SCREMP, **Restoration_project_short** changed from Unknown to Part of 300 artificial coral houses distributed in Bohol and Siquijor under SCREMP, **Year of establishment** changed from 2019 to Unknown, **Project Start** changed from 2019 to 2012, **Project End** changed from 2023 to Unknown, **Restoration method** changed from Mineral accretion; Asexual Reproduction to Artificial Reef, **Technique/Material Type** changed from CNU to Unknown, **Restoration objective** changed from Improve habitat and LCC; Provide socio-economic benefits; Establish successful model of restoration to Reef recovery, **Funding agency** changed from Tepanee Resort to DENR, **Implementing institution** changed from People and the Sea to DENR 7 PAWCZMS, **Partners_public** changed from MLGU; BLGU to Unknown, **Partners_private** changed from Coralive to Unknown, **Partners_communities** changed from Logon Fisherfolks Assoc. to Unknown, **Reference** changed from Survey to JKV (2014, December 30). DENR 7 plants 1T artificial reefs. SunStar. https://www.sunstar.com.ph/article/385473/denr-7-plants-1t-artificial-reefs-, **Website** changed from https://peopleandthesea.org to https://www.sunstar.com.ph/article/385473/denr-7-plants-1t-artificial-reefs-, **Contact_name** changed from Axelle Jorcin to Unknown, **Contact_details** changed from info@peopleandthesea.org to Unknown</v>
      </c>
      <c r="I528" s="153" t="s">
        <v>7112</v>
      </c>
      <c r="J528" s="153" t="s">
        <v>193</v>
      </c>
      <c r="K528" s="153" t="s">
        <v>563</v>
      </c>
      <c r="L528" s="153" t="s">
        <v>2164</v>
      </c>
      <c r="M528" s="181" t="s">
        <v>2165</v>
      </c>
      <c r="N528" s="153" t="s">
        <v>151</v>
      </c>
      <c r="O528" s="153" t="s">
        <v>6587</v>
      </c>
      <c r="P528" s="153" t="s">
        <v>7100</v>
      </c>
      <c r="Q528" s="197" t="s">
        <v>149</v>
      </c>
      <c r="R528" s="175" t="s">
        <v>6151</v>
      </c>
      <c r="S528" s="160" t="s">
        <v>149</v>
      </c>
      <c r="T528" s="161" t="s">
        <v>150</v>
      </c>
      <c r="U528" s="153">
        <f>IFERROR(__xludf.DUMMYFUNCTION("""COMPUTED_VALUE"""),500.0)</f>
        <v>500</v>
      </c>
      <c r="V528" s="162" t="s">
        <v>3311</v>
      </c>
      <c r="W528" s="187" t="s">
        <v>149</v>
      </c>
      <c r="X528" s="184"/>
      <c r="Y528" s="184" t="s">
        <v>149</v>
      </c>
      <c r="Z528" s="158" t="s">
        <v>149</v>
      </c>
      <c r="AA528" s="158" t="s">
        <v>149</v>
      </c>
      <c r="AB528" s="173" t="s">
        <v>7101</v>
      </c>
      <c r="AC528" s="153" t="s">
        <v>341</v>
      </c>
      <c r="AD528" s="158" t="s">
        <v>160</v>
      </c>
      <c r="AE528" s="158" t="s">
        <v>6035</v>
      </c>
      <c r="AF528" s="158" t="s">
        <v>159</v>
      </c>
      <c r="AG528" s="194" t="s">
        <v>149</v>
      </c>
      <c r="AH528" s="202" t="s">
        <v>149</v>
      </c>
      <c r="AI528" s="158" t="s">
        <v>149</v>
      </c>
      <c r="AJ528" s="153" t="s">
        <v>2160</v>
      </c>
      <c r="AK528" s="153" t="s">
        <v>6035</v>
      </c>
      <c r="AL528" s="156" t="s">
        <v>149</v>
      </c>
      <c r="AM528" s="217" t="s">
        <v>149</v>
      </c>
      <c r="AN528" s="217" t="s">
        <v>149</v>
      </c>
      <c r="AO528" s="156">
        <v>1.0</v>
      </c>
      <c r="AP528" s="156" t="s">
        <v>6037</v>
      </c>
      <c r="AQ528" s="158" t="s">
        <v>166</v>
      </c>
      <c r="AR528" s="153" t="s">
        <v>2161</v>
      </c>
      <c r="AS528" s="172" t="s">
        <v>2162</v>
      </c>
      <c r="AT528" s="156" t="s">
        <v>149</v>
      </c>
      <c r="AU528" s="217" t="s">
        <v>149</v>
      </c>
    </row>
    <row r="529">
      <c r="A529" s="186">
        <v>264.0</v>
      </c>
      <c r="B529" s="152">
        <v>2023.0</v>
      </c>
      <c r="D529" s="152"/>
      <c r="E529" s="151">
        <v>264.0</v>
      </c>
      <c r="F529" s="129" t="s">
        <v>140</v>
      </c>
      <c r="G529" s="3" t="s">
        <v>6029</v>
      </c>
      <c r="H529" s="8" t="str">
        <f>IFERROR(__xludf.DUMMYFUNCTION("""COMPUTED_VALUE"""),"")</f>
        <v/>
      </c>
      <c r="I529" s="8" t="s">
        <v>7113</v>
      </c>
      <c r="J529" s="8" t="s">
        <v>193</v>
      </c>
      <c r="K529" s="8" t="s">
        <v>194</v>
      </c>
      <c r="L529" s="8" t="s">
        <v>7114</v>
      </c>
      <c r="M529" s="153" t="s">
        <v>217</v>
      </c>
      <c r="N529" s="8" t="s">
        <v>151</v>
      </c>
      <c r="O529" s="8" t="s">
        <v>384</v>
      </c>
      <c r="P529" s="8" t="s">
        <v>2880</v>
      </c>
      <c r="Q529" s="181" t="s">
        <v>7095</v>
      </c>
      <c r="R529" s="142" t="s">
        <v>6052</v>
      </c>
      <c r="S529" s="142" t="s">
        <v>6053</v>
      </c>
      <c r="T529" s="8"/>
      <c r="U529" s="8">
        <f>IFERROR(__xludf.DUMMYFUNCTION("""COMPUTED_VALUE"""),501.0)</f>
        <v>501</v>
      </c>
      <c r="V529" s="8"/>
      <c r="W529" s="8"/>
      <c r="X529" s="8"/>
      <c r="Y529" s="8"/>
      <c r="AA529" s="8" t="s">
        <v>6054</v>
      </c>
      <c r="AB529" s="155" t="s">
        <v>149</v>
      </c>
      <c r="AC529" s="8" t="s">
        <v>390</v>
      </c>
      <c r="AG529" s="155" t="s">
        <v>149</v>
      </c>
      <c r="AH529" s="155" t="s">
        <v>149</v>
      </c>
      <c r="AI529" s="8" t="s">
        <v>391</v>
      </c>
      <c r="AJ529" s="8" t="s">
        <v>390</v>
      </c>
      <c r="AL529" s="8" t="s">
        <v>6055</v>
      </c>
      <c r="AM529" s="214" t="s">
        <v>149</v>
      </c>
      <c r="AN529" s="214" t="s">
        <v>149</v>
      </c>
      <c r="AO529" s="8"/>
      <c r="AP529" s="8"/>
      <c r="AR529" s="8" t="s">
        <v>6057</v>
      </c>
      <c r="AS529" s="8" t="s">
        <v>2873</v>
      </c>
      <c r="AT529" s="155" t="s">
        <v>149</v>
      </c>
      <c r="AU529" s="214" t="s">
        <v>149</v>
      </c>
    </row>
    <row r="530">
      <c r="A530" s="186">
        <v>265.0</v>
      </c>
      <c r="B530" s="152">
        <v>2023.0</v>
      </c>
      <c r="D530" s="152"/>
      <c r="E530" s="151">
        <v>265.0</v>
      </c>
      <c r="F530" s="129" t="s">
        <v>140</v>
      </c>
      <c r="G530" s="3" t="s">
        <v>6029</v>
      </c>
      <c r="H530" s="8" t="str">
        <f>IFERROR(__xludf.DUMMYFUNCTION("""COMPUTED_VALUE"""),"")</f>
        <v/>
      </c>
      <c r="I530" s="8" t="s">
        <v>7115</v>
      </c>
      <c r="J530" s="8" t="s">
        <v>193</v>
      </c>
      <c r="K530" s="8" t="s">
        <v>194</v>
      </c>
      <c r="L530" s="8" t="s">
        <v>7114</v>
      </c>
      <c r="M530" s="153" t="s">
        <v>217</v>
      </c>
      <c r="N530" s="8" t="s">
        <v>151</v>
      </c>
      <c r="O530" s="208" t="s">
        <v>384</v>
      </c>
      <c r="P530" s="208" t="s">
        <v>2882</v>
      </c>
      <c r="Q530" s="181" t="s">
        <v>6073</v>
      </c>
      <c r="R530" s="174" t="s">
        <v>6052</v>
      </c>
      <c r="S530" s="174" t="s">
        <v>6053</v>
      </c>
      <c r="T530" s="8"/>
      <c r="U530" s="8">
        <f>IFERROR(__xludf.DUMMYFUNCTION("""COMPUTED_VALUE"""),502.0)</f>
        <v>502</v>
      </c>
      <c r="V530" s="8"/>
      <c r="W530" s="8"/>
      <c r="X530" s="8"/>
      <c r="Y530" s="8"/>
      <c r="AA530" s="8" t="s">
        <v>6054</v>
      </c>
      <c r="AB530" s="214" t="s">
        <v>149</v>
      </c>
      <c r="AC530" s="8" t="s">
        <v>390</v>
      </c>
      <c r="AG530" s="214" t="s">
        <v>149</v>
      </c>
      <c r="AH530" s="214" t="s">
        <v>149</v>
      </c>
      <c r="AI530" s="208" t="s">
        <v>414</v>
      </c>
      <c r="AJ530" s="208" t="s">
        <v>390</v>
      </c>
      <c r="AL530" s="208" t="s">
        <v>6055</v>
      </c>
      <c r="AM530" s="214" t="s">
        <v>149</v>
      </c>
      <c r="AN530" s="214" t="s">
        <v>149</v>
      </c>
      <c r="AO530" s="8"/>
      <c r="AP530" s="8"/>
      <c r="AR530" s="8" t="s">
        <v>6057</v>
      </c>
      <c r="AS530" s="208" t="s">
        <v>2873</v>
      </c>
      <c r="AT530" s="155" t="s">
        <v>149</v>
      </c>
      <c r="AU530" s="214" t="s">
        <v>149</v>
      </c>
    </row>
    <row r="531">
      <c r="A531" s="186">
        <v>265.0</v>
      </c>
      <c r="B531" s="152">
        <v>2025.0</v>
      </c>
      <c r="C531" s="153" t="str">
        <f t="shared" ref="C531:C532" si="57">CONCATENATE(D531, "-", M531, "-", A531)
</f>
        <v>2023-PH071233000-265</v>
      </c>
      <c r="D531" s="152">
        <f t="shared" ref="D531:D532" si="58">IF(OR(F530="Published", F530="Unpublished"), 2023, IF(F530="New", 2025, ""))
</f>
        <v>2023</v>
      </c>
      <c r="E531" s="151">
        <v>265.0</v>
      </c>
      <c r="F531" s="156" t="s">
        <v>140</v>
      </c>
      <c r="G531" s="156" t="s">
        <v>141</v>
      </c>
      <c r="H531" s="153" t="str">
        <f>IFERROR(__xludf.DUMMYFUNCTION("""COMPUTED_VALUE"""),"**Restoration_project** changed from Artificial Reef Development Program to Filipinnovation on Coral Reef Restoration, **Restoration_project_short** changed from Site in Mactan Is to Unknown, **Year of establishment** changed from 1982 to 2013, **Project "&amp;"Start** changed from 1985 to 2012, **Project End** changed from 1987 to 2013, **Restoration method** changed from Artificial Reef to Asexual Reproduction, **Technique/Material Type** changed from tires to CNU, **Funding agency** changed from BFAR to DOST-"&amp;"PCAARRD, **Total units** changed from 8 TM to 40 CNUs/40,000 COPs, **Implementing institution** changed from BFAR to University of San Carlos, **Partners_public** changed from Ministry of Human Settlements to Unknown, **Reference** changed from Conference"&amp;" Proceediing to DOST-PCAARRD (2013g). Project 6: Pilot Technology Demonstration on Coral Reef Restoration in Panglao, Bohol., **Website** changed from http://pubs.iclarm.net/libinfo/Pdf/Pub%20CP6%2049.pdf to Report uploaded in the Google Drive, **Contact_"&amp;"name** changed from Unknown to Dr. Filipina Sotto, **Contact_details** changed from Unknown to arpee55@yahoo.com")</f>
        <v>**Restoration_project** changed from Artificial Reef Development Program to Filipinnovation on Coral Reef Restoration, **Restoration_project_short** changed from Site in Mactan Is to Unknown, **Year of establishment** changed from 1982 to 2013, **Project Start** changed from 1985 to 2012, **Project End** changed from 1987 to 2013, **Restoration method** changed from Artificial Reef to Asexual Reproduction, **Technique/Material Type** changed from tires to CNU, **Funding agency** changed from BFAR to DOST-PCAARRD, **Total units** changed from 8 TM to 40 CNUs/40,000 COPs, **Implementing institution** changed from BFAR to University of San Carlos, **Partners_public** changed from Ministry of Human Settlements to Unknown, **Reference** changed from Conference Proceediing to DOST-PCAARRD (2013g). Project 6: Pilot Technology Demonstration on Coral Reef Restoration in Panglao, Bohol., **Website** changed from http://pubs.iclarm.net/libinfo/Pdf/Pub%20CP6%2049.pdf to Report uploaded in the Google Drive, **Contact_name** changed from Unknown to Dr. Filipina Sotto, **Contact_details** changed from Unknown to arpee55@yahoo.com</v>
      </c>
      <c r="I531" s="153" t="s">
        <v>7116</v>
      </c>
      <c r="J531" s="153" t="s">
        <v>193</v>
      </c>
      <c r="K531" s="153" t="s">
        <v>563</v>
      </c>
      <c r="L531" s="153" t="s">
        <v>1108</v>
      </c>
      <c r="M531" s="181" t="s">
        <v>1109</v>
      </c>
      <c r="N531" s="153" t="s">
        <v>6062</v>
      </c>
      <c r="O531" s="153" t="s">
        <v>1174</v>
      </c>
      <c r="P531" s="214" t="s">
        <v>149</v>
      </c>
      <c r="Q531" s="178">
        <v>2013.0</v>
      </c>
      <c r="R531" s="175" t="s">
        <v>6151</v>
      </c>
      <c r="S531" s="175" t="s">
        <v>6089</v>
      </c>
      <c r="T531" s="156" t="s">
        <v>177</v>
      </c>
      <c r="U531" s="153">
        <f>IFERROR(__xludf.DUMMYFUNCTION("""COMPUTED_VALUE"""),503.0)</f>
        <v>503</v>
      </c>
      <c r="V531" s="191" t="s">
        <v>1359</v>
      </c>
      <c r="W531" s="179" t="s">
        <v>6066</v>
      </c>
      <c r="X531" s="180"/>
      <c r="Y531" s="180" t="s">
        <v>154</v>
      </c>
      <c r="Z531" s="158" t="s">
        <v>179</v>
      </c>
      <c r="AA531" s="153" t="s">
        <v>320</v>
      </c>
      <c r="AB531" s="158" t="s">
        <v>149</v>
      </c>
      <c r="AC531" s="153" t="s">
        <v>321</v>
      </c>
      <c r="AD531" s="158" t="s">
        <v>160</v>
      </c>
      <c r="AE531" s="158" t="s">
        <v>6035</v>
      </c>
      <c r="AF531" s="158" t="s">
        <v>159</v>
      </c>
      <c r="AG531" s="164" t="s">
        <v>149</v>
      </c>
      <c r="AH531" s="158" t="s">
        <v>149</v>
      </c>
      <c r="AI531" s="153" t="s">
        <v>1303</v>
      </c>
      <c r="AJ531" s="153" t="s">
        <v>885</v>
      </c>
      <c r="AK531" s="158" t="s">
        <v>6068</v>
      </c>
      <c r="AL531" s="214" t="s">
        <v>149</v>
      </c>
      <c r="AM531" s="214" t="s">
        <v>149</v>
      </c>
      <c r="AN531" s="214" t="s">
        <v>149</v>
      </c>
      <c r="AO531" s="156">
        <v>1.0</v>
      </c>
      <c r="AP531" s="156" t="s">
        <v>6037</v>
      </c>
      <c r="AQ531" s="158" t="s">
        <v>6069</v>
      </c>
      <c r="AR531" s="153" t="s">
        <v>1304</v>
      </c>
      <c r="AS531" s="173" t="s">
        <v>6070</v>
      </c>
      <c r="AT531" s="153" t="s">
        <v>1280</v>
      </c>
      <c r="AU531" s="219" t="s">
        <v>1281</v>
      </c>
    </row>
    <row r="532">
      <c r="A532" s="186">
        <v>266.0</v>
      </c>
      <c r="B532" s="152">
        <v>2025.0</v>
      </c>
      <c r="C532" s="153" t="str">
        <f t="shared" si="57"/>
        <v>2023-PH071233000-266</v>
      </c>
      <c r="D532" s="152">
        <f t="shared" si="58"/>
        <v>2023</v>
      </c>
      <c r="E532" s="151">
        <v>266.0</v>
      </c>
      <c r="F532" s="156" t="s">
        <v>191</v>
      </c>
      <c r="G532" s="156" t="s">
        <v>191</v>
      </c>
      <c r="H532" s="153" t="str">
        <f>IFERROR(__xludf.DUMMYFUNCTION("""COMPUTED_VALUE"""),"**Restoration_project** changed from Filipinnovation on Coral Reef Restoration to SCREMP, **Restoration_project_short** changed from Unknown to Part of 300 artificial coral houses distributed in Bohol and Siquijor under SCREMP, **Year of establishment** c"&amp;"hanged from 2013 to Unknown, **Project End** changed from 2013 to Unknown, **Restoration method** changed from Asexual Reproduction to Artificial Reef, **Technique/Material Type** changed from CNU to Unknown, **Restoration objective** changed from Unknown"&amp;" to Reef recovery, **Funding agency** changed from DOST-PCAARRD to DENR, **Total units** changed from 40 CNUs/40,000 COPs to Unknown, **Implementing institution** changed from University of San Carlos to DENR 7 PAWCZMS, **Reference** changed from DOST-PCA"&amp;"ARRD (2013g). Project 6: Pilot Technology Demonstration on Coral Reef Restoration in Panglao, Bohol. to JKV (2014, December 30). DENR 7 plants 1T artificial reefs. SunStar. https://www.sunstar.com.ph/article/385473/denr-7-plants-1t-artificial-reefs-, **We"&amp;"bsite** changed from Report uploaded in the Google Drive to https://www.sunstar.com.ph/article/385473/denr-7-plants-1t-artificial-reefs-, **Contact_name** changed from Dr. Filipina Sotto to Unknown, **Contact_details** changed from arpee55@yahoo.com to Un"&amp;"known")</f>
        <v>**Restoration_project** changed from Filipinnovation on Coral Reef Restoration to SCREMP, **Restoration_project_short** changed from Unknown to Part of 300 artificial coral houses distributed in Bohol and Siquijor under SCREMP, **Year of establishment** changed from 2013 to Unknown, **Project End** changed from 2013 to Unknown, **Restoration method** changed from Asexual Reproduction to Artificial Reef, **Technique/Material Type** changed from CNU to Unknown, **Restoration objective** changed from Unknown to Reef recovery, **Funding agency** changed from DOST-PCAARRD to DENR, **Total units** changed from 40 CNUs/40,000 COPs to Unknown, **Implementing institution** changed from University of San Carlos to DENR 7 PAWCZMS, **Reference** changed from DOST-PCAARRD (2013g). Project 6: Pilot Technology Demonstration on Coral Reef Restoration in Panglao, Bohol. to JKV (2014, December 30). DENR 7 plants 1T artificial reefs. SunStar. https://www.sunstar.com.ph/article/385473/denr-7-plants-1t-artificial-reefs-, **Website** changed from Report uploaded in the Google Drive to https://www.sunstar.com.ph/article/385473/denr-7-plants-1t-artificial-reefs-, **Contact_name** changed from Dr. Filipina Sotto to Unknown, **Contact_details** changed from arpee55@yahoo.com to Unknown</v>
      </c>
      <c r="I532" s="153" t="s">
        <v>7117</v>
      </c>
      <c r="J532" s="153" t="s">
        <v>193</v>
      </c>
      <c r="K532" s="153" t="s">
        <v>563</v>
      </c>
      <c r="L532" s="153" t="s">
        <v>1108</v>
      </c>
      <c r="M532" s="181" t="s">
        <v>1109</v>
      </c>
      <c r="N532" s="153" t="s">
        <v>151</v>
      </c>
      <c r="O532" s="153" t="s">
        <v>6587</v>
      </c>
      <c r="P532" s="173" t="s">
        <v>7100</v>
      </c>
      <c r="Q532" s="197" t="s">
        <v>149</v>
      </c>
      <c r="R532" s="175" t="s">
        <v>6151</v>
      </c>
      <c r="S532" s="160" t="s">
        <v>149</v>
      </c>
      <c r="T532" s="161" t="s">
        <v>150</v>
      </c>
      <c r="U532" s="153">
        <f>IFERROR(__xludf.DUMMYFUNCTION("""COMPUTED_VALUE"""),504.0)</f>
        <v>504</v>
      </c>
      <c r="V532" s="162" t="s">
        <v>3311</v>
      </c>
      <c r="W532" s="187" t="s">
        <v>149</v>
      </c>
      <c r="X532" s="184"/>
      <c r="Y532" s="184" t="s">
        <v>149</v>
      </c>
      <c r="Z532" s="158" t="s">
        <v>149</v>
      </c>
      <c r="AA532" s="202" t="s">
        <v>149</v>
      </c>
      <c r="AB532" s="173" t="s">
        <v>7101</v>
      </c>
      <c r="AC532" s="153" t="s">
        <v>341</v>
      </c>
      <c r="AD532" s="158" t="s">
        <v>160</v>
      </c>
      <c r="AE532" s="158" t="s">
        <v>6035</v>
      </c>
      <c r="AF532" s="158" t="s">
        <v>159</v>
      </c>
      <c r="AG532" s="194" t="s">
        <v>149</v>
      </c>
      <c r="AH532" s="202" t="s">
        <v>149</v>
      </c>
      <c r="AI532" s="202" t="s">
        <v>149</v>
      </c>
      <c r="AJ532" s="153" t="s">
        <v>2160</v>
      </c>
      <c r="AK532" s="153" t="s">
        <v>6035</v>
      </c>
      <c r="AL532" s="156" t="s">
        <v>149</v>
      </c>
      <c r="AM532" s="217" t="s">
        <v>149</v>
      </c>
      <c r="AN532" s="217" t="s">
        <v>149</v>
      </c>
      <c r="AO532" s="156">
        <v>1.0</v>
      </c>
      <c r="AP532" s="156" t="s">
        <v>6037</v>
      </c>
      <c r="AQ532" s="158" t="s">
        <v>166</v>
      </c>
      <c r="AR532" s="153" t="s">
        <v>2161</v>
      </c>
      <c r="AS532" s="219" t="s">
        <v>2162</v>
      </c>
      <c r="AT532" s="156" t="s">
        <v>149</v>
      </c>
      <c r="AU532" s="190" t="s">
        <v>149</v>
      </c>
    </row>
    <row r="533">
      <c r="A533" s="186">
        <v>266.0</v>
      </c>
      <c r="B533" s="152">
        <v>2023.0</v>
      </c>
      <c r="D533" s="152"/>
      <c r="E533" s="151">
        <v>266.0</v>
      </c>
      <c r="F533" s="129" t="s">
        <v>140</v>
      </c>
      <c r="G533" s="3" t="s">
        <v>6029</v>
      </c>
      <c r="H533" s="8" t="str">
        <f>IFERROR(__xludf.DUMMYFUNCTION("""COMPUTED_VALUE"""),"")</f>
        <v/>
      </c>
      <c r="I533" s="8" t="s">
        <v>7118</v>
      </c>
      <c r="J533" s="8" t="s">
        <v>193</v>
      </c>
      <c r="K533" s="8" t="s">
        <v>194</v>
      </c>
      <c r="L533" s="8" t="s">
        <v>7114</v>
      </c>
      <c r="M533" s="8" t="s">
        <v>217</v>
      </c>
      <c r="N533" s="8" t="s">
        <v>6062</v>
      </c>
      <c r="O533" s="8" t="s">
        <v>877</v>
      </c>
      <c r="P533" s="214" t="s">
        <v>149</v>
      </c>
      <c r="Q533" s="142" t="s">
        <v>7119</v>
      </c>
      <c r="R533" s="142" t="s">
        <v>7119</v>
      </c>
      <c r="S533" s="142" t="s">
        <v>6211</v>
      </c>
      <c r="T533" s="8"/>
      <c r="U533" s="8">
        <f>IFERROR(__xludf.DUMMYFUNCTION("""COMPUTED_VALUE"""),505.0)</f>
        <v>505</v>
      </c>
      <c r="V533" s="8"/>
      <c r="W533" s="8"/>
      <c r="X533" s="8"/>
      <c r="Y533" s="8"/>
      <c r="AA533" s="8" t="s">
        <v>320</v>
      </c>
      <c r="AB533" s="8" t="s">
        <v>881</v>
      </c>
      <c r="AC533" s="8" t="s">
        <v>7120</v>
      </c>
      <c r="AG533" s="155" t="s">
        <v>149</v>
      </c>
      <c r="AH533" s="8" t="s">
        <v>7121</v>
      </c>
      <c r="AI533" s="188" t="s">
        <v>884</v>
      </c>
      <c r="AJ533" s="8" t="s">
        <v>885</v>
      </c>
      <c r="AL533" s="8" t="s">
        <v>887</v>
      </c>
      <c r="AM533" s="214" t="s">
        <v>149</v>
      </c>
      <c r="AN533" s="208" t="s">
        <v>888</v>
      </c>
      <c r="AO533" s="8"/>
      <c r="AP533" s="8"/>
      <c r="AR533" s="8" t="s">
        <v>6214</v>
      </c>
      <c r="AS533" s="8" t="s">
        <v>942</v>
      </c>
      <c r="AT533" s="155" t="s">
        <v>149</v>
      </c>
      <c r="AU533" s="155" t="s">
        <v>149</v>
      </c>
    </row>
    <row r="534">
      <c r="A534" s="186">
        <v>267.0</v>
      </c>
      <c r="B534" s="152">
        <v>2025.0</v>
      </c>
      <c r="C534" s="153" t="str">
        <f>CONCATENATE(D534, "-", M534, "-", A534)
</f>
        <v>2023-PH071233000-267</v>
      </c>
      <c r="D534" s="152">
        <f>IF(OR(F533="Published", F533="Unpublished"), 2023, IF(F533="New", 2025, ""))
</f>
        <v>2023</v>
      </c>
      <c r="E534" s="151">
        <v>267.0</v>
      </c>
      <c r="F534" s="156" t="s">
        <v>191</v>
      </c>
      <c r="G534" s="156" t="s">
        <v>191</v>
      </c>
      <c r="H534" s="153" t="str">
        <f>IFERROR(__xludf.DUMMYFUNCTION("""COMPUTED_VALUE"""),"**Restoration_project** changed from Coral Farm Project to Coral Restoration Program in the Philippines, **Restoration_project_short** changed from Unknown to Site in Brgy Danao, **Year of establishment** changed from 1997 to Unknown, **Project Start** ch"&amp;"anged from 1997 to Unknown, **Project End** changed from 2000 to Unknown, **Technique/Material Type** changed from CNU to Coral trees, **Restoration objective** changed from Nursery for coral fragments, maintain biodiversity and generate income for fisher"&amp;"folk by marketing the farm-grown coral fragments for rehabilitation and ecotourism to Restore natural reef system, **Funding agency** changed from German Ministry of Environment; German Technical Cooperation to Unknown, **Total area of restoration** chang"&amp;"ed from 2 ha to Unknown, **Total units** changed from 275 CNUs/22,000 COPs to Unknown, **Implementing institution** changed from University of San Carlos to LoveLand Living Planet Aquarium , **Partners_public** changed from CHED - Center for Development F"&amp;"und to Bureau of Fire Protection, **Partners_private** changed from Unknown to Haka Dive Center; Mead Foundation, **Partners_communities** changed from Caw-oy Fisherfolks to Unknown, **Reference** changed from Published article to Haka Dive Center (2020, "&amp;"August 8). Coral Reef Restoration Program in the Philippines [Youtube]. https://www.youtube.com/watch?v=jkzZm4QyHDI, **Website** changed from https://aquadocs.org/bitstream/handle/1834/40478/GomezED2006.pdf?sequence=1&amp;isAllowed=y to https://www.youtube.co"&amp;"m/watch?v=jkzZm4QyHDI")</f>
        <v>**Restoration_project** changed from Coral Farm Project to Coral Restoration Program in the Philippines, **Restoration_project_short** changed from Unknown to Site in Brgy Danao, **Year of establishment** changed from 1997 to Unknown, **Project Start** changed from 1997 to Unknown, **Project End** changed from 2000 to Unknown, **Technique/Material Type** changed from CNU to Coral trees, **Restoration objective** changed from Nursery for coral fragments, maintain biodiversity and generate income for fisherfolk by marketing the farm-grown coral fragments for rehabilitation and ecotourism to Restore natural reef system, **Funding agency** changed from German Ministry of Environment; German Technical Cooperation to Unknown, **Total area of restoration** changed from 2 ha to Unknown, **Total units** changed from 275 CNUs/22,000 COPs to Unknown, **Implementing institution** changed from University of San Carlos to LoveLand Living Planet Aquarium , **Partners_public** changed from CHED - Center for Development Fund to Bureau of Fire Protection, **Partners_private** changed from Unknown to Haka Dive Center; Mead Foundation, **Partners_communities** changed from Caw-oy Fisherfolks to Unknown, **Reference** changed from Published article to Haka Dive Center (2020, August 8). Coral Reef Restoration Program in the Philippines [Youtube]. https://www.youtube.com/watch?v=jkzZm4QyHDI, **Website** changed from https://aquadocs.org/bitstream/handle/1834/40478/GomezED2006.pdf?sequence=1&amp;isAllowed=y to https://www.youtube.com/watch?v=jkzZm4QyHDI</v>
      </c>
      <c r="I534" s="153" t="s">
        <v>7122</v>
      </c>
      <c r="J534" s="153" t="s">
        <v>193</v>
      </c>
      <c r="K534" s="153" t="s">
        <v>563</v>
      </c>
      <c r="L534" s="153" t="s">
        <v>1108</v>
      </c>
      <c r="M534" s="181" t="s">
        <v>1109</v>
      </c>
      <c r="N534" s="153" t="s">
        <v>6062</v>
      </c>
      <c r="O534" s="153" t="s">
        <v>1110</v>
      </c>
      <c r="P534" s="173" t="s">
        <v>1111</v>
      </c>
      <c r="Q534" s="197" t="s">
        <v>149</v>
      </c>
      <c r="R534" s="160" t="s">
        <v>149</v>
      </c>
      <c r="S534" s="160" t="s">
        <v>149</v>
      </c>
      <c r="T534" s="156" t="s">
        <v>177</v>
      </c>
      <c r="U534" s="153">
        <f>IFERROR(__xludf.DUMMYFUNCTION("""COMPUTED_VALUE"""),506.0)</f>
        <v>506</v>
      </c>
      <c r="V534" s="191" t="s">
        <v>1359</v>
      </c>
      <c r="W534" s="184" t="s">
        <v>149</v>
      </c>
      <c r="X534" s="180"/>
      <c r="Y534" s="180" t="s">
        <v>154</v>
      </c>
      <c r="Z534" s="158" t="s">
        <v>179</v>
      </c>
      <c r="AA534" s="153" t="s">
        <v>1112</v>
      </c>
      <c r="AB534" s="153" t="s">
        <v>1113</v>
      </c>
      <c r="AC534" s="158" t="s">
        <v>149</v>
      </c>
      <c r="AD534" s="158" t="s">
        <v>149</v>
      </c>
      <c r="AE534" s="158" t="s">
        <v>149</v>
      </c>
      <c r="AF534" s="158" t="s">
        <v>149</v>
      </c>
      <c r="AG534" s="194" t="s">
        <v>149</v>
      </c>
      <c r="AH534" s="202" t="s">
        <v>149</v>
      </c>
      <c r="AI534" s="202" t="s">
        <v>149</v>
      </c>
      <c r="AJ534" s="153" t="s">
        <v>1114</v>
      </c>
      <c r="AK534" s="158" t="s">
        <v>184</v>
      </c>
      <c r="AL534" s="153" t="s">
        <v>1115</v>
      </c>
      <c r="AM534" s="153" t="s">
        <v>1116</v>
      </c>
      <c r="AN534" s="156" t="s">
        <v>149</v>
      </c>
      <c r="AO534" s="156">
        <v>1.0</v>
      </c>
      <c r="AP534" s="156" t="s">
        <v>6037</v>
      </c>
      <c r="AQ534" s="158" t="s">
        <v>6038</v>
      </c>
      <c r="AR534" s="153" t="s">
        <v>1117</v>
      </c>
      <c r="AS534" s="165" t="s">
        <v>1118</v>
      </c>
      <c r="AT534" s="156" t="s">
        <v>149</v>
      </c>
      <c r="AU534" s="190" t="s">
        <v>149</v>
      </c>
    </row>
    <row r="535">
      <c r="A535" s="186">
        <v>267.0</v>
      </c>
      <c r="B535" s="152">
        <v>2023.0</v>
      </c>
      <c r="D535" s="152"/>
      <c r="E535" s="151">
        <v>267.0</v>
      </c>
      <c r="F535" s="129" t="s">
        <v>140</v>
      </c>
      <c r="G535" s="3" t="s">
        <v>6029</v>
      </c>
      <c r="H535" s="8" t="str">
        <f>IFERROR(__xludf.DUMMYFUNCTION("""COMPUTED_VALUE"""),"")</f>
        <v/>
      </c>
      <c r="I535" s="8" t="s">
        <v>7123</v>
      </c>
      <c r="J535" s="8" t="s">
        <v>193</v>
      </c>
      <c r="K535" s="8" t="s">
        <v>194</v>
      </c>
      <c r="L535" s="8" t="s">
        <v>7114</v>
      </c>
      <c r="M535" s="8" t="s">
        <v>217</v>
      </c>
      <c r="N535" s="8" t="s">
        <v>6062</v>
      </c>
      <c r="O535" s="155" t="s">
        <v>149</v>
      </c>
      <c r="P535" s="155" t="s">
        <v>149</v>
      </c>
      <c r="Q535" s="155" t="s">
        <v>149</v>
      </c>
      <c r="R535" s="155" t="s">
        <v>149</v>
      </c>
      <c r="S535" s="155" t="s">
        <v>149</v>
      </c>
      <c r="T535" s="8"/>
      <c r="U535" s="8">
        <f>IFERROR(__xludf.DUMMYFUNCTION("""COMPUTED_VALUE"""),507.0)</f>
        <v>507</v>
      </c>
      <c r="V535" s="8"/>
      <c r="W535" s="8"/>
      <c r="X535" s="8"/>
      <c r="Y535" s="8"/>
      <c r="AA535" s="8" t="s">
        <v>7124</v>
      </c>
      <c r="AB535" s="8" t="s">
        <v>7125</v>
      </c>
      <c r="AC535" s="155" t="s">
        <v>149</v>
      </c>
      <c r="AG535" s="155" t="s">
        <v>149</v>
      </c>
      <c r="AH535" s="155" t="s">
        <v>149</v>
      </c>
      <c r="AI535" s="155" t="s">
        <v>149</v>
      </c>
      <c r="AJ535" s="8" t="s">
        <v>885</v>
      </c>
      <c r="AM535" s="8" t="s">
        <v>7126</v>
      </c>
      <c r="AN535" s="155" t="s">
        <v>149</v>
      </c>
      <c r="AO535" s="8"/>
      <c r="AP535" s="8"/>
      <c r="AR535" s="8" t="s">
        <v>6214</v>
      </c>
      <c r="AS535" s="8" t="s">
        <v>2403</v>
      </c>
      <c r="AT535" s="155" t="s">
        <v>149</v>
      </c>
      <c r="AU535" s="155" t="s">
        <v>149</v>
      </c>
    </row>
    <row r="536">
      <c r="A536" s="186">
        <v>268.0</v>
      </c>
      <c r="B536" s="152">
        <v>2023.0</v>
      </c>
      <c r="D536" s="152"/>
      <c r="E536" s="151">
        <v>268.0</v>
      </c>
      <c r="F536" s="129" t="s">
        <v>140</v>
      </c>
      <c r="G536" s="3" t="s">
        <v>6029</v>
      </c>
      <c r="H536" s="8" t="str">
        <f>IFERROR(__xludf.DUMMYFUNCTION("""COMPUTED_VALUE"""),"")</f>
        <v/>
      </c>
      <c r="I536" s="8" t="s">
        <v>7127</v>
      </c>
      <c r="J536" s="8" t="s">
        <v>193</v>
      </c>
      <c r="K536" s="8" t="s">
        <v>194</v>
      </c>
      <c r="L536" s="8" t="s">
        <v>7114</v>
      </c>
      <c r="M536" s="8" t="s">
        <v>217</v>
      </c>
      <c r="N536" s="8" t="s">
        <v>6814</v>
      </c>
      <c r="O536" s="214" t="s">
        <v>149</v>
      </c>
      <c r="P536" s="214" t="s">
        <v>149</v>
      </c>
      <c r="Q536" s="214" t="s">
        <v>149</v>
      </c>
      <c r="R536" s="214" t="s">
        <v>149</v>
      </c>
      <c r="S536" s="214" t="s">
        <v>149</v>
      </c>
      <c r="T536" s="8"/>
      <c r="U536" s="8">
        <f>IFERROR(__xludf.DUMMYFUNCTION("""COMPUTED_VALUE"""),508.0)</f>
        <v>508</v>
      </c>
      <c r="V536" s="8"/>
      <c r="W536" s="8"/>
      <c r="X536" s="8"/>
      <c r="Y536" s="8"/>
      <c r="AA536" s="208" t="s">
        <v>320</v>
      </c>
      <c r="AB536" s="208" t="s">
        <v>7128</v>
      </c>
      <c r="AC536" s="214" t="s">
        <v>149</v>
      </c>
      <c r="AG536" s="214" t="s">
        <v>149</v>
      </c>
      <c r="AH536" s="155" t="s">
        <v>149</v>
      </c>
      <c r="AI536" s="214" t="s">
        <v>149</v>
      </c>
      <c r="AJ536" s="208" t="s">
        <v>2077</v>
      </c>
      <c r="AL536" s="210" t="s">
        <v>149</v>
      </c>
      <c r="AM536" s="214" t="s">
        <v>149</v>
      </c>
      <c r="AN536" s="214" t="s">
        <v>149</v>
      </c>
      <c r="AO536" s="8"/>
      <c r="AP536" s="8"/>
      <c r="AR536" s="155" t="s">
        <v>149</v>
      </c>
      <c r="AS536" s="155" t="s">
        <v>149</v>
      </c>
      <c r="AT536" s="155" t="s">
        <v>149</v>
      </c>
      <c r="AU536" s="214" t="s">
        <v>149</v>
      </c>
    </row>
    <row r="537">
      <c r="A537" s="186">
        <v>268.0</v>
      </c>
      <c r="B537" s="152">
        <v>2025.0</v>
      </c>
      <c r="C537" s="153" t="str">
        <f>CONCATENATE(D537, "-", M537, "-", A537)
</f>
        <v>2023-PH071235000-268</v>
      </c>
      <c r="D537" s="152">
        <f>IF(OR(F536="Published", F536="Unpublished"), 2023, IF(F536="New", 2025, ""))
</f>
        <v>2023</v>
      </c>
      <c r="E537" s="151">
        <v>268.0</v>
      </c>
      <c r="F537" s="156" t="s">
        <v>140</v>
      </c>
      <c r="G537" s="156" t="s">
        <v>141</v>
      </c>
      <c r="H537" s="153" t="str">
        <f>IFERROR(__xludf.DUMMYFUNCTION("""COMPUTED_VALUE"""),"**Restoration_project** changed from Unknown to Small Islands Agricultural Support Services Program (SMISLE), **Restoration_project_short** changed from Unknown to Mention of artificial reef deployment under the Small Islands Agricultural Support Services"&amp;" Program (SMISLE), **Year of establishment** changed from Unknown to 1995, **Restoration method** changed from Asexual Reproduction; Artificial Reef to Artificial Reef, **Technique/Material Type** changed from CNU to Unknown, **Restoration objective** cha"&amp;"nged from Tourism; rehabilitation to Unknown, **Implementing institution** changed from Mactan Shangri-La Resort to MLGU, **Reference** changed from Unknown to The Search for Best Coastal Management Programs 1998 (n.d.). OneOcean. http://oneocean.org/abou"&amp;"t_crmp/98search.html, **Website** changed from Unknown to http://oneocean.org/about_crmp/98search.html")</f>
        <v>**Restoration_project** changed from Unknown to Small Islands Agricultural Support Services Program (SMISLE), **Restoration_project_short** changed from Unknown to Mention of artificial reef deployment under the Small Islands Agricultural Support Services Program (SMISLE), **Year of establishment** changed from Unknown to 1995, **Restoration method** changed from Asexual Reproduction; Artificial Reef to Artificial Reef, **Technique/Material Type** changed from CNU to Unknown, **Restoration objective** changed from Tourism; rehabilitation to Unknown, **Implementing institution** changed from Mactan Shangri-La Resort to MLGU, **Reference** changed from Unknown to The Search for Best Coastal Management Programs 1998 (n.d.). OneOcean. http://oneocean.org/about_crmp/98search.html, **Website** changed from Unknown to http://oneocean.org/about_crmp/98search.html</v>
      </c>
      <c r="I537" s="153" t="s">
        <v>7129</v>
      </c>
      <c r="J537" s="153" t="s">
        <v>193</v>
      </c>
      <c r="K537" s="153" t="s">
        <v>563</v>
      </c>
      <c r="L537" s="153" t="s">
        <v>7090</v>
      </c>
      <c r="M537" s="181" t="s">
        <v>2102</v>
      </c>
      <c r="N537" s="153" t="s">
        <v>151</v>
      </c>
      <c r="O537" s="153" t="s">
        <v>2103</v>
      </c>
      <c r="P537" s="153" t="s">
        <v>7091</v>
      </c>
      <c r="Q537" s="169">
        <v>1995.0</v>
      </c>
      <c r="R537" s="160" t="s">
        <v>149</v>
      </c>
      <c r="S537" s="160" t="s">
        <v>149</v>
      </c>
      <c r="T537" s="161" t="s">
        <v>150</v>
      </c>
      <c r="U537" s="153">
        <f>IFERROR(__xludf.DUMMYFUNCTION("""COMPUTED_VALUE"""),509.0)</f>
        <v>509</v>
      </c>
      <c r="V537" s="162" t="s">
        <v>3311</v>
      </c>
      <c r="W537" s="187" t="s">
        <v>149</v>
      </c>
      <c r="X537" s="184"/>
      <c r="Y537" s="184" t="s">
        <v>149</v>
      </c>
      <c r="Z537" s="158" t="s">
        <v>149</v>
      </c>
      <c r="AA537" s="158" t="s">
        <v>149</v>
      </c>
      <c r="AB537" s="158" t="s">
        <v>149</v>
      </c>
      <c r="AC537" s="158" t="s">
        <v>149</v>
      </c>
      <c r="AD537" s="158" t="s">
        <v>149</v>
      </c>
      <c r="AE537" s="158" t="s">
        <v>149</v>
      </c>
      <c r="AF537" s="158" t="s">
        <v>149</v>
      </c>
      <c r="AG537" s="164" t="s">
        <v>149</v>
      </c>
      <c r="AH537" s="158" t="s">
        <v>149</v>
      </c>
      <c r="AI537" s="158" t="s">
        <v>149</v>
      </c>
      <c r="AJ537" s="153" t="s">
        <v>369</v>
      </c>
      <c r="AK537" s="153" t="s">
        <v>6035</v>
      </c>
      <c r="AL537" s="220" t="s">
        <v>149</v>
      </c>
      <c r="AM537" s="220" t="s">
        <v>149</v>
      </c>
      <c r="AN537" s="220" t="s">
        <v>149</v>
      </c>
      <c r="AO537" s="156">
        <v>1.0</v>
      </c>
      <c r="AP537" s="156" t="s">
        <v>6037</v>
      </c>
      <c r="AQ537" s="158" t="s">
        <v>6027</v>
      </c>
      <c r="AR537" s="153" t="s">
        <v>2104</v>
      </c>
      <c r="AS537" s="165" t="s">
        <v>2105</v>
      </c>
      <c r="AT537" s="166" t="s">
        <v>149</v>
      </c>
      <c r="AU537" s="220" t="s">
        <v>149</v>
      </c>
    </row>
    <row r="538">
      <c r="A538" s="186">
        <v>269.0</v>
      </c>
      <c r="B538" s="152">
        <v>2023.0</v>
      </c>
      <c r="D538" s="152"/>
      <c r="E538" s="151">
        <v>269.0</v>
      </c>
      <c r="F538" s="129" t="s">
        <v>140</v>
      </c>
      <c r="G538" s="3" t="s">
        <v>6029</v>
      </c>
      <c r="H538" s="8" t="str">
        <f>IFERROR(__xludf.DUMMYFUNCTION("""COMPUTED_VALUE"""),"")</f>
        <v/>
      </c>
      <c r="I538" s="8" t="s">
        <v>7130</v>
      </c>
      <c r="J538" s="8" t="s">
        <v>193</v>
      </c>
      <c r="K538" s="8" t="s">
        <v>194</v>
      </c>
      <c r="L538" s="8" t="s">
        <v>7114</v>
      </c>
      <c r="M538" s="8" t="s">
        <v>217</v>
      </c>
      <c r="N538" s="8" t="s">
        <v>6062</v>
      </c>
      <c r="O538" s="8" t="s">
        <v>2073</v>
      </c>
      <c r="P538" s="155" t="s">
        <v>149</v>
      </c>
      <c r="Q538" s="155" t="s">
        <v>149</v>
      </c>
      <c r="R538" s="155" t="s">
        <v>149</v>
      </c>
      <c r="S538" s="155" t="s">
        <v>149</v>
      </c>
      <c r="T538" s="8"/>
      <c r="U538" s="8">
        <f>IFERROR(__xludf.DUMMYFUNCTION("""COMPUTED_VALUE"""),510.0)</f>
        <v>510</v>
      </c>
      <c r="V538" s="8"/>
      <c r="W538" s="8"/>
      <c r="X538" s="8"/>
      <c r="Y538" s="8"/>
      <c r="AA538" s="8" t="s">
        <v>7131</v>
      </c>
      <c r="AB538" s="8" t="s">
        <v>7132</v>
      </c>
      <c r="AC538" s="8" t="s">
        <v>2077</v>
      </c>
      <c r="AG538" s="155" t="s">
        <v>149</v>
      </c>
      <c r="AH538" s="155" t="s">
        <v>149</v>
      </c>
      <c r="AI538" s="155" t="s">
        <v>149</v>
      </c>
      <c r="AJ538" s="8" t="s">
        <v>2077</v>
      </c>
      <c r="AL538" s="155" t="s">
        <v>149</v>
      </c>
      <c r="AM538" s="155" t="s">
        <v>149</v>
      </c>
      <c r="AN538" s="155" t="s">
        <v>149</v>
      </c>
      <c r="AO538" s="8"/>
      <c r="AP538" s="8"/>
      <c r="AR538" s="8" t="s">
        <v>6091</v>
      </c>
      <c r="AS538" s="8" t="s">
        <v>2079</v>
      </c>
      <c r="AT538" s="155" t="s">
        <v>149</v>
      </c>
      <c r="AU538" s="155" t="s">
        <v>149</v>
      </c>
    </row>
    <row r="539">
      <c r="A539" s="186">
        <v>269.0</v>
      </c>
      <c r="B539" s="152">
        <v>2025.0</v>
      </c>
      <c r="C539" s="153" t="str">
        <f t="shared" ref="C539:C540" si="59">CONCATENATE(D539, "-", M539, "-", A539)
</f>
        <v>2023-PH071242000-269</v>
      </c>
      <c r="D539" s="152">
        <f t="shared" ref="D539:D540" si="60">IF(OR(F538="Published", F538="Unpublished"), 2023, IF(F538="New", 2025, ""))
</f>
        <v>2023</v>
      </c>
      <c r="E539" s="151">
        <v>269.0</v>
      </c>
      <c r="F539" s="156" t="s">
        <v>140</v>
      </c>
      <c r="G539" s="156" t="s">
        <v>141</v>
      </c>
      <c r="H539" s="153" t="str">
        <f>IFERROR(__xludf.DUMMYFUNCTION("""COMPUTED_VALUE"""),"**Restoration_project** changed from Shangri-La Care for Nature Project to Artificial Reef Development Program, **Restoration_project_short** changed from Unknown to Site in Manga, **Year of establishment** changed from Unknown to 1979, **Project Start** "&amp;"changed from Unknown to 1985, **Project End** changed from Unknown to 1987, **Restoration method** changed from Asexual Reproduction to Artificial Reef, **Technique/Material Type** changed from Coral planting to tires; bamboo, **Restoration objective** ch"&amp;"anged from Tourism; CSR to Unknown, **Funding agency** changed from Mactan Shangri-La Resort to BFAR, **Total units** changed from Unknown to 15 TM; 10 BM, **Implementing institution** changed from Mactan Shangri-La Resort to BFAR, **Partners_public** cha"&amp;"nged from Unknown to Ministry of Human Settlements, **Reference** changed from Blog to Balgos, M.C. (1995). Evaluation of artificial reef development in the Philippines. In Munro, J.L. &amp; Balgos, M. (eds.) Artificial reefs in the Philippines. ICLARM Conf. "&amp;"Proc. 49, pp. 6-22., **Website** changed from https://www.divescotty.com/underwater-blog/blog-february-14-2018.php to https://core.ac.uk/download/pdf/6515223.pdf;, **Contact_name** changed from Unknown to Miriam Balgos")</f>
        <v>**Restoration_project** changed from Shangri-La Care for Nature Project to Artificial Reef Development Program, **Restoration_project_short** changed from Unknown to Site in Manga, **Year of establishment** changed from Unknown to 1979, **Project Start** changed from Unknown to 1985, **Project End** changed from Unknown to 1987, **Restoration method** changed from Asexual Reproduction to Artificial Reef, **Technique/Material Type** changed from Coral planting to tires; bamboo, **Restoration objective** changed from Tourism; CSR to Unknown, **Funding agency** changed from Mactan Shangri-La Resort to BFAR, **Total units** changed from Unknown to 15 TM; 10 BM, **Implementing institution** changed from Mactan Shangri-La Resort to BFAR, **Partners_public** changed from Unknown to Ministry of Human Settlements, **Reference** changed from Blog to Balgos, M.C. (1995). Evaluation of artificial reef development in the Philippines. In Munro, J.L. &amp; Balgos, M. (eds.) Artificial reefs in the Philippines. ICLARM Conf. Proc. 49, pp. 6-22., **Website** changed from https://www.divescotty.com/underwater-blog/blog-february-14-2018.php to https://core.ac.uk/download/pdf/6515223.pdf;, **Contact_name** changed from Unknown to Miriam Balgos</v>
      </c>
      <c r="I539" s="153" t="s">
        <v>7133</v>
      </c>
      <c r="J539" s="153" t="s">
        <v>193</v>
      </c>
      <c r="K539" s="153" t="s">
        <v>563</v>
      </c>
      <c r="L539" s="158" t="s">
        <v>7094</v>
      </c>
      <c r="M539" s="181" t="s">
        <v>2876</v>
      </c>
      <c r="N539" s="153" t="s">
        <v>151</v>
      </c>
      <c r="O539" s="153" t="s">
        <v>384</v>
      </c>
      <c r="P539" s="153" t="s">
        <v>2877</v>
      </c>
      <c r="Q539" s="169">
        <v>1979.0</v>
      </c>
      <c r="R539" s="175" t="s">
        <v>6052</v>
      </c>
      <c r="S539" s="175" t="s">
        <v>6053</v>
      </c>
      <c r="T539" s="161" t="s">
        <v>150</v>
      </c>
      <c r="U539" s="153">
        <f>IFERROR(__xludf.DUMMYFUNCTION("""COMPUTED_VALUE"""),511.0)</f>
        <v>511</v>
      </c>
      <c r="V539" s="162" t="s">
        <v>3311</v>
      </c>
      <c r="W539" s="179" t="s">
        <v>6081</v>
      </c>
      <c r="X539" s="28" t="s">
        <v>6082</v>
      </c>
      <c r="Y539" s="32" t="s">
        <v>468</v>
      </c>
      <c r="Z539" s="158" t="s">
        <v>469</v>
      </c>
      <c r="AA539" s="153" t="s">
        <v>469</v>
      </c>
      <c r="AB539" s="158" t="s">
        <v>149</v>
      </c>
      <c r="AC539" s="153" t="s">
        <v>390</v>
      </c>
      <c r="AD539" s="158" t="s">
        <v>160</v>
      </c>
      <c r="AE539" s="158" t="s">
        <v>6035</v>
      </c>
      <c r="AF539" s="158" t="s">
        <v>159</v>
      </c>
      <c r="AG539" s="164" t="s">
        <v>149</v>
      </c>
      <c r="AH539" s="158" t="s">
        <v>149</v>
      </c>
      <c r="AI539" s="153" t="s">
        <v>2878</v>
      </c>
      <c r="AJ539" s="153" t="s">
        <v>390</v>
      </c>
      <c r="AK539" s="153" t="s">
        <v>6035</v>
      </c>
      <c r="AL539" s="153" t="s">
        <v>6055</v>
      </c>
      <c r="AM539" s="166" t="s">
        <v>149</v>
      </c>
      <c r="AN539" s="166" t="s">
        <v>149</v>
      </c>
      <c r="AO539" s="156">
        <v>1.0</v>
      </c>
      <c r="AP539" s="156" t="s">
        <v>6037</v>
      </c>
      <c r="AQ539" s="158" t="s">
        <v>395</v>
      </c>
      <c r="AR539" s="153" t="s">
        <v>6060</v>
      </c>
      <c r="AS539" s="158" t="s">
        <v>6711</v>
      </c>
      <c r="AT539" s="153" t="s">
        <v>398</v>
      </c>
      <c r="AU539" s="166" t="s">
        <v>149</v>
      </c>
    </row>
    <row r="540">
      <c r="A540" s="186">
        <v>270.0</v>
      </c>
      <c r="B540" s="152">
        <v>2025.0</v>
      </c>
      <c r="C540" s="153" t="str">
        <f t="shared" si="59"/>
        <v>2023-PH071243000-270</v>
      </c>
      <c r="D540" s="152">
        <f t="shared" si="60"/>
        <v>2023</v>
      </c>
      <c r="E540" s="151">
        <v>270.0</v>
      </c>
      <c r="F540" s="156" t="s">
        <v>191</v>
      </c>
      <c r="G540" s="156" t="s">
        <v>191</v>
      </c>
      <c r="H540" s="153" t="str">
        <f>IFERROR(__xludf.DUMMYFUNCTION("""COMPUTED_VALUE"""),"**Restoration_project** changed from Artificial Reef Development Program to SCREMP, **Restoration_project_short** changed from Site in Manga to Part of 300 artificial coral houses distributed in Bohol and Siquijor under SCREMP, **Year of establishment** c"&amp;"hanged from 1979 to Unknown, **Project Start** changed from 1985 to 2012, **Project End** changed from 1987 to Unknown, **Technique/Material Type** changed from tires; bamboo to Unknown, **Restoration objective** changed from Unknown to Reef recovery, **F"&amp;"unding agency** changed from BFAR to DENR, **Total units** changed from 15 TM; 10 BM to Unknown, **Implementing institution** changed from BFAR to DENR 7 PAWCZMS, **Partners_public** changed from Ministry of Human Settlements to Unknown, **Reference** cha"&amp;"nged from Balgos, M.C. (1995). Evaluation of artificial reef development in the Philippines. In Munro, J.L. &amp; Balgos, M. (eds.) Artificial reefs in the Philippines. ICLARM Conf. Proc. 49, pp. 6-22. to JKV (2014, December 30). DENR 7 plants 1T artificial r"&amp;"eefs. SunStar. https://www.sunstar.com.ph/article/385473/denr-7-plants-1t-artificial-reefs-, **Website** changed from https://core.ac.uk/download/pdf/6515223.pdf; to https://www.sunstar.com.ph/article/385473/denr-7-plants-1t-artificial-reefs-, **Contact_n"&amp;"ame** changed from Miriam Balgos to Unknown")</f>
        <v>**Restoration_project** changed from Artificial Reef Development Program to SCREMP, **Restoration_project_short** changed from Site in Manga to Part of 300 artificial coral houses distributed in Bohol and Siquijor under SCREMP, **Year of establishment** changed from 1979 to Unknown, **Project Start** changed from 1985 to 2012, **Project End** changed from 1987 to Unknown, **Technique/Material Type** changed from tires; bamboo to Unknown, **Restoration objective** changed from Unknown to Reef recovery, **Funding agency** changed from BFAR to DENR, **Total units** changed from 15 TM; 10 BM to Unknown, **Implementing institution** changed from BFAR to DENR 7 PAWCZMS, **Partners_public** changed from Ministry of Human Settlements to Unknown, **Reference** changed from Balgos, M.C. (1995). Evaluation of artificial reef development in the Philippines. In Munro, J.L. &amp; Balgos, M. (eds.) Artificial reefs in the Philippines. ICLARM Conf. Proc. 49, pp. 6-22. to JKV (2014, December 30). DENR 7 plants 1T artificial reefs. SunStar. https://www.sunstar.com.ph/article/385473/denr-7-plants-1t-artificial-reefs-, **Website** changed from https://core.ac.uk/download/pdf/6515223.pdf; to https://www.sunstar.com.ph/article/385473/denr-7-plants-1t-artificial-reefs-, **Contact_name** changed from Miriam Balgos to Unknown</v>
      </c>
      <c r="I540" s="153" t="s">
        <v>7134</v>
      </c>
      <c r="J540" s="153" t="s">
        <v>193</v>
      </c>
      <c r="K540" s="153" t="s">
        <v>563</v>
      </c>
      <c r="L540" s="153" t="s">
        <v>2172</v>
      </c>
      <c r="M540" s="181" t="s">
        <v>2173</v>
      </c>
      <c r="N540" s="153" t="s">
        <v>151</v>
      </c>
      <c r="O540" s="153" t="s">
        <v>6587</v>
      </c>
      <c r="P540" s="153" t="s">
        <v>7100</v>
      </c>
      <c r="Q540" s="197" t="s">
        <v>149</v>
      </c>
      <c r="R540" s="175" t="s">
        <v>6151</v>
      </c>
      <c r="S540" s="164" t="s">
        <v>149</v>
      </c>
      <c r="T540" s="161" t="s">
        <v>150</v>
      </c>
      <c r="U540" s="153">
        <f>IFERROR(__xludf.DUMMYFUNCTION("""COMPUTED_VALUE"""),512.0)</f>
        <v>512</v>
      </c>
      <c r="V540" s="162" t="s">
        <v>3311</v>
      </c>
      <c r="W540" s="187" t="s">
        <v>149</v>
      </c>
      <c r="X540" s="184"/>
      <c r="Y540" s="184" t="s">
        <v>149</v>
      </c>
      <c r="Z540" s="158" t="s">
        <v>149</v>
      </c>
      <c r="AA540" s="158" t="s">
        <v>149</v>
      </c>
      <c r="AB540" s="153" t="s">
        <v>7101</v>
      </c>
      <c r="AC540" s="153" t="s">
        <v>341</v>
      </c>
      <c r="AD540" s="158" t="s">
        <v>160</v>
      </c>
      <c r="AE540" s="158" t="s">
        <v>6035</v>
      </c>
      <c r="AF540" s="158" t="s">
        <v>149</v>
      </c>
      <c r="AG540" s="164" t="s">
        <v>149</v>
      </c>
      <c r="AH540" s="158" t="s">
        <v>149</v>
      </c>
      <c r="AI540" s="158" t="s">
        <v>149</v>
      </c>
      <c r="AJ540" s="153" t="s">
        <v>2160</v>
      </c>
      <c r="AK540" s="153" t="s">
        <v>6035</v>
      </c>
      <c r="AL540" s="156" t="s">
        <v>149</v>
      </c>
      <c r="AM540" s="156" t="s">
        <v>149</v>
      </c>
      <c r="AN540" s="156" t="s">
        <v>149</v>
      </c>
      <c r="AO540" s="156">
        <v>1.0</v>
      </c>
      <c r="AP540" s="156" t="s">
        <v>6037</v>
      </c>
      <c r="AQ540" s="158" t="s">
        <v>166</v>
      </c>
      <c r="AR540" s="153" t="s">
        <v>2161</v>
      </c>
      <c r="AS540" s="172" t="s">
        <v>2162</v>
      </c>
      <c r="AT540" s="156" t="s">
        <v>149</v>
      </c>
      <c r="AU540" s="156" t="s">
        <v>149</v>
      </c>
    </row>
    <row r="541">
      <c r="A541" s="186">
        <v>270.0</v>
      </c>
      <c r="B541" s="152">
        <v>2023.0</v>
      </c>
      <c r="D541" s="152"/>
      <c r="E541" s="151">
        <v>270.0</v>
      </c>
      <c r="F541" s="129" t="s">
        <v>140</v>
      </c>
      <c r="G541" s="3" t="s">
        <v>6029</v>
      </c>
      <c r="H541" s="8" t="str">
        <f>IFERROR(__xludf.DUMMYFUNCTION("""COMPUTED_VALUE"""),"")</f>
        <v/>
      </c>
      <c r="I541" s="8" t="s">
        <v>7135</v>
      </c>
      <c r="J541" s="8" t="s">
        <v>193</v>
      </c>
      <c r="K541" s="8" t="s">
        <v>194</v>
      </c>
      <c r="L541" s="8" t="s">
        <v>7114</v>
      </c>
      <c r="M541" s="8" t="s">
        <v>217</v>
      </c>
      <c r="N541" s="8" t="s">
        <v>6062</v>
      </c>
      <c r="O541" s="155" t="s">
        <v>149</v>
      </c>
      <c r="P541" s="155" t="s">
        <v>149</v>
      </c>
      <c r="Q541" s="142" t="s">
        <v>6114</v>
      </c>
      <c r="R541" s="155" t="s">
        <v>149</v>
      </c>
      <c r="S541" s="155" t="s">
        <v>149</v>
      </c>
      <c r="T541" s="8"/>
      <c r="U541" s="8">
        <f>IFERROR(__xludf.DUMMYFUNCTION("""COMPUTED_VALUE"""),513.0)</f>
        <v>513</v>
      </c>
      <c r="V541" s="8"/>
      <c r="W541" s="8"/>
      <c r="X541" s="8"/>
      <c r="Y541" s="8"/>
      <c r="AA541" s="8" t="s">
        <v>320</v>
      </c>
      <c r="AB541" s="155" t="s">
        <v>149</v>
      </c>
      <c r="AC541" s="8" t="s">
        <v>872</v>
      </c>
      <c r="AG541" s="155" t="s">
        <v>149</v>
      </c>
      <c r="AH541" s="155" t="s">
        <v>149</v>
      </c>
      <c r="AI541" s="155" t="s">
        <v>149</v>
      </c>
      <c r="AJ541" s="8" t="s">
        <v>872</v>
      </c>
      <c r="AL541" s="155" t="s">
        <v>149</v>
      </c>
      <c r="AM541" s="155" t="s">
        <v>149</v>
      </c>
      <c r="AN541" s="155" t="s">
        <v>149</v>
      </c>
      <c r="AO541" s="8"/>
      <c r="AP541" s="8"/>
      <c r="AR541" s="8" t="s">
        <v>6027</v>
      </c>
      <c r="AS541" s="8" t="s">
        <v>875</v>
      </c>
      <c r="AT541" s="155" t="s">
        <v>149</v>
      </c>
      <c r="AU541" s="155" t="s">
        <v>149</v>
      </c>
    </row>
    <row r="542">
      <c r="A542" s="186">
        <v>271.0</v>
      </c>
      <c r="B542" s="152">
        <v>2025.0</v>
      </c>
      <c r="C542" s="153" t="str">
        <f>CONCATENATE(D542, "-", M542, "-", A542)
</f>
        <v>2023-PH072202000-271</v>
      </c>
      <c r="D542" s="152">
        <f>IF(OR(F541="Published", F541="Unpublished"), 2023, IF(F541="New", 2025, ""))
</f>
        <v>2023</v>
      </c>
      <c r="E542" s="151">
        <v>271.0</v>
      </c>
      <c r="F542" s="129" t="s">
        <v>140</v>
      </c>
      <c r="G542" s="156" t="s">
        <v>141</v>
      </c>
      <c r="H542" s="153" t="str">
        <f>IFERROR(__xludf.DUMMYFUNCTION("""COMPUTED_VALUE"""),"**Restoration_project** changed from Unknown to Coral Reef Habitat and Productivity Enhancement through Coral Transplantation and Giant Clam Restocking, **Year of establishment** changed from 2010 to 2001, **Project Start** changed from Unknown to 2001, *"&amp;"*Project End** changed from Unknown to 2005, **Technique/Material Type** changed from CNU to Direct transplantation; , **Restoration objective** changed from Unknown to Improve biodiversity and productivity of stressed coral reef habitats in 10 selected d"&amp;"emonstration sites, **Funding agency** changed from Conservation of Ocean Resources and Aquatic Life (C.O.R.A.L.) to Pew Marine Conservation Fellowship, **Implementing institution** changed from Conservation of Ocean Resources and Aquatic Life (C.O.R.A.L."&amp;") to UP MSI, **Reference** changed from Website to Gomez, E., Cabaitan, P., &amp; Vicentuan, K. (2006). Coral culture and transplantation and restocking of giant clams in the Philippines. In J.H. Primavera, E.T. Quinitio, &amp; M. R. R. Eguia (Eds.). Proceedings "&amp;"of the Regional Technical Consultation on Stock Enhancement for Threatened Species of International Concern, Iloilo City, Philippines, 13-15 July 2005 (pp. 39-48). Tigbaua, Iloilo, Philippines: Aquaculture Department, Southeast Asian Fisheries Development"&amp;" Center. Retrieved from https://aquadocs.org/bitstream/handle/1834/40478/GomezED2006.pdf?sequence=1&amp;isAllowed=y, **Website** changed from http://www.coralmovement.org/ to https://aquadocs.org/bitstream/handle/1834/40478/GomezED2006.pdf?sequence=1&amp;isAllowe"&amp;"d=y, **Contact_name** changed from Unknown to Dr. Patrick Cabaitan")</f>
        <v>**Restoration_project** changed from Unknown to Coral Reef Habitat and Productivity Enhancement through Coral Transplantation and Giant Clam Restocking, **Year of establishment** changed from 2010 to 2001, **Project Start** changed from Unknown to 2001, **Project End** changed from Unknown to 2005, **Technique/Material Type** changed from CNU to Direct transplantation; , **Restoration objective** changed from Unknown to Improve biodiversity and productivity of stressed coral reef habitats in 10 selected demonstration sites, **Funding agency** changed from Conservation of Ocean Resources and Aquatic Life (C.O.R.A.L.) to Pew Marine Conservation Fellowship, **Implementing institution** changed from Conservation of Ocean Resources and Aquatic Life (C.O.R.A.L.) to UP MSI, **Reference** changed from Website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http://www.coralmovement.org/ to https://aquadocs.org/bitstream/handle/1834/40478/GomezED2006.pdf?sequence=1&amp;isAllowed=y, **Contact_name** changed from Unknown to Dr. Patrick Cabaitan</v>
      </c>
      <c r="I542" s="153" t="s">
        <v>7136</v>
      </c>
      <c r="J542" s="153" t="s">
        <v>193</v>
      </c>
      <c r="K542" s="153" t="s">
        <v>194</v>
      </c>
      <c r="L542" s="153" t="s">
        <v>965</v>
      </c>
      <c r="M542" s="181" t="s">
        <v>966</v>
      </c>
      <c r="N542" s="153" t="s">
        <v>6062</v>
      </c>
      <c r="O542" s="153" t="s">
        <v>934</v>
      </c>
      <c r="P542" s="143" t="s">
        <v>149</v>
      </c>
      <c r="Q542" s="169">
        <v>2001.0</v>
      </c>
      <c r="R542" s="175" t="s">
        <v>6229</v>
      </c>
      <c r="S542" s="175" t="s">
        <v>6230</v>
      </c>
      <c r="T542" s="156" t="s">
        <v>177</v>
      </c>
      <c r="U542" s="153">
        <f>IFERROR(__xludf.DUMMYFUNCTION("""COMPUTED_VALUE"""),514.0)</f>
        <v>514</v>
      </c>
      <c r="V542" s="191" t="s">
        <v>3245</v>
      </c>
      <c r="W542" s="179" t="s">
        <v>149</v>
      </c>
      <c r="X542" s="180"/>
      <c r="Y542" s="180" t="s">
        <v>154</v>
      </c>
      <c r="Z542" s="158" t="s">
        <v>179</v>
      </c>
      <c r="AA542" s="153" t="s">
        <v>6276</v>
      </c>
      <c r="AB542" s="153" t="s">
        <v>939</v>
      </c>
      <c r="AC542" s="153" t="s">
        <v>940</v>
      </c>
      <c r="AD542" s="158" t="s">
        <v>6154</v>
      </c>
      <c r="AE542" s="158" t="s">
        <v>206</v>
      </c>
      <c r="AF542" s="158" t="s">
        <v>204</v>
      </c>
      <c r="AG542" s="164" t="s">
        <v>149</v>
      </c>
      <c r="AH542" s="158" t="s">
        <v>149</v>
      </c>
      <c r="AI542" s="158" t="s">
        <v>149</v>
      </c>
      <c r="AJ542" s="153" t="s">
        <v>233</v>
      </c>
      <c r="AK542" s="158" t="s">
        <v>6068</v>
      </c>
      <c r="AL542" s="155" t="s">
        <v>149</v>
      </c>
      <c r="AM542" s="155" t="s">
        <v>149</v>
      </c>
      <c r="AN542" s="155" t="s">
        <v>149</v>
      </c>
      <c r="AO542" s="156">
        <v>1.0</v>
      </c>
      <c r="AP542" s="156" t="s">
        <v>6037</v>
      </c>
      <c r="AQ542" s="158" t="s">
        <v>6214</v>
      </c>
      <c r="AR542" s="153" t="s">
        <v>941</v>
      </c>
      <c r="AS542" s="153" t="s">
        <v>942</v>
      </c>
      <c r="AT542" s="153" t="s">
        <v>943</v>
      </c>
      <c r="AU542" s="155" t="s">
        <v>149</v>
      </c>
    </row>
    <row r="543">
      <c r="A543" s="186">
        <v>271.0</v>
      </c>
      <c r="B543" s="152">
        <v>2023.0</v>
      </c>
      <c r="D543" s="152"/>
      <c r="E543" s="151">
        <v>271.0</v>
      </c>
      <c r="F543" s="129" t="s">
        <v>140</v>
      </c>
      <c r="G543" s="3" t="s">
        <v>6029</v>
      </c>
      <c r="H543" s="8" t="str">
        <f>IFERROR(__xludf.DUMMYFUNCTION("""COMPUTED_VALUE"""),"")</f>
        <v/>
      </c>
      <c r="I543" s="8" t="s">
        <v>7137</v>
      </c>
      <c r="J543" s="8" t="s">
        <v>193</v>
      </c>
      <c r="K543" s="8" t="s">
        <v>194</v>
      </c>
      <c r="L543" s="8" t="s">
        <v>7114</v>
      </c>
      <c r="M543" s="8" t="s">
        <v>217</v>
      </c>
      <c r="N543" s="8" t="s">
        <v>6221</v>
      </c>
      <c r="O543" s="8" t="s">
        <v>3412</v>
      </c>
      <c r="P543" s="155" t="s">
        <v>149</v>
      </c>
      <c r="Q543" s="142" t="s">
        <v>6063</v>
      </c>
      <c r="R543" s="142" t="s">
        <v>6063</v>
      </c>
      <c r="S543" s="142" t="s">
        <v>6064</v>
      </c>
      <c r="T543" s="8"/>
      <c r="U543" s="8">
        <f>IFERROR(__xludf.DUMMYFUNCTION("""COMPUTED_VALUE"""),515.0)</f>
        <v>515</v>
      </c>
      <c r="V543" s="8"/>
      <c r="W543" s="155"/>
      <c r="X543" s="8"/>
      <c r="Y543" s="8"/>
      <c r="AA543" s="155" t="s">
        <v>149</v>
      </c>
      <c r="AB543" s="155" t="s">
        <v>149</v>
      </c>
      <c r="AC543" s="8" t="s">
        <v>321</v>
      </c>
      <c r="AG543" s="155" t="s">
        <v>149</v>
      </c>
      <c r="AH543" s="155" t="s">
        <v>149</v>
      </c>
      <c r="AI543" s="155" t="s">
        <v>149</v>
      </c>
      <c r="AJ543" s="8" t="s">
        <v>885</v>
      </c>
      <c r="AL543" s="8" t="s">
        <v>1858</v>
      </c>
      <c r="AM543" s="155" t="s">
        <v>149</v>
      </c>
      <c r="AN543" s="155" t="s">
        <v>149</v>
      </c>
      <c r="AO543" s="8"/>
      <c r="AP543" s="8"/>
      <c r="AR543" s="8" t="s">
        <v>6257</v>
      </c>
      <c r="AS543" s="155" t="s">
        <v>149</v>
      </c>
      <c r="AT543" s="155" t="s">
        <v>149</v>
      </c>
      <c r="AU543" s="155" t="s">
        <v>149</v>
      </c>
    </row>
    <row r="544">
      <c r="A544" s="186">
        <v>272.0</v>
      </c>
      <c r="B544" s="152">
        <v>2025.0</v>
      </c>
      <c r="C544" s="153" t="str">
        <f>CONCATENATE(D544, "-", M544, "-", A544)
</f>
        <v>2023-PH072203000-272</v>
      </c>
      <c r="D544" s="152">
        <f>IF(OR(F543="Published", F543="Unpublished"), 2023, IF(F543="New", 2025, ""))
</f>
        <v>2023</v>
      </c>
      <c r="E544" s="151">
        <v>272.0</v>
      </c>
      <c r="F544" s="156" t="s">
        <v>191</v>
      </c>
      <c r="G544" s="156" t="s">
        <v>191</v>
      </c>
      <c r="H544" s="153" t="str">
        <f>IFERROR(__xludf.DUMMYFUNCTION("""COMPUTED_VALUE"""),"**Restoration_project** changed from Project 2B. Sexual Reproduction of Selected Reef Coral Species Across the Philippine Archipelago (Cebu) to Guardians of Alegria, **Restoration_project_short** changed from Unknown to Site in Alegria Dive Resort, **Year"&amp;" of establishment** changed from 2014 to Unknown, **Project Start** changed from 2014 to Unknown, **Project End** changed from 2016 to Unknown, **Restoration method** changed from Sexual Reproduction to Artificial Reef, **Technique/Material Type** changed"&amp;" from Unknown to sculpture; statues, **Funding agency** changed from DOST-PCAARRD to Unknown, **Total units** changed from Unknown to 7 underwater sculptures, **Implementing institution** changed from University of San Carlos to Unknown, **Partners_public"&amp;"** changed from University of the Philippines Marine Science Institute; Mindanao State University - Tawi-Tawi to Unknown, **Reference** changed from Technical Report to Vivaldo, E. (2020, November 10). Unravelling the mystery of the underwater statues of "&amp;"Alegria. Medium. https://elenavivaldo.medium.com/unravelling-the-mystery-of-the-underwater-statues-of-alegria-1e4b79be8bb2, **Website** changed from Unknown to https://elenavivaldo.medium.com/unravelling-the-mystery-of-the-underwater-statues-of-alegria-1e"&amp;"4b79be8bb2; https://www.youtube.com/watch?v=TSbFpQUdSAE")</f>
        <v>**Restoration_project** changed from Project 2B. Sexual Reproduction of Selected Reef Coral Species Across the Philippine Archipelago (Cebu) to Guardians of Alegria, **Restoration_project_short** changed from Unknown to Site in Alegria Dive Resort, **Year of establishment** changed from 2014 to Unknown, **Project Start** changed from 2014 to Unknown, **Project End** changed from 2016 to Unknown, **Restoration method** changed from Sexual Reproduction to Artificial Reef, **Technique/Material Type** changed from Unknown to sculpture; statues, **Funding agency** changed from DOST-PCAARRD to Unknown, **Total units** changed from Unknown to 7 underwater sculptures, **Implementing institution** changed from University of San Carlos to Unknown, **Partners_public** changed from University of the Philippines Marine Science Institute; Mindanao State University - Tawi-Tawi to Unknown, **Reference** changed from Technical Report to Vivaldo, E. (2020, November 10). Unravelling the mystery of the underwater statues of Alegria. Medium. https://elenavivaldo.medium.com/unravelling-the-mystery-of-the-underwater-statues-of-alegria-1e4b79be8bb2, **Website** changed from Unknown to https://elenavivaldo.medium.com/unravelling-the-mystery-of-the-underwater-statues-of-alegria-1e4b79be8bb2; https://www.youtube.com/watch?v=TSbFpQUdSAE</v>
      </c>
      <c r="I544" s="153" t="s">
        <v>7138</v>
      </c>
      <c r="J544" s="153" t="s">
        <v>193</v>
      </c>
      <c r="K544" s="153" t="s">
        <v>194</v>
      </c>
      <c r="L544" s="153" t="s">
        <v>1530</v>
      </c>
      <c r="M544" s="181" t="s">
        <v>1531</v>
      </c>
      <c r="N544" s="153" t="s">
        <v>151</v>
      </c>
      <c r="O544" s="153" t="s">
        <v>1532</v>
      </c>
      <c r="P544" s="153" t="s">
        <v>1533</v>
      </c>
      <c r="Q544" s="197" t="s">
        <v>149</v>
      </c>
      <c r="R544" s="160" t="s">
        <v>149</v>
      </c>
      <c r="S544" s="160" t="s">
        <v>149</v>
      </c>
      <c r="T544" s="161" t="s">
        <v>150</v>
      </c>
      <c r="U544" s="153">
        <f>IFERROR(__xludf.DUMMYFUNCTION("""COMPUTED_VALUE"""),516.0)</f>
        <v>516</v>
      </c>
      <c r="V544" s="162" t="s">
        <v>3311</v>
      </c>
      <c r="W544" s="184" t="s">
        <v>6032</v>
      </c>
      <c r="X544" s="28" t="s">
        <v>6173</v>
      </c>
      <c r="Y544" s="32" t="s">
        <v>6474</v>
      </c>
      <c r="Z544" s="158" t="s">
        <v>152</v>
      </c>
      <c r="AA544" s="153" t="s">
        <v>1535</v>
      </c>
      <c r="AB544" s="158" t="s">
        <v>149</v>
      </c>
      <c r="AC544" s="158" t="s">
        <v>149</v>
      </c>
      <c r="AD544" s="158" t="s">
        <v>149</v>
      </c>
      <c r="AE544" s="158" t="s">
        <v>149</v>
      </c>
      <c r="AF544" s="158" t="s">
        <v>149</v>
      </c>
      <c r="AG544" s="164" t="s">
        <v>149</v>
      </c>
      <c r="AH544" s="158" t="s">
        <v>149</v>
      </c>
      <c r="AI544" s="153" t="s">
        <v>7139</v>
      </c>
      <c r="AJ544" s="158" t="s">
        <v>149</v>
      </c>
      <c r="AK544" s="158" t="s">
        <v>149</v>
      </c>
      <c r="AL544" s="156" t="s">
        <v>149</v>
      </c>
      <c r="AM544" s="156" t="s">
        <v>149</v>
      </c>
      <c r="AN544" s="156" t="s">
        <v>149</v>
      </c>
      <c r="AO544" s="156">
        <v>1.0</v>
      </c>
      <c r="AP544" s="156" t="s">
        <v>6037</v>
      </c>
      <c r="AQ544" s="158" t="s">
        <v>6091</v>
      </c>
      <c r="AR544" s="153" t="s">
        <v>1537</v>
      </c>
      <c r="AS544" s="165" t="s">
        <v>1538</v>
      </c>
      <c r="AT544" s="156" t="s">
        <v>149</v>
      </c>
      <c r="AU544" s="156" t="s">
        <v>149</v>
      </c>
    </row>
    <row r="545">
      <c r="A545" s="186">
        <v>272.0</v>
      </c>
      <c r="B545" s="152">
        <v>2023.0</v>
      </c>
      <c r="D545" s="152"/>
      <c r="E545" s="151">
        <v>272.0</v>
      </c>
      <c r="F545" s="129" t="s">
        <v>140</v>
      </c>
      <c r="G545" s="3" t="s">
        <v>6029</v>
      </c>
      <c r="H545" s="8" t="str">
        <f>IFERROR(__xludf.DUMMYFUNCTION("""COMPUTED_VALUE"""),"")</f>
        <v/>
      </c>
      <c r="I545" s="8" t="s">
        <v>7140</v>
      </c>
      <c r="J545" s="8" t="s">
        <v>193</v>
      </c>
      <c r="K545" s="8" t="s">
        <v>194</v>
      </c>
      <c r="L545" s="8" t="s">
        <v>7114</v>
      </c>
      <c r="M545" s="8" t="s">
        <v>217</v>
      </c>
      <c r="N545" s="8" t="s">
        <v>6062</v>
      </c>
      <c r="O545" s="8" t="s">
        <v>934</v>
      </c>
      <c r="P545" s="155" t="s">
        <v>149</v>
      </c>
      <c r="Q545" s="142" t="s">
        <v>6229</v>
      </c>
      <c r="R545" s="142" t="s">
        <v>6229</v>
      </c>
      <c r="S545" s="142" t="s">
        <v>6230</v>
      </c>
      <c r="T545" s="8"/>
      <c r="U545" s="8">
        <f>IFERROR(__xludf.DUMMYFUNCTION("""COMPUTED_VALUE"""),517.0)</f>
        <v>517</v>
      </c>
      <c r="V545" s="8"/>
      <c r="W545" s="3"/>
      <c r="X545" s="8"/>
      <c r="Y545" s="8"/>
      <c r="AA545" s="3" t="s">
        <v>3245</v>
      </c>
      <c r="AB545" s="8" t="s">
        <v>939</v>
      </c>
      <c r="AC545" s="8" t="s">
        <v>940</v>
      </c>
      <c r="AG545" s="155" t="s">
        <v>149</v>
      </c>
      <c r="AH545" s="155" t="s">
        <v>149</v>
      </c>
      <c r="AI545" s="155" t="s">
        <v>149</v>
      </c>
      <c r="AJ545" s="8" t="s">
        <v>233</v>
      </c>
      <c r="AL545" s="155" t="s">
        <v>149</v>
      </c>
      <c r="AM545" s="155" t="s">
        <v>149</v>
      </c>
      <c r="AN545" s="155" t="s">
        <v>149</v>
      </c>
      <c r="AO545" s="8"/>
      <c r="AP545" s="8"/>
      <c r="AR545" s="8" t="s">
        <v>6214</v>
      </c>
      <c r="AS545" s="8" t="s">
        <v>942</v>
      </c>
      <c r="AT545" s="155" t="s">
        <v>149</v>
      </c>
      <c r="AU545" s="155" t="s">
        <v>149</v>
      </c>
    </row>
    <row r="546">
      <c r="A546" s="186">
        <v>273.0</v>
      </c>
      <c r="B546" s="152">
        <v>2025.0</v>
      </c>
      <c r="C546" s="153" t="str">
        <f>CONCATENATE(D546, "-", M546, "-", A546)
</f>
        <v>2023-PH072206000-273</v>
      </c>
      <c r="D546" s="152">
        <f>IF(OR(F545="Published", F545="Unpublished"), 2023, IF(F545="New", 2025, ""))
</f>
        <v>2023</v>
      </c>
      <c r="E546" s="151">
        <v>273.0</v>
      </c>
      <c r="F546" s="156" t="s">
        <v>191</v>
      </c>
      <c r="G546" s="156" t="s">
        <v>191</v>
      </c>
      <c r="H546" s="153" t="str">
        <f>IFERROR(__xludf.DUMMYFUNCTION("""COMPUTED_VALUE"""),"**Restoration_project** changed from Coral Reef Habitat and Productivity Enhancement through Coral Transplantation and Giant Clam Restocking to SCREMP, **Restoration_project_short** changed from Unknown to Part of 345 artificial coral houses distributed i"&amp;"n Cebu Province under SCREMP, **Year of establishment** changed from 2001 to Unknown, **Project Start** changed from 2001 to 2012, **Project End** changed from 2005 to Unknown, **Restoration method** changed from Asexual Reproduction to Artificial Reef, *"&amp;"*Technique/Material Type** changed from Direct transplantation to Unknown, **Restoration objective** changed from Improve biodiversity and productivity of stressed coral reef habitats in 10 selected demonstration sites to Unknown, **Funding agency** chang"&amp;"ed from Pew Marine Conservation Fellowship to DENR, **Implementing institution** changed from UP MSI to DENR 7 PAWCZMS, **Reference** changed from Published article to JKV (2014, December 30). DENR 7 plants 1T artificial reefs. SunStar. https://www.sunsta"&amp;"r.com.ph/article/385473/denr-7-plants-1t-artificial-reefs-, **Website** changed from https://aquadocs.org/bitstream/handle/1834/40478/GomezED2006.pdf?sequence=1&amp;isAllowed=y to https://www.sunstar.com.ph/article/385473/denr-7-plants-1t-artificial-reefs-")</f>
        <v>**Restoration_project** changed from Coral Reef Habitat and Productivity Enhancement through Coral Transplantation and Giant Clam Restocking to SCREMP, **Restoration_project_short** changed from Unknown to Part of 345 artificial coral houses distributed in Cebu Province under SCREMP, **Year of establishment** changed from 2001 to Unknown, **Project Start** changed from 2001 to 2012, **Project End** changed from 2005 to Unknown,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DENR, **Implementing institution** changed from UP MSI to DENR 7 PAWCZMS, **Reference** changed from Published article to JKV (2014, December 30). DENR 7 plants 1T artificial reefs. SunStar. https://www.sunstar.com.ph/article/385473/denr-7-plants-1t-artificial-reefs-, **Website** changed from https://aquadocs.org/bitstream/handle/1834/40478/GomezED2006.pdf?sequence=1&amp;isAllowed=y to https://www.sunstar.com.ph/article/385473/denr-7-plants-1t-artificial-reefs-</v>
      </c>
      <c r="I546" s="153" t="s">
        <v>7141</v>
      </c>
      <c r="J546" s="153" t="s">
        <v>193</v>
      </c>
      <c r="K546" s="153" t="s">
        <v>194</v>
      </c>
      <c r="L546" s="153" t="s">
        <v>2176</v>
      </c>
      <c r="M546" s="181" t="s">
        <v>2177</v>
      </c>
      <c r="N546" s="153" t="s">
        <v>151</v>
      </c>
      <c r="O546" s="153" t="s">
        <v>6587</v>
      </c>
      <c r="P546" s="153" t="s">
        <v>7142</v>
      </c>
      <c r="Q546" s="197" t="s">
        <v>149</v>
      </c>
      <c r="R546" s="175" t="s">
        <v>6151</v>
      </c>
      <c r="S546" s="160" t="s">
        <v>149</v>
      </c>
      <c r="T546" s="161" t="s">
        <v>150</v>
      </c>
      <c r="U546" s="153">
        <f>IFERROR(__xludf.DUMMYFUNCTION("""COMPUTED_VALUE"""),518.0)</f>
        <v>518</v>
      </c>
      <c r="V546" s="162" t="s">
        <v>3311</v>
      </c>
      <c r="W546" s="187" t="s">
        <v>149</v>
      </c>
      <c r="X546" s="184"/>
      <c r="Y546" s="184" t="s">
        <v>149</v>
      </c>
      <c r="Z546" s="158" t="s">
        <v>149</v>
      </c>
      <c r="AA546" s="158" t="s">
        <v>149</v>
      </c>
      <c r="AB546" s="158" t="s">
        <v>149</v>
      </c>
      <c r="AC546" s="153" t="s">
        <v>341</v>
      </c>
      <c r="AD546" s="158" t="s">
        <v>160</v>
      </c>
      <c r="AE546" s="158" t="s">
        <v>6035</v>
      </c>
      <c r="AF546" s="158" t="s">
        <v>159</v>
      </c>
      <c r="AG546" s="164" t="s">
        <v>149</v>
      </c>
      <c r="AH546" s="158" t="s">
        <v>149</v>
      </c>
      <c r="AI546" s="158" t="s">
        <v>149</v>
      </c>
      <c r="AJ546" s="153" t="s">
        <v>2160</v>
      </c>
      <c r="AK546" s="153" t="s">
        <v>6035</v>
      </c>
      <c r="AL546" s="156" t="s">
        <v>149</v>
      </c>
      <c r="AM546" s="156" t="s">
        <v>149</v>
      </c>
      <c r="AN546" s="156" t="s">
        <v>149</v>
      </c>
      <c r="AO546" s="156">
        <v>1.0</v>
      </c>
      <c r="AP546" s="156" t="s">
        <v>6037</v>
      </c>
      <c r="AQ546" s="158" t="s">
        <v>166</v>
      </c>
      <c r="AR546" s="153" t="s">
        <v>2161</v>
      </c>
      <c r="AS546" s="172" t="s">
        <v>2162</v>
      </c>
      <c r="AT546" s="156" t="s">
        <v>149</v>
      </c>
      <c r="AU546" s="156" t="s">
        <v>149</v>
      </c>
    </row>
    <row r="547">
      <c r="A547" s="186">
        <v>273.0</v>
      </c>
      <c r="B547" s="152">
        <v>2023.0</v>
      </c>
      <c r="D547" s="152"/>
      <c r="E547" s="151">
        <v>273.0</v>
      </c>
      <c r="F547" s="129" t="s">
        <v>140</v>
      </c>
      <c r="G547" s="3" t="s">
        <v>6029</v>
      </c>
      <c r="H547" s="8" t="str">
        <f>IFERROR(__xludf.DUMMYFUNCTION("""COMPUTED_VALUE"""),"")</f>
        <v/>
      </c>
      <c r="I547" s="8" t="s">
        <v>7143</v>
      </c>
      <c r="J547" s="8" t="s">
        <v>193</v>
      </c>
      <c r="K547" s="8" t="s">
        <v>194</v>
      </c>
      <c r="L547" s="8" t="s">
        <v>568</v>
      </c>
      <c r="M547" s="153" t="s">
        <v>569</v>
      </c>
      <c r="N547" s="8" t="s">
        <v>151</v>
      </c>
      <c r="O547" s="8" t="s">
        <v>384</v>
      </c>
      <c r="P547" s="8" t="s">
        <v>570</v>
      </c>
      <c r="Q547" s="142" t="s">
        <v>6051</v>
      </c>
      <c r="R547" s="142" t="s">
        <v>6052</v>
      </c>
      <c r="S547" s="142" t="s">
        <v>6053</v>
      </c>
      <c r="T547" s="8"/>
      <c r="U547" s="8">
        <f>IFERROR(__xludf.DUMMYFUNCTION("""COMPUTED_VALUE"""),519.0)</f>
        <v>519</v>
      </c>
      <c r="V547" s="8"/>
      <c r="W547" s="8"/>
      <c r="X547" s="8"/>
      <c r="Y547" s="8"/>
      <c r="AA547" s="8" t="s">
        <v>6054</v>
      </c>
      <c r="AB547" s="155" t="s">
        <v>149</v>
      </c>
      <c r="AC547" s="8" t="s">
        <v>390</v>
      </c>
      <c r="AG547" s="155" t="s">
        <v>149</v>
      </c>
      <c r="AH547" s="155" t="s">
        <v>149</v>
      </c>
      <c r="AI547" s="8" t="s">
        <v>571</v>
      </c>
      <c r="AJ547" s="8" t="s">
        <v>390</v>
      </c>
      <c r="AL547" s="8" t="s">
        <v>6055</v>
      </c>
      <c r="AM547" s="155" t="s">
        <v>149</v>
      </c>
      <c r="AN547" s="155" t="s">
        <v>149</v>
      </c>
      <c r="AO547" s="8"/>
      <c r="AP547" s="8"/>
      <c r="AR547" s="8" t="s">
        <v>6057</v>
      </c>
      <c r="AS547" s="8" t="s">
        <v>2873</v>
      </c>
      <c r="AT547" s="8" t="s">
        <v>398</v>
      </c>
      <c r="AU547" s="155" t="s">
        <v>149</v>
      </c>
    </row>
    <row r="548">
      <c r="A548" s="186">
        <v>274.0</v>
      </c>
      <c r="B548" s="152">
        <v>2025.0</v>
      </c>
      <c r="C548" s="153" t="str">
        <f>CONCATENATE(D548, "-", M548, "-", A548)
</f>
        <v>2023-PH072204000-274</v>
      </c>
      <c r="D548" s="152">
        <f>IF(OR(F547="Published", F547="Unpublished"), 2023, IF(F547="New", 2025, ""))
</f>
        <v>2023</v>
      </c>
      <c r="E548" s="151">
        <v>274.0</v>
      </c>
      <c r="F548" s="156" t="s">
        <v>191</v>
      </c>
      <c r="G548" s="156" t="s">
        <v>191</v>
      </c>
      <c r="H548" s="153" t="str">
        <f>IFERROR(__xludf.DUMMYFUNCTION("""COMPUTED_VALUE"""),"**Restoration_project** changed from Artificial Reef Development Program to SCREMP, **Restoration_project_short** changed from Site in Caloja-an to Part of 345 artificial coral houses distributed in Cebu Province under SCREMP, **Year of establishment** ch"&amp;"anged from 1986 to Unknown, **Project Start** changed from 1985 to 2012, **Project End** changed from 1987 to Unknown, **Technique/Material Type** changed from tires to Unknown, **Funding agency** changed from BFAR to DENR, **Total units** changed from 50"&amp;" units to Unknown, **Implementing institution** changed from BFAR to DENR 7 PAWCZMS, **Partners_public** changed from Ministry of Human Settlements to Unknown, **Reference** changed from Conference Proceediing to JKV (2014, December 30). DENR 7 plants 1T "&amp;"artificial reefs. SunStar. https://www.sunstar.com.ph/article/385473/denr-7-plants-1t-artificial-reefs-, **Website** changed from http://pubs.iclarm.net/libinfo/Pdf/Pub%20CP6%2049.pdf to https://www.sunstar.com.ph/article/385473/denr-7-plants-1t-artificia"&amp;"l-reefs-, **Contact_name** changed from Miriam Balgos to Unknown")</f>
        <v>**Restoration_project** changed from Artificial Reef Development Program to SCREMP, **Restoration_project_short** changed from Site in Caloja-an to Part of 345 artificial coral houses distributed in Cebu Province under SCREMP, **Year of establishment** changed from 1986 to Unknown, **Project Start** changed from 1985 to 2012, **Project End** changed from 1987 to Unknown, **Technique/Material Type** changed from tires to Unknown, **Funding agency** changed from BFAR to DENR, **Total units** changed from 50 units to Unknown, **Implementing institution** changed from BFAR to DENR 7 PAWCZMS, **Partners_public** changed from Ministry of Human Settlements to Unknown, **Reference** changed from Conference Proceediing to JKV (2014, December 30). DENR 7 plants 1T artificial reefs. SunStar. https://www.sunstar.com.ph/article/385473/denr-7-plants-1t-artificial-reefs-, **Website** changed from http://pubs.iclarm.net/libinfo/Pdf/Pub%20CP6%2049.pdf to https://www.sunstar.com.ph/article/385473/denr-7-plants-1t-artificial-reefs-, **Contact_name** changed from Miriam Balgos to Unknown</v>
      </c>
      <c r="I548" s="153" t="s">
        <v>7144</v>
      </c>
      <c r="J548" s="153" t="s">
        <v>193</v>
      </c>
      <c r="K548" s="153" t="s">
        <v>194</v>
      </c>
      <c r="L548" s="153" t="s">
        <v>2181</v>
      </c>
      <c r="M548" s="181" t="s">
        <v>2182</v>
      </c>
      <c r="N548" s="153" t="s">
        <v>151</v>
      </c>
      <c r="O548" s="153" t="s">
        <v>6587</v>
      </c>
      <c r="P548" s="153" t="s">
        <v>7142</v>
      </c>
      <c r="Q548" s="197" t="s">
        <v>149</v>
      </c>
      <c r="R548" s="175" t="s">
        <v>6151</v>
      </c>
      <c r="S548" s="160" t="s">
        <v>149</v>
      </c>
      <c r="T548" s="161" t="s">
        <v>150</v>
      </c>
      <c r="U548" s="153">
        <f>IFERROR(__xludf.DUMMYFUNCTION("""COMPUTED_VALUE"""),520.0)</f>
        <v>520</v>
      </c>
      <c r="V548" s="162" t="s">
        <v>3311</v>
      </c>
      <c r="W548" s="187" t="s">
        <v>149</v>
      </c>
      <c r="X548" s="184"/>
      <c r="Y548" s="184" t="s">
        <v>149</v>
      </c>
      <c r="Z548" s="158" t="s">
        <v>149</v>
      </c>
      <c r="AA548" s="158" t="s">
        <v>149</v>
      </c>
      <c r="AB548" s="158" t="s">
        <v>149</v>
      </c>
      <c r="AC548" s="153" t="s">
        <v>341</v>
      </c>
      <c r="AD548" s="158" t="s">
        <v>160</v>
      </c>
      <c r="AE548" s="158" t="s">
        <v>6035</v>
      </c>
      <c r="AF548" s="158" t="s">
        <v>159</v>
      </c>
      <c r="AG548" s="164" t="s">
        <v>149</v>
      </c>
      <c r="AH548" s="158" t="s">
        <v>149</v>
      </c>
      <c r="AI548" s="158" t="s">
        <v>149</v>
      </c>
      <c r="AJ548" s="153" t="s">
        <v>2160</v>
      </c>
      <c r="AK548" s="153" t="s">
        <v>6035</v>
      </c>
      <c r="AL548" s="156" t="s">
        <v>149</v>
      </c>
      <c r="AM548" s="156" t="s">
        <v>149</v>
      </c>
      <c r="AN548" s="156" t="s">
        <v>149</v>
      </c>
      <c r="AO548" s="156">
        <v>1.0</v>
      </c>
      <c r="AP548" s="156" t="s">
        <v>6037</v>
      </c>
      <c r="AQ548" s="158" t="s">
        <v>166</v>
      </c>
      <c r="AR548" s="153" t="s">
        <v>2161</v>
      </c>
      <c r="AS548" s="172" t="s">
        <v>2162</v>
      </c>
      <c r="AT548" s="156" t="s">
        <v>149</v>
      </c>
      <c r="AU548" s="156" t="s">
        <v>149</v>
      </c>
    </row>
    <row r="549">
      <c r="A549" s="186">
        <v>274.0</v>
      </c>
      <c r="B549" s="152">
        <v>2023.0</v>
      </c>
      <c r="D549" s="152"/>
      <c r="E549" s="151">
        <v>274.0</v>
      </c>
      <c r="F549" s="129" t="s">
        <v>140</v>
      </c>
      <c r="G549" s="3" t="s">
        <v>6029</v>
      </c>
      <c r="H549" s="8" t="str">
        <f>IFERROR(__xludf.DUMMYFUNCTION("""COMPUTED_VALUE"""),"")</f>
        <v/>
      </c>
      <c r="I549" s="8" t="s">
        <v>7145</v>
      </c>
      <c r="J549" s="8" t="s">
        <v>193</v>
      </c>
      <c r="K549" s="8" t="s">
        <v>194</v>
      </c>
      <c r="L549" s="8" t="s">
        <v>5384</v>
      </c>
      <c r="M549" s="8" t="s">
        <v>2314</v>
      </c>
      <c r="N549" s="8" t="s">
        <v>151</v>
      </c>
      <c r="O549" s="155" t="s">
        <v>149</v>
      </c>
      <c r="P549" s="155" t="s">
        <v>149</v>
      </c>
      <c r="Q549" s="142" t="s">
        <v>6198</v>
      </c>
      <c r="R549" s="155" t="s">
        <v>149</v>
      </c>
      <c r="S549" s="155" t="s">
        <v>149</v>
      </c>
      <c r="T549" s="8"/>
      <c r="U549" s="8">
        <f>IFERROR(__xludf.DUMMYFUNCTION("""COMPUTED_VALUE"""),521.0)</f>
        <v>521</v>
      </c>
      <c r="V549" s="8"/>
      <c r="W549" s="153"/>
      <c r="X549" s="8"/>
      <c r="Y549" s="8"/>
      <c r="AA549" s="153" t="s">
        <v>6054</v>
      </c>
      <c r="AB549" s="8" t="s">
        <v>6506</v>
      </c>
      <c r="AC549" s="155" t="s">
        <v>149</v>
      </c>
      <c r="AG549" s="155" t="s">
        <v>149</v>
      </c>
      <c r="AH549" s="155" t="s">
        <v>149</v>
      </c>
      <c r="AI549" s="155" t="s">
        <v>149</v>
      </c>
      <c r="AJ549" s="8" t="s">
        <v>2304</v>
      </c>
      <c r="AL549" s="155" t="s">
        <v>149</v>
      </c>
      <c r="AM549" s="8" t="s">
        <v>6507</v>
      </c>
      <c r="AN549" s="155" t="s">
        <v>149</v>
      </c>
      <c r="AO549" s="8"/>
      <c r="AP549" s="8"/>
      <c r="AR549" s="8" t="s">
        <v>395</v>
      </c>
      <c r="AS549" s="8" t="s">
        <v>2873</v>
      </c>
      <c r="AT549" s="8" t="s">
        <v>398</v>
      </c>
      <c r="AU549" s="155" t="s">
        <v>149</v>
      </c>
    </row>
    <row r="550">
      <c r="A550" s="186">
        <v>275.0</v>
      </c>
      <c r="B550" s="152">
        <v>2025.0</v>
      </c>
      <c r="C550" s="153" t="str">
        <f>CONCATENATE(D550, "-", M550, "-", A550)
</f>
        <v>2023-PH072207000-275</v>
      </c>
      <c r="D550" s="152">
        <f>IF(OR(F549="Published", F549="Unpublished"), 2023, IF(F549="New", 2025, ""))
</f>
        <v>2023</v>
      </c>
      <c r="E550" s="151">
        <v>275.0</v>
      </c>
      <c r="F550" s="156" t="s">
        <v>191</v>
      </c>
      <c r="G550" s="156" t="s">
        <v>191</v>
      </c>
      <c r="H550" s="153" t="str">
        <f>IFERROR(__xludf.DUMMYFUNCTION("""COMPUTED_VALUE"""),"**Restoration_project** changed from Unknown to Central Visayas Regional Projects - 1, **Year of establishment** changed from 1990 to 1988, **Project Start** changed from Unknown to 1984, **Project End** changed from Unknown to 1992, **Technique/Material "&amp;"Type** changed from tires to Unknown, **Restoration objective** changed from Fishing to Coastal resource management, **Funding agency** changed from Unknown to World Bank, **Implementing institution** changed from National Power Corporation to Central Vis"&amp;"ayas Regional Projects I - Regional Project Office (RPO), **Partners_public** changed from Unknown to NEDA, **Partners_private** changed from BFAR, DA, MLGU, BLGU to Unknown, **Reference** changed from Conference Proceeding to LMP, FISH Project, WWF-Phili"&amp;"ppines and CI-Philippines (2009). Directory of CRM Learning Destinations in the Philippines, 2nd Edition. Cebu City Philippines. http://oneocean.org/download/db_files/directory_of_crm_destinations2Ed.pdf, **Website** changed from http://pubs.iclarm.net/li"&amp;"binfo/Pdf/Pub%20CP6%2049.pdf to http://oneocean.org/download/db_files/directory_of_crm_destinations2Ed.pdf, **Contact_name** changed from Miriam Balgos to Unknown")</f>
        <v>**Restoration_project** changed from Unknown to Central Visayas Regional Projects - 1, **Year of establishment** changed from 1990 to 1988, **Project Start** changed from Unknown to 1984, **Project End** changed from Unknown to 1992, **Technique/Material Type** changed from tires to Unknown, **Restoration objective** changed from Fishing to Coastal resource management, **Funding agency** changed from Unknown to World Bank, **Implementing institution** changed from National Power Corporation to Central Visayas Regional Projects I - Regional Project Office (RPO), **Partners_public** changed from Unknown to NEDA, **Partners_private** changed from BFAR, DA, MLGU, BLGU to Unknown, **Reference** changed from Conference Proceeding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550" s="153" t="s">
        <v>7146</v>
      </c>
      <c r="J550" s="153" t="s">
        <v>193</v>
      </c>
      <c r="K550" s="153" t="s">
        <v>194</v>
      </c>
      <c r="L550" s="153" t="s">
        <v>814</v>
      </c>
      <c r="M550" s="181" t="s">
        <v>815</v>
      </c>
      <c r="N550" s="153" t="s">
        <v>151</v>
      </c>
      <c r="O550" s="173" t="s">
        <v>816</v>
      </c>
      <c r="P550" s="217" t="s">
        <v>149</v>
      </c>
      <c r="Q550" s="178">
        <v>1988.0</v>
      </c>
      <c r="R550" s="203" t="s">
        <v>6352</v>
      </c>
      <c r="S550" s="203" t="s">
        <v>6896</v>
      </c>
      <c r="T550" s="161" t="s">
        <v>150</v>
      </c>
      <c r="U550" s="153">
        <f>IFERROR(__xludf.DUMMYFUNCTION("""COMPUTED_VALUE"""),522.0)</f>
        <v>522</v>
      </c>
      <c r="V550" s="162" t="s">
        <v>3311</v>
      </c>
      <c r="W550" s="187" t="s">
        <v>149</v>
      </c>
      <c r="X550" s="184"/>
      <c r="Y550" s="184" t="s">
        <v>149</v>
      </c>
      <c r="Z550" s="158" t="s">
        <v>149</v>
      </c>
      <c r="AA550" s="158" t="s">
        <v>149</v>
      </c>
      <c r="AB550" s="173" t="s">
        <v>819</v>
      </c>
      <c r="AC550" s="173" t="s">
        <v>820</v>
      </c>
      <c r="AD550" s="158" t="s">
        <v>6154</v>
      </c>
      <c r="AE550" s="158" t="s">
        <v>206</v>
      </c>
      <c r="AF550" s="158" t="s">
        <v>159</v>
      </c>
      <c r="AG550" s="194" t="s">
        <v>149</v>
      </c>
      <c r="AH550" s="202" t="s">
        <v>149</v>
      </c>
      <c r="AI550" s="202" t="s">
        <v>149</v>
      </c>
      <c r="AJ550" s="153" t="s">
        <v>821</v>
      </c>
      <c r="AK550" s="153" t="s">
        <v>6035</v>
      </c>
      <c r="AL550" s="173" t="s">
        <v>822</v>
      </c>
      <c r="AM550" s="156" t="s">
        <v>149</v>
      </c>
      <c r="AN550" s="217" t="s">
        <v>149</v>
      </c>
      <c r="AO550" s="156">
        <v>1.0</v>
      </c>
      <c r="AP550" s="156" t="s">
        <v>6037</v>
      </c>
      <c r="AQ550" s="153" t="s">
        <v>6084</v>
      </c>
      <c r="AR550" s="153" t="s">
        <v>823</v>
      </c>
      <c r="AS550" s="172" t="s">
        <v>824</v>
      </c>
      <c r="AT550" s="217" t="s">
        <v>149</v>
      </c>
      <c r="AU550" s="217" t="s">
        <v>149</v>
      </c>
    </row>
    <row r="551">
      <c r="A551" s="186">
        <v>275.0</v>
      </c>
      <c r="B551" s="152">
        <v>2023.0</v>
      </c>
      <c r="D551" s="152"/>
      <c r="E551" s="151">
        <v>275.0</v>
      </c>
      <c r="F551" s="129" t="s">
        <v>140</v>
      </c>
      <c r="G551" s="3" t="s">
        <v>6029</v>
      </c>
      <c r="H551" s="8" t="str">
        <f>IFERROR(__xludf.DUMMYFUNCTION("""COMPUTED_VALUE"""),"")</f>
        <v/>
      </c>
      <c r="I551" s="8" t="s">
        <v>7147</v>
      </c>
      <c r="J551" s="8" t="s">
        <v>193</v>
      </c>
      <c r="K551" s="8" t="s">
        <v>194</v>
      </c>
      <c r="L551" s="8" t="s">
        <v>969</v>
      </c>
      <c r="M551" s="8" t="s">
        <v>970</v>
      </c>
      <c r="N551" s="8" t="s">
        <v>6062</v>
      </c>
      <c r="O551" s="166" t="s">
        <v>149</v>
      </c>
      <c r="P551" s="166" t="s">
        <v>149</v>
      </c>
      <c r="Q551" s="166" t="s">
        <v>149</v>
      </c>
      <c r="R551" s="166" t="s">
        <v>149</v>
      </c>
      <c r="S551" s="166" t="s">
        <v>149</v>
      </c>
      <c r="T551" s="8"/>
      <c r="U551" s="8">
        <f>IFERROR(__xludf.DUMMYFUNCTION("""COMPUTED_VALUE"""),523.0)</f>
        <v>523</v>
      </c>
      <c r="V551" s="8"/>
      <c r="W551" s="8"/>
      <c r="X551" s="8"/>
      <c r="Y551" s="8"/>
      <c r="AA551" s="8" t="s">
        <v>320</v>
      </c>
      <c r="AB551" s="8" t="s">
        <v>7148</v>
      </c>
      <c r="AC551" s="166" t="s">
        <v>149</v>
      </c>
      <c r="AG551" s="166" t="s">
        <v>149</v>
      </c>
      <c r="AH551" s="166" t="s">
        <v>149</v>
      </c>
      <c r="AI551" s="166" t="s">
        <v>149</v>
      </c>
      <c r="AJ551" s="166" t="s">
        <v>149</v>
      </c>
      <c r="AL551" s="220" t="s">
        <v>149</v>
      </c>
      <c r="AM551" s="166" t="s">
        <v>149</v>
      </c>
      <c r="AN551" s="220" t="s">
        <v>149</v>
      </c>
      <c r="AO551" s="8"/>
      <c r="AP551" s="8"/>
      <c r="AR551" s="8" t="s">
        <v>7149</v>
      </c>
      <c r="AS551" s="172" t="s">
        <v>2403</v>
      </c>
      <c r="AT551" s="220" t="s">
        <v>149</v>
      </c>
      <c r="AU551" s="220" t="s">
        <v>149</v>
      </c>
    </row>
    <row r="552">
      <c r="A552" s="186">
        <v>276.0</v>
      </c>
      <c r="B552" s="152">
        <v>2025.0</v>
      </c>
      <c r="C552" s="153" t="str">
        <f>CONCATENATE(D552, "-", M552, "-", A552)
</f>
        <v>2023-PH072210000-276</v>
      </c>
      <c r="D552" s="152">
        <f>IF(OR(F551="Published", F551="Unpublished"), 2023, IF(F551="New", 2025, ""))
</f>
        <v>2023</v>
      </c>
      <c r="E552" s="151">
        <v>276.0</v>
      </c>
      <c r="F552" s="156" t="s">
        <v>191</v>
      </c>
      <c r="G552" s="156" t="s">
        <v>191</v>
      </c>
      <c r="H552" s="153" t="str">
        <f>IFERROR(__xludf.DUMMYFUNCTION("""COMPUTED_VALUE"""),"**Restoration_project** changed from Unknown to SCREMP, **Restoration_project_short** changed from Unknown to Part of 345 artificial coral houses distributed in Cebu Province under SCREMP, **Project Start** changed from Unknown to 2012, **Restoration meth"&amp;"od** changed from Asexual Reproduction to Artificial Reef, **Technique/Material Type** changed from CNU to Unknown, **Restoration objective** changed from Pilot site for coral farming from Caw-oy Lapu-Lapu City to Reef recovery, **Funding agency** changed"&amp;" from Unknown to DENR, **Implementing institution** changed from Unknown to DENR 7 PAWCZMS, **Reference** changed from Unpublished thesis to JKV (2014, December 30). DENR 7 plants 1T artificial reefs. SunStar. https://www.sunstar.com.ph/article/385473/den"&amp;"r-7-plants-1t-artificial-reefs-, **Website** changed from https://www.researchgate.net/publication/305770156_Coral_reef_resource_management_in_the_Philippines_-_with_focus_on_marine_protected_areas_as_a_management_tool to https://www.sunstar.com.ph/articl"&amp;"e/385473/denr-7-plants-1t-artificial-reefs-")</f>
        <v>**Restoration_project** changed from Unknown to SCREMP, **Restoration_project_short** changed from Unknown to Part of 345 artificial coral houses distributed in Cebu Province under SCREMP, **Project Start** changed from Unknown to 2012, **Restoration method** changed from Asexual Reproduction to Artificial Reef, **Technique/Material Type** changed from CNU to Unknown, **Restoration objective** changed from Pilot site for coral farming from Caw-oy Lapu-Lapu City to Reef recovery, **Funding agency** changed from Unknown to DENR, **Implementing institution** changed from Unknown to DENR 7 PAWCZMS, **Reference** changed from Unpublished thesis to JKV (2014, December 30). DENR 7 plants 1T artificial reefs. SunStar. https://www.sunstar.com.ph/article/385473/denr-7-plants-1t-artificial-reefs-, **Website** changed from https://www.researchgate.net/publication/305770156_Coral_reef_resource_management_in_the_Philippines_-_with_focus_on_marine_protected_areas_as_a_management_tool to https://www.sunstar.com.ph/article/385473/denr-7-plants-1t-artificial-reefs-</v>
      </c>
      <c r="I552" s="153" t="s">
        <v>7150</v>
      </c>
      <c r="J552" s="153" t="s">
        <v>193</v>
      </c>
      <c r="K552" s="153" t="s">
        <v>194</v>
      </c>
      <c r="L552" s="153" t="s">
        <v>2185</v>
      </c>
      <c r="M552" s="181" t="s">
        <v>2186</v>
      </c>
      <c r="N552" s="153" t="s">
        <v>151</v>
      </c>
      <c r="O552" s="153" t="s">
        <v>6587</v>
      </c>
      <c r="P552" s="153" t="s">
        <v>7142</v>
      </c>
      <c r="Q552" s="197" t="s">
        <v>149</v>
      </c>
      <c r="R552" s="175" t="s">
        <v>6151</v>
      </c>
      <c r="S552" s="160" t="s">
        <v>149</v>
      </c>
      <c r="T552" s="161" t="s">
        <v>150</v>
      </c>
      <c r="U552" s="153">
        <f>IFERROR(__xludf.DUMMYFUNCTION("""COMPUTED_VALUE"""),524.0)</f>
        <v>524</v>
      </c>
      <c r="V552" s="162" t="s">
        <v>3311</v>
      </c>
      <c r="W552" s="187" t="s">
        <v>149</v>
      </c>
      <c r="X552" s="184"/>
      <c r="Y552" s="184" t="s">
        <v>149</v>
      </c>
      <c r="Z552" s="158" t="s">
        <v>149</v>
      </c>
      <c r="AA552" s="158" t="s">
        <v>149</v>
      </c>
      <c r="AB552" s="153" t="s">
        <v>7101</v>
      </c>
      <c r="AC552" s="153" t="s">
        <v>341</v>
      </c>
      <c r="AD552" s="158" t="s">
        <v>160</v>
      </c>
      <c r="AE552" s="158" t="s">
        <v>6035</v>
      </c>
      <c r="AF552" s="158" t="s">
        <v>159</v>
      </c>
      <c r="AG552" s="164" t="s">
        <v>149</v>
      </c>
      <c r="AH552" s="158" t="s">
        <v>149</v>
      </c>
      <c r="AI552" s="158" t="s">
        <v>149</v>
      </c>
      <c r="AJ552" s="153" t="s">
        <v>2160</v>
      </c>
      <c r="AK552" s="153" t="s">
        <v>6035</v>
      </c>
      <c r="AL552" s="156" t="s">
        <v>149</v>
      </c>
      <c r="AM552" s="156" t="s">
        <v>149</v>
      </c>
      <c r="AN552" s="156" t="s">
        <v>149</v>
      </c>
      <c r="AO552" s="156">
        <v>1.0</v>
      </c>
      <c r="AP552" s="156" t="s">
        <v>6037</v>
      </c>
      <c r="AQ552" s="158" t="s">
        <v>166</v>
      </c>
      <c r="AR552" s="153" t="s">
        <v>2161</v>
      </c>
      <c r="AS552" s="172" t="s">
        <v>2162</v>
      </c>
      <c r="AT552" s="156" t="s">
        <v>149</v>
      </c>
      <c r="AU552" s="156" t="s">
        <v>149</v>
      </c>
    </row>
    <row r="553">
      <c r="A553" s="186">
        <v>276.0</v>
      </c>
      <c r="B553" s="152">
        <v>2023.0</v>
      </c>
      <c r="D553" s="152"/>
      <c r="E553" s="151">
        <v>276.0</v>
      </c>
      <c r="F553" s="129" t="s">
        <v>140</v>
      </c>
      <c r="G553" s="3" t="s">
        <v>6029</v>
      </c>
      <c r="H553" s="8" t="str">
        <f>IFERROR(__xludf.DUMMYFUNCTION("""COMPUTED_VALUE"""),"")</f>
        <v/>
      </c>
      <c r="I553" s="8" t="s">
        <v>7151</v>
      </c>
      <c r="J553" s="8" t="s">
        <v>193</v>
      </c>
      <c r="K553" s="8" t="s">
        <v>194</v>
      </c>
      <c r="L553" s="8" t="s">
        <v>573</v>
      </c>
      <c r="M553" s="153" t="s">
        <v>574</v>
      </c>
      <c r="N553" s="8" t="s">
        <v>151</v>
      </c>
      <c r="O553" s="208" t="s">
        <v>384</v>
      </c>
      <c r="P553" s="208" t="s">
        <v>575</v>
      </c>
      <c r="Q553" s="174" t="s">
        <v>6051</v>
      </c>
      <c r="R553" s="174" t="s">
        <v>6052</v>
      </c>
      <c r="S553" s="174" t="s">
        <v>6053</v>
      </c>
      <c r="T553" s="8"/>
      <c r="U553" s="8">
        <f>IFERROR(__xludf.DUMMYFUNCTION("""COMPUTED_VALUE"""),525.0)</f>
        <v>525</v>
      </c>
      <c r="V553" s="8"/>
      <c r="W553" s="166"/>
      <c r="X553" s="8"/>
      <c r="Y553" s="8"/>
      <c r="AA553" s="220" t="s">
        <v>149</v>
      </c>
      <c r="AB553" s="220" t="s">
        <v>149</v>
      </c>
      <c r="AC553" s="208" t="s">
        <v>390</v>
      </c>
      <c r="AG553" s="220" t="s">
        <v>149</v>
      </c>
      <c r="AH553" s="220" t="s">
        <v>149</v>
      </c>
      <c r="AI553" s="208" t="s">
        <v>571</v>
      </c>
      <c r="AJ553" s="8" t="s">
        <v>390</v>
      </c>
      <c r="AL553" s="208" t="s">
        <v>6055</v>
      </c>
      <c r="AM553" s="166" t="s">
        <v>149</v>
      </c>
      <c r="AN553" s="220" t="s">
        <v>149</v>
      </c>
      <c r="AO553" s="8"/>
      <c r="AP553" s="8"/>
      <c r="AR553" s="8" t="s">
        <v>6057</v>
      </c>
      <c r="AS553" s="8" t="s">
        <v>2873</v>
      </c>
      <c r="AT553" s="208" t="s">
        <v>398</v>
      </c>
      <c r="AU553" s="220" t="s">
        <v>149</v>
      </c>
    </row>
    <row r="554">
      <c r="A554" s="186">
        <v>277.0</v>
      </c>
      <c r="B554" s="152">
        <v>2025.0</v>
      </c>
      <c r="C554" s="153" t="str">
        <f>CONCATENATE(D554, "-", M554, "-", A554)
</f>
        <v>2023-PH072220000-277</v>
      </c>
      <c r="D554" s="152">
        <f>IF(OR(F553="Published", F553="Unpublished"), 2023, IF(F553="New", 2025, ""))
</f>
        <v>2023</v>
      </c>
      <c r="E554" s="151">
        <v>277.0</v>
      </c>
      <c r="F554" s="129" t="s">
        <v>140</v>
      </c>
      <c r="G554" s="156" t="s">
        <v>141</v>
      </c>
      <c r="H554" s="153" t="str">
        <f>IFERROR(__xludf.DUMMYFUNCTION("""COMPUTED_VALUE"""),"**Restoration_project** changed from Artificial Reef Development Program to Unknown, **Restoration_project_short** changed from Site in Tabunok to Unknown, **Year of establishment** changed from 1986 to 2022, **Project Start** changed from 1985 to Unknown"&amp;", **Project End** changed from 1987 to Unknown, **Restoration method** changed from Artificial Reef to Asexual Reproduction, **Technique/Material Type** changed from Unknown to Coral planting, **Funding agency** changed from BFAR to Sustainable Energy and"&amp;" Enterprise Development for Communities (SEED4COM), **Total units** changed from 50 units to Unknown, **Implementing institution** changed from BFAR to Sustainable Energy and Enterprise Development for Communities (SEED4COM), **Partners_public** changed f"&amp;"rom Ministry of Human Settlements to Unknown, **Reference** changed from Conference Proceediing to Personal communication, **Website** changed from http://pubs.iclarm.net/libinfo/Pdf/Pub%20CP6%2049.pdf to Unknown, **Contact_name** changed from Miriam Balg"&amp;"os to Dann Diez")</f>
        <v>**Restoration_project** changed from Artificial Reef Development Program to Unknown, **Restoration_project_short** changed from Site in Tabunok to Unknown, **Year of establishment** changed from 1986 to 2022, **Project Start** changed from 1985 to Unknown, **Project End** changed from 1987 to Unknown, **Restoration method** changed from Artificial Reef to Asexual Reproduction, **Technique/Material Type** changed from Unknown to Coral planting, **Funding agency** changed from BFAR to Sustainable Energy and Enterprise Development for Communities (SEED4COM), **Total units** changed from 50 units to Unknown, **Implementing institution** changed from BFAR to Sustainable Energy and Enterprise Development for Communities (SEED4COM), **Partners_public** changed from Ministry of Human Settlements to Unknown, **Reference** changed from Conference Proceediing to Personal communication, **Website** changed from http://pubs.iclarm.net/libinfo/Pdf/Pub%20CP6%2049.pdf to Unknown, **Contact_name** changed from Miriam Balgos to Dann Diez</v>
      </c>
      <c r="I554" s="153" t="s">
        <v>7152</v>
      </c>
      <c r="J554" s="153" t="s">
        <v>193</v>
      </c>
      <c r="K554" s="153" t="s">
        <v>194</v>
      </c>
      <c r="L554" s="153" t="s">
        <v>195</v>
      </c>
      <c r="M554" s="181" t="s">
        <v>196</v>
      </c>
      <c r="N554" s="153" t="s">
        <v>6062</v>
      </c>
      <c r="O554" s="158" t="s">
        <v>149</v>
      </c>
      <c r="P554" s="214" t="s">
        <v>149</v>
      </c>
      <c r="Q554" s="169">
        <v>2022.0</v>
      </c>
      <c r="R554" s="160" t="s">
        <v>149</v>
      </c>
      <c r="S554" s="160" t="s">
        <v>149</v>
      </c>
      <c r="T554" s="156" t="s">
        <v>177</v>
      </c>
      <c r="U554" s="153">
        <f>IFERROR(__xludf.DUMMYFUNCTION("""COMPUTED_VALUE"""),526.0)</f>
        <v>526</v>
      </c>
      <c r="V554" s="153"/>
      <c r="W554" s="179" t="s">
        <v>149</v>
      </c>
      <c r="X554" s="180"/>
      <c r="Y554" s="180" t="s">
        <v>154</v>
      </c>
      <c r="Z554" s="158" t="s">
        <v>179</v>
      </c>
      <c r="AA554" s="153" t="s">
        <v>6666</v>
      </c>
      <c r="AB554" s="158" t="s">
        <v>149</v>
      </c>
      <c r="AC554" s="153" t="s">
        <v>3147</v>
      </c>
      <c r="AD554" s="158" t="s">
        <v>160</v>
      </c>
      <c r="AE554" s="158" t="s">
        <v>306</v>
      </c>
      <c r="AF554" s="158" t="s">
        <v>159</v>
      </c>
      <c r="AG554" s="164" t="s">
        <v>149</v>
      </c>
      <c r="AH554" s="158" t="s">
        <v>149</v>
      </c>
      <c r="AI554" s="158" t="s">
        <v>149</v>
      </c>
      <c r="AJ554" s="158" t="s">
        <v>3147</v>
      </c>
      <c r="AK554" s="153" t="s">
        <v>306</v>
      </c>
      <c r="AL554" s="214" t="s">
        <v>149</v>
      </c>
      <c r="AM554" s="155" t="s">
        <v>149</v>
      </c>
      <c r="AN554" s="214" t="s">
        <v>149</v>
      </c>
      <c r="AO554" s="156">
        <v>1.0</v>
      </c>
      <c r="AP554" s="156" t="s">
        <v>6037</v>
      </c>
      <c r="AQ554" s="153" t="s">
        <v>214</v>
      </c>
      <c r="AR554" s="153" t="s">
        <v>214</v>
      </c>
      <c r="AS554" s="155" t="s">
        <v>149</v>
      </c>
      <c r="AT554" s="173" t="s">
        <v>3148</v>
      </c>
      <c r="AU554" s="214" t="s">
        <v>149</v>
      </c>
    </row>
    <row r="555">
      <c r="A555" s="186">
        <v>277.0</v>
      </c>
      <c r="B555" s="152">
        <v>2023.0</v>
      </c>
      <c r="D555" s="152"/>
      <c r="E555" s="151">
        <v>277.0</v>
      </c>
      <c r="F555" s="129" t="s">
        <v>140</v>
      </c>
      <c r="G555" s="3" t="s">
        <v>6029</v>
      </c>
      <c r="H555" s="8" t="str">
        <f>IFERROR(__xludf.DUMMYFUNCTION("""COMPUTED_VALUE"""),"")</f>
        <v/>
      </c>
      <c r="I555" s="8" t="s">
        <v>7153</v>
      </c>
      <c r="J555" s="8" t="s">
        <v>193</v>
      </c>
      <c r="K555" s="8" t="s">
        <v>194</v>
      </c>
      <c r="L555" s="8" t="s">
        <v>573</v>
      </c>
      <c r="M555" s="153" t="s">
        <v>574</v>
      </c>
      <c r="N555" s="8" t="s">
        <v>151</v>
      </c>
      <c r="O555" s="208" t="s">
        <v>384</v>
      </c>
      <c r="P555" s="208" t="s">
        <v>577</v>
      </c>
      <c r="Q555" s="142" t="s">
        <v>6051</v>
      </c>
      <c r="R555" s="142" t="s">
        <v>6052</v>
      </c>
      <c r="S555" s="142" t="s">
        <v>6053</v>
      </c>
      <c r="T555" s="8"/>
      <c r="U555" s="8">
        <f>IFERROR(__xludf.DUMMYFUNCTION("""COMPUTED_VALUE"""),527.0)</f>
        <v>527</v>
      </c>
      <c r="V555" s="8"/>
      <c r="W555" s="166"/>
      <c r="X555" s="8"/>
      <c r="Y555" s="8"/>
      <c r="AA555" s="166" t="s">
        <v>149</v>
      </c>
      <c r="AB555" s="166" t="s">
        <v>149</v>
      </c>
      <c r="AC555" s="208" t="s">
        <v>390</v>
      </c>
      <c r="AG555" s="220" t="s">
        <v>149</v>
      </c>
      <c r="AH555" s="220" t="s">
        <v>149</v>
      </c>
      <c r="AI555" s="8" t="s">
        <v>571</v>
      </c>
      <c r="AJ555" s="8" t="s">
        <v>390</v>
      </c>
      <c r="AL555" s="8" t="s">
        <v>6055</v>
      </c>
      <c r="AM555" s="220" t="s">
        <v>149</v>
      </c>
      <c r="AN555" s="220" t="s">
        <v>149</v>
      </c>
      <c r="AO555" s="8"/>
      <c r="AP555" s="8"/>
      <c r="AR555" s="8" t="s">
        <v>6057</v>
      </c>
      <c r="AS555" s="8" t="s">
        <v>2873</v>
      </c>
      <c r="AT555" s="8" t="s">
        <v>398</v>
      </c>
      <c r="AU555" s="220" t="s">
        <v>149</v>
      </c>
    </row>
    <row r="556">
      <c r="A556" s="186">
        <v>278.0</v>
      </c>
      <c r="B556" s="152">
        <v>2023.0</v>
      </c>
      <c r="D556" s="152"/>
      <c r="E556" s="151">
        <v>278.0</v>
      </c>
      <c r="F556" s="129" t="s">
        <v>140</v>
      </c>
      <c r="G556" s="3" t="s">
        <v>6029</v>
      </c>
      <c r="H556" s="8" t="str">
        <f>IFERROR(__xludf.DUMMYFUNCTION("""COMPUTED_VALUE"""),"")</f>
        <v/>
      </c>
      <c r="I556" s="8" t="s">
        <v>7154</v>
      </c>
      <c r="J556" s="8" t="s">
        <v>193</v>
      </c>
      <c r="K556" s="8" t="s">
        <v>632</v>
      </c>
      <c r="L556" s="8" t="s">
        <v>2678</v>
      </c>
      <c r="M556" s="8" t="s">
        <v>7155</v>
      </c>
      <c r="N556" s="8" t="s">
        <v>151</v>
      </c>
      <c r="O556" s="143" t="s">
        <v>149</v>
      </c>
      <c r="P556" s="143" t="s">
        <v>149</v>
      </c>
      <c r="Q556" s="155" t="s">
        <v>149</v>
      </c>
      <c r="R556" s="155" t="s">
        <v>149</v>
      </c>
      <c r="S556" s="155" t="s">
        <v>149</v>
      </c>
      <c r="T556" s="8"/>
      <c r="U556" s="8">
        <f>IFERROR(__xludf.DUMMYFUNCTION("""COMPUTED_VALUE"""),528.0)</f>
        <v>528</v>
      </c>
      <c r="V556" s="8"/>
      <c r="W556" s="155"/>
      <c r="X556" s="8"/>
      <c r="Y556" s="8"/>
      <c r="AA556" s="155" t="s">
        <v>149</v>
      </c>
      <c r="AB556" s="155" t="s">
        <v>149</v>
      </c>
      <c r="AC556" s="155" t="s">
        <v>149</v>
      </c>
      <c r="AG556" s="155" t="s">
        <v>149</v>
      </c>
      <c r="AH556" s="8" t="s">
        <v>7156</v>
      </c>
      <c r="AI556" s="155" t="s">
        <v>149</v>
      </c>
      <c r="AJ556" s="155" t="s">
        <v>149</v>
      </c>
      <c r="AL556" s="155" t="s">
        <v>149</v>
      </c>
      <c r="AM556" s="214" t="s">
        <v>149</v>
      </c>
      <c r="AN556" s="214" t="s">
        <v>149</v>
      </c>
      <c r="AO556" s="8"/>
      <c r="AP556" s="8"/>
      <c r="AR556" s="8" t="s">
        <v>395</v>
      </c>
      <c r="AS556" s="8" t="s">
        <v>2873</v>
      </c>
      <c r="AT556" s="8" t="s">
        <v>398</v>
      </c>
      <c r="AU556" s="214" t="s">
        <v>149</v>
      </c>
    </row>
    <row r="557">
      <c r="A557" s="186">
        <v>278.0</v>
      </c>
      <c r="B557" s="152">
        <v>2025.0</v>
      </c>
      <c r="C557" s="153" t="str">
        <f t="shared" ref="C557:C558" si="61">CONCATENATE(D557, "-", M557, "-", A557)
</f>
        <v>2023-PH072220000-278</v>
      </c>
      <c r="D557" s="152">
        <f t="shared" ref="D557:D558" si="62">IF(OR(F556="Published", F556="Unpublished"), 2023, IF(F556="New", 2025, ""))
</f>
        <v>2023</v>
      </c>
      <c r="E557" s="151">
        <v>278.0</v>
      </c>
      <c r="F557" s="129" t="s">
        <v>140</v>
      </c>
      <c r="G557" s="156" t="s">
        <v>141</v>
      </c>
      <c r="H557" s="153" t="str">
        <f>IFERROR(__xludf.DUMMYFUNCTION("""COMPUTED_VALUE"""),"**Restoration_project** changed from Unknown to Project 2B. Sexual Reproduction of Selected Reef Coral Species Across the Philippine Archipelago (Cebu), **Year of establishment** changed from Unknown to 2014, **Project Start** changed from Unknown to 2014"&amp;", **Project End** changed from Unknown to 2016, **Restoration method** changed from Artificial Reef to Sexual Reproduction, **Funding agency** changed from Unknown to DOST-PCAARRD, **Total area of restoration** changed from 276 m2 to Unknown, **Implementi"&amp;"ng institution** changed from Unknown to University of San Carlos, **Partners_public** changed from Unknown to University of the Philippines Marine Science Institute; Mindanao State University - Tawi-Tawi, **Reference** changed from Conference Proceeding "&amp;"to University of San Carlos - Marine Biology Section (n.d.). Project 2B. Sexual Reproduction of Selected Reef Coral Species across the Philippine Archipelago (Cebu). , **Website** changed from http://pubs.iclarm.net/libinfo/Pdf/Pub%20CP6%2049.pdf to Repor"&amp;"t uploaded in the Google Drive, **Contact_name** changed from Miriam Balgos to Dr. Anthony Ilano, **Contact_details** changed from Unknown to gastropoda04@yahoo.com")</f>
        <v>**Restoration_project** changed from Unknown to Project 2B. Sexual Reproduction of Selected Reef Coral Species Across the Philippine Archipelago (Cebu), **Year of establishment** changed from Unknown to 2014, **Project Start** changed from Unknown to 2014, **Project End** changed from Unknown to 2016, **Restoration method** changed from Artificial Reef to Sexual Reproduction, **Funding agency** changed from Unknown to DOST-PCAARRD, **Total area of restoration** changed from 276 m2 to Unknown, **Implementing institution** changed from Unknown to University of San Carlos, **Partners_public** changed from Unknown to University of the Philippines Marine Science Institute; Mindanao State University - Tawi-Tawi, **Reference** changed from Conference Proceeding to University of San Carlos - Marine Biology Section (n.d.). Project 2B. Sexual Reproduction of Selected Reef Coral Species across the Philippine Archipelago (Cebu). , **Website** changed from http://pubs.iclarm.net/libinfo/Pdf/Pub%20CP6%2049.pdf to Report uploaded in the Google Drive, **Contact_name** changed from Miriam Balgos to Dr. Anthony Ilano, **Contact_details** changed from Unknown to gastropoda04@yahoo.com</v>
      </c>
      <c r="I557" s="153" t="s">
        <v>7157</v>
      </c>
      <c r="J557" s="153" t="s">
        <v>193</v>
      </c>
      <c r="K557" s="153" t="s">
        <v>194</v>
      </c>
      <c r="L557" s="153" t="s">
        <v>195</v>
      </c>
      <c r="M557" s="181" t="s">
        <v>196</v>
      </c>
      <c r="N557" s="153" t="s">
        <v>6221</v>
      </c>
      <c r="O557" s="153" t="s">
        <v>3412</v>
      </c>
      <c r="P557" s="214" t="s">
        <v>149</v>
      </c>
      <c r="Q557" s="169">
        <v>2014.0</v>
      </c>
      <c r="R557" s="175" t="s">
        <v>6063</v>
      </c>
      <c r="S557" s="175" t="s">
        <v>6064</v>
      </c>
      <c r="T557" s="156" t="s">
        <v>199</v>
      </c>
      <c r="U557" s="153">
        <f>IFERROR(__xludf.DUMMYFUNCTION("""COMPUTED_VALUE"""),529.0)</f>
        <v>529</v>
      </c>
      <c r="V557" s="191" t="s">
        <v>3299</v>
      </c>
      <c r="W557" s="180" t="s">
        <v>154</v>
      </c>
      <c r="X557" s="180"/>
      <c r="Y557" s="180" t="s">
        <v>154</v>
      </c>
      <c r="Z557" s="158" t="s">
        <v>149</v>
      </c>
      <c r="AA557" s="158" t="s">
        <v>149</v>
      </c>
      <c r="AB557" s="158" t="s">
        <v>149</v>
      </c>
      <c r="AC557" s="153" t="s">
        <v>321</v>
      </c>
      <c r="AD557" s="158" t="s">
        <v>160</v>
      </c>
      <c r="AE557" s="158" t="s">
        <v>6035</v>
      </c>
      <c r="AF557" s="158" t="s">
        <v>204</v>
      </c>
      <c r="AG557" s="194" t="s">
        <v>149</v>
      </c>
      <c r="AH557" s="202" t="s">
        <v>149</v>
      </c>
      <c r="AI557" s="202" t="s">
        <v>149</v>
      </c>
      <c r="AJ557" s="153" t="s">
        <v>885</v>
      </c>
      <c r="AK557" s="158" t="s">
        <v>6068</v>
      </c>
      <c r="AL557" s="173" t="s">
        <v>1858</v>
      </c>
      <c r="AM557" s="214" t="s">
        <v>149</v>
      </c>
      <c r="AN557" s="214" t="s">
        <v>149</v>
      </c>
      <c r="AO557" s="156">
        <v>1.0</v>
      </c>
      <c r="AP557" s="156" t="s">
        <v>6037</v>
      </c>
      <c r="AQ557" s="158" t="s">
        <v>6069</v>
      </c>
      <c r="AR557" s="153" t="s">
        <v>1859</v>
      </c>
      <c r="AS557" s="153" t="s">
        <v>6070</v>
      </c>
      <c r="AT557" s="153" t="s">
        <v>1861</v>
      </c>
      <c r="AU557" s="221" t="s">
        <v>1862</v>
      </c>
    </row>
    <row r="558">
      <c r="A558" s="186">
        <v>279.0</v>
      </c>
      <c r="B558" s="152">
        <v>2025.0</v>
      </c>
      <c r="C558" s="153" t="str">
        <f t="shared" si="61"/>
        <v>2023-PH072220000-279</v>
      </c>
      <c r="D558" s="152">
        <f t="shared" si="62"/>
        <v>2023</v>
      </c>
      <c r="E558" s="151">
        <v>279.0</v>
      </c>
      <c r="F558" s="156" t="s">
        <v>191</v>
      </c>
      <c r="G558" s="156" t="s">
        <v>191</v>
      </c>
      <c r="H558" s="153" t="str">
        <f>IFERROR(__xludf.DUMMYFUNCTION("""COMPUTED_VALUE"""),"**Restoration_project** changed from Project 2B. Sexual Reproduction of Selected Reef Coral Species Across the Philippine Archipelago (Cebu) to ACIAR Coral Reef Restoration Project, **Restoration_project_short** changed from Unknown to Site inside Alegria"&amp;" MPA, **Year of establishment** changed from 2014 to 2024, **Project Start** changed from 2014 to 2021, **Project End** changed from 2016 to 2025, **Technique/Material Type** changed from Unknown to Larval reseeding; ""Mactan tiles"", **Restoration object"&amp;"ive** changed from Unknown to Reef restoration, **Funding agency** changed from DOST-PCAARRD to ACIAR, **Implementing institution** changed from University of San Carlos to Southern Cross University, **Partners_public** changed from University of the Phil"&amp;"ippines Marine Science Institute; Mindanao State University - Tawi-Tawi to UP MSI, MLGU, **Partners_private** changed from Unknown to Shangri-La Dive Resort, **Reference** changed from University of San Carlos - Marine Biology Section (n.d.). Project 2B. "&amp;"Sexual Reproduction of Selected Reef Coral Species across the Philippine Archipelago (Cebu). to Personal communication, **Website** changed from Report uploaded in the Google Drive to Unknown, **Contact_name** changed from Dr. Anthony Ilano to Unknown, **"&amp;"Contact_details** changed from gastropoda04@yahoo.com to Unknown")</f>
        <v>**Restoration_project** changed from Project 2B. Sexual Reproduction of Selected Reef Coral Species Across the Philippine Archipelago (Cebu) to ACIAR Coral Reef Restoration Project, **Restoration_project_short** changed from Unknown to Site inside Alegria MPA, **Year of establishment** changed from 2014 to 2024, **Project Start** changed from 2014 to 2021, **Project End** changed from 2016 to 2025, **Technique/Material Type** changed from Unknown to Larval reseeding; "Mactan tiles", **Restoration objective** changed from Unknown to Reef restoration, **Funding agency** changed from DOST-PCAARRD to ACIAR, **Implementing institution** changed from University of San Carlos to Southern Cross University, **Partners_public** changed from University of the Philippines Marine Science Institute; Mindanao State University - Tawi-Tawi to UP MSI, MLGU, **Partners_private** changed from Unknown to Shangri-La Dive Resort, **Reference** changed from University of San Carlos - Marine Biology Section (n.d.). Project 2B. Sexual Reproduction of Selected Reef Coral Species across the Philippine Archipelago (Cebu). to Personal communication, **Website** changed from Report uploaded in the Google Drive to Unknown, **Contact_name** changed from Dr. Anthony Ilano to Unknown, **Contact_details** changed from gastropoda04@yahoo.com to Unknown</v>
      </c>
      <c r="I558" s="153" t="s">
        <v>7158</v>
      </c>
      <c r="J558" s="153" t="s">
        <v>193</v>
      </c>
      <c r="K558" s="153" t="s">
        <v>194</v>
      </c>
      <c r="L558" s="153" t="s">
        <v>195</v>
      </c>
      <c r="M558" s="181" t="s">
        <v>196</v>
      </c>
      <c r="N558" s="153" t="s">
        <v>6221</v>
      </c>
      <c r="O558" s="153" t="s">
        <v>197</v>
      </c>
      <c r="P558" s="173" t="s">
        <v>198</v>
      </c>
      <c r="Q558" s="169">
        <v>2024.0</v>
      </c>
      <c r="R558" s="175" t="s">
        <v>6030</v>
      </c>
      <c r="S558" s="160" t="s">
        <v>14</v>
      </c>
      <c r="T558" s="156" t="s">
        <v>199</v>
      </c>
      <c r="U558" s="153">
        <f>IFERROR(__xludf.DUMMYFUNCTION("""COMPUTED_VALUE"""),530.0)</f>
        <v>530</v>
      </c>
      <c r="V558" s="191" t="s">
        <v>3299</v>
      </c>
      <c r="W558" s="179" t="s">
        <v>154</v>
      </c>
      <c r="X558" s="180"/>
      <c r="Y558" s="180" t="s">
        <v>154</v>
      </c>
      <c r="Z558" s="158" t="s">
        <v>224</v>
      </c>
      <c r="AA558" s="158" t="s">
        <v>201</v>
      </c>
      <c r="AB558" s="153" t="s">
        <v>202</v>
      </c>
      <c r="AC558" s="153" t="s">
        <v>203</v>
      </c>
      <c r="AD558" s="158" t="s">
        <v>6154</v>
      </c>
      <c r="AE558" s="158" t="s">
        <v>206</v>
      </c>
      <c r="AF558" s="158" t="s">
        <v>204</v>
      </c>
      <c r="AG558" s="164" t="s">
        <v>149</v>
      </c>
      <c r="AH558" s="158" t="s">
        <v>149</v>
      </c>
      <c r="AI558" s="158" t="s">
        <v>149</v>
      </c>
      <c r="AJ558" s="153" t="s">
        <v>208</v>
      </c>
      <c r="AK558" s="158" t="s">
        <v>6068</v>
      </c>
      <c r="AL558" s="173" t="s">
        <v>6614</v>
      </c>
      <c r="AM558" s="173" t="s">
        <v>212</v>
      </c>
      <c r="AN558" s="217" t="s">
        <v>149</v>
      </c>
      <c r="AO558" s="156">
        <v>1.0</v>
      </c>
      <c r="AP558" s="156" t="s">
        <v>6037</v>
      </c>
      <c r="AQ558" s="153" t="s">
        <v>214</v>
      </c>
      <c r="AR558" s="153" t="s">
        <v>214</v>
      </c>
      <c r="AS558" s="156" t="s">
        <v>149</v>
      </c>
      <c r="AT558" s="156" t="s">
        <v>149</v>
      </c>
      <c r="AU558" s="222" t="s">
        <v>149</v>
      </c>
    </row>
    <row r="559">
      <c r="A559" s="186">
        <v>279.0</v>
      </c>
      <c r="B559" s="152">
        <v>2023.0</v>
      </c>
      <c r="D559" s="152"/>
      <c r="E559" s="151">
        <v>279.0</v>
      </c>
      <c r="F559" s="129" t="s">
        <v>140</v>
      </c>
      <c r="G559" s="3" t="s">
        <v>6029</v>
      </c>
      <c r="H559" s="8" t="str">
        <f>IFERROR(__xludf.DUMMYFUNCTION("""COMPUTED_VALUE"""),"")</f>
        <v/>
      </c>
      <c r="I559" s="8" t="s">
        <v>7159</v>
      </c>
      <c r="J559" s="8" t="s">
        <v>193</v>
      </c>
      <c r="K559" s="8" t="s">
        <v>632</v>
      </c>
      <c r="L559" s="8" t="s">
        <v>2687</v>
      </c>
      <c r="M559" s="8" t="s">
        <v>7160</v>
      </c>
      <c r="N559" s="8" t="s">
        <v>151</v>
      </c>
      <c r="O559" s="214" t="s">
        <v>149</v>
      </c>
      <c r="P559" s="214" t="s">
        <v>149</v>
      </c>
      <c r="Q559" s="214" t="s">
        <v>149</v>
      </c>
      <c r="R559" s="214" t="s">
        <v>149</v>
      </c>
      <c r="S559" s="214" t="s">
        <v>149</v>
      </c>
      <c r="T559" s="8"/>
      <c r="U559" s="8">
        <f>IFERROR(__xludf.DUMMYFUNCTION("""COMPUTED_VALUE"""),531.0)</f>
        <v>531</v>
      </c>
      <c r="V559" s="8"/>
      <c r="W559" s="155"/>
      <c r="X559" s="8"/>
      <c r="Y559" s="8"/>
      <c r="AA559" s="214" t="s">
        <v>149</v>
      </c>
      <c r="AB559" s="214" t="s">
        <v>149</v>
      </c>
      <c r="AC559" s="214" t="s">
        <v>149</v>
      </c>
      <c r="AG559" s="214" t="s">
        <v>149</v>
      </c>
      <c r="AH559" s="8" t="s">
        <v>7161</v>
      </c>
      <c r="AI559" s="214" t="s">
        <v>149</v>
      </c>
      <c r="AJ559" s="214" t="s">
        <v>149</v>
      </c>
      <c r="AL559" s="214" t="s">
        <v>149</v>
      </c>
      <c r="AM559" s="214" t="s">
        <v>149</v>
      </c>
      <c r="AN559" s="214" t="s">
        <v>149</v>
      </c>
      <c r="AO559" s="8"/>
      <c r="AP559" s="8"/>
      <c r="AR559" s="8" t="s">
        <v>395</v>
      </c>
      <c r="AS559" s="8" t="s">
        <v>2873</v>
      </c>
      <c r="AT559" s="8" t="s">
        <v>398</v>
      </c>
      <c r="AU559" s="214" t="s">
        <v>149</v>
      </c>
    </row>
    <row r="560">
      <c r="A560" s="186">
        <v>280.0</v>
      </c>
      <c r="B560" s="152">
        <v>2025.0</v>
      </c>
      <c r="C560" s="153" t="str">
        <f>CONCATENATE(D560, "-", M560, "-", A560)
</f>
        <v>2023-PH072221000-280</v>
      </c>
      <c r="D560" s="152">
        <f>IF(OR(F559="Published", F559="Unpublished"), 2023, IF(F559="New", 2025, ""))
</f>
        <v>2023</v>
      </c>
      <c r="E560" s="151">
        <v>280.0</v>
      </c>
      <c r="F560" s="129" t="s">
        <v>140</v>
      </c>
      <c r="G560" s="156" t="s">
        <v>141</v>
      </c>
      <c r="H560" s="153" t="str">
        <f>IFERROR(__xludf.DUMMYFUNCTION("""COMPUTED_VALUE"""),"**Restoration_project** changed from Unknown to TepCorSea Coral Restoration, **Restoration_project_short** changed from Unknown to Site inside MPA in front of Tepanee Resort, **Year of establishment** changed from Unknown to 2019, **Project Start** change"&amp;"d from Unknown to 2019, **Project End** changed from Unknown to 2023, **Restoration method** changed from Artificial Reef to Artificial Reef; Mineral accretion; Asexual Reproduction, **Technique/Material Type** changed from Unknown to CNU, **Restoration o"&amp;"bjective** changed from Unknown to Improve habitat and LCC; Provide socio-economic benefits; Establish successful model of restoration, **Funding agency** changed from Unknown to Tepanee Resort, **Total area of restoration** changed from 210 m2 to Unknown"&amp;", **Implementing institution** changed from Unknown to People and the Sea, **Partners_public** changed from Unknown to MLGU; BLGU, **Partners_private** changed from Unknown to , Tepanee Resort; Coralive, **Partners_communities** changed from Unknown to Lo"&amp;"gon Fisherfolks Assoc. , **Reference** changed from Conference Proceeding to Survey, **Website** changed from http://pubs.iclarm.net/libinfo/Pdf/Pub%20CP6%2049.pdf to https://peopleandthesea.org, **Contact_name** changed from Miriam Balgos to Axelle Jorci"&amp;"n, **Contact_details** changed from Unknown to info@peopleandthesea.org")</f>
        <v>**Restoration_project** changed from Unknown to TepCorSea Coral Restoration, **Restoration_project_short** changed from Unknown to Site inside MPA in front of Tepanee Resort, **Year of establishment** changed from Unknown to 2019, **Project Start** changed from Unknown to 2019, **Project End** changed from Unknown to 2023, **Restoration method** changed from Artificial Reef to Artificial Reef; Mineral accretion; Asexual Reproduction, **Technique/Material Type** changed from Unknown to CNU, **Restoration objective** changed from Unknown to Improve habitat and LCC; Provide socio-economic benefits; Establish successful model of restoration, **Funding agency** changed from Unknown to Tepanee Resort, **Total area of restoration** changed from 210 m2 to Unknown, **Implementing institution** changed from Unknown to People and the Sea, **Partners_public** changed from Unknown to MLGU; BLGU, **Partners_private** changed from Unknown to , Tepanee Resort; Coralive, **Partners_communities** changed from Unknown to Logon Fisherfolks Assoc. , **Reference** changed from Conference Proceeding to Survey, **Website** changed from http://pubs.iclarm.net/libinfo/Pdf/Pub%20CP6%2049.pdf to https://peopleandthesea.org, **Contact_name** changed from Miriam Balgos to Axelle Jorcin, **Contact_details** changed from Unknown to info@peopleandthesea.org</v>
      </c>
      <c r="I560" s="153" t="s">
        <v>7162</v>
      </c>
      <c r="J560" s="153" t="s">
        <v>193</v>
      </c>
      <c r="K560" s="153" t="s">
        <v>194</v>
      </c>
      <c r="L560" s="153" t="s">
        <v>2222</v>
      </c>
      <c r="M560" s="181" t="s">
        <v>2223</v>
      </c>
      <c r="N560" s="153" t="s">
        <v>7163</v>
      </c>
      <c r="O560" s="153" t="s">
        <v>2224</v>
      </c>
      <c r="P560" s="153" t="s">
        <v>2225</v>
      </c>
      <c r="Q560" s="169">
        <v>2019.0</v>
      </c>
      <c r="R560" s="175" t="s">
        <v>6273</v>
      </c>
      <c r="S560" s="175" t="s">
        <v>18</v>
      </c>
      <c r="T560" s="156" t="s">
        <v>263</v>
      </c>
      <c r="U560" s="153">
        <f>IFERROR(__xludf.DUMMYFUNCTION("""COMPUTED_VALUE"""),532.0)</f>
        <v>532</v>
      </c>
      <c r="V560" s="191" t="s">
        <v>7164</v>
      </c>
      <c r="W560" s="179" t="s">
        <v>6066</v>
      </c>
      <c r="X560" s="180"/>
      <c r="Y560" s="180" t="s">
        <v>149</v>
      </c>
      <c r="Z560" s="158" t="s">
        <v>179</v>
      </c>
      <c r="AA560" s="153" t="s">
        <v>320</v>
      </c>
      <c r="AB560" s="153" t="s">
        <v>2227</v>
      </c>
      <c r="AC560" s="153" t="s">
        <v>2228</v>
      </c>
      <c r="AD560" s="158" t="s">
        <v>160</v>
      </c>
      <c r="AE560" s="158" t="s">
        <v>184</v>
      </c>
      <c r="AF560" s="158" t="s">
        <v>159</v>
      </c>
      <c r="AG560" s="164" t="s">
        <v>149</v>
      </c>
      <c r="AH560" s="158" t="s">
        <v>149</v>
      </c>
      <c r="AI560" s="158" t="s">
        <v>149</v>
      </c>
      <c r="AJ560" s="153" t="s">
        <v>2229</v>
      </c>
      <c r="AK560" s="153" t="s">
        <v>306</v>
      </c>
      <c r="AL560" s="173" t="s">
        <v>2230</v>
      </c>
      <c r="AM560" s="173" t="s">
        <v>7165</v>
      </c>
      <c r="AN560" s="173" t="s">
        <v>2232</v>
      </c>
      <c r="AO560" s="156">
        <v>2.0</v>
      </c>
      <c r="AP560" s="156" t="s">
        <v>6628</v>
      </c>
      <c r="AQ560" s="153" t="s">
        <v>213</v>
      </c>
      <c r="AR560" s="153" t="s">
        <v>213</v>
      </c>
      <c r="AS560" s="165" t="s">
        <v>2233</v>
      </c>
      <c r="AT560" s="153" t="s">
        <v>2234</v>
      </c>
      <c r="AU560" s="219" t="s">
        <v>2235</v>
      </c>
    </row>
    <row r="561">
      <c r="A561" s="186">
        <v>280.0</v>
      </c>
      <c r="B561" s="152">
        <v>2023.0</v>
      </c>
      <c r="D561" s="152"/>
      <c r="E561" s="151">
        <v>280.0</v>
      </c>
      <c r="F561" s="129" t="s">
        <v>140</v>
      </c>
      <c r="G561" s="3" t="s">
        <v>6029</v>
      </c>
      <c r="H561" s="8" t="str">
        <f>IFERROR(__xludf.DUMMYFUNCTION("""COMPUTED_VALUE"""),"")</f>
        <v/>
      </c>
      <c r="I561" s="8" t="s">
        <v>7166</v>
      </c>
      <c r="J561" s="8" t="s">
        <v>193</v>
      </c>
      <c r="K561" s="8" t="s">
        <v>632</v>
      </c>
      <c r="L561" s="8" t="s">
        <v>847</v>
      </c>
      <c r="M561" s="8" t="s">
        <v>7167</v>
      </c>
      <c r="N561" s="8" t="s">
        <v>151</v>
      </c>
      <c r="O561" s="214" t="s">
        <v>149</v>
      </c>
      <c r="P561" s="214" t="s">
        <v>149</v>
      </c>
      <c r="Q561" s="214" t="s">
        <v>149</v>
      </c>
      <c r="R561" s="214" t="s">
        <v>149</v>
      </c>
      <c r="S561" s="214" t="s">
        <v>149</v>
      </c>
      <c r="T561" s="8"/>
      <c r="U561" s="8">
        <f>IFERROR(__xludf.DUMMYFUNCTION("""COMPUTED_VALUE"""),533.0)</f>
        <v>533</v>
      </c>
      <c r="V561" s="8"/>
      <c r="W561" s="155"/>
      <c r="X561" s="8"/>
      <c r="Y561" s="8"/>
      <c r="AA561" s="155" t="s">
        <v>149</v>
      </c>
      <c r="AB561" s="155" t="s">
        <v>149</v>
      </c>
      <c r="AC561" s="214" t="s">
        <v>149</v>
      </c>
      <c r="AG561" s="214" t="s">
        <v>149</v>
      </c>
      <c r="AH561" s="208" t="s">
        <v>7168</v>
      </c>
      <c r="AI561" s="214" t="s">
        <v>149</v>
      </c>
      <c r="AJ561" s="155" t="s">
        <v>149</v>
      </c>
      <c r="AL561" s="155" t="s">
        <v>149</v>
      </c>
      <c r="AM561" s="214" t="s">
        <v>149</v>
      </c>
      <c r="AN561" s="214" t="s">
        <v>149</v>
      </c>
      <c r="AO561" s="8"/>
      <c r="AP561" s="8"/>
      <c r="AR561" s="208" t="s">
        <v>395</v>
      </c>
      <c r="AS561" s="208" t="s">
        <v>2873</v>
      </c>
      <c r="AT561" s="208" t="s">
        <v>398</v>
      </c>
      <c r="AU561" s="214" t="s">
        <v>149</v>
      </c>
    </row>
    <row r="562">
      <c r="A562" s="186">
        <v>281.0</v>
      </c>
      <c r="B562" s="152">
        <v>2023.0</v>
      </c>
      <c r="D562" s="152"/>
      <c r="E562" s="151">
        <v>281.0</v>
      </c>
      <c r="F562" s="129" t="s">
        <v>140</v>
      </c>
      <c r="G562" s="3" t="s">
        <v>6029</v>
      </c>
      <c r="H562" s="8" t="str">
        <f>IFERROR(__xludf.DUMMYFUNCTION("""COMPUTED_VALUE"""),"")</f>
        <v/>
      </c>
      <c r="I562" s="8" t="s">
        <v>7169</v>
      </c>
      <c r="J562" s="8" t="s">
        <v>193</v>
      </c>
      <c r="K562" s="8" t="s">
        <v>632</v>
      </c>
      <c r="L562" s="8" t="s">
        <v>847</v>
      </c>
      <c r="M562" s="8" t="s">
        <v>7167</v>
      </c>
      <c r="N562" s="8" t="s">
        <v>6062</v>
      </c>
      <c r="O562" s="214" t="s">
        <v>149</v>
      </c>
      <c r="P562" s="214" t="s">
        <v>149</v>
      </c>
      <c r="Q562" s="142" t="s">
        <v>6145</v>
      </c>
      <c r="R562" s="155" t="s">
        <v>149</v>
      </c>
      <c r="S562" s="155" t="s">
        <v>149</v>
      </c>
      <c r="T562" s="8"/>
      <c r="U562" s="8">
        <f>IFERROR(__xludf.DUMMYFUNCTION("""COMPUTED_VALUE"""),534.0)</f>
        <v>534</v>
      </c>
      <c r="V562" s="8"/>
      <c r="W562" s="8"/>
      <c r="X562" s="8"/>
      <c r="Y562" s="8"/>
      <c r="AA562" s="8" t="s">
        <v>320</v>
      </c>
      <c r="AB562" s="155" t="s">
        <v>149</v>
      </c>
      <c r="AC562" s="155" t="s">
        <v>149</v>
      </c>
      <c r="AG562" s="155" t="s">
        <v>149</v>
      </c>
      <c r="AH562" s="155" t="s">
        <v>149</v>
      </c>
      <c r="AI562" s="155" t="s">
        <v>149</v>
      </c>
      <c r="AJ562" s="8" t="s">
        <v>7170</v>
      </c>
      <c r="AL562" s="155" t="s">
        <v>149</v>
      </c>
      <c r="AM562" s="208" t="s">
        <v>7171</v>
      </c>
      <c r="AN562" s="214" t="s">
        <v>149</v>
      </c>
      <c r="AO562" s="8"/>
      <c r="AP562" s="8"/>
      <c r="AR562" s="8" t="s">
        <v>6027</v>
      </c>
      <c r="AS562" s="172" t="s">
        <v>7172</v>
      </c>
      <c r="AT562" s="214" t="s">
        <v>149</v>
      </c>
      <c r="AU562" s="214" t="s">
        <v>149</v>
      </c>
    </row>
    <row r="563">
      <c r="A563" s="186">
        <v>281.0</v>
      </c>
      <c r="B563" s="152">
        <v>2025.0</v>
      </c>
      <c r="C563" s="153" t="str">
        <f>CONCATENATE(D563, "-", M563, "-", A563)
</f>
        <v>2023-PH072226000-281</v>
      </c>
      <c r="D563" s="152">
        <f>IF(OR(F562="Published", F562="Unpublished"), 2023, IF(F562="New", 2025, ""))
</f>
        <v>2023</v>
      </c>
      <c r="E563" s="186">
        <v>281.0</v>
      </c>
      <c r="F563" s="129" t="s">
        <v>140</v>
      </c>
      <c r="G563" s="156" t="s">
        <v>141</v>
      </c>
      <c r="H563" s="153" t="str">
        <f>IFERROR(__xludf.DUMMYFUNCTION("""COMPUTED_VALUE"""),"**Restoration_project** changed from Unknown to Artificial Reef Development Program, **Restoration_project_short** changed from Unknown to Site in Caubian Is, **Year of establishment** changed from 2022 to 1979, **Project Start** changed from Unknown to 1"&amp;"985, **Project End** changed from Unknown to 1987, **Restoration method** changed from Asexual Reproduction to Artificial Reef, **Technique/Material Type** changed from CNU to tires, **Funding agency** changed from Unknown to BFAR, **Total units** changed"&amp;" from Unknown to 10 TM, **Implementing institution** changed from Atlantis Philippines Dive Resorts to BFAR, **Partners_public** changed from Unknown to Ministry of Human Settlements, **Partners_private** changed from Coral Restoration Foundation to Unkno"&amp;"wn, **Reference** changed from Website to Balgos, M.C. (1995). Evaluation of artificial reef development in the Philippines. In Munro, J.L. &amp; Balgos, M. (eds.) Artificial reefs in the Philippines. ICLARM Conf. Proc. 49, pp. 6-22., **Website** changed from"&amp;" https://atlantishotel.com/travel-specials/coral-restoration-project/ to https://core.ac.uk/download/pdf/6515223.pdf;")</f>
        <v>**Restoration_project** changed from Unknown to Artificial Reef Development Program, **Restoration_project_short** changed from Unknown to Site in Caubian Is, **Year of establishment** changed from 2022 to 1979, **Project Start** changed from Unknown to 1985, **Project End** changed from Unknown to 1987, **Restoration method** changed from Asexual Reproduction to Artificial Reef, **Technique/Material Type** changed from CNU to tires, **Funding agency** changed from Unknown to BFAR, **Total units** changed from Unknown to 10 TM, **Implementing institution** changed from Atlantis Philippines Dive Resorts to BFAR, **Partners_public** changed from Unknown to Ministry of Human Settlements, **Partners_private** changed from Coral Restoration Foundation to Unknown, **Reference** changed from Website to Balgos, M.C. (1995). Evaluation of artificial reef development in the Philippines. In Munro, J.L. &amp; Balgos, M. (eds.) Artificial reefs in the Philippines. ICLARM Conf. Proc. 49, pp. 6-22., **Website** changed from https://atlantishotel.com/travel-specials/coral-restoration-project/ to https://core.ac.uk/download/pdf/6515223.pdf;</v>
      </c>
      <c r="I563" s="153" t="s">
        <v>7173</v>
      </c>
      <c r="J563" s="153" t="s">
        <v>193</v>
      </c>
      <c r="K563" s="153" t="s">
        <v>194</v>
      </c>
      <c r="L563" s="153" t="s">
        <v>7114</v>
      </c>
      <c r="M563" s="181" t="s">
        <v>217</v>
      </c>
      <c r="N563" s="153" t="s">
        <v>151</v>
      </c>
      <c r="O563" s="153" t="s">
        <v>384</v>
      </c>
      <c r="P563" s="173" t="s">
        <v>2880</v>
      </c>
      <c r="Q563" s="182">
        <v>1979.0</v>
      </c>
      <c r="R563" s="216" t="s">
        <v>6052</v>
      </c>
      <c r="S563" s="216" t="s">
        <v>6053</v>
      </c>
      <c r="T563" s="161" t="s">
        <v>150</v>
      </c>
      <c r="U563" s="153">
        <f>IFERROR(__xludf.DUMMYFUNCTION("""COMPUTED_VALUE"""),535.0)</f>
        <v>535</v>
      </c>
      <c r="V563" s="162" t="s">
        <v>3311</v>
      </c>
      <c r="W563" s="170" t="s">
        <v>6059</v>
      </c>
      <c r="X563" s="28" t="s">
        <v>6033</v>
      </c>
      <c r="Y563" s="28" t="s">
        <v>386</v>
      </c>
      <c r="Z563" s="176" t="s">
        <v>386</v>
      </c>
      <c r="AA563" s="153" t="s">
        <v>6054</v>
      </c>
      <c r="AB563" s="158" t="s">
        <v>149</v>
      </c>
      <c r="AC563" s="153" t="s">
        <v>390</v>
      </c>
      <c r="AD563" s="158" t="s">
        <v>160</v>
      </c>
      <c r="AE563" s="158" t="s">
        <v>6035</v>
      </c>
      <c r="AF563" s="158" t="s">
        <v>159</v>
      </c>
      <c r="AG563" s="194" t="s">
        <v>149</v>
      </c>
      <c r="AH563" s="202" t="s">
        <v>149</v>
      </c>
      <c r="AI563" s="173" t="s">
        <v>391</v>
      </c>
      <c r="AJ563" s="153" t="s">
        <v>390</v>
      </c>
      <c r="AK563" s="153" t="s">
        <v>6035</v>
      </c>
      <c r="AL563" s="173" t="s">
        <v>6055</v>
      </c>
      <c r="AM563" s="214" t="s">
        <v>149</v>
      </c>
      <c r="AN563" s="214" t="s">
        <v>149</v>
      </c>
      <c r="AO563" s="156">
        <v>1.0</v>
      </c>
      <c r="AP563" s="156" t="s">
        <v>6037</v>
      </c>
      <c r="AQ563" s="158" t="s">
        <v>395</v>
      </c>
      <c r="AR563" s="153" t="s">
        <v>6060</v>
      </c>
      <c r="AS563" s="158" t="s">
        <v>6711</v>
      </c>
      <c r="AT563" s="214" t="s">
        <v>149</v>
      </c>
      <c r="AU563" s="214" t="s">
        <v>149</v>
      </c>
    </row>
    <row r="564">
      <c r="A564" s="186">
        <v>282.0</v>
      </c>
      <c r="B564" s="152">
        <v>2023.0</v>
      </c>
      <c r="D564" s="152"/>
      <c r="E564" s="151">
        <v>282.0</v>
      </c>
      <c r="F564" s="129" t="s">
        <v>140</v>
      </c>
      <c r="G564" s="3" t="s">
        <v>6029</v>
      </c>
      <c r="H564" s="8" t="str">
        <f>IFERROR(__xludf.DUMMYFUNCTION("""COMPUTED_VALUE"""),"")</f>
        <v/>
      </c>
      <c r="I564" s="8" t="s">
        <v>7174</v>
      </c>
      <c r="J564" s="8" t="s">
        <v>193</v>
      </c>
      <c r="K564" s="8" t="s">
        <v>632</v>
      </c>
      <c r="L564" s="8" t="s">
        <v>7175</v>
      </c>
      <c r="M564" s="8" t="s">
        <v>7176</v>
      </c>
      <c r="N564" s="8" t="s">
        <v>151</v>
      </c>
      <c r="O564" s="155" t="s">
        <v>149</v>
      </c>
      <c r="P564" s="155" t="s">
        <v>149</v>
      </c>
      <c r="Q564" s="155" t="s">
        <v>149</v>
      </c>
      <c r="R564" s="155" t="s">
        <v>149</v>
      </c>
      <c r="S564" s="155" t="s">
        <v>149</v>
      </c>
      <c r="T564" s="8"/>
      <c r="U564" s="8">
        <f>IFERROR(__xludf.DUMMYFUNCTION("""COMPUTED_VALUE"""),536.0)</f>
        <v>536</v>
      </c>
      <c r="V564" s="8"/>
      <c r="W564" s="155"/>
      <c r="X564" s="8"/>
      <c r="Y564" s="8"/>
      <c r="AA564" s="155" t="s">
        <v>149</v>
      </c>
      <c r="AB564" s="155" t="s">
        <v>149</v>
      </c>
      <c r="AC564" s="155" t="s">
        <v>149</v>
      </c>
      <c r="AG564" s="155" t="s">
        <v>149</v>
      </c>
      <c r="AH564" s="155" t="s">
        <v>149</v>
      </c>
      <c r="AI564" s="155" t="s">
        <v>149</v>
      </c>
      <c r="AJ564" s="8" t="s">
        <v>2343</v>
      </c>
      <c r="AL564" s="214" t="s">
        <v>149</v>
      </c>
      <c r="AM564" s="208" t="s">
        <v>7177</v>
      </c>
      <c r="AN564" s="214" t="s">
        <v>149</v>
      </c>
      <c r="AO564" s="8"/>
      <c r="AP564" s="8"/>
      <c r="AR564" s="8" t="s">
        <v>166</v>
      </c>
      <c r="AS564" s="172" t="s">
        <v>2345</v>
      </c>
      <c r="AT564" s="214" t="s">
        <v>149</v>
      </c>
      <c r="AU564" s="214" t="s">
        <v>149</v>
      </c>
    </row>
    <row r="565">
      <c r="A565" s="186">
        <v>282.0</v>
      </c>
      <c r="B565" s="152">
        <v>2025.0</v>
      </c>
      <c r="C565" s="153" t="str">
        <f>CONCATENATE(D565, "-", M565, "-", A565)
</f>
        <v>2023-PH072226000-282</v>
      </c>
      <c r="D565" s="152">
        <f>IF(OR(F564="Published", F564="Unpublished"), 2023, IF(F564="New", 2025, ""))
</f>
        <v>2023</v>
      </c>
      <c r="E565" s="151">
        <v>282.0</v>
      </c>
      <c r="F565" s="156" t="s">
        <v>140</v>
      </c>
      <c r="G565" s="156" t="s">
        <v>141</v>
      </c>
      <c r="H565" s="153" t="str">
        <f>IFERROR(__xludf.DUMMYFUNCTION("""COMPUTED_VALUE"""),"**Restoration_project** changed from Unknown to Artificial Reef Development Program, **Restoration_project_short** changed from Unknown to Site in Mactan Is, **Year of establishment** changed from Unknown to 1982, **Project Start** changed from Unknown to"&amp;" 1985, **Project End** changed from Unknown to 1987, **Technique/Material Type** changed from Unknown to tires, **Funding agency** changed from Unknown to BFAR, **Total units** changed from Unknown to 8 TM, **Implementing institution** changed from Rotary"&amp;" Club Dumaguete South to BFAR, **Partners_public** changed from Unknown to Ministry of Human Settlements, **Partners_private** changed from BPI Bayan to Unknown, **Reference** changed from News/Press Release to Balgos, M.C. (1995). Evaluation of artificia"&amp;"l reef development in the Philippines. In Munro, J.L. &amp; Balgos, M. (eds.) Artificial reefs in the Philippines. ICLARM Conf. Proc. 49, pp. 6-22., **Website** changed from https://www.rotarydistrict3860.org/wp-content/d3860/Dumaguete%20South/21_22/04_ebulle"&amp;"tin_2021_09_29_2021-09-29.pdf to https://core.ac.uk/download/pdf/6515223.pdf;")</f>
        <v>**Restoration_project** changed from Unknown to Artificial Reef Development Program, **Restoration_project_short** changed from Unknown to Site in Mactan Is, **Year of establishment** changed from Unknown to 1982, **Project Start** changed from Unknown to 1985, **Project End** changed from Unknown to 1987, **Technique/Material Type** changed from Unknown to tires, **Funding agency** changed from Unknown to BFAR, **Total units** changed from Unknown to 8 TM, **Implementing institution** changed from Rotary Club Dumaguete South to BFAR, **Partners_public** changed from Unknown to Ministry of Human Settlements, **Partners_private** changed from BPI Bayan to Unknown, **Reference** changed from News/Press Release to Balgos, M.C. (1995). Evaluation of artificial reef development in the Philippines. In Munro, J.L. &amp; Balgos, M. (eds.) Artificial reefs in the Philippines. ICLARM Conf. Proc. 49, pp. 6-22., **Website** changed from https://www.rotarydistrict3860.org/wp-content/d3860/Dumaguete%20South/21_22/04_ebulletin_2021_09_29_2021-09-29.pdf to https://core.ac.uk/download/pdf/6515223.pdf;</v>
      </c>
      <c r="I565" s="153" t="s">
        <v>7178</v>
      </c>
      <c r="J565" s="153" t="s">
        <v>193</v>
      </c>
      <c r="K565" s="153" t="s">
        <v>194</v>
      </c>
      <c r="L565" s="153" t="s">
        <v>7114</v>
      </c>
      <c r="M565" s="181" t="s">
        <v>217</v>
      </c>
      <c r="N565" s="153" t="s">
        <v>151</v>
      </c>
      <c r="O565" s="153" t="s">
        <v>384</v>
      </c>
      <c r="P565" s="153" t="s">
        <v>2882</v>
      </c>
      <c r="Q565" s="169">
        <v>1982.0</v>
      </c>
      <c r="R565" s="175" t="s">
        <v>6052</v>
      </c>
      <c r="S565" s="175" t="s">
        <v>6053</v>
      </c>
      <c r="T565" s="161" t="s">
        <v>150</v>
      </c>
      <c r="U565" s="153">
        <f>IFERROR(__xludf.DUMMYFUNCTION("""COMPUTED_VALUE"""),537.0)</f>
        <v>537</v>
      </c>
      <c r="V565" s="162" t="s">
        <v>3311</v>
      </c>
      <c r="W565" s="170" t="s">
        <v>6059</v>
      </c>
      <c r="X565" s="28" t="s">
        <v>6033</v>
      </c>
      <c r="Y565" s="28" t="s">
        <v>386</v>
      </c>
      <c r="Z565" s="176" t="s">
        <v>386</v>
      </c>
      <c r="AA565" s="153" t="s">
        <v>6054</v>
      </c>
      <c r="AB565" s="202" t="s">
        <v>149</v>
      </c>
      <c r="AC565" s="153" t="s">
        <v>390</v>
      </c>
      <c r="AD565" s="158" t="s">
        <v>160</v>
      </c>
      <c r="AE565" s="158" t="s">
        <v>6035</v>
      </c>
      <c r="AF565" s="158" t="s">
        <v>159</v>
      </c>
      <c r="AG565" s="194" t="s">
        <v>149</v>
      </c>
      <c r="AH565" s="202" t="s">
        <v>149</v>
      </c>
      <c r="AI565" s="153" t="s">
        <v>414</v>
      </c>
      <c r="AJ565" s="153" t="s">
        <v>390</v>
      </c>
      <c r="AK565" s="153" t="s">
        <v>6035</v>
      </c>
      <c r="AL565" s="153" t="s">
        <v>6055</v>
      </c>
      <c r="AM565" s="214" t="s">
        <v>149</v>
      </c>
      <c r="AN565" s="214" t="s">
        <v>149</v>
      </c>
      <c r="AO565" s="156">
        <v>1.0</v>
      </c>
      <c r="AP565" s="156" t="s">
        <v>6037</v>
      </c>
      <c r="AQ565" s="158" t="s">
        <v>395</v>
      </c>
      <c r="AR565" s="153" t="s">
        <v>6060</v>
      </c>
      <c r="AS565" s="158" t="s">
        <v>6711</v>
      </c>
      <c r="AT565" s="214" t="s">
        <v>149</v>
      </c>
      <c r="AU565" s="214" t="s">
        <v>149</v>
      </c>
    </row>
    <row r="566">
      <c r="A566" s="186">
        <v>283.0</v>
      </c>
      <c r="B566" s="152">
        <v>2023.0</v>
      </c>
      <c r="D566" s="152"/>
      <c r="E566" s="151">
        <v>283.0</v>
      </c>
      <c r="F566" s="156" t="s">
        <v>140</v>
      </c>
      <c r="G566" s="3" t="s">
        <v>6029</v>
      </c>
      <c r="H566" s="8" t="str">
        <f>IFERROR(__xludf.DUMMYFUNCTION("""COMPUTED_VALUE"""),"")</f>
        <v/>
      </c>
      <c r="I566" s="8" t="s">
        <v>7179</v>
      </c>
      <c r="J566" s="8" t="s">
        <v>193</v>
      </c>
      <c r="K566" s="8" t="s">
        <v>632</v>
      </c>
      <c r="L566" s="8" t="s">
        <v>7175</v>
      </c>
      <c r="M566" s="8" t="s">
        <v>7176</v>
      </c>
      <c r="N566" s="8" t="s">
        <v>151</v>
      </c>
      <c r="O566" s="155" t="s">
        <v>149</v>
      </c>
      <c r="P566" s="155" t="s">
        <v>149</v>
      </c>
      <c r="Q566" s="142" t="s">
        <v>7180</v>
      </c>
      <c r="R566" s="142" t="s">
        <v>7180</v>
      </c>
      <c r="S566" s="142" t="s">
        <v>6347</v>
      </c>
      <c r="T566" s="8"/>
      <c r="U566" s="8">
        <f>IFERROR(__xludf.DUMMYFUNCTION("""COMPUTED_VALUE"""),538.0)</f>
        <v>538</v>
      </c>
      <c r="V566" s="8"/>
      <c r="W566" s="8"/>
      <c r="X566" s="8"/>
      <c r="Y566" s="8"/>
      <c r="AA566" s="8" t="s">
        <v>386</v>
      </c>
      <c r="AB566" s="208" t="s">
        <v>699</v>
      </c>
      <c r="AC566" s="155" t="s">
        <v>149</v>
      </c>
      <c r="AG566" s="214" t="s">
        <v>149</v>
      </c>
      <c r="AH566" s="214" t="s">
        <v>149</v>
      </c>
      <c r="AI566" s="8" t="s">
        <v>3036</v>
      </c>
      <c r="AJ566" s="8" t="s">
        <v>3037</v>
      </c>
      <c r="AL566" s="8" t="s">
        <v>3038</v>
      </c>
      <c r="AM566" s="214" t="s">
        <v>149</v>
      </c>
      <c r="AN566" s="214" t="s">
        <v>149</v>
      </c>
      <c r="AO566" s="8"/>
      <c r="AP566" s="8"/>
      <c r="AR566" s="8" t="s">
        <v>395</v>
      </c>
      <c r="AS566" s="8" t="s">
        <v>2873</v>
      </c>
      <c r="AT566" s="208" t="s">
        <v>398</v>
      </c>
      <c r="AU566" s="214" t="s">
        <v>149</v>
      </c>
    </row>
    <row r="567">
      <c r="A567" s="186">
        <v>283.0</v>
      </c>
      <c r="B567" s="152">
        <v>2025.0</v>
      </c>
      <c r="C567" s="153" t="str">
        <f>CONCATENATE(D567, "-", M567, "-", A567)
</f>
        <v>2023-PH072226000-283</v>
      </c>
      <c r="D567" s="152">
        <f>IF(OR(F566="Published", F566="Unpublished"), 2023, IF(F566="New", 2025, ""))
</f>
        <v>2023</v>
      </c>
      <c r="E567" s="151">
        <v>283.0</v>
      </c>
      <c r="F567" s="156" t="s">
        <v>140</v>
      </c>
      <c r="G567" s="156" t="s">
        <v>141</v>
      </c>
      <c r="H567" s="153" t="str">
        <f>IFERROR(__xludf.DUMMYFUNCTION("""COMPUTED_VALUE"""),"**Restoration_project** changed from Unknown to Coral Farm Project, **Restoration_project_short** changed from Unknown to Site in Caw-oy, **Year of establishment** changed from 1977 to 1997, **Project Start** changed from 1977 to 1997, **Project End** cha"&amp;"nged from 1978 to 2000, **Restoration method** changed from Artificial Reef to Asexual Reproduction, **Technique/Material Type** changed from Tires to CNU, **Restoration objective** changed from Experimental to Nursery for coral fragments, maintain biodiv"&amp;"ersity and generate income for fisherfolk by marketing the farm-grown coral fragments for rehabilitation and ecotourism, **Funding agency** changed from Unknown to German Ministry of Environment; German Technical Cooperation, **Total area of restoration**"&amp;" changed from Unknown to 2 ha, **Total units** changed from 70 modules to 275 CNUs/22,000 COPs, **Implementing institution** changed from Silliman University to University of San Carlos, **Partners_public** changed from BFAR; US Peace Corps to CHED - Cent"&amp;"er for Development Fund, **Partners_communities** changed from Unknown to Caw-oy Fisherfolks, **Reference** changed from Conference Proceeding to Gomez, E., Cabaitan, P., &amp; Vicentuan, K. (2006). Coral culture and transplantation and restocking of giant cl"&amp;"ams in the Philippines. In J.H. Primavera, E.T. Quinitio, &amp; M. R. R. Eguia (Eds.). Proceedings of the Regional Technical Consultation on Stock Enh, **Website** changed from http://pubs.iclarm.net/libinfo/Pdf/Pub%20CP6%2049.pdf to https://aquadocs.org/bits"&amp;"tream/handle/1834/40478/GomezED2006.pdf?sequence=1&amp;isAllowed=y, **Contact_name** changed from Miriam Balgos to Unknown")</f>
        <v>**Restoration_project** changed from Unknown to Coral Farm Project, **Restoration_project_short** changed from Unknown to Site in Caw-oy, **Year of establishment** changed from 1977 to 1997, **Project Start** changed from 1977 to 1997, **Project End** changed from 1978 to 2000, **Restoration method** changed from Artificial Reef to Asexual Reproduction, **Technique/Material Type** changed from Tires to CNU, **Restoration objective** changed from Experimental to Nursery for coral fragments, maintain biodiversity and generate income for fisherfolk by marketing the farm-grown coral fragments for rehabilitation and ecotourism, **Funding agency** changed from Unknown to German Ministry of Environment; German Technical Cooperation, **Total area of restoration** changed from Unknown to 2 ha, **Total units** changed from 70 modules to 275 CNUs/22,000 COPs, **Implementing institution** changed from Silliman University to University of San Carlos, **Partners_public** changed from BFAR; US Peace Corps to CHED - Center for Development Fund, **Partners_communities** changed from Unknown to Caw-oy Fisherfolks, **Reference** changed from Conference Proceeding to Gomez, E., Cabaitan, P., &amp; Vicentuan, K. (2006). Coral culture and transplantation and restocking of giant clams in the Philippines. In J.H. Primavera, E.T. Quinitio, &amp; M. R. R. Eguia (Eds.). Proceedings of the Regional Technical Consultation on Stock Enh, **Website** changed from http://pubs.iclarm.net/libinfo/Pdf/Pub%20CP6%2049.pdf to https://aquadocs.org/bitstream/handle/1834/40478/GomezED2006.pdf?sequence=1&amp;isAllowed=y, **Contact_name** changed from Miriam Balgos to Unknown</v>
      </c>
      <c r="I567" s="153" t="s">
        <v>7181</v>
      </c>
      <c r="J567" s="153" t="s">
        <v>193</v>
      </c>
      <c r="K567" s="153" t="s">
        <v>194</v>
      </c>
      <c r="L567" s="153" t="s">
        <v>7114</v>
      </c>
      <c r="M567" s="181" t="s">
        <v>217</v>
      </c>
      <c r="N567" s="153" t="s">
        <v>6062</v>
      </c>
      <c r="O567" s="153" t="s">
        <v>877</v>
      </c>
      <c r="P567" s="173" t="s">
        <v>878</v>
      </c>
      <c r="Q567" s="169">
        <v>1997.0</v>
      </c>
      <c r="R567" s="175" t="s">
        <v>7119</v>
      </c>
      <c r="S567" s="175" t="s">
        <v>6211</v>
      </c>
      <c r="T567" s="156" t="s">
        <v>177</v>
      </c>
      <c r="U567" s="153">
        <f>IFERROR(__xludf.DUMMYFUNCTION("""COMPUTED_VALUE"""),539.0)</f>
        <v>539</v>
      </c>
      <c r="V567" s="191" t="s">
        <v>1359</v>
      </c>
      <c r="W567" s="179" t="s">
        <v>6066</v>
      </c>
      <c r="X567" s="180"/>
      <c r="Y567" s="180" t="s">
        <v>154</v>
      </c>
      <c r="Z567" s="158" t="s">
        <v>179</v>
      </c>
      <c r="AA567" s="153" t="s">
        <v>320</v>
      </c>
      <c r="AB567" s="153" t="s">
        <v>881</v>
      </c>
      <c r="AC567" s="153" t="s">
        <v>7120</v>
      </c>
      <c r="AD567" s="158" t="s">
        <v>6154</v>
      </c>
      <c r="AE567" s="158" t="s">
        <v>206</v>
      </c>
      <c r="AF567" s="158" t="s">
        <v>159</v>
      </c>
      <c r="AG567" s="194" t="s">
        <v>149</v>
      </c>
      <c r="AH567" s="153" t="s">
        <v>7121</v>
      </c>
      <c r="AI567" s="188" t="s">
        <v>884</v>
      </c>
      <c r="AJ567" s="153" t="s">
        <v>885</v>
      </c>
      <c r="AK567" s="158" t="s">
        <v>6068</v>
      </c>
      <c r="AL567" s="153" t="s">
        <v>887</v>
      </c>
      <c r="AM567" s="214" t="s">
        <v>149</v>
      </c>
      <c r="AN567" s="173" t="s">
        <v>888</v>
      </c>
      <c r="AO567" s="156">
        <v>1.0</v>
      </c>
      <c r="AP567" s="156" t="s">
        <v>6037</v>
      </c>
      <c r="AQ567" s="158" t="s">
        <v>395</v>
      </c>
      <c r="AR567" s="153" t="s">
        <v>7182</v>
      </c>
      <c r="AS567" s="165" t="s">
        <v>942</v>
      </c>
      <c r="AT567" s="214" t="s">
        <v>149</v>
      </c>
      <c r="AU567" s="214" t="s">
        <v>149</v>
      </c>
    </row>
    <row r="568">
      <c r="A568" s="186">
        <v>284.0</v>
      </c>
      <c r="B568" s="152">
        <v>2023.0</v>
      </c>
      <c r="D568" s="152"/>
      <c r="E568" s="151">
        <v>284.0</v>
      </c>
      <c r="F568" s="156" t="s">
        <v>140</v>
      </c>
      <c r="G568" s="3" t="s">
        <v>6029</v>
      </c>
      <c r="H568" s="8" t="str">
        <f>IFERROR(__xludf.DUMMYFUNCTION("""COMPUTED_VALUE"""),"")</f>
        <v/>
      </c>
      <c r="I568" s="8" t="s">
        <v>7183</v>
      </c>
      <c r="J568" s="8" t="s">
        <v>193</v>
      </c>
      <c r="K568" s="8" t="s">
        <v>632</v>
      </c>
      <c r="L568" s="8" t="s">
        <v>7175</v>
      </c>
      <c r="M568" s="8" t="s">
        <v>7176</v>
      </c>
      <c r="N568" s="8" t="s">
        <v>6062</v>
      </c>
      <c r="O568" s="208" t="s">
        <v>934</v>
      </c>
      <c r="P568" s="214" t="s">
        <v>149</v>
      </c>
      <c r="Q568" s="142" t="s">
        <v>6229</v>
      </c>
      <c r="R568" s="174" t="s">
        <v>6229</v>
      </c>
      <c r="S568" s="174" t="s">
        <v>6230</v>
      </c>
      <c r="T568" s="8"/>
      <c r="U568" s="8">
        <f>IFERROR(__xludf.DUMMYFUNCTION("""COMPUTED_VALUE"""),540.0)</f>
        <v>540</v>
      </c>
      <c r="V568" s="8"/>
      <c r="W568" s="3"/>
      <c r="X568" s="8"/>
      <c r="Y568" s="8"/>
      <c r="AA568" s="3" t="s">
        <v>3245</v>
      </c>
      <c r="AB568" s="8" t="s">
        <v>939</v>
      </c>
      <c r="AC568" s="208" t="s">
        <v>940</v>
      </c>
      <c r="AG568" s="214" t="s">
        <v>149</v>
      </c>
      <c r="AH568" s="214" t="s">
        <v>149</v>
      </c>
      <c r="AI568" s="214" t="s">
        <v>149</v>
      </c>
      <c r="AJ568" s="8" t="s">
        <v>233</v>
      </c>
      <c r="AL568" s="214" t="s">
        <v>149</v>
      </c>
      <c r="AM568" s="214" t="s">
        <v>149</v>
      </c>
      <c r="AN568" s="214" t="s">
        <v>149</v>
      </c>
      <c r="AO568" s="8"/>
      <c r="AP568" s="8"/>
      <c r="AR568" s="8" t="s">
        <v>6214</v>
      </c>
      <c r="AS568" s="8" t="s">
        <v>942</v>
      </c>
      <c r="AT568" s="208" t="s">
        <v>943</v>
      </c>
      <c r="AU568" s="214" t="s">
        <v>149</v>
      </c>
    </row>
    <row r="569">
      <c r="A569" s="186">
        <v>284.0</v>
      </c>
      <c r="B569" s="152">
        <v>2025.0</v>
      </c>
      <c r="C569" s="153" t="str">
        <f>CONCATENATE(D569, "-", M569, "-", A569)
</f>
        <v>2023-PH072226000-284</v>
      </c>
      <c r="D569" s="152">
        <f>IF(OR(F568="Published", F568="Unpublished"), 2023, IF(F568="New", 2025, ""))
</f>
        <v>2023</v>
      </c>
      <c r="E569" s="151">
        <v>284.0</v>
      </c>
      <c r="F569" s="156" t="s">
        <v>140</v>
      </c>
      <c r="G569" s="156" t="s">
        <v>141</v>
      </c>
      <c r="H569" s="153" t="str">
        <f>IFERROR(__xludf.DUMMYFUNCTION("""COMPUTED_VALUE"""),"**Restoration_project** changed from Coral Reef Habitat and Productivity Enhancement through Coral Transplantation and Giant Clam Restocking to Unknown, **Restoration_project_short** changed from Unknown to Site in reef fronting USC Marine Research Statio"&amp;"n, **Year of establishment** changed from 2001 to 2014, **Project Start** changed from 2001 to 2014, **Project End** changed from 2005 to 2015, **Technique/Material Type** changed from Direct transplantation to Coral transplantation; Artificial Reef, **Re"&amp;"storation objective** changed from Improve biodiversity and productivity of stressed coral reef habitats in 10 selected demonstration sites to Unknown, **Funding agency** changed from Pew Marine Conservation Fellowship to Unknown, **Implementing instituti"&amp;"on** changed from UP MSI to University of San Carlos, **Reference** changed from Published article to Olano, M. J., &amp; Sotto, F. B. (2016). Integrating corals of opportunities, artificial reef systems, and marine protected areas: potentials for expanding c"&amp;"oral cover [Conference Paper]. https://www.researchgate.net/publication/334957333_INTEGRATING_CORALS_OF_OPPORTUNITIES_ARTIFICIAL_REEF_SYSTEMS_AND_MARINE_PROTECTED_AREAS_POTENTIALS_FOR_EXPANDING_CORAL_COVER, **Website** changed from https://aquadocs.org/bi"&amp;"tstream/handle/1834/40478/GomezED2006.pdf?sequence=1&amp;isAllowed=y to (PDF) INTEGRATING CORALS OF OPPORTUNITIES, ARTIFICIAL REEF SYSTEMS, AND MARINE PROTECTED AREAS: POTENTIALS FOR EXPANDING CORAL COVER (researchgate.net), **Contact_name** changed from Dr. "&amp;"Patrick Cabaitan to Unknown")</f>
        <v>**Restoration_project** changed from Coral Reef Habitat and Productivity Enhancement through Coral Transplantation and Giant Clam Restocking to Unknown, **Restoration_project_short** changed from Unknown to Site in reef fronting USC Marine Research Station, **Year of establishment** changed from 2001 to 2014, **Project Start** changed from 2001 to 2014, **Project End** changed from 2005 to 2015, **Technique/Material Type** changed from Direct transplantation to Coral transplantation; Artificial Reef, **Restoration objective** changed from Improve biodiversity and productivity of stressed coral reef habitats in 10 selected demonstration sites to Unknown, **Funding agency** changed from Pew Marine Conservation Fellowship to Unknown, **Implementing institution** changed from UP MSI to University of San Carlos, **Reference** changed from Published article to 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 **Website** changed from https://aquadocs.org/bitstream/handle/1834/40478/GomezED2006.pdf?sequence=1&amp;isAllowed=y to (PDF) INTEGRATING CORALS OF OPPORTUNITIES, ARTIFICIAL REEF SYSTEMS, AND MARINE PROTECTED AREAS: POTENTIALS FOR EXPANDING CORAL COVER (researchgate.net), **Contact_name** changed from Dr. Patrick Cabaitan to Unknown</v>
      </c>
      <c r="I569" s="153" t="s">
        <v>7184</v>
      </c>
      <c r="J569" s="153" t="s">
        <v>193</v>
      </c>
      <c r="K569" s="153" t="s">
        <v>194</v>
      </c>
      <c r="L569" s="153" t="s">
        <v>7114</v>
      </c>
      <c r="M569" s="181" t="s">
        <v>217</v>
      </c>
      <c r="N569" s="153" t="s">
        <v>6062</v>
      </c>
      <c r="O569" s="158" t="s">
        <v>149</v>
      </c>
      <c r="P569" s="173" t="s">
        <v>3150</v>
      </c>
      <c r="Q569" s="169">
        <v>2014.0</v>
      </c>
      <c r="R569" s="175" t="s">
        <v>6063</v>
      </c>
      <c r="S569" s="175" t="s">
        <v>6268</v>
      </c>
      <c r="T569" s="156" t="s">
        <v>177</v>
      </c>
      <c r="U569" s="153">
        <f>IFERROR(__xludf.DUMMYFUNCTION("""COMPUTED_VALUE"""),541.0)</f>
        <v>541</v>
      </c>
      <c r="V569" s="191" t="s">
        <v>3245</v>
      </c>
      <c r="W569" s="184" t="s">
        <v>149</v>
      </c>
      <c r="X569" s="180"/>
      <c r="Y569" s="180" t="s">
        <v>154</v>
      </c>
      <c r="Z569" s="158" t="s">
        <v>179</v>
      </c>
      <c r="AA569" s="153" t="s">
        <v>7185</v>
      </c>
      <c r="AB569" s="202" t="s">
        <v>149</v>
      </c>
      <c r="AC569" s="158" t="s">
        <v>149</v>
      </c>
      <c r="AD569" s="158" t="s">
        <v>149</v>
      </c>
      <c r="AE569" s="158" t="s">
        <v>149</v>
      </c>
      <c r="AF569" s="158" t="s">
        <v>149</v>
      </c>
      <c r="AG569" s="194" t="s">
        <v>149</v>
      </c>
      <c r="AH569" s="202" t="s">
        <v>149</v>
      </c>
      <c r="AI569" s="158" t="s">
        <v>149</v>
      </c>
      <c r="AJ569" s="153" t="s">
        <v>885</v>
      </c>
      <c r="AK569" s="158" t="s">
        <v>6068</v>
      </c>
      <c r="AL569" s="217" t="s">
        <v>149</v>
      </c>
      <c r="AM569" s="214" t="s">
        <v>149</v>
      </c>
      <c r="AN569" s="214" t="s">
        <v>149</v>
      </c>
      <c r="AO569" s="156">
        <v>1.0</v>
      </c>
      <c r="AP569" s="156" t="s">
        <v>6037</v>
      </c>
      <c r="AQ569" s="158" t="s">
        <v>7186</v>
      </c>
      <c r="AR569" s="153" t="s">
        <v>3151</v>
      </c>
      <c r="AS569" s="165" t="s">
        <v>7187</v>
      </c>
      <c r="AT569" s="214" t="s">
        <v>149</v>
      </c>
      <c r="AU569" s="214" t="s">
        <v>149</v>
      </c>
    </row>
    <row r="570">
      <c r="A570" s="186">
        <v>285.0</v>
      </c>
      <c r="B570" s="152">
        <v>2023.0</v>
      </c>
      <c r="D570" s="152"/>
      <c r="E570" s="151">
        <v>285.0</v>
      </c>
      <c r="F570" s="129" t="s">
        <v>140</v>
      </c>
      <c r="G570" s="3" t="s">
        <v>6029</v>
      </c>
      <c r="H570" s="8" t="str">
        <f>IFERROR(__xludf.DUMMYFUNCTION("""COMPUTED_VALUE"""),"")</f>
        <v/>
      </c>
      <c r="I570" s="8" t="s">
        <v>7188</v>
      </c>
      <c r="J570" s="8" t="s">
        <v>193</v>
      </c>
      <c r="K570" s="8" t="s">
        <v>632</v>
      </c>
      <c r="L570" s="8" t="s">
        <v>2697</v>
      </c>
      <c r="M570" s="8" t="s">
        <v>7189</v>
      </c>
      <c r="N570" s="8" t="s">
        <v>151</v>
      </c>
      <c r="O570" s="155" t="s">
        <v>149</v>
      </c>
      <c r="P570" s="214" t="s">
        <v>149</v>
      </c>
      <c r="Q570" s="214" t="s">
        <v>149</v>
      </c>
      <c r="R570" s="155" t="s">
        <v>149</v>
      </c>
      <c r="S570" s="155" t="s">
        <v>149</v>
      </c>
      <c r="T570" s="8"/>
      <c r="U570" s="8">
        <f>IFERROR(__xludf.DUMMYFUNCTION("""COMPUTED_VALUE"""),542.0)</f>
        <v>542</v>
      </c>
      <c r="V570" s="8"/>
      <c r="W570" s="155"/>
      <c r="X570" s="8"/>
      <c r="Y570" s="8"/>
      <c r="AA570" s="155" t="s">
        <v>149</v>
      </c>
      <c r="AB570" s="214" t="s">
        <v>149</v>
      </c>
      <c r="AC570" s="155" t="s">
        <v>149</v>
      </c>
      <c r="AG570" s="214" t="s">
        <v>149</v>
      </c>
      <c r="AH570" s="208" t="s">
        <v>7190</v>
      </c>
      <c r="AI570" s="155" t="s">
        <v>149</v>
      </c>
      <c r="AJ570" s="155" t="s">
        <v>149</v>
      </c>
      <c r="AL570" s="214" t="s">
        <v>149</v>
      </c>
      <c r="AM570" s="214" t="s">
        <v>149</v>
      </c>
      <c r="AN570" s="214" t="s">
        <v>149</v>
      </c>
      <c r="AO570" s="8"/>
      <c r="AP570" s="8"/>
      <c r="AR570" s="8" t="s">
        <v>395</v>
      </c>
      <c r="AS570" s="208" t="s">
        <v>2873</v>
      </c>
      <c r="AT570" s="208" t="s">
        <v>398</v>
      </c>
      <c r="AU570" s="214" t="s">
        <v>149</v>
      </c>
    </row>
    <row r="571">
      <c r="A571" s="186">
        <v>285.0</v>
      </c>
      <c r="B571" s="152">
        <v>2025.0</v>
      </c>
      <c r="C571" s="153" t="str">
        <f t="shared" ref="C571:C572" si="63">CONCATENATE(D571, "-", M571, "-", A571)
</f>
        <v>2023-PH072226000-285</v>
      </c>
      <c r="D571" s="152">
        <f t="shared" ref="D571:D572" si="64">IF(OR(F570="Published", F570="Unpublished"), 2023, IF(F570="New", 2025, ""))
</f>
        <v>2023</v>
      </c>
      <c r="E571" s="151">
        <v>285.0</v>
      </c>
      <c r="F571" s="156" t="s">
        <v>140</v>
      </c>
      <c r="G571" s="156" t="s">
        <v>141</v>
      </c>
      <c r="H571" s="153" t="str">
        <f>IFERROR(__xludf.DUMMYFUNCTION("""COMPUTED_VALUE"""),"**Restoration_project_short** changed from Unknown to Site inside MPA in Mactan Shangri-La Resort, **Year of establishment** changed from Unknown to 2014, **Project Start** changed from Unknown to 2014, **Project End** changed from Unknown to 2015, **Rest"&amp;"oration method** changed from Artificial Reef to Asexual Reproduction; Artificial Reef, **Technique/Material Type** changed from Unknown to Coral transplantation; Artificial Reef, **Total area of restoration** changed from 140 m2 to Unknown, **Implementin"&amp;"g institution** changed from Unknown to University of San Carlos, **Reference** changed from Conference Proceeding to Olano, M. J., &amp; Sotto, F. B. (2016). Integrating corals of opportunities, artificial reef systems, and marine protected areas: potentials"&amp;" for expanding coral cover [Conference Paper]. https://www.researchgate.net/publication/334957333_INTEGRATING_CORALS_OF_OPPORTUNITIES_ARTIFICIAL_REEF_SYSTEMS_AND_MARINE_PROTECTED_AREAS_POTENTIALS_FOR_EXPANDING_CORAL_COVER, **Website** changed from http://"&amp;"pubs.iclarm.net/libinfo/Pdf/Pub%20CP6%2049.pdf to (PDF) INTEGRATING CORALS OF OPPORTUNITIES, ARTIFICIAL REEF SYSTEMS, AND MARINE PROTECTED AREAS: POTENTIALS FOR EXPANDING CORAL COVER (researchgate.net), **Contact_name** changed from Miriam Balgos to Unkno"&amp;"wn")</f>
        <v>**Restoration_project_short** changed from Unknown to Site inside MPA in Mactan Shangri-La Resort, **Year of establishment** changed from Unknown to 2014, **Project Start** changed from Unknown to 2014, **Project End** changed from Unknown to 2015, **Restoration method** changed from Artificial Reef to Asexual Reproduction; Artificial Reef, **Technique/Material Type** changed from Unknown to Coral transplantation; Artificial Reef, **Total area of restoration** changed from 140 m2 to Unknown, **Implementing institution** changed from Unknown to University of San Carlos, **Reference** changed from Conference Proceeding to 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 **Website** changed from http://pubs.iclarm.net/libinfo/Pdf/Pub%20CP6%2049.pdf to (PDF) INTEGRATING CORALS OF OPPORTUNITIES, ARTIFICIAL REEF SYSTEMS, AND MARINE PROTECTED AREAS: POTENTIALS FOR EXPANDING CORAL COVER (researchgate.net), **Contact_name** changed from Miriam Balgos to Unknown</v>
      </c>
      <c r="I571" s="153" t="s">
        <v>7191</v>
      </c>
      <c r="J571" s="153" t="s">
        <v>193</v>
      </c>
      <c r="K571" s="153" t="s">
        <v>194</v>
      </c>
      <c r="L571" s="153" t="s">
        <v>7114</v>
      </c>
      <c r="M571" s="181" t="s">
        <v>217</v>
      </c>
      <c r="N571" s="153" t="s">
        <v>6814</v>
      </c>
      <c r="O571" s="158" t="s">
        <v>149</v>
      </c>
      <c r="P571" s="173" t="s">
        <v>218</v>
      </c>
      <c r="Q571" s="169">
        <v>2014.0</v>
      </c>
      <c r="R571" s="175" t="s">
        <v>6063</v>
      </c>
      <c r="S571" s="175" t="s">
        <v>6268</v>
      </c>
      <c r="T571" s="156" t="s">
        <v>263</v>
      </c>
      <c r="U571" s="153">
        <f>IFERROR(__xludf.DUMMYFUNCTION("""COMPUTED_VALUE"""),543.0)</f>
        <v>543</v>
      </c>
      <c r="V571" s="191" t="s">
        <v>6625</v>
      </c>
      <c r="W571" s="179" t="s">
        <v>149</v>
      </c>
      <c r="X571" s="180"/>
      <c r="Y571" s="180" t="s">
        <v>149</v>
      </c>
      <c r="Z571" s="158" t="s">
        <v>179</v>
      </c>
      <c r="AA571" s="153" t="s">
        <v>7185</v>
      </c>
      <c r="AB571" s="158" t="s">
        <v>149</v>
      </c>
      <c r="AC571" s="158" t="s">
        <v>149</v>
      </c>
      <c r="AD571" s="158" t="s">
        <v>149</v>
      </c>
      <c r="AE571" s="158" t="s">
        <v>149</v>
      </c>
      <c r="AF571" s="158" t="s">
        <v>149</v>
      </c>
      <c r="AG571" s="194" t="s">
        <v>149</v>
      </c>
      <c r="AH571" s="202" t="s">
        <v>149</v>
      </c>
      <c r="AI571" s="202" t="s">
        <v>149</v>
      </c>
      <c r="AJ571" s="153" t="s">
        <v>885</v>
      </c>
      <c r="AK571" s="158" t="s">
        <v>6068</v>
      </c>
      <c r="AL571" s="217" t="s">
        <v>149</v>
      </c>
      <c r="AM571" s="214" t="s">
        <v>149</v>
      </c>
      <c r="AN571" s="214" t="s">
        <v>149</v>
      </c>
      <c r="AO571" s="156">
        <v>2.0</v>
      </c>
      <c r="AP571" s="156" t="s">
        <v>6628</v>
      </c>
      <c r="AQ571" s="158" t="s">
        <v>7186</v>
      </c>
      <c r="AR571" s="153" t="s">
        <v>3151</v>
      </c>
      <c r="AS571" s="165" t="s">
        <v>7187</v>
      </c>
      <c r="AT571" s="214" t="s">
        <v>149</v>
      </c>
      <c r="AU571" s="214" t="s">
        <v>149</v>
      </c>
    </row>
    <row r="572">
      <c r="A572" s="186">
        <v>286.0</v>
      </c>
      <c r="B572" s="152">
        <v>2025.0</v>
      </c>
      <c r="C572" s="153" t="str">
        <f t="shared" si="63"/>
        <v>2023-PH072226000-286</v>
      </c>
      <c r="D572" s="152">
        <f t="shared" si="64"/>
        <v>2023</v>
      </c>
      <c r="E572" s="151">
        <v>286.0</v>
      </c>
      <c r="F572" s="156" t="s">
        <v>140</v>
      </c>
      <c r="G572" s="156" t="s">
        <v>141</v>
      </c>
      <c r="H572" s="153" t="str">
        <f>IFERROR(__xludf.DUMMYFUNCTION("""COMPUTED_VALUE"""),"**Restoration_project** changed from Unknown to Shangri-La Care for Nature Project, **Year of establishment** changed from 2014 to Unknown, **Project Start** changed from 2014 to Unknown, **Project End** changed from 2015 to Unknown, **Restoration method*"&amp;"* changed from Asexual Reproduction; Artificial Reef to Asexual Reproduction, **Technique/Material Type** changed from Coral transplantation; Artificial Reef to Coral planting; artificial reef, **Restoration objective** changed from Unknown to Tourism; CS"&amp;"R, **Funding agency** changed from Unknown to Mactan Shangri-La Resort, **Implementing institution** changed from University of San Carlos to Mactan Shangri-La Resort, **Reference** changed from Olano, M. J., &amp; Sotto, F. B. (2016). Integrating corals of o"&amp;"pportunities, artificial reef systems, and marine protected areas: potentials for expanding coral cover [Conference Paper]. https://www.researchgate.net/publication/334957333_INTEGRATING_CORALS_OF_OPPORTUNITIES_ARTIFICIAL_REEF_SYSTEMS_AND_MARINE_PROTECTED"&amp;"_AREAS_POTENTIALS_FOR_EXPANDING_CORAL_COVER to Coral Reef Restoration Project [2018, April 19]. Scotty's Action Sports Network. https://www.divescotty.com/underwater-blog/blog-february-14-2018.php, **Website** changed from (PDF) INTEGRATING CORALS OF OPPO"&amp;"RTUNITIES, ARTIFICIAL REEF SYSTEMS, AND MARINE PROTECTED AREAS: POTENTIALS FOR EXPANDING CORAL COVER (researchgate.net) to https://www.divescotty.com/underwater-blog/blog-february-14-2018.php")</f>
        <v>**Restoration_project** changed from Unknown to Shangri-La Care for Nature Project, **Year of establishment** changed from 2014 to Unknown, **Project Start** changed from 2014 to Unknown, **Project End** changed from 2015 to Unknown, **Restoration method** changed from Asexual Reproduction; Artificial Reef to Asexual Reproduction, **Technique/Material Type** changed from Coral transplantation; Artificial Reef to Coral planting; artificial reef, **Restoration objective** changed from Unknown to Tourism; CSR, **Funding agency** changed from Unknown to Mactan Shangri-La Resort, **Implementing institution** changed from University of San Carlos to Mactan Shangri-La Resort, **Reference** changed from Olano, M. J., &amp; Sotto, F. B. (2016). Integrating corals of opportunities, artificial reef systems, and marine protected areas: potentials for expanding coral cover [Conference Paper]. https://www.researchgate.net/publication/334957333_INTEGRATING_CORALS_OF_OPPORTUNITIES_ARTIFICIAL_REEF_SYSTEMS_AND_MARINE_PROTECTED_AREAS_POTENTIALS_FOR_EXPANDING_CORAL_COVER to Coral Reef Restoration Project [2018, April 19]. Scotty's Action Sports Network. https://www.divescotty.com/underwater-blog/blog-february-14-2018.php, **Website** changed from (PDF) INTEGRATING CORALS OF OPPORTUNITIES, ARTIFICIAL REEF SYSTEMS, AND MARINE PROTECTED AREAS: POTENTIALS FOR EXPANDING CORAL COVER (researchgate.net) to https://www.divescotty.com/underwater-blog/blog-february-14-2018.php</v>
      </c>
      <c r="I572" s="153" t="s">
        <v>7192</v>
      </c>
      <c r="J572" s="153" t="s">
        <v>193</v>
      </c>
      <c r="K572" s="153" t="s">
        <v>194</v>
      </c>
      <c r="L572" s="153" t="s">
        <v>7114</v>
      </c>
      <c r="M572" s="181" t="s">
        <v>217</v>
      </c>
      <c r="N572" s="153" t="s">
        <v>6062</v>
      </c>
      <c r="O572" s="153" t="s">
        <v>2073</v>
      </c>
      <c r="P572" s="173" t="s">
        <v>218</v>
      </c>
      <c r="Q572" s="178" t="s">
        <v>149</v>
      </c>
      <c r="R572" s="203" t="s">
        <v>149</v>
      </c>
      <c r="S572" s="203" t="s">
        <v>149</v>
      </c>
      <c r="T572" s="156" t="s">
        <v>177</v>
      </c>
      <c r="U572" s="153">
        <f>IFERROR(__xludf.DUMMYFUNCTION("""COMPUTED_VALUE"""),544.0)</f>
        <v>544</v>
      </c>
      <c r="V572" s="191" t="s">
        <v>3245</v>
      </c>
      <c r="W572" s="179" t="s">
        <v>149</v>
      </c>
      <c r="X572" s="180"/>
      <c r="Y572" s="180" t="s">
        <v>154</v>
      </c>
      <c r="Z572" s="158" t="s">
        <v>179</v>
      </c>
      <c r="AA572" s="173" t="s">
        <v>7193</v>
      </c>
      <c r="AB572" s="173" t="s">
        <v>7132</v>
      </c>
      <c r="AC572" s="173" t="s">
        <v>2077</v>
      </c>
      <c r="AD572" s="158" t="s">
        <v>160</v>
      </c>
      <c r="AE572" s="158" t="s">
        <v>184</v>
      </c>
      <c r="AF572" s="158" t="s">
        <v>159</v>
      </c>
      <c r="AG572" s="194" t="s">
        <v>149</v>
      </c>
      <c r="AH572" s="202" t="s">
        <v>149</v>
      </c>
      <c r="AI572" s="202" t="s">
        <v>149</v>
      </c>
      <c r="AJ572" s="153" t="s">
        <v>2077</v>
      </c>
      <c r="AK572" s="158" t="s">
        <v>184</v>
      </c>
      <c r="AL572" s="214" t="s">
        <v>149</v>
      </c>
      <c r="AM572" s="214" t="s">
        <v>149</v>
      </c>
      <c r="AN572" s="214" t="s">
        <v>149</v>
      </c>
      <c r="AO572" s="156">
        <v>1.0</v>
      </c>
      <c r="AP572" s="156" t="s">
        <v>6037</v>
      </c>
      <c r="AQ572" s="158" t="s">
        <v>6091</v>
      </c>
      <c r="AR572" s="153" t="s">
        <v>2078</v>
      </c>
      <c r="AS572" s="165" t="s">
        <v>2079</v>
      </c>
      <c r="AT572" s="214" t="s">
        <v>149</v>
      </c>
      <c r="AU572" s="214" t="s">
        <v>149</v>
      </c>
    </row>
    <row r="573">
      <c r="A573" s="186">
        <v>286.0</v>
      </c>
      <c r="B573" s="152">
        <v>2023.0</v>
      </c>
      <c r="D573" s="152"/>
      <c r="E573" s="151">
        <v>286.0</v>
      </c>
      <c r="F573" s="129" t="s">
        <v>140</v>
      </c>
      <c r="G573" s="3" t="s">
        <v>6029</v>
      </c>
      <c r="H573" s="8" t="str">
        <f>IFERROR(__xludf.DUMMYFUNCTION("""COMPUTED_VALUE"""),"")</f>
        <v/>
      </c>
      <c r="I573" s="8" t="s">
        <v>7194</v>
      </c>
      <c r="J573" s="8" t="s">
        <v>193</v>
      </c>
      <c r="K573" s="8" t="s">
        <v>632</v>
      </c>
      <c r="L573" s="8" t="s">
        <v>1667</v>
      </c>
      <c r="M573" s="8" t="s">
        <v>7195</v>
      </c>
      <c r="N573" s="8" t="s">
        <v>151</v>
      </c>
      <c r="O573" s="220" t="s">
        <v>149</v>
      </c>
      <c r="P573" s="220" t="s">
        <v>149</v>
      </c>
      <c r="Q573" s="166" t="s">
        <v>149</v>
      </c>
      <c r="R573" s="220" t="s">
        <v>149</v>
      </c>
      <c r="S573" s="220" t="s">
        <v>149</v>
      </c>
      <c r="T573" s="8"/>
      <c r="U573" s="8">
        <f>IFERROR(__xludf.DUMMYFUNCTION("""COMPUTED_VALUE"""),545.0)</f>
        <v>545</v>
      </c>
      <c r="V573" s="8"/>
      <c r="W573" s="166"/>
      <c r="X573" s="8"/>
      <c r="Y573" s="8"/>
      <c r="AA573" s="166" t="s">
        <v>149</v>
      </c>
      <c r="AB573" s="220" t="s">
        <v>149</v>
      </c>
      <c r="AC573" s="166" t="s">
        <v>149</v>
      </c>
      <c r="AG573" s="220" t="s">
        <v>149</v>
      </c>
      <c r="AH573" s="208" t="s">
        <v>7196</v>
      </c>
      <c r="AI573" s="220" t="s">
        <v>149</v>
      </c>
      <c r="AJ573" s="166" t="s">
        <v>149</v>
      </c>
      <c r="AL573" s="220" t="s">
        <v>149</v>
      </c>
      <c r="AM573" s="220" t="s">
        <v>149</v>
      </c>
      <c r="AN573" s="220" t="s">
        <v>149</v>
      </c>
      <c r="AO573" s="8"/>
      <c r="AP573" s="8"/>
      <c r="AR573" s="8" t="s">
        <v>395</v>
      </c>
      <c r="AS573" s="8" t="s">
        <v>2873</v>
      </c>
      <c r="AT573" s="208" t="s">
        <v>398</v>
      </c>
      <c r="AU573" s="214" t="s">
        <v>149</v>
      </c>
    </row>
    <row r="574">
      <c r="A574" s="186">
        <v>287.0</v>
      </c>
      <c r="B574" s="152">
        <v>2025.0</v>
      </c>
      <c r="C574" s="153" t="str">
        <f>CONCATENATE(D574, "-", M574, "-", A574)
</f>
        <v>2023-PH072226000-287</v>
      </c>
      <c r="D574" s="152">
        <f>IF(OR(F573="Published", F573="Unpublished"), 2023, IF(F573="New", 2025, ""))
</f>
        <v>2023</v>
      </c>
      <c r="E574" s="151">
        <v>287.0</v>
      </c>
      <c r="F574" s="129" t="s">
        <v>140</v>
      </c>
      <c r="G574" s="156" t="s">
        <v>141</v>
      </c>
      <c r="H574" s="153" t="str">
        <f>IFERROR(__xludf.DUMMYFUNCTION("""COMPUTED_VALUE"""),"**Restoration_project** changed from Unknown to Conservation of Ocean Resources and Aquatic Life (C.O.R.A.L.), **Restoration_project_short** changed from Unknown to Site in Suba Basbas, Lapu-Lapu City, **Year of establishment** changed from Unknown to 201"&amp;"0, **Restoration method** changed from Artificial Reef to Asexual Reproduction, **Technique/Material Type** changed from Unknown to CNU, **Funding agency** changed from Unknown to Conservation of Ocean Resources and Aquatic Life (C.O.R.A.L.), **Total area"&amp;" of restoration** changed from 420 m2 to Unknown, **Implementing institution** changed from Unknown to Conservation of Ocean Resources and Aquatic Life (C.O.R.A.L.), **Reference** changed from Conference Proceeding to CORAL (n.d.). Conservation of Ocean's"&amp;" Resources &amp; Aquatic Life. Who We Are. http://www.coralmovement.org/, **Website** changed from http://pubs.iclarm.net/libinfo/Pdf/Pub%20CP6%2049.pdf to http://www.coralmovement.org/, **Contact_name** changed from Miriam Balgos to Unknown")</f>
        <v>**Restoration_project** changed from Unknown to Conservation of Ocean Resources and Aquatic Life (C.O.R.A.L.), **Restoration_project_short** changed from Unknown to Site in Suba Basbas, Lapu-Lapu City, **Year of establishment** changed from Unknown to 2010, **Restoration method** changed from Artificial Reef to Asexual Reproduction, **Technique/Material Type** changed from Unknown to CNU, **Funding agency** changed from Unknown to Conservation of Ocean Resources and Aquatic Life (C.O.R.A.L.), **Total area of restoration** changed from 420 m2 to Unknown, **Implementing institution** changed from Unknown to Conservation of Ocean Resources and Aquatic Life (C.O.R.A.L.), **Reference** changed from Conference Proceeding to CORAL (n.d.). Conservation of Ocean's Resources &amp; Aquatic Life. Who We Are. http://www.coralmovement.org/, **Website** changed from http://pubs.iclarm.net/libinfo/Pdf/Pub%20CP6%2049.pdf to http://www.coralmovement.org/, **Contact_name** changed from Miriam Balgos to Unknown</v>
      </c>
      <c r="I574" s="153" t="s">
        <v>7197</v>
      </c>
      <c r="J574" s="153" t="s">
        <v>193</v>
      </c>
      <c r="K574" s="153" t="s">
        <v>194</v>
      </c>
      <c r="L574" s="153" t="s">
        <v>7114</v>
      </c>
      <c r="M574" s="181" t="s">
        <v>217</v>
      </c>
      <c r="N574" s="153" t="s">
        <v>6062</v>
      </c>
      <c r="O574" s="153" t="s">
        <v>872</v>
      </c>
      <c r="P574" s="153" t="s">
        <v>7198</v>
      </c>
      <c r="Q574" s="169">
        <v>2010.0</v>
      </c>
      <c r="R574" s="160" t="s">
        <v>149</v>
      </c>
      <c r="S574" s="160" t="s">
        <v>149</v>
      </c>
      <c r="T574" s="156" t="s">
        <v>177</v>
      </c>
      <c r="U574" s="153">
        <f>IFERROR(__xludf.DUMMYFUNCTION("""COMPUTED_VALUE"""),546.0)</f>
        <v>546</v>
      </c>
      <c r="V574" s="191" t="s">
        <v>1359</v>
      </c>
      <c r="W574" s="179" t="s">
        <v>6066</v>
      </c>
      <c r="X574" s="180"/>
      <c r="Y574" s="180" t="s">
        <v>154</v>
      </c>
      <c r="Z574" s="158" t="s">
        <v>149</v>
      </c>
      <c r="AA574" s="153" t="s">
        <v>320</v>
      </c>
      <c r="AB574" s="158" t="s">
        <v>149</v>
      </c>
      <c r="AC574" s="153" t="s">
        <v>872</v>
      </c>
      <c r="AD574" s="158" t="s">
        <v>160</v>
      </c>
      <c r="AE574" s="158" t="s">
        <v>306</v>
      </c>
      <c r="AF574" s="158" t="s">
        <v>159</v>
      </c>
      <c r="AG574" s="164" t="s">
        <v>149</v>
      </c>
      <c r="AH574" s="158" t="s">
        <v>149</v>
      </c>
      <c r="AI574" s="158" t="s">
        <v>149</v>
      </c>
      <c r="AJ574" s="153" t="s">
        <v>872</v>
      </c>
      <c r="AK574" s="158" t="s">
        <v>306</v>
      </c>
      <c r="AL574" s="214" t="s">
        <v>149</v>
      </c>
      <c r="AM574" s="214" t="s">
        <v>149</v>
      </c>
      <c r="AN574" s="214" t="s">
        <v>149</v>
      </c>
      <c r="AO574" s="156">
        <v>1.0</v>
      </c>
      <c r="AP574" s="156" t="s">
        <v>6037</v>
      </c>
      <c r="AQ574" s="158" t="s">
        <v>6027</v>
      </c>
      <c r="AR574" s="153" t="s">
        <v>874</v>
      </c>
      <c r="AS574" s="165" t="s">
        <v>875</v>
      </c>
      <c r="AT574" s="214" t="s">
        <v>149</v>
      </c>
      <c r="AU574" s="214" t="s">
        <v>149</v>
      </c>
    </row>
    <row r="575">
      <c r="A575" s="186">
        <v>287.0</v>
      </c>
      <c r="B575" s="152">
        <v>2023.0</v>
      </c>
      <c r="D575" s="152"/>
      <c r="E575" s="151">
        <v>287.0</v>
      </c>
      <c r="F575" s="129" t="s">
        <v>140</v>
      </c>
      <c r="G575" s="3" t="s">
        <v>6029</v>
      </c>
      <c r="H575" s="8" t="str">
        <f>IFERROR(__xludf.DUMMYFUNCTION("""COMPUTED_VALUE"""),"")</f>
        <v/>
      </c>
      <c r="I575" s="8" t="s">
        <v>7199</v>
      </c>
      <c r="J575" s="8" t="s">
        <v>193</v>
      </c>
      <c r="K575" s="8" t="s">
        <v>632</v>
      </c>
      <c r="L575" s="8" t="s">
        <v>633</v>
      </c>
      <c r="M575" s="153" t="s">
        <v>7200</v>
      </c>
      <c r="N575" s="8" t="s">
        <v>151</v>
      </c>
      <c r="O575" s="8" t="s">
        <v>384</v>
      </c>
      <c r="P575" s="208" t="s">
        <v>635</v>
      </c>
      <c r="Q575" s="142" t="s">
        <v>6051</v>
      </c>
      <c r="R575" s="142" t="s">
        <v>6052</v>
      </c>
      <c r="S575" s="142" t="s">
        <v>6053</v>
      </c>
      <c r="T575" s="8"/>
      <c r="U575" s="8">
        <f>IFERROR(__xludf.DUMMYFUNCTION("""COMPUTED_VALUE"""),547.0)</f>
        <v>547</v>
      </c>
      <c r="V575" s="8"/>
      <c r="W575" s="8"/>
      <c r="X575" s="8"/>
      <c r="Y575" s="8"/>
      <c r="AA575" s="208" t="s">
        <v>6054</v>
      </c>
      <c r="AB575" s="220" t="s">
        <v>149</v>
      </c>
      <c r="AC575" s="8" t="s">
        <v>390</v>
      </c>
      <c r="AG575" s="220" t="s">
        <v>149</v>
      </c>
      <c r="AH575" s="220" t="s">
        <v>149</v>
      </c>
      <c r="AI575" s="208" t="s">
        <v>162</v>
      </c>
      <c r="AJ575" s="8" t="s">
        <v>390</v>
      </c>
      <c r="AL575" s="8" t="s">
        <v>6055</v>
      </c>
      <c r="AM575" s="220" t="s">
        <v>149</v>
      </c>
      <c r="AN575" s="220" t="s">
        <v>149</v>
      </c>
      <c r="AO575" s="8"/>
      <c r="AP575" s="8"/>
      <c r="AR575" s="8" t="s">
        <v>6057</v>
      </c>
      <c r="AS575" s="208" t="s">
        <v>2873</v>
      </c>
      <c r="AT575" s="208" t="s">
        <v>398</v>
      </c>
      <c r="AU575" s="220" t="s">
        <v>149</v>
      </c>
    </row>
    <row r="576">
      <c r="A576" s="151">
        <v>288.0</v>
      </c>
      <c r="B576" s="152">
        <v>2025.0</v>
      </c>
      <c r="C576" s="153" t="str">
        <f>CONCATENATE(D576, "-", M576, "-", A576)
</f>
        <v>2023-PH072226000-288</v>
      </c>
      <c r="D576" s="152">
        <f>IF(OR(F575="Published", F575="Unpublished"), 2023, IF(F575="New", 2025, ""))
</f>
        <v>2023</v>
      </c>
      <c r="E576" s="151">
        <v>288.0</v>
      </c>
      <c r="F576" s="129" t="s">
        <v>140</v>
      </c>
      <c r="G576" s="156" t="s">
        <v>141</v>
      </c>
      <c r="H576" s="153" t="str">
        <f>IFERROR(__xludf.DUMMYFUNCTION("""COMPUTED_VALUE"""),"**Restoration_project** changed from Artificial Reef Development Program to Project 2B. Sexual Reproduction of Selected Reef Coral Species Across the Philippine Archipelago (Cebu), **Restoration_project_short** changed from Site in San Jose to Unknown, **"&amp;"Year of establishment** changed from 1986 to 2014, **Project Start** changed from 1985 to 2014, **Project End** changed from 1987 to 2016, **Restoration method** changed from Artificial Reef to Sexual Reproduction, **Technique/Material Type** changed from"&amp;" tires to Unknown, **Funding agency** changed from BFAR to DOST-PCAARRD, **Total units** changed from 45 units to Unknown, **Implementing institution** changed from BFAR to University of San Carlos, **Partners_public** changed from Ministry of Human Settl"&amp;"ements to University of the Philippines Marine Science Institute; Mindanao State University - Tawi-Tawi, **Reference** changed from Conference Proceediing to University of San Carlos - Marine Biology Section (n.d.). Project 2B. Sexual Reproduction of Sele"&amp;"cted Reef Coral Species across the Philippine Archipelago (Cebu). , **Website** changed from http://pubs.iclarm.net/libinfo/Pdf/Pub%20CP6%2049.pdf to Report uploaded in the Google Drive, **Contact_name** changed from Miriam Balgos to Unknown")</f>
        <v>**Restoration_project** changed from Artificial Reef Development Program to Project 2B. Sexual Reproduction of Selected Reef Coral Species Across the Philippine Archipelago (Cebu), **Restoration_project_short** changed from Site in San Jose to Unknown, **Year of establishment** changed from 1986 to 2014, **Project Start** changed from 1985 to 2014, **Project End** changed from 1987 to 2016, **Restoration method** changed from Artificial Reef to Sexual Reproduction, **Technique/Material Type** changed from tires to Unknown, **Funding agency** changed from BFAR to DOST-PCAARRD, **Total units** changed from 45 units to Unknown, **Implementing institution** changed from BFAR to University of San Carlos, **Partners_public** changed from Ministry of Human Settlements to University of the Philippines Marine Science Institute; Mindanao State University - Tawi-Tawi, **Reference** changed from Conference Proceediing to University of San Carlos - Marine Biology Section (n.d.). Project 2B. Sexual Reproduction of Selected Reef Coral Species across the Philippine Archipelago (Cebu). , **Website** changed from http://pubs.iclarm.net/libinfo/Pdf/Pub%20CP6%2049.pdf to Report uploaded in the Google Drive, **Contact_name** changed from Miriam Balgos to Unknown</v>
      </c>
      <c r="I576" s="153" t="s">
        <v>7201</v>
      </c>
      <c r="J576" s="153" t="s">
        <v>193</v>
      </c>
      <c r="K576" s="153" t="s">
        <v>194</v>
      </c>
      <c r="L576" s="153" t="s">
        <v>7114</v>
      </c>
      <c r="M576" s="181" t="s">
        <v>217</v>
      </c>
      <c r="N576" s="153" t="s">
        <v>6221</v>
      </c>
      <c r="O576" s="153" t="s">
        <v>3412</v>
      </c>
      <c r="P576" s="214" t="s">
        <v>149</v>
      </c>
      <c r="Q576" s="169">
        <v>2014.0</v>
      </c>
      <c r="R576" s="175" t="s">
        <v>6063</v>
      </c>
      <c r="S576" s="175" t="s">
        <v>6064</v>
      </c>
      <c r="T576" s="156" t="s">
        <v>199</v>
      </c>
      <c r="U576" s="153">
        <f>IFERROR(__xludf.DUMMYFUNCTION("""COMPUTED_VALUE"""),548.0)</f>
        <v>548</v>
      </c>
      <c r="V576" s="191" t="s">
        <v>3299</v>
      </c>
      <c r="W576" s="180" t="s">
        <v>154</v>
      </c>
      <c r="X576" s="180"/>
      <c r="Y576" s="180" t="s">
        <v>154</v>
      </c>
      <c r="Z576" s="158" t="s">
        <v>149</v>
      </c>
      <c r="AA576" s="158" t="s">
        <v>149</v>
      </c>
      <c r="AB576" s="158" t="s">
        <v>149</v>
      </c>
      <c r="AC576" s="153" t="s">
        <v>321</v>
      </c>
      <c r="AD576" s="158" t="s">
        <v>160</v>
      </c>
      <c r="AE576" s="158" t="s">
        <v>6035</v>
      </c>
      <c r="AF576" s="158" t="s">
        <v>204</v>
      </c>
      <c r="AG576" s="164" t="s">
        <v>149</v>
      </c>
      <c r="AH576" s="158" t="s">
        <v>149</v>
      </c>
      <c r="AI576" s="158" t="s">
        <v>149</v>
      </c>
      <c r="AJ576" s="153" t="s">
        <v>885</v>
      </c>
      <c r="AK576" s="158" t="s">
        <v>6068</v>
      </c>
      <c r="AL576" s="153" t="s">
        <v>1858</v>
      </c>
      <c r="AM576" s="214" t="s">
        <v>149</v>
      </c>
      <c r="AN576" s="214" t="s">
        <v>149</v>
      </c>
      <c r="AO576" s="156">
        <v>1.0</v>
      </c>
      <c r="AP576" s="156" t="s">
        <v>6037</v>
      </c>
      <c r="AQ576" s="158" t="s">
        <v>6069</v>
      </c>
      <c r="AR576" s="153" t="s">
        <v>1859</v>
      </c>
      <c r="AS576" s="153" t="s">
        <v>6070</v>
      </c>
      <c r="AT576" s="214" t="s">
        <v>149</v>
      </c>
      <c r="AU576" s="214" t="s">
        <v>149</v>
      </c>
    </row>
    <row r="577">
      <c r="A577" s="186">
        <v>288.0</v>
      </c>
      <c r="B577" s="152">
        <v>2023.0</v>
      </c>
      <c r="D577" s="152"/>
      <c r="E577" s="151">
        <v>288.0</v>
      </c>
      <c r="F577" s="129" t="s">
        <v>140</v>
      </c>
      <c r="G577" s="3" t="s">
        <v>6029</v>
      </c>
      <c r="H577" s="8" t="str">
        <f>IFERROR(__xludf.DUMMYFUNCTION("""COMPUTED_VALUE"""),"")</f>
        <v/>
      </c>
      <c r="I577" s="8" t="s">
        <v>7202</v>
      </c>
      <c r="J577" s="8" t="s">
        <v>193</v>
      </c>
      <c r="K577" s="8" t="s">
        <v>632</v>
      </c>
      <c r="L577" s="8" t="s">
        <v>633</v>
      </c>
      <c r="M577" s="8" t="s">
        <v>7200</v>
      </c>
      <c r="N577" s="8" t="s">
        <v>151</v>
      </c>
      <c r="O577" s="166" t="s">
        <v>149</v>
      </c>
      <c r="P577" s="166" t="s">
        <v>149</v>
      </c>
      <c r="Q577" s="220" t="s">
        <v>149</v>
      </c>
      <c r="R577" s="220" t="s">
        <v>149</v>
      </c>
      <c r="S577" s="220" t="s">
        <v>149</v>
      </c>
      <c r="T577" s="8"/>
      <c r="U577" s="8">
        <f>IFERROR(__xludf.DUMMYFUNCTION("""COMPUTED_VALUE"""),549.0)</f>
        <v>549</v>
      </c>
      <c r="V577" s="8"/>
      <c r="W577" s="166"/>
      <c r="X577" s="8"/>
      <c r="Y577" s="8"/>
      <c r="AA577" s="166" t="s">
        <v>149</v>
      </c>
      <c r="AB577" s="166" t="s">
        <v>149</v>
      </c>
      <c r="AC577" s="220" t="s">
        <v>149</v>
      </c>
      <c r="AG577" s="220" t="s">
        <v>149</v>
      </c>
      <c r="AH577" s="208" t="s">
        <v>7203</v>
      </c>
      <c r="AI577" s="220" t="s">
        <v>149</v>
      </c>
      <c r="AJ577" s="166" t="s">
        <v>149</v>
      </c>
      <c r="AL577" s="166" t="s">
        <v>149</v>
      </c>
      <c r="AM577" s="166" t="s">
        <v>149</v>
      </c>
      <c r="AN577" s="166" t="s">
        <v>149</v>
      </c>
      <c r="AO577" s="8"/>
      <c r="AP577" s="8"/>
      <c r="AR577" s="8" t="s">
        <v>395</v>
      </c>
      <c r="AS577" s="8" t="s">
        <v>2873</v>
      </c>
      <c r="AT577" s="208" t="s">
        <v>398</v>
      </c>
      <c r="AU577" s="166" t="s">
        <v>149</v>
      </c>
    </row>
    <row r="578">
      <c r="A578" s="151">
        <v>289.0</v>
      </c>
      <c r="B578" s="152">
        <v>2025.0</v>
      </c>
      <c r="C578" s="153" t="str">
        <f>CONCATENATE(D578, "-", M578, "-", A578)
</f>
        <v>2023-PH072226000-289</v>
      </c>
      <c r="D578" s="152">
        <f>IF(OR(F577="Published", F577="Unpublished"), 2023, IF(F577="New", 2025, ""))
</f>
        <v>2023</v>
      </c>
      <c r="E578" s="151">
        <v>289.0</v>
      </c>
      <c r="F578" s="129" t="s">
        <v>140</v>
      </c>
      <c r="G578" s="156" t="s">
        <v>141</v>
      </c>
      <c r="H578" s="153" t="str">
        <f>IFERROR(__xludf.DUMMYFUNCTION("""COMPUTED_VALUE"""),"**Restoration_project** changed from Unknown to Coral Reef Habitat and Productivity Enhancement through Coral Transplantation and Giant Clam Restocking, **Year of establishment** changed from Unknown to 2001, **Project Start** changed from Unknown to 2001"&amp;", **Project End** changed from Unknown to 2005, **Restoration method** changed from Artificial Reef to Asexual Reproduction, **Technique/Material Type** changed from Unknown to Direct transplantation, **Restoration objective** changed from Unknown to Impr"&amp;"ove biodiversity and productivity of stressed coral reef habitats in 10 selected demonstration sites, **Funding agency** changed from Unknown to Pew Marine Conservation Fellowship, **Total area of restoration** changed from 630 m2 to Unknown, **Implementi"&amp;"ng institution** changed from Unknown to UP MSI, **Reference** changed from Conference Proceeding to Gomez, E., Cabaitan, P., &amp; Vicentuan, K. (2006). Coral culture and transplantation and restocking of giant clams in the Philippines. In J.H. Primavera, E."&amp;"T. Quinitio, &amp; M. R. R. Eguia (Eds.). Proceedings of the Regional Technical Consultation on Stock Enhancement for Threatened Species of International Concern, Iloilo City, Philippines, 13-15 July 2005 (pp. 39-48). Tigbaua, Iloilo, Philippines: Aquaculture"&amp;" Department, Southeast Asian Fisheries Development Center. Retrieved from https://aquadocs.org/bitstream/handle/1834/40478/GomezED2006.pdf?sequence=1&amp;isAllowed=y, **Website** changed from http://pubs.iclarm.net/libinfo/Pdf/Pub%20CP6%2049.pdf to https://aq"&amp;"uadocs.org/bitstream/handle/1834/40478/GomezED2006.pdf?sequence=1&amp;isAllowed=y, **Contact_name** changed from Miriam Balgos to Unknown")</f>
        <v>**Restoration_project** changed from Unknown to Coral Reef Habitat and Productivity Enhancement through Coral Transplantation and Giant Clam Restocking, **Year of establishment** changed from Unknown to 2001, **Project Start** changed from Unknown to 2001, **Project End** changed from Unknown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Unknown to Pew Marine Conservation Fellowship, **Total area of restoration** changed from 630 m2 to Unknown, **Implementing institution** changed from Unknown to UP MSI, **Reference** changed from Conference Proceeding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http://pubs.iclarm.net/libinfo/Pdf/Pub%20CP6%2049.pdf to https://aquadocs.org/bitstream/handle/1834/40478/GomezED2006.pdf?sequence=1&amp;isAllowed=y, **Contact_name** changed from Miriam Balgos to Unknown</v>
      </c>
      <c r="I578" s="153" t="s">
        <v>7204</v>
      </c>
      <c r="J578" s="153" t="s">
        <v>193</v>
      </c>
      <c r="K578" s="153" t="s">
        <v>194</v>
      </c>
      <c r="L578" s="153" t="s">
        <v>7114</v>
      </c>
      <c r="M578" s="181" t="s">
        <v>217</v>
      </c>
      <c r="N578" s="153" t="s">
        <v>6062</v>
      </c>
      <c r="O578" s="153" t="s">
        <v>934</v>
      </c>
      <c r="P578" s="155" t="s">
        <v>149</v>
      </c>
      <c r="Q578" s="169">
        <v>2001.0</v>
      </c>
      <c r="R578" s="175" t="s">
        <v>6229</v>
      </c>
      <c r="S578" s="175" t="s">
        <v>6230</v>
      </c>
      <c r="T578" s="156" t="s">
        <v>177</v>
      </c>
      <c r="U578" s="153">
        <f>IFERROR(__xludf.DUMMYFUNCTION("""COMPUTED_VALUE"""),550.0)</f>
        <v>550</v>
      </c>
      <c r="V578" s="191" t="s">
        <v>3245</v>
      </c>
      <c r="W578" s="179" t="s">
        <v>149</v>
      </c>
      <c r="X578" s="180"/>
      <c r="Y578" s="180" t="s">
        <v>154</v>
      </c>
      <c r="Z578" s="158" t="s">
        <v>179</v>
      </c>
      <c r="AA578" s="153" t="s">
        <v>3245</v>
      </c>
      <c r="AB578" s="153" t="s">
        <v>939</v>
      </c>
      <c r="AC578" s="153" t="s">
        <v>940</v>
      </c>
      <c r="AD578" s="158" t="s">
        <v>6154</v>
      </c>
      <c r="AE578" s="158" t="s">
        <v>206</v>
      </c>
      <c r="AF578" s="158" t="s">
        <v>204</v>
      </c>
      <c r="AG578" s="164" t="s">
        <v>149</v>
      </c>
      <c r="AH578" s="158" t="s">
        <v>149</v>
      </c>
      <c r="AI578" s="158" t="s">
        <v>149</v>
      </c>
      <c r="AJ578" s="153" t="s">
        <v>233</v>
      </c>
      <c r="AK578" s="158" t="s">
        <v>6068</v>
      </c>
      <c r="AL578" s="155" t="s">
        <v>149</v>
      </c>
      <c r="AM578" s="214" t="s">
        <v>149</v>
      </c>
      <c r="AN578" s="214" t="s">
        <v>149</v>
      </c>
      <c r="AO578" s="156">
        <v>1.0</v>
      </c>
      <c r="AP578" s="156" t="s">
        <v>6037</v>
      </c>
      <c r="AQ578" s="158" t="s">
        <v>6214</v>
      </c>
      <c r="AR578" s="153" t="s">
        <v>941</v>
      </c>
      <c r="AS578" s="153" t="s">
        <v>942</v>
      </c>
      <c r="AT578" s="214" t="s">
        <v>149</v>
      </c>
      <c r="AU578" s="155" t="s">
        <v>149</v>
      </c>
    </row>
    <row r="579">
      <c r="A579" s="186">
        <v>289.0</v>
      </c>
      <c r="B579" s="152">
        <v>2023.0</v>
      </c>
      <c r="D579" s="152"/>
      <c r="E579" s="151">
        <v>289.0</v>
      </c>
      <c r="F579" s="129" t="s">
        <v>140</v>
      </c>
      <c r="G579" s="3" t="s">
        <v>6029</v>
      </c>
      <c r="H579" s="8" t="str">
        <f>IFERROR(__xludf.DUMMYFUNCTION("""COMPUTED_VALUE"""),"")</f>
        <v/>
      </c>
      <c r="I579" s="8" t="s">
        <v>7205</v>
      </c>
      <c r="J579" s="8" t="s">
        <v>193</v>
      </c>
      <c r="K579" s="8" t="s">
        <v>632</v>
      </c>
      <c r="L579" s="8" t="s">
        <v>637</v>
      </c>
      <c r="M579" s="153" t="s">
        <v>7206</v>
      </c>
      <c r="N579" s="8" t="s">
        <v>151</v>
      </c>
      <c r="O579" s="8" t="s">
        <v>384</v>
      </c>
      <c r="P579" s="8" t="s">
        <v>639</v>
      </c>
      <c r="Q579" s="142" t="s">
        <v>6051</v>
      </c>
      <c r="R579" s="142" t="s">
        <v>6052</v>
      </c>
      <c r="S579" s="142" t="s">
        <v>6053</v>
      </c>
      <c r="T579" s="8"/>
      <c r="U579" s="8">
        <f>IFERROR(__xludf.DUMMYFUNCTION("""COMPUTED_VALUE"""),551.0)</f>
        <v>551</v>
      </c>
      <c r="V579" s="8"/>
      <c r="W579" s="8"/>
      <c r="X579" s="8"/>
      <c r="Y579" s="8"/>
      <c r="AA579" s="8" t="s">
        <v>6054</v>
      </c>
      <c r="AB579" s="166" t="s">
        <v>149</v>
      </c>
      <c r="AC579" s="8" t="s">
        <v>390</v>
      </c>
      <c r="AG579" s="166" t="s">
        <v>149</v>
      </c>
      <c r="AH579" s="166" t="s">
        <v>149</v>
      </c>
      <c r="AI579" s="8" t="s">
        <v>640</v>
      </c>
      <c r="AJ579" s="8" t="s">
        <v>390</v>
      </c>
      <c r="AL579" s="8" t="s">
        <v>6055</v>
      </c>
      <c r="AM579" s="220" t="s">
        <v>149</v>
      </c>
      <c r="AN579" s="220" t="s">
        <v>149</v>
      </c>
      <c r="AO579" s="8"/>
      <c r="AP579" s="8"/>
      <c r="AR579" s="8" t="s">
        <v>6057</v>
      </c>
      <c r="AS579" s="8" t="s">
        <v>2873</v>
      </c>
      <c r="AT579" s="208" t="s">
        <v>398</v>
      </c>
      <c r="AU579" s="166" t="s">
        <v>149</v>
      </c>
    </row>
    <row r="580">
      <c r="A580" s="151">
        <v>290.0</v>
      </c>
      <c r="B580" s="152">
        <v>2025.0</v>
      </c>
      <c r="C580" s="153" t="str">
        <f>CONCATENATE(D580, "-", M580, "-", A580)
</f>
        <v>2023-PH072226000-290</v>
      </c>
      <c r="D580" s="152">
        <f>IF(OR(F579="Published", F579="Unpublished"), 2023, IF(F579="New", 2025, ""))
</f>
        <v>2023</v>
      </c>
      <c r="E580" s="151">
        <v>290.0</v>
      </c>
      <c r="F580" s="156" t="s">
        <v>191</v>
      </c>
      <c r="G580" s="156" t="s">
        <v>191</v>
      </c>
      <c r="H580" s="153" t="str">
        <f>IFERROR(__xludf.DUMMYFUNCTION("""COMPUTED_VALUE"""),"**Restoration_project** changed from Artificial Reef Development Program to ACIAR Coral Reef Restoration Project, **Restoration_project_short** changed from Site in Poblacion to Site inside MPA in Mactan Shangri-La Resort, **Year of establishment** change"&amp;"d from 1986 to 2024, **Project Start** changed from 1985 to 2021, **Project End** changed from 1987 to 2025, **Restoration method** changed from Artificial Reef to Sexual Reproduction, **Technique/Material Type** changed from tires to Larval reseeding; """&amp;"Mactan tiles"", **Restoration objective** changed from Unknown to Reef restoration, **Funding agency** changed from BFAR to ACIAR, **Total units** changed from 42 units to Unknown, **Implementing institution** changed from BFAR to Southern Cross Universit"&amp;"y, **Partners_public** changed from Ministry of Human Settlements to UP MSI, CLGU, **Partners_private** changed from Unknown to Shangri-La Dive Resort, **Reference** changed from Conference Proceediing to Personal communication, **Website** changed from h"&amp;"ttp://pubs.iclarm.net/libinfo/Pdf/Pub%20CP6%2049.pdf to Unknown, **Contact_name** changed from Miriam Balgos to Unknown")</f>
        <v>**Restoration_project** changed from Artificial Reef Development Program to ACIAR Coral Reef Restoration Project, **Restoration_project_short** changed from Site in Poblacion to Site inside MPA in Mactan Shangri-La Resort, **Year of establishment** changed from 1986 to 2024, **Project Start** changed from 1985 to 2021, **Project End** changed from 1987 to 2025, **Restoration method** changed from Artificial Reef to Sexual Reproduction, **Technique/Material Type** changed from tires to Larval reseeding; "Mactan tiles", **Restoration objective** changed from Unknown to Reef restoration, **Funding agency** changed from BFAR to ACIAR, **Total units** changed from 42 units to Unknown, **Implementing institution** changed from BFAR to Southern Cross University, **Partners_public** changed from Ministry of Human Settlements to UP MSI, CLGU, **Partners_private** changed from Unknown to Shangri-La Dive Resort, **Reference** changed from Conference Proceediing to Personal communication, **Website** changed from http://pubs.iclarm.net/libinfo/Pdf/Pub%20CP6%2049.pdf to Unknown, **Contact_name** changed from Miriam Balgos to Unknown</v>
      </c>
      <c r="I580" s="153" t="s">
        <v>7207</v>
      </c>
      <c r="J580" s="153" t="s">
        <v>193</v>
      </c>
      <c r="K580" s="153" t="s">
        <v>194</v>
      </c>
      <c r="L580" s="153" t="s">
        <v>7114</v>
      </c>
      <c r="M580" s="181" t="s">
        <v>217</v>
      </c>
      <c r="N580" s="153" t="s">
        <v>6221</v>
      </c>
      <c r="O580" s="153" t="s">
        <v>197</v>
      </c>
      <c r="P580" s="153" t="s">
        <v>218</v>
      </c>
      <c r="Q580" s="169">
        <v>2024.0</v>
      </c>
      <c r="R580" s="175" t="s">
        <v>6030</v>
      </c>
      <c r="S580" s="160" t="s">
        <v>14</v>
      </c>
      <c r="T580" s="156" t="s">
        <v>199</v>
      </c>
      <c r="U580" s="153">
        <f>IFERROR(__xludf.DUMMYFUNCTION("""COMPUTED_VALUE"""),552.0)</f>
        <v>552</v>
      </c>
      <c r="V580" s="191" t="s">
        <v>3299</v>
      </c>
      <c r="W580" s="179" t="s">
        <v>154</v>
      </c>
      <c r="X580" s="180"/>
      <c r="Y580" s="180" t="s">
        <v>154</v>
      </c>
      <c r="Z580" s="158" t="s">
        <v>224</v>
      </c>
      <c r="AA580" s="158" t="s">
        <v>201</v>
      </c>
      <c r="AB580" s="153" t="s">
        <v>202</v>
      </c>
      <c r="AC580" s="153" t="s">
        <v>203</v>
      </c>
      <c r="AD580" s="158" t="s">
        <v>6154</v>
      </c>
      <c r="AE580" s="158" t="s">
        <v>206</v>
      </c>
      <c r="AF580" s="158" t="s">
        <v>204</v>
      </c>
      <c r="AG580" s="164" t="s">
        <v>149</v>
      </c>
      <c r="AH580" s="158" t="s">
        <v>149</v>
      </c>
      <c r="AI580" s="158" t="s">
        <v>149</v>
      </c>
      <c r="AJ580" s="153" t="s">
        <v>208</v>
      </c>
      <c r="AK580" s="158" t="s">
        <v>6068</v>
      </c>
      <c r="AL580" s="153" t="s">
        <v>7208</v>
      </c>
      <c r="AM580" s="153" t="s">
        <v>212</v>
      </c>
      <c r="AN580" s="156" t="s">
        <v>149</v>
      </c>
      <c r="AO580" s="156">
        <v>1.0</v>
      </c>
      <c r="AP580" s="156" t="s">
        <v>6037</v>
      </c>
      <c r="AQ580" s="153" t="s">
        <v>214</v>
      </c>
      <c r="AR580" s="153" t="s">
        <v>214</v>
      </c>
      <c r="AS580" s="156" t="s">
        <v>149</v>
      </c>
      <c r="AT580" s="155" t="s">
        <v>149</v>
      </c>
      <c r="AU580" s="155" t="s">
        <v>149</v>
      </c>
    </row>
    <row r="581">
      <c r="A581" s="186">
        <v>290.0</v>
      </c>
      <c r="B581" s="152">
        <v>2023.0</v>
      </c>
      <c r="D581" s="152"/>
      <c r="E581" s="151">
        <v>290.0</v>
      </c>
      <c r="F581" s="129" t="s">
        <v>140</v>
      </c>
      <c r="G581" s="3" t="s">
        <v>6029</v>
      </c>
      <c r="H581" s="8" t="str">
        <f>IFERROR(__xludf.DUMMYFUNCTION("""COMPUTED_VALUE"""),"")</f>
        <v/>
      </c>
      <c r="I581" s="8" t="s">
        <v>7209</v>
      </c>
      <c r="J581" s="8" t="s">
        <v>193</v>
      </c>
      <c r="K581" s="8" t="s">
        <v>632</v>
      </c>
      <c r="L581" s="8" t="s">
        <v>637</v>
      </c>
      <c r="M581" s="8" t="s">
        <v>7206</v>
      </c>
      <c r="N581" s="8" t="s">
        <v>151</v>
      </c>
      <c r="O581" s="166" t="s">
        <v>149</v>
      </c>
      <c r="P581" s="158" t="s">
        <v>2712</v>
      </c>
      <c r="Q581" s="166" t="s">
        <v>149</v>
      </c>
      <c r="R581" s="166" t="s">
        <v>149</v>
      </c>
      <c r="S581" s="166" t="s">
        <v>149</v>
      </c>
      <c r="T581" s="8"/>
      <c r="U581" s="8">
        <f>IFERROR(__xludf.DUMMYFUNCTION("""COMPUTED_VALUE"""),553.0)</f>
        <v>553</v>
      </c>
      <c r="V581" s="8"/>
      <c r="W581" s="166"/>
      <c r="X581" s="8"/>
      <c r="Y581" s="8"/>
      <c r="AA581" s="166" t="s">
        <v>149</v>
      </c>
      <c r="AB581" s="166" t="s">
        <v>149</v>
      </c>
      <c r="AC581" s="166" t="s">
        <v>149</v>
      </c>
      <c r="AG581" s="166" t="s">
        <v>149</v>
      </c>
      <c r="AH581" s="8" t="s">
        <v>7210</v>
      </c>
      <c r="AI581" s="166" t="s">
        <v>149</v>
      </c>
      <c r="AJ581" s="166" t="s">
        <v>149</v>
      </c>
      <c r="AL581" s="166" t="s">
        <v>149</v>
      </c>
      <c r="AM581" s="166" t="s">
        <v>149</v>
      </c>
      <c r="AN581" s="166" t="s">
        <v>149</v>
      </c>
      <c r="AO581" s="8"/>
      <c r="AP581" s="8"/>
      <c r="AR581" s="8" t="s">
        <v>395</v>
      </c>
      <c r="AS581" s="8" t="s">
        <v>2873</v>
      </c>
      <c r="AT581" s="8" t="s">
        <v>398</v>
      </c>
      <c r="AU581" s="166" t="s">
        <v>149</v>
      </c>
    </row>
    <row r="582">
      <c r="A582" s="151">
        <v>291.0</v>
      </c>
      <c r="B582" s="152">
        <v>2025.0</v>
      </c>
      <c r="C582" s="153" t="str">
        <f>CONCATENATE(D582, "-", M582, "-", A582)
</f>
        <v>2023-PH072232000-291</v>
      </c>
      <c r="D582" s="152">
        <f>IF(OR(F581="Published", F581="Unpublished"), 2023, IF(F581="New", 2025, ""))
</f>
        <v>2023</v>
      </c>
      <c r="E582" s="151">
        <v>291.0</v>
      </c>
      <c r="F582" s="156" t="s">
        <v>140</v>
      </c>
      <c r="G582" s="156" t="s">
        <v>141</v>
      </c>
      <c r="H582" s="153" t="str">
        <f>IFERROR(__xludf.DUMMYFUNCTION("""COMPUTED_VALUE"""),"**Restoration_project** changed from Unknown to Artificial Reef Development Program, **Restoration_project_short** changed from Site in Bangcolotan to Site in Caloja-an, **Year of establishment** changed from Unknown to 1986, **Project Start** changed fro"&amp;"m Unknown to 1985, **Project End** changed from Unknown to 1987, **Technique/Material Type** changed from Unknown to tires, **Funding agency** changed from Unknown to BFAR, **Total area of restoration** changed from 600 m2 to Unknown, **Total units** chan"&amp;"ged from Unknown to 50 units, **Implementing institution** changed from Unknown to BFAR, **Partners_public** changed from Unknown to Ministry of Human Settlements, **Reference** changed from Conference Proceeding to Balgos, M.C. (1995). Evaluation of arti"&amp;"ficial reef development in the Philippines. In Munro, J.L. &amp; Balgos, M. (eds.) Artificial reefs in the Philippines. ICLARM Conf. Proc. 49, pp. 6-22., **Website** changed from http://pubs.iclarm.net/libinfo/Pdf/Pub%20CP6%2049.pdf to https://core.ac.uk/down"&amp;"load/pdf/6515223.pdf;")</f>
        <v>**Restoration_project** changed from Unknown to Artificial Reef Development Program, **Restoration_project_short** changed from Site in Bangcolotan to Site in Caloja-an, **Year of establishment** changed from Unknown to 1986, **Project Start** changed from Unknown to 1985, **Project End** changed from Unknown to 1987, **Technique/Material Type** changed from Unknown to tires, **Funding agency** changed from Unknown to BFAR, **Total area of restoration** changed from 600 m2 to Unknown, **Total units** changed from Unknown to 50 units, **Implementing institution** changed from Unknown to BFAR, **Partners_public** changed from Unknown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582" s="153" t="s">
        <v>7211</v>
      </c>
      <c r="J582" s="153" t="s">
        <v>193</v>
      </c>
      <c r="K582" s="153" t="s">
        <v>194</v>
      </c>
      <c r="L582" s="153" t="s">
        <v>568</v>
      </c>
      <c r="M582" s="181" t="s">
        <v>569</v>
      </c>
      <c r="N582" s="153" t="s">
        <v>151</v>
      </c>
      <c r="O582" s="173" t="s">
        <v>384</v>
      </c>
      <c r="P582" s="153" t="s">
        <v>570</v>
      </c>
      <c r="Q582" s="169">
        <v>1986.0</v>
      </c>
      <c r="R582" s="175" t="s">
        <v>6052</v>
      </c>
      <c r="S582" s="175" t="s">
        <v>6053</v>
      </c>
      <c r="T582" s="161" t="s">
        <v>150</v>
      </c>
      <c r="U582" s="153">
        <f>IFERROR(__xludf.DUMMYFUNCTION("""COMPUTED_VALUE"""),554.0)</f>
        <v>554</v>
      </c>
      <c r="V582" s="162" t="s">
        <v>3311</v>
      </c>
      <c r="W582" s="170" t="s">
        <v>6059</v>
      </c>
      <c r="X582" s="28" t="s">
        <v>6033</v>
      </c>
      <c r="Y582" s="28" t="s">
        <v>386</v>
      </c>
      <c r="Z582" s="176" t="s">
        <v>386</v>
      </c>
      <c r="AA582" s="153" t="s">
        <v>6054</v>
      </c>
      <c r="AB582" s="158" t="s">
        <v>149</v>
      </c>
      <c r="AC582" s="153" t="s">
        <v>390</v>
      </c>
      <c r="AD582" s="158" t="s">
        <v>160</v>
      </c>
      <c r="AE582" s="158" t="s">
        <v>6035</v>
      </c>
      <c r="AF582" s="158" t="s">
        <v>159</v>
      </c>
      <c r="AG582" s="164" t="s">
        <v>149</v>
      </c>
      <c r="AH582" s="158" t="s">
        <v>149</v>
      </c>
      <c r="AI582" s="153" t="s">
        <v>571</v>
      </c>
      <c r="AJ582" s="153" t="s">
        <v>390</v>
      </c>
      <c r="AK582" s="153" t="s">
        <v>6035</v>
      </c>
      <c r="AL582" s="153" t="s">
        <v>6055</v>
      </c>
      <c r="AM582" s="155" t="s">
        <v>149</v>
      </c>
      <c r="AN582" s="155" t="s">
        <v>149</v>
      </c>
      <c r="AO582" s="156">
        <v>1.0</v>
      </c>
      <c r="AP582" s="156" t="s">
        <v>6037</v>
      </c>
      <c r="AQ582" s="158" t="s">
        <v>395</v>
      </c>
      <c r="AR582" s="153" t="s">
        <v>6060</v>
      </c>
      <c r="AS582" s="158" t="s">
        <v>6711</v>
      </c>
      <c r="AT582" s="153" t="s">
        <v>398</v>
      </c>
      <c r="AU582" s="155" t="s">
        <v>149</v>
      </c>
    </row>
    <row r="583">
      <c r="A583" s="186">
        <v>291.0</v>
      </c>
      <c r="B583" s="152">
        <v>2023.0</v>
      </c>
      <c r="D583" s="152"/>
      <c r="E583" s="151">
        <v>291.0</v>
      </c>
      <c r="F583" s="129" t="s">
        <v>140</v>
      </c>
      <c r="G583" s="3" t="s">
        <v>6029</v>
      </c>
      <c r="H583" s="8" t="str">
        <f>IFERROR(__xludf.DUMMYFUNCTION("""COMPUTED_VALUE"""),"")</f>
        <v/>
      </c>
      <c r="I583" s="8" t="s">
        <v>7212</v>
      </c>
      <c r="J583" s="8" t="s">
        <v>193</v>
      </c>
      <c r="K583" s="8" t="s">
        <v>632</v>
      </c>
      <c r="L583" s="8" t="s">
        <v>637</v>
      </c>
      <c r="M583" s="8" t="s">
        <v>7206</v>
      </c>
      <c r="N583" s="8" t="s">
        <v>151</v>
      </c>
      <c r="O583" s="166" t="s">
        <v>149</v>
      </c>
      <c r="P583" s="158" t="s">
        <v>2716</v>
      </c>
      <c r="Q583" s="166" t="s">
        <v>149</v>
      </c>
      <c r="R583" s="166" t="s">
        <v>149</v>
      </c>
      <c r="S583" s="166" t="s">
        <v>149</v>
      </c>
      <c r="T583" s="8"/>
      <c r="U583" s="8">
        <f>IFERROR(__xludf.DUMMYFUNCTION("""COMPUTED_VALUE"""),555.0)</f>
        <v>555</v>
      </c>
      <c r="V583" s="8"/>
      <c r="W583" s="166"/>
      <c r="X583" s="8"/>
      <c r="Y583" s="8"/>
      <c r="AA583" s="166" t="s">
        <v>149</v>
      </c>
      <c r="AB583" s="166" t="s">
        <v>149</v>
      </c>
      <c r="AC583" s="166" t="s">
        <v>149</v>
      </c>
      <c r="AG583" s="166" t="s">
        <v>149</v>
      </c>
      <c r="AH583" s="8" t="s">
        <v>7190</v>
      </c>
      <c r="AI583" s="166" t="s">
        <v>149</v>
      </c>
      <c r="AJ583" s="166" t="s">
        <v>149</v>
      </c>
      <c r="AL583" s="166" t="s">
        <v>149</v>
      </c>
      <c r="AM583" s="166" t="s">
        <v>149</v>
      </c>
      <c r="AN583" s="166" t="s">
        <v>149</v>
      </c>
      <c r="AO583" s="8"/>
      <c r="AP583" s="8"/>
      <c r="AR583" s="8" t="s">
        <v>395</v>
      </c>
      <c r="AS583" s="8" t="s">
        <v>2873</v>
      </c>
      <c r="AT583" s="8" t="s">
        <v>398</v>
      </c>
      <c r="AU583" s="166" t="s">
        <v>149</v>
      </c>
    </row>
    <row r="584">
      <c r="A584" s="186">
        <v>292.0</v>
      </c>
      <c r="B584" s="152">
        <v>2025.0</v>
      </c>
      <c r="C584" s="153" t="str">
        <f>CONCATENATE(D584, "-", M584, "-", A584)
</f>
        <v>2023-PH072234000-292</v>
      </c>
      <c r="D584" s="152">
        <f>IF(OR(F583="Published", F583="Unpublished"), 2023, IF(F583="New", 2025, ""))
</f>
        <v>2023</v>
      </c>
      <c r="E584" s="151">
        <v>292.0</v>
      </c>
      <c r="F584" s="156" t="s">
        <v>140</v>
      </c>
      <c r="G584" s="156" t="s">
        <v>141</v>
      </c>
      <c r="H584" s="153" t="str">
        <f>IFERROR(__xludf.DUMMYFUNCTION("""COMPUTED_VALUE"""),"**Restoration_project_short** changed from Site in Lutoban to Unknown, **Year of establishment** changed from Unknown to 1990, **Technique/Material Type** changed from Unknown to tires, **Restoration objective** changed from Unknown to Fishing, **Total ar"&amp;"ea of restoration** changed from 140 m2 to Unknown, **Implementing institution** changed from Unknown to National Power Corporation, **Partners_private** changed from Unknown to BFAR, DA, MLGU, BLGU, **Reference** changed from Conference Proceeding to Bal"&amp;"gos, M.C. (1995). Evaluation of artificial reef development in the Philippines. In Munro, J.L. &amp; Balgos, M. (eds.) Artificial reefs in the Philippines. ICLARM Conf. Proc. 49, pp. 6-22., **Website** changed from http://pubs.iclarm.net/libinfo/Pdf/Pub%20CP6"&amp;"%2049.pdf to https://core.ac.uk/download/pdf/6515223.pdf;")</f>
        <v>**Restoration_project_short** changed from Site in Lutoban to Unknown, **Year of establishment** changed from Unknown to 1990, **Technique/Material Type** changed from Unknown to tires, **Restoration objective** changed from Unknown to Fishing, **Total area of restoration** changed from 140 m2 to Unknown, **Implementing institution** changed from Unknown to National Power Corporation, **Partners_private** changed from Unknown to BFAR, DA, MLGU, BLGU,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584" s="153" t="s">
        <v>7213</v>
      </c>
      <c r="J584" s="153" t="s">
        <v>193</v>
      </c>
      <c r="K584" s="153" t="s">
        <v>194</v>
      </c>
      <c r="L584" s="153" t="s">
        <v>5384</v>
      </c>
      <c r="M584" s="181" t="s">
        <v>2314</v>
      </c>
      <c r="N584" s="153" t="s">
        <v>151</v>
      </c>
      <c r="O584" s="158" t="s">
        <v>149</v>
      </c>
      <c r="P584" s="155" t="s">
        <v>149</v>
      </c>
      <c r="Q584" s="169">
        <v>1990.0</v>
      </c>
      <c r="R584" s="160" t="s">
        <v>149</v>
      </c>
      <c r="S584" s="160" t="s">
        <v>149</v>
      </c>
      <c r="T584" s="161" t="s">
        <v>150</v>
      </c>
      <c r="U584" s="153">
        <f>IFERROR(__xludf.DUMMYFUNCTION("""COMPUTED_VALUE"""),556.0)</f>
        <v>556</v>
      </c>
      <c r="V584" s="162" t="s">
        <v>3311</v>
      </c>
      <c r="W584" s="170" t="s">
        <v>6059</v>
      </c>
      <c r="X584" s="28" t="s">
        <v>6033</v>
      </c>
      <c r="Y584" s="28" t="s">
        <v>386</v>
      </c>
      <c r="Z584" s="176" t="s">
        <v>386</v>
      </c>
      <c r="AA584" s="153" t="s">
        <v>6054</v>
      </c>
      <c r="AB584" s="153" t="s">
        <v>6506</v>
      </c>
      <c r="AC584" s="158" t="s">
        <v>149</v>
      </c>
      <c r="AD584" s="158" t="s">
        <v>149</v>
      </c>
      <c r="AE584" s="158" t="s">
        <v>149</v>
      </c>
      <c r="AF584" s="158" t="s">
        <v>149</v>
      </c>
      <c r="AG584" s="164" t="s">
        <v>149</v>
      </c>
      <c r="AH584" s="158" t="s">
        <v>149</v>
      </c>
      <c r="AI584" s="158" t="s">
        <v>149</v>
      </c>
      <c r="AJ584" s="153" t="s">
        <v>2304</v>
      </c>
      <c r="AK584" s="158" t="s">
        <v>184</v>
      </c>
      <c r="AL584" s="155" t="s">
        <v>149</v>
      </c>
      <c r="AM584" s="153" t="s">
        <v>6507</v>
      </c>
      <c r="AN584" s="155" t="s">
        <v>149</v>
      </c>
      <c r="AO584" s="156">
        <v>1.0</v>
      </c>
      <c r="AP584" s="156" t="s">
        <v>6037</v>
      </c>
      <c r="AQ584" s="158" t="s">
        <v>395</v>
      </c>
      <c r="AR584" s="153" t="s">
        <v>6060</v>
      </c>
      <c r="AS584" s="158" t="s">
        <v>6711</v>
      </c>
      <c r="AT584" s="153" t="s">
        <v>398</v>
      </c>
      <c r="AU584" s="155" t="s">
        <v>149</v>
      </c>
    </row>
    <row r="585">
      <c r="A585" s="151">
        <v>292.0</v>
      </c>
      <c r="B585" s="152">
        <v>2023.0</v>
      </c>
      <c r="D585" s="152"/>
      <c r="E585" s="151">
        <v>292.0</v>
      </c>
      <c r="F585" s="129" t="s">
        <v>140</v>
      </c>
      <c r="G585" s="3" t="s">
        <v>6029</v>
      </c>
      <c r="H585" s="8" t="str">
        <f>IFERROR(__xludf.DUMMYFUNCTION("""COMPUTED_VALUE"""),"")</f>
        <v/>
      </c>
      <c r="I585" s="8" t="s">
        <v>7214</v>
      </c>
      <c r="J585" s="8" t="s">
        <v>193</v>
      </c>
      <c r="K585" s="8" t="s">
        <v>632</v>
      </c>
      <c r="L585" s="8" t="s">
        <v>637</v>
      </c>
      <c r="M585" s="8" t="s">
        <v>7206</v>
      </c>
      <c r="N585" s="8" t="s">
        <v>151</v>
      </c>
      <c r="O585" s="166" t="s">
        <v>149</v>
      </c>
      <c r="P585" s="158" t="s">
        <v>2719</v>
      </c>
      <c r="Q585" s="166" t="s">
        <v>149</v>
      </c>
      <c r="R585" s="166" t="s">
        <v>149</v>
      </c>
      <c r="S585" s="166" t="s">
        <v>149</v>
      </c>
      <c r="T585" s="8"/>
      <c r="U585" s="8">
        <f>IFERROR(__xludf.DUMMYFUNCTION("""COMPUTED_VALUE"""),557.0)</f>
        <v>557</v>
      </c>
      <c r="V585" s="8"/>
      <c r="W585" s="166"/>
      <c r="X585" s="8"/>
      <c r="Y585" s="8"/>
      <c r="AA585" s="166" t="s">
        <v>149</v>
      </c>
      <c r="AB585" s="166" t="s">
        <v>149</v>
      </c>
      <c r="AC585" s="166" t="s">
        <v>149</v>
      </c>
      <c r="AG585" s="166" t="s">
        <v>149</v>
      </c>
      <c r="AH585" s="8" t="s">
        <v>7215</v>
      </c>
      <c r="AI585" s="166" t="s">
        <v>149</v>
      </c>
      <c r="AJ585" s="166" t="s">
        <v>149</v>
      </c>
      <c r="AL585" s="166" t="s">
        <v>149</v>
      </c>
      <c r="AM585" s="166" t="s">
        <v>149</v>
      </c>
      <c r="AN585" s="166" t="s">
        <v>149</v>
      </c>
      <c r="AO585" s="8"/>
      <c r="AP585" s="8"/>
      <c r="AR585" s="8" t="s">
        <v>395</v>
      </c>
      <c r="AS585" s="8" t="s">
        <v>2873</v>
      </c>
      <c r="AT585" s="8" t="s">
        <v>398</v>
      </c>
      <c r="AU585" s="166" t="s">
        <v>149</v>
      </c>
    </row>
    <row r="586">
      <c r="A586" s="186">
        <v>293.0</v>
      </c>
      <c r="B586" s="152">
        <v>2025.0</v>
      </c>
      <c r="C586" s="153" t="str">
        <f>CONCATENATE(D586, "-", M586, "-", A586)
</f>
        <v>2023-PH072235000-293</v>
      </c>
      <c r="D586" s="152">
        <f>IF(OR(F585="Published", F585="Unpublished"), 2023, IF(F585="New", 2025, ""))
</f>
        <v>2023</v>
      </c>
      <c r="E586" s="151">
        <v>293.0</v>
      </c>
      <c r="F586" s="156" t="s">
        <v>191</v>
      </c>
      <c r="G586" s="156" t="s">
        <v>191</v>
      </c>
      <c r="H586" s="153" t="str">
        <f>IFERROR(__xludf.DUMMYFUNCTION("""COMPUTED_VALUE"""),"**Restoration_project** changed from Unknown to Kalahi-CIDSS, **Restoration_project_short** changed from Site in Dalakit to Site inside Gawi Marine Sanctuary, **Year of establishment** changed from Unknown to 2022, **Project Start** changed from Unknown t"&amp;"o 2022, **Technique/Material Type** changed from Unknown to pyramid, round table, **Restoration objective** changed from Unknown to Post-disaster rehabilitation, **Funding agency** changed from Unknown to DSWD, **Total funding** changed from Unknown to P8"&amp;"81,800.00, **Total area of restoration** changed from 815 m2 to 82,500 sq m, **Total units** changed from Unknown to 72 pyramid units; 220 round tables, **Implementing institution** changed from Unknown to Kalahi-CIDSS DSWD, **Partners_private** changed f"&amp;"rom Unknown to Blue Thumb, **Partners_communities** changed from Unknown to Gawi Fisherfolk Assoc., **Reference** changed from Conference Proceeding to Community project under DSWD revives marine ecosystem battered by typhoons (2023, March 27). Journal On"&amp;"line. https://journal.com.ph/community-project-under-dswd-revives-marine-ecosystem-battered-by-typhoons/, **Website** changed from http://pubs.iclarm.net/libinfo/Pdf/Pub%20CP6%2049.pdf to https://journal.com.ph/community-project-under-dswd-revives-marine-"&amp;"ecosystem-battered-by-typhoons/, **Contact_name** changed from Miriam Balgos to Unknown")</f>
        <v>**Restoration_project** changed from Unknown to Kalahi-CIDSS, **Restoration_project_short** changed from Site in Dalakit to Site inside Gawi Marine Sanctuary, **Year of establishment** changed from Unknown to 2022, **Project Start** changed from Unknown to 2022, **Technique/Material Type** changed from Unknown to pyramid, round table, **Restoration objective** changed from Unknown to Post-disaster rehabilitation, **Funding agency** changed from Unknown to DSWD, **Total funding** changed from Unknown to P881,800.00, **Total area of restoration** changed from 815 m2 to 82,500 sq m, **Total units** changed from Unknown to 72 pyramid units; 220 round tables, **Implementing institution** changed from Unknown to Kalahi-CIDSS DSWD, **Partners_private** changed from Unknown to Blue Thumb, **Partners_communities** changed from Unknown to Gawi Fisherfolk Assoc., **Reference** changed from Conference Proceeding to Community project under DSWD revives marine ecosystem battered by typhoons (2023, March 27). Journal Online. https://journal.com.ph/community-project-under-dswd-revives-marine-ecosystem-battered-by-typhoons/, **Website** changed from http://pubs.iclarm.net/libinfo/Pdf/Pub%20CP6%2049.pdf to https://journal.com.ph/community-project-under-dswd-revives-marine-ecosystem-battered-by-typhoons/, **Contact_name** changed from Miriam Balgos to Unknown</v>
      </c>
      <c r="I586" s="153" t="s">
        <v>7216</v>
      </c>
      <c r="J586" s="153" t="s">
        <v>193</v>
      </c>
      <c r="K586" s="153" t="s">
        <v>194</v>
      </c>
      <c r="L586" s="153" t="s">
        <v>1587</v>
      </c>
      <c r="M586" s="181" t="s">
        <v>1588</v>
      </c>
      <c r="N586" s="153" t="s">
        <v>151</v>
      </c>
      <c r="O586" s="153" t="s">
        <v>7217</v>
      </c>
      <c r="P586" s="153" t="s">
        <v>1590</v>
      </c>
      <c r="Q586" s="169">
        <v>2022.0</v>
      </c>
      <c r="R586" s="175" t="s">
        <v>6145</v>
      </c>
      <c r="S586" s="160" t="s">
        <v>149</v>
      </c>
      <c r="T586" s="161" t="s">
        <v>150</v>
      </c>
      <c r="U586" s="153">
        <f>IFERROR(__xludf.DUMMYFUNCTION("""COMPUTED_VALUE"""),558.0)</f>
        <v>558</v>
      </c>
      <c r="V586" s="162" t="s">
        <v>3311</v>
      </c>
      <c r="W586" s="179" t="s">
        <v>6032</v>
      </c>
      <c r="X586" s="28" t="s">
        <v>6033</v>
      </c>
      <c r="Y586" s="32" t="s">
        <v>1591</v>
      </c>
      <c r="Z586" s="158" t="s">
        <v>1592</v>
      </c>
      <c r="AA586" s="153" t="s">
        <v>1592</v>
      </c>
      <c r="AB586" s="153" t="s">
        <v>1593</v>
      </c>
      <c r="AC586" s="153" t="s">
        <v>1594</v>
      </c>
      <c r="AD586" s="158" t="s">
        <v>160</v>
      </c>
      <c r="AE586" s="158" t="s">
        <v>6035</v>
      </c>
      <c r="AF586" s="158" t="s">
        <v>159</v>
      </c>
      <c r="AG586" s="181" t="s">
        <v>7218</v>
      </c>
      <c r="AH586" s="153" t="s">
        <v>7219</v>
      </c>
      <c r="AI586" s="153" t="s">
        <v>1597</v>
      </c>
      <c r="AJ586" s="153" t="s">
        <v>1598</v>
      </c>
      <c r="AK586" s="153" t="s">
        <v>6035</v>
      </c>
      <c r="AL586" s="156" t="s">
        <v>149</v>
      </c>
      <c r="AM586" s="153" t="s">
        <v>1599</v>
      </c>
      <c r="AN586" s="153" t="s">
        <v>1600</v>
      </c>
      <c r="AO586" s="156">
        <v>1.0</v>
      </c>
      <c r="AP586" s="156" t="s">
        <v>6037</v>
      </c>
      <c r="AQ586" s="158" t="s">
        <v>166</v>
      </c>
      <c r="AR586" s="153" t="s">
        <v>1601</v>
      </c>
      <c r="AS586" s="172" t="s">
        <v>1602</v>
      </c>
      <c r="AT586" s="156" t="s">
        <v>149</v>
      </c>
      <c r="AU586" s="156" t="s">
        <v>149</v>
      </c>
    </row>
    <row r="587">
      <c r="A587" s="186">
        <v>293.0</v>
      </c>
      <c r="B587" s="152">
        <v>2023.0</v>
      </c>
      <c r="D587" s="152"/>
      <c r="E587" s="151">
        <v>293.0</v>
      </c>
      <c r="F587" s="129" t="s">
        <v>140</v>
      </c>
      <c r="G587" s="3" t="s">
        <v>6029</v>
      </c>
      <c r="H587" s="8" t="str">
        <f>IFERROR(__xludf.DUMMYFUNCTION("""COMPUTED_VALUE"""),"")</f>
        <v/>
      </c>
      <c r="I587" s="8" t="s">
        <v>7220</v>
      </c>
      <c r="J587" s="8" t="s">
        <v>579</v>
      </c>
      <c r="K587" s="8" t="s">
        <v>580</v>
      </c>
      <c r="L587" s="158" t="s">
        <v>581</v>
      </c>
      <c r="M587" s="153" t="s">
        <v>582</v>
      </c>
      <c r="N587" s="8" t="s">
        <v>151</v>
      </c>
      <c r="O587" s="8" t="s">
        <v>384</v>
      </c>
      <c r="P587" s="8" t="s">
        <v>583</v>
      </c>
      <c r="Q587" s="142" t="s">
        <v>6051</v>
      </c>
      <c r="R587" s="142" t="s">
        <v>6052</v>
      </c>
      <c r="S587" s="142" t="s">
        <v>6053</v>
      </c>
      <c r="T587" s="8"/>
      <c r="U587" s="8">
        <f>IFERROR(__xludf.DUMMYFUNCTION("""COMPUTED_VALUE"""),559.0)</f>
        <v>559</v>
      </c>
      <c r="V587" s="8"/>
      <c r="W587" s="8"/>
      <c r="X587" s="8"/>
      <c r="Y587" s="8"/>
      <c r="AA587" s="8" t="s">
        <v>6054</v>
      </c>
      <c r="AB587" s="223" t="s">
        <v>149</v>
      </c>
      <c r="AC587" s="8" t="s">
        <v>390</v>
      </c>
      <c r="AG587" s="223" t="s">
        <v>149</v>
      </c>
      <c r="AH587" s="223" t="s">
        <v>149</v>
      </c>
      <c r="AI587" s="8" t="s">
        <v>450</v>
      </c>
      <c r="AJ587" s="8" t="s">
        <v>390</v>
      </c>
      <c r="AL587" s="8" t="s">
        <v>6055</v>
      </c>
      <c r="AM587" s="223" t="s">
        <v>149</v>
      </c>
      <c r="AN587" s="223" t="s">
        <v>149</v>
      </c>
      <c r="AO587" s="8"/>
      <c r="AP587" s="8"/>
      <c r="AR587" s="8" t="s">
        <v>6057</v>
      </c>
      <c r="AS587" s="8" t="s">
        <v>2873</v>
      </c>
      <c r="AT587" s="8" t="s">
        <v>398</v>
      </c>
      <c r="AU587" s="223" t="s">
        <v>149</v>
      </c>
    </row>
    <row r="588">
      <c r="A588" s="186">
        <v>294.0</v>
      </c>
      <c r="B588" s="152">
        <v>2025.0</v>
      </c>
      <c r="C588" s="153" t="str">
        <f>CONCATENATE(D588, "-", M588, "-", A588)
</f>
        <v>2023-PH072242000-294</v>
      </c>
      <c r="D588" s="152">
        <f>IF(OR(F587="Published", F587="Unpublished"), 2023, IF(F587="New", 2025, ""))
</f>
        <v>2023</v>
      </c>
      <c r="E588" s="151">
        <v>294.0</v>
      </c>
      <c r="F588" s="156" t="s">
        <v>140</v>
      </c>
      <c r="G588" s="156" t="s">
        <v>141</v>
      </c>
      <c r="H588" s="153" t="str">
        <f>IFERROR(__xludf.DUMMYFUNCTION("""COMPUTED_VALUE"""),"**Region** changed from VIII to VII, **Restoration_project** changed from Artificial Reef Development Program to Unknown, **Restoration_project_short** changed from Site in Lalawigan to Site in Brgy Consuelo; Pilot site for coral farming from Caw-oy Lapu-"&amp;"Lapu City, **Year of establishment** changed from 1986 to 2000, **Project Start** changed from 1985 to Unknown, **Project End** changed from 1987 to Unknown, **Restoration method** changed from Artificial Reef to Asexual Reproduction, **Technique/Material"&amp;" Type** changed from tires to CNU, **Restoration objective** changed from Unknown to Reef rehabilitation, **Funding agency** changed from BFAR to Unknown, **Total area of restoration** changed from Unknown to 0.1ha, **Total units** changed from 6 TM to 2,"&amp;"000 fragments, **Implementing institution** changed from BFAR to International Marinelife Alliance, **Partners_public** changed from Ministry of Human Settlements to Unknown, **Partners_communities** changed from Unknown to Consuelo United Farmers and Fis"&amp;"hers Assoc., **Reference** changed from Conference Proceediing to Dalby, J., &amp; Sorensen, T. K. (2002). Coastal Reef Resource Management in the Philippines - with focus on marine protected areas as a management tool. University of Copenhagen [Thesis]. DOI:"&amp;"10.13140/RG.2.1.2923.2883, **Website** changed from http://pubs.iclarm.net/libinfo/Pdf/Pub%20CP6%2049.pdf to https://www.researchgate.net/publication/305770156_Coral_reef_resource_management_in_the_Philippines_-_with_focus_on_marine_protected_areas_as_a_m"&amp;"anagement_tool, **Contact_name** changed from Miriam Balgos to Joey Gatus")</f>
        <v>**Region** changed from VIII to VII, **Restoration_project** changed from Artificial Reef Development Program to Unknown, **Restoration_project_short** changed from Site in Lalawigan to Site in Brgy Consuelo; Pilot site for coral farming from Caw-oy Lapu-Lapu City, **Year of establishment** changed from 1986 to 2000, **Project Start** changed from 1985 to Unknown, **Project End** changed from 1987 to Unknown, **Restoration method** changed from Artificial Reef to Asexual Reproduction, **Technique/Material Type** changed from tires to CNU, **Restoration objective** changed from Unknown to Reef rehabilitation, **Funding agency** changed from BFAR to Unknown, **Total area of restoration** changed from Unknown to 0.1ha, **Total units** changed from 6 TM to 2,000 fragments, **Implementing institution** changed from BFAR to International Marinelife Alliance, **Partners_public** changed from Ministry of Human Settlements to Unknown, **Partners_communities** changed from Unknown to Consuelo United Farmers and Fishers Assoc., **Reference** changed from Conference Proceediing to Dalby, J., &amp; Sorensen, T. K. (2002). Coastal Reef Resource Management in the Philippines - with focus on marine protected areas as a management tool. University of Copenhagen [Thesis]. DOI:10.13140/RG.2.1.2923.2883, **Website** changed from http://pubs.iclarm.net/libinfo/Pdf/Pub%20CP6%2049.pdf to https://www.researchgate.net/publication/305770156_Coral_reef_resource_management_in_the_Philippines_-_with_focus_on_marine_protected_areas_as_a_management_tool, **Contact_name** changed from Miriam Balgos to Joey Gatus</v>
      </c>
      <c r="I588" s="153" t="s">
        <v>7221</v>
      </c>
      <c r="J588" s="153" t="s">
        <v>193</v>
      </c>
      <c r="K588" s="153" t="s">
        <v>194</v>
      </c>
      <c r="L588" s="153" t="s">
        <v>969</v>
      </c>
      <c r="M588" s="181" t="s">
        <v>970</v>
      </c>
      <c r="N588" s="153" t="s">
        <v>6062</v>
      </c>
      <c r="O588" s="202" t="s">
        <v>149</v>
      </c>
      <c r="P588" s="173" t="s">
        <v>7222</v>
      </c>
      <c r="Q588" s="182">
        <v>2000.0</v>
      </c>
      <c r="R588" s="203" t="s">
        <v>149</v>
      </c>
      <c r="S588" s="203" t="s">
        <v>149</v>
      </c>
      <c r="T588" s="156" t="s">
        <v>177</v>
      </c>
      <c r="U588" s="153">
        <f>IFERROR(__xludf.DUMMYFUNCTION("""COMPUTED_VALUE"""),560.0)</f>
        <v>560</v>
      </c>
      <c r="V588" s="191" t="s">
        <v>1359</v>
      </c>
      <c r="W588" s="179" t="s">
        <v>6066</v>
      </c>
      <c r="X588" s="180"/>
      <c r="Y588" s="180" t="s">
        <v>154</v>
      </c>
      <c r="Z588" s="158" t="s">
        <v>179</v>
      </c>
      <c r="AA588" s="153" t="s">
        <v>320</v>
      </c>
      <c r="AB588" s="158" t="s">
        <v>2397</v>
      </c>
      <c r="AC588" s="202" t="s">
        <v>149</v>
      </c>
      <c r="AD588" s="158" t="s">
        <v>149</v>
      </c>
      <c r="AE588" s="158" t="s">
        <v>149</v>
      </c>
      <c r="AF588" s="158" t="s">
        <v>159</v>
      </c>
      <c r="AG588" s="164" t="s">
        <v>149</v>
      </c>
      <c r="AH588" s="153" t="s">
        <v>7223</v>
      </c>
      <c r="AI588" s="173" t="s">
        <v>2399</v>
      </c>
      <c r="AJ588" s="173" t="s">
        <v>2400</v>
      </c>
      <c r="AK588" s="158" t="s">
        <v>306</v>
      </c>
      <c r="AL588" s="220" t="s">
        <v>149</v>
      </c>
      <c r="AM588" s="220" t="s">
        <v>149</v>
      </c>
      <c r="AN588" s="202" t="s">
        <v>2401</v>
      </c>
      <c r="AO588" s="156">
        <v>1.0</v>
      </c>
      <c r="AP588" s="156" t="s">
        <v>6037</v>
      </c>
      <c r="AQ588" s="158" t="s">
        <v>7149</v>
      </c>
      <c r="AR588" s="153" t="s">
        <v>2402</v>
      </c>
      <c r="AS588" s="172" t="s">
        <v>2403</v>
      </c>
      <c r="AT588" s="153" t="s">
        <v>2404</v>
      </c>
      <c r="AU588" s="220" t="s">
        <v>149</v>
      </c>
    </row>
    <row r="589">
      <c r="A589" s="186">
        <v>294.0</v>
      </c>
      <c r="B589" s="152">
        <v>2023.0</v>
      </c>
      <c r="D589" s="152"/>
      <c r="E589" s="151">
        <v>294.0</v>
      </c>
      <c r="F589" s="129" t="s">
        <v>140</v>
      </c>
      <c r="G589" s="3" t="s">
        <v>6029</v>
      </c>
      <c r="H589" s="8" t="str">
        <f>IFERROR(__xludf.DUMMYFUNCTION("""COMPUTED_VALUE"""),"")</f>
        <v/>
      </c>
      <c r="I589" s="8" t="s">
        <v>7224</v>
      </c>
      <c r="J589" s="8" t="s">
        <v>579</v>
      </c>
      <c r="K589" s="8" t="s">
        <v>580</v>
      </c>
      <c r="L589" s="8" t="s">
        <v>1540</v>
      </c>
      <c r="M589" s="8" t="s">
        <v>1541</v>
      </c>
      <c r="N589" s="8" t="s">
        <v>6062</v>
      </c>
      <c r="O589" s="8" t="s">
        <v>1542</v>
      </c>
      <c r="P589" s="223" t="s">
        <v>149</v>
      </c>
      <c r="Q589" s="142" t="s">
        <v>6339</v>
      </c>
      <c r="R589" s="142" t="s">
        <v>6339</v>
      </c>
      <c r="S589" s="142" t="s">
        <v>7119</v>
      </c>
      <c r="T589" s="8"/>
      <c r="U589" s="8">
        <f>IFERROR(__xludf.DUMMYFUNCTION("""COMPUTED_VALUE"""),561.0)</f>
        <v>561</v>
      </c>
      <c r="V589" s="8"/>
      <c r="W589" s="8"/>
      <c r="X589" s="8"/>
      <c r="Y589" s="8"/>
      <c r="AA589" s="8" t="s">
        <v>179</v>
      </c>
      <c r="AB589" s="8" t="s">
        <v>1545</v>
      </c>
      <c r="AC589" s="8" t="s">
        <v>1546</v>
      </c>
      <c r="AG589" s="223" t="s">
        <v>149</v>
      </c>
      <c r="AH589" s="223" t="s">
        <v>149</v>
      </c>
      <c r="AI589" s="223" t="s">
        <v>149</v>
      </c>
      <c r="AJ589" s="8" t="s">
        <v>1547</v>
      </c>
      <c r="AL589" s="224" t="s">
        <v>149</v>
      </c>
      <c r="AM589" s="224" t="s">
        <v>149</v>
      </c>
      <c r="AN589" s="224" t="s">
        <v>149</v>
      </c>
      <c r="AO589" s="8"/>
      <c r="AP589" s="8"/>
      <c r="AR589" s="8" t="s">
        <v>213</v>
      </c>
      <c r="AS589" s="223" t="s">
        <v>149</v>
      </c>
      <c r="AT589" s="8" t="s">
        <v>1548</v>
      </c>
      <c r="AU589" s="208" t="s">
        <v>1549</v>
      </c>
    </row>
    <row r="590">
      <c r="A590" s="186">
        <v>295.0</v>
      </c>
      <c r="B590" s="152">
        <v>2025.0</v>
      </c>
      <c r="C590" s="153" t="str">
        <f>CONCATENATE(D590, "-", M590, "-", A590)
</f>
        <v>2023-PH072242000-295</v>
      </c>
      <c r="D590" s="152">
        <f>IF(OR(F589="Published", F589="Unpublished"), 2023, IF(F589="New", 2025, ""))
</f>
        <v>2023</v>
      </c>
      <c r="E590" s="151">
        <v>295.0</v>
      </c>
      <c r="F590" s="156" t="s">
        <v>140</v>
      </c>
      <c r="G590" s="156" t="s">
        <v>141</v>
      </c>
      <c r="H590" s="153" t="str">
        <f>IFERROR(__xludf.DUMMYFUNCTION("""COMPUTED_VALUE"""),"**Region** changed from VIII to VII, **Restoration_project** changed from Habitat Enhancement Project: Bagonbanua Marine Reserve and Fish Sanctuary to Coral Reef Habitat and Productivity Enhancement through Coral Transplantation and Giant Clam Restocking,"&amp;" **Restoration_project_short** changed from Unknown to Camotes site in source material, **Year of establishment** changed from 1995 to 2001, **Project Start** changed from 1995 to 2001, **Project End** changed from 1997 to 2005, **Technique/Material Type*"&amp;"* changed from Coral transplantation to Direct transplantation, **Restoration objective** changed from Experimental; Support coastal/municipal fisheries to Improve biodiversity and productivity of stressed coral reef habitats in 10 selected demonstration "&amp;"sites, **Funding agency** changed from Foundation for the Philippine Environment to Pew Marine Conservation Fellowship, **Implementing institution** changed from Guiuan Development Foundation Inc. (GDFI) to UP MSI, **Reference** changed from Survey to Gom"&amp;"ez, E., Cabaitan, P., &amp; Vicentuan, K. (2006). Coral culture and transplantation and restocking of giant clams in the Philippines. In J.H. Primavera, E.T. Quinitio, &amp; M. R. R. Eguia (Eds.). Proceedings of the Regional Technical Consultation on Stock Enhanc"&amp;"ement for Threatened Species of International Concern, Iloilo City, Philippines, 13-15 July 2005 (pp. 39-48). Tigbaua, Iloilo, Philippines: Aquaculture Department, Southeast Asian Fisheries Development Center. Retrieved from https://aquadocs.org/bitstream"&amp;"/handle/1834/40478/GomezED2006.pdf?sequence=1&amp;isAllowed=y, **Website** changed from Unknown to https://aquadocs.org/bitstream/handle/1834/40478/GomezED2006.pdf?sequence=1&amp;isAllowed=y, **Contact_name** changed from Margarita de la Cruz to Dr. Patrick Cabai"&amp;"tan, **Contact_details** changed from cruzmarge2003@yahoo.com ; 09189295852 to Unknown")</f>
        <v>**Region** changed from VIII to VII, **Restoration_project** changed from Habitat Enhancement Project: Bagonbanua Marine Reserve and Fish Sanctuary to Coral Reef Habitat and Productivity Enhancement through Coral Transplantation and Giant Clam Restocking, **Restoration_project_short** changed from Unknown to Camotes site in source material, **Year of establishment** changed from 1995 to 2001, **Project Start** changed from 1995 to 2001, **Project End** changed from 1997 to 2005, **Technique/Material Type** changed from Coral transplantation to Direct transplantation, **Restoration objective** changed from Experimental; Support coastal/municipal fisheries to Improve biodiversity and productivity of stressed coral reef habitats in 10 selected demonstration sites, **Funding agency** changed from Foundation for the Philippine Environment to Pew Marine Conservation Fellowship, **Implementing institution** changed from Guiuan Development Foundation Inc. (GDFI) to UP MSI, **Reference** changed from Survey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Unknown to https://aquadocs.org/bitstream/handle/1834/40478/GomezED2006.pdf?sequence=1&amp;isAllowed=y, **Contact_name** changed from Margarita de la Cruz to Dr. Patrick Cabaitan, **Contact_details** changed from cruzmarge2003@yahoo.com ; 09189295852 to Unknown</v>
      </c>
      <c r="I590" s="153" t="s">
        <v>7225</v>
      </c>
      <c r="J590" s="153" t="s">
        <v>193</v>
      </c>
      <c r="K590" s="158" t="s">
        <v>194</v>
      </c>
      <c r="L590" s="158" t="s">
        <v>969</v>
      </c>
      <c r="M590" s="164" t="s">
        <v>970</v>
      </c>
      <c r="N590" s="158" t="s">
        <v>6062</v>
      </c>
      <c r="O590" s="158" t="s">
        <v>934</v>
      </c>
      <c r="P590" s="176" t="s">
        <v>7226</v>
      </c>
      <c r="Q590" s="178">
        <v>2001.0</v>
      </c>
      <c r="R590" s="160" t="s">
        <v>6229</v>
      </c>
      <c r="S590" s="160" t="s">
        <v>6230</v>
      </c>
      <c r="T590" s="176" t="s">
        <v>177</v>
      </c>
      <c r="U590" s="153">
        <f>IFERROR(__xludf.DUMMYFUNCTION("""COMPUTED_VALUE"""),562.0)</f>
        <v>562</v>
      </c>
      <c r="V590" s="191" t="s">
        <v>3245</v>
      </c>
      <c r="W590" s="179" t="s">
        <v>149</v>
      </c>
      <c r="X590" s="180"/>
      <c r="Y590" s="180" t="s">
        <v>154</v>
      </c>
      <c r="Z590" s="158" t="s">
        <v>179</v>
      </c>
      <c r="AA590" s="158" t="s">
        <v>3245</v>
      </c>
      <c r="AB590" s="153" t="s">
        <v>939</v>
      </c>
      <c r="AC590" s="153" t="s">
        <v>940</v>
      </c>
      <c r="AD590" s="158" t="s">
        <v>6154</v>
      </c>
      <c r="AE590" s="158" t="s">
        <v>206</v>
      </c>
      <c r="AF590" s="158" t="s">
        <v>159</v>
      </c>
      <c r="AG590" s="164" t="s">
        <v>149</v>
      </c>
      <c r="AH590" s="158" t="s">
        <v>149</v>
      </c>
      <c r="AI590" s="158" t="s">
        <v>149</v>
      </c>
      <c r="AJ590" s="153" t="s">
        <v>233</v>
      </c>
      <c r="AK590" s="158" t="s">
        <v>6068</v>
      </c>
      <c r="AL590" s="3" t="s">
        <v>149</v>
      </c>
      <c r="AM590" s="210" t="s">
        <v>149</v>
      </c>
      <c r="AN590" s="210" t="s">
        <v>149</v>
      </c>
      <c r="AO590" s="156">
        <v>1.0</v>
      </c>
      <c r="AP590" s="156" t="s">
        <v>6037</v>
      </c>
      <c r="AQ590" s="158" t="s">
        <v>6214</v>
      </c>
      <c r="AR590" s="153" t="s">
        <v>941</v>
      </c>
      <c r="AS590" s="172" t="s">
        <v>942</v>
      </c>
      <c r="AT590" s="153" t="s">
        <v>943</v>
      </c>
      <c r="AU590" s="210" t="s">
        <v>149</v>
      </c>
    </row>
    <row r="591">
      <c r="A591" s="186">
        <v>295.0</v>
      </c>
      <c r="B591" s="152">
        <v>2023.0</v>
      </c>
      <c r="D591" s="152"/>
      <c r="E591" s="151">
        <v>295.0</v>
      </c>
      <c r="F591" s="129" t="s">
        <v>140</v>
      </c>
      <c r="G591" s="3" t="s">
        <v>6029</v>
      </c>
      <c r="H591" s="8" t="str">
        <f>IFERROR(__xludf.DUMMYFUNCTION("""COMPUTED_VALUE"""),"")</f>
        <v/>
      </c>
      <c r="I591" s="8" t="s">
        <v>7227</v>
      </c>
      <c r="J591" s="8" t="s">
        <v>579</v>
      </c>
      <c r="K591" s="8" t="s">
        <v>580</v>
      </c>
      <c r="L591" s="8" t="s">
        <v>973</v>
      </c>
      <c r="M591" s="8" t="s">
        <v>974</v>
      </c>
      <c r="N591" s="8" t="s">
        <v>6062</v>
      </c>
      <c r="O591" s="8" t="s">
        <v>934</v>
      </c>
      <c r="P591" s="223" t="s">
        <v>149</v>
      </c>
      <c r="Q591" s="142" t="s">
        <v>6229</v>
      </c>
      <c r="R591" s="142" t="s">
        <v>6229</v>
      </c>
      <c r="S591" s="142" t="s">
        <v>6230</v>
      </c>
      <c r="T591" s="8"/>
      <c r="U591" s="8">
        <f>IFERROR(__xludf.DUMMYFUNCTION("""COMPUTED_VALUE"""),563.0)</f>
        <v>563</v>
      </c>
      <c r="V591" s="8"/>
      <c r="W591" s="3"/>
      <c r="Y591" s="8"/>
      <c r="AA591" s="3" t="s">
        <v>3245</v>
      </c>
      <c r="AB591" s="8" t="s">
        <v>939</v>
      </c>
      <c r="AC591" s="8" t="s">
        <v>940</v>
      </c>
      <c r="AG591" s="223" t="s">
        <v>149</v>
      </c>
      <c r="AH591" s="223" t="s">
        <v>149</v>
      </c>
      <c r="AI591" s="223" t="s">
        <v>149</v>
      </c>
      <c r="AJ591" s="8" t="s">
        <v>233</v>
      </c>
      <c r="AL591" s="223" t="s">
        <v>149</v>
      </c>
      <c r="AM591" s="223" t="s">
        <v>149</v>
      </c>
      <c r="AN591" s="223" t="s">
        <v>149</v>
      </c>
      <c r="AO591" s="8"/>
      <c r="AP591" s="8"/>
      <c r="AR591" s="8" t="s">
        <v>6214</v>
      </c>
      <c r="AS591" s="8" t="s">
        <v>942</v>
      </c>
      <c r="AT591" s="8" t="s">
        <v>943</v>
      </c>
      <c r="AU591" s="223" t="s">
        <v>149</v>
      </c>
    </row>
    <row r="592">
      <c r="A592" s="186">
        <v>296.0</v>
      </c>
      <c r="B592" s="152">
        <v>2025.0</v>
      </c>
      <c r="C592" s="153" t="str">
        <f>CONCATENATE(D592, "-", M592, "-", A592)
</f>
        <v>2023-PH072249000-296</v>
      </c>
      <c r="D592" s="152">
        <f>IF(OR(F591="Published", F591="Unpublished"), 2023, IF(F591="New", 2025, ""))
</f>
        <v>2023</v>
      </c>
      <c r="E592" s="151">
        <v>296.0</v>
      </c>
      <c r="F592" s="156" t="s">
        <v>140</v>
      </c>
      <c r="G592" s="156" t="s">
        <v>141</v>
      </c>
      <c r="H592" s="153" t="str">
        <f>IFERROR(__xludf.DUMMYFUNCTION("""COMPUTED_VALUE"""),"**Region** changed from VIII to VII, **Restoration_project** changed from Coral Reef Habitat and Productivity Enhancement through Coral Transplantation and Giant Clam Restocking to Artificial Reef Development Program, **Restoration_project_short** changed"&amp;" from Unknown to Site in Tabunok, **Year of establishment** changed from 2001 to 1986, **Project Start** changed from 2001 to 1985, **Project End** changed from 2005 to 1987, **Restoration method** changed from Asexual Reproduction to Artificial Reef, **T"&amp;"echnique/Material Type** changed from Direct transplantation to Unknown, **Restoration objective** changed from Improve biodiversity and productivity of stressed coral reef habitats in 10 selected demonstration sites to Unknown, **Funding agency** changed"&amp;" from Pew Marine Conservation Fellowship to BFAR, **Total units** changed from Unknown to 50 units, **Implementing institution** changed from UP MSI to BFAR, **Partners_public** changed from Unknown to Ministry of Human Settlements, **Reference** changed "&amp;"from Published article to Balgos, M.C. (1995). Evaluation of artificial reef development in the Philippines. In Munro, J.L. &amp; Balgos, M. (eds.) Artificial reefs in the Philippines. ICLARM Conf. Proc. 49, pp. 6-22., **Website** changed from https://aquadoc"&amp;"s.org/bitstream/handle/1834/40478/GomezED2006.pdf?sequence=1&amp;isAllowed=y to https://core.ac.uk/download/pdf/6515223.pdf;, **Contact_name** changed from Dr. Patrick Cabaitan to Miriam Balgos")</f>
        <v>**Region** changed from VIII to VII, **Restoration_project** changed from Coral Reef Habitat and Productivity Enhancement through Coral Transplantation and Giant Clam Restocking to Artificial Reef Development Program, **Restoration_project_short** changed from Unknown to Site in Tabunok, **Year of establishment** changed from 2001 to 1986, **Project Start** changed from 2001 to 1985, **Project End** changed from 2005 to 1987, **Restoration method** changed from Asexual Reproduction to Artificial Reef,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BFAR, **Total units** changed from Unknown to 50 units, **Implementing institution** changed from UP MSI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592" s="153" t="s">
        <v>7228</v>
      </c>
      <c r="J592" s="153" t="s">
        <v>193</v>
      </c>
      <c r="K592" s="153" t="s">
        <v>194</v>
      </c>
      <c r="L592" s="153" t="s">
        <v>573</v>
      </c>
      <c r="M592" s="181" t="s">
        <v>574</v>
      </c>
      <c r="N592" s="153" t="s">
        <v>151</v>
      </c>
      <c r="O592" s="153" t="s">
        <v>384</v>
      </c>
      <c r="P592" s="153" t="s">
        <v>575</v>
      </c>
      <c r="Q592" s="169">
        <v>1986.0</v>
      </c>
      <c r="R592" s="175" t="s">
        <v>6052</v>
      </c>
      <c r="S592" s="175" t="s">
        <v>6053</v>
      </c>
      <c r="T592" s="161" t="s">
        <v>150</v>
      </c>
      <c r="U592" s="153">
        <f>IFERROR(__xludf.DUMMYFUNCTION("""COMPUTED_VALUE"""),564.0)</f>
        <v>564</v>
      </c>
      <c r="V592" s="162" t="s">
        <v>3311</v>
      </c>
      <c r="W592" s="187" t="s">
        <v>149</v>
      </c>
      <c r="X592" s="184"/>
      <c r="Y592" s="184" t="s">
        <v>149</v>
      </c>
      <c r="Z592" s="158" t="s">
        <v>149</v>
      </c>
      <c r="AA592" s="158" t="s">
        <v>149</v>
      </c>
      <c r="AB592" s="158" t="s">
        <v>149</v>
      </c>
      <c r="AC592" s="153" t="s">
        <v>390</v>
      </c>
      <c r="AD592" s="158" t="s">
        <v>160</v>
      </c>
      <c r="AE592" s="158" t="s">
        <v>6035</v>
      </c>
      <c r="AF592" s="158" t="s">
        <v>159</v>
      </c>
      <c r="AG592" s="164" t="s">
        <v>149</v>
      </c>
      <c r="AH592" s="158" t="s">
        <v>149</v>
      </c>
      <c r="AI592" s="153" t="s">
        <v>571</v>
      </c>
      <c r="AJ592" s="153" t="s">
        <v>390</v>
      </c>
      <c r="AK592" s="153" t="s">
        <v>6035</v>
      </c>
      <c r="AL592" s="153" t="s">
        <v>6055</v>
      </c>
      <c r="AM592" s="166" t="s">
        <v>149</v>
      </c>
      <c r="AN592" s="166" t="s">
        <v>149</v>
      </c>
      <c r="AO592" s="156">
        <v>1.0</v>
      </c>
      <c r="AP592" s="156" t="s">
        <v>6037</v>
      </c>
      <c r="AQ592" s="158" t="s">
        <v>395</v>
      </c>
      <c r="AR592" s="153" t="s">
        <v>6060</v>
      </c>
      <c r="AS592" s="158" t="s">
        <v>6711</v>
      </c>
      <c r="AT592" s="153" t="s">
        <v>398</v>
      </c>
      <c r="AU592" s="166" t="s">
        <v>149</v>
      </c>
    </row>
    <row r="593">
      <c r="A593" s="151">
        <v>296.0</v>
      </c>
      <c r="B593" s="152">
        <v>2023.0</v>
      </c>
      <c r="D593" s="152"/>
      <c r="E593" s="151">
        <v>296.0</v>
      </c>
      <c r="F593" s="129" t="s">
        <v>140</v>
      </c>
      <c r="G593" s="3" t="s">
        <v>6029</v>
      </c>
      <c r="H593" s="8" t="str">
        <f>IFERROR(__xludf.DUMMYFUNCTION("""COMPUTED_VALUE"""),"")</f>
        <v/>
      </c>
      <c r="I593" s="8" t="s">
        <v>7229</v>
      </c>
      <c r="J593" s="8" t="s">
        <v>579</v>
      </c>
      <c r="K593" s="8" t="s">
        <v>580</v>
      </c>
      <c r="L593" s="8" t="s">
        <v>973</v>
      </c>
      <c r="M593" s="8" t="s">
        <v>974</v>
      </c>
      <c r="N593" s="8" t="s">
        <v>6062</v>
      </c>
      <c r="O593" s="223" t="s">
        <v>149</v>
      </c>
      <c r="P593" s="8" t="s">
        <v>3017</v>
      </c>
      <c r="Q593" s="142" t="s">
        <v>6089</v>
      </c>
      <c r="R593" s="143" t="s">
        <v>149</v>
      </c>
      <c r="S593" s="160" t="s">
        <v>149</v>
      </c>
      <c r="T593" s="8"/>
      <c r="U593" s="8">
        <f>IFERROR(__xludf.DUMMYFUNCTION("""COMPUTED_VALUE"""),565.0)</f>
        <v>565</v>
      </c>
      <c r="V593" s="8"/>
      <c r="W593" s="8"/>
      <c r="Y593" s="8"/>
      <c r="AA593" s="8" t="s">
        <v>3018</v>
      </c>
      <c r="AB593" s="8" t="s">
        <v>3019</v>
      </c>
      <c r="AC593" s="8" t="s">
        <v>1546</v>
      </c>
      <c r="AG593" s="223" t="s">
        <v>149</v>
      </c>
      <c r="AH593" s="223" t="s">
        <v>149</v>
      </c>
      <c r="AI593" s="223" t="s">
        <v>149</v>
      </c>
      <c r="AJ593" s="8" t="s">
        <v>3020</v>
      </c>
      <c r="AL593" s="223" t="s">
        <v>149</v>
      </c>
      <c r="AM593" s="223" t="s">
        <v>149</v>
      </c>
      <c r="AN593" s="223" t="s">
        <v>149</v>
      </c>
      <c r="AO593" s="8"/>
      <c r="AP593" s="8"/>
      <c r="AR593" s="8" t="s">
        <v>6214</v>
      </c>
      <c r="AS593" s="8" t="s">
        <v>3022</v>
      </c>
      <c r="AT593" s="223" t="s">
        <v>149</v>
      </c>
      <c r="AU593" s="223" t="s">
        <v>149</v>
      </c>
    </row>
    <row r="594">
      <c r="A594" s="186">
        <v>297.0</v>
      </c>
      <c r="B594" s="152">
        <v>2025.0</v>
      </c>
      <c r="C594" s="153" t="str">
        <f>CONCATENATE(D594, "-", M594, "-", A594)
</f>
        <v>2023-PH072249000-297</v>
      </c>
      <c r="D594" s="152">
        <f>IF(OR(F593="Published", F593="Unpublished"), 2023, IF(F593="New", 2025, ""))
</f>
        <v>2023</v>
      </c>
      <c r="E594" s="151">
        <v>297.0</v>
      </c>
      <c r="F594" s="156" t="s">
        <v>140</v>
      </c>
      <c r="G594" s="156" t="s">
        <v>141</v>
      </c>
      <c r="H594" s="153" t="str">
        <f>IFERROR(__xludf.DUMMYFUNCTION("""COMPUTED_VALUE"""),"**Region** changed from VIII to VII, **Restoration_project** changed from Unknown to Artificial Reef Development Program, **Restoration_project_short** changed from Site in Can-usod MPA to Site in Cantuba-on, **Year of establishment** changed from 2013 to"&amp;" 1986, **Project Start** changed from Unknown to 1985, **Project End** changed from Unknown to 1987, **Restoration method** changed from Asexual Reproduction to Artificial Reef, **Technique/Material Type** changed from Direct transplantation; re-attachmen"&amp;"t to Unknown, **Restoration objective** changed from Research; Recovery of typhoon affected reefs; to Unknown, **Funding agency** changed from Foundation for the Philippine Environment to BFAR, **Total units** changed from Unknown to 50 units, **Implement"&amp;"ing institution** changed from UP Natural Science Research Institute to BFAR, **Partners_public** changed from Unknown to Ministry of Human Settlements, **Reference** changed from Published article to Balgos, M.C. (1995). Evaluation of artificial reef dev"&amp;"elopment in the Philippines. In Munro, J.L. &amp; Balgos, M. (eds.) Artificial reefs in the Philippines. ICLARM Conf. Proc. 49, pp. 6-22., **Website** changed from https://journals.upd.edu.ph/index.php/sciencediliman/article/download/6423/5632 to https://core"&amp;".ac.uk/download/pdf/6515223.pdf;, **Contact_name** changed from Unknown to Miriam Balgos")</f>
        <v>**Region** changed from VIII to VII, **Restoration_project** changed from Unknown to Artificial Reef Development Program, **Restoration_project_short** changed from Site in Can-usod MPA to Site in Cantuba-on, **Year of establishment** changed from 2013 to 1986, **Project Start** changed from Unknown to 1985, **Project End** changed from Unknown to 1987, **Restoration method** changed from Asexual Reproduction to Artificial Reef, **Technique/Material Type** changed from Direct transplantation; re-attachment to Unknown, **Restoration objective** changed from Research; Recovery of typhoon affected reefs; to Unknown, **Funding agency** changed from Foundation for the Philippine Environment to BFAR, **Total units** changed from Unknown to 50 units, **Implementing institution** changed from UP Natural Science Research Institute to BFAR, **Partners_public** changed from Unknown to Ministry of Human Settlements, **Reference** changed from Published article to Balgos, M.C. (1995). Evaluation of artificial reef development in the Philippines. In Munro, J.L. &amp; Balgos, M. (eds.) Artificial reefs in the Philippines. ICLARM Conf. Proc. 49, pp. 6-22., **Website** changed from https://journals.upd.edu.ph/index.php/sciencediliman/article/download/6423/5632 to https://core.ac.uk/download/pdf/6515223.pdf;, **Contact_name** changed from Unknown to Miriam Balgos</v>
      </c>
      <c r="I594" s="153" t="s">
        <v>7230</v>
      </c>
      <c r="J594" s="153" t="s">
        <v>193</v>
      </c>
      <c r="K594" s="153" t="s">
        <v>194</v>
      </c>
      <c r="L594" s="153" t="s">
        <v>573</v>
      </c>
      <c r="M594" s="181" t="s">
        <v>574</v>
      </c>
      <c r="N594" s="153" t="s">
        <v>151</v>
      </c>
      <c r="O594" s="153" t="s">
        <v>384</v>
      </c>
      <c r="P594" s="153" t="s">
        <v>577</v>
      </c>
      <c r="Q594" s="169">
        <v>1986.0</v>
      </c>
      <c r="R594" s="175" t="s">
        <v>6052</v>
      </c>
      <c r="S594" s="175" t="s">
        <v>6053</v>
      </c>
      <c r="T594" s="161" t="s">
        <v>150</v>
      </c>
      <c r="U594" s="153">
        <f>IFERROR(__xludf.DUMMYFUNCTION("""COMPUTED_VALUE"""),566.0)</f>
        <v>566</v>
      </c>
      <c r="V594" s="162" t="s">
        <v>3311</v>
      </c>
      <c r="W594" s="187" t="s">
        <v>149</v>
      </c>
      <c r="X594" s="184"/>
      <c r="Y594" s="184" t="s">
        <v>149</v>
      </c>
      <c r="Z594" s="158" t="s">
        <v>149</v>
      </c>
      <c r="AA594" s="158" t="s">
        <v>149</v>
      </c>
      <c r="AB594" s="158" t="s">
        <v>149</v>
      </c>
      <c r="AC594" s="153" t="s">
        <v>390</v>
      </c>
      <c r="AD594" s="158" t="s">
        <v>160</v>
      </c>
      <c r="AE594" s="158" t="s">
        <v>6035</v>
      </c>
      <c r="AF594" s="158" t="s">
        <v>159</v>
      </c>
      <c r="AG594" s="164" t="s">
        <v>149</v>
      </c>
      <c r="AH594" s="158" t="s">
        <v>149</v>
      </c>
      <c r="AI594" s="153" t="s">
        <v>571</v>
      </c>
      <c r="AJ594" s="153" t="s">
        <v>390</v>
      </c>
      <c r="AK594" s="153" t="s">
        <v>6035</v>
      </c>
      <c r="AL594" s="153" t="s">
        <v>6055</v>
      </c>
      <c r="AM594" s="166" t="s">
        <v>149</v>
      </c>
      <c r="AN594" s="166" t="s">
        <v>149</v>
      </c>
      <c r="AO594" s="156">
        <v>1.0</v>
      </c>
      <c r="AP594" s="156" t="s">
        <v>6037</v>
      </c>
      <c r="AQ594" s="158" t="s">
        <v>395</v>
      </c>
      <c r="AR594" s="153" t="s">
        <v>6060</v>
      </c>
      <c r="AS594" s="158" t="s">
        <v>6711</v>
      </c>
      <c r="AT594" s="153" t="s">
        <v>398</v>
      </c>
      <c r="AU594" s="166" t="s">
        <v>149</v>
      </c>
    </row>
    <row r="595">
      <c r="A595" s="151">
        <v>297.0</v>
      </c>
      <c r="B595" s="152">
        <v>2023.0</v>
      </c>
      <c r="D595" s="152"/>
      <c r="E595" s="151">
        <v>297.0</v>
      </c>
      <c r="F595" s="129" t="s">
        <v>140</v>
      </c>
      <c r="G595" s="3" t="s">
        <v>6029</v>
      </c>
      <c r="H595" s="8" t="str">
        <f>IFERROR(__xludf.DUMMYFUNCTION("""COMPUTED_VALUE"""),"")</f>
        <v/>
      </c>
      <c r="I595" s="8" t="s">
        <v>7231</v>
      </c>
      <c r="J595" s="8" t="s">
        <v>579</v>
      </c>
      <c r="K595" s="8" t="s">
        <v>580</v>
      </c>
      <c r="L595" s="8" t="s">
        <v>973</v>
      </c>
      <c r="M595" s="8" t="s">
        <v>974</v>
      </c>
      <c r="N595" s="8" t="s">
        <v>6062</v>
      </c>
      <c r="O595" s="223" t="s">
        <v>149</v>
      </c>
      <c r="P595" s="8" t="s">
        <v>3024</v>
      </c>
      <c r="Q595" s="142" t="s">
        <v>6089</v>
      </c>
      <c r="R595" s="223" t="s">
        <v>149</v>
      </c>
      <c r="S595" s="223" t="s">
        <v>149</v>
      </c>
      <c r="T595" s="8"/>
      <c r="U595" s="8">
        <f>IFERROR(__xludf.DUMMYFUNCTION("""COMPUTED_VALUE"""),567.0)</f>
        <v>567</v>
      </c>
      <c r="V595" s="8"/>
      <c r="W595" s="8"/>
      <c r="Y595" s="8"/>
      <c r="AA595" s="8" t="s">
        <v>3018</v>
      </c>
      <c r="AB595" s="8" t="s">
        <v>3019</v>
      </c>
      <c r="AC595" s="8" t="s">
        <v>1546</v>
      </c>
      <c r="AG595" s="223" t="s">
        <v>149</v>
      </c>
      <c r="AH595" s="223" t="s">
        <v>149</v>
      </c>
      <c r="AI595" s="223" t="s">
        <v>149</v>
      </c>
      <c r="AJ595" s="8" t="s">
        <v>3020</v>
      </c>
      <c r="AL595" s="223" t="s">
        <v>149</v>
      </c>
      <c r="AM595" s="223" t="s">
        <v>149</v>
      </c>
      <c r="AN595" s="223" t="s">
        <v>149</v>
      </c>
      <c r="AO595" s="8"/>
      <c r="AP595" s="8"/>
      <c r="AR595" s="8" t="s">
        <v>6214</v>
      </c>
      <c r="AS595" s="8" t="s">
        <v>3022</v>
      </c>
      <c r="AT595" s="223" t="s">
        <v>149</v>
      </c>
      <c r="AU595" s="223" t="s">
        <v>149</v>
      </c>
    </row>
    <row r="596">
      <c r="A596" s="186">
        <v>298.0</v>
      </c>
      <c r="B596" s="152">
        <v>2025.0</v>
      </c>
      <c r="C596" s="153" t="str">
        <f>CONCATENATE(D596, "-", M596, "-", A596)
</f>
        <v>2023-PH072252000-298</v>
      </c>
      <c r="D596" s="152">
        <f>IF(OR(F595="Published", F595="Unpublished"), 2023, IF(F595="New", 2025, ""))
</f>
        <v>2023</v>
      </c>
      <c r="E596" s="151">
        <v>298.0</v>
      </c>
      <c r="F596" s="156" t="s">
        <v>191</v>
      </c>
      <c r="G596" s="156" t="s">
        <v>191</v>
      </c>
      <c r="H596" s="153" t="str">
        <f>IFERROR(__xludf.DUMMYFUNCTION("""COMPUTED_VALUE"""),"**Region** changed from VIII to VII, **Restoration_project** changed from Unknown to SCREMP, **Restoration_project_short** changed from Site in Monbon MPA to Part of 345 artificial coral houses distributed in Cebu Province under SCREMP, **Year of establis"&amp;"hment** changed from 2013 to Unknown, **Project Start** changed from Unknown to 2012, **Restoration method** changed from Asexual Reproduction to Artificial Reef, **Technique/Material Type** changed from Direct transplantation; re-attachment to Unknown, *"&amp;"*Restoration objective** changed from Research; Recovery of typhoon affected reefs; to Reef recovery, **Funding agency** changed from Foundation for the Philippine Environment to DENR, **Implementing institution** changed from UP Natural Science Research "&amp;"Institute to DENR 7 PAWCZMS, **Reference** changed from Published article to JKV (2014, December 30). DENR 7 plants 1T artificial reefs. SunStar. https://www.sunstar.com.ph/article/385473/denr-7-plants-1t-artificial-reefs-, **Website** changed from https:"&amp;"//journals.upd.edu.ph/index.php/sciencediliman/article/download/6423/5632 to https://www.sunstar.com.ph/article/385473/denr-7-plants-1t-artificial-reefs-")</f>
        <v>**Region** changed from VIII to VII, **Restoration_project** changed from Unknown to SCREMP, **Restoration_project_short** changed from Site in Monbon MPA to Part of 345 artificial coral houses distributed in Cebu Province under SCREMP, **Year of establishment** changed from 2013 to Unknown, **Project Start** changed from Unknown to 2012, **Restoration method** changed from Asexual Reproduction to Artificial Reef, **Technique/Material Type** changed from Direct transplantation; re-attachment to Unknown, **Restoration objective** changed from Research; Recovery of typhoon affected reefs; to Reef recovery, **Funding agency** changed from Foundation for the Philippine Environment to DENR, **Implementing institution** changed from UP Natural Science Research Institute to DENR 7 PAWCZMS, **Reference** changed from Published article to JKV (2014, December 30). DENR 7 plants 1T artificial reefs. SunStar. https://www.sunstar.com.ph/article/385473/denr-7-plants-1t-artificial-reefs-, **Website** changed from https://journals.upd.edu.ph/index.php/sciencediliman/article/download/6423/5632 to https://www.sunstar.com.ph/article/385473/denr-7-plants-1t-artificial-reefs-</v>
      </c>
      <c r="I596" s="153" t="s">
        <v>7232</v>
      </c>
      <c r="J596" s="153" t="s">
        <v>193</v>
      </c>
      <c r="K596" s="153" t="s">
        <v>194</v>
      </c>
      <c r="L596" s="153" t="s">
        <v>2189</v>
      </c>
      <c r="M596" s="181" t="s">
        <v>2190</v>
      </c>
      <c r="N596" s="153" t="s">
        <v>151</v>
      </c>
      <c r="O596" s="153" t="s">
        <v>6587</v>
      </c>
      <c r="P596" s="153" t="s">
        <v>7142</v>
      </c>
      <c r="Q596" s="197" t="s">
        <v>149</v>
      </c>
      <c r="R596" s="175" t="s">
        <v>6151</v>
      </c>
      <c r="S596" s="164" t="s">
        <v>149</v>
      </c>
      <c r="T596" s="161" t="s">
        <v>150</v>
      </c>
      <c r="U596" s="153">
        <f>IFERROR(__xludf.DUMMYFUNCTION("""COMPUTED_VALUE"""),568.0)</f>
        <v>568</v>
      </c>
      <c r="V596" s="162" t="s">
        <v>3311</v>
      </c>
      <c r="W596" s="187" t="s">
        <v>149</v>
      </c>
      <c r="X596" s="184"/>
      <c r="Y596" s="184" t="s">
        <v>149</v>
      </c>
      <c r="Z596" s="158" t="s">
        <v>149</v>
      </c>
      <c r="AA596" s="158" t="s">
        <v>149</v>
      </c>
      <c r="AB596" s="153" t="s">
        <v>7101</v>
      </c>
      <c r="AC596" s="153" t="s">
        <v>341</v>
      </c>
      <c r="AD596" s="158" t="s">
        <v>160</v>
      </c>
      <c r="AE596" s="158" t="s">
        <v>6035</v>
      </c>
      <c r="AF596" s="158" t="s">
        <v>159</v>
      </c>
      <c r="AG596" s="164" t="s">
        <v>149</v>
      </c>
      <c r="AH596" s="158" t="s">
        <v>149</v>
      </c>
      <c r="AI596" s="158" t="s">
        <v>149</v>
      </c>
      <c r="AJ596" s="153" t="s">
        <v>2160</v>
      </c>
      <c r="AK596" s="153" t="s">
        <v>6035</v>
      </c>
      <c r="AL596" s="156" t="s">
        <v>149</v>
      </c>
      <c r="AM596" s="156" t="s">
        <v>149</v>
      </c>
      <c r="AN596" s="156" t="s">
        <v>149</v>
      </c>
      <c r="AO596" s="156">
        <v>1.0</v>
      </c>
      <c r="AP596" s="156" t="s">
        <v>6037</v>
      </c>
      <c r="AQ596" s="158" t="s">
        <v>166</v>
      </c>
      <c r="AR596" s="153" t="s">
        <v>2161</v>
      </c>
      <c r="AS596" s="172" t="s">
        <v>2162</v>
      </c>
      <c r="AT596" s="156" t="s">
        <v>149</v>
      </c>
      <c r="AU596" s="156" t="s">
        <v>149</v>
      </c>
    </row>
    <row r="597">
      <c r="A597" s="186">
        <v>298.0</v>
      </c>
      <c r="B597" s="152">
        <v>2023.0</v>
      </c>
      <c r="D597" s="152"/>
      <c r="E597" s="151">
        <v>298.0</v>
      </c>
      <c r="F597" s="129" t="s">
        <v>140</v>
      </c>
      <c r="G597" s="3" t="s">
        <v>6029</v>
      </c>
      <c r="H597" s="8" t="str">
        <f>IFERROR(__xludf.DUMMYFUNCTION("""COMPUTED_VALUE"""),"")</f>
        <v/>
      </c>
      <c r="I597" s="8" t="s">
        <v>7233</v>
      </c>
      <c r="J597" s="8" t="s">
        <v>579</v>
      </c>
      <c r="K597" s="8" t="s">
        <v>580</v>
      </c>
      <c r="L597" s="8" t="s">
        <v>3155</v>
      </c>
      <c r="M597" s="8" t="s">
        <v>3156</v>
      </c>
      <c r="N597" s="8" t="s">
        <v>151</v>
      </c>
      <c r="O597" s="143" t="s">
        <v>149</v>
      </c>
      <c r="P597" s="3" t="s">
        <v>7234</v>
      </c>
      <c r="Q597" s="143" t="s">
        <v>149</v>
      </c>
      <c r="R597" s="143" t="s">
        <v>149</v>
      </c>
      <c r="S597" s="143" t="s">
        <v>149</v>
      </c>
      <c r="T597" s="8"/>
      <c r="U597" s="8">
        <f>IFERROR(__xludf.DUMMYFUNCTION("""COMPUTED_VALUE"""),569.0)</f>
        <v>569</v>
      </c>
      <c r="V597" s="8"/>
      <c r="W597" s="143"/>
      <c r="Y597" s="8"/>
      <c r="AA597" s="143" t="s">
        <v>149</v>
      </c>
      <c r="AB597" s="143" t="s">
        <v>149</v>
      </c>
      <c r="AC597" s="143" t="s">
        <v>149</v>
      </c>
      <c r="AG597" s="143" t="s">
        <v>149</v>
      </c>
      <c r="AH597" s="143" t="s">
        <v>149</v>
      </c>
      <c r="AI597" s="143" t="s">
        <v>149</v>
      </c>
      <c r="AJ597" s="223" t="s">
        <v>149</v>
      </c>
      <c r="AL597" s="223" t="s">
        <v>149</v>
      </c>
      <c r="AM597" s="223" t="s">
        <v>149</v>
      </c>
      <c r="AN597" s="223" t="s">
        <v>149</v>
      </c>
      <c r="AO597" s="8"/>
      <c r="AP597" s="8"/>
      <c r="AR597" s="8" t="s">
        <v>6084</v>
      </c>
      <c r="AS597" s="172" t="s">
        <v>3159</v>
      </c>
      <c r="AT597" s="223" t="s">
        <v>149</v>
      </c>
      <c r="AU597" s="223" t="s">
        <v>149</v>
      </c>
    </row>
    <row r="598">
      <c r="A598" s="186">
        <v>299.0</v>
      </c>
      <c r="B598" s="152">
        <v>2025.0</v>
      </c>
      <c r="C598" s="153" t="str">
        <f>CONCATENATE(D598, "-", M598, "-", A598)
</f>
        <v>2023-PH082604000-299</v>
      </c>
      <c r="D598" s="152">
        <f>IF(OR(F597="Published", F597="Unpublished"), 2023, IF(F597="New", 2025, ""))
</f>
        <v>2023</v>
      </c>
      <c r="E598" s="151">
        <v>299.0</v>
      </c>
      <c r="F598" s="129" t="s">
        <v>140</v>
      </c>
      <c r="G598" s="156" t="s">
        <v>141</v>
      </c>
      <c r="H598" s="153" t="str">
        <f>IFERROR(__xludf.DUMMYFUNCTION("""COMPUTED_VALUE"""),"**Restoration_project** changed from Unknown to Artificial Reef Development Program, **Restoration_project_short** changed from Mentioned in the Oxfam Report that there were artificial reefs in Salcedo; to Site in Lalawigan, **Year of establishment** chan"&amp;"ged from Unknown to 1986, **Project Start** changed from Unknown to 1985, **Project End** changed from Unknown to 1987, **Technique/Material Type** changed from Unknown to tires, **Funding agency** changed from Unknown to BFAR, **Total units** changed fro"&amp;"m Unknown to 6 TM, **Implementing institution** changed from Unknown to BFAR, **Partners_public** changed from Unknown to Ministry of Human Settlements, **Reference** changed from Report to Balgos, M.C. (1995). Evaluation of artificial reef development in"&amp;" the Philippines. In Munro, J.L. &amp; Balgos, M. (eds.) Artificial reefs in the Philippines. ICLARM Conf. Proc. 49, pp. 6-22., **Website** changed from https://cng-cdn.oxfam.org/philippines.oxfam.org/s3fs-public/file_attachments/Oxfam%20sa%20Pilipinas%20Annu"&amp;"al%20Report%202016.pdf to https://core.ac.uk/download/pdf/6515223.pdf;, **Contact_name** changed from Unknown to Miriam Balgos")</f>
        <v>**Restoration_project** changed from Unknown to Artificial Reef Development Program, **Restoration_project_short** changed from Mentioned in the Oxfam Report that there were artificial reefs in Salcedo; to Site in Lalawigan, **Year of establishment** changed from Unknown to 1986, **Project Start** changed from Unknown to 1985, **Project End** changed from Unknown to 1987, **Technique/Material Type** changed from Unknown to tires, **Funding agency** changed from Unknown to BFAR, **Total units** changed from Unknown to 6 TM, **Implementing institution** changed from Unknown to BFAR, **Partners_public** changed from Unknown to Ministry of Human Settlements, **Reference** changed from Report to Balgos, M.C. (1995). Evaluation of artificial reef development in the Philippines. In Munro, J.L. &amp; Balgos, M. (eds.) Artificial reefs in the Philippines. ICLARM Conf. Proc. 49, pp. 6-22., **Website** changed from https://cng-cdn.oxfam.org/philippines.oxfam.org/s3fs-public/file_attachments/Oxfam%20sa%20Pilipinas%20Annual%20Report%202016.pdf to https://core.ac.uk/download/pdf/6515223.pdf;, **Contact_name** changed from Unknown to Miriam Balgos</v>
      </c>
      <c r="I598" s="153" t="s">
        <v>7235</v>
      </c>
      <c r="J598" s="153" t="s">
        <v>579</v>
      </c>
      <c r="K598" s="153" t="s">
        <v>580</v>
      </c>
      <c r="L598" s="158" t="s">
        <v>581</v>
      </c>
      <c r="M598" s="181" t="s">
        <v>582</v>
      </c>
      <c r="N598" s="153" t="s">
        <v>151</v>
      </c>
      <c r="O598" s="153" t="s">
        <v>384</v>
      </c>
      <c r="P598" s="153" t="s">
        <v>583</v>
      </c>
      <c r="Q598" s="169">
        <v>1986.0</v>
      </c>
      <c r="R598" s="175" t="s">
        <v>6052</v>
      </c>
      <c r="S598" s="175" t="s">
        <v>6053</v>
      </c>
      <c r="T598" s="161" t="s">
        <v>150</v>
      </c>
      <c r="U598" s="153">
        <f>IFERROR(__xludf.DUMMYFUNCTION("""COMPUTED_VALUE"""),570.0)</f>
        <v>570</v>
      </c>
      <c r="V598" s="162" t="s">
        <v>3311</v>
      </c>
      <c r="W598" s="170" t="s">
        <v>6059</v>
      </c>
      <c r="X598" s="28" t="s">
        <v>6033</v>
      </c>
      <c r="Y598" s="28" t="s">
        <v>386</v>
      </c>
      <c r="Z598" s="176" t="s">
        <v>386</v>
      </c>
      <c r="AA598" s="153" t="s">
        <v>6054</v>
      </c>
      <c r="AB598" s="158" t="s">
        <v>149</v>
      </c>
      <c r="AC598" s="153" t="s">
        <v>390</v>
      </c>
      <c r="AD598" s="158" t="s">
        <v>160</v>
      </c>
      <c r="AE598" s="158" t="s">
        <v>6035</v>
      </c>
      <c r="AF598" s="158" t="s">
        <v>159</v>
      </c>
      <c r="AG598" s="164" t="s">
        <v>149</v>
      </c>
      <c r="AH598" s="158" t="s">
        <v>149</v>
      </c>
      <c r="AI598" s="153" t="s">
        <v>450</v>
      </c>
      <c r="AJ598" s="153" t="s">
        <v>390</v>
      </c>
      <c r="AK598" s="153" t="s">
        <v>6035</v>
      </c>
      <c r="AL598" s="153" t="s">
        <v>6055</v>
      </c>
      <c r="AM598" s="223" t="s">
        <v>149</v>
      </c>
      <c r="AN598" s="223" t="s">
        <v>149</v>
      </c>
      <c r="AO598" s="156">
        <v>1.0</v>
      </c>
      <c r="AP598" s="156" t="s">
        <v>6037</v>
      </c>
      <c r="AQ598" s="158" t="s">
        <v>395</v>
      </c>
      <c r="AR598" s="153" t="s">
        <v>6060</v>
      </c>
      <c r="AS598" s="158" t="s">
        <v>6711</v>
      </c>
      <c r="AT598" s="153" t="s">
        <v>398</v>
      </c>
      <c r="AU598" s="223" t="s">
        <v>149</v>
      </c>
    </row>
    <row r="599">
      <c r="A599" s="186">
        <v>299.0</v>
      </c>
      <c r="B599" s="152">
        <v>2023.0</v>
      </c>
      <c r="D599" s="152"/>
      <c r="E599" s="151">
        <v>299.0</v>
      </c>
      <c r="F599" s="129" t="s">
        <v>140</v>
      </c>
      <c r="G599" s="3" t="s">
        <v>6029</v>
      </c>
      <c r="H599" s="8" t="str">
        <f>IFERROR(__xludf.DUMMYFUNCTION("""COMPUTED_VALUE"""),"")</f>
        <v/>
      </c>
      <c r="I599" s="8" t="s">
        <v>7236</v>
      </c>
      <c r="J599" s="8" t="s">
        <v>579</v>
      </c>
      <c r="K599" s="8" t="s">
        <v>580</v>
      </c>
      <c r="L599" s="8" t="s">
        <v>3026</v>
      </c>
      <c r="M599" s="8" t="s">
        <v>3027</v>
      </c>
      <c r="N599" s="8" t="s">
        <v>6062</v>
      </c>
      <c r="O599" s="143" t="s">
        <v>149</v>
      </c>
      <c r="P599" s="8" t="s">
        <v>3028</v>
      </c>
      <c r="Q599" s="142" t="s">
        <v>6089</v>
      </c>
      <c r="R599" s="143" t="s">
        <v>149</v>
      </c>
      <c r="S599" s="143" t="s">
        <v>149</v>
      </c>
      <c r="T599" s="8"/>
      <c r="U599" s="8">
        <f>IFERROR(__xludf.DUMMYFUNCTION("""COMPUTED_VALUE"""),571.0)</f>
        <v>571</v>
      </c>
      <c r="V599" s="8"/>
      <c r="W599" s="8"/>
      <c r="Y599" s="8"/>
      <c r="AA599" s="8" t="s">
        <v>3018</v>
      </c>
      <c r="AB599" s="8" t="s">
        <v>3019</v>
      </c>
      <c r="AC599" s="8" t="s">
        <v>1546</v>
      </c>
      <c r="AG599" s="143" t="s">
        <v>149</v>
      </c>
      <c r="AH599" s="143" t="s">
        <v>149</v>
      </c>
      <c r="AI599" s="143" t="s">
        <v>149</v>
      </c>
      <c r="AJ599" s="8" t="s">
        <v>3020</v>
      </c>
      <c r="AL599" s="143" t="s">
        <v>149</v>
      </c>
      <c r="AM599" s="143" t="s">
        <v>149</v>
      </c>
      <c r="AN599" s="143" t="s">
        <v>149</v>
      </c>
      <c r="AO599" s="8"/>
      <c r="AP599" s="8"/>
      <c r="AR599" s="8" t="s">
        <v>6214</v>
      </c>
      <c r="AS599" s="8" t="s">
        <v>3022</v>
      </c>
      <c r="AT599" s="143" t="s">
        <v>149</v>
      </c>
      <c r="AU599" s="143" t="s">
        <v>149</v>
      </c>
    </row>
    <row r="600">
      <c r="A600" s="186">
        <v>300.0</v>
      </c>
      <c r="B600" s="152">
        <v>2023.0</v>
      </c>
      <c r="D600" s="152"/>
      <c r="E600" s="151">
        <v>300.0</v>
      </c>
      <c r="F600" s="129" t="s">
        <v>140</v>
      </c>
      <c r="G600" s="3" t="s">
        <v>6029</v>
      </c>
      <c r="H600" s="8" t="str">
        <f>IFERROR(__xludf.DUMMYFUNCTION("""COMPUTED_VALUE"""),"")</f>
        <v/>
      </c>
      <c r="I600" s="8" t="s">
        <v>7237</v>
      </c>
      <c r="J600" s="8" t="s">
        <v>579</v>
      </c>
      <c r="K600" s="8" t="s">
        <v>714</v>
      </c>
      <c r="L600" s="8" t="s">
        <v>715</v>
      </c>
      <c r="M600" s="8" t="s">
        <v>716</v>
      </c>
      <c r="N600" s="8" t="s">
        <v>151</v>
      </c>
      <c r="O600" s="8" t="s">
        <v>717</v>
      </c>
      <c r="P600" s="223" t="s">
        <v>149</v>
      </c>
      <c r="Q600" s="142" t="s">
        <v>6089</v>
      </c>
      <c r="R600" s="223" t="s">
        <v>149</v>
      </c>
      <c r="S600" s="223" t="s">
        <v>149</v>
      </c>
      <c r="T600" s="8"/>
      <c r="U600" s="8">
        <f>IFERROR(__xludf.DUMMYFUNCTION("""COMPUTED_VALUE"""),572.0)</f>
        <v>572</v>
      </c>
      <c r="V600" s="8"/>
      <c r="W600" s="8"/>
      <c r="X600" s="8"/>
      <c r="Y600" s="8"/>
      <c r="AA600" s="8" t="s">
        <v>362</v>
      </c>
      <c r="AB600" s="8" t="s">
        <v>723</v>
      </c>
      <c r="AC600" s="223" t="s">
        <v>149</v>
      </c>
      <c r="AG600" s="223" t="s">
        <v>149</v>
      </c>
      <c r="AH600" s="223" t="s">
        <v>149</v>
      </c>
      <c r="AI600" s="223" t="s">
        <v>149</v>
      </c>
      <c r="AJ600" s="8" t="s">
        <v>724</v>
      </c>
      <c r="AL600" s="223" t="s">
        <v>149</v>
      </c>
      <c r="AM600" s="223" t="s">
        <v>149</v>
      </c>
      <c r="AN600" s="223" t="s">
        <v>149</v>
      </c>
      <c r="AO600" s="8"/>
      <c r="AP600" s="8"/>
      <c r="AR600" s="8" t="s">
        <v>6517</v>
      </c>
      <c r="AS600" s="8" t="s">
        <v>6825</v>
      </c>
      <c r="AU600" s="223" t="s">
        <v>149</v>
      </c>
    </row>
    <row r="601">
      <c r="A601" s="186">
        <v>300.0</v>
      </c>
      <c r="B601" s="152">
        <v>2025.0</v>
      </c>
      <c r="C601" s="153" t="str">
        <f>CONCATENATE(D601, "-", M601, "-", A601)
</f>
        <v>2023-PH082609000-300</v>
      </c>
      <c r="D601" s="152">
        <f>IF(OR(F600="Published", F600="Unpublished"), 2023, IF(F600="New", 2025, ""))
</f>
        <v>2023</v>
      </c>
      <c r="E601" s="151">
        <v>300.0</v>
      </c>
      <c r="F601" s="156" t="s">
        <v>140</v>
      </c>
      <c r="G601" s="156" t="s">
        <v>707</v>
      </c>
      <c r="H601" s="153" t="str">
        <f>IFERROR(__xludf.DUMMYFUNCTION("""COMPUTED_VALUE"""),"**Restoration_project** changed from Biri Buds to Habitat Enhancement Project: Bagonbanua Marine Reserve and Fish Sanctuary, **Year of establishment** changed from 2013 to 1995, **Project Start** changed from Unknown to 1995, **Project End** changed from "&amp;"Unknown to 1997, **Restoration method** changed from Artificial Reef to Asexual Reproduction, **Technique/Material Type** changed from Domes to Coral transplantation, **Restoration objective** changed from Ocean awareness, education and research to Experi"&amp;"mental; Support coastal/municipal fisheries, **Funding agency** changed from Unknown to Foundation for the Philippine Environment, **Implementing institution** changed from Biri Initiative to Guiuan Development Foundation Inc. (GDFI), **Reference** change"&amp;"d from Feature to Survey, **Website** changed from https://sevenseasmedia.org/biri-initiative-story-on-coral-restoration/ to Unknown, **Contact_name** changed from to Margarita de la Cruz, **Contact_details** changed from Unknown to cruzmarge2003@yahoo.co"&amp;"m ; 09189295852")</f>
        <v>**Restoration_project** changed from Biri Buds to Habitat Enhancement Project: Bagonbanua Marine Reserve and Fish Sanctuary, **Year of establishment** changed from 2013 to 1995, **Project Start** changed from Unknown to 1995, **Project End** changed from Unknown to 1997, **Restoration method** changed from Artificial Reef to Asexual Reproduction, **Technique/Material Type** changed from Domes to Coral transplantation, **Restoration objective** changed from Ocean awareness, education and research to Experimental; Support coastal/municipal fisheries, **Funding agency** changed from Unknown to Foundation for the Philippine Environment, **Implementing institution** changed from Biri Initiative to Guiuan Development Foundation Inc. (GDFI), **Reference** changed from Feature to Survey, **Website** changed from https://sevenseasmedia.org/biri-initiative-story-on-coral-restoration/ to Unknown, **Contact_name** changed from to Margarita de la Cruz, **Contact_details** changed from Unknown to cruzmarge2003@yahoo.com ; 09189295852</v>
      </c>
      <c r="I601" s="153" t="s">
        <v>7238</v>
      </c>
      <c r="J601" s="153" t="s">
        <v>579</v>
      </c>
      <c r="K601" s="153" t="s">
        <v>580</v>
      </c>
      <c r="L601" s="153" t="s">
        <v>1540</v>
      </c>
      <c r="M601" s="181" t="s">
        <v>1541</v>
      </c>
      <c r="N601" s="153" t="s">
        <v>6062</v>
      </c>
      <c r="O601" s="153" t="s">
        <v>1542</v>
      </c>
      <c r="P601" s="223" t="s">
        <v>149</v>
      </c>
      <c r="Q601" s="169">
        <v>1995.0</v>
      </c>
      <c r="R601" s="175" t="s">
        <v>6339</v>
      </c>
      <c r="S601" s="175" t="s">
        <v>7119</v>
      </c>
      <c r="T601" s="156" t="s">
        <v>177</v>
      </c>
      <c r="U601" s="153">
        <f>IFERROR(__xludf.DUMMYFUNCTION("""COMPUTED_VALUE"""),573.0)</f>
        <v>573</v>
      </c>
      <c r="V601" s="191" t="s">
        <v>3245</v>
      </c>
      <c r="W601" s="184" t="s">
        <v>149</v>
      </c>
      <c r="X601" s="180"/>
      <c r="Y601" s="180" t="s">
        <v>154</v>
      </c>
      <c r="Z601" s="158" t="s">
        <v>179</v>
      </c>
      <c r="AA601" s="153" t="s">
        <v>179</v>
      </c>
      <c r="AB601" s="153" t="s">
        <v>1545</v>
      </c>
      <c r="AC601" s="153" t="s">
        <v>1546</v>
      </c>
      <c r="AD601" s="158" t="s">
        <v>160</v>
      </c>
      <c r="AE601" s="158" t="s">
        <v>306</v>
      </c>
      <c r="AF601" s="158" t="s">
        <v>204</v>
      </c>
      <c r="AG601" s="164" t="s">
        <v>149</v>
      </c>
      <c r="AH601" s="158" t="s">
        <v>149</v>
      </c>
      <c r="AI601" s="158" t="s">
        <v>149</v>
      </c>
      <c r="AJ601" s="153" t="s">
        <v>1547</v>
      </c>
      <c r="AK601" s="153" t="s">
        <v>306</v>
      </c>
      <c r="AL601" s="223" t="s">
        <v>149</v>
      </c>
      <c r="AM601" s="223" t="s">
        <v>149</v>
      </c>
      <c r="AN601" s="223" t="s">
        <v>149</v>
      </c>
      <c r="AO601" s="156">
        <v>1.0</v>
      </c>
      <c r="AP601" s="156" t="s">
        <v>6037</v>
      </c>
      <c r="AQ601" s="153" t="s">
        <v>213</v>
      </c>
      <c r="AR601" s="153" t="s">
        <v>213</v>
      </c>
      <c r="AS601" s="223" t="s">
        <v>149</v>
      </c>
      <c r="AT601" s="153" t="s">
        <v>1548</v>
      </c>
      <c r="AU601" s="153" t="s">
        <v>1549</v>
      </c>
    </row>
    <row r="602">
      <c r="A602" s="186">
        <v>301.0</v>
      </c>
      <c r="B602" s="152">
        <v>2023.0</v>
      </c>
      <c r="D602" s="152"/>
      <c r="E602" s="151">
        <v>301.0</v>
      </c>
      <c r="F602" s="129" t="s">
        <v>140</v>
      </c>
      <c r="G602" s="3" t="s">
        <v>6029</v>
      </c>
      <c r="H602" s="8" t="str">
        <f>IFERROR(__xludf.DUMMYFUNCTION("""COMPUTED_VALUE"""),"")</f>
        <v/>
      </c>
      <c r="I602" s="8" t="s">
        <v>7239</v>
      </c>
      <c r="J602" s="8" t="s">
        <v>579</v>
      </c>
      <c r="K602" s="8" t="s">
        <v>714</v>
      </c>
      <c r="L602" s="8" t="s">
        <v>715</v>
      </c>
      <c r="M602" s="8" t="s">
        <v>716</v>
      </c>
      <c r="N602" s="8" t="s">
        <v>6062</v>
      </c>
      <c r="O602" s="8" t="s">
        <v>1840</v>
      </c>
      <c r="P602" s="223" t="s">
        <v>149</v>
      </c>
      <c r="Q602" s="142" t="s">
        <v>6152</v>
      </c>
      <c r="R602" s="223" t="s">
        <v>149</v>
      </c>
      <c r="S602" s="223" t="s">
        <v>149</v>
      </c>
      <c r="T602" s="8"/>
      <c r="U602" s="8">
        <f>IFERROR(__xludf.DUMMYFUNCTION("""COMPUTED_VALUE"""),574.0)</f>
        <v>574</v>
      </c>
      <c r="V602" s="8"/>
      <c r="W602" s="8"/>
      <c r="X602" s="8"/>
      <c r="Y602" s="8"/>
      <c r="AA602" s="8" t="s">
        <v>1841</v>
      </c>
      <c r="AB602" s="8" t="s">
        <v>1842</v>
      </c>
      <c r="AC602" s="223" t="s">
        <v>149</v>
      </c>
      <c r="AG602" s="223" t="s">
        <v>149</v>
      </c>
      <c r="AH602" s="223" t="s">
        <v>149</v>
      </c>
      <c r="AI602" s="223" t="s">
        <v>149</v>
      </c>
      <c r="AJ602" s="8" t="s">
        <v>724</v>
      </c>
      <c r="AL602" s="223" t="s">
        <v>149</v>
      </c>
      <c r="AM602" s="223" t="s">
        <v>149</v>
      </c>
      <c r="AN602" s="223" t="s">
        <v>149</v>
      </c>
      <c r="AO602" s="8"/>
      <c r="AP602" s="8"/>
      <c r="AR602" s="8" t="s">
        <v>6517</v>
      </c>
      <c r="AS602" s="172" t="s">
        <v>6825</v>
      </c>
      <c r="AU602" s="223" t="s">
        <v>149</v>
      </c>
    </row>
    <row r="603">
      <c r="A603" s="186">
        <v>301.0</v>
      </c>
      <c r="B603" s="152">
        <v>2025.0</v>
      </c>
      <c r="C603" s="153" t="str">
        <f t="shared" ref="C603:C604" si="65">CONCATENATE(D603, "-", M603, "-", A603)
</f>
        <v>2023-PH082612000-301</v>
      </c>
      <c r="D603" s="152">
        <f t="shared" ref="D603:D604" si="66">IF(OR(F602="Published", F602="Unpublished"), 2023, IF(F602="New", 2025, ""))
</f>
        <v>2023</v>
      </c>
      <c r="E603" s="151">
        <v>301.0</v>
      </c>
      <c r="F603" s="156" t="s">
        <v>140</v>
      </c>
      <c r="G603" s="156" t="s">
        <v>141</v>
      </c>
      <c r="H603" s="153" t="str">
        <f>IFERROR(__xludf.DUMMYFUNCTION("""COMPUTED_VALUE"""),"**Restoration_project** changed from Project 250 to Coral Reef Habitat and Productivity Enhancement through Coral Transplantation and Giant Clam Restocking, **Year of establishment** changed from 2017 to 2001, **Project Start** changed from Unknown to 200"&amp;"1, **Project End** changed from Unknown to 2005, **Technique/Material Type** changed from Coral nursery; coral transplantation to Direct transplantation, **Restoration objective** changed from Rehabilitate reef to Improve biodiversity and productivity of "&amp;"stressed coral reef habitats in 10 selected demonstration sites, **Funding agency** changed from Unknown to Pew Marine Conservation Fellowship, **Implementing institution** changed from Biri Initiative to UP MSI, **Reference** changed from Feature to Gome"&amp;"z, E., Cabaitan, P., &amp; Vicentuan, K. (2006). Coral culture and transplantation and restocking of giant clams in the Philippines. In J.H. Primavera, E.T. Quinitio, &amp; M. R. R. Eguia (Eds.). Proceedings of the Regional Technical Consultation on Stock Enhance"&amp;"ment for Threatened Species of International Concern, Iloilo City, Philippines, 13-15 July 2005 (pp. 39-48). Tigbaua, Iloilo, Philippines: Aquaculture Department, Southeast Asian Fisheries Development Center. Retrieved from https://aquadocs.org/bitstream/"&amp;"handle/1834/40478/GomezED2006.pdf?sequence=1&amp;isAllowed=y, **Website** changed from https://sevenseasmedia.org/biri-initiative-story-on-coral-restoration/ to https://aquadocs.org/bitstream/handle/1834/40478/GomezED2006.pdf?sequence=1&amp;isAllowed=y, **Contact"&amp;"_name** changed from to Dr. Patrick Cabaitan")</f>
        <v>**Restoration_project** changed from Project 250 to Coral Reef Habitat and Productivity Enhancement through Coral Transplantation and Giant Clam Restocking, **Year of establishment** changed from 2017 to 2001, **Project Start** changed from Unknown to 2001, **Project End** changed from Unknown to 2005, **Technique/Material Type** changed from Coral nursery; coral transplantation to Direct transplantation, **Restoration objective** changed from Rehabilitate reef to Improve biodiversity and productivity of stressed coral reef habitats in 10 selected demonstration sites, **Funding agency** changed from Unknown to Pew Marine Conservation Fellowship, **Implementing institution** changed from Biri Initiative to UP MSI, **Reference** changed from Feature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https://sevenseasmedia.org/biri-initiative-story-on-coral-restoration/ to https://aquadocs.org/bitstream/handle/1834/40478/GomezED2006.pdf?sequence=1&amp;isAllowed=y, **Contact_name** changed from to Dr. Patrick Cabaitan</v>
      </c>
      <c r="I603" s="153" t="s">
        <v>7240</v>
      </c>
      <c r="J603" s="153" t="s">
        <v>579</v>
      </c>
      <c r="K603" s="153" t="s">
        <v>580</v>
      </c>
      <c r="L603" s="153" t="s">
        <v>973</v>
      </c>
      <c r="M603" s="181" t="s">
        <v>974</v>
      </c>
      <c r="N603" s="153" t="s">
        <v>6062</v>
      </c>
      <c r="O603" s="153" t="s">
        <v>934</v>
      </c>
      <c r="P603" s="223" t="s">
        <v>149</v>
      </c>
      <c r="Q603" s="169">
        <v>2001.0</v>
      </c>
      <c r="R603" s="175" t="s">
        <v>6229</v>
      </c>
      <c r="S603" s="175" t="s">
        <v>6230</v>
      </c>
      <c r="T603" s="156" t="s">
        <v>177</v>
      </c>
      <c r="U603" s="153">
        <f>IFERROR(__xludf.DUMMYFUNCTION("""COMPUTED_VALUE"""),575.0)</f>
        <v>575</v>
      </c>
      <c r="V603" s="191" t="s">
        <v>3245</v>
      </c>
      <c r="W603" s="179" t="s">
        <v>149</v>
      </c>
      <c r="X603" s="180"/>
      <c r="Y603" s="180" t="s">
        <v>154</v>
      </c>
      <c r="Z603" s="158" t="s">
        <v>179</v>
      </c>
      <c r="AA603" s="153" t="s">
        <v>3245</v>
      </c>
      <c r="AB603" s="153" t="s">
        <v>939</v>
      </c>
      <c r="AC603" s="153" t="s">
        <v>940</v>
      </c>
      <c r="AD603" s="158" t="s">
        <v>6154</v>
      </c>
      <c r="AE603" s="158" t="s">
        <v>206</v>
      </c>
      <c r="AF603" s="158" t="s">
        <v>204</v>
      </c>
      <c r="AG603" s="164" t="s">
        <v>149</v>
      </c>
      <c r="AH603" s="158" t="s">
        <v>149</v>
      </c>
      <c r="AI603" s="158" t="s">
        <v>149</v>
      </c>
      <c r="AJ603" s="153" t="s">
        <v>233</v>
      </c>
      <c r="AK603" s="158" t="s">
        <v>6068</v>
      </c>
      <c r="AL603" s="223" t="s">
        <v>149</v>
      </c>
      <c r="AM603" s="223" t="s">
        <v>149</v>
      </c>
      <c r="AN603" s="223" t="s">
        <v>149</v>
      </c>
      <c r="AO603" s="156">
        <v>1.0</v>
      </c>
      <c r="AP603" s="156" t="s">
        <v>6037</v>
      </c>
      <c r="AQ603" s="158" t="s">
        <v>6214</v>
      </c>
      <c r="AR603" s="153" t="s">
        <v>941</v>
      </c>
      <c r="AS603" s="153" t="s">
        <v>942</v>
      </c>
      <c r="AT603" s="153" t="s">
        <v>943</v>
      </c>
      <c r="AU603" s="223" t="s">
        <v>149</v>
      </c>
    </row>
    <row r="604">
      <c r="A604" s="186">
        <v>302.0</v>
      </c>
      <c r="B604" s="152">
        <v>2025.0</v>
      </c>
      <c r="C604" s="153" t="str">
        <f t="shared" si="65"/>
        <v>2023-PH082612000-302</v>
      </c>
      <c r="D604" s="152">
        <f t="shared" si="66"/>
        <v>2023</v>
      </c>
      <c r="E604" s="151">
        <v>302.0</v>
      </c>
      <c r="F604" s="156" t="s">
        <v>140</v>
      </c>
      <c r="G604" s="156" t="s">
        <v>141</v>
      </c>
      <c r="H604" s="153" t="str">
        <f>IFERROR(__xludf.DUMMYFUNCTION("""COMPUTED_VALUE"""),"**Restoration_project** changed from Coral Reef Habitat and Productivity Enhancement through Coral Transplantation and Giant Clam Restocking to Unknown, **Restoration_project_short** changed from Unknown to Site in Can-usod MPA, **Year of establishment** "&amp;"changed from 2001 to 2013, **Project Start** changed from 2001 to Unknown, **Project End** changed from 2005 to Unknown, **Technique/Material Type** changed from Direct transplantation to Direct transplantation; re-attachment, **Restoration objective** ch"&amp;"anged from Improve biodiversity and productivity of stressed coral reef habitats in 10 selected demonstration sites to Research; Recovery of typhoon affected reefs; , **Funding agency** changed from Pew Marine Conservation Fellowship to Foundation for the"&amp;" Philippine Environment, **Implementing institution** changed from UP MSI to UP Natural Science Research Institute, **Reference** changed from Gomez, E., Cabaitan, P., &amp; Vicentuan, K. (2006). Coral culture and transplantation and restocking of giant clams"&amp;" in the Philippines. In J.H. Primavera, E.T. Quinitio, &amp; M. R. R. Eguia (Eds.). Proceedings of the Regional Technical Consultation on Stock Enhancement for Threatened Species of International Concern, Iloilo City, Philippines, 13-15 July 2005 (pp. 39-48)."&amp;" Tigbaua, Iloilo, Philippines: Aquaculture Department, Southeast Asian Fisheries Development Center. Retrieved from https://aquadocs.org/bitstream/handle/1834/40478/GomezED2006.pdf?sequence=1&amp;isAllowed=y to Anticamara, J. A., &amp; Tan, B. C. (2018). Survival"&amp;" and growth of re-attached storm-generated coral fragments post super typhoon Haiyan (a.k.a. Yolanda). Science Diliman, 30(2), 5-31. https://journals.upd.edu.ph/index.php/sciencediliman/article/download/6423/5632, **Website** changed from https://aquadocs"&amp;".org/bitstream/handle/1834/40478/GomezED2006.pdf?sequence=1&amp;isAllowed=y to https://journals.upd.edu.ph/index.php/sciencediliman/article/download/6423/5632, **Contact_name** changed from Dr. Patrick Cabaitan to Unknown")</f>
        <v>**Restoration_project** changed from Coral Reef Habitat and Productivity Enhancement through Coral Transplantation and Giant Clam Restocking to Unknown, **Restoration_project_short** changed from Unknown to Site in Can-usod MPA, **Year of establishment** changed from 2001 to 2013, **Project Start** changed from 2001 to Unknown, **Project End** changed from 2005 to Unknown, **Technique/Material Type** changed from Direct transplantation to Direct transplantation; re-attachment, **Restoration objective** changed from Improve biodiversity and productivity of stressed coral reef habitats in 10 selected demonstration sites to Research; Recovery of typhoon affected reefs; , **Funding agency** changed from Pew Marine Conservation Fellowship to Foundation for the Philippine Environment, **Implementing institution** changed from UP MSI to UP Natural Science Research Institute, **Reference** changed from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to Anticamara, J. A., &amp; Tan, B. C. (2018). Survival and growth of re-attached storm-generated coral fragments post super typhoon Haiyan (a.k.a. Yolanda). Science Diliman, 30(2), 5-31. https://journals.upd.edu.ph/index.php/sciencediliman/article/download/6423/5632, **Website** changed from https://aquadocs.org/bitstream/handle/1834/40478/GomezED2006.pdf?sequence=1&amp;isAllowed=y to https://journals.upd.edu.ph/index.php/sciencediliman/article/download/6423/5632, **Contact_name** changed from Dr. Patrick Cabaitan to Unknown</v>
      </c>
      <c r="I604" s="153" t="s">
        <v>7241</v>
      </c>
      <c r="J604" s="153" t="s">
        <v>579</v>
      </c>
      <c r="K604" s="153" t="s">
        <v>580</v>
      </c>
      <c r="L604" s="153" t="s">
        <v>973</v>
      </c>
      <c r="M604" s="181" t="s">
        <v>974</v>
      </c>
      <c r="N604" s="153" t="s">
        <v>6062</v>
      </c>
      <c r="O604" s="158" t="s">
        <v>149</v>
      </c>
      <c r="P604" s="153" t="s">
        <v>3017</v>
      </c>
      <c r="Q604" s="169">
        <v>2013.0</v>
      </c>
      <c r="R604" s="160" t="s">
        <v>149</v>
      </c>
      <c r="S604" s="223" t="s">
        <v>149</v>
      </c>
      <c r="T604" s="156" t="s">
        <v>177</v>
      </c>
      <c r="U604" s="153">
        <f>IFERROR(__xludf.DUMMYFUNCTION("""COMPUTED_VALUE"""),576.0)</f>
        <v>576</v>
      </c>
      <c r="V604" s="191" t="s">
        <v>3245</v>
      </c>
      <c r="W604" s="179" t="s">
        <v>149</v>
      </c>
      <c r="X604" s="180"/>
      <c r="Y604" s="180" t="s">
        <v>154</v>
      </c>
      <c r="Z604" s="158" t="s">
        <v>179</v>
      </c>
      <c r="AA604" s="153" t="s">
        <v>3018</v>
      </c>
      <c r="AB604" s="153" t="s">
        <v>3019</v>
      </c>
      <c r="AC604" s="153" t="s">
        <v>1546</v>
      </c>
      <c r="AD604" s="158" t="s">
        <v>160</v>
      </c>
      <c r="AE604" s="158" t="s">
        <v>306</v>
      </c>
      <c r="AF604" s="158" t="s">
        <v>204</v>
      </c>
      <c r="AG604" s="164" t="s">
        <v>149</v>
      </c>
      <c r="AH604" s="158" t="s">
        <v>149</v>
      </c>
      <c r="AI604" s="158" t="s">
        <v>149</v>
      </c>
      <c r="AJ604" s="153" t="s">
        <v>3020</v>
      </c>
      <c r="AK604" s="158" t="s">
        <v>6068</v>
      </c>
      <c r="AL604" s="223" t="s">
        <v>149</v>
      </c>
      <c r="AM604" s="223" t="s">
        <v>149</v>
      </c>
      <c r="AN604" s="223" t="s">
        <v>149</v>
      </c>
      <c r="AO604" s="156">
        <v>1.0</v>
      </c>
      <c r="AP604" s="156" t="s">
        <v>6037</v>
      </c>
      <c r="AQ604" s="158" t="s">
        <v>6214</v>
      </c>
      <c r="AR604" s="153" t="s">
        <v>7242</v>
      </c>
      <c r="AS604" s="165" t="s">
        <v>3022</v>
      </c>
      <c r="AT604" s="223" t="s">
        <v>149</v>
      </c>
      <c r="AU604" s="223" t="s">
        <v>149</v>
      </c>
    </row>
    <row r="605">
      <c r="A605" s="186">
        <v>302.0</v>
      </c>
      <c r="B605" s="152">
        <v>2023.0</v>
      </c>
      <c r="D605" s="152"/>
      <c r="E605" s="151">
        <v>302.0</v>
      </c>
      <c r="F605" s="129" t="s">
        <v>140</v>
      </c>
      <c r="G605" s="3" t="s">
        <v>3279</v>
      </c>
      <c r="H605" s="8" t="str">
        <f>IFERROR(__xludf.DUMMYFUNCTION("""COMPUTED_VALUE"""),"")</f>
        <v/>
      </c>
      <c r="I605" s="8" t="s">
        <v>7243</v>
      </c>
      <c r="J605" s="8" t="s">
        <v>579</v>
      </c>
      <c r="K605" s="8" t="s">
        <v>714</v>
      </c>
      <c r="L605" s="8" t="s">
        <v>715</v>
      </c>
      <c r="M605" s="8" t="s">
        <v>716</v>
      </c>
      <c r="N605" s="8" t="s">
        <v>151</v>
      </c>
      <c r="O605" s="8" t="s">
        <v>6704</v>
      </c>
      <c r="Q605" s="142" t="s">
        <v>6392</v>
      </c>
      <c r="R605" s="142"/>
      <c r="S605" s="142"/>
      <c r="U605" s="8">
        <f>IFERROR(__xludf.DUMMYFUNCTION("""COMPUTED_VALUE"""),577.0)</f>
        <v>577</v>
      </c>
      <c r="V605" s="8"/>
      <c r="W605" s="8"/>
      <c r="AB605" s="8" t="s">
        <v>699</v>
      </c>
      <c r="AG605" s="142"/>
      <c r="AJ605" s="8" t="s">
        <v>724</v>
      </c>
      <c r="AO605" s="8"/>
      <c r="AP605" s="8"/>
    </row>
    <row r="606">
      <c r="A606" s="186">
        <v>303.0</v>
      </c>
      <c r="B606" s="152">
        <v>2023.0</v>
      </c>
      <c r="D606" s="152"/>
      <c r="E606" s="151">
        <v>303.0</v>
      </c>
      <c r="F606" s="129" t="s">
        <v>140</v>
      </c>
      <c r="G606" s="3" t="s">
        <v>6029</v>
      </c>
      <c r="H606" s="8" t="str">
        <f>IFERROR(__xludf.DUMMYFUNCTION("""COMPUTED_VALUE"""),"")</f>
        <v/>
      </c>
      <c r="I606" s="8" t="s">
        <v>7244</v>
      </c>
      <c r="J606" s="8" t="s">
        <v>579</v>
      </c>
      <c r="K606" s="8" t="s">
        <v>585</v>
      </c>
      <c r="L606" s="8" t="s">
        <v>1464</v>
      </c>
      <c r="M606" s="153" t="s">
        <v>1465</v>
      </c>
      <c r="N606" s="8" t="s">
        <v>151</v>
      </c>
      <c r="O606" s="8" t="s">
        <v>1377</v>
      </c>
      <c r="P606" s="223" t="s">
        <v>149</v>
      </c>
      <c r="Q606" s="223" t="s">
        <v>149</v>
      </c>
      <c r="R606" s="142" t="s">
        <v>6198</v>
      </c>
      <c r="S606" s="142" t="s">
        <v>6199</v>
      </c>
      <c r="T606" s="8"/>
      <c r="U606" s="8">
        <f>IFERROR(__xludf.DUMMYFUNCTION("""COMPUTED_VALUE"""),578.0)</f>
        <v>578</v>
      </c>
      <c r="V606" s="8"/>
      <c r="W606" s="223"/>
      <c r="X606" s="8"/>
      <c r="Y606" s="8"/>
      <c r="AA606" s="223" t="s">
        <v>149</v>
      </c>
      <c r="AB606" s="223" t="s">
        <v>149</v>
      </c>
      <c r="AC606" s="8" t="s">
        <v>1381</v>
      </c>
      <c r="AG606" s="223" t="s">
        <v>149</v>
      </c>
      <c r="AH606" s="223" t="s">
        <v>149</v>
      </c>
      <c r="AI606" s="223" t="s">
        <v>149</v>
      </c>
      <c r="AJ606" s="8" t="s">
        <v>660</v>
      </c>
      <c r="AL606" s="8" t="s">
        <v>369</v>
      </c>
      <c r="AM606" s="223" t="s">
        <v>149</v>
      </c>
      <c r="AN606" s="223" t="s">
        <v>149</v>
      </c>
      <c r="AO606" s="8"/>
      <c r="AP606" s="8"/>
      <c r="AR606" s="8" t="s">
        <v>395</v>
      </c>
      <c r="AS606" s="8" t="s">
        <v>2873</v>
      </c>
      <c r="AT606" s="8" t="s">
        <v>398</v>
      </c>
      <c r="AU606" s="223" t="s">
        <v>149</v>
      </c>
    </row>
    <row r="607">
      <c r="A607" s="186">
        <v>303.0</v>
      </c>
      <c r="B607" s="152">
        <v>2025.0</v>
      </c>
      <c r="C607" s="153" t="str">
        <f>CONCATENATE(D607, "-", M607, "-", A607)
</f>
        <v>2023-PH082612000-303</v>
      </c>
      <c r="D607" s="152">
        <f>IF(OR(F606="Published", F606="Unpublished"), 2023, IF(F606="New", 2025, ""))
</f>
        <v>2023</v>
      </c>
      <c r="E607" s="151">
        <v>303.0</v>
      </c>
      <c r="F607" s="156" t="s">
        <v>140</v>
      </c>
      <c r="G607" s="156" t="s">
        <v>141</v>
      </c>
      <c r="H607" s="153" t="str">
        <f>IFERROR(__xludf.DUMMYFUNCTION("""COMPUTED_VALUE"""),"**Restoration_project** changed from Fisheries Sector Program to Unknown, **Restoration_project_short** changed from Unknown to Site in Monbon MPA, **Year of establishment** changed from Unknown to 2013, **Project Start** changed from 1990 to Unknown, **P"&amp;"roject End** changed from 1994 to Unknown, **Restoration method** changed from Artificial Reef to Asexual Reproduction, **Technique/Material Type** changed from Unknown to Direct transplantation; re-attachment, **Restoration objective** changed from Unkno"&amp;"wn to Research; Recovery of typhoon affected reefs; , **Funding agency** changed from ADB, Overseas Economic Cooperation Fund of Japan to Foundation for the Philippine Environment, **Implementing institution** changed from DA to UP Natural Science Researc"&amp;"h Institute, **Partners_public** changed from MLGU to Unknown, **Reference** changed from Conference Proceeding to Anticamara, J. A., &amp; Tan, B. C. (2018). Survival and growth of re-attached storm-generated coral fragments post super typhoon Haiyan (a.k.a."&amp;" Yolanda). Science Diliman, 30(2), 5-31. https://journals.upd.edu.ph/index.php/sciencediliman/article/download/6423/5632, **Website** changed from http://pubs.iclarm.net/libinfo/Pdf/Pub%20CP6%2049.pdf to https://journals.upd.edu.ph/index.php/sciencedilima"&amp;"n/article/download/6423/5632, **Contact_name** changed from Miriam Balgos to Unknown")</f>
        <v>**Restoration_project** changed from Fisheries Sector Program to Unknown, **Restoration_project_short** changed from Unknown to Site in Monbon MPA, **Year of establishment** changed from Unknown to 2013, **Project Start** changed from 1990 to Unknown, **Project End** changed from 1994 to Unknown, **Restoration method** changed from Artificial Reef to Asexual Reproduction, **Technique/Material Type** changed from Unknown to Direct transplantation; re-attachment, **Restoration objective** changed from Unknown to Research; Recovery of typhoon affected reefs; , **Funding agency** changed from ADB, Overseas Economic Cooperation Fund of Japan to Foundation for the Philippine Environment, **Implementing institution** changed from DA to UP Natural Science Research Institute, **Partners_public** changed from MLGU to Unknown, **Reference** changed from Conference Proceeding to Anticamara, J. A., &amp; Tan, B. C. (2018). Survival and growth of re-attached storm-generated coral fragments post super typhoon Haiyan (a.k.a. Yolanda). Science Diliman, 30(2), 5-31. https://journals.upd.edu.ph/index.php/sciencediliman/article/download/6423/5632, **Website** changed from http://pubs.iclarm.net/libinfo/Pdf/Pub%20CP6%2049.pdf to https://journals.upd.edu.ph/index.php/sciencediliman/article/download/6423/5632, **Contact_name** changed from Miriam Balgos to Unknown</v>
      </c>
      <c r="I607" s="153" t="s">
        <v>7245</v>
      </c>
      <c r="J607" s="153" t="s">
        <v>579</v>
      </c>
      <c r="K607" s="153" t="s">
        <v>580</v>
      </c>
      <c r="L607" s="153" t="s">
        <v>973</v>
      </c>
      <c r="M607" s="181" t="s">
        <v>974</v>
      </c>
      <c r="N607" s="153" t="s">
        <v>6062</v>
      </c>
      <c r="O607" s="158" t="s">
        <v>149</v>
      </c>
      <c r="P607" s="153" t="s">
        <v>3024</v>
      </c>
      <c r="Q607" s="169">
        <v>2013.0</v>
      </c>
      <c r="R607" s="160" t="s">
        <v>149</v>
      </c>
      <c r="S607" s="160" t="s">
        <v>149</v>
      </c>
      <c r="T607" s="156" t="s">
        <v>177</v>
      </c>
      <c r="U607" s="153">
        <f>IFERROR(__xludf.DUMMYFUNCTION("""COMPUTED_VALUE"""),579.0)</f>
        <v>579</v>
      </c>
      <c r="V607" s="191" t="s">
        <v>3245</v>
      </c>
      <c r="W607" s="179" t="s">
        <v>149</v>
      </c>
      <c r="X607" s="180"/>
      <c r="Y607" s="180" t="s">
        <v>154</v>
      </c>
      <c r="Z607" s="158" t="s">
        <v>179</v>
      </c>
      <c r="AA607" s="153" t="s">
        <v>3018</v>
      </c>
      <c r="AB607" s="153" t="s">
        <v>3019</v>
      </c>
      <c r="AC607" s="153" t="s">
        <v>1546</v>
      </c>
      <c r="AD607" s="158" t="s">
        <v>160</v>
      </c>
      <c r="AE607" s="158" t="s">
        <v>306</v>
      </c>
      <c r="AF607" s="158" t="s">
        <v>204</v>
      </c>
      <c r="AG607" s="164" t="s">
        <v>149</v>
      </c>
      <c r="AH607" s="158" t="s">
        <v>149</v>
      </c>
      <c r="AI607" s="158" t="s">
        <v>149</v>
      </c>
      <c r="AJ607" s="153" t="s">
        <v>3020</v>
      </c>
      <c r="AK607" s="158" t="s">
        <v>6068</v>
      </c>
      <c r="AL607" s="223" t="s">
        <v>149</v>
      </c>
      <c r="AM607" s="223" t="s">
        <v>149</v>
      </c>
      <c r="AN607" s="223" t="s">
        <v>149</v>
      </c>
      <c r="AO607" s="156">
        <v>1.0</v>
      </c>
      <c r="AP607" s="156" t="s">
        <v>6037</v>
      </c>
      <c r="AQ607" s="158" t="s">
        <v>6214</v>
      </c>
      <c r="AR607" s="153" t="s">
        <v>7242</v>
      </c>
      <c r="AS607" s="153" t="s">
        <v>3022</v>
      </c>
      <c r="AT607" s="223" t="s">
        <v>149</v>
      </c>
      <c r="AU607" s="223" t="s">
        <v>149</v>
      </c>
    </row>
    <row r="608">
      <c r="A608" s="186">
        <v>304.0</v>
      </c>
      <c r="B608" s="152">
        <v>2023.0</v>
      </c>
      <c r="D608" s="152"/>
      <c r="E608" s="151">
        <v>304.0</v>
      </c>
      <c r="F608" s="129" t="s">
        <v>140</v>
      </c>
      <c r="G608" s="3" t="s">
        <v>6029</v>
      </c>
      <c r="H608" s="8" t="str">
        <f>IFERROR(__xludf.DUMMYFUNCTION("""COMPUTED_VALUE"""),"")</f>
        <v/>
      </c>
      <c r="I608" s="8" t="s">
        <v>7246</v>
      </c>
      <c r="J608" s="8" t="s">
        <v>579</v>
      </c>
      <c r="K608" s="8" t="s">
        <v>585</v>
      </c>
      <c r="L608" s="8" t="s">
        <v>1467</v>
      </c>
      <c r="M608" s="153" t="s">
        <v>1468</v>
      </c>
      <c r="N608" s="8" t="s">
        <v>151</v>
      </c>
      <c r="O608" s="8" t="s">
        <v>1377</v>
      </c>
      <c r="P608" s="8" t="s">
        <v>639</v>
      </c>
      <c r="Q608" s="223" t="s">
        <v>149</v>
      </c>
      <c r="R608" s="142" t="s">
        <v>6198</v>
      </c>
      <c r="S608" s="142" t="s">
        <v>6199</v>
      </c>
      <c r="T608" s="8"/>
      <c r="U608" s="8">
        <f>IFERROR(__xludf.DUMMYFUNCTION("""COMPUTED_VALUE"""),580.0)</f>
        <v>580</v>
      </c>
      <c r="V608" s="8"/>
      <c r="W608" s="223"/>
      <c r="X608" s="8"/>
      <c r="Y608" s="8"/>
      <c r="AA608" s="223" t="s">
        <v>149</v>
      </c>
      <c r="AB608" s="223" t="s">
        <v>149</v>
      </c>
      <c r="AC608" s="8" t="s">
        <v>1381</v>
      </c>
      <c r="AG608" s="223" t="s">
        <v>149</v>
      </c>
      <c r="AH608" s="223" t="s">
        <v>149</v>
      </c>
      <c r="AI608" s="223" t="s">
        <v>149</v>
      </c>
      <c r="AJ608" s="8" t="s">
        <v>660</v>
      </c>
      <c r="AL608" s="8" t="s">
        <v>369</v>
      </c>
      <c r="AM608" s="223" t="s">
        <v>149</v>
      </c>
      <c r="AN608" s="223" t="s">
        <v>149</v>
      </c>
      <c r="AO608" s="8"/>
      <c r="AP608" s="8"/>
      <c r="AR608" s="8" t="s">
        <v>395</v>
      </c>
      <c r="AS608" s="8" t="s">
        <v>2873</v>
      </c>
      <c r="AT608" s="8" t="s">
        <v>398</v>
      </c>
      <c r="AU608" s="223" t="s">
        <v>149</v>
      </c>
    </row>
    <row r="609">
      <c r="A609" s="186">
        <v>304.0</v>
      </c>
      <c r="B609" s="152">
        <v>2025.0</v>
      </c>
      <c r="C609" s="153" t="str">
        <f t="shared" ref="C609:C610" si="67">CONCATENATE(D609, "-", M609, "-", A609)
</f>
        <v>2023-PH082619000-304</v>
      </c>
      <c r="D609" s="152">
        <f t="shared" ref="D609:D610" si="68">IF(OR(F608="Published", F608="Unpublished"), 2023, IF(F608="New", 2025, ""))
</f>
        <v>2023</v>
      </c>
      <c r="E609" s="151">
        <v>304.0</v>
      </c>
      <c r="F609" s="129" t="s">
        <v>140</v>
      </c>
      <c r="G609" s="156" t="s">
        <v>141</v>
      </c>
      <c r="H609" s="153" t="str">
        <f>IFERROR(__xludf.DUMMYFUNCTION("""COMPUTED_VALUE"""),"**Restoration_project** changed from Fisheries Sector Program to Unknown, **Restoration_project_short** changed from Site in Poblacion to Mentioned in the Oxfam Report that there were artificial reefs in Salcedo; , **Project Start** changed from 1990 to U"&amp;"nknown, **Project End** changed from 1994 to Unknown, **Funding agency** changed from ADB, Overseas Economic Cooperation Fund of Japan to Unknown, **Implementing institution** changed from DA to Unknown, **Partners_public** changed from MLGU to Unknown, *"&amp;"*Reference** changed from Conference Proceeding to OXFAM (2016). OXFAM in the Philippines Annual Report 2016. https://cng-cdn.oxfam.org/philippines.oxfam.org/s3fs-public/file_attachments/Oxfam%20sa%20Pilipinas%20Annual%20Report%202016.pdf, **Website** cha"&amp;"nged from http://pubs.iclarm.net/libinfo/Pdf/Pub%20CP6%2049.pdf to https://cng-cdn.oxfam.org/philippines.oxfam.org/s3fs-public/file_attachments/Oxfam%20sa%20Pilipinas%20Annual%20Report%202016.pdf, **Contact_name** changed from Miriam Balgos to Unknown")</f>
        <v>**Restoration_project** changed from Fisheries Sector Program to Unknown, **Restoration_project_short** changed from Site in Poblacion to Mentioned in the Oxfam Report that there were artificial reefs in Salcedo; , **Project Start** changed from 1990 to Unknown, **Project End** changed from 1994 to Unknown, **Funding agency** changed from ADB, Overseas Economic Cooperation Fund of Japan to Unknown, **Implementing institution** changed from DA to Unknown, **Partners_public** changed from MLGU to Unknown, **Reference** changed from Conference Proceeding to OXFAM (2016). OXFAM in the Philippines Annual Report 2016. https://cng-cdn.oxfam.org/philippines.oxfam.org/s3fs-public/file_attachments/Oxfam%20sa%20Pilipinas%20Annual%20Report%202016.pdf, **Website** changed from http://pubs.iclarm.net/libinfo/Pdf/Pub%20CP6%2049.pdf to https://cng-cdn.oxfam.org/philippines.oxfam.org/s3fs-public/file_attachments/Oxfam%20sa%20Pilipinas%20Annual%20Report%202016.pdf, **Contact_name** changed from Miriam Balgos to Unknown</v>
      </c>
      <c r="I609" s="153" t="s">
        <v>7247</v>
      </c>
      <c r="J609" s="153" t="s">
        <v>579</v>
      </c>
      <c r="K609" s="153" t="s">
        <v>580</v>
      </c>
      <c r="L609" s="153" t="s">
        <v>3155</v>
      </c>
      <c r="M609" s="181" t="s">
        <v>3156</v>
      </c>
      <c r="N609" s="153" t="s">
        <v>151</v>
      </c>
      <c r="O609" s="158" t="s">
        <v>149</v>
      </c>
      <c r="P609" s="153" t="s">
        <v>7234</v>
      </c>
      <c r="Q609" s="178" t="s">
        <v>149</v>
      </c>
      <c r="R609" s="160" t="s">
        <v>149</v>
      </c>
      <c r="S609" s="160" t="s">
        <v>149</v>
      </c>
      <c r="T609" s="161" t="s">
        <v>150</v>
      </c>
      <c r="U609" s="153">
        <f>IFERROR(__xludf.DUMMYFUNCTION("""COMPUTED_VALUE"""),581.0)</f>
        <v>581</v>
      </c>
      <c r="V609" s="162" t="s">
        <v>3311</v>
      </c>
      <c r="W609" s="187" t="s">
        <v>149</v>
      </c>
      <c r="X609" s="184"/>
      <c r="Y609" s="184" t="s">
        <v>149</v>
      </c>
      <c r="Z609" s="158" t="s">
        <v>149</v>
      </c>
      <c r="AA609" s="158" t="s">
        <v>149</v>
      </c>
      <c r="AB609" s="158" t="s">
        <v>149</v>
      </c>
      <c r="AC609" s="158" t="s">
        <v>149</v>
      </c>
      <c r="AD609" s="158" t="s">
        <v>149</v>
      </c>
      <c r="AE609" s="158" t="s">
        <v>149</v>
      </c>
      <c r="AF609" s="158" t="s">
        <v>149</v>
      </c>
      <c r="AG609" s="164" t="s">
        <v>149</v>
      </c>
      <c r="AH609" s="158" t="s">
        <v>149</v>
      </c>
      <c r="AI609" s="158" t="s">
        <v>149</v>
      </c>
      <c r="AJ609" s="158" t="s">
        <v>149</v>
      </c>
      <c r="AK609" s="158" t="s">
        <v>149</v>
      </c>
      <c r="AL609" s="143" t="s">
        <v>149</v>
      </c>
      <c r="AM609" s="223" t="s">
        <v>149</v>
      </c>
      <c r="AN609" s="143" t="s">
        <v>149</v>
      </c>
      <c r="AO609" s="156">
        <v>1.0</v>
      </c>
      <c r="AP609" s="156" t="s">
        <v>6037</v>
      </c>
      <c r="AQ609" s="153" t="s">
        <v>6084</v>
      </c>
      <c r="AR609" s="153" t="s">
        <v>3158</v>
      </c>
      <c r="AS609" s="165" t="s">
        <v>3159</v>
      </c>
      <c r="AT609" s="156" t="s">
        <v>149</v>
      </c>
      <c r="AU609" s="156" t="s">
        <v>149</v>
      </c>
    </row>
    <row r="610">
      <c r="A610" s="186">
        <v>305.0</v>
      </c>
      <c r="B610" s="152">
        <v>2025.0</v>
      </c>
      <c r="C610" s="153" t="str">
        <f t="shared" si="67"/>
        <v>2023-PH082620000-305</v>
      </c>
      <c r="D610" s="152">
        <f t="shared" si="68"/>
        <v>2023</v>
      </c>
      <c r="E610" s="151">
        <v>305.0</v>
      </c>
      <c r="F610" s="156" t="s">
        <v>191</v>
      </c>
      <c r="G610" s="156" t="s">
        <v>191</v>
      </c>
      <c r="H610" s="153" t="str">
        <f>IFERROR(__xludf.DUMMYFUNCTION("""COMPUTED_VALUE"""),"**Restoration_project_short** changed from Mentioned in the Oxfam Report that there were artificial reefs in Salcedo; to Site in Brgy 3, **Restoration objective** changed from Unknown to Coastal resource management, **Implementing institution** changed fr"&amp;"om Unknown to MLGU, **Reference** changed from OXFAM (2016). OXFAM in the Philippines Annual Report 2016. https://cng-cdn.oxfam.org/philippines.oxfam.org/s3fs-public/file_attachments/Oxfam%20sa%20Pilipinas%20Annual%20Report%202016.pdf to LMP, FISH Project"&amp;", WWF-Philippines and CI-Philippines (2009). Directory of CRM Learning Destinations in the Philippines, 2nd Edition. Cebu City Philippines. http://oneocean.org/download/db_files/directory_of_crm_destinations2Ed.pdf, **Website** changed from https://cng-cd"&amp;"n.oxfam.org/philippines.oxfam.org/s3fs-public/file_attachments/Oxfam%20sa%20Pilipinas%20Annual%20Report%202016.pdf to http://oneocean.org/download/db_files/directory_of_crm_destinations2Ed.pdf")</f>
        <v>**Restoration_project_short** changed from Mentioned in the Oxfam Report that there were artificial reefs in Salcedo; to Site in Brgy 3, **Restoration objective** changed from Unknown to Coastal resource management, **Implementing institution** changed from Unknown to MLGU, **Reference** changed from OXFAM (2016). OXFAM in the Philippines Annual Report 2016. https://cng-cdn.oxfam.org/philippines.oxfam.org/s3fs-public/file_attachments/Oxfam%20sa%20Pilipinas%20Annual%20Report%202016.pdf to LMP, FISH Project, WWF-Philippines and CI-Philippines (2009). Directory of CRM Learning Destinations in the Philippines, 2nd Edition. Cebu City Philippines. http://oneocean.org/download/db_files/directory_of_crm_destinations2Ed.pdf, **Website** changed from https://cng-cdn.oxfam.org/philippines.oxfam.org/s3fs-public/file_attachments/Oxfam%20sa%20Pilipinas%20Annual%20Report%202016.pdf to http://oneocean.org/download/db_files/directory_of_crm_destinations2Ed.pdf</v>
      </c>
      <c r="I610" s="153" t="s">
        <v>7248</v>
      </c>
      <c r="J610" s="153" t="s">
        <v>579</v>
      </c>
      <c r="K610" s="153" t="s">
        <v>580</v>
      </c>
      <c r="L610" s="153" t="s">
        <v>2821</v>
      </c>
      <c r="M610" s="181" t="s">
        <v>2822</v>
      </c>
      <c r="N610" s="153" t="s">
        <v>151</v>
      </c>
      <c r="O610" s="158" t="s">
        <v>149</v>
      </c>
      <c r="P610" s="153" t="s">
        <v>2823</v>
      </c>
      <c r="Q610" s="197" t="s">
        <v>149</v>
      </c>
      <c r="R610" s="164" t="s">
        <v>149</v>
      </c>
      <c r="S610" s="164" t="s">
        <v>149</v>
      </c>
      <c r="T610" s="161" t="s">
        <v>150</v>
      </c>
      <c r="U610" s="153">
        <f>IFERROR(__xludf.DUMMYFUNCTION("""COMPUTED_VALUE"""),582.0)</f>
        <v>582</v>
      </c>
      <c r="V610" s="162" t="s">
        <v>3311</v>
      </c>
      <c r="W610" s="187" t="s">
        <v>149</v>
      </c>
      <c r="X610" s="184"/>
      <c r="Y610" s="184" t="s">
        <v>149</v>
      </c>
      <c r="Z610" s="158" t="s">
        <v>149</v>
      </c>
      <c r="AA610" s="158" t="s">
        <v>149</v>
      </c>
      <c r="AB610" s="153" t="s">
        <v>819</v>
      </c>
      <c r="AC610" s="158" t="s">
        <v>149</v>
      </c>
      <c r="AD610" s="158" t="s">
        <v>149</v>
      </c>
      <c r="AE610" s="158" t="s">
        <v>149</v>
      </c>
      <c r="AF610" s="158" t="s">
        <v>149</v>
      </c>
      <c r="AG610" s="164" t="s">
        <v>149</v>
      </c>
      <c r="AH610" s="158" t="s">
        <v>149</v>
      </c>
      <c r="AI610" s="158" t="s">
        <v>149</v>
      </c>
      <c r="AJ610" s="153" t="s">
        <v>369</v>
      </c>
      <c r="AK610" s="153" t="s">
        <v>6035</v>
      </c>
      <c r="AL610" s="156" t="s">
        <v>149</v>
      </c>
      <c r="AM610" s="156" t="s">
        <v>149</v>
      </c>
      <c r="AN610" s="156" t="s">
        <v>149</v>
      </c>
      <c r="AO610" s="156">
        <v>1.0</v>
      </c>
      <c r="AP610" s="156" t="s">
        <v>6037</v>
      </c>
      <c r="AQ610" s="153" t="s">
        <v>6084</v>
      </c>
      <c r="AR610" s="153" t="s">
        <v>823</v>
      </c>
      <c r="AS610" s="172" t="s">
        <v>824</v>
      </c>
      <c r="AT610" s="156" t="s">
        <v>149</v>
      </c>
      <c r="AU610" s="156" t="s">
        <v>149</v>
      </c>
    </row>
    <row r="611">
      <c r="A611" s="186">
        <v>305.0</v>
      </c>
      <c r="B611" s="152">
        <v>2023.0</v>
      </c>
      <c r="D611" s="152"/>
      <c r="E611" s="151">
        <v>305.0</v>
      </c>
      <c r="F611" s="129" t="s">
        <v>140</v>
      </c>
      <c r="G611" s="3" t="s">
        <v>6029</v>
      </c>
      <c r="H611" s="8" t="str">
        <f>IFERROR(__xludf.DUMMYFUNCTION("""COMPUTED_VALUE"""),"")</f>
        <v/>
      </c>
      <c r="I611" s="8" t="s">
        <v>7249</v>
      </c>
      <c r="J611" s="8" t="s">
        <v>579</v>
      </c>
      <c r="K611" s="8" t="s">
        <v>585</v>
      </c>
      <c r="L611" s="8" t="s">
        <v>1467</v>
      </c>
      <c r="M611" s="153" t="s">
        <v>1468</v>
      </c>
      <c r="N611" s="8" t="s">
        <v>151</v>
      </c>
      <c r="O611" s="8" t="s">
        <v>1377</v>
      </c>
      <c r="P611" s="8" t="s">
        <v>1470</v>
      </c>
      <c r="Q611" s="223" t="s">
        <v>149</v>
      </c>
      <c r="R611" s="142" t="s">
        <v>6198</v>
      </c>
      <c r="S611" s="142" t="s">
        <v>6199</v>
      </c>
      <c r="T611" s="8"/>
      <c r="U611" s="8">
        <f>IFERROR(__xludf.DUMMYFUNCTION("""COMPUTED_VALUE"""),583.0)</f>
        <v>583</v>
      </c>
      <c r="V611" s="8"/>
      <c r="W611" s="223"/>
      <c r="X611" s="8"/>
      <c r="Y611" s="8"/>
      <c r="AA611" s="223" t="s">
        <v>149</v>
      </c>
      <c r="AB611" s="223" t="s">
        <v>149</v>
      </c>
      <c r="AC611" s="8" t="s">
        <v>1381</v>
      </c>
      <c r="AG611" s="223" t="s">
        <v>149</v>
      </c>
      <c r="AH611" s="223" t="s">
        <v>149</v>
      </c>
      <c r="AI611" s="223" t="s">
        <v>149</v>
      </c>
      <c r="AJ611" s="8" t="s">
        <v>660</v>
      </c>
      <c r="AL611" s="8" t="s">
        <v>369</v>
      </c>
      <c r="AM611" s="223" t="s">
        <v>149</v>
      </c>
      <c r="AN611" s="223" t="s">
        <v>149</v>
      </c>
      <c r="AO611" s="8"/>
      <c r="AP611" s="8"/>
      <c r="AR611" s="8" t="s">
        <v>395</v>
      </c>
      <c r="AS611" s="8" t="s">
        <v>2873</v>
      </c>
      <c r="AT611" s="8" t="s">
        <v>398</v>
      </c>
      <c r="AU611" s="223" t="s">
        <v>149</v>
      </c>
    </row>
    <row r="612">
      <c r="A612" s="186">
        <v>306.0</v>
      </c>
      <c r="B612" s="152">
        <v>2023.0</v>
      </c>
      <c r="D612" s="152"/>
      <c r="E612" s="151">
        <v>306.0</v>
      </c>
      <c r="F612" s="129" t="s">
        <v>140</v>
      </c>
      <c r="G612" s="3" t="s">
        <v>6029</v>
      </c>
      <c r="H612" s="8" t="str">
        <f>IFERROR(__xludf.DUMMYFUNCTION("""COMPUTED_VALUE"""),"")</f>
        <v/>
      </c>
      <c r="I612" s="8" t="s">
        <v>7250</v>
      </c>
      <c r="J612" s="8" t="s">
        <v>579</v>
      </c>
      <c r="K612" s="8" t="s">
        <v>585</v>
      </c>
      <c r="L612" s="8" t="s">
        <v>1472</v>
      </c>
      <c r="M612" s="153" t="s">
        <v>1473</v>
      </c>
      <c r="N612" s="8" t="s">
        <v>151</v>
      </c>
      <c r="O612" s="8" t="s">
        <v>1377</v>
      </c>
      <c r="P612" s="8" t="s">
        <v>1474</v>
      </c>
      <c r="Q612" s="223" t="s">
        <v>149</v>
      </c>
      <c r="R612" s="142" t="s">
        <v>6198</v>
      </c>
      <c r="S612" s="142" t="s">
        <v>6199</v>
      </c>
      <c r="T612" s="8"/>
      <c r="U612" s="8">
        <f>IFERROR(__xludf.DUMMYFUNCTION("""COMPUTED_VALUE"""),584.0)</f>
        <v>584</v>
      </c>
      <c r="V612" s="8"/>
      <c r="W612" s="223"/>
      <c r="X612" s="3"/>
      <c r="Y612" s="3"/>
      <c r="Z612" s="3" t="s">
        <v>149</v>
      </c>
      <c r="AA612" s="223" t="s">
        <v>149</v>
      </c>
      <c r="AB612" s="223" t="s">
        <v>149</v>
      </c>
      <c r="AC612" s="8" t="s">
        <v>1381</v>
      </c>
      <c r="AD612" s="3" t="s">
        <v>149</v>
      </c>
      <c r="AE612" s="3" t="s">
        <v>149</v>
      </c>
      <c r="AF612" s="3" t="s">
        <v>149</v>
      </c>
      <c r="AG612" s="223" t="s">
        <v>149</v>
      </c>
      <c r="AH612" s="223" t="s">
        <v>149</v>
      </c>
      <c r="AI612" s="223" t="s">
        <v>149</v>
      </c>
      <c r="AJ612" s="8" t="s">
        <v>660</v>
      </c>
      <c r="AK612" s="3" t="s">
        <v>149</v>
      </c>
      <c r="AL612" s="8" t="s">
        <v>369</v>
      </c>
      <c r="AM612" s="223" t="s">
        <v>149</v>
      </c>
      <c r="AN612" s="223" t="s">
        <v>149</v>
      </c>
      <c r="AO612" s="8"/>
      <c r="AP612" s="8"/>
      <c r="AQ612" s="3" t="s">
        <v>149</v>
      </c>
      <c r="AR612" s="8" t="s">
        <v>395</v>
      </c>
      <c r="AS612" s="8" t="s">
        <v>2873</v>
      </c>
      <c r="AT612" s="8" t="s">
        <v>398</v>
      </c>
      <c r="AU612" s="223" t="s">
        <v>149</v>
      </c>
    </row>
    <row r="613">
      <c r="A613" s="186">
        <v>306.0</v>
      </c>
      <c r="B613" s="152">
        <v>2025.0</v>
      </c>
      <c r="C613" s="153" t="str">
        <f t="shared" ref="C613:C614" si="69">CONCATENATE(D613, "-", M613, "-", A613)
</f>
        <v>2023-PH082618000-306</v>
      </c>
      <c r="D613" s="152">
        <f t="shared" ref="D613:D614" si="70">IF(OR(F612="Published", F612="Unpublished"), 2023, IF(F612="New", 2025, ""))
</f>
        <v>2023</v>
      </c>
      <c r="E613" s="151">
        <v>306.0</v>
      </c>
      <c r="F613" s="129" t="s">
        <v>140</v>
      </c>
      <c r="G613" s="156" t="s">
        <v>141</v>
      </c>
      <c r="H613" s="153" t="str">
        <f>IFERROR(__xludf.DUMMYFUNCTION("""COMPUTED_VALUE"""),"**Restoration_project** changed from Fisheries Sector Program to Unknown, **Restoration_project_short** changed from Site in Balud to Site in Panaloytoyon MPA, **Year of establishment** changed from Unknown to 2013, **Project Start** changed from 1990 to "&amp;"Unknown, **Project End** changed from 1994 to Unknown, **Restoration method** changed from Artificial Reef to Asexual Reproduction, **Technique/Material Type** changed from Unknown to Direct transplantation; re-attachment, **Restoration objective** change"&amp;"d from Unknown to Research; Recovery of typhoon affected reefs; , **Funding agency** changed from ADB, Overseas Economic Cooperation Fund of Japan to Foundation for the Philippine Environment, **Implementing institution** changed from DA to UP Natural Sci"&amp;"ence Research Institute, **Partners_public** changed from MLGU to Unknown, **Reference** changed from Conference Proceeding to Anticamara, J. A., &amp; Tan, B. C. (2018). Survival and growth of re-attached storm-generated coral fragments post super typhoon Ha"&amp;"iyan (a.k.a. Yolanda). Science Diliman, 30(2), 5-31. https://journals.upd.edu.ph/index.php/sciencediliman/article/download/6423/5632, **Website** changed from http://pubs.iclarm.net/libinfo/Pdf/Pub%20CP6%2049.pdf to https://journals.upd.edu.ph/index.php/s"&amp;"ciencediliman/article/download/6423/5632, **Contact_name** changed from Miriam Balgos to Unknown")</f>
        <v>**Restoration_project** changed from Fisheries Sector Program to Unknown, **Restoration_project_short** changed from Site in Balud to Site in Panaloytoyon MPA, **Year of establishment** changed from Unknown to 2013, **Project Start** changed from 1990 to Unknown, **Project End** changed from 1994 to Unknown, **Restoration method** changed from Artificial Reef to Asexual Reproduction, **Technique/Material Type** changed from Unknown to Direct transplantation; re-attachment, **Restoration objective** changed from Unknown to Research; Recovery of typhoon affected reefs; , **Funding agency** changed from ADB, Overseas Economic Cooperation Fund of Japan to Foundation for the Philippine Environment, **Implementing institution** changed from DA to UP Natural Science Research Institute, **Partners_public** changed from MLGU to Unknown, **Reference** changed from Conference Proceeding to Anticamara, J. A., &amp; Tan, B. C. (2018). Survival and growth of re-attached storm-generated coral fragments post super typhoon Haiyan (a.k.a. Yolanda). Science Diliman, 30(2), 5-31. https://journals.upd.edu.ph/index.php/sciencediliman/article/download/6423/5632, **Website** changed from http://pubs.iclarm.net/libinfo/Pdf/Pub%20CP6%2049.pdf to https://journals.upd.edu.ph/index.php/sciencediliman/article/download/6423/5632, **Contact_name** changed from Miriam Balgos to Unknown</v>
      </c>
      <c r="I613" s="153" t="s">
        <v>7251</v>
      </c>
      <c r="J613" s="153" t="s">
        <v>579</v>
      </c>
      <c r="K613" s="153" t="s">
        <v>580</v>
      </c>
      <c r="L613" s="153" t="s">
        <v>3026</v>
      </c>
      <c r="M613" s="181" t="s">
        <v>3027</v>
      </c>
      <c r="N613" s="153" t="s">
        <v>6062</v>
      </c>
      <c r="O613" s="158" t="s">
        <v>149</v>
      </c>
      <c r="P613" s="153" t="s">
        <v>3028</v>
      </c>
      <c r="Q613" s="169">
        <v>2013.0</v>
      </c>
      <c r="R613" s="160" t="s">
        <v>149</v>
      </c>
      <c r="S613" s="160" t="s">
        <v>149</v>
      </c>
      <c r="T613" s="156" t="s">
        <v>177</v>
      </c>
      <c r="U613" s="153">
        <f>IFERROR(__xludf.DUMMYFUNCTION("""COMPUTED_VALUE"""),585.0)</f>
        <v>585</v>
      </c>
      <c r="V613" s="191" t="s">
        <v>3245</v>
      </c>
      <c r="W613" s="179" t="s">
        <v>149</v>
      </c>
      <c r="X613" s="180"/>
      <c r="Y613" s="180" t="s">
        <v>154</v>
      </c>
      <c r="Z613" s="158" t="s">
        <v>179</v>
      </c>
      <c r="AA613" s="153" t="s">
        <v>3018</v>
      </c>
      <c r="AB613" s="153" t="s">
        <v>3019</v>
      </c>
      <c r="AC613" s="153" t="s">
        <v>1546</v>
      </c>
      <c r="AD613" s="158" t="s">
        <v>160</v>
      </c>
      <c r="AE613" s="158" t="s">
        <v>306</v>
      </c>
      <c r="AF613" s="158" t="s">
        <v>204</v>
      </c>
      <c r="AG613" s="164" t="s">
        <v>149</v>
      </c>
      <c r="AH613" s="158" t="s">
        <v>149</v>
      </c>
      <c r="AI613" s="158" t="s">
        <v>149</v>
      </c>
      <c r="AJ613" s="153" t="s">
        <v>3020</v>
      </c>
      <c r="AK613" s="158" t="s">
        <v>6068</v>
      </c>
      <c r="AL613" s="143" t="s">
        <v>149</v>
      </c>
      <c r="AM613" s="143" t="s">
        <v>149</v>
      </c>
      <c r="AN613" s="143" t="s">
        <v>149</v>
      </c>
      <c r="AO613" s="156">
        <v>1.0</v>
      </c>
      <c r="AP613" s="156" t="s">
        <v>6037</v>
      </c>
      <c r="AQ613" s="158" t="s">
        <v>6214</v>
      </c>
      <c r="AR613" s="153" t="s">
        <v>7242</v>
      </c>
      <c r="AS613" s="153" t="s">
        <v>3022</v>
      </c>
      <c r="AT613" s="143" t="s">
        <v>149</v>
      </c>
      <c r="AU613" s="143" t="s">
        <v>149</v>
      </c>
    </row>
    <row r="614">
      <c r="A614" s="186">
        <v>307.0</v>
      </c>
      <c r="B614" s="152">
        <v>2025.0</v>
      </c>
      <c r="C614" s="153" t="str">
        <f t="shared" si="69"/>
        <v>2023-PH083703000-307</v>
      </c>
      <c r="D614" s="152">
        <f t="shared" si="70"/>
        <v>2023</v>
      </c>
      <c r="E614" s="151">
        <v>307.0</v>
      </c>
      <c r="F614" s="129" t="s">
        <v>140</v>
      </c>
      <c r="G614" s="156" t="s">
        <v>141</v>
      </c>
      <c r="H614" s="153" t="str">
        <f>IFERROR(__xludf.DUMMYFUNCTION("""COMPUTED_VALUE"""),"**Restoration_project** changed from Unknown to Fisheries Sector Program, **Restoration_project_short** changed from Site in Panaloytoyon MPA to Unknown, **Year of establishment** changed from 2013 to 1992, **Project Start** changed from Unknown to 1990, "&amp;"**Project End** changed from Unknown to 1994, **Restoration method** changed from Asexual Reproduction to Artificial Reef, **Technique/Material Type** changed from Direct transplantation; re-attachment to Unknown, **Restoration objective** changed from Re"&amp;"search; Recovery of typhoon affected reefs; to Unknown, **Funding agency** changed from Foundation for the Philippine Environment to ADB, Overseas Economic Cooperation Fund of Japan , **Implementing institution** changed from UP Natural Science Research I"&amp;"nstitute to DA, **Partners_public** changed from Unknown to MLGU, **Reference** changed from Anticamara, J. A., &amp; Tan, B. C. (2018). Survival and growth of re-attached storm-generated coral fragments post super typhoon Haiyan (a.k.a. Yolanda). Science Dil"&amp;"iman, 30(2), 5-31. https://journals.upd.edu.ph/index.php/sciencediliman/article/download/6423/5632 to Balgos, M.C. (1995). Evaluation of artificial reef development in the Philippines. In Munro, J.L. &amp; Balgos, M. (eds.) Artificial reefs in the Philippines"&amp;". ICLARM Conf. Proc. 49, pp. 6-22., **Website** changed from https://journals.upd.edu.ph/index.php/sciencediliman/article/download/6423/5632 to https://core.ac.uk/download/pdf/6515223.pdf;, **Contact_name** changed from Unknown to Miriam Balgos")</f>
        <v>**Restoration_project** changed from Unknown to Fisheries Sector Program, **Restoration_project_short** changed from Site in Panaloytoyon MPA to Unknown, **Year of establishment** changed from 2013 to 1992, **Project Start** changed from Unknown to 1990, **Project End** changed from Unknown to 1994, **Restoration method** changed from Asexual Reproduction to Artificial Reef, **Technique/Material Type** changed from Direct transplantation; re-attachment to Unknown, **Restoration objective** changed from Research; Recovery of typhoon affected reefs; to Unknown, **Funding agency** changed from Foundation for the Philippine Environment to ADB, Overseas Economic Cooperation Fund of Japan , **Implementing institution** changed from UP Natural Science Research Institute to DA, **Partners_public** changed from Unknown to MLGU, **Reference** changed from Anticamara, J. A., &amp; Tan, B. C. (2018). Survival and growth of re-attached storm-generated coral fragments post super typhoon Haiyan (a.k.a. Yolanda). Science Diliman, 30(2), 5-31. https://journals.upd.edu.ph/index.php/sciencediliman/article/download/6423/5632 to Balgos, M.C. (1995). Evaluation of artificial reef development in the Philippines. In Munro, J.L. &amp; Balgos, M. (eds.) Artificial reefs in the Philippines. ICLARM Conf. Proc. 49, pp. 6-22., **Website** changed from https://journals.upd.edu.ph/index.php/sciencediliman/article/download/6423/5632 to https://core.ac.uk/download/pdf/6515223.pdf;, **Contact_name** changed from Unknown to Miriam Balgos</v>
      </c>
      <c r="I614" s="153" t="s">
        <v>7252</v>
      </c>
      <c r="J614" s="153" t="s">
        <v>579</v>
      </c>
      <c r="K614" s="153" t="s">
        <v>585</v>
      </c>
      <c r="L614" s="153" t="s">
        <v>1464</v>
      </c>
      <c r="M614" s="181" t="s">
        <v>1465</v>
      </c>
      <c r="N614" s="153" t="s">
        <v>151</v>
      </c>
      <c r="O614" s="153" t="s">
        <v>1377</v>
      </c>
      <c r="P614" s="223" t="s">
        <v>149</v>
      </c>
      <c r="Q614" s="178">
        <v>1992.0</v>
      </c>
      <c r="R614" s="175" t="s">
        <v>6198</v>
      </c>
      <c r="S614" s="175" t="s">
        <v>6199</v>
      </c>
      <c r="T614" s="161" t="s">
        <v>150</v>
      </c>
      <c r="U614" s="153">
        <f>IFERROR(__xludf.DUMMYFUNCTION("""COMPUTED_VALUE"""),586.0)</f>
        <v>586</v>
      </c>
      <c r="V614" s="162" t="s">
        <v>3311</v>
      </c>
      <c r="W614" s="179" t="s">
        <v>149</v>
      </c>
      <c r="X614" s="191"/>
      <c r="Y614" s="191" t="s">
        <v>149</v>
      </c>
      <c r="Z614" s="158" t="s">
        <v>149</v>
      </c>
      <c r="AA614" s="158" t="s">
        <v>149</v>
      </c>
      <c r="AB614" s="158" t="s">
        <v>149</v>
      </c>
      <c r="AC614" s="153" t="s">
        <v>1381</v>
      </c>
      <c r="AD614" s="158" t="s">
        <v>6154</v>
      </c>
      <c r="AE614" s="158" t="s">
        <v>206</v>
      </c>
      <c r="AF614" s="158" t="s">
        <v>159</v>
      </c>
      <c r="AG614" s="164" t="s">
        <v>149</v>
      </c>
      <c r="AH614" s="158" t="s">
        <v>149</v>
      </c>
      <c r="AI614" s="158" t="s">
        <v>149</v>
      </c>
      <c r="AJ614" s="153" t="s">
        <v>660</v>
      </c>
      <c r="AK614" s="153" t="s">
        <v>6035</v>
      </c>
      <c r="AL614" s="153" t="s">
        <v>369</v>
      </c>
      <c r="AM614" s="223" t="s">
        <v>149</v>
      </c>
      <c r="AN614" s="223" t="s">
        <v>149</v>
      </c>
      <c r="AO614" s="156">
        <v>1.0</v>
      </c>
      <c r="AP614" s="156" t="s">
        <v>6037</v>
      </c>
      <c r="AQ614" s="158" t="s">
        <v>395</v>
      </c>
      <c r="AR614" s="153" t="s">
        <v>6060</v>
      </c>
      <c r="AS614" s="158" t="s">
        <v>6711</v>
      </c>
      <c r="AT614" s="153" t="s">
        <v>398</v>
      </c>
      <c r="AU614" s="223" t="s">
        <v>149</v>
      </c>
    </row>
    <row r="615">
      <c r="A615" s="186">
        <v>307.0</v>
      </c>
      <c r="B615" s="152">
        <v>2023.0</v>
      </c>
      <c r="D615" s="152"/>
      <c r="E615" s="151">
        <v>307.0</v>
      </c>
      <c r="F615" s="129" t="s">
        <v>140</v>
      </c>
      <c r="G615" s="3" t="s">
        <v>6029</v>
      </c>
      <c r="H615" s="8" t="str">
        <f>IFERROR(__xludf.DUMMYFUNCTION("""COMPUTED_VALUE"""),"")</f>
        <v/>
      </c>
      <c r="I615" s="8" t="s">
        <v>7253</v>
      </c>
      <c r="J615" s="8" t="s">
        <v>579</v>
      </c>
      <c r="K615" s="8" t="s">
        <v>585</v>
      </c>
      <c r="L615" s="8" t="s">
        <v>586</v>
      </c>
      <c r="M615" s="153" t="s">
        <v>587</v>
      </c>
      <c r="N615" s="8" t="s">
        <v>151</v>
      </c>
      <c r="O615" s="8" t="s">
        <v>384</v>
      </c>
      <c r="P615" s="8" t="s">
        <v>588</v>
      </c>
      <c r="Q615" s="142" t="s">
        <v>6051</v>
      </c>
      <c r="R615" s="142" t="s">
        <v>6052</v>
      </c>
      <c r="S615" s="142" t="s">
        <v>6053</v>
      </c>
      <c r="T615" s="8"/>
      <c r="U615" s="8">
        <f>IFERROR(__xludf.DUMMYFUNCTION("""COMPUTED_VALUE"""),587.0)</f>
        <v>587</v>
      </c>
      <c r="V615" s="8"/>
      <c r="W615" s="8"/>
      <c r="X615" s="8"/>
      <c r="Y615" s="8"/>
      <c r="AA615" s="8" t="s">
        <v>6054</v>
      </c>
      <c r="AB615" s="223" t="s">
        <v>149</v>
      </c>
      <c r="AC615" s="8" t="s">
        <v>390</v>
      </c>
      <c r="AG615" s="223" t="s">
        <v>149</v>
      </c>
      <c r="AH615" s="223" t="s">
        <v>149</v>
      </c>
      <c r="AI615" s="8" t="s">
        <v>450</v>
      </c>
      <c r="AJ615" s="8" t="s">
        <v>390</v>
      </c>
      <c r="AL615" s="8" t="s">
        <v>6055</v>
      </c>
      <c r="AM615" s="223" t="s">
        <v>149</v>
      </c>
      <c r="AN615" s="223" t="s">
        <v>149</v>
      </c>
      <c r="AO615" s="8"/>
      <c r="AP615" s="8"/>
      <c r="AR615" s="8" t="s">
        <v>6057</v>
      </c>
      <c r="AS615" s="8" t="s">
        <v>2873</v>
      </c>
      <c r="AT615" s="8" t="s">
        <v>398</v>
      </c>
      <c r="AU615" s="223" t="s">
        <v>149</v>
      </c>
    </row>
    <row r="616">
      <c r="A616" s="186">
        <v>308.0</v>
      </c>
      <c r="B616" s="152">
        <v>2025.0</v>
      </c>
      <c r="C616" s="153" t="str">
        <f>CONCATENATE(D616, "-", M616, "-", A616)
</f>
        <v>2023-PH083705000-308</v>
      </c>
      <c r="D616" s="152">
        <f>IF(OR(F615="Published", F615="Unpublished"), 2023, IF(F615="New", 2025, ""))
</f>
        <v>2023</v>
      </c>
      <c r="E616" s="151">
        <v>308.0</v>
      </c>
      <c r="F616" s="129" t="s">
        <v>140</v>
      </c>
      <c r="G616" s="156" t="s">
        <v>141</v>
      </c>
      <c r="H616" s="153" t="str">
        <f>IFERROR(__xludf.DUMMYFUNCTION("""COMPUTED_VALUE"""),"**Restoration_project** changed from Artificial Reef Development Program to Fisheries Sector Program, **Restoration_project_short** changed from Site in East and West Visoria to Site in Poblacion, **Year of establishment** changed from 1986 to 1992, **Pro"&amp;"ject Start** changed from 1985 to 1990, **Project End** changed from 1987 to 1994, **Technique/Material Type** changed from tires to Unknown, **Funding agency** changed from BFAR to ADB, Overseas Economic Cooperation Fund of Japan , **Total units** change"&amp;"d from 6 TM to Unknown, **Implementing institution** changed from BFAR to DA, **Partners_public** changed from Ministry of Human Settlements to MLGU, **Reference** changed from Conference Proceediing to Balgos, M.C. (1995). Evaluation of artificial reef d"&amp;"evelopment in the Philippines. In Munro, J.L. &amp; Balgos, M. (eds.) Artificial reefs in the Philippines. ICLARM Conf. Proc. 49, pp. 6-22., **Website** changed from http://pubs.iclarm.net/libinfo/Pdf/Pub%20CP6%2049.pdf to https://core.ac.uk/download/pdf/6515"&amp;"223.pdf;")</f>
        <v>**Restoration_project** changed from Artificial Reef Development Program to Fisheries Sector Program, **Restoration_project_short** changed from Site in East and West Visoria to Site in Poblacion, **Year of establishment** changed from 1986 to 1992, **Project Start** changed from 1985 to 1990, **Project End** changed from 1987 to 1994, **Technique/Material Type** changed from tires to Unknown, **Funding agency** changed from BFAR to ADB, Overseas Economic Cooperation Fund of Japan , **Total units** changed from 6 TM to Unknown, **Implementing institution** changed from BFAR to DA, **Partners_public** changed from Ministry of Human Settlements to MLGU,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16" s="153" t="s">
        <v>7254</v>
      </c>
      <c r="J616" s="153" t="s">
        <v>579</v>
      </c>
      <c r="K616" s="153" t="s">
        <v>585</v>
      </c>
      <c r="L616" s="153" t="s">
        <v>1467</v>
      </c>
      <c r="M616" s="181" t="s">
        <v>1468</v>
      </c>
      <c r="N616" s="153" t="s">
        <v>151</v>
      </c>
      <c r="O616" s="153" t="s">
        <v>1377</v>
      </c>
      <c r="P616" s="153" t="s">
        <v>639</v>
      </c>
      <c r="Q616" s="178">
        <v>1992.0</v>
      </c>
      <c r="R616" s="175" t="s">
        <v>6198</v>
      </c>
      <c r="S616" s="175" t="s">
        <v>6199</v>
      </c>
      <c r="T616" s="161" t="s">
        <v>150</v>
      </c>
      <c r="U616" s="153">
        <f>IFERROR(__xludf.DUMMYFUNCTION("""COMPUTED_VALUE"""),588.0)</f>
        <v>588</v>
      </c>
      <c r="V616" s="162" t="s">
        <v>3311</v>
      </c>
      <c r="W616" s="179" t="s">
        <v>149</v>
      </c>
      <c r="X616" s="191"/>
      <c r="Y616" s="191" t="s">
        <v>149</v>
      </c>
      <c r="Z616" s="158" t="s">
        <v>149</v>
      </c>
      <c r="AA616" s="158" t="s">
        <v>149</v>
      </c>
      <c r="AB616" s="158" t="s">
        <v>149</v>
      </c>
      <c r="AC616" s="153" t="s">
        <v>1381</v>
      </c>
      <c r="AD616" s="158" t="s">
        <v>6154</v>
      </c>
      <c r="AE616" s="158" t="s">
        <v>206</v>
      </c>
      <c r="AF616" s="158" t="s">
        <v>159</v>
      </c>
      <c r="AG616" s="164" t="s">
        <v>149</v>
      </c>
      <c r="AH616" s="158" t="s">
        <v>149</v>
      </c>
      <c r="AI616" s="158" t="s">
        <v>149</v>
      </c>
      <c r="AJ616" s="153" t="s">
        <v>660</v>
      </c>
      <c r="AK616" s="153" t="s">
        <v>6035</v>
      </c>
      <c r="AL616" s="153" t="s">
        <v>369</v>
      </c>
      <c r="AM616" s="223" t="s">
        <v>149</v>
      </c>
      <c r="AN616" s="223" t="s">
        <v>149</v>
      </c>
      <c r="AO616" s="156">
        <v>1.0</v>
      </c>
      <c r="AP616" s="156" t="s">
        <v>6037</v>
      </c>
      <c r="AQ616" s="158" t="s">
        <v>395</v>
      </c>
      <c r="AR616" s="153" t="s">
        <v>6060</v>
      </c>
      <c r="AS616" s="158" t="s">
        <v>6711</v>
      </c>
      <c r="AT616" s="153" t="s">
        <v>398</v>
      </c>
      <c r="AU616" s="223" t="s">
        <v>149</v>
      </c>
    </row>
    <row r="617">
      <c r="A617" s="186">
        <v>308.0</v>
      </c>
      <c r="B617" s="152">
        <v>2023.0</v>
      </c>
      <c r="D617" s="152"/>
      <c r="E617" s="151">
        <v>308.0</v>
      </c>
      <c r="F617" s="129" t="s">
        <v>140</v>
      </c>
      <c r="G617" s="3" t="s">
        <v>6029</v>
      </c>
      <c r="H617" s="8" t="str">
        <f>IFERROR(__xludf.DUMMYFUNCTION("""COMPUTED_VALUE"""),"")</f>
        <v/>
      </c>
      <c r="I617" s="8" t="s">
        <v>7255</v>
      </c>
      <c r="J617" s="8" t="s">
        <v>579</v>
      </c>
      <c r="K617" s="8" t="s">
        <v>585</v>
      </c>
      <c r="L617" s="8" t="s">
        <v>586</v>
      </c>
      <c r="M617" s="153" t="s">
        <v>587</v>
      </c>
      <c r="N617" s="8" t="s">
        <v>151</v>
      </c>
      <c r="O617" s="8" t="s">
        <v>1377</v>
      </c>
      <c r="P617" s="8" t="s">
        <v>1476</v>
      </c>
      <c r="Q617" s="223" t="s">
        <v>149</v>
      </c>
      <c r="R617" s="142" t="s">
        <v>6198</v>
      </c>
      <c r="S617" s="142" t="s">
        <v>6199</v>
      </c>
      <c r="T617" s="8"/>
      <c r="U617" s="8">
        <f>IFERROR(__xludf.DUMMYFUNCTION("""COMPUTED_VALUE"""),589.0)</f>
        <v>589</v>
      </c>
      <c r="V617" s="8"/>
      <c r="W617" s="223"/>
      <c r="X617" s="8"/>
      <c r="Y617" s="8"/>
      <c r="AA617" s="223" t="s">
        <v>149</v>
      </c>
      <c r="AB617" s="223" t="s">
        <v>149</v>
      </c>
      <c r="AC617" s="8" t="s">
        <v>1381</v>
      </c>
      <c r="AG617" s="223" t="s">
        <v>149</v>
      </c>
      <c r="AH617" s="223" t="s">
        <v>149</v>
      </c>
      <c r="AI617" s="223" t="s">
        <v>149</v>
      </c>
      <c r="AJ617" s="8" t="s">
        <v>660</v>
      </c>
      <c r="AL617" s="8" t="s">
        <v>369</v>
      </c>
      <c r="AM617" s="223" t="s">
        <v>149</v>
      </c>
      <c r="AN617" s="223" t="s">
        <v>149</v>
      </c>
      <c r="AO617" s="8"/>
      <c r="AP617" s="8"/>
      <c r="AR617" s="8" t="s">
        <v>395</v>
      </c>
      <c r="AS617" s="8" t="s">
        <v>2873</v>
      </c>
      <c r="AT617" s="8" t="s">
        <v>398</v>
      </c>
      <c r="AU617" s="223" t="s">
        <v>149</v>
      </c>
    </row>
    <row r="618">
      <c r="A618" s="186">
        <v>309.0</v>
      </c>
      <c r="B618" s="152">
        <v>2025.0</v>
      </c>
      <c r="C618" s="153" t="str">
        <f>CONCATENATE(D618, "-", M618, "-", A618)
</f>
        <v>2023-PH083705000-309</v>
      </c>
      <c r="D618" s="152">
        <f>IF(OR(F617="Published", F617="Unpublished"), 2023, IF(F617="New", 2025, ""))
</f>
        <v>2023</v>
      </c>
      <c r="E618" s="151">
        <v>309.0</v>
      </c>
      <c r="F618" s="129" t="s">
        <v>140</v>
      </c>
      <c r="G618" s="156" t="s">
        <v>141</v>
      </c>
      <c r="H618" s="153" t="str">
        <f>IFERROR(__xludf.DUMMYFUNCTION("""COMPUTED_VALUE"""),"**Restoration_project_short** changed from Site in Naugisan to Site in Bacong, **Year of establishment** changed from Unknown to 1992, **Reference** changed from Conference Proceeding to Balgos, M.C. (1995). Evaluation of artificial reef development in th"&amp;"e Philippines. In Munro, J.L. &amp; Balgos, M. (eds.) Artificial reefs in the Philippines. ICLARM Conf. Proc. 49, pp. 6-22., **Website** changed from http://pubs.iclarm.net/libinfo/Pdf/Pub%20CP6%2049.pdf to https://core.ac.uk/download/pdf/6515223.pdf;")</f>
        <v>**Restoration_project_short** changed from Site in Naugisan to Site in Bacong,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18" s="153" t="s">
        <v>7256</v>
      </c>
      <c r="J618" s="153" t="s">
        <v>579</v>
      </c>
      <c r="K618" s="153" t="s">
        <v>585</v>
      </c>
      <c r="L618" s="153" t="s">
        <v>1467</v>
      </c>
      <c r="M618" s="181" t="s">
        <v>1468</v>
      </c>
      <c r="N618" s="153" t="s">
        <v>151</v>
      </c>
      <c r="O618" s="153" t="s">
        <v>1377</v>
      </c>
      <c r="P618" s="153" t="s">
        <v>1470</v>
      </c>
      <c r="Q618" s="178">
        <v>1992.0</v>
      </c>
      <c r="R618" s="175" t="s">
        <v>6198</v>
      </c>
      <c r="S618" s="175" t="s">
        <v>6199</v>
      </c>
      <c r="T618" s="161" t="s">
        <v>150</v>
      </c>
      <c r="U618" s="153">
        <f>IFERROR(__xludf.DUMMYFUNCTION("""COMPUTED_VALUE"""),590.0)</f>
        <v>590</v>
      </c>
      <c r="V618" s="162" t="s">
        <v>3311</v>
      </c>
      <c r="W618" s="179" t="s">
        <v>149</v>
      </c>
      <c r="X618" s="191"/>
      <c r="Y618" s="191" t="s">
        <v>149</v>
      </c>
      <c r="Z618" s="158" t="s">
        <v>149</v>
      </c>
      <c r="AA618" s="158" t="s">
        <v>149</v>
      </c>
      <c r="AB618" s="158" t="s">
        <v>149</v>
      </c>
      <c r="AC618" s="153" t="s">
        <v>1381</v>
      </c>
      <c r="AD618" s="158" t="s">
        <v>6154</v>
      </c>
      <c r="AE618" s="158" t="s">
        <v>206</v>
      </c>
      <c r="AF618" s="158" t="s">
        <v>159</v>
      </c>
      <c r="AG618" s="164" t="s">
        <v>149</v>
      </c>
      <c r="AH618" s="158" t="s">
        <v>149</v>
      </c>
      <c r="AI618" s="158" t="s">
        <v>149</v>
      </c>
      <c r="AJ618" s="153" t="s">
        <v>660</v>
      </c>
      <c r="AK618" s="153" t="s">
        <v>6035</v>
      </c>
      <c r="AL618" s="153" t="s">
        <v>369</v>
      </c>
      <c r="AM618" s="223" t="s">
        <v>149</v>
      </c>
      <c r="AN618" s="223" t="s">
        <v>149</v>
      </c>
      <c r="AO618" s="156">
        <v>1.0</v>
      </c>
      <c r="AP618" s="156" t="s">
        <v>6037</v>
      </c>
      <c r="AQ618" s="158" t="s">
        <v>395</v>
      </c>
      <c r="AR618" s="153" t="s">
        <v>6060</v>
      </c>
      <c r="AS618" s="158" t="s">
        <v>6711</v>
      </c>
      <c r="AT618" s="153" t="s">
        <v>398</v>
      </c>
      <c r="AU618" s="223" t="s">
        <v>149</v>
      </c>
    </row>
    <row r="619">
      <c r="A619" s="186">
        <v>309.0</v>
      </c>
      <c r="B619" s="152">
        <v>2023.0</v>
      </c>
      <c r="D619" s="152"/>
      <c r="E619" s="151">
        <v>309.0</v>
      </c>
      <c r="F619" s="129" t="s">
        <v>140</v>
      </c>
      <c r="G619" s="3" t="s">
        <v>6029</v>
      </c>
      <c r="H619" s="8" t="str">
        <f>IFERROR(__xludf.DUMMYFUNCTION("""COMPUTED_VALUE"""),"")</f>
        <v/>
      </c>
      <c r="I619" s="8" t="s">
        <v>7257</v>
      </c>
      <c r="J619" s="8" t="s">
        <v>579</v>
      </c>
      <c r="K619" s="8" t="s">
        <v>585</v>
      </c>
      <c r="L619" s="8" t="s">
        <v>586</v>
      </c>
      <c r="M619" s="153" t="s">
        <v>587</v>
      </c>
      <c r="N619" s="8" t="s">
        <v>151</v>
      </c>
      <c r="O619" s="8" t="s">
        <v>1377</v>
      </c>
      <c r="P619" s="8" t="s">
        <v>1478</v>
      </c>
      <c r="Q619" s="223" t="s">
        <v>149</v>
      </c>
      <c r="R619" s="142" t="s">
        <v>6198</v>
      </c>
      <c r="S619" s="142" t="s">
        <v>6199</v>
      </c>
      <c r="T619" s="8"/>
      <c r="U619" s="8">
        <f>IFERROR(__xludf.DUMMYFUNCTION("""COMPUTED_VALUE"""),591.0)</f>
        <v>591</v>
      </c>
      <c r="V619" s="8"/>
      <c r="W619" s="223"/>
      <c r="X619" s="8"/>
      <c r="Y619" s="8"/>
      <c r="AA619" s="223" t="s">
        <v>149</v>
      </c>
      <c r="AB619" s="223" t="s">
        <v>149</v>
      </c>
      <c r="AC619" s="8" t="s">
        <v>1381</v>
      </c>
      <c r="AG619" s="223" t="s">
        <v>149</v>
      </c>
      <c r="AH619" s="223" t="s">
        <v>149</v>
      </c>
      <c r="AI619" s="223" t="s">
        <v>149</v>
      </c>
      <c r="AJ619" s="8" t="s">
        <v>660</v>
      </c>
      <c r="AL619" s="8" t="s">
        <v>369</v>
      </c>
      <c r="AM619" s="223" t="s">
        <v>149</v>
      </c>
      <c r="AN619" s="223" t="s">
        <v>149</v>
      </c>
      <c r="AO619" s="8"/>
      <c r="AP619" s="8"/>
      <c r="AR619" s="8" t="s">
        <v>395</v>
      </c>
      <c r="AS619" s="8" t="s">
        <v>2873</v>
      </c>
      <c r="AT619" s="8" t="s">
        <v>398</v>
      </c>
      <c r="AU619" s="223" t="s">
        <v>149</v>
      </c>
    </row>
    <row r="620">
      <c r="A620" s="186">
        <v>310.0</v>
      </c>
      <c r="B620" s="152">
        <v>2025.0</v>
      </c>
      <c r="C620" s="153" t="str">
        <f>CONCATENATE(D620, "-", M620, "-", A620)
</f>
        <v>2023-PH083707000-310</v>
      </c>
      <c r="D620" s="152">
        <f>IF(OR(F619="Published", F619="Unpublished"), 2023, IF(F619="New", 2025, ""))
</f>
        <v>2023</v>
      </c>
      <c r="E620" s="151">
        <v>310.0</v>
      </c>
      <c r="F620" s="156" t="s">
        <v>191</v>
      </c>
      <c r="G620" s="156" t="s">
        <v>191</v>
      </c>
      <c r="H620" s="153" t="str">
        <f>IFERROR(__xludf.DUMMYFUNCTION("""COMPUTED_VALUE"""),"**Restoration_project** changed from Fisheries Sector Program to Unknown, **Restoration_project_short** changed from Site in Guindapunan East to Site in Brgy Tinago, **Year of establishment** changed from Unknown to 1996, **Project Start** changed from 19"&amp;"90 to Unknown, **Project End** changed from 1994 to Unknown, **Funding agency** changed from ADB, Overseas Economic Cooperation Fund of Japan to Federation of Omega Beneficiaries Inc., **Total units** changed from Unknown to 58 modules, **Implementing ins"&amp;"titution** changed from DA to MLGU, **Partners_public** changed from MLGU to Unknown, **Reference** changed from Conference Proceeding to LMP, FISH Project, WWF-Philippines and CI-Philippines (2009). Directory of CRM Learning Destinations in the Philippin"&amp;"es, 2nd Edition. Cebu City Philippines. http://oneocean.org/download/db_files/directory_of_crm_destinations2Ed.pdf, **Website** changed from http://pubs.iclarm.net/libinfo/Pdf/Pub%20CP6%2049.pdf to http://oneocean.org/download/db_files/directory_of_crm_de"&amp;"stinations2Ed.pdf, **Contact_name** changed from Miriam Balgos to Unknown")</f>
        <v>**Restoration_project** changed from Fisheries Sector Program to Unknown, **Restoration_project_short** changed from Site in Guindapunan East to Site in Brgy Tinago, **Year of establishment** changed from Unknown to 1996, **Project Start** changed from 1990 to Unknown, **Project End** changed from 1994 to Unknown, **Funding agency** changed from ADB, Overseas Economic Cooperation Fund of Japan to Federation of Omega Beneficiaries Inc., **Total units** changed from Unknown to 58 modules, **Implementing institution** changed from DA to MLGU, **Partners_public** changed from MLGU to Unknown, **Reference** changed from Conference Proceeding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620" s="153" t="s">
        <v>7258</v>
      </c>
      <c r="J620" s="153" t="s">
        <v>579</v>
      </c>
      <c r="K620" s="153" t="s">
        <v>585</v>
      </c>
      <c r="L620" s="153" t="s">
        <v>2805</v>
      </c>
      <c r="M620" s="181" t="s">
        <v>2806</v>
      </c>
      <c r="N620" s="153" t="s">
        <v>151</v>
      </c>
      <c r="O620" s="158" t="s">
        <v>149</v>
      </c>
      <c r="P620" s="153" t="s">
        <v>2807</v>
      </c>
      <c r="Q620" s="169">
        <v>1996.0</v>
      </c>
      <c r="R620" s="164" t="s">
        <v>149</v>
      </c>
      <c r="S620" s="164" t="s">
        <v>149</v>
      </c>
      <c r="T620" s="161" t="s">
        <v>150</v>
      </c>
      <c r="U620" s="153">
        <f>IFERROR(__xludf.DUMMYFUNCTION("""COMPUTED_VALUE"""),592.0)</f>
        <v>592</v>
      </c>
      <c r="V620" s="162" t="s">
        <v>3311</v>
      </c>
      <c r="W620" s="187" t="s">
        <v>149</v>
      </c>
      <c r="X620" s="184"/>
      <c r="Y620" s="184" t="s">
        <v>149</v>
      </c>
      <c r="Z620" s="158" t="s">
        <v>149</v>
      </c>
      <c r="AA620" s="158" t="s">
        <v>149</v>
      </c>
      <c r="AB620" s="158" t="s">
        <v>149</v>
      </c>
      <c r="AC620" s="153" t="s">
        <v>2809</v>
      </c>
      <c r="AD620" s="158" t="s">
        <v>160</v>
      </c>
      <c r="AE620" s="158" t="s">
        <v>306</v>
      </c>
      <c r="AF620" s="158" t="s">
        <v>159</v>
      </c>
      <c r="AG620" s="164" t="s">
        <v>149</v>
      </c>
      <c r="AH620" s="158" t="s">
        <v>149</v>
      </c>
      <c r="AI620" s="153" t="s">
        <v>2810</v>
      </c>
      <c r="AJ620" s="153" t="s">
        <v>369</v>
      </c>
      <c r="AK620" s="153" t="s">
        <v>6035</v>
      </c>
      <c r="AL620" s="156" t="s">
        <v>149</v>
      </c>
      <c r="AM620" s="156" t="s">
        <v>149</v>
      </c>
      <c r="AN620" s="156" t="s">
        <v>149</v>
      </c>
      <c r="AO620" s="156">
        <v>1.0</v>
      </c>
      <c r="AP620" s="156" t="s">
        <v>6037</v>
      </c>
      <c r="AQ620" s="153" t="s">
        <v>6084</v>
      </c>
      <c r="AR620" s="153" t="s">
        <v>823</v>
      </c>
      <c r="AS620" s="172" t="s">
        <v>824</v>
      </c>
      <c r="AT620" s="156" t="s">
        <v>149</v>
      </c>
      <c r="AU620" s="156" t="s">
        <v>149</v>
      </c>
    </row>
    <row r="621">
      <c r="A621" s="186">
        <v>310.0</v>
      </c>
      <c r="B621" s="152">
        <v>2023.0</v>
      </c>
      <c r="D621" s="152"/>
      <c r="E621" s="151">
        <v>310.0</v>
      </c>
      <c r="F621" s="129" t="s">
        <v>140</v>
      </c>
      <c r="G621" s="3" t="s">
        <v>6029</v>
      </c>
      <c r="H621" s="8" t="str">
        <f>IFERROR(__xludf.DUMMYFUNCTION("""COMPUTED_VALUE"""),"")</f>
        <v/>
      </c>
      <c r="I621" s="8" t="s">
        <v>7259</v>
      </c>
      <c r="J621" s="8" t="s">
        <v>579</v>
      </c>
      <c r="K621" s="8" t="s">
        <v>585</v>
      </c>
      <c r="L621" s="8" t="s">
        <v>585</v>
      </c>
      <c r="M621" s="153" t="s">
        <v>1480</v>
      </c>
      <c r="N621" s="8" t="s">
        <v>151</v>
      </c>
      <c r="O621" s="8" t="s">
        <v>1377</v>
      </c>
      <c r="P621" s="8" t="s">
        <v>1481</v>
      </c>
      <c r="Q621" s="143" t="s">
        <v>149</v>
      </c>
      <c r="R621" s="142" t="s">
        <v>6198</v>
      </c>
      <c r="S621" s="142" t="s">
        <v>6199</v>
      </c>
      <c r="T621" s="8"/>
      <c r="U621" s="8">
        <f>IFERROR(__xludf.DUMMYFUNCTION("""COMPUTED_VALUE"""),593.0)</f>
        <v>593</v>
      </c>
      <c r="V621" s="8"/>
      <c r="W621" s="143"/>
      <c r="Y621" s="8"/>
      <c r="AA621" s="143" t="s">
        <v>149</v>
      </c>
      <c r="AB621" s="143" t="s">
        <v>149</v>
      </c>
      <c r="AC621" s="8" t="s">
        <v>1381</v>
      </c>
      <c r="AG621" s="143" t="s">
        <v>149</v>
      </c>
      <c r="AH621" s="143" t="s">
        <v>149</v>
      </c>
      <c r="AI621" s="143" t="s">
        <v>149</v>
      </c>
      <c r="AJ621" s="8" t="s">
        <v>660</v>
      </c>
      <c r="AL621" s="8" t="s">
        <v>369</v>
      </c>
      <c r="AM621" s="143" t="s">
        <v>149</v>
      </c>
      <c r="AN621" s="143" t="s">
        <v>149</v>
      </c>
      <c r="AO621" s="8"/>
      <c r="AP621" s="8"/>
      <c r="AR621" s="8" t="s">
        <v>395</v>
      </c>
      <c r="AS621" s="8" t="s">
        <v>2873</v>
      </c>
      <c r="AT621" s="8" t="s">
        <v>398</v>
      </c>
      <c r="AU621" s="143" t="s">
        <v>149</v>
      </c>
    </row>
    <row r="622">
      <c r="A622" s="186">
        <v>311.0</v>
      </c>
      <c r="B622" s="152">
        <v>2025.0</v>
      </c>
      <c r="C622" s="153" t="str">
        <f>CONCATENATE(D622, "-", M622, "-", A622)
</f>
        <v>2023-PH083714000-311</v>
      </c>
      <c r="D622" s="152">
        <f>IF(OR(F621="Published", F621="Unpublished"), 2023, IF(F621="New", 2025, ""))
</f>
        <v>2023</v>
      </c>
      <c r="E622" s="151">
        <v>311.0</v>
      </c>
      <c r="F622" s="129" t="s">
        <v>140</v>
      </c>
      <c r="G622" s="156" t="s">
        <v>141</v>
      </c>
      <c r="H622" s="153" t="str">
        <f>IFERROR(__xludf.DUMMYFUNCTION("""COMPUTED_VALUE"""),"**Restoration_project_short** changed from Site in Maanda to Site in Balud, **Year of establishment** changed from Unknown to 1992, **Reference** changed from Conference Proceeding to Balgos, M.C. (1995). Evaluation of artificial reef development in the P"&amp;"hilippines. In Munro, J.L. &amp; Balgos, M. (eds.) Artificial reefs in the Philippines. ICLARM Conf. Proc. 49, pp. 6-22., **Website** changed from http://pubs.iclarm.net/libinfo/Pdf/Pub%20CP6%2049.pdf to https://core.ac.uk/download/pdf/6515223.pdf;")</f>
        <v>**Restoration_project_short** changed from Site in Maanda to Site in Balud,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22" s="153" t="s">
        <v>7260</v>
      </c>
      <c r="J622" s="153" t="s">
        <v>579</v>
      </c>
      <c r="K622" s="153" t="s">
        <v>585</v>
      </c>
      <c r="L622" s="153" t="s">
        <v>1472</v>
      </c>
      <c r="M622" s="181" t="s">
        <v>1473</v>
      </c>
      <c r="N622" s="153" t="s">
        <v>151</v>
      </c>
      <c r="O622" s="153" t="s">
        <v>1377</v>
      </c>
      <c r="P622" s="153" t="s">
        <v>1474</v>
      </c>
      <c r="Q622" s="178">
        <v>1992.0</v>
      </c>
      <c r="R622" s="175" t="s">
        <v>6198</v>
      </c>
      <c r="S622" s="175" t="s">
        <v>6199</v>
      </c>
      <c r="T622" s="161" t="s">
        <v>150</v>
      </c>
      <c r="U622" s="153">
        <f>IFERROR(__xludf.DUMMYFUNCTION("""COMPUTED_VALUE"""),594.0)</f>
        <v>594</v>
      </c>
      <c r="V622" s="162" t="s">
        <v>3311</v>
      </c>
      <c r="W622" s="187" t="s">
        <v>149</v>
      </c>
      <c r="X622" s="184"/>
      <c r="Y622" s="184" t="s">
        <v>149</v>
      </c>
      <c r="Z622" s="158" t="s">
        <v>149</v>
      </c>
      <c r="AA622" s="158" t="s">
        <v>149</v>
      </c>
      <c r="AB622" s="158" t="s">
        <v>149</v>
      </c>
      <c r="AC622" s="153" t="s">
        <v>1381</v>
      </c>
      <c r="AD622" s="158" t="s">
        <v>6154</v>
      </c>
      <c r="AE622" s="158" t="s">
        <v>206</v>
      </c>
      <c r="AF622" s="158" t="s">
        <v>159</v>
      </c>
      <c r="AG622" s="164" t="s">
        <v>149</v>
      </c>
      <c r="AH622" s="158" t="s">
        <v>149</v>
      </c>
      <c r="AI622" s="158" t="s">
        <v>149</v>
      </c>
      <c r="AJ622" s="153" t="s">
        <v>660</v>
      </c>
      <c r="AK622" s="153" t="s">
        <v>6035</v>
      </c>
      <c r="AL622" s="153" t="s">
        <v>369</v>
      </c>
      <c r="AM622" s="223" t="s">
        <v>149</v>
      </c>
      <c r="AN622" s="223" t="s">
        <v>149</v>
      </c>
      <c r="AO622" s="156">
        <v>1.0</v>
      </c>
      <c r="AP622" s="156" t="s">
        <v>6037</v>
      </c>
      <c r="AQ622" s="158" t="s">
        <v>395</v>
      </c>
      <c r="AR622" s="153" t="s">
        <v>6060</v>
      </c>
      <c r="AS622" s="158" t="s">
        <v>6711</v>
      </c>
      <c r="AT622" s="153" t="s">
        <v>398</v>
      </c>
      <c r="AU622" s="223" t="s">
        <v>149</v>
      </c>
    </row>
    <row r="623">
      <c r="A623" s="186">
        <v>311.0</v>
      </c>
      <c r="B623" s="152">
        <v>2023.0</v>
      </c>
      <c r="D623" s="152"/>
      <c r="E623" s="151">
        <v>311.0</v>
      </c>
      <c r="F623" s="129" t="s">
        <v>140</v>
      </c>
      <c r="G623" s="3" t="s">
        <v>6029</v>
      </c>
      <c r="H623" s="8" t="str">
        <f>IFERROR(__xludf.DUMMYFUNCTION("""COMPUTED_VALUE"""),"")</f>
        <v/>
      </c>
      <c r="I623" s="8" t="s">
        <v>7261</v>
      </c>
      <c r="J623" s="8" t="s">
        <v>579</v>
      </c>
      <c r="K623" s="8" t="s">
        <v>585</v>
      </c>
      <c r="L623" s="8" t="s">
        <v>1483</v>
      </c>
      <c r="M623" s="153" t="s">
        <v>1484</v>
      </c>
      <c r="N623" s="8" t="s">
        <v>151</v>
      </c>
      <c r="O623" s="8" t="s">
        <v>1377</v>
      </c>
      <c r="P623" s="8" t="s">
        <v>1485</v>
      </c>
      <c r="Q623" s="143" t="s">
        <v>149</v>
      </c>
      <c r="R623" s="142" t="s">
        <v>6198</v>
      </c>
      <c r="S623" s="142" t="s">
        <v>6199</v>
      </c>
      <c r="T623" s="8"/>
      <c r="U623" s="8">
        <f>IFERROR(__xludf.DUMMYFUNCTION("""COMPUTED_VALUE"""),595.0)</f>
        <v>595</v>
      </c>
      <c r="V623" s="8"/>
      <c r="W623" s="143"/>
      <c r="Y623" s="8"/>
      <c r="AA623" s="143" t="s">
        <v>149</v>
      </c>
      <c r="AB623" s="143" t="s">
        <v>149</v>
      </c>
      <c r="AC623" s="8" t="s">
        <v>1381</v>
      </c>
      <c r="AG623" s="143" t="s">
        <v>149</v>
      </c>
      <c r="AH623" s="143" t="s">
        <v>149</v>
      </c>
      <c r="AI623" s="143" t="s">
        <v>149</v>
      </c>
      <c r="AJ623" s="8" t="s">
        <v>660</v>
      </c>
      <c r="AL623" s="8" t="s">
        <v>369</v>
      </c>
      <c r="AM623" s="143" t="s">
        <v>149</v>
      </c>
      <c r="AN623" s="143" t="s">
        <v>149</v>
      </c>
      <c r="AO623" s="8"/>
      <c r="AP623" s="8"/>
      <c r="AR623" s="8" t="s">
        <v>395</v>
      </c>
      <c r="AS623" s="8" t="s">
        <v>2873</v>
      </c>
      <c r="AT623" s="8" t="s">
        <v>398</v>
      </c>
      <c r="AU623" s="143" t="s">
        <v>149</v>
      </c>
    </row>
    <row r="624">
      <c r="A624" s="186">
        <v>312.0</v>
      </c>
      <c r="B624" s="152">
        <v>2025.0</v>
      </c>
      <c r="C624" s="153" t="str">
        <f>CONCATENATE(D624, "-", M624, "-", A624)
</f>
        <v>2023-PH083715000-312</v>
      </c>
      <c r="D624" s="152">
        <f>IF(OR(F623="Published", F623="Unpublished"), 2023, IF(F623="New", 2025, ""))
</f>
        <v>2023</v>
      </c>
      <c r="E624" s="151">
        <v>312.0</v>
      </c>
      <c r="F624" s="129" t="s">
        <v>140</v>
      </c>
      <c r="G624" s="156" t="s">
        <v>141</v>
      </c>
      <c r="H624" s="153" t="str">
        <f>IFERROR(__xludf.DUMMYFUNCTION("""COMPUTED_VALUE"""),"**Restoration_project** changed from Fisheries Sector Program to Artificial Reef Development Program, **Restoration_project_short** changed from Site in Ipil to Site in East and West Visoria, **Year of establishment** changed from Unknown to 1986, **Proje"&amp;"ct Start** changed from 1990 to 1985, **Project End** changed from 1994 to 1987, **Technique/Material Type** changed from Unknown to tires, **Funding agency** changed from ADB, Overseas Economic Cooperation Fund of Japan to BFAR, **Total units** changed f"&amp;"rom Unknown to 6 TM, **Implementing institution** changed from DA to BFAR, **Partners_public** changed from MLGU to Ministry of Human Settlements, **Reference** changed from Conference Proceeding to Balgos, M.C. (1995). Evaluation of artificial reef devel"&amp;"opment in the Philippines. In Munro, J.L. &amp; Balgos, M. (eds.) Artificial reefs in the Philippines. ICLARM Conf. Proc. 49, pp. 6-22., **Website** changed from http://pubs.iclarm.net/libinfo/Pdf/Pub%20CP6%2049.pdf to https://core.ac.uk/download/pdf/6515223."&amp;"pdf;")</f>
        <v>**Restoration_project** changed from Fisheries Sector Program to Artificial Reef Development Program, **Restoration_project_short** changed from Site in Ipil to Site in East and West Visoria, **Year of establishment** changed from Unknown to 1986, **Project Start** changed from 1990 to 1985, **Project End** changed from 1994 to 1987, **Technique/Material Type** changed from Unknown to tires, **Funding agency** changed from ADB, Overseas Economic Cooperation Fund of Japan to BFAR, **Total units** changed from Unknown to 6 TM, **Implementing institution** changed from DA to BFAR, **Partners_public** changed from MLGU to Ministry of Human Settlements,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24" s="153" t="s">
        <v>7262</v>
      </c>
      <c r="J624" s="153" t="s">
        <v>579</v>
      </c>
      <c r="K624" s="153" t="s">
        <v>585</v>
      </c>
      <c r="L624" s="153" t="s">
        <v>586</v>
      </c>
      <c r="M624" s="181" t="s">
        <v>587</v>
      </c>
      <c r="N624" s="153" t="s">
        <v>151</v>
      </c>
      <c r="O624" s="153" t="s">
        <v>384</v>
      </c>
      <c r="P624" s="153" t="s">
        <v>588</v>
      </c>
      <c r="Q624" s="169">
        <v>1986.0</v>
      </c>
      <c r="R624" s="175" t="s">
        <v>6052</v>
      </c>
      <c r="S624" s="175" t="s">
        <v>6053</v>
      </c>
      <c r="T624" s="161" t="s">
        <v>150</v>
      </c>
      <c r="U624" s="153">
        <f>IFERROR(__xludf.DUMMYFUNCTION("""COMPUTED_VALUE"""),596.0)</f>
        <v>596</v>
      </c>
      <c r="V624" s="162" t="s">
        <v>3311</v>
      </c>
      <c r="W624" s="170" t="s">
        <v>6059</v>
      </c>
      <c r="X624" s="28" t="s">
        <v>6033</v>
      </c>
      <c r="Y624" s="28" t="s">
        <v>386</v>
      </c>
      <c r="Z624" s="176" t="s">
        <v>386</v>
      </c>
      <c r="AA624" s="153" t="s">
        <v>6054</v>
      </c>
      <c r="AB624" s="158" t="s">
        <v>149</v>
      </c>
      <c r="AC624" s="153" t="s">
        <v>390</v>
      </c>
      <c r="AD624" s="158" t="s">
        <v>160</v>
      </c>
      <c r="AE624" s="158" t="s">
        <v>6035</v>
      </c>
      <c r="AF624" s="158" t="s">
        <v>159</v>
      </c>
      <c r="AG624" s="164" t="s">
        <v>149</v>
      </c>
      <c r="AH624" s="158" t="s">
        <v>149</v>
      </c>
      <c r="AI624" s="153" t="s">
        <v>450</v>
      </c>
      <c r="AJ624" s="153" t="s">
        <v>390</v>
      </c>
      <c r="AK624" s="153" t="s">
        <v>6035</v>
      </c>
      <c r="AL624" s="153" t="s">
        <v>6055</v>
      </c>
      <c r="AM624" s="223" t="s">
        <v>149</v>
      </c>
      <c r="AN624" s="223" t="s">
        <v>149</v>
      </c>
      <c r="AO624" s="156">
        <v>1.0</v>
      </c>
      <c r="AP624" s="156" t="s">
        <v>6037</v>
      </c>
      <c r="AQ624" s="158" t="s">
        <v>395</v>
      </c>
      <c r="AR624" s="153" t="s">
        <v>6060</v>
      </c>
      <c r="AS624" s="158" t="s">
        <v>6711</v>
      </c>
      <c r="AT624" s="153" t="s">
        <v>398</v>
      </c>
      <c r="AU624" s="223" t="s">
        <v>149</v>
      </c>
    </row>
    <row r="625">
      <c r="A625" s="186">
        <v>312.0</v>
      </c>
      <c r="B625" s="152">
        <v>2023.0</v>
      </c>
      <c r="D625" s="152"/>
      <c r="E625" s="151">
        <v>312.0</v>
      </c>
      <c r="F625" s="129" t="s">
        <v>140</v>
      </c>
      <c r="G625" s="3" t="s">
        <v>6029</v>
      </c>
      <c r="H625" s="8" t="str">
        <f>IFERROR(__xludf.DUMMYFUNCTION("""COMPUTED_VALUE"""),"")</f>
        <v/>
      </c>
      <c r="I625" s="8" t="s">
        <v>7263</v>
      </c>
      <c r="J625" s="8" t="s">
        <v>579</v>
      </c>
      <c r="K625" s="8" t="s">
        <v>585</v>
      </c>
      <c r="L625" s="8" t="s">
        <v>1487</v>
      </c>
      <c r="M625" s="153" t="s">
        <v>1488</v>
      </c>
      <c r="N625" s="8" t="s">
        <v>151</v>
      </c>
      <c r="O625" s="8" t="s">
        <v>1377</v>
      </c>
      <c r="P625" s="8" t="s">
        <v>1489</v>
      </c>
      <c r="Q625" s="143" t="s">
        <v>149</v>
      </c>
      <c r="R625" s="142" t="s">
        <v>6198</v>
      </c>
      <c r="S625" s="142" t="s">
        <v>6199</v>
      </c>
      <c r="T625" s="8"/>
      <c r="U625" s="8">
        <f>IFERROR(__xludf.DUMMYFUNCTION("""COMPUTED_VALUE"""),597.0)</f>
        <v>597</v>
      </c>
      <c r="V625" s="8"/>
      <c r="W625" s="143"/>
      <c r="Y625" s="8"/>
      <c r="AA625" s="143" t="s">
        <v>149</v>
      </c>
      <c r="AB625" s="143" t="s">
        <v>149</v>
      </c>
      <c r="AC625" s="8" t="s">
        <v>1381</v>
      </c>
      <c r="AG625" s="143" t="s">
        <v>149</v>
      </c>
      <c r="AH625" s="143" t="s">
        <v>149</v>
      </c>
      <c r="AI625" s="143" t="s">
        <v>149</v>
      </c>
      <c r="AJ625" s="8" t="s">
        <v>660</v>
      </c>
      <c r="AL625" s="8" t="s">
        <v>369</v>
      </c>
      <c r="AM625" s="143" t="s">
        <v>149</v>
      </c>
      <c r="AN625" s="143" t="s">
        <v>149</v>
      </c>
      <c r="AO625" s="8"/>
      <c r="AP625" s="8"/>
      <c r="AR625" s="8" t="s">
        <v>395</v>
      </c>
      <c r="AS625" s="8" t="s">
        <v>2873</v>
      </c>
      <c r="AT625" s="8" t="s">
        <v>398</v>
      </c>
      <c r="AU625" s="143" t="s">
        <v>149</v>
      </c>
    </row>
    <row r="626">
      <c r="A626" s="186">
        <v>313.0</v>
      </c>
      <c r="B626" s="152">
        <v>2025.0</v>
      </c>
      <c r="C626" s="153" t="str">
        <f>CONCATENATE(D626, "-", M626, "-", A626)
</f>
        <v>2023-PH083715000-313</v>
      </c>
      <c r="D626" s="152">
        <f>IF(OR(F625="Published", F625="Unpublished"), 2023, IF(F625="New", 2025, ""))
</f>
        <v>2023</v>
      </c>
      <c r="E626" s="151">
        <v>313.0</v>
      </c>
      <c r="F626" s="129" t="s">
        <v>140</v>
      </c>
      <c r="G626" s="156" t="s">
        <v>141</v>
      </c>
      <c r="H626" s="153" t="str">
        <f>IFERROR(__xludf.DUMMYFUNCTION("""COMPUTED_VALUE"""),"**Restoration_project_short** changed from Site in Baras to Site in Naugisan, **Year of establishment** changed from Unknown to 1992, **Reference** changed from Conference Proceeding to Balgos, M.C. (1995). Evaluation of artificial reef development in the"&amp;" Philippines. In Munro, J.L. &amp; Balgos, M. (eds.) Artificial reefs in the Philippines. ICLARM Conf. Proc. 49, pp. 6-22., **Website** changed from http://pubs.iclarm.net/libinfo/Pdf/Pub%20CP6%2049.pdf to https://core.ac.uk/download/pdf/6515223.pdf;")</f>
        <v>**Restoration_project_short** changed from Site in Baras to Site in Naugisan,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626" s="153" t="s">
        <v>7264</v>
      </c>
      <c r="J626" s="153" t="s">
        <v>579</v>
      </c>
      <c r="K626" s="153" t="s">
        <v>585</v>
      </c>
      <c r="L626" s="153" t="s">
        <v>586</v>
      </c>
      <c r="M626" s="181" t="s">
        <v>587</v>
      </c>
      <c r="N626" s="153" t="s">
        <v>151</v>
      </c>
      <c r="O626" s="153" t="s">
        <v>1377</v>
      </c>
      <c r="P626" s="153" t="s">
        <v>1476</v>
      </c>
      <c r="Q626" s="178">
        <v>1992.0</v>
      </c>
      <c r="R626" s="175" t="s">
        <v>6198</v>
      </c>
      <c r="S626" s="175" t="s">
        <v>6199</v>
      </c>
      <c r="T626" s="161" t="s">
        <v>150</v>
      </c>
      <c r="U626" s="153">
        <f>IFERROR(__xludf.DUMMYFUNCTION("""COMPUTED_VALUE"""),598.0)</f>
        <v>598</v>
      </c>
      <c r="V626" s="162" t="s">
        <v>3311</v>
      </c>
      <c r="W626" s="187" t="s">
        <v>149</v>
      </c>
      <c r="X626" s="184"/>
      <c r="Y626" s="184" t="s">
        <v>149</v>
      </c>
      <c r="Z626" s="158" t="s">
        <v>149</v>
      </c>
      <c r="AA626" s="158" t="s">
        <v>149</v>
      </c>
      <c r="AB626" s="158" t="s">
        <v>149</v>
      </c>
      <c r="AC626" s="153" t="s">
        <v>1381</v>
      </c>
      <c r="AD626" s="158" t="s">
        <v>6154</v>
      </c>
      <c r="AE626" s="158" t="s">
        <v>206</v>
      </c>
      <c r="AF626" s="158" t="s">
        <v>159</v>
      </c>
      <c r="AG626" s="164" t="s">
        <v>149</v>
      </c>
      <c r="AH626" s="158" t="s">
        <v>149</v>
      </c>
      <c r="AI626" s="158" t="s">
        <v>149</v>
      </c>
      <c r="AJ626" s="153" t="s">
        <v>660</v>
      </c>
      <c r="AK626" s="153" t="s">
        <v>6035</v>
      </c>
      <c r="AL626" s="153" t="s">
        <v>369</v>
      </c>
      <c r="AM626" s="223" t="s">
        <v>149</v>
      </c>
      <c r="AN626" s="223" t="s">
        <v>149</v>
      </c>
      <c r="AO626" s="156">
        <v>1.0</v>
      </c>
      <c r="AP626" s="156" t="s">
        <v>6037</v>
      </c>
      <c r="AQ626" s="158" t="s">
        <v>395</v>
      </c>
      <c r="AR626" s="153" t="s">
        <v>6060</v>
      </c>
      <c r="AS626" s="158" t="s">
        <v>6711</v>
      </c>
      <c r="AT626" s="153" t="s">
        <v>398</v>
      </c>
      <c r="AU626" s="223" t="s">
        <v>149</v>
      </c>
    </row>
    <row r="627">
      <c r="A627" s="186">
        <v>313.0</v>
      </c>
      <c r="B627" s="152">
        <v>2023.0</v>
      </c>
      <c r="D627" s="152"/>
      <c r="E627" s="151">
        <v>313.0</v>
      </c>
      <c r="F627" s="129" t="s">
        <v>140</v>
      </c>
      <c r="G627" s="3" t="s">
        <v>6029</v>
      </c>
      <c r="H627" s="8" t="str">
        <f>IFERROR(__xludf.DUMMYFUNCTION("""COMPUTED_VALUE"""),"")</f>
        <v/>
      </c>
      <c r="I627" s="8" t="s">
        <v>7265</v>
      </c>
      <c r="J627" s="8" t="s">
        <v>579</v>
      </c>
      <c r="K627" s="8" t="s">
        <v>585</v>
      </c>
      <c r="L627" s="8" t="s">
        <v>7266</v>
      </c>
      <c r="M627" s="153" t="s">
        <v>1492</v>
      </c>
      <c r="N627" s="8" t="s">
        <v>151</v>
      </c>
      <c r="O627" s="8" t="s">
        <v>1377</v>
      </c>
      <c r="P627" s="8" t="s">
        <v>635</v>
      </c>
      <c r="Q627" s="143" t="s">
        <v>149</v>
      </c>
      <c r="R627" s="142" t="s">
        <v>6198</v>
      </c>
      <c r="S627" s="142" t="s">
        <v>6199</v>
      </c>
      <c r="T627" s="8"/>
      <c r="U627" s="8">
        <f>IFERROR(__xludf.DUMMYFUNCTION("""COMPUTED_VALUE"""),599.0)</f>
        <v>599</v>
      </c>
      <c r="V627" s="8"/>
      <c r="W627" s="143"/>
      <c r="Y627" s="8"/>
      <c r="AA627" s="143" t="s">
        <v>149</v>
      </c>
      <c r="AB627" s="143" t="s">
        <v>149</v>
      </c>
      <c r="AC627" s="8" t="s">
        <v>1381</v>
      </c>
      <c r="AG627" s="143" t="s">
        <v>149</v>
      </c>
      <c r="AH627" s="143" t="s">
        <v>149</v>
      </c>
      <c r="AI627" s="143" t="s">
        <v>149</v>
      </c>
      <c r="AJ627" s="8" t="s">
        <v>660</v>
      </c>
      <c r="AL627" s="8" t="s">
        <v>369</v>
      </c>
      <c r="AM627" s="223" t="s">
        <v>149</v>
      </c>
      <c r="AN627" s="143" t="s">
        <v>149</v>
      </c>
      <c r="AO627" s="8"/>
      <c r="AP627" s="8"/>
      <c r="AR627" s="8" t="s">
        <v>395</v>
      </c>
      <c r="AS627" s="8" t="s">
        <v>2873</v>
      </c>
      <c r="AT627" s="8" t="s">
        <v>398</v>
      </c>
    </row>
    <row r="628">
      <c r="A628" s="186">
        <v>314.0</v>
      </c>
      <c r="B628" s="152">
        <v>2025.0</v>
      </c>
      <c r="C628" s="153" t="str">
        <f>CONCATENATE(D628, "-", M628, "-", A628)
</f>
        <v>2023-PH083715000-314</v>
      </c>
      <c r="D628" s="152">
        <f>IF(OR(F627="Published", F627="Unpublished"), 2023, IF(F627="New", 2025, ""))
</f>
        <v>2023</v>
      </c>
      <c r="E628" s="151">
        <v>314.0</v>
      </c>
      <c r="F628" s="129" t="s">
        <v>140</v>
      </c>
      <c r="G628" s="156" t="s">
        <v>141</v>
      </c>
      <c r="H628" s="153" t="str">
        <f>IFERROR(__xludf.DUMMYFUNCTION("""COMPUTED_VALUE"""),"**Restoration_project_short** changed from Site in San Jose to Site in Guindapunan East, **Year of establishment** changed from Unknown to 1992, **Reference** changed from Conference Proceeding to Balgos, M.C. (1995). Evaluation of artificial reef develop"&amp;"ment in the Philippines. In Munro, J.L. &amp; Balgos, M. (eds.) Artificial reefs in the Philippines. ICLARM Conf. Proc. 49, pp. 6-22., **Website** changed from http://pubs.iclarm.net/libinfo/Pdf/Pub%20CP6%2049.pdf to https://core.ac.uk/download/pdf/6515223.pd"&amp;"f;, **Contact_details** changed from to Unknown")</f>
        <v>**Restoration_project_short** changed from Site in San Jose to Site in Guindapunan East, **Year of establishment** changed from Unknown to 1992, **Reference** changed from Conference Proceeding to Balgos, M.C. (1995). Evaluation of artificial reef development in the Philippines. In Munro, J.L. &amp; Balgos, M. (eds.) Artificial reefs in the Philippines. ICLARM Conf. Proc. 49, pp. 6-22., **Website** changed from http://pubs.iclarm.net/libinfo/Pdf/Pub%20CP6%2049.pdf to https://core.ac.uk/download/pdf/6515223.pdf;, **Contact_details** changed from to Unknown</v>
      </c>
      <c r="I628" s="153" t="s">
        <v>7267</v>
      </c>
      <c r="J628" s="153" t="s">
        <v>579</v>
      </c>
      <c r="K628" s="153" t="s">
        <v>585</v>
      </c>
      <c r="L628" s="153" t="s">
        <v>586</v>
      </c>
      <c r="M628" s="181" t="s">
        <v>587</v>
      </c>
      <c r="N628" s="153" t="s">
        <v>151</v>
      </c>
      <c r="O628" s="153" t="s">
        <v>1377</v>
      </c>
      <c r="P628" s="153" t="s">
        <v>1478</v>
      </c>
      <c r="Q628" s="178">
        <v>1992.0</v>
      </c>
      <c r="R628" s="175" t="s">
        <v>6198</v>
      </c>
      <c r="S628" s="175" t="s">
        <v>6199</v>
      </c>
      <c r="T628" s="161" t="s">
        <v>150</v>
      </c>
      <c r="U628" s="153">
        <f>IFERROR(__xludf.DUMMYFUNCTION("""COMPUTED_VALUE"""),600.0)</f>
        <v>600</v>
      </c>
      <c r="V628" s="162" t="s">
        <v>3311</v>
      </c>
      <c r="W628" s="187" t="s">
        <v>149</v>
      </c>
      <c r="X628" s="184"/>
      <c r="Y628" s="184" t="s">
        <v>149</v>
      </c>
      <c r="Z628" s="158" t="s">
        <v>149</v>
      </c>
      <c r="AA628" s="158" t="s">
        <v>149</v>
      </c>
      <c r="AB628" s="158" t="s">
        <v>149</v>
      </c>
      <c r="AC628" s="153" t="s">
        <v>1381</v>
      </c>
      <c r="AD628" s="158" t="s">
        <v>6154</v>
      </c>
      <c r="AE628" s="158" t="s">
        <v>206</v>
      </c>
      <c r="AF628" s="158" t="s">
        <v>159</v>
      </c>
      <c r="AG628" s="164" t="s">
        <v>149</v>
      </c>
      <c r="AH628" s="158" t="s">
        <v>149</v>
      </c>
      <c r="AI628" s="158" t="s">
        <v>149</v>
      </c>
      <c r="AJ628" s="153" t="s">
        <v>660</v>
      </c>
      <c r="AK628" s="153" t="s">
        <v>6035</v>
      </c>
      <c r="AL628" s="153" t="s">
        <v>369</v>
      </c>
      <c r="AM628" s="223" t="s">
        <v>149</v>
      </c>
      <c r="AN628" s="223" t="s">
        <v>149</v>
      </c>
      <c r="AO628" s="156">
        <v>1.0</v>
      </c>
      <c r="AP628" s="156" t="s">
        <v>6037</v>
      </c>
      <c r="AQ628" s="158" t="s">
        <v>395</v>
      </c>
      <c r="AR628" s="153" t="s">
        <v>6060</v>
      </c>
      <c r="AS628" s="158" t="s">
        <v>6711</v>
      </c>
      <c r="AT628" s="153" t="s">
        <v>398</v>
      </c>
      <c r="AU628" s="223" t="s">
        <v>149</v>
      </c>
    </row>
    <row r="629">
      <c r="A629" s="186">
        <v>314.0</v>
      </c>
      <c r="B629" s="152">
        <v>2023.0</v>
      </c>
      <c r="D629" s="152"/>
      <c r="E629" s="151">
        <v>314.0</v>
      </c>
      <c r="F629" s="129" t="s">
        <v>140</v>
      </c>
      <c r="G629" s="3" t="s">
        <v>6029</v>
      </c>
      <c r="H629" s="8" t="str">
        <f>IFERROR(__xludf.DUMMYFUNCTION("""COMPUTED_VALUE"""),"")</f>
        <v/>
      </c>
      <c r="I629" s="8" t="s">
        <v>7268</v>
      </c>
      <c r="J629" s="8" t="s">
        <v>579</v>
      </c>
      <c r="K629" s="8" t="s">
        <v>1271</v>
      </c>
      <c r="L629" s="8" t="s">
        <v>1272</v>
      </c>
      <c r="M629" s="8" t="s">
        <v>1273</v>
      </c>
      <c r="N629" s="8" t="s">
        <v>6062</v>
      </c>
      <c r="O629" s="8" t="s">
        <v>1174</v>
      </c>
      <c r="P629" s="143" t="s">
        <v>149</v>
      </c>
      <c r="Q629" s="143" t="s">
        <v>149</v>
      </c>
      <c r="R629" s="142" t="s">
        <v>6151</v>
      </c>
      <c r="S629" s="142" t="s">
        <v>6089</v>
      </c>
      <c r="T629" s="8"/>
      <c r="U629" s="8">
        <f>IFERROR(__xludf.DUMMYFUNCTION("""COMPUTED_VALUE"""),601.0)</f>
        <v>601</v>
      </c>
      <c r="V629" s="8"/>
      <c r="W629" s="8"/>
      <c r="Y629" s="8"/>
      <c r="AA629" s="8" t="s">
        <v>1274</v>
      </c>
      <c r="AB629" s="143" t="s">
        <v>149</v>
      </c>
      <c r="AC629" s="8" t="s">
        <v>321</v>
      </c>
      <c r="AG629" s="143" t="s">
        <v>149</v>
      </c>
      <c r="AH629" s="143" t="s">
        <v>149</v>
      </c>
      <c r="AI629" s="8" t="s">
        <v>1275</v>
      </c>
      <c r="AJ629" s="8" t="s">
        <v>885</v>
      </c>
      <c r="AL629" s="8" t="s">
        <v>1276</v>
      </c>
      <c r="AM629" s="8" t="s">
        <v>1277</v>
      </c>
      <c r="AN629" s="143" t="s">
        <v>149</v>
      </c>
      <c r="AO629" s="8"/>
      <c r="AP629" s="8"/>
      <c r="AR629" s="8" t="s">
        <v>6069</v>
      </c>
      <c r="AS629" s="143" t="s">
        <v>149</v>
      </c>
      <c r="AT629" s="8" t="s">
        <v>1280</v>
      </c>
      <c r="AU629" s="172" t="s">
        <v>1281</v>
      </c>
    </row>
    <row r="630">
      <c r="A630" s="186">
        <v>315.0</v>
      </c>
      <c r="B630" s="152">
        <v>2025.0</v>
      </c>
      <c r="C630" s="153" t="str">
        <f>CONCATENATE(D630, "-", M630, "-", A630)
</f>
        <v>2023-PH083729000-315</v>
      </c>
      <c r="D630" s="152">
        <f>IF(OR(F629="Published", F629="Unpublished"), 2023, IF(F629="New", 2025, ""))
</f>
        <v>2023</v>
      </c>
      <c r="E630" s="151">
        <v>315.0</v>
      </c>
      <c r="F630" s="129" t="s">
        <v>140</v>
      </c>
      <c r="G630" s="156" t="s">
        <v>141</v>
      </c>
      <c r="H630" s="153" t="str">
        <f>IFERROR(__xludf.DUMMYFUNCTION("""COMPUTED_VALUE"""),"**Restoration_project** changed from Filipinnovation on Coral Reef Restoration to Fisheries Sector Program, **Restoration_project_short** changed from Unknown to Site in Maanda, **Year of establishment** changed from Unknown to 1992, **Project Start** cha"&amp;"nged from 2012 to 1990, **Project End** changed from 2013 to 1994, **Restoration method** changed from Asexual Reproduction to Artificial Reef, **Technique/Material Type** changed from CNU; Coral transplantation to Unknown, **Funding agency** changed from"&amp;" DOST-PCAARRD to ADB, Overseas Economic Cooperation Fund of Japan , **Total units** changed from 40 CNUs/20,000 COPs to Unknown, **Implementing institution** changed from University of San Carlos to DA, **Partners_public** changed from MLGU; Southern Leyt"&amp;"e State University to MLGU, **Partners_private** changed from Sogod Bay SCUBA Resort to Unknown, **Reference** changed from Briefer Report to Balgos, M.C. (1995). Evaluation of artificial reef development in the Philippines. In Munro, J.L. &amp; Balgos, M. (e"&amp;"ds.) Artificial reefs in the Philippines. ICLARM Conf. Proc. 49, pp. 6-22., **Website** changed from Unknown to https://core.ac.uk/download/pdf/6515223.pdf;, **Contact_name** changed from Dr. Filipina Sotto to Miriam Balgos, **Contact_details** changed fr"&amp;"om arpee55@yahoo.com to Unknown")</f>
        <v>**Restoration_project** changed from Filipinnovation on Coral Reef Restoration to Fisheries Sector Program, **Restoration_project_short** changed from Unknown to Site in Maanda, **Year of establishment** changed from Unknown to 1992, **Project Start** changed from 2012 to 1990, **Project End** changed from 2013 to 1994, **Restoration method** changed from Asexual Reproduction to Artificial Reef, **Technique/Material Type** changed from CNU; Coral transplantation to Unknown, **Funding agency** changed from DOST-PCAARRD to ADB, Overseas Economic Cooperation Fund of Japan , **Total units** changed from 40 CNUs/20,000 COPs to Unknown, **Implementing institution** changed from University of San Carlos to DA, **Partners_public** changed from MLGU; Southern Leyte State University to MLGU, **Partners_private** changed from Sogod Bay SCUBA Resort to Unknown, **Reference** changed from Briefer Report to Balgos, M.C. (1995). Evaluation of artificial reef development in the Philippines. In Munro, J.L. &amp; Balgos, M. (eds.) Artificial reefs in the Philippines. ICLARM Conf. Proc. 49, pp. 6-22., **Website** changed from Unknown to https://core.ac.uk/download/pdf/6515223.pdf;, **Contact_name** changed from Dr. Filipina Sotto to Miriam Balgos, **Contact_details** changed from arpee55@yahoo.com to Unknown</v>
      </c>
      <c r="I630" s="153" t="s">
        <v>7269</v>
      </c>
      <c r="J630" s="153" t="s">
        <v>579</v>
      </c>
      <c r="K630" s="153" t="s">
        <v>585</v>
      </c>
      <c r="L630" s="153" t="s">
        <v>585</v>
      </c>
      <c r="M630" s="181" t="s">
        <v>1480</v>
      </c>
      <c r="N630" s="153" t="s">
        <v>151</v>
      </c>
      <c r="O630" s="153" t="s">
        <v>1377</v>
      </c>
      <c r="P630" s="153" t="s">
        <v>1481</v>
      </c>
      <c r="Q630" s="178">
        <v>1992.0</v>
      </c>
      <c r="R630" s="175" t="s">
        <v>6198</v>
      </c>
      <c r="S630" s="175" t="s">
        <v>6199</v>
      </c>
      <c r="T630" s="161" t="s">
        <v>150</v>
      </c>
      <c r="U630" s="153">
        <f>IFERROR(__xludf.DUMMYFUNCTION("""COMPUTED_VALUE"""),602.0)</f>
        <v>602</v>
      </c>
      <c r="V630" s="162" t="s">
        <v>3311</v>
      </c>
      <c r="W630" s="187" t="s">
        <v>149</v>
      </c>
      <c r="X630" s="184"/>
      <c r="Y630" s="184" t="s">
        <v>149</v>
      </c>
      <c r="Z630" s="158" t="s">
        <v>149</v>
      </c>
      <c r="AA630" s="158" t="s">
        <v>149</v>
      </c>
      <c r="AB630" s="158" t="s">
        <v>149</v>
      </c>
      <c r="AC630" s="153" t="s">
        <v>1381</v>
      </c>
      <c r="AD630" s="158" t="s">
        <v>6154</v>
      </c>
      <c r="AE630" s="158" t="s">
        <v>206</v>
      </c>
      <c r="AF630" s="158" t="s">
        <v>159</v>
      </c>
      <c r="AG630" s="164" t="s">
        <v>149</v>
      </c>
      <c r="AH630" s="158" t="s">
        <v>149</v>
      </c>
      <c r="AI630" s="158" t="s">
        <v>149</v>
      </c>
      <c r="AJ630" s="153" t="s">
        <v>660</v>
      </c>
      <c r="AK630" s="153" t="s">
        <v>6035</v>
      </c>
      <c r="AL630" s="153" t="s">
        <v>369</v>
      </c>
      <c r="AM630" s="143" t="s">
        <v>149</v>
      </c>
      <c r="AN630" s="143" t="s">
        <v>149</v>
      </c>
      <c r="AO630" s="156">
        <v>1.0</v>
      </c>
      <c r="AP630" s="156" t="s">
        <v>6037</v>
      </c>
      <c r="AQ630" s="158" t="s">
        <v>395</v>
      </c>
      <c r="AR630" s="153" t="s">
        <v>6060</v>
      </c>
      <c r="AS630" s="158" t="s">
        <v>6711</v>
      </c>
      <c r="AT630" s="153" t="s">
        <v>398</v>
      </c>
      <c r="AU630" s="143" t="s">
        <v>149</v>
      </c>
    </row>
    <row r="631">
      <c r="A631" s="186">
        <v>315.0</v>
      </c>
      <c r="B631" s="152">
        <v>2023.0</v>
      </c>
      <c r="D631" s="152"/>
      <c r="E631" s="151">
        <v>315.0</v>
      </c>
      <c r="F631" s="129" t="s">
        <v>140</v>
      </c>
      <c r="G631" s="3" t="s">
        <v>6029</v>
      </c>
      <c r="H631" s="8" t="str">
        <f>IFERROR(__xludf.DUMMYFUNCTION("""COMPUTED_VALUE"""),"")</f>
        <v/>
      </c>
      <c r="I631" s="8" t="s">
        <v>7270</v>
      </c>
      <c r="J631" s="8" t="s">
        <v>579</v>
      </c>
      <c r="K631" s="8" t="s">
        <v>1271</v>
      </c>
      <c r="L631" s="8" t="s">
        <v>1272</v>
      </c>
      <c r="M631" s="8" t="s">
        <v>1273</v>
      </c>
      <c r="N631" s="8" t="s">
        <v>151</v>
      </c>
      <c r="O631" s="8" t="s">
        <v>1746</v>
      </c>
      <c r="P631" s="143" t="s">
        <v>149</v>
      </c>
      <c r="Q631" s="142" t="s">
        <v>6063</v>
      </c>
      <c r="R631" s="142" t="s">
        <v>6063</v>
      </c>
      <c r="S631" s="143" t="s">
        <v>149</v>
      </c>
      <c r="T631" s="8"/>
      <c r="U631" s="8">
        <f>IFERROR(__xludf.DUMMYFUNCTION("""COMPUTED_VALUE"""),603.0)</f>
        <v>603</v>
      </c>
      <c r="V631" s="8"/>
      <c r="W631" s="8"/>
      <c r="Y631" s="8"/>
      <c r="AA631" s="8" t="s">
        <v>605</v>
      </c>
      <c r="AB631" s="8" t="s">
        <v>1747</v>
      </c>
      <c r="AC631" s="8" t="s">
        <v>1736</v>
      </c>
      <c r="AG631" s="143" t="s">
        <v>149</v>
      </c>
      <c r="AH631" s="143" t="s">
        <v>149</v>
      </c>
      <c r="AI631" s="143" t="s">
        <v>149</v>
      </c>
      <c r="AJ631" s="143" t="s">
        <v>149</v>
      </c>
      <c r="AL631" s="8" t="s">
        <v>1736</v>
      </c>
      <c r="AM631" s="8" t="s">
        <v>158</v>
      </c>
      <c r="AN631" s="143" t="s">
        <v>149</v>
      </c>
      <c r="AO631" s="8"/>
      <c r="AP631" s="8"/>
      <c r="AR631" s="8" t="s">
        <v>6517</v>
      </c>
      <c r="AS631" s="172" t="s">
        <v>1750</v>
      </c>
      <c r="AT631" s="8" t="s">
        <v>1739</v>
      </c>
      <c r="AU631" s="225" t="s">
        <v>1740</v>
      </c>
    </row>
    <row r="632">
      <c r="A632" s="186">
        <v>316.0</v>
      </c>
      <c r="B632" s="152">
        <v>2025.0</v>
      </c>
      <c r="C632" s="153" t="str">
        <f>CONCATENATE(D632, "-", M632, "-", A632)
</f>
        <v>2023-PH083738000-316</v>
      </c>
      <c r="D632" s="152">
        <f>IF(OR(F631="Published", F631="Unpublished"), 2023, IF(F631="New", 2025, ""))
</f>
        <v>2023</v>
      </c>
      <c r="E632" s="151">
        <v>316.0</v>
      </c>
      <c r="F632" s="129" t="s">
        <v>140</v>
      </c>
      <c r="G632" s="156" t="s">
        <v>141</v>
      </c>
      <c r="H632" s="153" t="str">
        <f>IFERROR(__xludf.DUMMYFUNCTION("""COMPUTED_VALUE"""),"**Restoration_project** changed from Operation Green Reef to Fisheries Sector Program, **Restoration_project_short** changed from Unknown to Site in Ipil, **Year of establishment** changed from 2014 to 1992, **Project Start** changed from 2014 to 1990, **"&amp;"Project End** changed from Unknown to 1994, **Technique/Material Type** changed from Bamboo to Unknown, **Restoration objective** changed from Restore marine ecosystems to Unknown, **Funding agency** changed from Scaphpro Artificial Reef Recherche Oceanog"&amp;"raphique to ADB, Overseas Economic Cooperation Fund of Japan , **Implementing institution** changed from Unknown to DA, **Partners_public** changed from Scaphpro Artificial Reef Recherche Oceanographique to MLGU, **Partners_private** changed from PLGU to "&amp;"Unknown, **Reference** changed from Feature to Balgos, M.C. (1995). Evaluation of artificial reef development in the Philippines. In Munro, J.L. &amp; Balgos, M. (eds.) Artificial reefs in the Philippines. ICLARM Conf. Proc. 49, pp. 6-22., **Website** changed"&amp;" from http://www.cebu-philippines.net/marine-life-in-southern-leyte.html to https://core.ac.uk/download/pdf/6515223.pdf;, **Contact_name** changed from Scaph Pro to Miriam Balgos, **Contact_details** changed from jeff@scaphpro.com to Unknown")</f>
        <v>**Restoration_project** changed from Operation Green Reef to Fisheries Sector Program, **Restoration_project_short** changed from Unknown to Site in Ipil, **Year of establishment** changed from 2014 to 1992, **Project Start** changed from 2014 to 1990, **Project End** changed from Unknown to 1994, **Technique/Material Type** changed from Bamboo to Unknown, **Restoration objective** changed from Restore marine ecosystems to Unknown, **Funding agency** changed from Scaphpro Artificial Reef Recherche Oceanographique to ADB, Overseas Economic Cooperation Fund of Japan , **Implementing institution** changed from Unknown to DA, **Partners_public** changed from Scaphpro Artificial Reef Recherche Oceanographique to MLGU, **Partners_private** changed from PLGU to Unknown, **Reference** changed from Feature to Balgos, M.C. (1995). Evaluation of artificial reef development in the Philippines. In Munro, J.L. &amp; Balgos, M. (eds.) Artificial reefs in the Philippines. ICLARM Conf. Proc. 49, pp. 6-22., **Website** changed from http://www.cebu-philippines.net/marine-life-in-southern-leyte.html to https://core.ac.uk/download/pdf/6515223.pdf;, **Contact_name** changed from Scaph Pro to Miriam Balgos, **Contact_details** changed from jeff@scaphpro.com to Unknown</v>
      </c>
      <c r="I632" s="153" t="s">
        <v>7271</v>
      </c>
      <c r="J632" s="153" t="s">
        <v>579</v>
      </c>
      <c r="K632" s="153" t="s">
        <v>585</v>
      </c>
      <c r="L632" s="153" t="s">
        <v>1483</v>
      </c>
      <c r="M632" s="181" t="s">
        <v>1484</v>
      </c>
      <c r="N632" s="153" t="s">
        <v>151</v>
      </c>
      <c r="O632" s="153" t="s">
        <v>1377</v>
      </c>
      <c r="P632" s="153" t="s">
        <v>1485</v>
      </c>
      <c r="Q632" s="178">
        <v>1992.0</v>
      </c>
      <c r="R632" s="175" t="s">
        <v>6198</v>
      </c>
      <c r="S632" s="175" t="s">
        <v>6199</v>
      </c>
      <c r="T632" s="161" t="s">
        <v>150</v>
      </c>
      <c r="U632" s="153">
        <f>IFERROR(__xludf.DUMMYFUNCTION("""COMPUTED_VALUE"""),604.0)</f>
        <v>604</v>
      </c>
      <c r="V632" s="162" t="s">
        <v>3311</v>
      </c>
      <c r="W632" s="187" t="s">
        <v>149</v>
      </c>
      <c r="X632" s="184"/>
      <c r="Y632" s="184" t="s">
        <v>149</v>
      </c>
      <c r="Z632" s="158" t="s">
        <v>149</v>
      </c>
      <c r="AA632" s="158" t="s">
        <v>149</v>
      </c>
      <c r="AB632" s="158" t="s">
        <v>149</v>
      </c>
      <c r="AC632" s="153" t="s">
        <v>1381</v>
      </c>
      <c r="AD632" s="158" t="s">
        <v>6154</v>
      </c>
      <c r="AE632" s="158" t="s">
        <v>206</v>
      </c>
      <c r="AF632" s="158" t="s">
        <v>159</v>
      </c>
      <c r="AG632" s="164" t="s">
        <v>149</v>
      </c>
      <c r="AH632" s="158" t="s">
        <v>149</v>
      </c>
      <c r="AI632" s="158" t="s">
        <v>149</v>
      </c>
      <c r="AJ632" s="153" t="s">
        <v>660</v>
      </c>
      <c r="AK632" s="153" t="s">
        <v>6035</v>
      </c>
      <c r="AL632" s="153" t="s">
        <v>369</v>
      </c>
      <c r="AM632" s="143" t="s">
        <v>149</v>
      </c>
      <c r="AN632" s="143" t="s">
        <v>149</v>
      </c>
      <c r="AO632" s="156">
        <v>1.0</v>
      </c>
      <c r="AP632" s="156" t="s">
        <v>6037</v>
      </c>
      <c r="AQ632" s="158" t="s">
        <v>395</v>
      </c>
      <c r="AR632" s="153" t="s">
        <v>6060</v>
      </c>
      <c r="AS632" s="158" t="s">
        <v>6711</v>
      </c>
      <c r="AT632" s="153" t="s">
        <v>398</v>
      </c>
      <c r="AU632" s="143" t="s">
        <v>149</v>
      </c>
    </row>
    <row r="633">
      <c r="A633" s="186">
        <v>316.0</v>
      </c>
      <c r="B633" s="152">
        <v>2023.0</v>
      </c>
      <c r="D633" s="152"/>
      <c r="E633" s="151">
        <v>316.0</v>
      </c>
      <c r="F633" s="129" t="s">
        <v>140</v>
      </c>
      <c r="G633" s="3" t="s">
        <v>6029</v>
      </c>
      <c r="H633" s="8" t="str">
        <f>IFERROR(__xludf.DUMMYFUNCTION("""COMPUTED_VALUE"""),"")</f>
        <v/>
      </c>
      <c r="I633" s="8" t="s">
        <v>7272</v>
      </c>
      <c r="J633" s="8" t="s">
        <v>579</v>
      </c>
      <c r="K633" s="8" t="s">
        <v>1271</v>
      </c>
      <c r="L633" s="8" t="s">
        <v>1272</v>
      </c>
      <c r="M633" s="8" t="s">
        <v>1273</v>
      </c>
      <c r="N633" s="8" t="s">
        <v>6062</v>
      </c>
      <c r="O633" s="143" t="s">
        <v>149</v>
      </c>
      <c r="P633" s="143" t="s">
        <v>149</v>
      </c>
      <c r="Q633" s="143" t="s">
        <v>149</v>
      </c>
      <c r="R633" s="143" t="s">
        <v>149</v>
      </c>
      <c r="S633" s="143" t="s">
        <v>149</v>
      </c>
      <c r="T633" s="8"/>
      <c r="U633" s="8">
        <f>IFERROR(__xludf.DUMMYFUNCTION("""COMPUTED_VALUE"""),605.0)</f>
        <v>605</v>
      </c>
      <c r="V633" s="8"/>
      <c r="W633" s="8"/>
      <c r="Y633" s="8"/>
      <c r="AA633" s="8" t="s">
        <v>7273</v>
      </c>
      <c r="AB633" s="8" t="s">
        <v>2475</v>
      </c>
      <c r="AC633" s="8" t="s">
        <v>1277</v>
      </c>
      <c r="AG633" s="143" t="s">
        <v>149</v>
      </c>
      <c r="AH633" s="143" t="s">
        <v>149</v>
      </c>
      <c r="AI633" s="143" t="s">
        <v>149</v>
      </c>
      <c r="AJ633" s="8" t="s">
        <v>1277</v>
      </c>
      <c r="AL633" s="143" t="s">
        <v>149</v>
      </c>
      <c r="AM633" s="143" t="s">
        <v>149</v>
      </c>
      <c r="AN633" s="143" t="s">
        <v>149</v>
      </c>
      <c r="AO633" s="8"/>
      <c r="AP633" s="8"/>
      <c r="AR633" s="8" t="s">
        <v>6038</v>
      </c>
      <c r="AS633" s="143" t="s">
        <v>149</v>
      </c>
      <c r="AT633" s="143" t="s">
        <v>149</v>
      </c>
      <c r="AU633" s="8" t="s">
        <v>2478</v>
      </c>
    </row>
    <row r="634">
      <c r="A634" s="186">
        <v>317.0</v>
      </c>
      <c r="B634" s="152">
        <v>2023.0</v>
      </c>
      <c r="D634" s="152"/>
      <c r="E634" s="151">
        <v>317.0</v>
      </c>
      <c r="F634" s="129" t="s">
        <v>140</v>
      </c>
      <c r="G634" s="3" t="s">
        <v>6029</v>
      </c>
      <c r="H634" s="8" t="str">
        <f>IFERROR(__xludf.DUMMYFUNCTION("""COMPUTED_VALUE"""),"")</f>
        <v/>
      </c>
      <c r="I634" s="8" t="s">
        <v>7274</v>
      </c>
      <c r="J634" s="8" t="s">
        <v>579</v>
      </c>
      <c r="K634" s="8" t="s">
        <v>1271</v>
      </c>
      <c r="L634" s="8" t="s">
        <v>1272</v>
      </c>
      <c r="M634" s="8" t="s">
        <v>1273</v>
      </c>
      <c r="N634" s="8" t="s">
        <v>151</v>
      </c>
      <c r="O634" s="8" t="s">
        <v>1732</v>
      </c>
      <c r="P634" s="8" t="s">
        <v>7275</v>
      </c>
      <c r="Q634" s="142" t="s">
        <v>6273</v>
      </c>
      <c r="R634" s="142" t="s">
        <v>6273</v>
      </c>
      <c r="S634" s="143" t="s">
        <v>149</v>
      </c>
      <c r="T634" s="8"/>
      <c r="U634" s="8">
        <f>IFERROR(__xludf.DUMMYFUNCTION("""COMPUTED_VALUE"""),606.0)</f>
        <v>606</v>
      </c>
      <c r="V634" s="8"/>
      <c r="W634" s="8"/>
      <c r="Y634" s="8"/>
      <c r="AA634" s="8" t="s">
        <v>7276</v>
      </c>
      <c r="AB634" s="143" t="s">
        <v>149</v>
      </c>
      <c r="AC634" s="8" t="s">
        <v>1736</v>
      </c>
      <c r="AG634" s="143" t="s">
        <v>149</v>
      </c>
      <c r="AH634" s="143" t="s">
        <v>149</v>
      </c>
      <c r="AI634" s="143" t="s">
        <v>149</v>
      </c>
      <c r="AJ634" s="143" t="s">
        <v>149</v>
      </c>
      <c r="AK634" s="3" t="s">
        <v>149</v>
      </c>
      <c r="AL634" s="8" t="s">
        <v>1736</v>
      </c>
      <c r="AM634" s="143" t="s">
        <v>149</v>
      </c>
      <c r="AN634" s="143" t="s">
        <v>149</v>
      </c>
      <c r="AO634" s="8"/>
      <c r="AP634" s="8"/>
      <c r="AR634" s="8" t="s">
        <v>6038</v>
      </c>
      <c r="AS634" s="8" t="s">
        <v>1738</v>
      </c>
      <c r="AT634" s="8" t="s">
        <v>1739</v>
      </c>
      <c r="AU634" s="225" t="s">
        <v>1740</v>
      </c>
    </row>
    <row r="635">
      <c r="A635" s="186">
        <v>317.0</v>
      </c>
      <c r="B635" s="152">
        <v>2025.0</v>
      </c>
      <c r="C635" s="153" t="str">
        <f>CONCATENATE(D635, "-", M635, "-", A635)
</f>
        <v>2023-PH083739000-317</v>
      </c>
      <c r="D635" s="152">
        <f>IF(OR(F634="Published", F634="Unpublished"), 2023, IF(F634="New", 2025, ""))
</f>
        <v>2023</v>
      </c>
      <c r="E635" s="151">
        <v>317.0</v>
      </c>
      <c r="F635" s="129" t="s">
        <v>140</v>
      </c>
      <c r="G635" s="156" t="s">
        <v>141</v>
      </c>
      <c r="H635" s="153" t="str">
        <f>IFERROR(__xludf.DUMMYFUNCTION("""COMPUTED_VALUE"""),"**Restoration_project** changed from Operation Blue Pipe to Fisheries Sector Program, **Restoration_project_short** changed from Macropodia modules to Site in Baras, **Year of establishment** changed from 2019 to 1992, **Project Start** changed from 2019 "&amp;"to 1990, **Project End** changed from Unknown to 1994, **Technique/Material Type** changed from Blue pipe to Unknown, **Funding agency** changed from Scaphpro Artificial Reef Recherche Oceanographique to ADB, Overseas Economic Cooperation Fund of Japan , "&amp;"**Implementing institution** changed from Unknown to DA, **Partners_public** changed from Scaphpro Artificial Reef Recherche Oceanographique to MLGU, **Reference** changed from Social Media to Balgos, M.C. (1995). Evaluation of artificial reef development"&amp;" in the Philippines. In Munro, J.L. &amp; Balgos, M. (eds.) Artificial reefs in the Philippines. ICLARM Conf. Proc. 49, pp. 6-22., **Website** changed from https://www.facebook.com/media/set/?vanity=154004468006961&amp;set=a.2571576262916424; https://www.facebook"&amp;".com/media/set?vanity=154004468006961&amp;set=a.2718097258264323 to https://core.ac.uk/download/pdf/6515223.pdf;, **Contact_name** changed from Scaph Pro to Miriam Balgos, **Contact_details** changed from jeff@scaphpro.com to Unknown")</f>
        <v>**Restoration_project** changed from Operation Blue Pipe to Fisheries Sector Program, **Restoration_project_short** changed from Macropodia modules to Site in Baras, **Year of establishment** changed from 2019 to 1992, **Project Start** changed from 2019 to 1990, **Project End** changed from Unknown to 1994, **Technique/Material Type** changed from Blue pipe to Unknown, **Funding agency** changed from Scaphpro Artificial Reef Recherche Oceanographique to ADB, Overseas Economic Cooperation Fund of Japan , **Implementing institution** changed from Unknown to DA, **Partners_public** changed from Scaphpro Artificial Reef Recherche Oceanographique to MLGU, **Reference** changed from Social Media to Balgos, M.C. (1995). Evaluation of artificial reef development in the Philippines. In Munro, J.L. &amp; Balgos, M. (eds.) Artificial reefs in the Philippines. ICLARM Conf. Proc. 49, pp. 6-22., **Website** changed from https://www.facebook.com/media/set/?vanity=154004468006961&amp;set=a.2571576262916424; https://www.facebook.com/media/set?vanity=154004468006961&amp;set=a.2718097258264323 to https://core.ac.uk/download/pdf/6515223.pdf;, **Contact_name** changed from Scaph Pro to Miriam Balgos, **Contact_details** changed from jeff@scaphpro.com to Unknown</v>
      </c>
      <c r="I635" s="153" t="s">
        <v>7277</v>
      </c>
      <c r="J635" s="153" t="s">
        <v>579</v>
      </c>
      <c r="K635" s="153" t="s">
        <v>585</v>
      </c>
      <c r="L635" s="153" t="s">
        <v>1487</v>
      </c>
      <c r="M635" s="181" t="s">
        <v>1488</v>
      </c>
      <c r="N635" s="153" t="s">
        <v>151</v>
      </c>
      <c r="O635" s="153" t="s">
        <v>1377</v>
      </c>
      <c r="P635" s="153" t="s">
        <v>1489</v>
      </c>
      <c r="Q635" s="178">
        <v>1992.0</v>
      </c>
      <c r="R635" s="175" t="s">
        <v>6198</v>
      </c>
      <c r="S635" s="175" t="s">
        <v>6199</v>
      </c>
      <c r="T635" s="161" t="s">
        <v>150</v>
      </c>
      <c r="U635" s="153">
        <f>IFERROR(__xludf.DUMMYFUNCTION("""COMPUTED_VALUE"""),607.0)</f>
        <v>607</v>
      </c>
      <c r="V635" s="162" t="s">
        <v>3311</v>
      </c>
      <c r="W635" s="187" t="s">
        <v>149</v>
      </c>
      <c r="X635" s="184"/>
      <c r="Y635" s="184" t="s">
        <v>149</v>
      </c>
      <c r="Z635" s="158" t="s">
        <v>149</v>
      </c>
      <c r="AA635" s="158" t="s">
        <v>149</v>
      </c>
      <c r="AB635" s="158" t="s">
        <v>149</v>
      </c>
      <c r="AC635" s="153" t="s">
        <v>1381</v>
      </c>
      <c r="AD635" s="158" t="s">
        <v>6154</v>
      </c>
      <c r="AE635" s="158" t="s">
        <v>206</v>
      </c>
      <c r="AF635" s="158" t="s">
        <v>159</v>
      </c>
      <c r="AG635" s="164" t="s">
        <v>149</v>
      </c>
      <c r="AH635" s="158" t="s">
        <v>149</v>
      </c>
      <c r="AI635" s="158" t="s">
        <v>149</v>
      </c>
      <c r="AJ635" s="153" t="s">
        <v>660</v>
      </c>
      <c r="AK635" s="153" t="s">
        <v>6035</v>
      </c>
      <c r="AL635" s="153" t="s">
        <v>369</v>
      </c>
      <c r="AM635" s="143" t="s">
        <v>149</v>
      </c>
      <c r="AN635" s="143" t="s">
        <v>149</v>
      </c>
      <c r="AO635" s="156">
        <v>1.0</v>
      </c>
      <c r="AP635" s="156" t="s">
        <v>6037</v>
      </c>
      <c r="AQ635" s="158" t="s">
        <v>395</v>
      </c>
      <c r="AR635" s="153" t="s">
        <v>6060</v>
      </c>
      <c r="AS635" s="158" t="s">
        <v>6711</v>
      </c>
      <c r="AT635" s="153" t="s">
        <v>398</v>
      </c>
      <c r="AU635" s="143" t="s">
        <v>149</v>
      </c>
    </row>
    <row r="636">
      <c r="A636" s="186">
        <v>318.0</v>
      </c>
      <c r="B636" s="152">
        <v>2023.0</v>
      </c>
      <c r="D636" s="152"/>
      <c r="E636" s="151">
        <v>318.0</v>
      </c>
      <c r="F636" s="129" t="s">
        <v>140</v>
      </c>
      <c r="G636" s="3" t="s">
        <v>6029</v>
      </c>
      <c r="H636" s="8" t="str">
        <f>IFERROR(__xludf.DUMMYFUNCTION("""COMPUTED_VALUE"""),"")</f>
        <v/>
      </c>
      <c r="I636" s="8" t="s">
        <v>7278</v>
      </c>
      <c r="J636" s="8" t="s">
        <v>579</v>
      </c>
      <c r="K636" s="8" t="s">
        <v>1271</v>
      </c>
      <c r="L636" s="8" t="s">
        <v>1272</v>
      </c>
      <c r="M636" s="8" t="s">
        <v>1273</v>
      </c>
      <c r="N636" s="8" t="s">
        <v>151</v>
      </c>
      <c r="O636" s="8" t="s">
        <v>1732</v>
      </c>
      <c r="P636" s="8" t="s">
        <v>7279</v>
      </c>
      <c r="Q636" s="142" t="s">
        <v>6906</v>
      </c>
      <c r="R636" s="142" t="s">
        <v>6906</v>
      </c>
      <c r="S636" s="143" t="s">
        <v>149</v>
      </c>
      <c r="T636" s="8"/>
      <c r="U636" s="8">
        <f>IFERROR(__xludf.DUMMYFUNCTION("""COMPUTED_VALUE"""),608.0)</f>
        <v>608</v>
      </c>
      <c r="V636" s="8"/>
      <c r="W636" s="8"/>
      <c r="Y636" s="8"/>
      <c r="AA636" s="8" t="s">
        <v>7276</v>
      </c>
      <c r="AB636" s="143" t="s">
        <v>149</v>
      </c>
      <c r="AC636" s="8" t="s">
        <v>1736</v>
      </c>
      <c r="AG636" s="143" t="s">
        <v>149</v>
      </c>
      <c r="AH636" s="143" t="s">
        <v>149</v>
      </c>
      <c r="AI636" s="143" t="s">
        <v>149</v>
      </c>
      <c r="AJ636" s="143" t="s">
        <v>149</v>
      </c>
      <c r="AK636" s="3" t="s">
        <v>149</v>
      </c>
      <c r="AL636" s="8" t="s">
        <v>1736</v>
      </c>
      <c r="AM636" s="143" t="s">
        <v>149</v>
      </c>
      <c r="AN636" s="143" t="s">
        <v>149</v>
      </c>
      <c r="AO636" s="8"/>
      <c r="AP636" s="8"/>
      <c r="AR636" s="8" t="s">
        <v>6038</v>
      </c>
      <c r="AS636" s="8" t="s">
        <v>1738</v>
      </c>
      <c r="AT636" s="8" t="s">
        <v>1739</v>
      </c>
      <c r="AU636" s="225" t="s">
        <v>1740</v>
      </c>
    </row>
    <row r="637">
      <c r="A637" s="186">
        <v>318.0</v>
      </c>
      <c r="B637" s="152">
        <v>2025.0</v>
      </c>
      <c r="C637" s="153" t="str">
        <f t="shared" ref="C637:C638" si="71">CONCATENATE(D637, "-", M637, "-", A637)
</f>
        <v>2023-PH083747000-318</v>
      </c>
      <c r="D637" s="152">
        <f t="shared" ref="D637:D638" si="72">IF(OR(F636="Published", F636="Unpublished"), 2023, IF(F636="New", 2025, ""))
</f>
        <v>2023</v>
      </c>
      <c r="E637" s="151">
        <v>318.0</v>
      </c>
      <c r="F637" s="129" t="s">
        <v>140</v>
      </c>
      <c r="G637" s="156" t="s">
        <v>141</v>
      </c>
      <c r="H637" s="153" t="str">
        <f>IFERROR(__xludf.DUMMYFUNCTION("""COMPUTED_VALUE"""),"**Restoration_project** changed from Operation Blue Pipe to Fisheries Sector Program, **Restoration_project_short** changed from Sea urchin module to Site in San Jose, **Year of establishment** changed from 2020 to 1992, **Project Start** changed from 202"&amp;"0 to 1990, **Project End** changed from Unknown to 1994, **Technique/Material Type** changed from Blue pipe to Unknown, **Funding agency** changed from Scaphpro Artificial Reef Recherche Oceanographique to ADB, Overseas Economic Cooperation Fund of Japan "&amp;", **Implementing institution** changed from Unknown to DA, **Partners_public** changed from Scaphpro Artificial Reef Recherche Oceanographique to MLGU, **Reference** changed from Social Media to Balgos, M.C. (1995). Evaluation of artificial reef developme"&amp;"nt in the Philippines. In Munro, J.L. &amp; Balgos, M. (eds.) Artificial reefs in the Philippines. ICLARM Conf. Proc. 49, pp. 6-22., **Website** changed from https://www.facebook.com/media/set/?vanity=154004468006961&amp;set=a.2571576262916424; https://www.facebo"&amp;"ok.com/media/set?vanity=154004468006961&amp;set=a.2718097258264323 to https://core.ac.uk/download/pdf/6515223.pdf;, **Contact_name** changed from Scaph Pro to Miriam Balgos, **Contact_details** changed from jeff@scaphpro.com to Unknown")</f>
        <v>**Restoration_project** changed from Operation Blue Pipe to Fisheries Sector Program, **Restoration_project_short** changed from Sea urchin module to Site in San Jose, **Year of establishment** changed from 2020 to 1992, **Project Start** changed from 2020 to 1990, **Project End** changed from Unknown to 1994, **Technique/Material Type** changed from Blue pipe to Unknown, **Funding agency** changed from Scaphpro Artificial Reef Recherche Oceanographique to ADB, Overseas Economic Cooperation Fund of Japan , **Implementing institution** changed from Unknown to DA, **Partners_public** changed from Scaphpro Artificial Reef Recherche Oceanographique to MLGU, **Reference** changed from Social Media to Balgos, M.C. (1995). Evaluation of artificial reef development in the Philippines. In Munro, J.L. &amp; Balgos, M. (eds.) Artificial reefs in the Philippines. ICLARM Conf. Proc. 49, pp. 6-22., **Website** changed from https://www.facebook.com/media/set/?vanity=154004468006961&amp;set=a.2571576262916424; https://www.facebook.com/media/set?vanity=154004468006961&amp;set=a.2718097258264323 to https://core.ac.uk/download/pdf/6515223.pdf;, **Contact_name** changed from Scaph Pro to Miriam Balgos, **Contact_details** changed from jeff@scaphpro.com to Unknown</v>
      </c>
      <c r="I637" s="153" t="s">
        <v>7280</v>
      </c>
      <c r="J637" s="153" t="s">
        <v>579</v>
      </c>
      <c r="K637" s="153" t="s">
        <v>585</v>
      </c>
      <c r="L637" s="153" t="s">
        <v>7266</v>
      </c>
      <c r="M637" s="181" t="s">
        <v>1492</v>
      </c>
      <c r="N637" s="153" t="s">
        <v>151</v>
      </c>
      <c r="O637" s="153" t="s">
        <v>1377</v>
      </c>
      <c r="P637" s="153" t="s">
        <v>635</v>
      </c>
      <c r="Q637" s="178">
        <v>1992.0</v>
      </c>
      <c r="R637" s="175" t="s">
        <v>6198</v>
      </c>
      <c r="S637" s="175" t="s">
        <v>6199</v>
      </c>
      <c r="T637" s="161" t="s">
        <v>150</v>
      </c>
      <c r="U637" s="153">
        <f>IFERROR(__xludf.DUMMYFUNCTION("""COMPUTED_VALUE"""),609.0)</f>
        <v>609</v>
      </c>
      <c r="V637" s="162" t="s">
        <v>3311</v>
      </c>
      <c r="W637" s="187" t="s">
        <v>149</v>
      </c>
      <c r="X637" s="184"/>
      <c r="Y637" s="184" t="s">
        <v>149</v>
      </c>
      <c r="Z637" s="158" t="s">
        <v>149</v>
      </c>
      <c r="AA637" s="158" t="s">
        <v>149</v>
      </c>
      <c r="AB637" s="158" t="s">
        <v>149</v>
      </c>
      <c r="AC637" s="153" t="s">
        <v>1381</v>
      </c>
      <c r="AD637" s="158" t="s">
        <v>6154</v>
      </c>
      <c r="AE637" s="158" t="s">
        <v>206</v>
      </c>
      <c r="AF637" s="158" t="s">
        <v>159</v>
      </c>
      <c r="AG637" s="164" t="s">
        <v>149</v>
      </c>
      <c r="AH637" s="158" t="s">
        <v>149</v>
      </c>
      <c r="AI637" s="158" t="s">
        <v>149</v>
      </c>
      <c r="AJ637" s="153" t="s">
        <v>660</v>
      </c>
      <c r="AK637" s="153" t="s">
        <v>6035</v>
      </c>
      <c r="AL637" s="153" t="s">
        <v>369</v>
      </c>
      <c r="AM637" s="223" t="s">
        <v>149</v>
      </c>
      <c r="AN637" s="143" t="s">
        <v>149</v>
      </c>
      <c r="AO637" s="156">
        <v>1.0</v>
      </c>
      <c r="AP637" s="156" t="s">
        <v>6037</v>
      </c>
      <c r="AQ637" s="158" t="s">
        <v>395</v>
      </c>
      <c r="AR637" s="153" t="s">
        <v>6060</v>
      </c>
      <c r="AS637" s="158" t="s">
        <v>6711</v>
      </c>
      <c r="AT637" s="153" t="s">
        <v>398</v>
      </c>
      <c r="AU637" s="156" t="s">
        <v>149</v>
      </c>
    </row>
    <row r="638">
      <c r="A638" s="186">
        <v>319.0</v>
      </c>
      <c r="B638" s="152">
        <v>2025.0</v>
      </c>
      <c r="C638" s="153" t="str">
        <f t="shared" si="71"/>
        <v>2023-PH084802000-319</v>
      </c>
      <c r="D638" s="152">
        <f t="shared" si="72"/>
        <v>2023</v>
      </c>
      <c r="E638" s="151">
        <v>319.0</v>
      </c>
      <c r="F638" s="129" t="s">
        <v>140</v>
      </c>
      <c r="G638" s="156" t="s">
        <v>141</v>
      </c>
      <c r="H638" s="153" t="str">
        <f>IFERROR(__xludf.DUMMYFUNCTION("""COMPUTED_VALUE"""),"**Restoration_project** changed from Fisheries Sector Program to Biri Buds, **Restoration_project_short** changed from Site in San Jose to Unknown, **Year of establishment** changed from 1992 to 2013, **Project Start** changed from 1990 to Unknown, **Proj"&amp;"ect End** changed from 1994 to Unknown, **Technique/Material Type** changed from Unknown to Domes; Reefbuds, **Restoration objective** changed from Unknown to Ocean awareness, education and research, **Funding agency** changed from ADB, Overseas Economic "&amp;"Cooperation Fund of Japan to Unknown, **Implementing institution** changed from DA to Biri Initiative, **Partners_public** changed from MLGU to Unknown, **Partners_private** changed from Unknown to Holcim Cement; Aquamundo Sports, **Reference** changed fr"&amp;"om Balgos, M.C. (1995). Evaluation of artificial reef development in the Philippines. In Munro, J.L. &amp; Balgos, M. (eds.) Artificial reefs in the Philippines. ICLARM Conf. Proc. 49, pp. 6-22. to Ewen, R., &amp; Parker, D. (2017, October). Biri Initiative, a st"&amp;"ory on coral restoration. Seven Seas Media. https://sevenseasmedia.org/biri-initiative-story-on-coral-restoration/, **Website** changed from https://core.ac.uk/download/pdf/6515223.pdf; to https://sevenseasmedia.org/biri-initiative-story-on-coral-restorat"&amp;"ion/; https://www.thescubanews.com/2014/08/06/reefbud-technology-downsized-to-broaden-appeal/, **Contact_name** changed from Miriam Balgos to Unknown")</f>
        <v>**Restoration_project** changed from Fisheries Sector Program to Biri Buds, **Restoration_project_short** changed from Site in San Jose to Unknown, **Year of establishment** changed from 1992 to 2013, **Project Start** changed from 1990 to Unknown, **Project End** changed from 1994 to Unknown, **Technique/Material Type** changed from Unknown to Domes; Reefbuds, **Restoration objective** changed from Unknown to Ocean awareness, education and research, **Funding agency** changed from ADB, Overseas Economic Cooperation Fund of Japan to Unknown, **Implementing institution** changed from DA to Biri Initiative, **Partners_public** changed from MLGU to Unknown, **Partners_private** changed from Unknown to Holcim Cement; Aquamundo Sports, **Reference** changed from Balgos, M.C. (1995). Evaluation of artificial reef development in the Philippines. In Munro, J.L. &amp; Balgos, M. (eds.) Artificial reefs in the Philippines. ICLARM Conf. Proc. 49, pp. 6-22. to Ewen, R., &amp; Parker, D. (2017, October). Biri Initiative, a story on coral restoration. Seven Seas Media. https://sevenseasmedia.org/biri-initiative-story-on-coral-restoration/, **Website** changed from https://core.ac.uk/download/pdf/6515223.pdf; to https://sevenseasmedia.org/biri-initiative-story-on-coral-restoration/; https://www.thescubanews.com/2014/08/06/reefbud-technology-downsized-to-broaden-appeal/, **Contact_name** changed from Miriam Balgos to Unknown</v>
      </c>
      <c r="I638" s="153" t="s">
        <v>7281</v>
      </c>
      <c r="J638" s="153" t="s">
        <v>579</v>
      </c>
      <c r="K638" s="153" t="s">
        <v>714</v>
      </c>
      <c r="L638" s="153" t="s">
        <v>715</v>
      </c>
      <c r="M638" s="181" t="s">
        <v>716</v>
      </c>
      <c r="N638" s="153" t="s">
        <v>151</v>
      </c>
      <c r="O638" s="153" t="s">
        <v>717</v>
      </c>
      <c r="P638" s="223" t="s">
        <v>149</v>
      </c>
      <c r="Q638" s="169">
        <v>2013.0</v>
      </c>
      <c r="R638" s="160" t="s">
        <v>149</v>
      </c>
      <c r="S638" s="160" t="s">
        <v>149</v>
      </c>
      <c r="T638" s="161" t="s">
        <v>150</v>
      </c>
      <c r="U638" s="153">
        <f>IFERROR(__xludf.DUMMYFUNCTION("""COMPUTED_VALUE"""),610.0)</f>
        <v>610</v>
      </c>
      <c r="V638" s="162" t="s">
        <v>3311</v>
      </c>
      <c r="W638" s="179" t="s">
        <v>6032</v>
      </c>
      <c r="X638" s="28" t="s">
        <v>6173</v>
      </c>
      <c r="Y638" s="32" t="s">
        <v>719</v>
      </c>
      <c r="Z638" s="158" t="s">
        <v>720</v>
      </c>
      <c r="AA638" s="153" t="s">
        <v>720</v>
      </c>
      <c r="AB638" s="153" t="s">
        <v>723</v>
      </c>
      <c r="AC638" s="158" t="s">
        <v>149</v>
      </c>
      <c r="AD638" s="158" t="s">
        <v>149</v>
      </c>
      <c r="AE638" s="158" t="s">
        <v>149</v>
      </c>
      <c r="AF638" s="158" t="s">
        <v>149</v>
      </c>
      <c r="AG638" s="164" t="s">
        <v>149</v>
      </c>
      <c r="AH638" s="158" t="s">
        <v>149</v>
      </c>
      <c r="AI638" s="158" t="s">
        <v>149</v>
      </c>
      <c r="AJ638" s="153" t="s">
        <v>724</v>
      </c>
      <c r="AK638" s="158" t="s">
        <v>184</v>
      </c>
      <c r="AL638" s="223" t="s">
        <v>149</v>
      </c>
      <c r="AM638" s="153" t="s">
        <v>725</v>
      </c>
      <c r="AN638" s="223" t="s">
        <v>149</v>
      </c>
      <c r="AO638" s="156">
        <v>1.0</v>
      </c>
      <c r="AP638" s="156" t="s">
        <v>6037</v>
      </c>
      <c r="AQ638" s="158" t="s">
        <v>6517</v>
      </c>
      <c r="AR638" s="153" t="s">
        <v>726</v>
      </c>
      <c r="AS638" s="165" t="s">
        <v>727</v>
      </c>
      <c r="AT638" s="156" t="s">
        <v>149</v>
      </c>
      <c r="AU638" s="223" t="s">
        <v>149</v>
      </c>
    </row>
    <row r="639">
      <c r="A639" s="186">
        <v>319.0</v>
      </c>
      <c r="B639" s="152">
        <v>2023.0</v>
      </c>
      <c r="D639" s="152"/>
      <c r="E639" s="151">
        <v>319.0</v>
      </c>
      <c r="F639" s="129" t="s">
        <v>140</v>
      </c>
      <c r="G639" s="3" t="s">
        <v>6029</v>
      </c>
      <c r="H639" s="8" t="str">
        <f>IFERROR(__xludf.DUMMYFUNCTION("""COMPUTED_VALUE"""),"")</f>
        <v/>
      </c>
      <c r="I639" s="8" t="s">
        <v>7282</v>
      </c>
      <c r="J639" s="8" t="s">
        <v>579</v>
      </c>
      <c r="K639" s="8" t="s">
        <v>1271</v>
      </c>
      <c r="L639" s="8" t="s">
        <v>1763</v>
      </c>
      <c r="M639" s="8" t="s">
        <v>1764</v>
      </c>
      <c r="N639" s="8" t="s">
        <v>151</v>
      </c>
      <c r="O639" s="8" t="s">
        <v>1765</v>
      </c>
      <c r="P639" s="8" t="s">
        <v>7283</v>
      </c>
      <c r="Q639" s="142" t="s">
        <v>6145</v>
      </c>
      <c r="R639" s="143" t="s">
        <v>149</v>
      </c>
      <c r="S639" s="143" t="s">
        <v>149</v>
      </c>
      <c r="T639" s="8"/>
      <c r="U639" s="8">
        <f>IFERROR(__xludf.DUMMYFUNCTION("""COMPUTED_VALUE"""),611.0)</f>
        <v>611</v>
      </c>
      <c r="V639" s="8"/>
      <c r="W639" s="8"/>
      <c r="Y639" s="8"/>
      <c r="AA639" s="8" t="s">
        <v>6076</v>
      </c>
      <c r="AB639" s="8" t="s">
        <v>1766</v>
      </c>
      <c r="AC639" s="8" t="s">
        <v>1736</v>
      </c>
      <c r="AG639" s="143" t="s">
        <v>149</v>
      </c>
      <c r="AH639" s="143" t="s">
        <v>149</v>
      </c>
      <c r="AI639" s="143" t="s">
        <v>149</v>
      </c>
      <c r="AJ639" s="143" t="s">
        <v>149</v>
      </c>
      <c r="AL639" s="8" t="s">
        <v>1736</v>
      </c>
      <c r="AM639" s="223" t="s">
        <v>149</v>
      </c>
      <c r="AN639" s="143" t="s">
        <v>149</v>
      </c>
      <c r="AO639" s="8"/>
      <c r="AP639" s="8"/>
      <c r="AR639" s="8" t="s">
        <v>6038</v>
      </c>
      <c r="AS639" s="8" t="s">
        <v>1768</v>
      </c>
      <c r="AT639" s="8" t="s">
        <v>1739</v>
      </c>
      <c r="AU639" s="225" t="s">
        <v>1740</v>
      </c>
    </row>
    <row r="640">
      <c r="A640" s="186">
        <v>320.0</v>
      </c>
      <c r="B640" s="152">
        <v>2025.0</v>
      </c>
      <c r="C640" s="153" t="str">
        <f>CONCATENATE(D640, "-", M640, "-", A640)
</f>
        <v>2023-PH084802000-320</v>
      </c>
      <c r="D640" s="152">
        <f>IF(OR(F639="Published", F639="Unpublished"), 2023, IF(F639="New", 2025, ""))
</f>
        <v>2023</v>
      </c>
      <c r="E640" s="151">
        <v>320.0</v>
      </c>
      <c r="F640" s="129" t="s">
        <v>140</v>
      </c>
      <c r="G640" s="156" t="s">
        <v>141</v>
      </c>
      <c r="H640" s="153" t="str">
        <f>IFERROR(__xludf.DUMMYFUNCTION("""COMPUTED_VALUE"""),"**Restoration_project** changed from Operation Peace for Fish to Project 250, **Restoration_project_short** changed from Millepora module prototype to Unknown, **Year of establishment** changed from 2022 to 2017, **Restoration method** changed from Artifi"&amp;"cial Reef to Asexual Reproduction, **Technique/Material Type** changed from bamboo to Coral nursery; coral transplantation, **Restoration objective** changed from Reproduction and protection of lobsters to Rehabilitate reef, **Funding agency** changed fro"&amp;"m Scaphpro Artificial Reef Recherche Oceanographique to Unknown, **Implementing institution** changed from Unknown to Biri Initiative, **Partners_public** changed from Scaphpro Artificial Reef Recherche Oceanographique to Unknown, **Partners_communities**"&amp;" changed from Unknown to Homer Hernandez, **Reference** changed from Social Media to Ewen, R., &amp; Parker, D. (2017, October). Biri Initiative, a story on coral restoration. Seven Seas Media. https://sevenseasmedia.org/biri-initiative-story-on-coral-restora"&amp;"tion/, **Website** changed from https://www.facebook.com/media/set/?vanity=154004468006961&amp;set=a.7450109991729669 to https://sevenseasmedia.org/biri-initiative-story-on-coral-restoration/; https://reefbuilders.com/2017/12/05/biri-initiative-project-250/, "&amp;"**Contact_name** changed from Scaph Pro to Unknown, **Contact_details** changed from jeff@scaphpro.com to Unknown")</f>
        <v>**Restoration_project** changed from Operation Peace for Fish to Project 250, **Restoration_project_short** changed from Millepora module prototype to Unknown, **Year of establishment** changed from 2022 to 2017, **Restoration method** changed from Artificial Reef to Asexual Reproduction, **Technique/Material Type** changed from bamboo to Coral nursery; coral transplantation, **Restoration objective** changed from Reproduction and protection of lobsters to Rehabilitate reef, **Funding agency** changed from Scaphpro Artificial Reef Recherche Oceanographique to Unknown, **Implementing institution** changed from Unknown to Biri Initiative, **Partners_public** changed from Scaphpro Artificial Reef Recherche Oceanographique to Unknown, **Partners_communities** changed from Unknown to Homer Hernandez, **Reference** changed from Social Media to Ewen, R., &amp; Parker, D. (2017, October). Biri Initiative, a story on coral restoration. Seven Seas Media. https://sevenseasmedia.org/biri-initiative-story-on-coral-restoration/, **Website** changed from https://www.facebook.com/media/set/?vanity=154004468006961&amp;set=a.7450109991729669 to https://sevenseasmedia.org/biri-initiative-story-on-coral-restoration/; https://reefbuilders.com/2017/12/05/biri-initiative-project-250/, **Contact_name** changed from Scaph Pro to Unknown, **Contact_details** changed from jeff@scaphpro.com to Unknown</v>
      </c>
      <c r="I640" s="153" t="s">
        <v>7284</v>
      </c>
      <c r="J640" s="153" t="s">
        <v>579</v>
      </c>
      <c r="K640" s="153" t="s">
        <v>714</v>
      </c>
      <c r="L640" s="153" t="s">
        <v>715</v>
      </c>
      <c r="M640" s="181" t="s">
        <v>716</v>
      </c>
      <c r="N640" s="153" t="s">
        <v>6062</v>
      </c>
      <c r="O640" s="153" t="s">
        <v>1840</v>
      </c>
      <c r="P640" s="223" t="s">
        <v>149</v>
      </c>
      <c r="Q640" s="169">
        <v>2017.0</v>
      </c>
      <c r="R640" s="160" t="s">
        <v>149</v>
      </c>
      <c r="S640" s="160" t="s">
        <v>149</v>
      </c>
      <c r="T640" s="156" t="s">
        <v>177</v>
      </c>
      <c r="U640" s="153">
        <f>IFERROR(__xludf.DUMMYFUNCTION("""COMPUTED_VALUE"""),612.0)</f>
        <v>612</v>
      </c>
      <c r="V640" s="191" t="s">
        <v>1359</v>
      </c>
      <c r="W640" s="179" t="s">
        <v>6066</v>
      </c>
      <c r="X640" s="180"/>
      <c r="Y640" s="180" t="s">
        <v>154</v>
      </c>
      <c r="Z640" s="158" t="s">
        <v>179</v>
      </c>
      <c r="AA640" s="153" t="s">
        <v>1841</v>
      </c>
      <c r="AB640" s="153" t="s">
        <v>1842</v>
      </c>
      <c r="AC640" s="158" t="s">
        <v>149</v>
      </c>
      <c r="AD640" s="158" t="s">
        <v>149</v>
      </c>
      <c r="AE640" s="158" t="s">
        <v>149</v>
      </c>
      <c r="AF640" s="158" t="s">
        <v>149</v>
      </c>
      <c r="AG640" s="164" t="s">
        <v>149</v>
      </c>
      <c r="AH640" s="158" t="s">
        <v>149</v>
      </c>
      <c r="AI640" s="158" t="s">
        <v>149</v>
      </c>
      <c r="AJ640" s="153" t="s">
        <v>724</v>
      </c>
      <c r="AK640" s="158" t="s">
        <v>184</v>
      </c>
      <c r="AL640" s="223" t="s">
        <v>149</v>
      </c>
      <c r="AM640" s="223" t="s">
        <v>149</v>
      </c>
      <c r="AN640" s="153" t="s">
        <v>1843</v>
      </c>
      <c r="AO640" s="156">
        <v>1.0</v>
      </c>
      <c r="AP640" s="156" t="s">
        <v>6037</v>
      </c>
      <c r="AQ640" s="158" t="s">
        <v>6517</v>
      </c>
      <c r="AR640" s="153" t="s">
        <v>726</v>
      </c>
      <c r="AS640" s="165" t="s">
        <v>1844</v>
      </c>
      <c r="AT640" s="156" t="s">
        <v>149</v>
      </c>
      <c r="AU640" s="223" t="s">
        <v>149</v>
      </c>
    </row>
    <row r="641">
      <c r="A641" s="186">
        <v>320.0</v>
      </c>
      <c r="B641" s="152">
        <v>2023.0</v>
      </c>
      <c r="D641" s="152"/>
      <c r="E641" s="151">
        <v>320.0</v>
      </c>
      <c r="F641" s="129" t="s">
        <v>140</v>
      </c>
      <c r="G641" s="3" t="s">
        <v>6029</v>
      </c>
      <c r="H641" s="8" t="str">
        <f>IFERROR(__xludf.DUMMYFUNCTION("""COMPUTED_VALUE"""),"")</f>
        <v/>
      </c>
      <c r="I641" s="8" t="s">
        <v>7285</v>
      </c>
      <c r="J641" s="8" t="s">
        <v>579</v>
      </c>
      <c r="K641" s="8" t="s">
        <v>1271</v>
      </c>
      <c r="L641" s="8" t="s">
        <v>1494</v>
      </c>
      <c r="M641" s="153" t="s">
        <v>1495</v>
      </c>
      <c r="N641" s="8" t="s">
        <v>151</v>
      </c>
      <c r="O641" s="8" t="s">
        <v>1377</v>
      </c>
      <c r="P641" s="8" t="s">
        <v>7286</v>
      </c>
      <c r="Q641" s="143" t="s">
        <v>149</v>
      </c>
      <c r="R641" s="142" t="s">
        <v>6198</v>
      </c>
      <c r="S641" s="142" t="s">
        <v>6199</v>
      </c>
      <c r="T641" s="8"/>
      <c r="U641" s="8">
        <f>IFERROR(__xludf.DUMMYFUNCTION("""COMPUTED_VALUE"""),613.0)</f>
        <v>613</v>
      </c>
      <c r="V641" s="8"/>
      <c r="W641" s="143"/>
      <c r="Y641" s="8"/>
      <c r="AA641" s="143" t="s">
        <v>149</v>
      </c>
      <c r="AB641" s="143" t="s">
        <v>149</v>
      </c>
      <c r="AC641" s="8" t="s">
        <v>1381</v>
      </c>
      <c r="AG641" s="143" t="s">
        <v>149</v>
      </c>
      <c r="AH641" s="143" t="s">
        <v>149</v>
      </c>
      <c r="AI641" s="143" t="s">
        <v>149</v>
      </c>
      <c r="AJ641" s="8" t="s">
        <v>660</v>
      </c>
      <c r="AL641" s="8" t="s">
        <v>369</v>
      </c>
      <c r="AM641" s="223" t="s">
        <v>149</v>
      </c>
      <c r="AN641" s="143" t="s">
        <v>149</v>
      </c>
      <c r="AO641" s="8"/>
      <c r="AP641" s="8"/>
      <c r="AR641" s="8" t="s">
        <v>395</v>
      </c>
      <c r="AS641" s="8" t="s">
        <v>2873</v>
      </c>
      <c r="AT641" s="8" t="s">
        <v>398</v>
      </c>
    </row>
    <row r="642">
      <c r="A642" s="186">
        <v>321.0</v>
      </c>
      <c r="B642" s="152">
        <v>2023.0</v>
      </c>
      <c r="D642" s="152"/>
      <c r="E642" s="151">
        <v>321.0</v>
      </c>
      <c r="F642" s="129" t="s">
        <v>140</v>
      </c>
      <c r="G642" s="3" t="s">
        <v>6029</v>
      </c>
      <c r="H642" s="8" t="str">
        <f>IFERROR(__xludf.DUMMYFUNCTION("""COMPUTED_VALUE"""),"")</f>
        <v/>
      </c>
      <c r="I642" s="8" t="s">
        <v>7287</v>
      </c>
      <c r="J642" s="8" t="s">
        <v>590</v>
      </c>
      <c r="K642" s="8" t="s">
        <v>591</v>
      </c>
      <c r="L642" s="8" t="s">
        <v>7288</v>
      </c>
      <c r="M642" s="153" t="s">
        <v>593</v>
      </c>
      <c r="N642" s="8" t="s">
        <v>151</v>
      </c>
      <c r="O642" s="8" t="s">
        <v>384</v>
      </c>
      <c r="P642" s="8" t="s">
        <v>435</v>
      </c>
      <c r="Q642" s="142" t="s">
        <v>6053</v>
      </c>
      <c r="R642" s="142" t="s">
        <v>6052</v>
      </c>
      <c r="S642" s="142" t="s">
        <v>7289</v>
      </c>
      <c r="T642" s="8"/>
      <c r="U642" s="8">
        <f>IFERROR(__xludf.DUMMYFUNCTION("""COMPUTED_VALUE"""),614.0)</f>
        <v>614</v>
      </c>
      <c r="V642" s="8"/>
      <c r="W642" s="8"/>
      <c r="X642" s="8"/>
      <c r="Y642" s="8"/>
      <c r="AA642" s="8" t="s">
        <v>469</v>
      </c>
      <c r="AB642" s="154" t="s">
        <v>149</v>
      </c>
      <c r="AC642" s="8" t="s">
        <v>390</v>
      </c>
      <c r="AG642" s="154" t="s">
        <v>149</v>
      </c>
      <c r="AH642" s="154" t="s">
        <v>149</v>
      </c>
      <c r="AI642" s="154" t="s">
        <v>149</v>
      </c>
      <c r="AJ642" s="8" t="s">
        <v>390</v>
      </c>
      <c r="AL642" s="8" t="s">
        <v>6055</v>
      </c>
      <c r="AM642" s="154" t="s">
        <v>149</v>
      </c>
      <c r="AN642" s="154" t="s">
        <v>149</v>
      </c>
      <c r="AO642" s="8"/>
      <c r="AP642" s="8"/>
      <c r="AR642" s="8" t="s">
        <v>6057</v>
      </c>
      <c r="AS642" s="8" t="s">
        <v>2873</v>
      </c>
      <c r="AT642" s="8" t="s">
        <v>398</v>
      </c>
      <c r="AU642" s="154" t="s">
        <v>149</v>
      </c>
    </row>
    <row r="643">
      <c r="A643" s="186">
        <v>321.0</v>
      </c>
      <c r="B643" s="152">
        <v>2025.0</v>
      </c>
      <c r="C643" s="153" t="str">
        <f>CONCATENATE(D643, "-", M643, "-", A643)
</f>
        <v>2023-PH086402000-321</v>
      </c>
      <c r="D643" s="152">
        <f>IF(OR(F642="Published", F642="Unpublished"), 2023, IF(F642="New", 2025, ""))
</f>
        <v>2023</v>
      </c>
      <c r="E643" s="151">
        <v>321.0</v>
      </c>
      <c r="F643" s="156" t="s">
        <v>191</v>
      </c>
      <c r="G643" s="156" t="s">
        <v>191</v>
      </c>
      <c r="H643" s="153" t="str">
        <f>IFERROR(__xludf.DUMMYFUNCTION("""COMPUTED_VALUE"""),"**Region** changed from IX to VIII, **Restoration_project** changed from Artificial Reef Development Program to Unknown, **Restoration_project_short** changed from Site in San Pedro to Unknown, **Year of establishment** changed from 1987 to Unknown, **Pro"&amp;"ject Start** changed from 1985 to Unknown, **Project End** changed from 19987 to Unknown, **Technique/Material Type** changed from tires; bamboo to Unknown, **Funding agency** changed from BFAR to Unknown, **Implementing institution** changed from BFAR to"&amp;" MLGU, **Partners_public** changed from Ministry of Human Settlements to Unknown, **Reference** changed from Conference Proceediing to LMP, FISH Project, WWF-Philippines and CI-Philippines (2009). Directory of CRM Learning Destinations in the Philippines,"&amp;" 2nd Edition. Cebu City Philippines. http://oneocean.org/download/db_files/directory_of_crm_destinations2Ed.pdf, **Website** changed from http://pubs.iclarm.net/libinfo/Pdf/Pub%20CP6%2049.pdf to http://oneocean.org/download/db_files/directory_of_crm_desti"&amp;"nations2Ed.pdf, **Contact_name** changed from Miriam Balgos to Unknown")</f>
        <v>**Region** changed from IX to VIII, **Restoration_project** changed from Artificial Reef Development Program to Unknown, **Restoration_project_short** changed from Site in San Pedro to Unknown, **Year of establishment** changed from 1987 to Unknown, **Project Start** changed from 1985 to Unknown, **Project End** changed from 19987 to Unknown, **Technique/Material Type** changed from tires; bamboo to Unknown, **Funding agency** changed from BFAR to Unknown, **Implementing institution** changed from BFAR to MLGU, **Partners_public** changed from Ministry of Human Settlements to Unknown, **Reference** changed from Conference Proceediing to LMP, FISH Project, WWF-Philippines and CI-Philippines (2009). Directory of CRM Learning Destinations in the Philippines, 2nd Edition. Cebu City Philippines. http://oneocean.org/download/db_files/directory_of_crm_destinations2Ed.pdf, **Website** changed from http://pubs.iclarm.net/libinfo/Pdf/Pub%20CP6%2049.pdf to http://oneocean.org/download/db_files/directory_of_crm_destinations2Ed.pdf, **Contact_name** changed from Miriam Balgos to Unknown</v>
      </c>
      <c r="I643" s="153" t="s">
        <v>7290</v>
      </c>
      <c r="J643" s="153" t="s">
        <v>579</v>
      </c>
      <c r="K643" s="153" t="s">
        <v>1271</v>
      </c>
      <c r="L643" s="153" t="s">
        <v>2812</v>
      </c>
      <c r="M643" s="181" t="s">
        <v>2813</v>
      </c>
      <c r="N643" s="153" t="s">
        <v>151</v>
      </c>
      <c r="O643" s="158" t="s">
        <v>149</v>
      </c>
      <c r="P643" s="156" t="s">
        <v>149</v>
      </c>
      <c r="Q643" s="197" t="s">
        <v>149</v>
      </c>
      <c r="R643" s="164" t="s">
        <v>149</v>
      </c>
      <c r="S643" s="164" t="s">
        <v>149</v>
      </c>
      <c r="T643" s="161" t="s">
        <v>150</v>
      </c>
      <c r="U643" s="153">
        <f>IFERROR(__xludf.DUMMYFUNCTION("""COMPUTED_VALUE"""),615.0)</f>
        <v>615</v>
      </c>
      <c r="V643" s="162" t="s">
        <v>3311</v>
      </c>
      <c r="W643" s="187" t="s">
        <v>149</v>
      </c>
      <c r="X643" s="184"/>
      <c r="Y643" s="184" t="s">
        <v>149</v>
      </c>
      <c r="Z643" s="158" t="s">
        <v>149</v>
      </c>
      <c r="AA643" s="158" t="s">
        <v>149</v>
      </c>
      <c r="AB643" s="158" t="s">
        <v>149</v>
      </c>
      <c r="AC643" s="158" t="s">
        <v>149</v>
      </c>
      <c r="AD643" s="158" t="s">
        <v>149</v>
      </c>
      <c r="AE643" s="158" t="s">
        <v>149</v>
      </c>
      <c r="AF643" s="158" t="s">
        <v>149</v>
      </c>
      <c r="AG643" s="164" t="s">
        <v>149</v>
      </c>
      <c r="AH643" s="158" t="s">
        <v>149</v>
      </c>
      <c r="AI643" s="158" t="s">
        <v>149</v>
      </c>
      <c r="AJ643" s="153" t="s">
        <v>369</v>
      </c>
      <c r="AK643" s="153" t="s">
        <v>6035</v>
      </c>
      <c r="AL643" s="156" t="s">
        <v>149</v>
      </c>
      <c r="AM643" s="156" t="s">
        <v>149</v>
      </c>
      <c r="AN643" s="156" t="s">
        <v>149</v>
      </c>
      <c r="AO643" s="156">
        <v>1.0</v>
      </c>
      <c r="AP643" s="156" t="s">
        <v>6037</v>
      </c>
      <c r="AQ643" s="153" t="s">
        <v>6084</v>
      </c>
      <c r="AR643" s="153" t="s">
        <v>823</v>
      </c>
      <c r="AS643" s="165" t="s">
        <v>824</v>
      </c>
      <c r="AT643" s="156" t="s">
        <v>149</v>
      </c>
      <c r="AU643" s="156" t="s">
        <v>149</v>
      </c>
    </row>
    <row r="644">
      <c r="A644" s="186">
        <v>322.0</v>
      </c>
      <c r="B644" s="152">
        <v>2023.0</v>
      </c>
      <c r="D644" s="152"/>
      <c r="E644" s="151">
        <v>322.0</v>
      </c>
      <c r="F644" s="129" t="s">
        <v>140</v>
      </c>
      <c r="G644" s="3" t="s">
        <v>6029</v>
      </c>
      <c r="H644" s="8" t="str">
        <f>IFERROR(__xludf.DUMMYFUNCTION("""COMPUTED_VALUE"""),"")</f>
        <v/>
      </c>
      <c r="I644" s="8" t="s">
        <v>7291</v>
      </c>
      <c r="J644" s="8" t="s">
        <v>590</v>
      </c>
      <c r="K644" s="8" t="s">
        <v>591</v>
      </c>
      <c r="L644" s="8" t="s">
        <v>7288</v>
      </c>
      <c r="M644" s="153" t="s">
        <v>593</v>
      </c>
      <c r="N644" s="8" t="s">
        <v>151</v>
      </c>
      <c r="O644" s="8" t="s">
        <v>384</v>
      </c>
      <c r="P644" s="8" t="s">
        <v>596</v>
      </c>
      <c r="Q644" s="142" t="s">
        <v>6053</v>
      </c>
      <c r="R644" s="142" t="s">
        <v>6052</v>
      </c>
      <c r="S644" s="142" t="s">
        <v>6053</v>
      </c>
      <c r="T644" s="8"/>
      <c r="U644" s="8">
        <f>IFERROR(__xludf.DUMMYFUNCTION("""COMPUTED_VALUE"""),616.0)</f>
        <v>616</v>
      </c>
      <c r="V644" s="8"/>
      <c r="W644" s="8"/>
      <c r="X644" s="8"/>
      <c r="Y644" s="8"/>
      <c r="AA644" s="8" t="s">
        <v>469</v>
      </c>
      <c r="AB644" s="154" t="s">
        <v>149</v>
      </c>
      <c r="AC644" s="8" t="s">
        <v>390</v>
      </c>
      <c r="AG644" s="154" t="s">
        <v>149</v>
      </c>
      <c r="AH644" s="154" t="s">
        <v>149</v>
      </c>
      <c r="AI644" s="154" t="s">
        <v>149</v>
      </c>
      <c r="AJ644" s="8" t="s">
        <v>390</v>
      </c>
      <c r="AL644" s="8" t="s">
        <v>6055</v>
      </c>
      <c r="AM644" s="154" t="s">
        <v>149</v>
      </c>
      <c r="AN644" s="154" t="s">
        <v>149</v>
      </c>
      <c r="AO644" s="8"/>
      <c r="AP644" s="8"/>
      <c r="AR644" s="8" t="s">
        <v>6057</v>
      </c>
      <c r="AS644" s="8" t="s">
        <v>2873</v>
      </c>
      <c r="AT644" s="8" t="s">
        <v>398</v>
      </c>
      <c r="AU644" s="154" t="s">
        <v>149</v>
      </c>
    </row>
    <row r="645">
      <c r="A645" s="186">
        <v>322.0</v>
      </c>
      <c r="B645" s="152">
        <v>2025.0</v>
      </c>
      <c r="C645" s="153" t="str">
        <f>CONCATENATE(D645, "-", M645, "-", A645)
</f>
        <v>2023-PH086409000-322</v>
      </c>
      <c r="D645" s="152">
        <f>IF(OR(F644="Published", F644="Unpublished"), 2023, IF(F644="New", 2025, ""))
</f>
        <v>2023</v>
      </c>
      <c r="E645" s="151">
        <v>322.0</v>
      </c>
      <c r="F645" s="156" t="s">
        <v>191</v>
      </c>
      <c r="G645" s="156" t="s">
        <v>191</v>
      </c>
      <c r="H645" s="153" t="str">
        <f>IFERROR(__xludf.DUMMYFUNCTION("""COMPUTED_VALUE"""),"**Region** changed from IX to VIII, **Restoration_project** changed from Artificial Reef Development Program to Unknown, **Restoration_project_short** changed from Site in Polo to Unknown, **Year of establishment** changed from 1987 to 2017, **Project Sta"&amp;"rt** changed from 1985 to 2017, **Project End** changed from 1987 to Unknown, **Restoration method** changed from Artificial Reef to Asexual Reproduction, **Technique/Material Type** changed from tires; bamboo to Rope nursery (floating monoline), **Fundin"&amp;"g agency** changed from BFAR to Unknown, **Total units** changed from Unknown to 40 fragments, **Implementing institution** changed from BFAR to Jerome Napala, **Partners_public** changed from Ministry of Human Settlements to Unknown, **Reference** change"&amp;"d from Conference Proceediing to Eyom Napala (2017, August 14). Out of the 40 fragments that I processed last April 9, 2017, 38 of them survived [Status Update]. Facebook. https://www.facebook.com/photo/?fbid=10211996711851597&amp;set=a.10211341284986335, **W"&amp;"ebsite** changed from http://pubs.iclarm.net/libinfo/Pdf/Pub%20CP6%2049.pdf to https://www.facebook.com/photo/?fbid=10211996711851597&amp;set=a.10211341284986335, **Contact_name** changed from Miriam Balgos to Jerome Napala")</f>
        <v>**Region** changed from IX to VIII, **Restoration_project** changed from Artificial Reef Development Program to Unknown, **Restoration_project_short** changed from Site in Polo to Unknown, **Year of establishment** changed from 1987 to 2017, **Project Start** changed from 1985 to 2017, **Project End** changed from 1987 to Unknown, **Restoration method** changed from Artificial Reef to Asexual Reproduction, **Technique/Material Type** changed from tires; bamboo to Rope nursery (floating monoline), **Funding agency** changed from BFAR to Unknown, **Total units** changed from Unknown to 40 fragments, **Implementing institution** changed from BFAR to Jerome Napala, **Partners_public** changed from Ministry of Human Settlements to Unknown, **Reference** changed from Conference Proceediing to Eyom Napala (2017, August 14). Out of the 40 fragments that I processed last April 9, 2017, 38 of them survived [Status Update]. Facebook. https://www.facebook.com/photo/?fbid=10211996711851597&amp;set=a.10211341284986335, **Website** changed from http://pubs.iclarm.net/libinfo/Pdf/Pub%20CP6%2049.pdf to https://www.facebook.com/photo/?fbid=10211996711851597&amp;set=a.10211341284986335, **Contact_name** changed from Miriam Balgos to Jerome Napala</v>
      </c>
      <c r="I645" s="153" t="s">
        <v>7292</v>
      </c>
      <c r="J645" s="153" t="s">
        <v>579</v>
      </c>
      <c r="K645" s="153" t="s">
        <v>1271</v>
      </c>
      <c r="L645" s="153" t="s">
        <v>3161</v>
      </c>
      <c r="M645" s="155" t="s">
        <v>3162</v>
      </c>
      <c r="N645" s="153" t="s">
        <v>6062</v>
      </c>
      <c r="O645" s="158" t="s">
        <v>149</v>
      </c>
      <c r="P645" s="156" t="s">
        <v>149</v>
      </c>
      <c r="Q645" s="169">
        <v>2017.0</v>
      </c>
      <c r="R645" s="175" t="s">
        <v>6152</v>
      </c>
      <c r="S645" s="164" t="s">
        <v>149</v>
      </c>
      <c r="T645" s="156" t="s">
        <v>177</v>
      </c>
      <c r="U645" s="153">
        <f>IFERROR(__xludf.DUMMYFUNCTION("""COMPUTED_VALUE"""),617.0)</f>
        <v>617</v>
      </c>
      <c r="V645" s="191" t="s">
        <v>1359</v>
      </c>
      <c r="W645" s="179" t="s">
        <v>1037</v>
      </c>
      <c r="X645" s="180"/>
      <c r="Y645" s="180" t="s">
        <v>154</v>
      </c>
      <c r="Z645" s="158" t="s">
        <v>3163</v>
      </c>
      <c r="AA645" s="153" t="s">
        <v>3163</v>
      </c>
      <c r="AB645" s="158" t="s">
        <v>149</v>
      </c>
      <c r="AC645" s="158" t="s">
        <v>149</v>
      </c>
      <c r="AD645" s="158" t="s">
        <v>149</v>
      </c>
      <c r="AE645" s="158" t="s">
        <v>2635</v>
      </c>
      <c r="AF645" s="158" t="s">
        <v>149</v>
      </c>
      <c r="AG645" s="164" t="s">
        <v>149</v>
      </c>
      <c r="AH645" s="158" t="s">
        <v>149</v>
      </c>
      <c r="AI645" s="153" t="s">
        <v>7293</v>
      </c>
      <c r="AJ645" s="153" t="s">
        <v>3165</v>
      </c>
      <c r="AK645" s="153" t="s">
        <v>7294</v>
      </c>
      <c r="AL645" s="156" t="s">
        <v>149</v>
      </c>
      <c r="AM645" s="156" t="s">
        <v>149</v>
      </c>
      <c r="AN645" s="156" t="s">
        <v>149</v>
      </c>
      <c r="AO645" s="156">
        <v>1.0</v>
      </c>
      <c r="AP645" s="156" t="s">
        <v>6037</v>
      </c>
      <c r="AQ645" s="153" t="s">
        <v>6038</v>
      </c>
      <c r="AR645" s="153" t="s">
        <v>3166</v>
      </c>
      <c r="AS645" s="172" t="s">
        <v>3167</v>
      </c>
      <c r="AT645" s="153" t="s">
        <v>3165</v>
      </c>
      <c r="AU645" s="156" t="s">
        <v>149</v>
      </c>
    </row>
    <row r="646">
      <c r="A646" s="186">
        <v>323.0</v>
      </c>
      <c r="B646" s="152">
        <v>2023.0</v>
      </c>
      <c r="D646" s="152"/>
      <c r="E646" s="151">
        <v>323.0</v>
      </c>
      <c r="F646" s="129" t="s">
        <v>140</v>
      </c>
      <c r="G646" s="3" t="s">
        <v>6029</v>
      </c>
      <c r="H646" s="8" t="str">
        <f>IFERROR(__xludf.DUMMYFUNCTION("""COMPUTED_VALUE"""),"")</f>
        <v/>
      </c>
      <c r="I646" s="8" t="s">
        <v>7295</v>
      </c>
      <c r="J646" s="8" t="s">
        <v>590</v>
      </c>
      <c r="K646" s="8" t="s">
        <v>591</v>
      </c>
      <c r="L646" s="8" t="s">
        <v>7288</v>
      </c>
      <c r="M646" s="153" t="s">
        <v>593</v>
      </c>
      <c r="N646" s="8" t="s">
        <v>151</v>
      </c>
      <c r="O646" s="8" t="s">
        <v>384</v>
      </c>
      <c r="P646" s="8" t="s">
        <v>598</v>
      </c>
      <c r="Q646" s="142" t="s">
        <v>6053</v>
      </c>
      <c r="R646" s="142" t="s">
        <v>6052</v>
      </c>
      <c r="S646" s="142" t="s">
        <v>6053</v>
      </c>
      <c r="T646" s="8"/>
      <c r="U646" s="8">
        <f>IFERROR(__xludf.DUMMYFUNCTION("""COMPUTED_VALUE"""),618.0)</f>
        <v>618</v>
      </c>
      <c r="V646" s="8"/>
      <c r="W646" s="8"/>
      <c r="X646" s="8"/>
      <c r="Y646" s="8"/>
      <c r="AA646" s="8" t="s">
        <v>469</v>
      </c>
      <c r="AB646" s="154" t="s">
        <v>149</v>
      </c>
      <c r="AC646" s="8" t="s">
        <v>390</v>
      </c>
      <c r="AG646" s="154" t="s">
        <v>149</v>
      </c>
      <c r="AH646" s="154" t="s">
        <v>149</v>
      </c>
      <c r="AI646" s="154" t="s">
        <v>149</v>
      </c>
      <c r="AJ646" s="8" t="s">
        <v>390</v>
      </c>
      <c r="AL646" s="8" t="s">
        <v>6055</v>
      </c>
      <c r="AM646" s="154" t="s">
        <v>149</v>
      </c>
      <c r="AN646" s="154" t="s">
        <v>149</v>
      </c>
      <c r="AO646" s="8"/>
      <c r="AP646" s="8"/>
      <c r="AR646" s="8" t="s">
        <v>6057</v>
      </c>
      <c r="AS646" s="8" t="s">
        <v>2873</v>
      </c>
      <c r="AT646" s="8" t="s">
        <v>398</v>
      </c>
      <c r="AU646" s="154" t="s">
        <v>149</v>
      </c>
    </row>
    <row r="647">
      <c r="A647" s="186">
        <v>323.0</v>
      </c>
      <c r="B647" s="152">
        <v>2025.0</v>
      </c>
      <c r="C647" s="153" t="str">
        <f>CONCATENATE(D647, "-", M647, "-", A647)
</f>
        <v>2023-PH086410000-323</v>
      </c>
      <c r="D647" s="152">
        <f>IF(OR(F646="Published", F646="Unpublished"), 2023, IF(F646="New", 2025, ""))
</f>
        <v>2023</v>
      </c>
      <c r="E647" s="151">
        <v>323.0</v>
      </c>
      <c r="F647" s="129" t="s">
        <v>140</v>
      </c>
      <c r="G647" s="156" t="s">
        <v>141</v>
      </c>
      <c r="H647" s="153" t="str">
        <f>IFERROR(__xludf.DUMMYFUNCTION("""COMPUTED_VALUE"""),"**Region** changed from IX to VIII, **Restoration_project** changed from Artificial Reef Development Program to Filipinnovation on Coral Reef Restoration, **Restoration_project_short** changed from Site in Talisay to Unknown, **Year of establishment** cha"&amp;"nged from 1987 to 2013, **Project Start** changed from 1985 to 2012, **Project End** changed from 1987 to 2013, **Restoration method** changed from Artificial Reef to Asexual Reproduction, **Technique/Material Type** changed from tires; bamboo to CNU; Cor"&amp;"al transplantation, **Funding agency** changed from BFAR to DOST-PCAARRD, **Total units** changed from Unknown to 40 CNUs/20,000 COPs, **Implementing institution** changed from BFAR to University of San Carlos, **Partners_public** changed from Ministry of"&amp;" Human Settlements to MLGU; Southern Leyte State University, **Partners_private** changed from Unknown to Sogod Bay SCUBA Resort, **Reference** changed from Conference Proceediing to DOST-PCAARRD (2013h). Project 7: Pilot Technology Demonstration on Coral"&amp;" Reef Restoration in Padre Burgos, Southern Leyte., **Website** changed from http://pubs.iclarm.net/libinfo/Pdf/Pub%20CP6%2049.pdf to Report uploaded in the Google Drive, **Contact_name** changed from Miriam Balgos to Dr. Filipina Sotto, **Contact_details"&amp;"** changed from Unknown to arpee55@yahoo.com")</f>
        <v>**Region** changed from IX to VIII, **Restoration_project** changed from Artificial Reef Development Program to Filipinnovation on Coral Reef Restoration, **Restoration_project_short** changed from Site in Talisay to Unknown, **Year of establishment** changed from 1987 to 2013, **Project Start** changed from 1985 to 2012, **Project End** changed from 1987 to 2013, **Restoration method** changed from Artificial Reef to Asexual Reproduction, **Technique/Material Type** changed from tires; bamboo to CNU; Coral transplantation, **Funding agency** changed from BFAR to DOST-PCAARRD, **Total units** changed from Unknown to 40 CNUs/20,000 COPs, **Implementing institution** changed from BFAR to University of San Carlos, **Partners_public** changed from Ministry of Human Settlements to MLGU; Southern Leyte State University, **Partners_private** changed from Unknown to Sogod Bay SCUBA Resort, **Reference** changed from Conference Proceediing to DOST-PCAARRD (2013h). Project 7: Pilot Technology Demonstration on Coral Reef Restoration in Padre Burgos, Southern Leyte., **Website** changed from http://pubs.iclarm.net/libinfo/Pdf/Pub%20CP6%2049.pdf to Report uploaded in the Google Drive, **Contact_name** changed from Miriam Balgos to Dr. Filipina Sotto, **Contact_details** changed from Unknown to arpee55@yahoo.com</v>
      </c>
      <c r="I647" s="153" t="s">
        <v>7296</v>
      </c>
      <c r="J647" s="153" t="s">
        <v>579</v>
      </c>
      <c r="K647" s="153" t="s">
        <v>1271</v>
      </c>
      <c r="L647" s="153" t="s">
        <v>1272</v>
      </c>
      <c r="M647" s="181" t="s">
        <v>1273</v>
      </c>
      <c r="N647" s="153" t="s">
        <v>6062</v>
      </c>
      <c r="O647" s="153" t="s">
        <v>1174</v>
      </c>
      <c r="P647" s="143" t="s">
        <v>149</v>
      </c>
      <c r="Q647" s="178">
        <v>2013.0</v>
      </c>
      <c r="R647" s="175" t="s">
        <v>6151</v>
      </c>
      <c r="S647" s="175" t="s">
        <v>6089</v>
      </c>
      <c r="T647" s="156" t="s">
        <v>177</v>
      </c>
      <c r="U647" s="153">
        <f>IFERROR(__xludf.DUMMYFUNCTION("""COMPUTED_VALUE"""),619.0)</f>
        <v>619</v>
      </c>
      <c r="V647" s="191" t="s">
        <v>1359</v>
      </c>
      <c r="W647" s="179" t="s">
        <v>6066</v>
      </c>
      <c r="X647" s="180"/>
      <c r="Y647" s="180" t="s">
        <v>154</v>
      </c>
      <c r="Z647" s="158" t="s">
        <v>179</v>
      </c>
      <c r="AA647" s="153" t="s">
        <v>1274</v>
      </c>
      <c r="AB647" s="158" t="s">
        <v>149</v>
      </c>
      <c r="AC647" s="153" t="s">
        <v>321</v>
      </c>
      <c r="AD647" s="158" t="s">
        <v>160</v>
      </c>
      <c r="AE647" s="158" t="s">
        <v>6035</v>
      </c>
      <c r="AF647" s="158" t="s">
        <v>204</v>
      </c>
      <c r="AG647" s="164" t="s">
        <v>149</v>
      </c>
      <c r="AH647" s="158" t="s">
        <v>149</v>
      </c>
      <c r="AI647" s="153" t="s">
        <v>1275</v>
      </c>
      <c r="AJ647" s="153" t="s">
        <v>885</v>
      </c>
      <c r="AK647" s="158" t="s">
        <v>6068</v>
      </c>
      <c r="AL647" s="153" t="s">
        <v>1276</v>
      </c>
      <c r="AM647" s="153" t="s">
        <v>1277</v>
      </c>
      <c r="AN647" s="143" t="s">
        <v>149</v>
      </c>
      <c r="AO647" s="156">
        <v>1.0</v>
      </c>
      <c r="AP647" s="156" t="s">
        <v>6037</v>
      </c>
      <c r="AQ647" s="158" t="s">
        <v>6069</v>
      </c>
      <c r="AR647" s="153" t="s">
        <v>1278</v>
      </c>
      <c r="AS647" s="153" t="s">
        <v>6070</v>
      </c>
      <c r="AT647" s="153" t="s">
        <v>1280</v>
      </c>
      <c r="AU647" s="165" t="s">
        <v>1281</v>
      </c>
    </row>
    <row r="648">
      <c r="A648" s="186">
        <v>324.0</v>
      </c>
      <c r="B648" s="152">
        <v>2023.0</v>
      </c>
      <c r="D648" s="152"/>
      <c r="E648" s="151">
        <v>324.0</v>
      </c>
      <c r="F648" s="129" t="s">
        <v>140</v>
      </c>
      <c r="G648" s="3" t="s">
        <v>3279</v>
      </c>
      <c r="H648" s="8" t="str">
        <f>IFERROR(__xludf.DUMMYFUNCTION("""COMPUTED_VALUE"""),"")</f>
        <v/>
      </c>
      <c r="I648" s="8" t="s">
        <v>7297</v>
      </c>
      <c r="J648" s="8" t="s">
        <v>590</v>
      </c>
      <c r="K648" s="8" t="s">
        <v>591</v>
      </c>
      <c r="L648" s="8" t="s">
        <v>5287</v>
      </c>
      <c r="M648" s="8" t="s">
        <v>5288</v>
      </c>
      <c r="N648" s="8" t="s">
        <v>151</v>
      </c>
      <c r="O648" s="8" t="s">
        <v>6113</v>
      </c>
      <c r="P648" s="8" t="s">
        <v>7298</v>
      </c>
      <c r="Q648" s="142" t="s">
        <v>6030</v>
      </c>
      <c r="R648" s="142"/>
      <c r="S648" s="142"/>
      <c r="U648" s="8">
        <f>IFERROR(__xludf.DUMMYFUNCTION("""COMPUTED_VALUE"""),620.0)</f>
        <v>620</v>
      </c>
      <c r="V648" s="8"/>
      <c r="W648" s="8"/>
      <c r="AB648" s="154" t="s">
        <v>149</v>
      </c>
      <c r="AG648" s="154" t="s">
        <v>149</v>
      </c>
      <c r="AH648" s="154" t="s">
        <v>149</v>
      </c>
      <c r="AI648" s="154" t="s">
        <v>149</v>
      </c>
      <c r="AJ648" s="154" t="s">
        <v>149</v>
      </c>
      <c r="AL648" s="154" t="s">
        <v>149</v>
      </c>
      <c r="AM648" s="154" t="s">
        <v>149</v>
      </c>
      <c r="AN648" s="154" t="s">
        <v>149</v>
      </c>
      <c r="AO648" s="8"/>
      <c r="AP648" s="8"/>
      <c r="AR648" s="154" t="s">
        <v>149</v>
      </c>
      <c r="AS648" s="154" t="s">
        <v>149</v>
      </c>
      <c r="AT648" s="154" t="s">
        <v>149</v>
      </c>
      <c r="AU648" s="154" t="s">
        <v>149</v>
      </c>
    </row>
    <row r="649">
      <c r="A649" s="186">
        <v>324.0</v>
      </c>
      <c r="B649" s="152">
        <v>2025.0</v>
      </c>
      <c r="C649" s="153" t="str">
        <f>CONCATENATE(D649, "-", M649, "-", A649)
</f>
        <v>2023-PH086410000-324</v>
      </c>
      <c r="D649" s="152">
        <f>IF(OR(F648="Published", F648="Unpublished"), 2023, IF(F648="New", 2025, ""))
</f>
        <v>2023</v>
      </c>
      <c r="E649" s="151">
        <v>324.0</v>
      </c>
      <c r="F649" s="129" t="s">
        <v>140</v>
      </c>
      <c r="G649" s="156" t="s">
        <v>141</v>
      </c>
      <c r="H649" s="153" t="str">
        <f>IFERROR(__xludf.DUMMYFUNCTION("""COMPUTED_VALUE"""),"**Region** changed from IX to VIII, **Restoration_project** changed from *Not indicated to Operation Green Reef, **Restoration_project_short** changed from **BFAR conducted Participatory Coastal Resource Assessment for the installation of artificial reefs"&amp;" in 2021 yet there are no articles stating that the installation was pushed through to Unknown, **Year of establishment** changed from 2021 to 2014, **Project Start** changed from to 2014, **Project End** changed from to Unknown, **Technique/Material Type"&amp;"** changed from to Bamboo, **Restoration objective** changed from Unknown to Restore marine ecosystems, **Funding agency** changed from to Unknown, **Total units** changed from Unknown to 100 modules, **Implementing institution** changed from Unknown to P"&amp;"LGU, **Partners_private** changed from Unknown to PLGU, **Reference** changed from Unknown to Amazona, R. (n.d.). Artificial reefs revive marine life in Southern Leyte. http://www.cebu-philippines.net/marine-life-in-southern-leyte.html, **Website** change"&amp;"d from Unknown to http://www.cebu-philippines.net/marine-life-in-southern-leyte.html, **Contact_name** changed from Unknown to Scaph Pro, **Contact_details** changed from Unknown to jeff@scaphpro.com")</f>
        <v>**Region** changed from IX to VIII, **Restoration_project** changed from *Not indicated to Operation Green Reef, **Restoration_project_short** changed from **BFAR conducted Participatory Coastal Resource Assessment for the installation of artificial reefs in 2021 yet there are no articles stating that the installation was pushed through to Unknown, **Year of establishment** changed from 2021 to 2014, **Project Start** changed from to 2014, **Project End** changed from to Unknown, **Technique/Material Type** changed from to Bamboo, **Restoration objective** changed from Unknown to Restore marine ecosystems, **Funding agency** changed from to Unknown, **Total units** changed from Unknown to 100 modules, **Implementing institution** changed from Unknown to PLGU, **Partners_private** changed from Unknown to PLGU, **Reference** changed from Unknown to Amazona, R. (n.d.). Artificial reefs revive marine life in Southern Leyte. http://www.cebu-philippines.net/marine-life-in-southern-leyte.html, **Website** changed from Unknown to http://www.cebu-philippines.net/marine-life-in-southern-leyte.html, **Contact_name** changed from Unknown to Scaph Pro, **Contact_details** changed from Unknown to jeff@scaphpro.com</v>
      </c>
      <c r="I649" s="153" t="s">
        <v>7299</v>
      </c>
      <c r="J649" s="153" t="s">
        <v>579</v>
      </c>
      <c r="K649" s="153" t="s">
        <v>1271</v>
      </c>
      <c r="L649" s="153" t="s">
        <v>1272</v>
      </c>
      <c r="M649" s="181" t="s">
        <v>1273</v>
      </c>
      <c r="N649" s="153" t="s">
        <v>151</v>
      </c>
      <c r="O649" s="153" t="s">
        <v>1746</v>
      </c>
      <c r="P649" s="143" t="s">
        <v>149</v>
      </c>
      <c r="Q649" s="169">
        <v>2014.0</v>
      </c>
      <c r="R649" s="175" t="s">
        <v>6063</v>
      </c>
      <c r="S649" s="160" t="s">
        <v>149</v>
      </c>
      <c r="T649" s="161" t="s">
        <v>150</v>
      </c>
      <c r="U649" s="153">
        <f>IFERROR(__xludf.DUMMYFUNCTION("""COMPUTED_VALUE"""),621.0)</f>
        <v>621</v>
      </c>
      <c r="V649" s="162" t="s">
        <v>3311</v>
      </c>
      <c r="W649" s="179" t="s">
        <v>6075</v>
      </c>
      <c r="X649" s="28" t="s">
        <v>604</v>
      </c>
      <c r="Y649" s="28" t="s">
        <v>605</v>
      </c>
      <c r="Z649" s="176" t="s">
        <v>605</v>
      </c>
      <c r="AA649" s="153" t="s">
        <v>605</v>
      </c>
      <c r="AB649" s="153" t="s">
        <v>1747</v>
      </c>
      <c r="AC649" s="158" t="s">
        <v>149</v>
      </c>
      <c r="AD649" s="158" t="s">
        <v>149</v>
      </c>
      <c r="AE649" s="158" t="s">
        <v>149</v>
      </c>
      <c r="AF649" s="158" t="s">
        <v>149</v>
      </c>
      <c r="AG649" s="164" t="s">
        <v>149</v>
      </c>
      <c r="AH649" s="158" t="s">
        <v>149</v>
      </c>
      <c r="AI649" s="153" t="s">
        <v>1748</v>
      </c>
      <c r="AJ649" s="153" t="s">
        <v>158</v>
      </c>
      <c r="AK649" s="153" t="s">
        <v>6035</v>
      </c>
      <c r="AL649" s="143" t="s">
        <v>149</v>
      </c>
      <c r="AM649" s="153" t="s">
        <v>158</v>
      </c>
      <c r="AN649" s="143" t="s">
        <v>149</v>
      </c>
      <c r="AO649" s="156">
        <v>1.0</v>
      </c>
      <c r="AP649" s="156" t="s">
        <v>6037</v>
      </c>
      <c r="AQ649" s="176" t="s">
        <v>6091</v>
      </c>
      <c r="AR649" s="153" t="s">
        <v>7300</v>
      </c>
      <c r="AS649" s="165" t="s">
        <v>1750</v>
      </c>
      <c r="AT649" s="153" t="s">
        <v>1739</v>
      </c>
      <c r="AU649" s="153" t="s">
        <v>1740</v>
      </c>
    </row>
    <row r="650">
      <c r="A650" s="186">
        <v>325.0</v>
      </c>
      <c r="B650" s="152">
        <v>2023.0</v>
      </c>
      <c r="D650" s="152"/>
      <c r="E650" s="151">
        <v>325.0</v>
      </c>
      <c r="F650" s="129" t="s">
        <v>140</v>
      </c>
      <c r="G650" s="3" t="s">
        <v>6029</v>
      </c>
      <c r="H650" s="8" t="str">
        <f>IFERROR(__xludf.DUMMYFUNCTION("""COMPUTED_VALUE"""),"")</f>
        <v/>
      </c>
      <c r="I650" s="8" t="s">
        <v>7301</v>
      </c>
      <c r="J650" s="8" t="s">
        <v>590</v>
      </c>
      <c r="K650" s="8" t="s">
        <v>769</v>
      </c>
      <c r="L650" s="8" t="s">
        <v>7302</v>
      </c>
      <c r="M650" s="8" t="s">
        <v>771</v>
      </c>
      <c r="N650" s="8" t="s">
        <v>151</v>
      </c>
      <c r="O650" s="154" t="s">
        <v>149</v>
      </c>
      <c r="P650" s="8" t="s">
        <v>7303</v>
      </c>
      <c r="Q650" s="142" t="s">
        <v>6030</v>
      </c>
      <c r="R650" s="154" t="s">
        <v>149</v>
      </c>
      <c r="S650" s="154" t="s">
        <v>149</v>
      </c>
      <c r="T650" s="8"/>
      <c r="U650" s="8">
        <f>IFERROR(__xludf.DUMMYFUNCTION("""COMPUTED_VALUE"""),622.0)</f>
        <v>622</v>
      </c>
      <c r="V650" s="8"/>
      <c r="W650" s="154"/>
      <c r="X650" s="8"/>
      <c r="Y650" s="8"/>
      <c r="AA650" s="154" t="s">
        <v>149</v>
      </c>
      <c r="AB650" s="154" t="s">
        <v>149</v>
      </c>
      <c r="AC650" s="154" t="s">
        <v>149</v>
      </c>
      <c r="AG650" s="154" t="s">
        <v>149</v>
      </c>
      <c r="AH650" s="154" t="s">
        <v>149</v>
      </c>
      <c r="AI650" s="154" t="s">
        <v>149</v>
      </c>
      <c r="AJ650" s="154" t="s">
        <v>149</v>
      </c>
      <c r="AL650" s="154" t="s">
        <v>149</v>
      </c>
      <c r="AM650" s="154" t="s">
        <v>149</v>
      </c>
      <c r="AN650" s="154" t="s">
        <v>149</v>
      </c>
      <c r="AO650" s="8"/>
      <c r="AP650" s="8"/>
      <c r="AR650" s="154" t="s">
        <v>149</v>
      </c>
      <c r="AS650" s="154" t="s">
        <v>149</v>
      </c>
      <c r="AT650" s="154" t="s">
        <v>149</v>
      </c>
      <c r="AU650" s="154" t="s">
        <v>149</v>
      </c>
    </row>
    <row r="651">
      <c r="A651" s="186">
        <v>325.0</v>
      </c>
      <c r="B651" s="152">
        <v>2025.0</v>
      </c>
      <c r="C651" s="153" t="str">
        <f>CONCATENATE(D651, "-", M651, "-", A651)
</f>
        <v>2023-PH086410000-325</v>
      </c>
      <c r="D651" s="152">
        <f>IF(OR(F650="Published", F650="Unpublished"), 2023, IF(F650="New", 2025, ""))
</f>
        <v>2023</v>
      </c>
      <c r="E651" s="151">
        <v>325.0</v>
      </c>
      <c r="F651" s="129" t="s">
        <v>140</v>
      </c>
      <c r="G651" s="156" t="s">
        <v>141</v>
      </c>
      <c r="H651" s="153" t="str">
        <f>IFERROR(__xludf.DUMMYFUNCTION("""COMPUTED_VALUE"""),"**Region** changed from IX to VIII, **Restoration_project_short** changed from *There are tourism-related articles posted prior to 2021 which mentioned artificial reef sites in Pagadian, yet there are no official documents stating any submerging activity "&amp;"conducted by LGUs/organizations to Unknown, **Year of establishment** changed from 2021 to Unknown, **Restoration method** changed from Artificial Reef to Asexual Reproduction, **Technique/Material Type** changed from Unknown to Coral planting; coral tran"&amp;"splantation, **Restoration objective** changed from Unknown to Restoration of reef, **Funding agency** changed from Unknown to Sogod Bay SCUBA Resort, **Implementing institution** changed from Unknown to Sogod Bay SCUBA Resort, **Reference** changed from "&amp;"Unknown to Coral restoration Sogod Bay Southern Leyte (2021, May 5). Coral restoration and planting [Status Update]. Facebook. https://web.facebook.com/sogodbaycoralrestoration/?_rdc=1&amp;_rdr, **Website** changed from Unknown to Coral restoration Sogod Bay "&amp;"Southern Leyte Philippines | Padre Burgos | Facebook, **Contact_details** changed from Unknown to info@sogodbayscubaresort.com")</f>
        <v>**Region** changed from IX to VIII, **Restoration_project_short** changed from *There are tourism-related articles posted prior to 2021 which mentioned artificial reef sites in Pagadian, yet there are no official documents stating any submerging activity conducted by LGUs/organizations to Unknown, **Year of establishment** changed from 2021 to Unknown, **Restoration method** changed from Artificial Reef to Asexual Reproduction, **Technique/Material Type** changed from Unknown to Coral planting; coral transplantation, **Restoration objective** changed from Unknown to Restoration of reef, **Funding agency** changed from Unknown to Sogod Bay SCUBA Resort, **Implementing institution** changed from Unknown to Sogod Bay SCUBA Resort, **Reference** changed from Unknown to Coral restoration Sogod Bay Southern Leyte (2021, May 5). Coral restoration and planting [Status Update]. Facebook. https://web.facebook.com/sogodbaycoralrestoration/?_rdc=1&amp;_rdr, **Website** changed from Unknown to Coral restoration Sogod Bay Southern Leyte Philippines | Padre Burgos | Facebook, **Contact_details** changed from Unknown to info@sogodbayscubaresort.com</v>
      </c>
      <c r="I651" s="153" t="s">
        <v>7304</v>
      </c>
      <c r="J651" s="153" t="s">
        <v>579</v>
      </c>
      <c r="K651" s="153" t="s">
        <v>1271</v>
      </c>
      <c r="L651" s="153" t="s">
        <v>1272</v>
      </c>
      <c r="M651" s="181" t="s">
        <v>1273</v>
      </c>
      <c r="N651" s="153" t="s">
        <v>6062</v>
      </c>
      <c r="O651" s="158" t="s">
        <v>149</v>
      </c>
      <c r="P651" s="143" t="s">
        <v>149</v>
      </c>
      <c r="Q651" s="178" t="s">
        <v>149</v>
      </c>
      <c r="R651" s="160" t="s">
        <v>149</v>
      </c>
      <c r="S651" s="160" t="s">
        <v>149</v>
      </c>
      <c r="T651" s="156" t="s">
        <v>177</v>
      </c>
      <c r="U651" s="153">
        <f>IFERROR(__xludf.DUMMYFUNCTION("""COMPUTED_VALUE"""),623.0)</f>
        <v>623</v>
      </c>
      <c r="V651" s="191" t="s">
        <v>3245</v>
      </c>
      <c r="W651" s="179" t="s">
        <v>149</v>
      </c>
      <c r="X651" s="180"/>
      <c r="Y651" s="180" t="s">
        <v>154</v>
      </c>
      <c r="Z651" s="158" t="s">
        <v>179</v>
      </c>
      <c r="AA651" s="153" t="s">
        <v>7273</v>
      </c>
      <c r="AB651" s="153" t="s">
        <v>2475</v>
      </c>
      <c r="AC651" s="153" t="s">
        <v>1277</v>
      </c>
      <c r="AD651" s="158" t="s">
        <v>160</v>
      </c>
      <c r="AE651" s="158" t="s">
        <v>184</v>
      </c>
      <c r="AF651" s="158" t="s">
        <v>159</v>
      </c>
      <c r="AG651" s="164" t="s">
        <v>149</v>
      </c>
      <c r="AH651" s="158" t="s">
        <v>149</v>
      </c>
      <c r="AI651" s="158" t="s">
        <v>149</v>
      </c>
      <c r="AJ651" s="153" t="s">
        <v>1277</v>
      </c>
      <c r="AK651" s="158" t="s">
        <v>184</v>
      </c>
      <c r="AL651" s="143" t="s">
        <v>149</v>
      </c>
      <c r="AM651" s="143" t="s">
        <v>149</v>
      </c>
      <c r="AN651" s="143" t="s">
        <v>149</v>
      </c>
      <c r="AO651" s="156">
        <v>1.0</v>
      </c>
      <c r="AP651" s="156" t="s">
        <v>6037</v>
      </c>
      <c r="AQ651" s="153" t="s">
        <v>6038</v>
      </c>
      <c r="AR651" s="153" t="s">
        <v>2476</v>
      </c>
      <c r="AS651" s="165" t="s">
        <v>7305</v>
      </c>
      <c r="AT651" s="143" t="s">
        <v>149</v>
      </c>
      <c r="AU651" s="153" t="s">
        <v>2478</v>
      </c>
    </row>
    <row r="652">
      <c r="A652" s="186">
        <v>326.0</v>
      </c>
      <c r="B652" s="152">
        <v>2023.0</v>
      </c>
      <c r="D652" s="152"/>
      <c r="E652" s="151">
        <v>326.0</v>
      </c>
      <c r="F652" s="129" t="s">
        <v>140</v>
      </c>
      <c r="G652" s="3" t="s">
        <v>6029</v>
      </c>
      <c r="H652" s="8" t="str">
        <f>IFERROR(__xludf.DUMMYFUNCTION("""COMPUTED_VALUE"""),"")</f>
        <v/>
      </c>
      <c r="I652" s="8" t="s">
        <v>7306</v>
      </c>
      <c r="J652" s="8" t="s">
        <v>590</v>
      </c>
      <c r="K652" s="8" t="s">
        <v>769</v>
      </c>
      <c r="L652" s="8" t="s">
        <v>7302</v>
      </c>
      <c r="M652" s="8" t="s">
        <v>771</v>
      </c>
      <c r="N652" s="8" t="s">
        <v>151</v>
      </c>
      <c r="O652" s="8" t="s">
        <v>772</v>
      </c>
      <c r="P652" s="154" t="s">
        <v>149</v>
      </c>
      <c r="Q652" s="142" t="s">
        <v>6030</v>
      </c>
      <c r="R652" s="154" t="s">
        <v>149</v>
      </c>
      <c r="S652" s="154" t="s">
        <v>149</v>
      </c>
      <c r="T652" s="8"/>
      <c r="U652" s="8">
        <f>IFERROR(__xludf.DUMMYFUNCTION("""COMPUTED_VALUE"""),624.0)</f>
        <v>624</v>
      </c>
      <c r="V652" s="8"/>
      <c r="W652" s="154"/>
      <c r="X652" s="8"/>
      <c r="Y652" s="8"/>
      <c r="AA652" s="154" t="s">
        <v>149</v>
      </c>
      <c r="AB652" s="154" t="s">
        <v>149</v>
      </c>
      <c r="AC652" s="154" t="s">
        <v>149</v>
      </c>
      <c r="AG652" s="154" t="s">
        <v>149</v>
      </c>
      <c r="AH652" s="154" t="s">
        <v>149</v>
      </c>
      <c r="AI652" s="154" t="s">
        <v>149</v>
      </c>
      <c r="AJ652" s="8" t="s">
        <v>7307</v>
      </c>
      <c r="AL652" s="8" t="s">
        <v>760</v>
      </c>
      <c r="AM652" s="8" t="s">
        <v>7308</v>
      </c>
      <c r="AN652" s="154" t="s">
        <v>149</v>
      </c>
      <c r="AO652" s="8"/>
      <c r="AP652" s="8"/>
      <c r="AR652" s="154" t="s">
        <v>149</v>
      </c>
      <c r="AS652" s="154" t="s">
        <v>149</v>
      </c>
      <c r="AT652" s="154" t="s">
        <v>149</v>
      </c>
      <c r="AU652" s="154" t="s">
        <v>149</v>
      </c>
    </row>
    <row r="653">
      <c r="A653" s="186">
        <v>326.0</v>
      </c>
      <c r="B653" s="152">
        <v>2025.0</v>
      </c>
      <c r="C653" s="153" t="str">
        <f>CONCATENATE(D653, "-", M653, "-", A653)
</f>
        <v>2023-PH086410000-326</v>
      </c>
      <c r="D653" s="152">
        <f>IF(OR(F652="Published", F652="Unpublished"), 2023, IF(F652="New", 2025, ""))
</f>
        <v>2023</v>
      </c>
      <c r="E653" s="151">
        <v>326.0</v>
      </c>
      <c r="F653" s="129" t="s">
        <v>140</v>
      </c>
      <c r="G653" s="156" t="s">
        <v>141</v>
      </c>
      <c r="H653" s="153" t="str">
        <f>IFERROR(__xludf.DUMMYFUNCTION("""COMPUTED_VALUE"""),"**Region** changed from IX to VIII, **Restoration_project** changed from Build-A-Reef Program to Operation Blue Pipe, **Year of establishment** changed from 2021 to 2019, **Project Start** changed from Unknown to 2019, **Technique/Material Type** changed "&amp;"from Unknown to Blue pipe; Macropodia modules, **Funding agency** changed from Unknown to Scaphpro Artificial Reef Recherche Oceanographique, **Implementing institution** changed from JCI Greater Pagadian to Scaphpro Artificial Reef Recherche Oceanographi"&amp;"que, **Partners_public** changed from Philippine Coast Guard to Unknown, **Partners_private** changed from Abdkt Freedive Team Strong Scuba to Unknown, **Reference** changed from Unknown to Scaphpro Artificial Reef Recherche oceanographique (2019, March 2"&amp;"3). The Stenorhynchus 019 / Artificial Reef Program [Photo Album]. Facebook. https://web.facebook.com/media/set/?vanity=154004468006961&amp;set=a.2571576262916424&amp;_rdc=1&amp;_rdr, **Website** changed from Unknown to https://www.facebook.com/media/set/?vanity=1540"&amp;"04468006961&amp;set=a.2571576262916424; https://www.facebook.com/media/set?vanity=154004468006961&amp;set=a.2718097258264323, **Contact_name** changed from Unknown to Scaph Pro, **Contact_details** changed from Unknown to jeff@scaphpro.com")</f>
        <v>**Region** changed from IX to VIII, **Restoration_project** changed from Build-A-Reef Program to Operation Blue Pipe, **Year of establishment** changed from 2021 to 2019, **Project Start** changed from Unknown to 2019, **Technique/Material Type** changed from Unknown to Blue pipe; Macropodia modules, **Funding agency** changed from Unknown to Scaphpro Artificial Reef Recherche Oceanographique, **Implementing institution** changed from JCI Greater Pagadian to Scaphpro Artificial Reef Recherche Oceanographique, **Partners_public** changed from Philippine Coast Guard to Unknown, **Partners_private** changed from Abdkt Freedive Team Strong Scuba to Unknown, **Reference** changed from Unknown to Scaphpro Artificial Reef Recherche oceanographique (2019, March 23). The Stenorhynchus 019 / Artificial Reef Program [Photo Album]. Facebook. https://web.facebook.com/media/set/?vanity=154004468006961&amp;set=a.2571576262916424&amp;_rdc=1&amp;_rdr, **Website** changed from Unknown to https://www.facebook.com/media/set/?vanity=154004468006961&amp;set=a.2571576262916424; https://www.facebook.com/media/set?vanity=154004468006961&amp;set=a.2718097258264323, **Contact_name** changed from Unknown to Scaph Pro, **Contact_details** changed from Unknown to jeff@scaphpro.com</v>
      </c>
      <c r="I653" s="153" t="s">
        <v>7309</v>
      </c>
      <c r="J653" s="153" t="s">
        <v>579</v>
      </c>
      <c r="K653" s="153" t="s">
        <v>1271</v>
      </c>
      <c r="L653" s="153" t="s">
        <v>1272</v>
      </c>
      <c r="M653" s="181" t="s">
        <v>1273</v>
      </c>
      <c r="N653" s="153" t="s">
        <v>151</v>
      </c>
      <c r="O653" s="153" t="s">
        <v>1732</v>
      </c>
      <c r="P653" s="143" t="s">
        <v>149</v>
      </c>
      <c r="Q653" s="169">
        <v>2019.0</v>
      </c>
      <c r="R653" s="175" t="s">
        <v>6273</v>
      </c>
      <c r="S653" s="160" t="s">
        <v>149</v>
      </c>
      <c r="T653" s="161" t="s">
        <v>150</v>
      </c>
      <c r="U653" s="153">
        <f>IFERROR(__xludf.DUMMYFUNCTION("""COMPUTED_VALUE"""),625.0)</f>
        <v>625</v>
      </c>
      <c r="V653" s="162" t="s">
        <v>3311</v>
      </c>
      <c r="W653" s="179" t="s">
        <v>6059</v>
      </c>
      <c r="X653" s="28" t="s">
        <v>6033</v>
      </c>
      <c r="Y653" s="32" t="s">
        <v>1734</v>
      </c>
      <c r="Z653" s="158" t="s">
        <v>7310</v>
      </c>
      <c r="AA653" s="153" t="s">
        <v>1735</v>
      </c>
      <c r="AB653" s="158" t="s">
        <v>149</v>
      </c>
      <c r="AC653" s="153" t="s">
        <v>1736</v>
      </c>
      <c r="AD653" s="158" t="s">
        <v>6154</v>
      </c>
      <c r="AE653" s="158" t="s">
        <v>306</v>
      </c>
      <c r="AF653" s="158" t="s">
        <v>204</v>
      </c>
      <c r="AG653" s="164" t="s">
        <v>149</v>
      </c>
      <c r="AH653" s="158" t="s">
        <v>149</v>
      </c>
      <c r="AI653" s="158" t="s">
        <v>149</v>
      </c>
      <c r="AJ653" s="153" t="s">
        <v>1736</v>
      </c>
      <c r="AK653" s="158" t="s">
        <v>306</v>
      </c>
      <c r="AL653" s="143" t="s">
        <v>149</v>
      </c>
      <c r="AM653" s="143" t="s">
        <v>149</v>
      </c>
      <c r="AN653" s="143" t="s">
        <v>149</v>
      </c>
      <c r="AO653" s="156">
        <v>1.0</v>
      </c>
      <c r="AP653" s="156" t="s">
        <v>6037</v>
      </c>
      <c r="AQ653" s="153" t="s">
        <v>6038</v>
      </c>
      <c r="AR653" s="153" t="s">
        <v>1737</v>
      </c>
      <c r="AS653" s="153" t="s">
        <v>1738</v>
      </c>
      <c r="AT653" s="153" t="s">
        <v>1739</v>
      </c>
      <c r="AU653" s="153" t="s">
        <v>1740</v>
      </c>
    </row>
    <row r="654">
      <c r="A654" s="186">
        <v>327.0</v>
      </c>
      <c r="B654" s="152">
        <v>2023.0</v>
      </c>
      <c r="D654" s="152"/>
      <c r="E654" s="151">
        <v>327.0</v>
      </c>
      <c r="F654" s="129" t="s">
        <v>140</v>
      </c>
      <c r="G654" s="3" t="s">
        <v>6029</v>
      </c>
      <c r="H654" s="8" t="str">
        <f>IFERROR(__xludf.DUMMYFUNCTION("""COMPUTED_VALUE"""),"")</f>
        <v/>
      </c>
      <c r="I654" s="8" t="s">
        <v>7311</v>
      </c>
      <c r="J654" s="8" t="s">
        <v>590</v>
      </c>
      <c r="K654" s="8" t="s">
        <v>769</v>
      </c>
      <c r="L654" s="8" t="s">
        <v>7312</v>
      </c>
      <c r="M654" s="8" t="s">
        <v>1518</v>
      </c>
      <c r="N654" s="8" t="s">
        <v>6062</v>
      </c>
      <c r="O654" s="8" t="s">
        <v>1683</v>
      </c>
      <c r="P654" s="154" t="s">
        <v>149</v>
      </c>
      <c r="Q654" s="154" t="s">
        <v>149</v>
      </c>
      <c r="R654" s="142" t="s">
        <v>6063</v>
      </c>
      <c r="S654" s="142" t="s">
        <v>6064</v>
      </c>
      <c r="T654" s="8"/>
      <c r="U654" s="8">
        <f>IFERROR(__xludf.DUMMYFUNCTION("""COMPUTED_VALUE"""),626.0)</f>
        <v>626</v>
      </c>
      <c r="V654" s="8"/>
      <c r="W654" s="154"/>
      <c r="X654" s="8"/>
      <c r="Y654" s="8"/>
      <c r="AA654" s="154" t="s">
        <v>149</v>
      </c>
      <c r="AB654" s="154" t="s">
        <v>149</v>
      </c>
      <c r="AC654" s="8" t="s">
        <v>321</v>
      </c>
      <c r="AG654" s="154" t="s">
        <v>149</v>
      </c>
      <c r="AH654" s="154" t="s">
        <v>149</v>
      </c>
      <c r="AI654" s="8" t="s">
        <v>1719</v>
      </c>
      <c r="AJ654" s="8" t="s">
        <v>326</v>
      </c>
      <c r="AL654" s="8" t="s">
        <v>1720</v>
      </c>
      <c r="AM654" s="154" t="s">
        <v>149</v>
      </c>
      <c r="AN654" s="154" t="s">
        <v>149</v>
      </c>
      <c r="AO654" s="8"/>
      <c r="AP654" s="8"/>
      <c r="AR654" s="8" t="s">
        <v>6069</v>
      </c>
      <c r="AS654" s="154" t="s">
        <v>149</v>
      </c>
      <c r="AT654" s="8" t="s">
        <v>1722</v>
      </c>
      <c r="AU654" s="172" t="s">
        <v>1723</v>
      </c>
    </row>
    <row r="655">
      <c r="A655" s="186">
        <v>327.0</v>
      </c>
      <c r="B655" s="152">
        <v>2025.0</v>
      </c>
      <c r="C655" s="153" t="str">
        <f>CONCATENATE(D655, "-", M655, "-", A655)
</f>
        <v>2023-PH086410000-327</v>
      </c>
      <c r="D655" s="152">
        <f>IF(OR(F654="Published", F654="Unpublished"), 2023, IF(F654="New", 2025, ""))
</f>
        <v>2023</v>
      </c>
      <c r="E655" s="151">
        <v>327.0</v>
      </c>
      <c r="F655" s="129" t="s">
        <v>140</v>
      </c>
      <c r="G655" s="156" t="s">
        <v>141</v>
      </c>
      <c r="H655" s="153" t="str">
        <f>IFERROR(__xludf.DUMMYFUNCTION("""COMPUTED_VALUE"""),"**Region** changed from IX to VIII, **Restoration_project** changed from National Coral Reef Rehabilitation Roll-Out Program to Operation Blue Pipe, **Year of establishment** changed from Unknown to 2018, **Project Start** changed from 2014 to 2018, **Pro"&amp;"ject End** changed from 2016 to Unknown, **Restoration method** changed from Asexual Reproduction to Artificial Reef, **Technique/Material Type** changed from Unknown to Blue pipe; Sea urchin module, **Funding agency** changed from DOST-PCAARRD to Scaphpr"&amp;"o Artificial Reef Recherche Oceanographique, **Total units** changed from 15 CNUs/15,280 COPs to Unknown, **Implementing institution** changed from Sangkalikasan Producers Cooperative to Scaphpro Artificial Reef Recherche Oceanographique, **Partners_publi"&amp;"c** changed from Zamboanga State College for Marine Science and Technology (ZSCMST) to Unknown, **Reference** changed from Briefer Report to Scaphpro Artificial Reef Recherche oceanographique (2018, February 21). Operation Blue Pipe [Photo Album]. Faceboo"&amp;"k. https://web.facebook.com/media/set/?set=a.1831074026966655&amp;type=3, **Website** changed from Unknown to https://web.facebook.com/media/set/?set=a.1831074026966655&amp;type=3, **Contact_name** changed from Mr. Jose Rodriguez to Scaph Pro, **Contact_details**"&amp;" changed from sangkalikasan2016@gmail.com to jeff@scaphpro.com")</f>
        <v>**Region** changed from IX to VIII, **Restoration_project** changed from National Coral Reef Rehabilitation Roll-Out Program to Operation Blue Pipe, **Year of establishment** changed from Unknown to 2018, **Project Start** changed from 2014 to 2018, **Project End** changed from 2016 to Unknown, **Restoration method** changed from Asexual Reproduction to Artificial Reef, **Technique/Material Type** changed from Unknown to Blue pipe; Sea urchin module, **Funding agency** changed from DOST-PCAARRD to Scaphpro Artificial Reef Recherche Oceanographique, **Total units** changed from 15 CNUs/15,280 COPs to Unknown, **Implementing institution** changed from Sangkalikasan Producers Cooperative to Scaphpro Artificial Reef Recherche Oceanographique, **Partners_public** changed from Zamboanga State College for Marine Science and Technology (ZSCMST) to Unknown, **Reference** changed from Briefer Report to Scaphpro Artificial Reef Recherche oceanographique (2018, February 21). Operation Blue Pipe [Photo Album]. Facebook. https://web.facebook.com/media/set/?set=a.1831074026966655&amp;type=3, **Website** changed from Unknown to https://web.facebook.com/media/set/?set=a.1831074026966655&amp;type=3, **Contact_name** changed from Mr. Jose Rodriguez to Scaph Pro, **Contact_details** changed from sangkalikasan2016@gmail.com to jeff@scaphpro.com</v>
      </c>
      <c r="I655" s="153" t="s">
        <v>7313</v>
      </c>
      <c r="J655" s="153" t="s">
        <v>579</v>
      </c>
      <c r="K655" s="153" t="s">
        <v>1271</v>
      </c>
      <c r="L655" s="153" t="s">
        <v>1272</v>
      </c>
      <c r="M655" s="181" t="s">
        <v>1273</v>
      </c>
      <c r="N655" s="153" t="s">
        <v>151</v>
      </c>
      <c r="O655" s="153" t="s">
        <v>1732</v>
      </c>
      <c r="P655" s="143" t="s">
        <v>149</v>
      </c>
      <c r="Q655" s="169">
        <v>2018.0</v>
      </c>
      <c r="R655" s="175" t="s">
        <v>6098</v>
      </c>
      <c r="S655" s="160" t="s">
        <v>149</v>
      </c>
      <c r="T655" s="161" t="s">
        <v>150</v>
      </c>
      <c r="U655" s="153">
        <f>IFERROR(__xludf.DUMMYFUNCTION("""COMPUTED_VALUE"""),627.0)</f>
        <v>627</v>
      </c>
      <c r="V655" s="162" t="s">
        <v>3311</v>
      </c>
      <c r="W655" s="179" t="s">
        <v>6059</v>
      </c>
      <c r="X655" s="28" t="s">
        <v>6033</v>
      </c>
      <c r="Y655" s="32" t="s">
        <v>1734</v>
      </c>
      <c r="Z655" s="158" t="s">
        <v>7310</v>
      </c>
      <c r="AA655" s="153" t="s">
        <v>1742</v>
      </c>
      <c r="AB655" s="158" t="s">
        <v>149</v>
      </c>
      <c r="AC655" s="153" t="s">
        <v>1736</v>
      </c>
      <c r="AD655" s="158" t="s">
        <v>6154</v>
      </c>
      <c r="AE655" s="158" t="s">
        <v>306</v>
      </c>
      <c r="AF655" s="158" t="s">
        <v>204</v>
      </c>
      <c r="AG655" s="164" t="s">
        <v>149</v>
      </c>
      <c r="AH655" s="158" t="s">
        <v>149</v>
      </c>
      <c r="AI655" s="158" t="s">
        <v>149</v>
      </c>
      <c r="AJ655" s="153" t="s">
        <v>1736</v>
      </c>
      <c r="AK655" s="158" t="s">
        <v>306</v>
      </c>
      <c r="AL655" s="143" t="s">
        <v>149</v>
      </c>
      <c r="AM655" s="143" t="s">
        <v>149</v>
      </c>
      <c r="AN655" s="143" t="s">
        <v>149</v>
      </c>
      <c r="AO655" s="156">
        <v>1.0</v>
      </c>
      <c r="AP655" s="156" t="s">
        <v>6037</v>
      </c>
      <c r="AQ655" s="153" t="s">
        <v>6038</v>
      </c>
      <c r="AR655" s="153" t="s">
        <v>1743</v>
      </c>
      <c r="AS655" s="165" t="s">
        <v>1744</v>
      </c>
      <c r="AT655" s="153" t="s">
        <v>1739</v>
      </c>
      <c r="AU655" s="153" t="s">
        <v>1740</v>
      </c>
    </row>
    <row r="656">
      <c r="A656" s="186">
        <v>328.0</v>
      </c>
      <c r="B656" s="152">
        <v>2023.0</v>
      </c>
      <c r="D656" s="152"/>
      <c r="E656" s="151">
        <v>328.0</v>
      </c>
      <c r="F656" s="129" t="s">
        <v>140</v>
      </c>
      <c r="G656" s="3" t="s">
        <v>6029</v>
      </c>
      <c r="H656" s="8" t="str">
        <f>IFERROR(__xludf.DUMMYFUNCTION("""COMPUTED_VALUE"""),"")</f>
        <v/>
      </c>
      <c r="I656" s="8" t="s">
        <v>7314</v>
      </c>
      <c r="J656" s="8" t="s">
        <v>590</v>
      </c>
      <c r="K656" s="8" t="s">
        <v>769</v>
      </c>
      <c r="L656" s="8" t="s">
        <v>7312</v>
      </c>
      <c r="M656" s="8" t="s">
        <v>1518</v>
      </c>
      <c r="N656" s="8" t="s">
        <v>151</v>
      </c>
      <c r="O656" s="154" t="s">
        <v>149</v>
      </c>
      <c r="P656" s="154" t="s">
        <v>149</v>
      </c>
      <c r="Q656" s="142" t="s">
        <v>6906</v>
      </c>
      <c r="R656" s="154" t="s">
        <v>149</v>
      </c>
      <c r="S656" s="154" t="s">
        <v>149</v>
      </c>
      <c r="T656" s="8"/>
      <c r="U656" s="8">
        <f>IFERROR(__xludf.DUMMYFUNCTION("""COMPUTED_VALUE"""),628.0)</f>
        <v>628</v>
      </c>
      <c r="V656" s="8"/>
      <c r="W656" s="154"/>
      <c r="X656" s="8"/>
      <c r="Y656" s="8"/>
      <c r="AA656" s="154" t="s">
        <v>149</v>
      </c>
      <c r="AB656" s="154" t="s">
        <v>149</v>
      </c>
      <c r="AC656" s="154" t="s">
        <v>149</v>
      </c>
      <c r="AG656" s="154" t="s">
        <v>149</v>
      </c>
      <c r="AH656" s="154" t="s">
        <v>149</v>
      </c>
      <c r="AI656" s="154" t="s">
        <v>149</v>
      </c>
      <c r="AJ656" s="8" t="s">
        <v>228</v>
      </c>
      <c r="AL656" s="8" t="s">
        <v>993</v>
      </c>
      <c r="AM656" s="154" t="s">
        <v>149</v>
      </c>
      <c r="AN656" s="154" t="s">
        <v>149</v>
      </c>
      <c r="AO656" s="8"/>
      <c r="AP656" s="8"/>
      <c r="AR656" s="154" t="s">
        <v>149</v>
      </c>
      <c r="AS656" s="154" t="s">
        <v>149</v>
      </c>
      <c r="AT656" s="154" t="s">
        <v>149</v>
      </c>
      <c r="AU656" s="154" t="s">
        <v>149</v>
      </c>
    </row>
    <row r="657">
      <c r="A657" s="186">
        <v>328.0</v>
      </c>
      <c r="B657" s="152">
        <v>2025.0</v>
      </c>
      <c r="C657" s="153" t="str">
        <f t="shared" ref="C657:C658" si="73">CONCATENATE(D657, "-", M657, "-", A657)
</f>
        <v>2023-PH086416000-328</v>
      </c>
      <c r="D657" s="152">
        <f t="shared" ref="D657:D658" si="74">IF(OR(F656="Published", F656="Unpublished"), 2023, IF(F656="New", 2025, ""))
</f>
        <v>2023</v>
      </c>
      <c r="E657" s="151">
        <v>328.0</v>
      </c>
      <c r="F657" s="129" t="s">
        <v>140</v>
      </c>
      <c r="G657" s="156" t="s">
        <v>141</v>
      </c>
      <c r="H657" s="153" t="str">
        <f>IFERROR(__xludf.DUMMYFUNCTION("""COMPUTED_VALUE"""),"**Region** changed from IX to VIII, **Restoration_project** changed from Unknown to Operation Peace for Fish, **Year of establishment** changed from 2020 to 2022, **Technique/Material Type** changed from Unknown to Bamboo; tires, **Restoration objective**"&amp;" changed from Unknown to Reproduction and protection of lobsters, **Funding agency** changed from Unknown to Scaphpro Artificial Reef Recherche Oceanographique, **Implementing institution** changed from CLGU to Scaphpro Artificial Reef Recherche Oceanogra"&amp;"phique, **Partners_public** changed from Philippine Navy to MLGU, **Reference** changed from Unknown to Scaphpro Artificial Reef Recherche oceanographique (2022, May 31). Operation Peace for Fish 2022 Philippines [Photo Album]. Facebook. https://web.faceb"&amp;"ook.com/media/set/?vanity=154004468006961&amp;set=a.7450109991729669&amp;_rdc=1&amp;_rdr, **Website** changed from Unknown to https://www.facebook.com/media/set/?vanity=154004468006961&amp;set=a.7450109991729669, **Contact_name** changed from Unknown to Scaph Pro, **Cont"&amp;"act_details** changed from Unknown to jeff@scaphpro.com")</f>
        <v>**Region** changed from IX to VIII, **Restoration_project** changed from Unknown to Operation Peace for Fish, **Year of establishment** changed from 2020 to 2022, **Technique/Material Type** changed from Unknown to Bamboo; tires, **Restoration objective** changed from Unknown to Reproduction and protection of lobsters, **Funding agency** changed from Unknown to Scaphpro Artificial Reef Recherche Oceanographique, **Implementing institution** changed from CLGU to Scaphpro Artificial Reef Recherche Oceanographique, **Partners_public** changed from Philippine Navy to MLGU, **Reference** changed from Unknown to Scaphpro Artificial Reef Recherche oceanographique (2022, May 31). Operation Peace for Fish 2022 Philippines [Photo Album]. Facebook. https://web.facebook.com/media/set/?vanity=154004468006961&amp;set=a.7450109991729669&amp;_rdc=1&amp;_rdr, **Website** changed from Unknown to https://www.facebook.com/media/set/?vanity=154004468006961&amp;set=a.7450109991729669, **Contact_name** changed from Unknown to Scaph Pro, **Contact_details** changed from Unknown to jeff@scaphpro.com</v>
      </c>
      <c r="I657" s="153" t="s">
        <v>7315</v>
      </c>
      <c r="J657" s="153" t="s">
        <v>579</v>
      </c>
      <c r="K657" s="153" t="s">
        <v>1271</v>
      </c>
      <c r="L657" s="153" t="s">
        <v>1763</v>
      </c>
      <c r="M657" s="181" t="s">
        <v>1764</v>
      </c>
      <c r="N657" s="153" t="s">
        <v>151</v>
      </c>
      <c r="O657" s="153" t="s">
        <v>1765</v>
      </c>
      <c r="P657" s="143" t="s">
        <v>149</v>
      </c>
      <c r="Q657" s="169">
        <v>2022.0</v>
      </c>
      <c r="R657" s="160" t="s">
        <v>149</v>
      </c>
      <c r="S657" s="160" t="s">
        <v>149</v>
      </c>
      <c r="T657" s="161" t="s">
        <v>150</v>
      </c>
      <c r="U657" s="153">
        <f>IFERROR(__xludf.DUMMYFUNCTION("""COMPUTED_VALUE"""),629.0)</f>
        <v>629</v>
      </c>
      <c r="V657" s="162" t="s">
        <v>3311</v>
      </c>
      <c r="W657" s="179" t="s">
        <v>6075</v>
      </c>
      <c r="X657" s="28" t="s">
        <v>604</v>
      </c>
      <c r="Y657" s="28" t="s">
        <v>605</v>
      </c>
      <c r="Z657" s="176" t="s">
        <v>605</v>
      </c>
      <c r="AA657" s="153" t="s">
        <v>6079</v>
      </c>
      <c r="AB657" s="158" t="s">
        <v>1766</v>
      </c>
      <c r="AC657" s="153" t="s">
        <v>1736</v>
      </c>
      <c r="AD657" s="158" t="s">
        <v>6154</v>
      </c>
      <c r="AE657" s="158" t="s">
        <v>306</v>
      </c>
      <c r="AF657" s="158" t="s">
        <v>159</v>
      </c>
      <c r="AG657" s="164" t="s">
        <v>149</v>
      </c>
      <c r="AH657" s="158" t="s">
        <v>149</v>
      </c>
      <c r="AI657" s="158" t="s">
        <v>149</v>
      </c>
      <c r="AJ657" s="153" t="s">
        <v>1736</v>
      </c>
      <c r="AK657" s="158" t="s">
        <v>306</v>
      </c>
      <c r="AL657" s="158" t="s">
        <v>369</v>
      </c>
      <c r="AM657" s="223" t="s">
        <v>149</v>
      </c>
      <c r="AN657" s="143" t="s">
        <v>149</v>
      </c>
      <c r="AO657" s="156">
        <v>1.0</v>
      </c>
      <c r="AP657" s="156" t="s">
        <v>6037</v>
      </c>
      <c r="AQ657" s="153" t="s">
        <v>6038</v>
      </c>
      <c r="AR657" s="153" t="s">
        <v>1767</v>
      </c>
      <c r="AS657" s="165" t="s">
        <v>1768</v>
      </c>
      <c r="AT657" s="153" t="s">
        <v>1739</v>
      </c>
      <c r="AU657" s="153" t="s">
        <v>1740</v>
      </c>
    </row>
    <row r="658">
      <c r="A658" s="186">
        <v>329.0</v>
      </c>
      <c r="B658" s="152">
        <v>2025.0</v>
      </c>
      <c r="C658" s="153" t="str">
        <f t="shared" si="73"/>
        <v>2023-PH086417000-329</v>
      </c>
      <c r="D658" s="152">
        <f t="shared" si="74"/>
        <v>2023</v>
      </c>
      <c r="E658" s="151">
        <v>329.0</v>
      </c>
      <c r="F658" s="129" t="s">
        <v>140</v>
      </c>
      <c r="G658" s="156" t="s">
        <v>141</v>
      </c>
      <c r="H658" s="153" t="str">
        <f>IFERROR(__xludf.DUMMYFUNCTION("""COMPUTED_VALUE"""),"**Restoration_project** changed from Operation Peace for Fish to Fisheries Sector Program, **Restoration_project_short** changed from Unknown to Site in San Jose; *Stated as San Jose municipality in the literature but most likely means San Jose barangay w"&amp;"hich is part of Sogod town, **Year of establishment** changed from 2022 to 1992, **Project Start** changed from Unknown to 1990, **Project End** changed from Unknown to 1994, **Technique/Material Type** changed from Bamboo; tires to Unknown, **Restoration"&amp;" objective** changed from Reproduction and protection of lobsters to Unknown, **Funding agency** changed from Scaphpro Artificial Reef Recherche Oceanographique to ADB, Overseas Economic Cooperation Fund of Japan , **Implementing institution** changed fro"&amp;"m Scaphpro Artificial Reef Recherche Oceanographique to DA, **Reference** changed from Scaphpro Artificial Reef Recherche oceanographique (2022, May 31). Operation Peace for Fish 2022 Philippines [Photo Album]. Facebook. https://web.facebook.com/media/set"&amp;"/?vanity=154004468006961&amp;set=a.7450109991729669&amp;_rdc=1&amp;_rdr to Balgos, M.C. (1995). Evaluation of artificial reef development in the Philippines. In Munro, J.L. &amp; Balgos, M. (eds.) Artificial reefs in the Philippines. ICLARM Conf. Proc. 49, pp. 6-22., **W"&amp;"ebsite** changed from https://www.facebook.com/media/set/?vanity=154004468006961&amp;set=a.7450109991729669 to https://core.ac.uk/download/pdf/6515223.pdf;, **Contact_name** changed from Scaph Pro to Miriam Balgos, **Contact_details** changed from jeff@scaphp"&amp;"ro.com to Unknown")</f>
        <v>**Restoration_project** changed from Operation Peace for Fish to Fisheries Sector Program, **Restoration_project_short** changed from Unknown to Site in San Jose; *Stated as San Jose municipality in the literature but most likely means San Jose barangay which is part of Sogod town, **Year of establishment** changed from 2022 to 1992, **Project Start** changed from Unknown to 1990, **Project End** changed from Unknown to 1994, **Technique/Material Type** changed from Bamboo; tires to Unknown, **Restoration objective** changed from Reproduction and protection of lobsters to Unknown, **Funding agency** changed from Scaphpro Artificial Reef Recherche Oceanographique to ADB, Overseas Economic Cooperation Fund of Japan , **Implementing institution** changed from Scaphpro Artificial Reef Recherche Oceanographique to DA, **Reference** changed from Scaphpro Artificial Reef Recherche oceanographique (2022, May 31). Operation Peace for Fish 2022 Philippines [Photo Album]. Facebook. https://web.facebook.com/media/set/?vanity=154004468006961&amp;set=a.7450109991729669&amp;_rdc=1&amp;_rdr to Balgos, M.C. (1995). Evaluation of artificial reef development in the Philippines. In Munro, J.L. &amp; Balgos, M. (eds.) Artificial reefs in the Philippines. ICLARM Conf. Proc. 49, pp. 6-22., **Website** changed from https://www.facebook.com/media/set/?vanity=154004468006961&amp;set=a.7450109991729669 to https://core.ac.uk/download/pdf/6515223.pdf;, **Contact_name** changed from Scaph Pro to Miriam Balgos, **Contact_details** changed from jeff@scaphpro.com to Unknown</v>
      </c>
      <c r="I658" s="153" t="s">
        <v>7316</v>
      </c>
      <c r="J658" s="153" t="s">
        <v>579</v>
      </c>
      <c r="K658" s="153" t="s">
        <v>1271</v>
      </c>
      <c r="L658" s="153" t="s">
        <v>1494</v>
      </c>
      <c r="M658" s="181" t="s">
        <v>1495</v>
      </c>
      <c r="N658" s="153" t="s">
        <v>151</v>
      </c>
      <c r="O658" s="153" t="s">
        <v>1377</v>
      </c>
      <c r="P658" s="153" t="s">
        <v>7317</v>
      </c>
      <c r="Q658" s="178">
        <v>1992.0</v>
      </c>
      <c r="R658" s="175" t="s">
        <v>6198</v>
      </c>
      <c r="S658" s="175" t="s">
        <v>6199</v>
      </c>
      <c r="T658" s="161" t="s">
        <v>150</v>
      </c>
      <c r="U658" s="153">
        <f>IFERROR(__xludf.DUMMYFUNCTION("""COMPUTED_VALUE"""),630.0)</f>
        <v>630</v>
      </c>
      <c r="V658" s="162" t="s">
        <v>3311</v>
      </c>
      <c r="W658" s="187" t="s">
        <v>149</v>
      </c>
      <c r="X658" s="184"/>
      <c r="Y658" s="184" t="s">
        <v>149</v>
      </c>
      <c r="Z658" s="158" t="s">
        <v>149</v>
      </c>
      <c r="AA658" s="158" t="s">
        <v>149</v>
      </c>
      <c r="AB658" s="158" t="s">
        <v>149</v>
      </c>
      <c r="AC658" s="153" t="s">
        <v>1381</v>
      </c>
      <c r="AD658" s="158" t="s">
        <v>6154</v>
      </c>
      <c r="AE658" s="158" t="s">
        <v>206</v>
      </c>
      <c r="AF658" s="158" t="s">
        <v>159</v>
      </c>
      <c r="AG658" s="164" t="s">
        <v>149</v>
      </c>
      <c r="AH658" s="158" t="s">
        <v>149</v>
      </c>
      <c r="AI658" s="158" t="s">
        <v>149</v>
      </c>
      <c r="AJ658" s="153" t="s">
        <v>660</v>
      </c>
      <c r="AK658" s="153" t="s">
        <v>6035</v>
      </c>
      <c r="AL658" s="153" t="s">
        <v>369</v>
      </c>
      <c r="AM658" s="223" t="s">
        <v>149</v>
      </c>
      <c r="AN658" s="143" t="s">
        <v>149</v>
      </c>
      <c r="AO658" s="156">
        <v>1.0</v>
      </c>
      <c r="AP658" s="156" t="s">
        <v>6037</v>
      </c>
      <c r="AQ658" s="158" t="s">
        <v>395</v>
      </c>
      <c r="AR658" s="153" t="s">
        <v>6060</v>
      </c>
      <c r="AS658" s="158" t="s">
        <v>6711</v>
      </c>
      <c r="AT658" s="153" t="s">
        <v>398</v>
      </c>
      <c r="AU658" s="156" t="s">
        <v>149</v>
      </c>
    </row>
    <row r="659">
      <c r="A659" s="186">
        <v>329.0</v>
      </c>
      <c r="B659" s="152">
        <v>2023.0</v>
      </c>
      <c r="D659" s="152"/>
      <c r="E659" s="151">
        <v>329.0</v>
      </c>
      <c r="F659" s="129" t="s">
        <v>140</v>
      </c>
      <c r="G659" s="3" t="s">
        <v>6029</v>
      </c>
      <c r="H659" s="8" t="str">
        <f>IFERROR(__xludf.DUMMYFUNCTION("""COMPUTED_VALUE"""),"")</f>
        <v/>
      </c>
      <c r="I659" s="8" t="s">
        <v>7318</v>
      </c>
      <c r="J659" s="8" t="s">
        <v>171</v>
      </c>
      <c r="K659" s="8" t="s">
        <v>1725</v>
      </c>
      <c r="L659" s="8" t="s">
        <v>1726</v>
      </c>
      <c r="M659" s="8" t="s">
        <v>1727</v>
      </c>
      <c r="N659" s="8" t="s">
        <v>6062</v>
      </c>
      <c r="O659" s="8" t="s">
        <v>1683</v>
      </c>
      <c r="P659" s="3" t="s">
        <v>149</v>
      </c>
      <c r="Q659" s="3" t="s">
        <v>149</v>
      </c>
      <c r="R659" s="142" t="s">
        <v>6063</v>
      </c>
      <c r="S659" s="142" t="s">
        <v>6064</v>
      </c>
      <c r="T659" s="8"/>
      <c r="U659" s="8">
        <f>IFERROR(__xludf.DUMMYFUNCTION("""COMPUTED_VALUE"""),631.0)</f>
        <v>631</v>
      </c>
      <c r="V659" s="8"/>
      <c r="W659" s="3"/>
      <c r="X659" s="8"/>
      <c r="Y659" s="8"/>
      <c r="AA659" s="3" t="s">
        <v>149</v>
      </c>
      <c r="AB659" s="3" t="s">
        <v>149</v>
      </c>
      <c r="AC659" s="8" t="s">
        <v>321</v>
      </c>
      <c r="AG659" s="3" t="s">
        <v>149</v>
      </c>
      <c r="AH659" s="3" t="s">
        <v>149</v>
      </c>
      <c r="AI659" s="8" t="s">
        <v>1728</v>
      </c>
      <c r="AJ659" s="8" t="s">
        <v>326</v>
      </c>
      <c r="AL659" s="8" t="s">
        <v>1729</v>
      </c>
      <c r="AM659" s="3" t="s">
        <v>149</v>
      </c>
      <c r="AN659" s="3" t="s">
        <v>149</v>
      </c>
      <c r="AO659" s="8"/>
      <c r="AP659" s="8"/>
      <c r="AR659" s="8" t="s">
        <v>6069</v>
      </c>
      <c r="AS659" s="3" t="s">
        <v>149</v>
      </c>
      <c r="AT659" s="8" t="s">
        <v>1722</v>
      </c>
      <c r="AU659" s="172" t="s">
        <v>1723</v>
      </c>
    </row>
    <row r="660">
      <c r="A660" s="186">
        <v>330.0</v>
      </c>
      <c r="B660" s="152">
        <v>2025.0</v>
      </c>
      <c r="C660" s="153" t="str">
        <f>CONCATENATE(D660, "-", M660, "-", A660)
</f>
        <v>2023-PH086418000-330</v>
      </c>
      <c r="D660" s="152">
        <f>IF(OR(F659="Published", F659="Unpublished"), 2023, IF(F659="New", 2025, ""))
</f>
        <v>2023</v>
      </c>
      <c r="E660" s="151">
        <v>330.0</v>
      </c>
      <c r="F660" s="156" t="s">
        <v>191</v>
      </c>
      <c r="G660" s="156" t="s">
        <v>191</v>
      </c>
      <c r="H660" s="153" t="str">
        <f>IFERROR(__xludf.DUMMYFUNCTION("""COMPUTED_VALUE"""),"**Region** changed from X to VIII, **Restoration_project** changed from National Coral Reef Rehabilitation Roll-Out Program to Unknown, **Restoration_project_short** changed from Unknown to Site inside fish sanctuary Brgy San Antonio; Used staghorn coral "&amp;"specie (Acropora cervicornis), **Year of establishment** changed from Unknown to 2016, **Project Start** changed from 2014 to Unknown, **Project End** changed from 2016 to Unknown, **Technique/Material Type** changed from Unknown to Coral transplantation,"&amp;" **Restoration objective** changed from Unknown to Climate change mitigation, **Funding agency** changed from DOST-PCAARRD to PLGU, **Total area of restoration** changed from Unknown to 0.5ha, **Total units** changed from 10 CNUs/17,200 COPs to 1,250 COPs"&amp;", **Implementing institution** changed from Sangkalikasan Producers Cooperative to PLGU, **Partners_public** changed from Camiguin Polytechnic State College; PLGU to Unknown, **Partners_private** changed from Unknown to Scaph Pro Philippines; Life Time Di"&amp;"ve Center, **Reference** changed from Briefer Report to Reyes, R. O. (2016, February 1). Southern Leyte's coral transplants help fight vs climate change. Manila Standard. https://manilastandard.net/?p=198184, **Website** changed from Unknown to https://ma"&amp;"nilastandard.net/?p=198184, **Contact_name** changed from Mr. Jose Rodriguez to Unknown, **Contact_details** changed from sangkalikasan2016@gmail.com to Unknown")</f>
        <v>**Region** changed from X to VIII, **Restoration_project** changed from National Coral Reef Rehabilitation Roll-Out Program to Unknown, **Restoration_project_short** changed from Unknown to Site inside fish sanctuary Brgy San Antonio; Used staghorn coral specie (Acropora cervicornis), **Year of establishment** changed from Unknown to 2016, **Project Start** changed from 2014 to Unknown, **Project End** changed from 2016 to Unknown, **Technique/Material Type** changed from Unknown to Coral transplantation, **Restoration objective** changed from Unknown to Climate change mitigation, **Funding agency** changed from DOST-PCAARRD to PLGU, **Total area of restoration** changed from Unknown to 0.5ha, **Total units** changed from 10 CNUs/17,200 COPs to 1,250 COPs, **Implementing institution** changed from Sangkalikasan Producers Cooperative to PLGU, **Partners_public** changed from Camiguin Polytechnic State College; PLGU to Unknown, **Partners_private** changed from Unknown to Scaph Pro Philippines; Life Time Dive Center, **Reference** changed from Briefer Report to Reyes, R. O. (2016, February 1). Southern Leyte's coral transplants help fight vs climate change. Manila Standard. https://manilastandard.net/?p=198184, **Website** changed from Unknown to https://manilastandard.net/?p=198184, **Contact_name** changed from Mr. Jose Rodriguez to Unknown, **Contact_details** changed from sangkalikasan2016@gmail.com to Unknown</v>
      </c>
      <c r="I660" s="153" t="s">
        <v>7319</v>
      </c>
      <c r="J660" s="153" t="s">
        <v>579</v>
      </c>
      <c r="K660" s="153" t="s">
        <v>1271</v>
      </c>
      <c r="L660" s="153" t="s">
        <v>2648</v>
      </c>
      <c r="M660" s="181" t="s">
        <v>2649</v>
      </c>
      <c r="N660" s="153" t="s">
        <v>6062</v>
      </c>
      <c r="O660" s="158" t="s">
        <v>149</v>
      </c>
      <c r="P660" s="153" t="s">
        <v>7320</v>
      </c>
      <c r="Q660" s="169">
        <v>2016.0</v>
      </c>
      <c r="R660" s="164" t="s">
        <v>149</v>
      </c>
      <c r="S660" s="164" t="s">
        <v>149</v>
      </c>
      <c r="T660" s="156" t="s">
        <v>177</v>
      </c>
      <c r="U660" s="153">
        <f>IFERROR(__xludf.DUMMYFUNCTION("""COMPUTED_VALUE"""),632.0)</f>
        <v>632</v>
      </c>
      <c r="V660" s="191" t="s">
        <v>3245</v>
      </c>
      <c r="W660" s="184" t="s">
        <v>149</v>
      </c>
      <c r="X660" s="180"/>
      <c r="Y660" s="180" t="s">
        <v>154</v>
      </c>
      <c r="Z660" s="158" t="s">
        <v>179</v>
      </c>
      <c r="AA660" s="158" t="s">
        <v>179</v>
      </c>
      <c r="AB660" s="153" t="s">
        <v>2653</v>
      </c>
      <c r="AC660" s="153" t="s">
        <v>158</v>
      </c>
      <c r="AD660" s="158" t="s">
        <v>160</v>
      </c>
      <c r="AE660" s="158" t="s">
        <v>6035</v>
      </c>
      <c r="AF660" s="158" t="s">
        <v>159</v>
      </c>
      <c r="AG660" s="164" t="s">
        <v>149</v>
      </c>
      <c r="AH660" s="153" t="s">
        <v>7321</v>
      </c>
      <c r="AI660" s="153" t="s">
        <v>2655</v>
      </c>
      <c r="AJ660" s="153" t="s">
        <v>158</v>
      </c>
      <c r="AK660" s="153" t="s">
        <v>6035</v>
      </c>
      <c r="AL660" s="156" t="s">
        <v>149</v>
      </c>
      <c r="AM660" s="153" t="s">
        <v>7322</v>
      </c>
      <c r="AN660" s="156" t="s">
        <v>149</v>
      </c>
      <c r="AO660" s="156">
        <v>1.0</v>
      </c>
      <c r="AP660" s="156" t="s">
        <v>6037</v>
      </c>
      <c r="AQ660" s="158" t="s">
        <v>166</v>
      </c>
      <c r="AR660" s="153" t="s">
        <v>2657</v>
      </c>
      <c r="AS660" s="172" t="s">
        <v>2658</v>
      </c>
      <c r="AT660" s="156" t="s">
        <v>149</v>
      </c>
      <c r="AU660" s="156" t="s">
        <v>149</v>
      </c>
    </row>
    <row r="661">
      <c r="A661" s="186">
        <v>330.0</v>
      </c>
      <c r="B661" s="152">
        <v>2023.0</v>
      </c>
      <c r="D661" s="152"/>
      <c r="E661" s="151">
        <v>330.0</v>
      </c>
      <c r="F661" s="129" t="s">
        <v>140</v>
      </c>
      <c r="G661" s="3" t="s">
        <v>6029</v>
      </c>
      <c r="H661" s="8" t="str">
        <f>IFERROR(__xludf.DUMMYFUNCTION("""COMPUTED_VALUE"""),"")</f>
        <v/>
      </c>
      <c r="I661" s="8" t="s">
        <v>7323</v>
      </c>
      <c r="J661" s="8" t="s">
        <v>171</v>
      </c>
      <c r="K661" s="8" t="s">
        <v>1725</v>
      </c>
      <c r="L661" s="8" t="s">
        <v>1726</v>
      </c>
      <c r="M661" s="8" t="s">
        <v>1727</v>
      </c>
      <c r="N661" s="8" t="s">
        <v>151</v>
      </c>
      <c r="O661" s="8" t="s">
        <v>1785</v>
      </c>
      <c r="P661" s="3" t="s">
        <v>149</v>
      </c>
      <c r="Q661" s="142" t="s">
        <v>6089</v>
      </c>
      <c r="R661" s="3" t="s">
        <v>149</v>
      </c>
      <c r="S661" s="3" t="s">
        <v>149</v>
      </c>
      <c r="T661" s="8"/>
      <c r="U661" s="8">
        <f>IFERROR(__xludf.DUMMYFUNCTION("""COMPUTED_VALUE"""),633.0)</f>
        <v>633</v>
      </c>
      <c r="V661" s="8"/>
      <c r="W661" s="3"/>
      <c r="X661" s="8"/>
      <c r="Y661" s="8"/>
      <c r="AA661" s="3" t="s">
        <v>149</v>
      </c>
      <c r="AB661" s="3" t="s">
        <v>149</v>
      </c>
      <c r="AC661" s="3" t="s">
        <v>149</v>
      </c>
      <c r="AG661" s="3" t="s">
        <v>149</v>
      </c>
      <c r="AH661" s="3" t="s">
        <v>149</v>
      </c>
      <c r="AI661" s="3" t="s">
        <v>149</v>
      </c>
      <c r="AJ661" s="8" t="s">
        <v>369</v>
      </c>
      <c r="AL661" s="8" t="s">
        <v>341</v>
      </c>
      <c r="AM661" s="3" t="s">
        <v>149</v>
      </c>
      <c r="AN661" s="3" t="s">
        <v>149</v>
      </c>
      <c r="AO661" s="8"/>
      <c r="AP661" s="8"/>
      <c r="AR661" s="3" t="s">
        <v>149</v>
      </c>
      <c r="AS661" s="3" t="s">
        <v>149</v>
      </c>
      <c r="AT661" s="3" t="s">
        <v>149</v>
      </c>
      <c r="AU661" s="3" t="s">
        <v>149</v>
      </c>
    </row>
    <row r="662">
      <c r="A662" s="186">
        <v>331.0</v>
      </c>
      <c r="B662" s="152">
        <v>2025.0</v>
      </c>
      <c r="C662" s="153" t="str">
        <f>CONCATENATE(D662, "-", M662, "-", A662)
</f>
        <v>2023-PH097201000-331</v>
      </c>
      <c r="D662" s="152">
        <f>IF(OR(F661="Published", F661="Unpublished"), 2023, IF(F661="New", 2025, ""))
</f>
        <v>2023</v>
      </c>
      <c r="E662" s="151">
        <v>331.0</v>
      </c>
      <c r="F662" s="129" t="s">
        <v>140</v>
      </c>
      <c r="G662" s="156" t="s">
        <v>141</v>
      </c>
      <c r="H662" s="153" t="str">
        <f>IFERROR(__xludf.DUMMYFUNCTION("""COMPUTED_VALUE"""),"**Region** changed from X to IX, **Restoration_project** changed from Philippine Coral Reef Resources Assessment and Conservation Program (PhilCORE) to Artificial Reef Development Program, **Restoration_project_short** changed from Unknown to Site in San "&amp;"Pedro, **Year of establishment** changed from 2013 to 1987, **Project Start** changed from Unknown to 1985, **Project End** changed from Unknown to 19987, **Technique/Material Type** changed from Unknown to tires; bamboo, **Funding agency** changed from U"&amp;"nknown to BFAR, **Implementing institution** changed from MLGU to BFAR, **Partners_public** changed from DENR to Ministry of Human Settlements, **Reference** changed from Unknown to Balgos, M.C. (1995). Evaluation of artificial reef development in the Phi"&amp;"lippines. In Munro, J.L. &amp; Balgos, M. (eds.) Artificial reefs in the Philippines. ICLARM Conf. Proc. 49, pp. 6-22., **Website** changed from Unknown to https://core.ac.uk/download/pdf/6515223.pdf;, **Contact_name** changed from Unknown to Miriam Balgos")</f>
        <v>**Region** changed from X to IX, **Restoration_project** changed from Philippine Coral Reef Resources Assessment and Conservation Program (PhilCORE) to Artificial Reef Development Program, **Restoration_project_short** changed from Unknown to Site in San Pedro, **Year of establishment** changed from 2013 to 1987, **Project Start** changed from Unknown to 1985, **Project End** changed from Unknown to 19987, **Technique/Material Type** changed from Unknown to tires; bamboo, **Funding agency** changed from Unknown to BFAR, **Implementing institution** changed from MLGU to BFAR, **Partners_public** changed from DENR to Ministry of Human Settlements, **Reference** changed from Unknown to Balgos, M.C. (1995). Evaluation of artificial reef development in the Philippines. In Munro, J.L. &amp; Balgos, M. (eds.) Artificial reefs in the Philippines. ICLARM Conf. Proc. 49, pp. 6-22., **Website** changed from Unknown to https://core.ac.uk/download/pdf/6515223.pdf;, **Contact_name** changed from Unknown to Miriam Balgos</v>
      </c>
      <c r="I662" s="153" t="s">
        <v>7324</v>
      </c>
      <c r="J662" s="153" t="s">
        <v>590</v>
      </c>
      <c r="K662" s="153" t="s">
        <v>591</v>
      </c>
      <c r="L662" s="153" t="s">
        <v>7288</v>
      </c>
      <c r="M662" s="181" t="s">
        <v>593</v>
      </c>
      <c r="N662" s="153" t="s">
        <v>151</v>
      </c>
      <c r="O662" s="153" t="s">
        <v>384</v>
      </c>
      <c r="P662" s="153" t="s">
        <v>435</v>
      </c>
      <c r="Q662" s="169">
        <v>1987.0</v>
      </c>
      <c r="R662" s="175" t="s">
        <v>6052</v>
      </c>
      <c r="S662" s="175" t="s">
        <v>7289</v>
      </c>
      <c r="T662" s="161" t="s">
        <v>150</v>
      </c>
      <c r="U662" s="153">
        <f>IFERROR(__xludf.DUMMYFUNCTION("""COMPUTED_VALUE"""),634.0)</f>
        <v>634</v>
      </c>
      <c r="V662" s="162" t="s">
        <v>3311</v>
      </c>
      <c r="W662" s="179" t="s">
        <v>6081</v>
      </c>
      <c r="X662" s="28" t="s">
        <v>6082</v>
      </c>
      <c r="Y662" s="32" t="s">
        <v>468</v>
      </c>
      <c r="Z662" s="158" t="s">
        <v>469</v>
      </c>
      <c r="AA662" s="153" t="s">
        <v>469</v>
      </c>
      <c r="AB662" s="158" t="s">
        <v>149</v>
      </c>
      <c r="AC662" s="153" t="s">
        <v>390</v>
      </c>
      <c r="AD662" s="158" t="s">
        <v>160</v>
      </c>
      <c r="AE662" s="158" t="s">
        <v>6035</v>
      </c>
      <c r="AF662" s="158" t="s">
        <v>159</v>
      </c>
      <c r="AG662" s="164" t="s">
        <v>149</v>
      </c>
      <c r="AH662" s="158" t="s">
        <v>149</v>
      </c>
      <c r="AI662" s="158" t="s">
        <v>149</v>
      </c>
      <c r="AJ662" s="153" t="s">
        <v>390</v>
      </c>
      <c r="AK662" s="153" t="s">
        <v>6035</v>
      </c>
      <c r="AL662" s="153" t="s">
        <v>6055</v>
      </c>
      <c r="AM662" s="154" t="s">
        <v>149</v>
      </c>
      <c r="AN662" s="154" t="s">
        <v>149</v>
      </c>
      <c r="AO662" s="156">
        <v>1.0</v>
      </c>
      <c r="AP662" s="156" t="s">
        <v>6037</v>
      </c>
      <c r="AQ662" s="158" t="s">
        <v>395</v>
      </c>
      <c r="AR662" s="153" t="s">
        <v>6060</v>
      </c>
      <c r="AS662" s="158" t="s">
        <v>6711</v>
      </c>
      <c r="AT662" s="153" t="s">
        <v>398</v>
      </c>
      <c r="AU662" s="154" t="s">
        <v>149</v>
      </c>
    </row>
    <row r="663">
      <c r="A663" s="186">
        <v>331.0</v>
      </c>
      <c r="B663" s="152">
        <v>2023.0</v>
      </c>
      <c r="D663" s="152"/>
      <c r="E663" s="151">
        <v>331.0</v>
      </c>
      <c r="F663" s="129" t="s">
        <v>140</v>
      </c>
      <c r="G663" s="3" t="s">
        <v>6029</v>
      </c>
      <c r="H663" s="8" t="str">
        <f>IFERROR(__xludf.DUMMYFUNCTION("""COMPUTED_VALUE"""),"")</f>
        <v/>
      </c>
      <c r="I663" s="8" t="s">
        <v>7325</v>
      </c>
      <c r="J663" s="8" t="s">
        <v>171</v>
      </c>
      <c r="K663" s="8" t="s">
        <v>1725</v>
      </c>
      <c r="L663" s="8" t="s">
        <v>1806</v>
      </c>
      <c r="M663" s="8" t="s">
        <v>1807</v>
      </c>
      <c r="N663" s="8" t="s">
        <v>151</v>
      </c>
      <c r="O663" s="8" t="s">
        <v>7326</v>
      </c>
      <c r="P663" s="3" t="s">
        <v>149</v>
      </c>
      <c r="Q663" s="142" t="s">
        <v>6030</v>
      </c>
      <c r="R663" s="3" t="s">
        <v>149</v>
      </c>
      <c r="S663" s="3" t="s">
        <v>149</v>
      </c>
      <c r="T663" s="8"/>
      <c r="U663" s="8">
        <f>IFERROR(__xludf.DUMMYFUNCTION("""COMPUTED_VALUE"""),635.0)</f>
        <v>635</v>
      </c>
      <c r="V663" s="8"/>
      <c r="W663" s="3"/>
      <c r="X663" s="8"/>
      <c r="Y663" s="8"/>
      <c r="AA663" s="3" t="s">
        <v>149</v>
      </c>
      <c r="AB663" s="3" t="s">
        <v>149</v>
      </c>
      <c r="AC663" s="3" t="s">
        <v>149</v>
      </c>
      <c r="AG663" s="3" t="s">
        <v>149</v>
      </c>
      <c r="AH663" s="3" t="s">
        <v>149</v>
      </c>
      <c r="AI663" s="3" t="s">
        <v>149</v>
      </c>
      <c r="AJ663" s="8" t="s">
        <v>158</v>
      </c>
      <c r="AL663" s="8" t="s">
        <v>7327</v>
      </c>
      <c r="AM663" s="8" t="s">
        <v>7328</v>
      </c>
      <c r="AN663" s="3" t="s">
        <v>149</v>
      </c>
      <c r="AO663" s="8"/>
      <c r="AP663" s="8"/>
      <c r="AR663" s="8" t="s">
        <v>166</v>
      </c>
      <c r="AS663" s="172" t="s">
        <v>7329</v>
      </c>
      <c r="AT663" s="3" t="s">
        <v>149</v>
      </c>
      <c r="AU663" s="3" t="s">
        <v>149</v>
      </c>
    </row>
    <row r="664">
      <c r="A664" s="186">
        <v>332.0</v>
      </c>
      <c r="B664" s="152">
        <v>2025.0</v>
      </c>
      <c r="C664" s="153" t="str">
        <f>CONCATENATE(D664, "-", M664, "-", A664)
</f>
        <v>2023-PH097201000-332</v>
      </c>
      <c r="D664" s="152">
        <f>IF(OR(F663="Published", F663="Unpublished"), 2023, IF(F663="New", 2025, ""))
</f>
        <v>2023</v>
      </c>
      <c r="E664" s="151">
        <v>332.0</v>
      </c>
      <c r="F664" s="129" t="s">
        <v>140</v>
      </c>
      <c r="G664" s="156" t="s">
        <v>141</v>
      </c>
      <c r="H664" s="153" t="str">
        <f>IFERROR(__xludf.DUMMYFUNCTION("""COMPUTED_VALUE"""),"**Region** changed from X to IX, **Restoration_project** changed from Scaling-Up of Coastal and Marine Ecosystem Management Program to Artificial Reef Development Program, **Restoration_project_short** changed from Unknown to Site in Polo, **Year of estab"&amp;"lishment** changed from 2021 to 1987, **Project Start** changed from Unknown to 1985, **Project End** changed from Unknown to 1987, **Technique/Material Type** changed from Unknown to tires; bamboo, **Funding agency** changed from Unknown to BFAR, **Imple"&amp;"menting institution** changed from PLGU to BFAR, **Partners_public** changed from MLGU; PNP; to Ministry of Human Settlements, **Partners_private** changed from Ajis Aqua Sports &amp; Beach Resort, Buddy Dive Center, JEJORS Construction Corporation to Unknown"&amp;", **Reference** changed from News/Press Release to Balgos, M.C. (1995). Evaluation of artificial reef development in the Philippines. In Munro, J.L. &amp; Balgos, M. (eds.) Artificial reefs in the Philippines. ICLARM Conf. Proc. 49, pp. 6-22., **Website** cha"&amp;"nged from https://pro10.pnp.gov.ph/pro10/index.php/56-activities/339-installation-of-artificial-coral-reefs-at-mantigue-island-camiguin to https://core.ac.uk/download/pdf/6515223.pdf;, **Contact_name** changed from Unknown to Miriam Balgos")</f>
        <v>**Region** changed from X to IX, **Restoration_project** changed from Scaling-Up of Coastal and Marine Ecosystem Management Program to Artificial Reef Development Program, **Restoration_project_short** changed from Unknown to Site in Polo, **Year of establishment** changed from 2021 to 1987, **Project Start** changed from Unknown to 1985, **Project End** changed from Unknown to 1987, **Technique/Material Type** changed from Unknown to tires; bamboo, **Funding agency** changed from Unknown to BFAR, **Implementing institution** changed from PLGU to BFAR, **Partners_public** changed from MLGU; PNP; to Ministry of Human Settlements, **Partners_private** changed from Ajis Aqua Sports &amp; Beach Resort, Buddy Dive Center, JEJORS Construction Corporation to Unknown, **Reference** changed from News/Press Release to Balgos, M.C. (1995). Evaluation of artificial reef development in the Philippines. In Munro, J.L. &amp; Balgos, M. (eds.) Artificial reefs in the Philippines. ICLARM Conf. Proc. 49, pp. 6-22., **Website** changed from https://pro10.pnp.gov.ph/pro10/index.php/56-activities/339-installation-of-artificial-coral-reefs-at-mantigue-island-camiguin to https://core.ac.uk/download/pdf/6515223.pdf;, **Contact_name** changed from Unknown to Miriam Balgos</v>
      </c>
      <c r="I664" s="153" t="s">
        <v>7330</v>
      </c>
      <c r="J664" s="153" t="s">
        <v>590</v>
      </c>
      <c r="K664" s="153" t="s">
        <v>591</v>
      </c>
      <c r="L664" s="153" t="s">
        <v>7288</v>
      </c>
      <c r="M664" s="181" t="s">
        <v>593</v>
      </c>
      <c r="N664" s="153" t="s">
        <v>151</v>
      </c>
      <c r="O664" s="153" t="s">
        <v>384</v>
      </c>
      <c r="P664" s="153" t="s">
        <v>596</v>
      </c>
      <c r="Q664" s="169">
        <v>1987.0</v>
      </c>
      <c r="R664" s="175" t="s">
        <v>6052</v>
      </c>
      <c r="S664" s="175" t="s">
        <v>6053</v>
      </c>
      <c r="T664" s="161" t="s">
        <v>150</v>
      </c>
      <c r="U664" s="153">
        <f>IFERROR(__xludf.DUMMYFUNCTION("""COMPUTED_VALUE"""),636.0)</f>
        <v>636</v>
      </c>
      <c r="V664" s="162" t="s">
        <v>3311</v>
      </c>
      <c r="W664" s="179" t="s">
        <v>6081</v>
      </c>
      <c r="X664" s="28" t="s">
        <v>6082</v>
      </c>
      <c r="Y664" s="32" t="s">
        <v>468</v>
      </c>
      <c r="Z664" s="158" t="s">
        <v>469</v>
      </c>
      <c r="AA664" s="153" t="s">
        <v>469</v>
      </c>
      <c r="AB664" s="154" t="s">
        <v>149</v>
      </c>
      <c r="AC664" s="153" t="s">
        <v>390</v>
      </c>
      <c r="AD664" s="158" t="s">
        <v>160</v>
      </c>
      <c r="AE664" s="158" t="s">
        <v>6035</v>
      </c>
      <c r="AF664" s="158" t="s">
        <v>159</v>
      </c>
      <c r="AG664" s="164" t="s">
        <v>149</v>
      </c>
      <c r="AH664" s="158" t="s">
        <v>149</v>
      </c>
      <c r="AI664" s="158" t="s">
        <v>149</v>
      </c>
      <c r="AJ664" s="153" t="s">
        <v>390</v>
      </c>
      <c r="AK664" s="153" t="s">
        <v>6035</v>
      </c>
      <c r="AL664" s="153" t="s">
        <v>6055</v>
      </c>
      <c r="AM664" s="154" t="s">
        <v>149</v>
      </c>
      <c r="AN664" s="154" t="s">
        <v>149</v>
      </c>
      <c r="AO664" s="156">
        <v>1.0</v>
      </c>
      <c r="AP664" s="156" t="s">
        <v>6037</v>
      </c>
      <c r="AQ664" s="158" t="s">
        <v>395</v>
      </c>
      <c r="AR664" s="153" t="s">
        <v>6060</v>
      </c>
      <c r="AS664" s="158" t="s">
        <v>6711</v>
      </c>
      <c r="AT664" s="153" t="s">
        <v>398</v>
      </c>
      <c r="AU664" s="154" t="s">
        <v>149</v>
      </c>
    </row>
    <row r="665">
      <c r="A665" s="186">
        <v>332.0</v>
      </c>
      <c r="B665" s="152">
        <v>2023.0</v>
      </c>
      <c r="D665" s="152"/>
      <c r="E665" s="151">
        <v>332.0</v>
      </c>
      <c r="F665" s="129" t="s">
        <v>140</v>
      </c>
      <c r="G665" s="3" t="s">
        <v>6029</v>
      </c>
      <c r="H665" s="8" t="str">
        <f>IFERROR(__xludf.DUMMYFUNCTION("""COMPUTED_VALUE"""),"")</f>
        <v/>
      </c>
      <c r="I665" s="8" t="s">
        <v>7331</v>
      </c>
      <c r="J665" s="8" t="s">
        <v>171</v>
      </c>
      <c r="K665" s="8" t="s">
        <v>1725</v>
      </c>
      <c r="L665" s="8" t="s">
        <v>1783</v>
      </c>
      <c r="M665" s="8" t="s">
        <v>1784</v>
      </c>
      <c r="N665" s="8" t="s">
        <v>6062</v>
      </c>
      <c r="O665" s="154" t="s">
        <v>149</v>
      </c>
      <c r="P665" s="154" t="s">
        <v>149</v>
      </c>
      <c r="Q665" s="142" t="s">
        <v>6273</v>
      </c>
      <c r="R665" s="154" t="s">
        <v>149</v>
      </c>
      <c r="S665" s="154" t="s">
        <v>149</v>
      </c>
      <c r="T665" s="8"/>
      <c r="U665" s="8">
        <f>IFERROR(__xludf.DUMMYFUNCTION("""COMPUTED_VALUE"""),637.0)</f>
        <v>637</v>
      </c>
      <c r="V665" s="8"/>
      <c r="W665" s="8"/>
      <c r="X665" s="8"/>
      <c r="Y665" s="8"/>
      <c r="AA665" s="8" t="s">
        <v>2482</v>
      </c>
      <c r="AB665" s="8" t="s">
        <v>699</v>
      </c>
      <c r="AC665" s="154" t="s">
        <v>149</v>
      </c>
      <c r="AG665" s="154" t="s">
        <v>149</v>
      </c>
      <c r="AH665" s="154" t="s">
        <v>149</v>
      </c>
      <c r="AI665" s="154" t="s">
        <v>149</v>
      </c>
      <c r="AJ665" s="8" t="s">
        <v>326</v>
      </c>
      <c r="AL665" s="8" t="s">
        <v>2484</v>
      </c>
      <c r="AM665" s="154" t="s">
        <v>149</v>
      </c>
      <c r="AN665" s="154" t="s">
        <v>149</v>
      </c>
      <c r="AO665" s="8"/>
      <c r="AP665" s="8"/>
      <c r="AR665" s="8" t="s">
        <v>166</v>
      </c>
      <c r="AS665" s="8" t="s">
        <v>2486</v>
      </c>
      <c r="AT665" s="154" t="s">
        <v>149</v>
      </c>
      <c r="AU665" s="154" t="s">
        <v>149</v>
      </c>
    </row>
    <row r="666">
      <c r="A666" s="186">
        <v>333.0</v>
      </c>
      <c r="B666" s="152">
        <v>2025.0</v>
      </c>
      <c r="C666" s="153" t="str">
        <f>CONCATENATE(D666, "-", M666, "-", A666)
</f>
        <v>2023-PH097201000-333</v>
      </c>
      <c r="D666" s="152">
        <f>IF(OR(F665="Published", F665="Unpublished"), 2023, IF(F665="New", 2025, ""))
</f>
        <v>2023</v>
      </c>
      <c r="E666" s="151">
        <v>333.0</v>
      </c>
      <c r="F666" s="129" t="s">
        <v>140</v>
      </c>
      <c r="G666" s="156" t="s">
        <v>141</v>
      </c>
      <c r="H666" s="153" t="str">
        <f>IFERROR(__xludf.DUMMYFUNCTION("""COMPUTED_VALUE"""),"**Region** changed from X to IX, **Restoration_project** changed from Unknown to Artificial Reef Development Program, **Restoration_project_short** changed from Unknown to Site in Talisay, **Year of establishment** changed from 2019 to 1987, **Project Sta"&amp;"rt** changed from Unknown to 1985, **Project End** changed from Unknown to 1987, **Restoration method** changed from Asexual Reproduction to Artificial Reef, **Technique/Material Type** changed from Microfragmentation; colony fusion to tires; bamboo, **Re"&amp;"storation objective** changed from Experimental to Unknown, **Funding agency** changed from Unknown to BFAR, **Implementing institution** changed from Sangkalikasan Producers Cooperative to BFAR, **Partners_public** changed from Camiguin Polytechnic State"&amp;" College; to Ministry of Human Settlements, **Reference** changed from News/Press Release to Balgos, M.C. (1995). Evaluation of artificial reef development in the Philippines. In Munro, J.L. &amp; Balgos, M. (eds.) Artificial reefs in the Philippines. ICLARM "&amp;"Conf. Proc. 49, pp. 6-22., **Website** changed from https://www.pna.gov.ph/articles/1124515 to https://core.ac.uk/download/pdf/6515223.pdf;, **Contact_name** changed from Unknown to Miriam Balgos")</f>
        <v>**Region** changed from X to IX, **Restoration_project** changed from Unknown to Artificial Reef Development Program, **Restoration_project_short** changed from Unknown to Site in Talisay, **Year of establishment** changed from 2019 to 1987, **Project Start** changed from Unknown to 1985, **Project End** changed from Unknown to 1987, **Restoration method** changed from Asexual Reproduction to Artificial Reef, **Technique/Material Type** changed from Microfragmentation; colony fusion to tires; bamboo, **Restoration objective** changed from Experimental to Unknown, **Funding agency** changed from Unknown to BFAR, **Implementing institution** changed from Sangkalikasan Producers Cooperative to BFAR, **Partners_public** changed from Camiguin Polytechnic State College; to Ministry of Human Settlements, **Reference** changed from News/Press Release to Balgos, M.C. (1995). Evaluation of artificial reef development in the Philippines. In Munro, J.L. &amp; Balgos, M. (eds.) Artificial reefs in the Philippines. ICLARM Conf. Proc. 49, pp. 6-22., **Website** changed from https://www.pna.gov.ph/articles/1124515 to https://core.ac.uk/download/pdf/6515223.pdf;, **Contact_name** changed from Unknown to Miriam Balgos</v>
      </c>
      <c r="I666" s="153" t="s">
        <v>7332</v>
      </c>
      <c r="J666" s="153" t="s">
        <v>590</v>
      </c>
      <c r="K666" s="153" t="s">
        <v>591</v>
      </c>
      <c r="L666" s="153" t="s">
        <v>7288</v>
      </c>
      <c r="M666" s="181" t="s">
        <v>593</v>
      </c>
      <c r="N666" s="153" t="s">
        <v>151</v>
      </c>
      <c r="O666" s="153" t="s">
        <v>384</v>
      </c>
      <c r="P666" s="153" t="s">
        <v>598</v>
      </c>
      <c r="Q666" s="169">
        <v>1987.0</v>
      </c>
      <c r="R666" s="175" t="s">
        <v>6052</v>
      </c>
      <c r="S666" s="175" t="s">
        <v>6053</v>
      </c>
      <c r="T666" s="161" t="s">
        <v>150</v>
      </c>
      <c r="U666" s="153">
        <f>IFERROR(__xludf.DUMMYFUNCTION("""COMPUTED_VALUE"""),638.0)</f>
        <v>638</v>
      </c>
      <c r="V666" s="162" t="s">
        <v>3311</v>
      </c>
      <c r="W666" s="179" t="s">
        <v>6081</v>
      </c>
      <c r="X666" s="28" t="s">
        <v>6082</v>
      </c>
      <c r="Y666" s="32" t="s">
        <v>468</v>
      </c>
      <c r="Z666" s="158" t="s">
        <v>469</v>
      </c>
      <c r="AA666" s="153" t="s">
        <v>469</v>
      </c>
      <c r="AB666" s="154" t="s">
        <v>149</v>
      </c>
      <c r="AC666" s="153" t="s">
        <v>390</v>
      </c>
      <c r="AD666" s="158" t="s">
        <v>160</v>
      </c>
      <c r="AE666" s="158" t="s">
        <v>6035</v>
      </c>
      <c r="AF666" s="158" t="s">
        <v>159</v>
      </c>
      <c r="AG666" s="164" t="s">
        <v>149</v>
      </c>
      <c r="AH666" s="158" t="s">
        <v>149</v>
      </c>
      <c r="AI666" s="158" t="s">
        <v>149</v>
      </c>
      <c r="AJ666" s="153" t="s">
        <v>390</v>
      </c>
      <c r="AK666" s="153" t="s">
        <v>6035</v>
      </c>
      <c r="AL666" s="153" t="s">
        <v>6055</v>
      </c>
      <c r="AM666" s="154" t="s">
        <v>149</v>
      </c>
      <c r="AN666" s="154" t="s">
        <v>149</v>
      </c>
      <c r="AO666" s="156">
        <v>1.0</v>
      </c>
      <c r="AP666" s="156" t="s">
        <v>6037</v>
      </c>
      <c r="AQ666" s="158" t="s">
        <v>395</v>
      </c>
      <c r="AR666" s="153" t="s">
        <v>6060</v>
      </c>
      <c r="AS666" s="158" t="s">
        <v>6711</v>
      </c>
      <c r="AT666" s="153" t="s">
        <v>398</v>
      </c>
      <c r="AU666" s="154" t="s">
        <v>149</v>
      </c>
    </row>
    <row r="667">
      <c r="A667" s="186">
        <v>333.0</v>
      </c>
      <c r="B667" s="152">
        <v>2023.0</v>
      </c>
      <c r="D667" s="152"/>
      <c r="E667" s="151">
        <v>333.0</v>
      </c>
      <c r="F667" s="129" t="s">
        <v>140</v>
      </c>
      <c r="G667" s="3" t="s">
        <v>6029</v>
      </c>
      <c r="H667" s="8" t="str">
        <f>IFERROR(__xludf.DUMMYFUNCTION("""COMPUTED_VALUE"""),"")</f>
        <v/>
      </c>
      <c r="I667" s="8" t="s">
        <v>7333</v>
      </c>
      <c r="J667" s="8" t="s">
        <v>171</v>
      </c>
      <c r="K667" s="8" t="s">
        <v>1725</v>
      </c>
      <c r="L667" s="8" t="s">
        <v>1783</v>
      </c>
      <c r="M667" s="8" t="s">
        <v>1784</v>
      </c>
      <c r="N667" s="8" t="s">
        <v>151</v>
      </c>
      <c r="O667" s="8" t="s">
        <v>1785</v>
      </c>
      <c r="P667" s="154" t="s">
        <v>149</v>
      </c>
      <c r="Q667" s="142" t="s">
        <v>6089</v>
      </c>
      <c r="R667" s="154" t="s">
        <v>149</v>
      </c>
      <c r="S667" s="154" t="s">
        <v>149</v>
      </c>
      <c r="T667" s="8"/>
      <c r="U667" s="8">
        <f>IFERROR(__xludf.DUMMYFUNCTION("""COMPUTED_VALUE"""),639.0)</f>
        <v>639</v>
      </c>
      <c r="V667" s="8"/>
      <c r="W667" s="3"/>
      <c r="X667" s="8"/>
      <c r="Y667" s="8"/>
      <c r="AA667" s="3" t="s">
        <v>851</v>
      </c>
      <c r="AB667" s="154" t="s">
        <v>149</v>
      </c>
      <c r="AC667" s="154" t="s">
        <v>149</v>
      </c>
      <c r="AG667" s="154" t="s">
        <v>149</v>
      </c>
      <c r="AH667" s="154" t="s">
        <v>149</v>
      </c>
      <c r="AI667" s="154" t="s">
        <v>149</v>
      </c>
      <c r="AJ667" s="8" t="s">
        <v>1787</v>
      </c>
      <c r="AL667" s="8" t="s">
        <v>1788</v>
      </c>
      <c r="AM667" s="154" t="s">
        <v>149</v>
      </c>
      <c r="AN667" s="154" t="s">
        <v>149</v>
      </c>
      <c r="AO667" s="8"/>
      <c r="AP667" s="8"/>
      <c r="AR667" s="154" t="s">
        <v>149</v>
      </c>
      <c r="AS667" s="154" t="s">
        <v>149</v>
      </c>
      <c r="AT667" s="154" t="s">
        <v>149</v>
      </c>
      <c r="AU667" s="154" t="s">
        <v>149</v>
      </c>
    </row>
    <row r="668">
      <c r="A668" s="186">
        <v>334.0</v>
      </c>
      <c r="B668" s="152">
        <v>2025.0</v>
      </c>
      <c r="C668" s="153" t="str">
        <f>CONCATENATE(D668, "-", M668, "-", A668)
</f>
        <v>2023-PH097322000-334</v>
      </c>
      <c r="D668" s="152">
        <f>IF(OR(F667="Published", F667="Unpublished"), 2023, IF(F667="New", 2025, ""))
</f>
        <v>2023</v>
      </c>
      <c r="E668" s="151">
        <v>334.0</v>
      </c>
      <c r="F668" s="129" t="s">
        <v>140</v>
      </c>
      <c r="G668" s="156" t="s">
        <v>141</v>
      </c>
      <c r="H668" s="153" t="str">
        <f>IFERROR(__xludf.DUMMYFUNCTION("""COMPUTED_VALUE"""),"**Region** changed from X to IX, **Restoration_project** changed from Philippine Coral Reef Resources Assessment and Conservation Program (PhilCORE) to Unknown, **Restoration_project_short** changed from Unknown to Tourism-related articles which mentioned"&amp;" artificial reef sites in Dao-Dao Island, **Year of establishment** changed from 2013 to Unknown, **Technique/Material Type** changed from Reefbuds to Unknown, **Implementing institution** changed from MLGU; Sangkalikasan Producers Cooperative to Unknown,"&amp;" **Partners_public** changed from DENR PAWB to Unknown, **Reference** changed from Unknown to Zamboanga del Sur Natural Tourist Attractions (n.d.). Lagaw Mindanao. http://lagawmindanao.blogspot.com/2012/03/zamboanga-del-sur.html, **Website** changed from "&amp;"Unknown to http://lagawmindanao.blogspot.com/2012/03/zamboanga-del-sur.html")</f>
        <v>**Region** changed from X to IX, **Restoration_project** changed from Philippine Coral Reef Resources Assessment and Conservation Program (PhilCORE) to Unknown, **Restoration_project_short** changed from Unknown to Tourism-related articles which mentioned artificial reef sites in Dao-Dao Island, **Year of establishment** changed from 2013 to Unknown, **Technique/Material Type** changed from Reefbuds to Unknown, **Implementing institution** changed from MLGU; Sangkalikasan Producers Cooperative to Unknown, **Partners_public** changed from DENR PAWB to Unknown, **Reference** changed from Unknown to Zamboanga del Sur Natural Tourist Attractions (n.d.). Lagaw Mindanao. http://lagawmindanao.blogspot.com/2012/03/zamboanga-del-sur.html, **Website** changed from Unknown to http://lagawmindanao.blogspot.com/2012/03/zamboanga-del-sur.html</v>
      </c>
      <c r="I668" s="153" t="s">
        <v>7334</v>
      </c>
      <c r="J668" s="153" t="s">
        <v>590</v>
      </c>
      <c r="K668" s="153" t="s">
        <v>769</v>
      </c>
      <c r="L668" s="153" t="s">
        <v>7302</v>
      </c>
      <c r="M668" s="181" t="s">
        <v>771</v>
      </c>
      <c r="N668" s="153" t="s">
        <v>151</v>
      </c>
      <c r="O668" s="158" t="s">
        <v>149</v>
      </c>
      <c r="P668" s="153" t="s">
        <v>7335</v>
      </c>
      <c r="Q668" s="178" t="s">
        <v>149</v>
      </c>
      <c r="R668" s="160" t="s">
        <v>149</v>
      </c>
      <c r="S668" s="160" t="s">
        <v>149</v>
      </c>
      <c r="T668" s="161" t="s">
        <v>150</v>
      </c>
      <c r="U668" s="153">
        <f>IFERROR(__xludf.DUMMYFUNCTION("""COMPUTED_VALUE"""),640.0)</f>
        <v>640</v>
      </c>
      <c r="V668" s="162" t="s">
        <v>3311</v>
      </c>
      <c r="W668" s="187" t="s">
        <v>149</v>
      </c>
      <c r="X668" s="184"/>
      <c r="Y668" s="184" t="s">
        <v>149</v>
      </c>
      <c r="Z668" s="158" t="s">
        <v>149</v>
      </c>
      <c r="AA668" s="158" t="s">
        <v>149</v>
      </c>
      <c r="AB668" s="154" t="s">
        <v>149</v>
      </c>
      <c r="AC668" s="158" t="s">
        <v>149</v>
      </c>
      <c r="AD668" s="158" t="s">
        <v>149</v>
      </c>
      <c r="AE668" s="158" t="s">
        <v>149</v>
      </c>
      <c r="AF668" s="158" t="s">
        <v>149</v>
      </c>
      <c r="AG668" s="164" t="s">
        <v>149</v>
      </c>
      <c r="AH668" s="158" t="s">
        <v>149</v>
      </c>
      <c r="AI668" s="158" t="s">
        <v>149</v>
      </c>
      <c r="AJ668" s="158" t="s">
        <v>149</v>
      </c>
      <c r="AK668" s="158" t="s">
        <v>149</v>
      </c>
      <c r="AL668" s="154" t="s">
        <v>149</v>
      </c>
      <c r="AM668" s="154" t="s">
        <v>149</v>
      </c>
      <c r="AN668" s="154" t="s">
        <v>149</v>
      </c>
      <c r="AO668" s="156">
        <v>1.0</v>
      </c>
      <c r="AP668" s="156" t="s">
        <v>6037</v>
      </c>
      <c r="AQ668" s="158" t="s">
        <v>6091</v>
      </c>
      <c r="AR668" s="153" t="s">
        <v>3170</v>
      </c>
      <c r="AS668" s="172" t="s">
        <v>3171</v>
      </c>
      <c r="AT668" s="154" t="s">
        <v>149</v>
      </c>
      <c r="AU668" s="154" t="s">
        <v>149</v>
      </c>
    </row>
    <row r="669">
      <c r="A669" s="186">
        <v>334.0</v>
      </c>
      <c r="B669" s="152">
        <v>2023.0</v>
      </c>
      <c r="D669" s="152"/>
      <c r="E669" s="151">
        <v>334.0</v>
      </c>
      <c r="F669" s="129" t="s">
        <v>140</v>
      </c>
      <c r="G669" s="3" t="s">
        <v>6029</v>
      </c>
      <c r="H669" s="8" t="str">
        <f>IFERROR(__xludf.DUMMYFUNCTION("""COMPUTED_VALUE"""),"")</f>
        <v/>
      </c>
      <c r="I669" s="8" t="s">
        <v>7336</v>
      </c>
      <c r="J669" s="8" t="s">
        <v>171</v>
      </c>
      <c r="K669" s="8" t="s">
        <v>976</v>
      </c>
      <c r="L669" s="8" t="s">
        <v>1502</v>
      </c>
      <c r="M669" s="153" t="s">
        <v>1503</v>
      </c>
      <c r="N669" s="8" t="s">
        <v>151</v>
      </c>
      <c r="O669" s="8" t="s">
        <v>1377</v>
      </c>
      <c r="P669" s="3" t="s">
        <v>149</v>
      </c>
      <c r="Q669" s="3" t="s">
        <v>149</v>
      </c>
      <c r="R669" s="142" t="s">
        <v>6198</v>
      </c>
      <c r="S669" s="142" t="s">
        <v>6199</v>
      </c>
      <c r="T669" s="8"/>
      <c r="U669" s="8">
        <f>IFERROR(__xludf.DUMMYFUNCTION("""COMPUTED_VALUE"""),641.0)</f>
        <v>641</v>
      </c>
      <c r="V669" s="8"/>
      <c r="W669" s="3"/>
      <c r="X669" s="8"/>
      <c r="Y669" s="8"/>
      <c r="AA669" s="3" t="s">
        <v>149</v>
      </c>
      <c r="AB669" s="3" t="s">
        <v>149</v>
      </c>
      <c r="AC669" s="8" t="s">
        <v>1381</v>
      </c>
      <c r="AG669" s="3" t="s">
        <v>149</v>
      </c>
      <c r="AH669" s="3" t="s">
        <v>149</v>
      </c>
      <c r="AI669" s="3" t="s">
        <v>149</v>
      </c>
      <c r="AJ669" s="8" t="s">
        <v>660</v>
      </c>
      <c r="AL669" s="8" t="s">
        <v>369</v>
      </c>
      <c r="AM669" s="3" t="s">
        <v>149</v>
      </c>
      <c r="AN669" s="3" t="s">
        <v>149</v>
      </c>
      <c r="AO669" s="8"/>
      <c r="AP669" s="8"/>
      <c r="AR669" s="8" t="s">
        <v>395</v>
      </c>
      <c r="AS669" s="8" t="s">
        <v>2873</v>
      </c>
      <c r="AT669" s="8" t="s">
        <v>398</v>
      </c>
      <c r="AU669" s="3" t="s">
        <v>149</v>
      </c>
    </row>
    <row r="670">
      <c r="A670" s="186">
        <v>335.0</v>
      </c>
      <c r="B670" s="152">
        <v>2025.0</v>
      </c>
      <c r="C670" s="153" t="str">
        <f>CONCATENATE(D670, "-", M670, "-", A670)
</f>
        <v>2023-PH097322000-335</v>
      </c>
      <c r="D670" s="152">
        <f>IF(OR(F669="Published", F669="Unpublished"), 2023, IF(F669="New", 2025, ""))
</f>
        <v>2023</v>
      </c>
      <c r="E670" s="151">
        <v>335.0</v>
      </c>
      <c r="F670" s="129" t="s">
        <v>140</v>
      </c>
      <c r="G670" s="156" t="s">
        <v>141</v>
      </c>
      <c r="H670" s="153" t="str">
        <f>IFERROR(__xludf.DUMMYFUNCTION("""COMPUTED_VALUE"""),"**Region** changed from X to IX, **Restoration_project** changed from Fisheries Sector Program to Build-A-Reef Program, **Year of establishment** changed from Unknown to 2021, **Project Start** changed from 1990 to Unknown, **Project End** changed from 19"&amp;"94 to Unknown, **Funding agency** changed from ADB, Overseas Economic Cooperation Fund of Japan to Unknown, **Implementing institution** changed from DA to Philippine Coast Guard, **Partners_public** changed from MLGU to Unknown, **Partners_private** chan"&amp;"ged from Unknown to Abdkt Freedive Team Strong Scuba; JCI Greater Pagadian, **Reference** changed from Conference Proceeding to PCGA 312th Auxiliary Squadron (2021, February 15). Build a Reef program of 312th Squadron, in partnership with CGS Zamboanga de"&amp;"l Sur, JCI Greater Pagadian, BFAR Zamboanga del [Status Update]. Facebook. https://web.facebook.com/people/PCGA-312th-Auxiliary-Squadron/100064379604303/?_rdc=1&amp;_rdr [Video removed], **Website** changed from http://pubs.iclarm.net/libinfo/Pdf/Pub%20CP6%20"&amp;"49.pdf to https://web.facebook.com/people/PCGA-312th-Auxiliary-Squadron/100064379604303/?_rdc=1&amp;_rdr, **Contact_name** changed from Miriam Balgos to Unknown")</f>
        <v>**Region** changed from X to IX, **Restoration_project** changed from Fisheries Sector Program to Build-A-Reef Program, **Year of establishment** changed from Unknown to 2021, **Project Start** changed from 1990 to Unknown, **Project End** changed from 1994 to Unknown, **Funding agency** changed from ADB, Overseas Economic Cooperation Fund of Japan to Unknown, **Implementing institution** changed from DA to Philippine Coast Guard, **Partners_public** changed from MLGU to Unknown, **Partners_private** changed from Unknown to Abdkt Freedive Team Strong Scuba; JCI Greater Pagadian, **Reference** changed from Conference Proceeding to PCGA 312th Auxiliary Squadron (2021, February 15). Build a Reef program of 312th Squadron, in partnership with CGS Zamboanga del Sur, JCI Greater Pagadian, BFAR Zamboanga del [Status Update]. Facebook. https://web.facebook.com/people/PCGA-312th-Auxiliary-Squadron/100064379604303/?_rdc=1&amp;_rdr [Video removed], **Website** changed from http://pubs.iclarm.net/libinfo/Pdf/Pub%20CP6%2049.pdf to https://web.facebook.com/people/PCGA-312th-Auxiliary-Squadron/100064379604303/?_rdc=1&amp;_rdr, **Contact_name** changed from Miriam Balgos to Unknown</v>
      </c>
      <c r="I670" s="153" t="s">
        <v>7337</v>
      </c>
      <c r="J670" s="153" t="s">
        <v>590</v>
      </c>
      <c r="K670" s="153" t="s">
        <v>769</v>
      </c>
      <c r="L670" s="153" t="s">
        <v>7302</v>
      </c>
      <c r="M670" s="181" t="s">
        <v>771</v>
      </c>
      <c r="N670" s="153" t="s">
        <v>151</v>
      </c>
      <c r="O670" s="153" t="s">
        <v>772</v>
      </c>
      <c r="P670" s="154" t="s">
        <v>149</v>
      </c>
      <c r="Q670" s="178">
        <v>2021.0</v>
      </c>
      <c r="R670" s="160" t="s">
        <v>149</v>
      </c>
      <c r="S670" s="160" t="s">
        <v>149</v>
      </c>
      <c r="T670" s="161" t="s">
        <v>150</v>
      </c>
      <c r="U670" s="153">
        <f>IFERROR(__xludf.DUMMYFUNCTION("""COMPUTED_VALUE"""),642.0)</f>
        <v>642</v>
      </c>
      <c r="V670" s="162" t="s">
        <v>3311</v>
      </c>
      <c r="W670" s="187" t="s">
        <v>149</v>
      </c>
      <c r="X670" s="184"/>
      <c r="Y670" s="184" t="s">
        <v>149</v>
      </c>
      <c r="Z670" s="158" t="s">
        <v>149</v>
      </c>
      <c r="AA670" s="158" t="s">
        <v>149</v>
      </c>
      <c r="AB670" s="154" t="s">
        <v>149</v>
      </c>
      <c r="AC670" s="158" t="s">
        <v>149</v>
      </c>
      <c r="AD670" s="158" t="s">
        <v>149</v>
      </c>
      <c r="AE670" s="158" t="s">
        <v>149</v>
      </c>
      <c r="AF670" s="158" t="s">
        <v>149</v>
      </c>
      <c r="AG670" s="164" t="s">
        <v>149</v>
      </c>
      <c r="AH670" s="158" t="s">
        <v>149</v>
      </c>
      <c r="AI670" s="158" t="s">
        <v>149</v>
      </c>
      <c r="AJ670" s="153" t="s">
        <v>760</v>
      </c>
      <c r="AK670" s="153" t="s">
        <v>6035</v>
      </c>
      <c r="AL670" s="154" t="s">
        <v>149</v>
      </c>
      <c r="AM670" s="153" t="s">
        <v>773</v>
      </c>
      <c r="AN670" s="154" t="s">
        <v>149</v>
      </c>
      <c r="AO670" s="156">
        <v>1.0</v>
      </c>
      <c r="AP670" s="156" t="s">
        <v>6037</v>
      </c>
      <c r="AQ670" s="153" t="s">
        <v>6038</v>
      </c>
      <c r="AR670" s="153" t="s">
        <v>774</v>
      </c>
      <c r="AS670" s="165" t="s">
        <v>775</v>
      </c>
      <c r="AT670" s="154" t="s">
        <v>149</v>
      </c>
      <c r="AU670" s="154" t="s">
        <v>149</v>
      </c>
    </row>
    <row r="671">
      <c r="A671" s="186">
        <v>335.0</v>
      </c>
      <c r="B671" s="152">
        <v>2023.0</v>
      </c>
      <c r="D671" s="152"/>
      <c r="E671" s="151">
        <v>335.0</v>
      </c>
      <c r="F671" s="129" t="s">
        <v>140</v>
      </c>
      <c r="G671" s="3" t="s">
        <v>3279</v>
      </c>
      <c r="H671" s="8" t="str">
        <f>IFERROR(__xludf.DUMMYFUNCTION("""COMPUTED_VALUE"""),"")</f>
        <v/>
      </c>
      <c r="I671" s="8" t="s">
        <v>7338</v>
      </c>
      <c r="J671" s="8" t="s">
        <v>171</v>
      </c>
      <c r="K671" s="8" t="s">
        <v>976</v>
      </c>
      <c r="L671" s="8" t="s">
        <v>7339</v>
      </c>
      <c r="M671" s="8" t="s">
        <v>1506</v>
      </c>
      <c r="N671" s="8" t="s">
        <v>151</v>
      </c>
      <c r="O671" s="8" t="s">
        <v>384</v>
      </c>
      <c r="Q671" s="142" t="s">
        <v>6051</v>
      </c>
      <c r="R671" s="142"/>
      <c r="S671" s="142"/>
      <c r="U671" s="8">
        <f>IFERROR(__xludf.DUMMYFUNCTION("""COMPUTED_VALUE"""),643.0)</f>
        <v>643</v>
      </c>
      <c r="V671" s="8"/>
      <c r="W671" s="8"/>
      <c r="AG671" s="142"/>
      <c r="AJ671" s="8" t="s">
        <v>390</v>
      </c>
      <c r="AL671" s="8" t="s">
        <v>6055</v>
      </c>
      <c r="AO671" s="8"/>
      <c r="AP671" s="8"/>
    </row>
    <row r="672">
      <c r="A672" s="186">
        <v>336.0</v>
      </c>
      <c r="B672" s="152">
        <v>2025.0</v>
      </c>
      <c r="C672" s="153" t="str">
        <f>CONCATENATE(D672, "-", M672, "-", A672)
</f>
        <v>2023-PH097332000-336</v>
      </c>
      <c r="D672" s="152">
        <f>IF(OR(F671="Published", F671="Unpublished"), 2023, IF(F671="New", 2025, ""))
</f>
        <v>2023</v>
      </c>
      <c r="E672" s="151">
        <v>336.0</v>
      </c>
      <c r="F672" s="129" t="s">
        <v>140</v>
      </c>
      <c r="G672" s="156" t="s">
        <v>141</v>
      </c>
      <c r="H672" s="153" t="str">
        <f>IFERROR(__xludf.DUMMYFUNCTION("""COMPUTED_VALUE"""),"**Region** changed from X to IX, **Restoration_project** changed from Artificial Reef Development Program to National Coral Reef Rehabilitation Roll-Out Program, **Restoration_project_short** changed from to Unknown, **Year of establishment** changed from"&amp;" 1986 to 2015, **Project Start** changed from to 2014, **Project End** changed from to 2016, **Restoration method** changed from Artificial Reef to Asexual Reproduction, **Technique/Material Type** changed from to Unknown, **Restoration objective** change"&amp;"d from to Unknown, **Funding agency** changed from to DOST-PCAARRD, **Total funding** changed from to Unknown, **Total area of restoration** changed from to Unknown, **Total units** changed from to 15 CNUs/15,280 COPs, **Implementing institution** changed"&amp;" from BFAR to Sangkalikasan Producers Cooperative, **Partners_public** changed from Ministry of Human Settlements to Zamboanga State College for Marine Science and Technology (ZSCMST), **Partners_private** changed from to Unknown, **Partners_communities**"&amp;" changed from to Unknown, **Reference** changed from to DOST-PCAARRD. (n.d.). DOST-PCAARRD National Corals Rehabilitation Program Briefer Report. , **Website** changed from to Report uploaded in the Google Drive; https://savethephilippinecoralreefs.wordpr"&amp;"ess.com/2013/03/24/government-and-army-assist-with-coral-farming-on-nogas-coral-reefs/, **Contact_name** changed from to Mr. Jose Rodriguez, **Contact_details** changed from to sangkalikasan2016@gmail.com")</f>
        <v>**Region** changed from X to IX, **Restoration_project** changed from Artificial Reef Development Program to National Coral Reef Rehabilitation Roll-Out Program, **Restoration_project_short** changed from to Unknown, **Year of establishment** changed from 1986 to 2015, **Project Start** changed from to 2014, **Project End** changed from to 2016, **Restoration method** changed from Artificial Reef to Asexual Reproduction, **Technique/Material Type** changed from to Unknown, **Restoration objective** changed from to Unknown, **Funding agency** changed from to DOST-PCAARRD, **Total funding** changed from to Unknown, **Total area of restoration** changed from to Unknown, **Total units** changed from to 15 CNUs/15,280 COPs, **Implementing institution** changed from BFAR to Sangkalikasan Producers Cooperative, **Partners_public** changed from Ministry of Human Settlements to Zamboanga State College for Marine Science and Technology (ZSCMST), **Partners_private** changed from to Unknown, **Partners_communities** changed from to Unknown, **Reference** changed from to DOST-PCAARRD. (n.d.). DOST-PCAARRD National Corals Rehabilitation Program Briefer Report. , **Website** changed from to Report uploaded in the Google Drive; https://savethephilippinecoralreefs.wordpress.com/2013/03/24/government-and-army-assist-with-coral-farming-on-nogas-coral-reefs/, **Contact_name** changed from to Mr. Jose Rodriguez, **Contact_details** changed from to sangkalikasan2016@gmail.com</v>
      </c>
      <c r="I672" s="153" t="s">
        <v>7340</v>
      </c>
      <c r="J672" s="153" t="s">
        <v>590</v>
      </c>
      <c r="K672" s="153" t="s">
        <v>769</v>
      </c>
      <c r="L672" s="153" t="s">
        <v>7312</v>
      </c>
      <c r="M672" s="181" t="s">
        <v>1518</v>
      </c>
      <c r="N672" s="153" t="s">
        <v>6062</v>
      </c>
      <c r="O672" s="153" t="s">
        <v>1683</v>
      </c>
      <c r="P672" s="154" t="s">
        <v>149</v>
      </c>
      <c r="Q672" s="178">
        <v>2015.0</v>
      </c>
      <c r="R672" s="175" t="s">
        <v>6063</v>
      </c>
      <c r="S672" s="175" t="s">
        <v>6064</v>
      </c>
      <c r="T672" s="156" t="s">
        <v>177</v>
      </c>
      <c r="U672" s="153">
        <f>IFERROR(__xludf.DUMMYFUNCTION("""COMPUTED_VALUE"""),644.0)</f>
        <v>644</v>
      </c>
      <c r="V672" s="191" t="s">
        <v>149</v>
      </c>
      <c r="W672" s="180" t="s">
        <v>149</v>
      </c>
      <c r="X672" s="180"/>
      <c r="Y672" s="180" t="s">
        <v>154</v>
      </c>
      <c r="Z672" s="158" t="s">
        <v>149</v>
      </c>
      <c r="AA672" s="158" t="s">
        <v>149</v>
      </c>
      <c r="AB672" s="154" t="s">
        <v>149</v>
      </c>
      <c r="AC672" s="153" t="s">
        <v>321</v>
      </c>
      <c r="AD672" s="158" t="s">
        <v>160</v>
      </c>
      <c r="AE672" s="158" t="s">
        <v>6035</v>
      </c>
      <c r="AF672" s="158" t="s">
        <v>159</v>
      </c>
      <c r="AG672" s="164" t="s">
        <v>149</v>
      </c>
      <c r="AH672" s="158" t="s">
        <v>149</v>
      </c>
      <c r="AI672" s="153" t="s">
        <v>1719</v>
      </c>
      <c r="AJ672" s="153" t="s">
        <v>326</v>
      </c>
      <c r="AK672" s="158" t="s">
        <v>271</v>
      </c>
      <c r="AL672" s="153" t="s">
        <v>1720</v>
      </c>
      <c r="AM672" s="154" t="s">
        <v>149</v>
      </c>
      <c r="AN672" s="154" t="s">
        <v>149</v>
      </c>
      <c r="AO672" s="156">
        <v>1.0</v>
      </c>
      <c r="AP672" s="156" t="s">
        <v>6037</v>
      </c>
      <c r="AQ672" s="158" t="s">
        <v>6069</v>
      </c>
      <c r="AR672" s="153" t="s">
        <v>1300</v>
      </c>
      <c r="AS672" s="153" t="s">
        <v>7029</v>
      </c>
      <c r="AT672" s="153" t="s">
        <v>1722</v>
      </c>
      <c r="AU672" s="165" t="s">
        <v>1723</v>
      </c>
    </row>
    <row r="673">
      <c r="A673" s="186">
        <v>336.0</v>
      </c>
      <c r="B673" s="152">
        <v>2023.0</v>
      </c>
      <c r="D673" s="152"/>
      <c r="E673" s="151">
        <v>336.0</v>
      </c>
      <c r="F673" s="129" t="s">
        <v>140</v>
      </c>
      <c r="G673" s="3" t="s">
        <v>6029</v>
      </c>
      <c r="H673" s="8" t="str">
        <f>IFERROR(__xludf.DUMMYFUNCTION("""COMPUTED_VALUE"""),"")</f>
        <v/>
      </c>
      <c r="I673" s="8" t="s">
        <v>7341</v>
      </c>
      <c r="J673" s="8" t="s">
        <v>171</v>
      </c>
      <c r="K673" s="8" t="s">
        <v>976</v>
      </c>
      <c r="L673" s="153" t="s">
        <v>7342</v>
      </c>
      <c r="M673" s="153" t="s">
        <v>1506</v>
      </c>
      <c r="N673" s="8" t="s">
        <v>151</v>
      </c>
      <c r="O673" s="8" t="s">
        <v>1377</v>
      </c>
      <c r="P673" s="8" t="s">
        <v>1507</v>
      </c>
      <c r="Q673" s="154" t="s">
        <v>149</v>
      </c>
      <c r="R673" s="142" t="s">
        <v>6198</v>
      </c>
      <c r="S673" s="142" t="s">
        <v>6199</v>
      </c>
      <c r="T673" s="8"/>
      <c r="U673" s="8">
        <f>IFERROR(__xludf.DUMMYFUNCTION("""COMPUTED_VALUE"""),645.0)</f>
        <v>645</v>
      </c>
      <c r="V673" s="8"/>
      <c r="W673" s="154"/>
      <c r="X673" s="8"/>
      <c r="Y673" s="8"/>
      <c r="AA673" s="154" t="s">
        <v>149</v>
      </c>
      <c r="AB673" s="154" t="s">
        <v>149</v>
      </c>
      <c r="AC673" s="8" t="s">
        <v>1381</v>
      </c>
      <c r="AG673" s="154" t="s">
        <v>149</v>
      </c>
      <c r="AH673" s="154" t="s">
        <v>149</v>
      </c>
      <c r="AI673" s="154" t="s">
        <v>149</v>
      </c>
      <c r="AJ673" s="8" t="s">
        <v>660</v>
      </c>
      <c r="AL673" s="8" t="s">
        <v>369</v>
      </c>
      <c r="AM673" s="154" t="s">
        <v>149</v>
      </c>
      <c r="AN673" s="154" t="s">
        <v>149</v>
      </c>
      <c r="AO673" s="8"/>
      <c r="AP673" s="8"/>
      <c r="AR673" s="8" t="s">
        <v>395</v>
      </c>
      <c r="AS673" s="8" t="s">
        <v>2873</v>
      </c>
      <c r="AT673" s="8" t="s">
        <v>398</v>
      </c>
      <c r="AU673" s="154" t="s">
        <v>149</v>
      </c>
    </row>
    <row r="674">
      <c r="A674" s="186">
        <v>337.0</v>
      </c>
      <c r="B674" s="152">
        <v>2025.0</v>
      </c>
      <c r="C674" s="153" t="str">
        <f>CONCATENATE(D674, "-", M674, "-", A674)
</f>
        <v>2023-PH097332000-337</v>
      </c>
      <c r="D674" s="152">
        <f>IF(OR(F673="Published", F673="Unpublished"), 2023, IF(F673="New", 2025, ""))
</f>
        <v>2023</v>
      </c>
      <c r="E674" s="151">
        <v>337.0</v>
      </c>
      <c r="F674" s="129" t="s">
        <v>140</v>
      </c>
      <c r="G674" s="156" t="s">
        <v>141</v>
      </c>
      <c r="H674" s="153" t="str">
        <f>IFERROR(__xludf.DUMMYFUNCTION("""COMPUTED_VALUE"""),"**Region** changed from X to IX, **Restoration_project** changed from Fisheries Sector Program to Great Santa Cruz Island Coral Reef Restoration Project, **Restoration_project_short** changed from Site in San Antonio to Unknown, **Year of establishment** "&amp;"changed from Unknown to 2020, **Project Start** changed from 1990 to Unknown, **Project End** changed from 1994 to Unknown, **Technique/Material Type** changed from Unknown to Concrete slabs, **Restoration objective** changed from Unknown to Protect natur"&amp;"al resources, **Funding agency** changed from ADB, Overseas Economic Cooperation Fund of Japan to Philippine Navy Naval Forces Western Mindanao (NAVFORWEM), **Total units** changed from Unknown to 2 modules, **Implementing institution** changed from DA to"&amp;" Philippine Navy Naval Forces Western Mindanao (NAVFORWEM), **Partners_public** changed from MLGU to CLGU, PAMU, ZCSMST, DENR , **Reference** changed from Conference Proceeding to RPN (2020, November 16). Navy Frogmen Laid Artificial Coral Reefs to Protec"&amp;"t Pink Sand Sta Cruz Island in Zamboanga. RPN Radio. https://rpnradio.com/navy-frogmen-laid-artificial-coral-reefs-to-protect-pink-sand-sta-cruz-island-in-zamboanga/, **Website** changed from http://pubs.iclarm.net/libinfo/Pdf/Pub%20CP6%2049.pdf to https:"&amp;"//rpnradio.com/navy-frogmen-laid-artificial-coral-reefs-to-protect-pink-sand-sta-cruz-island-in-zamboanga/, **Contact_name** changed from Miriam Balgos to Unknown")</f>
        <v>**Region** changed from X to IX, **Restoration_project** changed from Fisheries Sector Program to Great Santa Cruz Island Coral Reef Restoration Project, **Restoration_project_short** changed from Site in San Antonio to Unknown, **Year of establishment** changed from Unknown to 2020, **Project Start** changed from 1990 to Unknown, **Project End** changed from 1994 to Unknown, **Technique/Material Type** changed from Unknown to Concrete slabs, **Restoration objective** changed from Unknown to Protect natural resources, **Funding agency** changed from ADB, Overseas Economic Cooperation Fund of Japan to Philippine Navy Naval Forces Western Mindanao (NAVFORWEM), **Total units** changed from Unknown to 2 modules, **Implementing institution** changed from DA to Philippine Navy Naval Forces Western Mindanao (NAVFORWEM), **Partners_public** changed from MLGU to CLGU, PAMU, ZCSMST, DENR , **Reference** changed from Conference Proceeding to RPN (2020, November 16). Navy Frogmen Laid Artificial Coral Reefs to Protect Pink Sand Sta Cruz Island in Zamboanga. RPN Radio. https://rpnradio.com/navy-frogmen-laid-artificial-coral-reefs-to-protect-pink-sand-sta-cruz-island-in-zamboanga/, **Website** changed from http://pubs.iclarm.net/libinfo/Pdf/Pub%20CP6%2049.pdf to https://rpnradio.com/navy-frogmen-laid-artificial-coral-reefs-to-protect-pink-sand-sta-cruz-island-in-zamboanga/, **Contact_name** changed from Miriam Balgos to Unknown</v>
      </c>
      <c r="I674" s="153" t="s">
        <v>7343</v>
      </c>
      <c r="J674" s="153" t="s">
        <v>590</v>
      </c>
      <c r="K674" s="153" t="s">
        <v>769</v>
      </c>
      <c r="L674" s="153" t="s">
        <v>7312</v>
      </c>
      <c r="M674" s="181" t="s">
        <v>1518</v>
      </c>
      <c r="N674" s="153" t="s">
        <v>151</v>
      </c>
      <c r="O674" s="153" t="s">
        <v>1519</v>
      </c>
      <c r="P674" s="154" t="s">
        <v>149</v>
      </c>
      <c r="Q674" s="169">
        <v>2020.0</v>
      </c>
      <c r="R674" s="160" t="s">
        <v>149</v>
      </c>
      <c r="S674" s="160" t="s">
        <v>149</v>
      </c>
      <c r="T674" s="161" t="s">
        <v>150</v>
      </c>
      <c r="U674" s="153">
        <f>IFERROR(__xludf.DUMMYFUNCTION("""COMPUTED_VALUE"""),646.0)</f>
        <v>646</v>
      </c>
      <c r="V674" s="162" t="s">
        <v>3311</v>
      </c>
      <c r="W674" s="184" t="s">
        <v>6032</v>
      </c>
      <c r="X674" s="28" t="s">
        <v>6033</v>
      </c>
      <c r="Y674" s="32" t="s">
        <v>3376</v>
      </c>
      <c r="Z674" s="158" t="s">
        <v>3376</v>
      </c>
      <c r="AA674" s="158" t="s">
        <v>3376</v>
      </c>
      <c r="AB674" s="158" t="s">
        <v>1522</v>
      </c>
      <c r="AC674" s="158" t="s">
        <v>1523</v>
      </c>
      <c r="AD674" s="158" t="s">
        <v>160</v>
      </c>
      <c r="AE674" s="158" t="s">
        <v>6035</v>
      </c>
      <c r="AF674" s="158" t="s">
        <v>159</v>
      </c>
      <c r="AG674" s="164" t="s">
        <v>149</v>
      </c>
      <c r="AH674" s="158" t="s">
        <v>149</v>
      </c>
      <c r="AI674" s="158" t="s">
        <v>7344</v>
      </c>
      <c r="AJ674" s="153" t="s">
        <v>1523</v>
      </c>
      <c r="AK674" s="153" t="s">
        <v>6035</v>
      </c>
      <c r="AL674" s="153" t="s">
        <v>7345</v>
      </c>
      <c r="AM674" s="156" t="s">
        <v>149</v>
      </c>
      <c r="AN674" s="154" t="s">
        <v>149</v>
      </c>
      <c r="AO674" s="156">
        <v>1.0</v>
      </c>
      <c r="AP674" s="156" t="s">
        <v>6037</v>
      </c>
      <c r="AQ674" s="158" t="s">
        <v>166</v>
      </c>
      <c r="AR674" s="153" t="s">
        <v>7346</v>
      </c>
      <c r="AS674" s="165" t="s">
        <v>1527</v>
      </c>
      <c r="AT674" s="154" t="s">
        <v>149</v>
      </c>
      <c r="AU674" s="154" t="s">
        <v>149</v>
      </c>
    </row>
    <row r="675">
      <c r="A675" s="186">
        <v>337.0</v>
      </c>
      <c r="B675" s="152">
        <v>2023.0</v>
      </c>
      <c r="D675" s="152"/>
      <c r="E675" s="151">
        <v>337.0</v>
      </c>
      <c r="F675" s="129" t="s">
        <v>140</v>
      </c>
      <c r="G675" s="3" t="s">
        <v>6029</v>
      </c>
      <c r="H675" s="8" t="str">
        <f>IFERROR(__xludf.DUMMYFUNCTION("""COMPUTED_VALUE"""),"")</f>
        <v/>
      </c>
      <c r="I675" s="8" t="s">
        <v>7347</v>
      </c>
      <c r="J675" s="8" t="s">
        <v>171</v>
      </c>
      <c r="K675" s="8" t="s">
        <v>976</v>
      </c>
      <c r="L675" s="8" t="s">
        <v>977</v>
      </c>
      <c r="M675" s="198" t="s">
        <v>978</v>
      </c>
      <c r="N675" s="8" t="s">
        <v>6062</v>
      </c>
      <c r="O675" s="8" t="s">
        <v>934</v>
      </c>
      <c r="P675" s="154" t="s">
        <v>149</v>
      </c>
      <c r="Q675" s="142" t="s">
        <v>6229</v>
      </c>
      <c r="R675" s="142" t="s">
        <v>6229</v>
      </c>
      <c r="S675" s="142" t="s">
        <v>6230</v>
      </c>
      <c r="T675" s="8"/>
      <c r="U675" s="8">
        <f>IFERROR(__xludf.DUMMYFUNCTION("""COMPUTED_VALUE"""),647.0)</f>
        <v>647</v>
      </c>
      <c r="V675" s="8"/>
      <c r="W675" s="3"/>
      <c r="X675" s="8"/>
      <c r="Y675" s="8"/>
      <c r="AA675" s="3" t="s">
        <v>3245</v>
      </c>
      <c r="AB675" s="8" t="s">
        <v>939</v>
      </c>
      <c r="AC675" s="8" t="s">
        <v>940</v>
      </c>
      <c r="AG675" s="154" t="s">
        <v>149</v>
      </c>
      <c r="AH675" s="154" t="s">
        <v>149</v>
      </c>
      <c r="AI675" s="154" t="s">
        <v>149</v>
      </c>
      <c r="AJ675" s="8" t="s">
        <v>233</v>
      </c>
      <c r="AL675" s="154" t="s">
        <v>149</v>
      </c>
      <c r="AM675" s="154" t="s">
        <v>149</v>
      </c>
      <c r="AN675" s="154" t="s">
        <v>149</v>
      </c>
      <c r="AO675" s="8"/>
      <c r="AP675" s="8"/>
      <c r="AR675" s="8" t="s">
        <v>6214</v>
      </c>
      <c r="AS675" s="8" t="s">
        <v>942</v>
      </c>
      <c r="AT675" s="8" t="s">
        <v>943</v>
      </c>
      <c r="AU675" s="154" t="s">
        <v>149</v>
      </c>
    </row>
    <row r="676">
      <c r="A676" s="186">
        <v>338.0</v>
      </c>
      <c r="B676" s="152">
        <v>2025.0</v>
      </c>
      <c r="C676" s="153" t="str">
        <f>CONCATENATE(D676, "-", M676, "-", A676)
</f>
        <v>2023-PH101802000-338</v>
      </c>
      <c r="D676" s="152">
        <f>IF(OR(F675="Published", F675="Unpublished"), 2023, IF(F675="New", 2025, ""))
</f>
        <v>2023</v>
      </c>
      <c r="E676" s="151">
        <v>338.0</v>
      </c>
      <c r="F676" s="129" t="s">
        <v>140</v>
      </c>
      <c r="G676" s="156" t="s">
        <v>141</v>
      </c>
      <c r="H676" s="153" t="str">
        <f>IFERROR(__xludf.DUMMYFUNCTION("""COMPUTED_VALUE"""),"**Restoration_project** changed from Coral Reef Habitat and Productivity Enhancement through Coral Transplantation and Giant Clam Restocking to National Coral Reef Rehabilitation Roll-Out Program, **Year of establishment** changed from 2001 to 2015, **Pro"&amp;"ject Start** changed from 2001 to 2014, **Project End** changed from 2005 to 2016, **Technique/Material Type** changed from Direct transplantation to Unknown, **Restoration objective** changed from Improve biodiversity and productivity of stressed coral r"&amp;"eef habitats in 10 selected demonstration sites to Unknown, **Funding agency** changed from Pew Marine Conservation Fellowship to DOST-PCAARRD, **Total units** changed from Unknown to 10 CNUs/17,200 COPs, **Implementing institution** changed from UP MSI t"&amp;"o Sangkalikasan Producers Cooperative, **Partners_public** changed from Unknown to Camiguin Polytechnic State College; PLGU, **Reference** changed from Published article to DOST-PCAARRD. (n.d.). DOST-PCAARRD National Corals Rehabilitation Program Briefer "&amp;"Report. , **Website** changed from https://aquadocs.org/bitstream/handle/1834/40478/GomezED2006.pdf?sequence=1&amp;isAllowed=y to Report uploaded in the Google Drive; https://savethephilippinecoralreefs.wordpress.com/2013/03/24/government-and-army-assist-with"&amp;"-coral-farming-on-nogas-coral-reefs/, **Contact_name** changed from Dr. Patrick Cabaitan to Mr. Jose Rodriguez, **Contact_details** changed from Unknown to sangkalikasan2016@gmail.com")</f>
        <v>**Restoration_project** changed from Coral Reef Habitat and Productivity Enhancement through Coral Transplantation and Giant Clam Restocking to National Coral Reef Rehabilitation Roll-Out Program, **Year of establishment** changed from 2001 to 2015, **Project Start** changed from 2001 to 2014, **Project End** changed from 2005 to 2016, **Technique/Material Type** changed from Direct transplantation to Unknown, **Restoration objective** changed from Improve biodiversity and productivity of stressed coral reef habitats in 10 selected demonstration sites to Unknown, **Funding agency** changed from Pew Marine Conservation Fellowship to DOST-PCAARRD, **Total units** changed from Unknown to 10 CNUs/17,200 COPs, **Implementing institution** changed from UP MSI to Sangkalikasan Producers Cooperative, **Partners_public** changed from Unknown to Camiguin Polytechnic State College; PLGU, **Reference** changed from Published article to DOST-PCAARRD. (n.d.). DOST-PCAARRD National Corals Rehabilitation Program Briefer Report. , **Website** changed from https://aquadocs.org/bitstream/handle/1834/40478/GomezED2006.pdf?sequence=1&amp;isAllowed=y to Report uploaded in the Google Drive; https://savethephilippinecoralreefs.wordpress.com/2013/03/24/government-and-army-assist-with-coral-farming-on-nogas-coral-reefs/, **Contact_name** changed from Dr. Patrick Cabaitan to Mr. Jose Rodriguez, **Contact_details** changed from Unknown to sangkalikasan2016@gmail.com</v>
      </c>
      <c r="I676" s="153" t="s">
        <v>7348</v>
      </c>
      <c r="J676" s="153" t="s">
        <v>171</v>
      </c>
      <c r="K676" s="153" t="s">
        <v>1725</v>
      </c>
      <c r="L676" s="153" t="s">
        <v>1726</v>
      </c>
      <c r="M676" s="181" t="s">
        <v>1727</v>
      </c>
      <c r="N676" s="153" t="s">
        <v>6062</v>
      </c>
      <c r="O676" s="153" t="s">
        <v>1683</v>
      </c>
      <c r="P676" s="3" t="s">
        <v>149</v>
      </c>
      <c r="Q676" s="178">
        <v>2015.0</v>
      </c>
      <c r="R676" s="175" t="s">
        <v>6063</v>
      </c>
      <c r="S676" s="175" t="s">
        <v>6064</v>
      </c>
      <c r="T676" s="156" t="s">
        <v>177</v>
      </c>
      <c r="U676" s="153">
        <f>IFERROR(__xludf.DUMMYFUNCTION("""COMPUTED_VALUE"""),648.0)</f>
        <v>648</v>
      </c>
      <c r="V676" s="191" t="s">
        <v>149</v>
      </c>
      <c r="W676" s="180" t="s">
        <v>149</v>
      </c>
      <c r="X676" s="180"/>
      <c r="Y676" s="180" t="s">
        <v>154</v>
      </c>
      <c r="Z676" s="158" t="s">
        <v>149</v>
      </c>
      <c r="AA676" s="158" t="s">
        <v>149</v>
      </c>
      <c r="AB676" s="158" t="s">
        <v>149</v>
      </c>
      <c r="AC676" s="153" t="s">
        <v>321</v>
      </c>
      <c r="AD676" s="158" t="s">
        <v>160</v>
      </c>
      <c r="AE676" s="158" t="s">
        <v>6035</v>
      </c>
      <c r="AF676" s="158" t="s">
        <v>159</v>
      </c>
      <c r="AG676" s="164" t="s">
        <v>149</v>
      </c>
      <c r="AH676" s="158" t="s">
        <v>149</v>
      </c>
      <c r="AI676" s="153" t="s">
        <v>1728</v>
      </c>
      <c r="AJ676" s="153" t="s">
        <v>326</v>
      </c>
      <c r="AK676" s="158" t="s">
        <v>271</v>
      </c>
      <c r="AL676" s="153" t="s">
        <v>1729</v>
      </c>
      <c r="AM676" s="3" t="s">
        <v>149</v>
      </c>
      <c r="AN676" s="3" t="s">
        <v>149</v>
      </c>
      <c r="AO676" s="156">
        <v>1.0</v>
      </c>
      <c r="AP676" s="156" t="s">
        <v>6037</v>
      </c>
      <c r="AQ676" s="158" t="s">
        <v>6069</v>
      </c>
      <c r="AR676" s="153" t="s">
        <v>1300</v>
      </c>
      <c r="AS676" s="153" t="s">
        <v>7029</v>
      </c>
      <c r="AT676" s="153" t="s">
        <v>1722</v>
      </c>
      <c r="AU676" s="165" t="s">
        <v>1723</v>
      </c>
    </row>
    <row r="677">
      <c r="A677" s="186">
        <v>338.0</v>
      </c>
      <c r="B677" s="152">
        <v>2023.0</v>
      </c>
      <c r="D677" s="152"/>
      <c r="E677" s="151">
        <v>338.0</v>
      </c>
      <c r="F677" s="129" t="s">
        <v>140</v>
      </c>
      <c r="G677" s="3" t="s">
        <v>3279</v>
      </c>
      <c r="H677" s="8" t="str">
        <f>IFERROR(__xludf.DUMMYFUNCTION("""COMPUTED_VALUE"""),"")</f>
        <v/>
      </c>
      <c r="I677" s="8" t="s">
        <v>7349</v>
      </c>
      <c r="J677" s="8" t="s">
        <v>171</v>
      </c>
      <c r="K677" s="8" t="s">
        <v>976</v>
      </c>
      <c r="L677" s="8" t="s">
        <v>7350</v>
      </c>
      <c r="M677" s="8" t="s">
        <v>5504</v>
      </c>
      <c r="N677" s="8" t="s">
        <v>151</v>
      </c>
      <c r="O677" s="8" t="s">
        <v>1377</v>
      </c>
      <c r="Q677" s="142"/>
      <c r="R677" s="142" t="s">
        <v>6198</v>
      </c>
      <c r="S677" s="142" t="s">
        <v>7351</v>
      </c>
      <c r="U677" s="8">
        <f>IFERROR(__xludf.DUMMYFUNCTION("""COMPUTED_VALUE"""),649.0)</f>
        <v>649</v>
      </c>
      <c r="V677" s="8"/>
      <c r="W677" s="8"/>
      <c r="AC677" s="8" t="s">
        <v>1381</v>
      </c>
      <c r="AG677" s="142"/>
      <c r="AJ677" s="8" t="s">
        <v>660</v>
      </c>
      <c r="AL677" s="8" t="s">
        <v>369</v>
      </c>
      <c r="AO677" s="8"/>
      <c r="AP677" s="8"/>
    </row>
    <row r="678">
      <c r="A678" s="186">
        <v>339.0</v>
      </c>
      <c r="B678" s="152">
        <v>2025.0</v>
      </c>
      <c r="C678" s="153" t="str">
        <f>CONCATENATE(D678, "-", M678, "-", A678)
</f>
        <v>2023-PH101802000-339</v>
      </c>
      <c r="D678" s="152">
        <f>IF(OR(F677="Published", F677="Unpublished"), 2023, IF(F677="New", 2025, ""))
</f>
        <v>2023</v>
      </c>
      <c r="E678" s="151">
        <v>339.0</v>
      </c>
      <c r="F678" s="129" t="s">
        <v>140</v>
      </c>
      <c r="G678" s="156" t="s">
        <v>141</v>
      </c>
      <c r="H678" s="153" t="str">
        <f>IFERROR(__xludf.DUMMYFUNCTION("""COMPUTED_VALUE"""),"**Restoration_project** changed from Fisheries Sector Program to Philippine Coral Reef Resources Assessment and Conservation Program (PhilCORE), **Restoration_project_short** changed from to Site in Cantaan Giant Clam Sanctuary, **Year of establishment** "&amp;"changed from to 2013, **Project Start** changed from 1990 to Unknown, **Project End** changed from 1993 to Unknown, **Technique/Material Type** changed from to Reefbuds, **Restoration objective** changed from to Unknown, **Funding agency** changed from AD"&amp;"B, Overseas Economic Cooperation Fund of Japan to DENR, **Total funding** changed from to Unknown, **Total area of restoration** changed from to Unknown, **Total units** changed from to Unknown, **Implementing institution** changed from DA to MLGU, **Part"&amp;"ners_public** changed from MLGU to DENR, **Partners_private** changed from to Sangkalikasan Group; Biri Initiative, **Partners_communities** changed from to Unknown, **Reference** changed from to Valcorza, J. (2013, August 27). Camiguin plants P8M worth a"&amp;"rtificial reef buds. One Mindanao. https://issuu.com/piamindanao1/docs/august_27, **Website** changed from to https://issuu.com/piamindanao1/docs/august_27; https://www.thescubanews.com/2014/08/06/reefbud-technology-downsized-to-broaden-appeal/, **Contact"&amp;"_name** changed from to Unknown, **Contact_details** changed from to Unknown")</f>
        <v>**Restoration_project** changed from Fisheries Sector Program to Philippine Coral Reef Resources Assessment and Conservation Program (PhilCORE), **Restoration_project_short** changed from to Site in Cantaan Giant Clam Sanctuary, **Year of establishment** changed from to 2013, **Project Start** changed from 1990 to Unknown, **Project End** changed from 1993 to Unknown, **Technique/Material Type** changed from to Reefbuds, **Restoration objective** changed from to Unknown, **Funding agency** changed from ADB, Overseas Economic Cooperation Fund of Japan to DENR, **Total funding** changed from to Unknown, **Total area of restoration** changed from to Unknown, **Total units** changed from to Unknown, **Implementing institution** changed from DA to MLGU, **Partners_public** changed from MLGU to DENR, **Partners_private** changed from to Sangkalikasan Group; Biri Initiative, **Partners_communities** changed from to Unknown, **Reference** changed from to Valcorza, J. (2013, August 27). Camiguin plants P8M worth artificial reef buds. One Mindanao. https://issuu.com/piamindanao1/docs/august_27, **Website** changed from to https://issuu.com/piamindanao1/docs/august_27; https://www.thescubanews.com/2014/08/06/reefbud-technology-downsized-to-broaden-appeal/, **Contact_name** changed from to Unknown, **Contact_details** changed from to Unknown</v>
      </c>
      <c r="I678" s="153" t="s">
        <v>7352</v>
      </c>
      <c r="J678" s="153" t="s">
        <v>171</v>
      </c>
      <c r="K678" s="153" t="s">
        <v>1725</v>
      </c>
      <c r="L678" s="153" t="s">
        <v>1726</v>
      </c>
      <c r="M678" s="181" t="s">
        <v>1727</v>
      </c>
      <c r="N678" s="153" t="s">
        <v>151</v>
      </c>
      <c r="O678" s="153" t="s">
        <v>1785</v>
      </c>
      <c r="P678" s="153" t="s">
        <v>1792</v>
      </c>
      <c r="Q678" s="169">
        <v>2013.0</v>
      </c>
      <c r="R678" s="160" t="s">
        <v>149</v>
      </c>
      <c r="S678" s="160" t="s">
        <v>149</v>
      </c>
      <c r="T678" s="161" t="s">
        <v>150</v>
      </c>
      <c r="U678" s="153">
        <f>IFERROR(__xludf.DUMMYFUNCTION("""COMPUTED_VALUE"""),650.0)</f>
        <v>650</v>
      </c>
      <c r="V678" s="162" t="s">
        <v>3311</v>
      </c>
      <c r="W678" s="179" t="s">
        <v>6032</v>
      </c>
      <c r="X678" s="28" t="s">
        <v>6033</v>
      </c>
      <c r="Y678" s="32" t="s">
        <v>851</v>
      </c>
      <c r="Z678" s="158" t="s">
        <v>851</v>
      </c>
      <c r="AA678" s="153" t="s">
        <v>851</v>
      </c>
      <c r="AB678" s="158" t="s">
        <v>149</v>
      </c>
      <c r="AC678" s="153" t="s">
        <v>341</v>
      </c>
      <c r="AD678" s="158" t="s">
        <v>160</v>
      </c>
      <c r="AE678" s="158" t="s">
        <v>6035</v>
      </c>
      <c r="AF678" s="158" t="s">
        <v>159</v>
      </c>
      <c r="AG678" s="164" t="s">
        <v>149</v>
      </c>
      <c r="AH678" s="158" t="s">
        <v>149</v>
      </c>
      <c r="AI678" s="158" t="s">
        <v>149</v>
      </c>
      <c r="AJ678" s="153" t="s">
        <v>369</v>
      </c>
      <c r="AK678" s="153" t="s">
        <v>6035</v>
      </c>
      <c r="AL678" s="153" t="s">
        <v>341</v>
      </c>
      <c r="AM678" s="153" t="s">
        <v>1793</v>
      </c>
      <c r="AN678" s="3" t="s">
        <v>149</v>
      </c>
      <c r="AO678" s="156">
        <v>1.0</v>
      </c>
      <c r="AP678" s="156" t="s">
        <v>6037</v>
      </c>
      <c r="AQ678" s="158" t="s">
        <v>166</v>
      </c>
      <c r="AR678" s="153" t="s">
        <v>1789</v>
      </c>
      <c r="AS678" s="165" t="s">
        <v>1790</v>
      </c>
      <c r="AT678" s="3" t="s">
        <v>149</v>
      </c>
      <c r="AU678" s="3" t="s">
        <v>149</v>
      </c>
    </row>
    <row r="679">
      <c r="A679" s="186">
        <v>339.0</v>
      </c>
      <c r="B679" s="152">
        <v>2023.0</v>
      </c>
      <c r="D679" s="152"/>
      <c r="E679" s="151">
        <v>339.0</v>
      </c>
      <c r="F679" s="129" t="s">
        <v>648</v>
      </c>
      <c r="G679" s="3" t="s">
        <v>6029</v>
      </c>
      <c r="H679" s="8" t="str">
        <f>IFERROR(__xludf.DUMMYFUNCTION("""COMPUTED_VALUE"""),"")</f>
        <v/>
      </c>
      <c r="I679" s="8" t="s">
        <v>7353</v>
      </c>
      <c r="J679" s="8" t="s">
        <v>171</v>
      </c>
      <c r="K679" s="8" t="s">
        <v>172</v>
      </c>
      <c r="L679" s="8" t="s">
        <v>2128</v>
      </c>
      <c r="M679" s="8" t="s">
        <v>2129</v>
      </c>
      <c r="N679" s="3" t="s">
        <v>149</v>
      </c>
      <c r="O679" s="3" t="s">
        <v>149</v>
      </c>
      <c r="P679" s="8" t="s">
        <v>7354</v>
      </c>
      <c r="Q679" s="3" t="s">
        <v>149</v>
      </c>
      <c r="R679" s="3" t="s">
        <v>149</v>
      </c>
      <c r="S679" s="3" t="s">
        <v>149</v>
      </c>
      <c r="T679" s="3"/>
      <c r="U679" s="8">
        <f>IFERROR(__xludf.DUMMYFUNCTION("""COMPUTED_VALUE"""),651.0)</f>
        <v>651</v>
      </c>
      <c r="V679" s="3"/>
      <c r="W679" s="3"/>
      <c r="X679" s="8"/>
      <c r="Y679" s="8"/>
      <c r="AA679" s="3" t="s">
        <v>149</v>
      </c>
      <c r="AB679" s="3" t="s">
        <v>149</v>
      </c>
      <c r="AC679" s="3" t="s">
        <v>149</v>
      </c>
      <c r="AG679" s="3" t="s">
        <v>149</v>
      </c>
      <c r="AH679" s="3" t="s">
        <v>149</v>
      </c>
      <c r="AI679" s="3" t="s">
        <v>149</v>
      </c>
      <c r="AJ679" s="3" t="s">
        <v>149</v>
      </c>
      <c r="AL679" s="3" t="s">
        <v>149</v>
      </c>
      <c r="AM679" s="3" t="s">
        <v>149</v>
      </c>
      <c r="AN679" s="3" t="s">
        <v>149</v>
      </c>
      <c r="AO679" s="3"/>
      <c r="AP679" s="3"/>
      <c r="AR679" s="3" t="s">
        <v>149</v>
      </c>
      <c r="AS679" s="3" t="s">
        <v>149</v>
      </c>
      <c r="AT679" s="3" t="s">
        <v>149</v>
      </c>
      <c r="AU679" s="3" t="s">
        <v>149</v>
      </c>
    </row>
    <row r="680">
      <c r="A680" s="186">
        <v>340.0</v>
      </c>
      <c r="B680" s="152">
        <v>2023.0</v>
      </c>
      <c r="D680" s="152"/>
      <c r="E680" s="151">
        <v>340.0</v>
      </c>
      <c r="F680" s="129" t="s">
        <v>140</v>
      </c>
      <c r="G680" s="3" t="s">
        <v>6029</v>
      </c>
      <c r="H680" s="8" t="str">
        <f>IFERROR(__xludf.DUMMYFUNCTION("""COMPUTED_VALUE"""),"")</f>
        <v/>
      </c>
      <c r="I680" s="8" t="s">
        <v>7355</v>
      </c>
      <c r="J680" s="8" t="s">
        <v>171</v>
      </c>
      <c r="K680" s="8" t="s">
        <v>172</v>
      </c>
      <c r="L680" s="8" t="s">
        <v>7356</v>
      </c>
      <c r="M680" s="8" t="s">
        <v>1552</v>
      </c>
      <c r="N680" s="8" t="s">
        <v>151</v>
      </c>
      <c r="O680" s="8" t="s">
        <v>1553</v>
      </c>
      <c r="P680" s="3" t="s">
        <v>149</v>
      </c>
      <c r="Q680" s="142" t="s">
        <v>6030</v>
      </c>
      <c r="R680" s="3" t="s">
        <v>149</v>
      </c>
      <c r="S680" s="3" t="s">
        <v>149</v>
      </c>
      <c r="T680" s="8"/>
      <c r="U680" s="8">
        <f>IFERROR(__xludf.DUMMYFUNCTION("""COMPUTED_VALUE"""),652.0)</f>
        <v>652</v>
      </c>
      <c r="V680" s="8"/>
      <c r="W680" s="3"/>
      <c r="X680" s="8"/>
      <c r="Y680" s="8"/>
      <c r="AA680" s="3" t="s">
        <v>149</v>
      </c>
      <c r="AB680" s="3" t="s">
        <v>149</v>
      </c>
      <c r="AC680" s="8" t="s">
        <v>7357</v>
      </c>
      <c r="AG680" s="3" t="s">
        <v>149</v>
      </c>
      <c r="AH680" s="3" t="s">
        <v>149</v>
      </c>
      <c r="AI680" s="3" t="s">
        <v>149</v>
      </c>
      <c r="AJ680" s="8" t="s">
        <v>7358</v>
      </c>
      <c r="AL680" s="8" t="s">
        <v>1559</v>
      </c>
      <c r="AM680" s="8" t="s">
        <v>1560</v>
      </c>
      <c r="AN680" s="3" t="s">
        <v>149</v>
      </c>
      <c r="AO680" s="8"/>
      <c r="AP680" s="8"/>
      <c r="AR680" s="3" t="s">
        <v>149</v>
      </c>
      <c r="AS680" s="3" t="s">
        <v>149</v>
      </c>
      <c r="AT680" s="3" t="s">
        <v>149</v>
      </c>
      <c r="AU680" s="3" t="s">
        <v>149</v>
      </c>
    </row>
    <row r="681">
      <c r="A681" s="186">
        <v>340.0</v>
      </c>
      <c r="B681" s="152">
        <v>2025.0</v>
      </c>
      <c r="C681" s="153" t="str">
        <f>CONCATENATE(D681, "-", M681, "-", A681)
</f>
        <v>2023-PH101803000-340</v>
      </c>
      <c r="D681" s="152">
        <f>IF(OR(F680="Published", F680="Unpublished"), 2023, IF(F680="New", 2025, ""))
</f>
        <v>2023</v>
      </c>
      <c r="E681" s="151">
        <v>340.0</v>
      </c>
      <c r="F681" s="156" t="s">
        <v>140</v>
      </c>
      <c r="G681" s="156" t="s">
        <v>141</v>
      </c>
      <c r="H681" s="153" t="str">
        <f>IFERROR(__xludf.DUMMYFUNCTION("""COMPUTED_VALUE"""),"**Restoration_project** changed from House for Nemo: An Artificial Coral Reef Deployment Project to PNP KaligKasan Program, **Restoration_project_short** changed from Unknown to Site in Mantigue Island, **Year of establishment** changed from 2021 to 2021,"&amp;" **Technique/Material Type** changed from Unknown to Concrete cubic, **Funding agency** changed from Rotary Club West CDO; to Unknown, **Implementing institution** changed from Rotaract West CDO; to PNP Regional Office 10, PLGU, **Partners_public** change"&amp;"d from Agricultural Productivity Operations Office; PNP Maritime to MLGU; DENR; PLGU, **Partners_private** changed from AB Engineering and Allied Services; Inner Wheel to Ajis Aqua Sports &amp; Beach Resort, Buddy Dive Center, JEJORS Construction Corporation,"&amp;" **Reference** changed from Unknown to Balita Pulis Serbis (2021, September 29). KaligKasan: PRO 10 at LGU Camiguin nanguna sa paglagay ng Artificial Reefs sa Mantigue Island. Pulis Serbis Balita. https://psbalita.com/kaligkasan-pro-10-at-lgu-camiguin-nan"&amp;"guna-sa-paglagay-ng-artificial-reefs-sa-mantigue-island/, **Website** changed from Unknown to https://psbalita.com/kaligkasan-pro-10-at-lgu-camiguin-nanguna-sa-paglagay-ng-artificial-reefs-sa-mantigue-island/")</f>
        <v>**Restoration_project** changed from House for Nemo: An Artificial Coral Reef Deployment Project to PNP KaligKasan Program, **Restoration_project_short** changed from Unknown to Site in Mantigue Island, **Year of establishment** changed from 2021 to 2021, **Technique/Material Type** changed from Unknown to Concrete cubic, **Funding agency** changed from Rotary Club West CDO; to Unknown, **Implementing institution** changed from Rotaract West CDO; to PNP Regional Office 10, PLGU, **Partners_public** changed from Agricultural Productivity Operations Office; PNP Maritime to MLGU; DENR; PLGU, **Partners_private** changed from AB Engineering and Allied Services; Inner Wheel to Ajis Aqua Sports &amp; Beach Resort, Buddy Dive Center, JEJORS Construction Corporation, **Reference** changed from Unknown to Balita Pulis Serbis (2021, September 29). KaligKasan: PRO 10 at LGU Camiguin nanguna sa paglagay ng Artificial Reefs sa Mantigue Island. Pulis Serbis Balita. https://psbalita.com/kaligkasan-pro-10-at-lgu-camiguin-nanguna-sa-paglagay-ng-artificial-reefs-sa-mantigue-island/, **Website** changed from Unknown to https://psbalita.com/kaligkasan-pro-10-at-lgu-camiguin-nanguna-sa-paglagay-ng-artificial-reefs-sa-mantigue-island/</v>
      </c>
      <c r="I681" s="153" t="s">
        <v>7359</v>
      </c>
      <c r="J681" s="153" t="s">
        <v>171</v>
      </c>
      <c r="K681" s="153" t="s">
        <v>1725</v>
      </c>
      <c r="L681" s="153" t="s">
        <v>1806</v>
      </c>
      <c r="M681" s="181" t="s">
        <v>1807</v>
      </c>
      <c r="N681" s="153" t="s">
        <v>151</v>
      </c>
      <c r="O681" s="158" t="s">
        <v>1808</v>
      </c>
      <c r="P681" s="153" t="s">
        <v>1809</v>
      </c>
      <c r="Q681" s="169">
        <v>2021.0</v>
      </c>
      <c r="R681" s="160" t="s">
        <v>149</v>
      </c>
      <c r="S681" s="160" t="s">
        <v>149</v>
      </c>
      <c r="T681" s="161" t="s">
        <v>150</v>
      </c>
      <c r="U681" s="153">
        <f>IFERROR(__xludf.DUMMYFUNCTION("""COMPUTED_VALUE"""),653.0)</f>
        <v>653</v>
      </c>
      <c r="V681" s="162" t="s">
        <v>3311</v>
      </c>
      <c r="W681" s="184" t="s">
        <v>6032</v>
      </c>
      <c r="X681" s="28" t="s">
        <v>6173</v>
      </c>
      <c r="Y681" s="32" t="s">
        <v>2468</v>
      </c>
      <c r="Z681" s="158" t="s">
        <v>911</v>
      </c>
      <c r="AA681" s="158" t="s">
        <v>911</v>
      </c>
      <c r="AB681" s="158" t="s">
        <v>149</v>
      </c>
      <c r="AC681" s="158" t="s">
        <v>149</v>
      </c>
      <c r="AD681" s="158" t="s">
        <v>160</v>
      </c>
      <c r="AE681" s="158" t="s">
        <v>6035</v>
      </c>
      <c r="AF681" s="158" t="s">
        <v>159</v>
      </c>
      <c r="AG681" s="164" t="s">
        <v>149</v>
      </c>
      <c r="AH681" s="158" t="s">
        <v>149</v>
      </c>
      <c r="AI681" s="158" t="s">
        <v>149</v>
      </c>
      <c r="AJ681" s="153" t="s">
        <v>7360</v>
      </c>
      <c r="AK681" s="153" t="s">
        <v>6035</v>
      </c>
      <c r="AL681" s="153" t="s">
        <v>1811</v>
      </c>
      <c r="AM681" s="153" t="s">
        <v>7328</v>
      </c>
      <c r="AN681" s="3" t="s">
        <v>149</v>
      </c>
      <c r="AO681" s="156">
        <v>1.0</v>
      </c>
      <c r="AP681" s="156" t="s">
        <v>6037</v>
      </c>
      <c r="AQ681" s="158" t="s">
        <v>166</v>
      </c>
      <c r="AR681" s="153" t="s">
        <v>1813</v>
      </c>
      <c r="AS681" s="172" t="s">
        <v>1814</v>
      </c>
      <c r="AT681" s="3" t="s">
        <v>149</v>
      </c>
      <c r="AU681" s="3" t="s">
        <v>149</v>
      </c>
    </row>
    <row r="682">
      <c r="A682" s="186">
        <v>341.0</v>
      </c>
      <c r="B682" s="152">
        <v>2023.0</v>
      </c>
      <c r="D682" s="152"/>
      <c r="E682" s="151">
        <v>341.0</v>
      </c>
      <c r="F682" s="129" t="s">
        <v>140</v>
      </c>
      <c r="G682" s="3" t="s">
        <v>6029</v>
      </c>
      <c r="H682" s="8" t="str">
        <f>IFERROR(__xludf.DUMMYFUNCTION("""COMPUTED_VALUE"""),"")</f>
        <v/>
      </c>
      <c r="I682" s="8" t="s">
        <v>7361</v>
      </c>
      <c r="J682" s="8" t="s">
        <v>171</v>
      </c>
      <c r="K682" s="8" t="s">
        <v>172</v>
      </c>
      <c r="L682" s="8" t="s">
        <v>7356</v>
      </c>
      <c r="M682" s="8" t="s">
        <v>1552</v>
      </c>
      <c r="N682" s="8" t="s">
        <v>151</v>
      </c>
      <c r="O682" s="3" t="s">
        <v>149</v>
      </c>
      <c r="P682" s="3" t="s">
        <v>149</v>
      </c>
      <c r="Q682" s="142" t="s">
        <v>6064</v>
      </c>
      <c r="R682" s="3" t="s">
        <v>149</v>
      </c>
      <c r="S682" s="3" t="s">
        <v>149</v>
      </c>
      <c r="T682" s="8"/>
      <c r="U682" s="8">
        <f>IFERROR(__xludf.DUMMYFUNCTION("""COMPUTED_VALUE"""),654.0)</f>
        <v>654</v>
      </c>
      <c r="V682" s="8"/>
      <c r="W682" s="8"/>
      <c r="X682" s="8"/>
      <c r="Y682" s="8"/>
      <c r="AA682" s="8" t="s">
        <v>2631</v>
      </c>
      <c r="AB682" s="8" t="s">
        <v>7362</v>
      </c>
      <c r="AC682" s="8" t="s">
        <v>7363</v>
      </c>
      <c r="AG682" s="3" t="s">
        <v>149</v>
      </c>
      <c r="AH682" s="3" t="s">
        <v>149</v>
      </c>
      <c r="AI682" s="3" t="s">
        <v>149</v>
      </c>
      <c r="AJ682" s="8" t="s">
        <v>7364</v>
      </c>
      <c r="AL682" s="8" t="s">
        <v>390</v>
      </c>
      <c r="AM682" s="3" t="s">
        <v>149</v>
      </c>
      <c r="AN682" s="3" t="s">
        <v>149</v>
      </c>
      <c r="AO682" s="8"/>
      <c r="AP682" s="8"/>
      <c r="AR682" s="8" t="s">
        <v>166</v>
      </c>
      <c r="AS682" s="8" t="s">
        <v>2640</v>
      </c>
      <c r="AT682" s="3" t="s">
        <v>149</v>
      </c>
      <c r="AU682" s="3" t="s">
        <v>149</v>
      </c>
    </row>
    <row r="683">
      <c r="A683" s="186">
        <v>341.0</v>
      </c>
      <c r="B683" s="152">
        <v>2025.0</v>
      </c>
      <c r="C683" s="153" t="str">
        <f>CONCATENATE(D683, "-", M683, "-", A683)
</f>
        <v>2023-PH101804000-341</v>
      </c>
      <c r="D683" s="152">
        <f>IF(OR(F682="Published", F682="Unpublished"), 2023, IF(F682="New", 2025, ""))
</f>
        <v>2023</v>
      </c>
      <c r="E683" s="151">
        <v>341.0</v>
      </c>
      <c r="F683" s="156" t="s">
        <v>140</v>
      </c>
      <c r="G683" s="156" t="s">
        <v>141</v>
      </c>
      <c r="H683" s="153" t="str">
        <f>IFERROR(__xludf.DUMMYFUNCTION("""COMPUTED_VALUE"""),"**Restoration_project_short** changed from Unknown to Site in Cabuan MPA, **Year of establishment** changed from 2016 to 2019, **Restoration method** changed from Artificial Reef to Asexual Reproduction, **Technique/Material Type** changed from recycled g"&amp;"lass bottles to Microfragmentation; colony fusion, **Restoration objective** changed from Ocean rehabilitation to Improve coral restoration efforts; reef resilience, **Funding agency** changed from Bugo National High School to Unknown, **Implementing inst"&amp;"itution** changed from Maria Therisa Mabalos / Bugo National High School to Sangkalikasan Producers Cooperative, **Partners_public** changed from BFAR to Camiguin Polytechnic State College; , **Reference** changed from News/Press Release to Luczon, N. (20"&amp;"20). Environmental group restores coral reefs in Camiguin. Philippine News Agency. https://www.pna.gov.ph/articles/1124515, **Website** changed from https://www.pna.gov.ph/articles/1095764 to https://www.pna.gov.ph/articles/1124515")</f>
        <v>**Restoration_project_short** changed from Unknown to Site in Cabuan MPA, **Year of establishment** changed from 2016 to 2019, **Restoration method** changed from Artificial Reef to Asexual Reproduction, **Technique/Material Type** changed from recycled glass bottles to Microfragmentation; colony fusion, **Restoration objective** changed from Ocean rehabilitation to Improve coral restoration efforts; reef resilience, **Funding agency** changed from Bugo National High School to Unknown, **Implementing institution** changed from Maria Therisa Mabalos / Bugo National High School to Sangkalikasan Producers Cooperative, **Partners_public** changed from BFAR to Camiguin Polytechnic State College; , **Reference** changed from News/Press Release to Luczon, N. (2020). Environmental group restores coral reefs in Camiguin. Philippine News Agency. https://www.pna.gov.ph/articles/1124515, **Website** changed from https://www.pna.gov.ph/articles/1095764 to https://www.pna.gov.ph/articles/1124515</v>
      </c>
      <c r="I683" s="153" t="s">
        <v>7365</v>
      </c>
      <c r="J683" s="153" t="s">
        <v>171</v>
      </c>
      <c r="K683" s="153" t="s">
        <v>1725</v>
      </c>
      <c r="L683" s="153" t="s">
        <v>1783</v>
      </c>
      <c r="M683" s="181" t="s">
        <v>1784</v>
      </c>
      <c r="N683" s="153" t="s">
        <v>6062</v>
      </c>
      <c r="O683" s="158" t="s">
        <v>149</v>
      </c>
      <c r="P683" s="153" t="s">
        <v>2480</v>
      </c>
      <c r="Q683" s="169">
        <v>2019.0</v>
      </c>
      <c r="R683" s="160" t="s">
        <v>149</v>
      </c>
      <c r="S683" s="160" t="s">
        <v>149</v>
      </c>
      <c r="T683" s="156" t="s">
        <v>177</v>
      </c>
      <c r="U683" s="153">
        <f>IFERROR(__xludf.DUMMYFUNCTION("""COMPUTED_VALUE"""),655.0)</f>
        <v>655</v>
      </c>
      <c r="V683" s="191" t="s">
        <v>3282</v>
      </c>
      <c r="W683" s="179" t="s">
        <v>154</v>
      </c>
      <c r="X683" s="180"/>
      <c r="Y683" s="180" t="s">
        <v>154</v>
      </c>
      <c r="Z683" s="158" t="s">
        <v>2482</v>
      </c>
      <c r="AA683" s="153" t="s">
        <v>2482</v>
      </c>
      <c r="AB683" s="158" t="s">
        <v>2483</v>
      </c>
      <c r="AC683" s="158" t="s">
        <v>149</v>
      </c>
      <c r="AD683" s="158" t="s">
        <v>149</v>
      </c>
      <c r="AE683" s="158" t="s">
        <v>184</v>
      </c>
      <c r="AF683" s="158" t="s">
        <v>204</v>
      </c>
      <c r="AG683" s="164" t="s">
        <v>149</v>
      </c>
      <c r="AH683" s="158" t="s">
        <v>149</v>
      </c>
      <c r="AI683" s="158" t="s">
        <v>149</v>
      </c>
      <c r="AJ683" s="153" t="s">
        <v>326</v>
      </c>
      <c r="AK683" s="153" t="s">
        <v>271</v>
      </c>
      <c r="AL683" s="153" t="s">
        <v>2484</v>
      </c>
      <c r="AM683" s="154" t="s">
        <v>149</v>
      </c>
      <c r="AN683" s="154" t="s">
        <v>149</v>
      </c>
      <c r="AO683" s="156">
        <v>1.0</v>
      </c>
      <c r="AP683" s="156" t="s">
        <v>6037</v>
      </c>
      <c r="AQ683" s="158" t="s">
        <v>166</v>
      </c>
      <c r="AR683" s="153" t="s">
        <v>2485</v>
      </c>
      <c r="AS683" s="165" t="s">
        <v>2486</v>
      </c>
      <c r="AT683" s="154" t="s">
        <v>149</v>
      </c>
      <c r="AU683" s="154" t="s">
        <v>149</v>
      </c>
    </row>
    <row r="684">
      <c r="A684" s="186">
        <v>342.0</v>
      </c>
      <c r="B684" s="152">
        <v>2023.0</v>
      </c>
      <c r="D684" s="152"/>
      <c r="E684" s="151">
        <v>342.0</v>
      </c>
      <c r="F684" s="129" t="s">
        <v>140</v>
      </c>
      <c r="G684" s="3" t="s">
        <v>6029</v>
      </c>
      <c r="H684" s="8" t="str">
        <f>IFERROR(__xludf.DUMMYFUNCTION("""COMPUTED_VALUE"""),"")</f>
        <v/>
      </c>
      <c r="I684" s="8" t="s">
        <v>7366</v>
      </c>
      <c r="J684" s="8" t="s">
        <v>171</v>
      </c>
      <c r="K684" s="8" t="s">
        <v>172</v>
      </c>
      <c r="L684" s="8" t="s">
        <v>611</v>
      </c>
      <c r="M684" s="153" t="s">
        <v>612</v>
      </c>
      <c r="N684" s="8" t="s">
        <v>151</v>
      </c>
      <c r="O684" s="8" t="s">
        <v>384</v>
      </c>
      <c r="P684" s="3" t="s">
        <v>149</v>
      </c>
      <c r="Q684" s="142" t="s">
        <v>6051</v>
      </c>
      <c r="R684" s="142" t="s">
        <v>6052</v>
      </c>
      <c r="S684" s="142" t="s">
        <v>6053</v>
      </c>
      <c r="T684" s="8"/>
      <c r="U684" s="8">
        <f>IFERROR(__xludf.DUMMYFUNCTION("""COMPUTED_VALUE"""),656.0)</f>
        <v>656</v>
      </c>
      <c r="V684" s="8"/>
      <c r="W684" s="8"/>
      <c r="X684" s="8"/>
      <c r="Y684" s="8"/>
      <c r="AA684" s="8" t="s">
        <v>6054</v>
      </c>
      <c r="AB684" s="3" t="s">
        <v>149</v>
      </c>
      <c r="AC684" s="8" t="s">
        <v>390</v>
      </c>
      <c r="AG684" s="3" t="s">
        <v>149</v>
      </c>
      <c r="AH684" s="3" t="s">
        <v>149</v>
      </c>
      <c r="AI684" s="3" t="s">
        <v>149</v>
      </c>
      <c r="AJ684" s="8" t="s">
        <v>390</v>
      </c>
      <c r="AL684" s="8" t="s">
        <v>6055</v>
      </c>
      <c r="AM684" s="3" t="s">
        <v>149</v>
      </c>
      <c r="AN684" s="3" t="s">
        <v>149</v>
      </c>
      <c r="AO684" s="8"/>
      <c r="AP684" s="8"/>
      <c r="AR684" s="8" t="s">
        <v>6057</v>
      </c>
      <c r="AS684" s="8" t="s">
        <v>2873</v>
      </c>
      <c r="AT684" s="8" t="s">
        <v>398</v>
      </c>
      <c r="AU684" s="3" t="s">
        <v>149</v>
      </c>
    </row>
    <row r="685">
      <c r="A685" s="186">
        <v>342.0</v>
      </c>
      <c r="B685" s="152">
        <v>2025.0</v>
      </c>
      <c r="C685" s="153" t="str">
        <f>CONCATENATE(D685, "-", M685, "-", A685)
</f>
        <v>2023-PH101804000-342</v>
      </c>
      <c r="D685" s="152">
        <f>IF(OR(F684="Published", F684="Unpublished"), 2023, IF(F684="New", 2025, ""))
</f>
        <v>2023</v>
      </c>
      <c r="E685" s="151">
        <v>342.0</v>
      </c>
      <c r="F685" s="156" t="s">
        <v>140</v>
      </c>
      <c r="G685" s="156" t="s">
        <v>141</v>
      </c>
      <c r="H685" s="153" t="str">
        <f>IFERROR(__xludf.DUMMYFUNCTION("""COMPUTED_VALUE"""),"**Restoration_project** changed from Artificial Reef Development Program to Philippine Coral Reef Resources Assessment and Conservation Program (PhilCORE), **Year of establishment** changed from 1986 to 2013, **Project Start** changed from 1985 to Unknown"&amp;", **Project End** changed from 1987 to Unknown, **Technique/Material Type** changed from tires to Reefbuds, **Funding agency** changed from BFAR to DENR, **Total units** changed from Unknown to 300 units between Mambajao and Guinsiliban, **Implementing in"&amp;"stitution** changed from BFAR to MLGU; Sangkalikasan Producers Cooperative, **Partners_public** changed from Ministry of Human Settlements to DENR PAWB, **Partners_private** changed from Unknown to Biri Initiative, **Reference** changed from Conference Pr"&amp;"oceediing to Valcorza, J. (2013, August 27). Camiguin plants P8M worth artificial reef buds. One Mindanao. https://issuu.com/piamindanao1/docs/august_27, **Website** changed from http://pubs.iclarm.net/libinfo/Pdf/Pub%20CP6%2049.pdf to https://issuu.com/p"&amp;"iamindanao1/docs/august_27; https://www.thescubanews.com/2014/08/06/reefbud-technology-downsized-to-broaden-appeal/, **Contact_name** changed from Miriam Balgos to Unknown")</f>
        <v>**Restoration_project** changed from Artificial Reef Development Program to Philippine Coral Reef Resources Assessment and Conservation Program (PhilCORE), **Year of establishment** changed from 1986 to 2013, **Project Start** changed from 1985 to Unknown, **Project End** changed from 1987 to Unknown, **Technique/Material Type** changed from tires to Reefbuds, **Funding agency** changed from BFAR to DENR, **Total units** changed from Unknown to 300 units between Mambajao and Guinsiliban, **Implementing institution** changed from BFAR to MLGU; Sangkalikasan Producers Cooperative, **Partners_public** changed from Ministry of Human Settlements to DENR PAWB, **Partners_private** changed from Unknown to Biri Initiative, **Reference** changed from Conference Proceediing to Valcorza, J. (2013, August 27). Camiguin plants P8M worth artificial reef buds. One Mindanao. https://issuu.com/piamindanao1/docs/august_27, **Website** changed from http://pubs.iclarm.net/libinfo/Pdf/Pub%20CP6%2049.pdf to https://issuu.com/piamindanao1/docs/august_27; https://www.thescubanews.com/2014/08/06/reefbud-technology-downsized-to-broaden-appeal/, **Contact_name** changed from Miriam Balgos to Unknown</v>
      </c>
      <c r="I685" s="153" t="s">
        <v>7367</v>
      </c>
      <c r="J685" s="153" t="s">
        <v>171</v>
      </c>
      <c r="K685" s="153" t="s">
        <v>1725</v>
      </c>
      <c r="L685" s="153" t="s">
        <v>1783</v>
      </c>
      <c r="M685" s="181" t="s">
        <v>1784</v>
      </c>
      <c r="N685" s="153" t="s">
        <v>151</v>
      </c>
      <c r="O685" s="153" t="s">
        <v>1785</v>
      </c>
      <c r="P685" s="154" t="s">
        <v>149</v>
      </c>
      <c r="Q685" s="169">
        <v>2013.0</v>
      </c>
      <c r="R685" s="160" t="s">
        <v>149</v>
      </c>
      <c r="S685" s="160" t="s">
        <v>149</v>
      </c>
      <c r="T685" s="161" t="s">
        <v>150</v>
      </c>
      <c r="U685" s="153">
        <f>IFERROR(__xludf.DUMMYFUNCTION("""COMPUTED_VALUE"""),657.0)</f>
        <v>657</v>
      </c>
      <c r="V685" s="162" t="s">
        <v>3311</v>
      </c>
      <c r="W685" s="179" t="s">
        <v>6032</v>
      </c>
      <c r="X685" s="28" t="s">
        <v>6033</v>
      </c>
      <c r="Y685" s="32" t="s">
        <v>851</v>
      </c>
      <c r="Z685" s="158" t="s">
        <v>851</v>
      </c>
      <c r="AA685" s="153" t="s">
        <v>851</v>
      </c>
      <c r="AB685" s="158" t="s">
        <v>149</v>
      </c>
      <c r="AC685" s="153" t="s">
        <v>341</v>
      </c>
      <c r="AD685" s="158" t="s">
        <v>160</v>
      </c>
      <c r="AE685" s="158" t="s">
        <v>6035</v>
      </c>
      <c r="AF685" s="158" t="s">
        <v>159</v>
      </c>
      <c r="AG685" s="164" t="s">
        <v>149</v>
      </c>
      <c r="AH685" s="158" t="s">
        <v>149</v>
      </c>
      <c r="AI685" s="153" t="s">
        <v>7368</v>
      </c>
      <c r="AJ685" s="153" t="s">
        <v>1787</v>
      </c>
      <c r="AK685" s="153" t="s">
        <v>6035</v>
      </c>
      <c r="AL685" s="153" t="s">
        <v>1788</v>
      </c>
      <c r="AM685" s="153" t="s">
        <v>724</v>
      </c>
      <c r="AN685" s="154" t="s">
        <v>149</v>
      </c>
      <c r="AO685" s="156">
        <v>1.0</v>
      </c>
      <c r="AP685" s="156" t="s">
        <v>6037</v>
      </c>
      <c r="AQ685" s="158" t="s">
        <v>166</v>
      </c>
      <c r="AR685" s="153" t="s">
        <v>1789</v>
      </c>
      <c r="AS685" s="165" t="s">
        <v>1790</v>
      </c>
      <c r="AT685" s="154" t="s">
        <v>149</v>
      </c>
      <c r="AU685" s="154" t="s">
        <v>149</v>
      </c>
    </row>
    <row r="686">
      <c r="A686" s="186">
        <v>343.0</v>
      </c>
      <c r="B686" s="152">
        <v>2023.0</v>
      </c>
      <c r="D686" s="152"/>
      <c r="E686" s="151">
        <v>343.0</v>
      </c>
      <c r="F686" s="129" t="s">
        <v>140</v>
      </c>
      <c r="G686" s="3" t="s">
        <v>6029</v>
      </c>
      <c r="H686" s="8" t="str">
        <f>IFERROR(__xludf.DUMMYFUNCTION("""COMPUTED_VALUE"""),"")</f>
        <v/>
      </c>
      <c r="I686" s="8" t="s">
        <v>7369</v>
      </c>
      <c r="J686" s="8" t="s">
        <v>171</v>
      </c>
      <c r="K686" s="8" t="s">
        <v>172</v>
      </c>
      <c r="L686" s="8" t="s">
        <v>277</v>
      </c>
      <c r="M686" s="8" t="s">
        <v>278</v>
      </c>
      <c r="N686" s="8" t="s">
        <v>151</v>
      </c>
      <c r="O686" s="8" t="s">
        <v>7370</v>
      </c>
      <c r="P686" s="3" t="s">
        <v>149</v>
      </c>
      <c r="Q686" s="3" t="s">
        <v>149</v>
      </c>
      <c r="R686" s="3" t="s">
        <v>149</v>
      </c>
      <c r="S686" s="3" t="s">
        <v>149</v>
      </c>
      <c r="T686" s="8"/>
      <c r="U686" s="8">
        <f>IFERROR(__xludf.DUMMYFUNCTION("""COMPUTED_VALUE"""),658.0)</f>
        <v>658</v>
      </c>
      <c r="V686" s="8"/>
      <c r="W686" s="3"/>
      <c r="X686" s="8"/>
      <c r="Y686" s="8"/>
      <c r="AA686" s="3" t="s">
        <v>283</v>
      </c>
      <c r="AB686" s="8" t="s">
        <v>286</v>
      </c>
      <c r="AC686" s="8" t="s">
        <v>287</v>
      </c>
      <c r="AG686" s="3" t="s">
        <v>149</v>
      </c>
      <c r="AH686" s="3" t="s">
        <v>149</v>
      </c>
      <c r="AI686" s="3" t="s">
        <v>149</v>
      </c>
      <c r="AJ686" s="8" t="s">
        <v>287</v>
      </c>
      <c r="AL686" s="3" t="s">
        <v>149</v>
      </c>
      <c r="AM686" s="8" t="s">
        <v>288</v>
      </c>
      <c r="AN686" s="3" t="s">
        <v>149</v>
      </c>
      <c r="AO686" s="8"/>
      <c r="AP686" s="8"/>
      <c r="AR686" s="8" t="s">
        <v>6091</v>
      </c>
      <c r="AS686" s="8" t="s">
        <v>7371</v>
      </c>
      <c r="AT686" s="3" t="s">
        <v>149</v>
      </c>
      <c r="AU686" s="3" t="s">
        <v>149</v>
      </c>
    </row>
    <row r="687">
      <c r="A687" s="186">
        <v>343.0</v>
      </c>
      <c r="B687" s="152">
        <v>2025.0</v>
      </c>
      <c r="C687" s="153" t="str">
        <f t="shared" ref="C687:C688" si="75">CONCATENATE(D687, "-", M687, "-", A687)
</f>
        <v>2023-PH103507000-343</v>
      </c>
      <c r="D687" s="152">
        <f t="shared" ref="D687:D688" si="76">IF(OR(F686="Published", F686="Unpublished"), 2023, IF(F686="New", 2025, ""))
</f>
        <v>2023</v>
      </c>
      <c r="E687" s="151">
        <v>343.0</v>
      </c>
      <c r="F687" s="129" t="s">
        <v>140</v>
      </c>
      <c r="G687" s="156" t="s">
        <v>141</v>
      </c>
      <c r="H687" s="153" t="str">
        <f>IFERROR(__xludf.DUMMYFUNCTION("""COMPUTED_VALUE"""),"**Restoration_project** changed from Agutayan Artificial Reef Project to Artificial Reef Development Program, **Restoration_project_short** changed from Unknown to Site in Kawit Or., **Year of establishment** changed from Unknown to 1986, **Project Start*"&amp;"* changed from Unknown to 1985, **Project End** changed from Unknown to 1987, **Technique/Material Type** changed from tires, concrete, steel to bamboo, **Restoration objective** changed from Corporate social responsibility to Unknown, **Funding agency** "&amp;"changed from Nestle to BFAR, **Total units** changed from Unknown to 5 BM, **Implementing institution** changed from Nestle to BFAR, **Partners_public** changed from Unknown to Ministry of Human Settlements, **Partners_private** changed from Rudy Trillane"&amp;"s to Unknown, **Reference** changed from Blog to Balgos, M.C. (1995). Evaluation of artificial reef development in the Philippines. In Munro, J.L. &amp; Balgos, M. (eds.) Artificial reefs in the Philippines. ICLARM Conf. Proc. 49, pp. 6-22., **Website** chang"&amp;"ed from https://cbartazo.com/tag/agutayan-island/; https://www.philstar.com/business/business-as-usual/2008/08/25/81412/rudy-trillanes-coffee-man to https://core.ac.uk/download/pdf/6515223.pdf;, **Contact_name** changed from Unknown to Miriam Balgos")</f>
        <v>**Restoration_project** changed from Agutayan Artificial Reef Project to Artificial Reef Development Program, **Restoration_project_short** changed from Unknown to Site in Kawit Or., **Year of establishment** changed from Unknown to 1986, **Project Start** changed from Unknown to 1985, **Project End** changed from Unknown to 1987, **Technique/Material Type** changed from tires, concrete, steel to bamboo, **Restoration objective** changed from Corporate social responsibility to Unknown, **Funding agency** changed from Nestle to BFAR, **Total units** changed from Unknown to 5 BM, **Implementing institution** changed from Nestle to BFAR, **Partners_public** changed from Unknown to Ministry of Human Settlements, **Partners_private** changed from Rudy Trillanes to Unknown, **Reference** changed from Blog to Balgos, M.C. (1995). Evaluation of artificial reef development in the Philippines. In Munro, J.L. &amp; Balgos, M. (eds.) Artificial reefs in the Philippines. ICLARM Conf. Proc. 49, pp. 6-22., **Website** changed from https://cbartazo.com/tag/agutayan-island/; https://www.philstar.com/business/business-as-usual/2008/08/25/81412/rudy-trillanes-coffee-man to https://core.ac.uk/download/pdf/6515223.pdf;, **Contact_name** changed from Unknown to Miriam Balgos</v>
      </c>
      <c r="I687" s="153" t="s">
        <v>7372</v>
      </c>
      <c r="J687" s="153" t="s">
        <v>171</v>
      </c>
      <c r="K687" s="153" t="s">
        <v>600</v>
      </c>
      <c r="L687" s="153" t="s">
        <v>601</v>
      </c>
      <c r="M687" s="181" t="s">
        <v>602</v>
      </c>
      <c r="N687" s="153" t="s">
        <v>151</v>
      </c>
      <c r="O687" s="153" t="s">
        <v>384</v>
      </c>
      <c r="P687" s="153" t="s">
        <v>603</v>
      </c>
      <c r="Q687" s="169">
        <v>1986.0</v>
      </c>
      <c r="R687" s="175" t="s">
        <v>6052</v>
      </c>
      <c r="S687" s="175" t="s">
        <v>6053</v>
      </c>
      <c r="T687" s="161" t="s">
        <v>150</v>
      </c>
      <c r="U687" s="153">
        <f>IFERROR(__xludf.DUMMYFUNCTION("""COMPUTED_VALUE"""),659.0)</f>
        <v>659</v>
      </c>
      <c r="V687" s="162" t="s">
        <v>3311</v>
      </c>
      <c r="W687" s="179" t="s">
        <v>6075</v>
      </c>
      <c r="X687" s="28" t="s">
        <v>604</v>
      </c>
      <c r="Y687" s="28" t="s">
        <v>605</v>
      </c>
      <c r="Z687" s="176" t="s">
        <v>605</v>
      </c>
      <c r="AA687" s="153" t="s">
        <v>6076</v>
      </c>
      <c r="AB687" s="158" t="s">
        <v>149</v>
      </c>
      <c r="AC687" s="153" t="s">
        <v>390</v>
      </c>
      <c r="AD687" s="158" t="s">
        <v>160</v>
      </c>
      <c r="AE687" s="158" t="s">
        <v>6035</v>
      </c>
      <c r="AF687" s="158" t="s">
        <v>159</v>
      </c>
      <c r="AG687" s="164" t="s">
        <v>149</v>
      </c>
      <c r="AH687" s="158" t="s">
        <v>149</v>
      </c>
      <c r="AI687" s="153" t="s">
        <v>606</v>
      </c>
      <c r="AJ687" s="153" t="s">
        <v>390</v>
      </c>
      <c r="AK687" s="153" t="s">
        <v>6035</v>
      </c>
      <c r="AL687" s="153" t="s">
        <v>6055</v>
      </c>
      <c r="AM687" s="3" t="s">
        <v>149</v>
      </c>
      <c r="AN687" s="3" t="s">
        <v>149</v>
      </c>
      <c r="AO687" s="156">
        <v>1.0</v>
      </c>
      <c r="AP687" s="156" t="s">
        <v>6037</v>
      </c>
      <c r="AQ687" s="158" t="s">
        <v>395</v>
      </c>
      <c r="AR687" s="153" t="s">
        <v>6060</v>
      </c>
      <c r="AS687" s="158" t="s">
        <v>6711</v>
      </c>
      <c r="AT687" s="153" t="s">
        <v>398</v>
      </c>
      <c r="AU687" s="3" t="s">
        <v>149</v>
      </c>
    </row>
    <row r="688">
      <c r="A688" s="186">
        <v>344.0</v>
      </c>
      <c r="B688" s="152">
        <v>2025.0</v>
      </c>
      <c r="C688" s="153" t="str">
        <f t="shared" si="75"/>
        <v>2023-PH103507000-344</v>
      </c>
      <c r="D688" s="152">
        <f t="shared" si="76"/>
        <v>2023</v>
      </c>
      <c r="E688" s="151">
        <v>344.0</v>
      </c>
      <c r="F688" s="129" t="s">
        <v>140</v>
      </c>
      <c r="G688" s="156" t="s">
        <v>141</v>
      </c>
      <c r="H688" s="153" t="str">
        <f>IFERROR(__xludf.DUMMYFUNCTION("""COMPUTED_VALUE"""),"**Restoration_project_short** changed from Site in Kawit Or. to Site in Dalicanan, **Technique/Material Type** changed from bamboo to tires; bamboo, **Total units** changed from 5 BM to 6 TM; 4 BM")</f>
        <v>**Restoration_project_short** changed from Site in Kawit Or. to Site in Dalicanan, **Technique/Material Type** changed from bamboo to tires; bamboo, **Total units** changed from 5 BM to 6 TM; 4 BM</v>
      </c>
      <c r="I688" s="153" t="s">
        <v>7373</v>
      </c>
      <c r="J688" s="153" t="s">
        <v>171</v>
      </c>
      <c r="K688" s="153" t="s">
        <v>600</v>
      </c>
      <c r="L688" s="153" t="s">
        <v>601</v>
      </c>
      <c r="M688" s="181" t="s">
        <v>602</v>
      </c>
      <c r="N688" s="153" t="s">
        <v>151</v>
      </c>
      <c r="O688" s="153" t="s">
        <v>384</v>
      </c>
      <c r="P688" s="153" t="s">
        <v>608</v>
      </c>
      <c r="Q688" s="169">
        <v>1986.0</v>
      </c>
      <c r="R688" s="175" t="s">
        <v>6052</v>
      </c>
      <c r="S688" s="175" t="s">
        <v>6053</v>
      </c>
      <c r="T688" s="161" t="s">
        <v>150</v>
      </c>
      <c r="U688" s="153">
        <f>IFERROR(__xludf.DUMMYFUNCTION("""COMPUTED_VALUE"""),660.0)</f>
        <v>660</v>
      </c>
      <c r="V688" s="162" t="s">
        <v>3311</v>
      </c>
      <c r="W688" s="179" t="s">
        <v>6081</v>
      </c>
      <c r="X688" s="28" t="s">
        <v>6082</v>
      </c>
      <c r="Y688" s="32" t="s">
        <v>468</v>
      </c>
      <c r="Z688" s="158" t="s">
        <v>469</v>
      </c>
      <c r="AA688" s="153" t="s">
        <v>469</v>
      </c>
      <c r="AB688" s="158" t="s">
        <v>149</v>
      </c>
      <c r="AC688" s="153" t="s">
        <v>390</v>
      </c>
      <c r="AD688" s="158" t="s">
        <v>160</v>
      </c>
      <c r="AE688" s="158" t="s">
        <v>6035</v>
      </c>
      <c r="AF688" s="158" t="s">
        <v>159</v>
      </c>
      <c r="AG688" s="164" t="s">
        <v>149</v>
      </c>
      <c r="AH688" s="158" t="s">
        <v>149</v>
      </c>
      <c r="AI688" s="153" t="s">
        <v>609</v>
      </c>
      <c r="AJ688" s="153" t="s">
        <v>390</v>
      </c>
      <c r="AK688" s="153" t="s">
        <v>6035</v>
      </c>
      <c r="AL688" s="153" t="s">
        <v>6055</v>
      </c>
      <c r="AM688" s="3" t="s">
        <v>149</v>
      </c>
      <c r="AN688" s="3" t="s">
        <v>149</v>
      </c>
      <c r="AO688" s="156">
        <v>1.0</v>
      </c>
      <c r="AP688" s="156" t="s">
        <v>6037</v>
      </c>
      <c r="AQ688" s="158" t="s">
        <v>395</v>
      </c>
      <c r="AR688" s="153" t="s">
        <v>6060</v>
      </c>
      <c r="AS688" s="158" t="s">
        <v>6711</v>
      </c>
      <c r="AT688" s="153" t="s">
        <v>398</v>
      </c>
      <c r="AU688" s="3" t="s">
        <v>149</v>
      </c>
    </row>
    <row r="689">
      <c r="A689" s="186">
        <v>344.0</v>
      </c>
      <c r="B689" s="152">
        <v>2023.0</v>
      </c>
      <c r="D689" s="152"/>
      <c r="E689" s="151">
        <v>344.0</v>
      </c>
      <c r="F689" s="129" t="s">
        <v>140</v>
      </c>
      <c r="G689" s="3" t="s">
        <v>6029</v>
      </c>
      <c r="H689" s="8" t="str">
        <f>IFERROR(__xludf.DUMMYFUNCTION("""COMPUTED_VALUE"""),"")</f>
        <v/>
      </c>
      <c r="I689" s="8" t="s">
        <v>7374</v>
      </c>
      <c r="J689" s="8" t="s">
        <v>171</v>
      </c>
      <c r="K689" s="8" t="s">
        <v>172</v>
      </c>
      <c r="L689" s="8" t="s">
        <v>2642</v>
      </c>
      <c r="M689" s="8" t="s">
        <v>2643</v>
      </c>
      <c r="N689" s="8" t="s">
        <v>6062</v>
      </c>
      <c r="O689" s="3" t="s">
        <v>149</v>
      </c>
      <c r="P689" s="8" t="s">
        <v>7375</v>
      </c>
      <c r="Q689" s="142" t="s">
        <v>6145</v>
      </c>
      <c r="R689" s="3" t="s">
        <v>149</v>
      </c>
      <c r="S689" s="3" t="s">
        <v>149</v>
      </c>
      <c r="T689" s="8"/>
      <c r="U689" s="8">
        <f>IFERROR(__xludf.DUMMYFUNCTION("""COMPUTED_VALUE"""),661.0)</f>
        <v>661</v>
      </c>
      <c r="V689" s="8"/>
      <c r="W689" s="8"/>
      <c r="X689" s="8"/>
      <c r="Y689" s="8"/>
      <c r="AA689" s="8" t="s">
        <v>6666</v>
      </c>
      <c r="AB689" s="3" t="s">
        <v>149</v>
      </c>
      <c r="AC689" s="8" t="s">
        <v>2816</v>
      </c>
      <c r="AG689" s="3" t="s">
        <v>149</v>
      </c>
      <c r="AH689" s="3" t="s">
        <v>149</v>
      </c>
      <c r="AI689" s="3" t="s">
        <v>149</v>
      </c>
      <c r="AJ689" s="8" t="s">
        <v>2816</v>
      </c>
      <c r="AL689" s="8" t="s">
        <v>7376</v>
      </c>
      <c r="AM689" s="3" t="s">
        <v>149</v>
      </c>
      <c r="AN689" s="3" t="s">
        <v>149</v>
      </c>
      <c r="AO689" s="8"/>
      <c r="AP689" s="8"/>
      <c r="AR689" s="8" t="s">
        <v>166</v>
      </c>
      <c r="AS689" s="172" t="s">
        <v>2819</v>
      </c>
      <c r="AT689" s="3" t="s">
        <v>149</v>
      </c>
      <c r="AU689" s="3" t="s">
        <v>149</v>
      </c>
    </row>
    <row r="690">
      <c r="A690" s="186">
        <v>345.0</v>
      </c>
      <c r="B690" s="152">
        <v>2025.0</v>
      </c>
      <c r="C690" s="153" t="str">
        <f>CONCATENATE(D690, "-", M690, "-", A690)
</f>
        <v>2023-PH103510000-345</v>
      </c>
      <c r="D690" s="152">
        <f>IF(OR(F689="Published", F689="Unpublished"), 2023, IF(F689="New", 2025, ""))
</f>
        <v>2023</v>
      </c>
      <c r="E690" s="151">
        <v>345.0</v>
      </c>
      <c r="F690" s="156" t="s">
        <v>140</v>
      </c>
      <c r="G690" s="156" t="s">
        <v>141</v>
      </c>
      <c r="H690" s="153" t="str">
        <f>IFERROR(__xludf.DUMMYFUNCTION("""COMPUTED_VALUE"""),"**Restoration_project** changed from Unknown to The Linamon Coral Reef Restoration and Enhancement Through Community-Based Coral Transplantation in a Marine Protected Area, **Restoration_project_short** changed from Earth Day 2022 celebration of Ports Man"&amp;"agement Office, CDO to Biodiversity enhancement project under the NRM program of the Mindanao Rural Development Project (MRDP), **Year of establishment** changed from 2022 to 2008, **Restoration method** changed from Asexual Reproduction to Artificial Ree"&amp;"f; Asexual Reproduction, **Technique/Material Type** changed from Coral planting to Coral transplantation; ARs in pyramidal, dome type and cylindrical types, **Funding agency** changed from Ports Management Office of Misamis Oriental/Cagayan de Oro to Wor"&amp;"ld Bank; GOP, **Total funding** changed from Unknown to 3.23 million, **Total units** changed from Unknown to 38 modules, **Implementing institution** changed from Ports Management Office of Misamis Oriental/Cagayan de Oro to MLGU; Department of Agricultu"&amp;"re, **Partners_public** changed from Coast Guard Northern Mindanao to Unknown, **Partners_communities** changed from Unknown to Magoong and Samburon Fisherfolk Assoc., **Reference** changed from News/Press Release to Lakwatsero (2012, June 11). Diving wit"&amp;"h a purpose: coral transplantation project in Linamon, Lanao del Norte. Lakwatsero: Let me take you to the best places. https://www.lakwatsero.com/dive-report/linamon-coral-transplanation-project-in-iligan-bay/, **Website** changed from http://www.pmocdo."&amp;"ppa.com.ph/pmo-mo-c-expands-initiatives-for-environment-conservation/ to https://www.lakwatsero.com/dive-report/linamon-coral-transplanation-project-in-iligan-bay/")</f>
        <v>**Restoration_project** changed from Unknown to The Linamon Coral Reef Restoration and Enhancement Through Community-Based Coral Transplantation in a Marine Protected Area, **Restoration_project_short** changed from Earth Day 2022 celebration of Ports Management Office, CDO to Biodiversity enhancement project under the NRM program of the Mindanao Rural Development Project (MRDP), **Year of establishment** changed from 2022 to 2008, **Restoration method** changed from Asexual Reproduction to Artificial Reef; Asexual Reproduction, **Technique/Material Type** changed from Coral planting to Coral transplantation; ARs in pyramidal, dome type and cylindrical types, **Funding agency** changed from Ports Management Office of Misamis Oriental/Cagayan de Oro to World Bank; GOP, **Total funding** changed from Unknown to 3.23 million, **Total units** changed from Unknown to 38 modules, **Implementing institution** changed from Ports Management Office of Misamis Oriental/Cagayan de Oro to MLGU; Department of Agriculture, **Partners_public** changed from Coast Guard Northern Mindanao to Unknown, **Partners_communities** changed from Unknown to Magoong and Samburon Fisherfolk Assoc., **Reference** changed from News/Press Release to Lakwatsero (2012, June 11). Diving with a purpose: coral transplantation project in Linamon, Lanao del Norte. Lakwatsero: Let me take you to the best places. https://www.lakwatsero.com/dive-report/linamon-coral-transplanation-project-in-iligan-bay/, **Website** changed from http://www.pmocdo.ppa.com.ph/pmo-mo-c-expands-initiatives-for-environment-conservation/ to https://www.lakwatsero.com/dive-report/linamon-coral-transplanation-project-in-iligan-bay/</v>
      </c>
      <c r="I690" s="153" t="s">
        <v>7377</v>
      </c>
      <c r="J690" s="153" t="s">
        <v>171</v>
      </c>
      <c r="K690" s="153" t="s">
        <v>600</v>
      </c>
      <c r="L690" s="153" t="s">
        <v>2252</v>
      </c>
      <c r="M690" s="181" t="s">
        <v>2253</v>
      </c>
      <c r="N690" s="158" t="s">
        <v>6624</v>
      </c>
      <c r="O690" s="153" t="s">
        <v>2254</v>
      </c>
      <c r="P690" s="153" t="s">
        <v>7378</v>
      </c>
      <c r="Q690" s="169">
        <v>2008.0</v>
      </c>
      <c r="R690" s="160" t="s">
        <v>149</v>
      </c>
      <c r="S690" s="160" t="s">
        <v>149</v>
      </c>
      <c r="T690" s="156" t="s">
        <v>263</v>
      </c>
      <c r="U690" s="153">
        <f>IFERROR(__xludf.DUMMYFUNCTION("""COMPUTED_VALUE"""),662.0)</f>
        <v>662</v>
      </c>
      <c r="V690" s="191" t="s">
        <v>6625</v>
      </c>
      <c r="W690" s="179" t="s">
        <v>6032</v>
      </c>
      <c r="X690" s="28" t="s">
        <v>6173</v>
      </c>
      <c r="Y690" s="180" t="s">
        <v>6474</v>
      </c>
      <c r="Z690" s="158" t="s">
        <v>2092</v>
      </c>
      <c r="AA690" s="153" t="s">
        <v>2256</v>
      </c>
      <c r="AB690" s="158" t="s">
        <v>149</v>
      </c>
      <c r="AC690" s="153" t="s">
        <v>2257</v>
      </c>
      <c r="AD690" s="158" t="s">
        <v>6154</v>
      </c>
      <c r="AE690" s="158" t="s">
        <v>206</v>
      </c>
      <c r="AF690" s="158" t="s">
        <v>159</v>
      </c>
      <c r="AG690" s="181" t="s">
        <v>7379</v>
      </c>
      <c r="AH690" s="158" t="s">
        <v>149</v>
      </c>
      <c r="AI690" s="153" t="s">
        <v>2259</v>
      </c>
      <c r="AJ690" s="153" t="s">
        <v>2260</v>
      </c>
      <c r="AK690" s="153" t="s">
        <v>6035</v>
      </c>
      <c r="AL690" s="3" t="s">
        <v>149</v>
      </c>
      <c r="AM690" s="3" t="s">
        <v>149</v>
      </c>
      <c r="AN690" s="153" t="s">
        <v>2261</v>
      </c>
      <c r="AO690" s="156">
        <v>2.0</v>
      </c>
      <c r="AP690" s="156" t="s">
        <v>6628</v>
      </c>
      <c r="AQ690" s="158" t="s">
        <v>6091</v>
      </c>
      <c r="AR690" s="153" t="s">
        <v>2262</v>
      </c>
      <c r="AS690" s="165" t="s">
        <v>2263</v>
      </c>
      <c r="AT690" s="3" t="s">
        <v>149</v>
      </c>
      <c r="AU690" s="3" t="s">
        <v>149</v>
      </c>
    </row>
    <row r="691">
      <c r="A691" s="186">
        <v>345.0</v>
      </c>
      <c r="B691" s="152">
        <v>2023.0</v>
      </c>
      <c r="D691" s="152"/>
      <c r="E691" s="151">
        <v>345.0</v>
      </c>
      <c r="F691" s="129" t="s">
        <v>140</v>
      </c>
      <c r="G691" s="3" t="s">
        <v>3279</v>
      </c>
      <c r="H691" s="8" t="str">
        <f>IFERROR(__xludf.DUMMYFUNCTION("""COMPUTED_VALUE"""),"")</f>
        <v/>
      </c>
      <c r="I691" s="8" t="s">
        <v>7380</v>
      </c>
      <c r="J691" s="8" t="s">
        <v>171</v>
      </c>
      <c r="K691" s="8" t="s">
        <v>172</v>
      </c>
      <c r="L691" s="8" t="s">
        <v>5529</v>
      </c>
      <c r="M691" s="8" t="s">
        <v>5530</v>
      </c>
      <c r="N691" s="8" t="s">
        <v>151</v>
      </c>
      <c r="O691" s="8" t="s">
        <v>6113</v>
      </c>
      <c r="Q691" s="142" t="s">
        <v>6230</v>
      </c>
      <c r="R691" s="142"/>
      <c r="S691" s="142"/>
      <c r="U691" s="8">
        <f>IFERROR(__xludf.DUMMYFUNCTION("""COMPUTED_VALUE"""),663.0)</f>
        <v>663</v>
      </c>
      <c r="V691" s="8"/>
      <c r="W691" s="8"/>
      <c r="AG691" s="142"/>
      <c r="AJ691" s="8" t="s">
        <v>1974</v>
      </c>
      <c r="AO691" s="8"/>
      <c r="AP691" s="8"/>
    </row>
    <row r="692">
      <c r="A692" s="186">
        <v>346.0</v>
      </c>
      <c r="B692" s="152">
        <v>2025.0</v>
      </c>
      <c r="C692" s="153" t="str">
        <f>CONCATENATE(D692, "-", M692, "-", A692)
</f>
        <v>2023-PH103512000-346</v>
      </c>
      <c r="D692" s="152">
        <f>IF(OR(F691="Published", F691="Unpublished"), 2023, IF(F691="New", 2025, ""))
</f>
        <v>2023</v>
      </c>
      <c r="E692" s="151">
        <v>346.0</v>
      </c>
      <c r="F692" s="156" t="s">
        <v>140</v>
      </c>
      <c r="G692" s="156" t="s">
        <v>141</v>
      </c>
      <c r="H692" s="153" t="str">
        <f>IFERROR(__xludf.DUMMYFUNCTION("""COMPUTED_VALUE"""),"**Restoration_project** changed from *Not indicated to Fisheries Sector Program, **Restoration_project_short** changed from to Unknown, **Year of establishment** changed from 2005 to 1993, **Project Start** changed from to 1990, **Project End** changed fr"&amp;"om to 1994, **Technique/Material Type** changed from to Unknown, **Restoration objective** changed from to Unknown, **Funding agency** changed from to ADB, Overseas Economic Cooperation Fund of Japan , **Total funding** changed from to Unknown, **Total ar"&amp;"ea of restoration** changed from to Unknown, **Total units** changed from to Unknown, **Implementing institution** changed from MLGU; BFAR to DA, **Partners_public** changed from to MLGU, **Partners_private** changed from to Unknown, **Partners_communitie"&amp;"s** changed from to Unknown, **Reference** changed from to Balgos, M.C. (1995). Evaluation of artificial reef development in the Philippines. In Munro, J.L. &amp; Balgos, M. (eds.) Artificial reefs in the Philippines. ICLARM Conf. Proc. 49, pp. 6-22., **Websi"&amp;"te** changed from to https://core.ac.uk/download/pdf/6515223.pdf;, **Contact_name** changed from to Miriam Balgos, **Contact_details** changed from to Unknown")</f>
        <v>**Restoration_project** changed from *Not indicated to Fisheries Sector Program, **Restoration_project_short** changed from to Unknown, **Year of establishment** changed from 2005 to 1993, **Project Start** changed from to 1990, **Project End** changed from to 1994, **Technique/Material Type** changed from to Unknown, **Restoration objective** changed from to Unknown, **Funding agency** changed from to ADB, Overseas Economic Cooperation Fund of Japan , **Total funding** changed from to Unknown, **Total area of restoration** changed from to Unknown, **Total units** changed from to Unknown, **Implementing institution** changed from MLGU; BFAR to DA, **Partners_public** changed from to MLGU, **Partners_private** changed from to Unknown, **Partners_communities** changed from to Unknown, **Reference** changed from to Balgos, M.C. (1995). Evaluation of artificial reef development in the Philippines. In Munro, J.L. &amp; Balgos, M. (eds.) Artificial reefs in the Philippines. ICLARM Conf. Proc. 49, pp. 6-22., **Website** changed from to https://core.ac.uk/download/pdf/6515223.pdf;, **Contact_name** changed from to Miriam Balgos, **Contact_details** changed from to Unknown</v>
      </c>
      <c r="I692" s="153" t="s">
        <v>7381</v>
      </c>
      <c r="J692" s="153" t="s">
        <v>171</v>
      </c>
      <c r="K692" s="153" t="s">
        <v>600</v>
      </c>
      <c r="L692" s="153" t="s">
        <v>1497</v>
      </c>
      <c r="M692" s="181" t="s">
        <v>1498</v>
      </c>
      <c r="N692" s="153" t="s">
        <v>151</v>
      </c>
      <c r="O692" s="153" t="s">
        <v>1377</v>
      </c>
      <c r="P692" s="3" t="s">
        <v>149</v>
      </c>
      <c r="Q692" s="178">
        <v>1993.0</v>
      </c>
      <c r="R692" s="175" t="s">
        <v>6198</v>
      </c>
      <c r="S692" s="175" t="s">
        <v>6199</v>
      </c>
      <c r="T692" s="161" t="s">
        <v>150</v>
      </c>
      <c r="U692" s="153">
        <f>IFERROR(__xludf.DUMMYFUNCTION("""COMPUTED_VALUE"""),664.0)</f>
        <v>664</v>
      </c>
      <c r="V692" s="162" t="s">
        <v>3311</v>
      </c>
      <c r="W692" s="187" t="s">
        <v>149</v>
      </c>
      <c r="X692" s="184"/>
      <c r="Y692" s="184" t="s">
        <v>149</v>
      </c>
      <c r="Z692" s="158" t="s">
        <v>149</v>
      </c>
      <c r="AA692" s="158" t="s">
        <v>149</v>
      </c>
      <c r="AB692" s="158" t="s">
        <v>149</v>
      </c>
      <c r="AC692" s="153" t="s">
        <v>1381</v>
      </c>
      <c r="AD692" s="158" t="s">
        <v>6154</v>
      </c>
      <c r="AE692" s="158" t="s">
        <v>206</v>
      </c>
      <c r="AF692" s="158" t="s">
        <v>159</v>
      </c>
      <c r="AG692" s="164" t="s">
        <v>149</v>
      </c>
      <c r="AH692" s="158" t="s">
        <v>149</v>
      </c>
      <c r="AI692" s="158" t="s">
        <v>149</v>
      </c>
      <c r="AJ692" s="153" t="s">
        <v>660</v>
      </c>
      <c r="AK692" s="153" t="s">
        <v>6035</v>
      </c>
      <c r="AL692" s="153" t="s">
        <v>369</v>
      </c>
      <c r="AM692" s="3" t="s">
        <v>149</v>
      </c>
      <c r="AN692" s="3" t="s">
        <v>149</v>
      </c>
      <c r="AO692" s="156">
        <v>1.0</v>
      </c>
      <c r="AP692" s="156" t="s">
        <v>6037</v>
      </c>
      <c r="AQ692" s="158" t="s">
        <v>395</v>
      </c>
      <c r="AR692" s="153" t="s">
        <v>6060</v>
      </c>
      <c r="AS692" s="158" t="s">
        <v>6711</v>
      </c>
      <c r="AT692" s="153" t="s">
        <v>398</v>
      </c>
      <c r="AU692" s="3" t="s">
        <v>149</v>
      </c>
    </row>
    <row r="693">
      <c r="A693" s="186">
        <v>346.0</v>
      </c>
      <c r="B693" s="152">
        <v>2023.0</v>
      </c>
      <c r="D693" s="152"/>
      <c r="E693" s="151">
        <v>346.0</v>
      </c>
      <c r="F693" s="129" t="s">
        <v>140</v>
      </c>
      <c r="G693" s="3" t="s">
        <v>6029</v>
      </c>
      <c r="H693" s="8" t="str">
        <f>IFERROR(__xludf.DUMMYFUNCTION("""COMPUTED_VALUE"""),"")</f>
        <v/>
      </c>
      <c r="I693" s="8" t="s">
        <v>7382</v>
      </c>
      <c r="J693" s="8" t="s">
        <v>171</v>
      </c>
      <c r="K693" s="8" t="s">
        <v>172</v>
      </c>
      <c r="L693" s="8" t="s">
        <v>173</v>
      </c>
      <c r="M693" s="8" t="s">
        <v>174</v>
      </c>
      <c r="N693" s="8" t="s">
        <v>151</v>
      </c>
      <c r="O693" s="154" t="s">
        <v>149</v>
      </c>
      <c r="P693" s="8" t="s">
        <v>7383</v>
      </c>
      <c r="Q693" s="154" t="s">
        <v>149</v>
      </c>
      <c r="R693" s="154" t="s">
        <v>149</v>
      </c>
      <c r="S693" s="154" t="s">
        <v>149</v>
      </c>
      <c r="T693" s="8"/>
      <c r="U693" s="8">
        <f>IFERROR(__xludf.DUMMYFUNCTION("""COMPUTED_VALUE"""),665.0)</f>
        <v>665</v>
      </c>
      <c r="V693" s="8"/>
      <c r="W693" s="8"/>
      <c r="X693" s="8"/>
      <c r="Y693" s="8"/>
      <c r="AA693" s="8" t="s">
        <v>2217</v>
      </c>
      <c r="AB693" s="154" t="s">
        <v>149</v>
      </c>
      <c r="AC693" s="154" t="s">
        <v>149</v>
      </c>
      <c r="AG693" s="154" t="s">
        <v>149</v>
      </c>
      <c r="AH693" s="154" t="s">
        <v>149</v>
      </c>
      <c r="AI693" s="154" t="s">
        <v>149</v>
      </c>
      <c r="AJ693" s="8" t="s">
        <v>2752</v>
      </c>
      <c r="AL693" s="154" t="s">
        <v>149</v>
      </c>
      <c r="AM693" s="154" t="s">
        <v>149</v>
      </c>
      <c r="AN693" s="154" t="s">
        <v>149</v>
      </c>
      <c r="AO693" s="8"/>
      <c r="AP693" s="8"/>
      <c r="AR693" s="8" t="s">
        <v>6038</v>
      </c>
      <c r="AS693" s="8" t="s">
        <v>2754</v>
      </c>
      <c r="AT693" s="8" t="s">
        <v>188</v>
      </c>
      <c r="AU693" s="172" t="s">
        <v>1140</v>
      </c>
    </row>
    <row r="694">
      <c r="A694" s="186">
        <v>347.0</v>
      </c>
      <c r="B694" s="152">
        <v>2025.0</v>
      </c>
      <c r="C694" s="153" t="str">
        <f>CONCATENATE(D694, "-", M694, "-", A694)
</f>
        <v>2023-PH103512000-347</v>
      </c>
      <c r="D694" s="152">
        <f>IF(OR(F693="Published", F693="Unpublished"), 2023, IF(F693="New", 2025, ""))
</f>
        <v>2023</v>
      </c>
      <c r="E694" s="151">
        <v>347.0</v>
      </c>
      <c r="F694" s="156" t="s">
        <v>140</v>
      </c>
      <c r="G694" s="156" t="s">
        <v>141</v>
      </c>
      <c r="H694" s="153" t="str">
        <f>IFERROR(__xludf.DUMMYFUNCTION("""COMPUTED_VALUE"""),"**Restoration_project** changed from Unknown to Fisheries Sector Program, **Restoration_project_short** changed from *Artificial structure installed by the resort for SCUBA tourism to Site in Sogapod; *Stated as Sogapod in the lit but this is a barangay w"&amp;"hich is part of the municipality of Maigo, **Year of establishment** changed from Unknown to 1993, **Project Start** changed from Unknown to 1990, **Project End** changed from Unknown to 1994, **Technique/Material Type** changed from Steel frame to Unknow"&amp;"n, **Funding agency** changed from Unknown to ADB, Overseas Economic Cooperation Fund of Japan , **Implementing institution** changed from Duka Bay Resort to DA, **Partners_public** changed from Unknown to MLGU, **Reference** changed from Social Media to "&amp;"Balgos, M.C. (1995). Evaluation of artificial reef development in the Philippines. In Munro, J.L. &amp; Balgos, M. (eds.) Artificial reefs in the Philippines. ICLARM Conf. Proc. 49, pp. 6-22., **Website** changed from https://www.youtube.com/watch?v=7NBc_NGXq"&amp;"EA to https://core.ac.uk/download/pdf/6515223.pdf;, **Contact_name** changed from Ernesto Pelaez to Miriam Balgos, **Contact_details** changed from 0917 794 2759 to Unknown")</f>
        <v>**Restoration_project** changed from Unknown to Fisheries Sector Program, **Restoration_project_short** changed from *Artificial structure installed by the resort for SCUBA tourism to Site in Sogapod; *Stated as Sogapod in the lit but this is a barangay which is part of the municipality of Maigo, **Year of establishment** changed from Unknown to 1993, **Project Start** changed from Unknown to 1990, **Project End** changed from Unknown to 1994, **Technique/Material Type** changed from Steel frame to Unknown, **Funding agency** changed from Unknown to ADB, Overseas Economic Cooperation Fund of Japan , **Implementing institution** changed from Duka Bay Resort to DA, **Partners_public** changed from Unknown to MLGU, **Reference** changed from Social Media to Balgos, M.C. (1995). Evaluation of artificial reef development in the Philippines. In Munro, J.L. &amp; Balgos, M. (eds.) Artificial reefs in the Philippines. ICLARM Conf. Proc. 49, pp. 6-22., **Website** changed from https://www.youtube.com/watch?v=7NBc_NGXqEA to https://core.ac.uk/download/pdf/6515223.pdf;, **Contact_name** changed from Ernesto Pelaez to Miriam Balgos, **Contact_details** changed from 0917 794 2759 to Unknown</v>
      </c>
      <c r="I694" s="153" t="s">
        <v>7384</v>
      </c>
      <c r="J694" s="153" t="s">
        <v>171</v>
      </c>
      <c r="K694" s="153" t="s">
        <v>600</v>
      </c>
      <c r="L694" s="153" t="s">
        <v>1497</v>
      </c>
      <c r="M694" s="181" t="s">
        <v>1498</v>
      </c>
      <c r="N694" s="153" t="s">
        <v>151</v>
      </c>
      <c r="O694" s="153" t="s">
        <v>1377</v>
      </c>
      <c r="P694" s="153" t="s">
        <v>7385</v>
      </c>
      <c r="Q694" s="178">
        <v>1993.0</v>
      </c>
      <c r="R694" s="175" t="s">
        <v>6198</v>
      </c>
      <c r="S694" s="175" t="s">
        <v>6199</v>
      </c>
      <c r="T694" s="161" t="s">
        <v>150</v>
      </c>
      <c r="U694" s="153">
        <f>IFERROR(__xludf.DUMMYFUNCTION("""COMPUTED_VALUE"""),666.0)</f>
        <v>666</v>
      </c>
      <c r="V694" s="162" t="s">
        <v>3311</v>
      </c>
      <c r="W694" s="187" t="s">
        <v>149</v>
      </c>
      <c r="X694" s="184"/>
      <c r="Y694" s="184" t="s">
        <v>149</v>
      </c>
      <c r="Z694" s="158" t="s">
        <v>149</v>
      </c>
      <c r="AA694" s="158" t="s">
        <v>149</v>
      </c>
      <c r="AB694" s="158" t="s">
        <v>149</v>
      </c>
      <c r="AC694" s="153" t="s">
        <v>1381</v>
      </c>
      <c r="AD694" s="158" t="s">
        <v>6154</v>
      </c>
      <c r="AE694" s="158" t="s">
        <v>206</v>
      </c>
      <c r="AF694" s="158" t="s">
        <v>159</v>
      </c>
      <c r="AG694" s="164" t="s">
        <v>149</v>
      </c>
      <c r="AH694" s="158" t="s">
        <v>149</v>
      </c>
      <c r="AI694" s="158" t="s">
        <v>149</v>
      </c>
      <c r="AJ694" s="153" t="s">
        <v>660</v>
      </c>
      <c r="AK694" s="153" t="s">
        <v>6035</v>
      </c>
      <c r="AL694" s="153" t="s">
        <v>369</v>
      </c>
      <c r="AM694" s="3" t="s">
        <v>149</v>
      </c>
      <c r="AN694" s="3" t="s">
        <v>149</v>
      </c>
      <c r="AO694" s="156">
        <v>1.0</v>
      </c>
      <c r="AP694" s="156" t="s">
        <v>6037</v>
      </c>
      <c r="AQ694" s="158" t="s">
        <v>395</v>
      </c>
      <c r="AR694" s="153" t="s">
        <v>6060</v>
      </c>
      <c r="AS694" s="158" t="s">
        <v>6711</v>
      </c>
      <c r="AT694" s="153" t="s">
        <v>398</v>
      </c>
      <c r="AU694" s="3" t="s">
        <v>149</v>
      </c>
    </row>
    <row r="695">
      <c r="A695" s="186">
        <v>347.0</v>
      </c>
      <c r="B695" s="152">
        <v>2023.0</v>
      </c>
      <c r="D695" s="152"/>
      <c r="E695" s="151">
        <v>347.0</v>
      </c>
      <c r="F695" s="129" t="s">
        <v>140</v>
      </c>
      <c r="G695" s="3" t="s">
        <v>6029</v>
      </c>
      <c r="H695" s="8" t="str">
        <f>IFERROR(__xludf.DUMMYFUNCTION("""COMPUTED_VALUE"""),"")</f>
        <v/>
      </c>
      <c r="I695" s="8" t="s">
        <v>7386</v>
      </c>
      <c r="J695" s="8" t="s">
        <v>171</v>
      </c>
      <c r="K695" s="8" t="s">
        <v>172</v>
      </c>
      <c r="L695" s="8" t="s">
        <v>173</v>
      </c>
      <c r="M695" s="8" t="s">
        <v>174</v>
      </c>
      <c r="N695" s="8" t="s">
        <v>151</v>
      </c>
      <c r="O695" s="154" t="s">
        <v>149</v>
      </c>
      <c r="P695" s="8" t="s">
        <v>7383</v>
      </c>
      <c r="Q695" s="142" t="s">
        <v>6152</v>
      </c>
      <c r="R695" s="154" t="s">
        <v>149</v>
      </c>
      <c r="S695" s="154" t="s">
        <v>149</v>
      </c>
      <c r="T695" s="8"/>
      <c r="U695" s="8">
        <f>IFERROR(__xludf.DUMMYFUNCTION("""COMPUTED_VALUE"""),667.0)</f>
        <v>667</v>
      </c>
      <c r="V695" s="8"/>
      <c r="W695" s="8"/>
      <c r="X695" s="8"/>
      <c r="Y695" s="8"/>
      <c r="AA695" s="8" t="s">
        <v>2758</v>
      </c>
      <c r="AB695" s="8" t="s">
        <v>7387</v>
      </c>
      <c r="AC695" s="8" t="s">
        <v>2752</v>
      </c>
      <c r="AG695" s="154" t="s">
        <v>149</v>
      </c>
      <c r="AH695" s="154" t="s">
        <v>149</v>
      </c>
      <c r="AI695" s="154" t="s">
        <v>149</v>
      </c>
      <c r="AJ695" s="8" t="s">
        <v>2752</v>
      </c>
      <c r="AL695" s="154" t="s">
        <v>149</v>
      </c>
      <c r="AM695" s="154" t="s">
        <v>149</v>
      </c>
      <c r="AN695" s="154" t="s">
        <v>149</v>
      </c>
      <c r="AO695" s="8"/>
      <c r="AP695" s="8"/>
      <c r="AR695" s="8" t="s">
        <v>6091</v>
      </c>
      <c r="AS695" s="8" t="s">
        <v>2760</v>
      </c>
      <c r="AT695" s="8" t="s">
        <v>188</v>
      </c>
      <c r="AU695" s="172" t="s">
        <v>1140</v>
      </c>
    </row>
    <row r="696">
      <c r="A696" s="186">
        <v>348.0</v>
      </c>
      <c r="B696" s="152">
        <v>2025.0</v>
      </c>
      <c r="C696" s="153" t="str">
        <f>CONCATENATE(D696, "-", M696, "-", A696)
</f>
        <v>2023-PH104205000-348</v>
      </c>
      <c r="D696" s="152">
        <f>IF(OR(F695="Published", F695="Unpublished"), 2023, IF(F695="New", 2025, ""))
</f>
        <v>2023</v>
      </c>
      <c r="E696" s="151">
        <v>348.0</v>
      </c>
      <c r="F696" s="129" t="s">
        <v>140</v>
      </c>
      <c r="G696" s="156" t="s">
        <v>141</v>
      </c>
      <c r="H696" s="153" t="str">
        <f>IFERROR(__xludf.DUMMYFUNCTION("""COMPUTED_VALUE"""),"**Restoration_project** changed from Unknown to Fisheries Sector Program, **Restoration_project_short** changed from *Artificial structure installed by the resort for SCUBA tourism to Unknown, **Year of establishment** changed from 2017 to 1992, **Project"&amp;" Start** changed from Unknown to 1990, **Project End** changed from Unknown to 1994, **Technique/Material Type** changed from Statue to Unknown, **Restoration objective** changed from Attraction to Unknown, **Funding agency** changed from Duka Bay Resort "&amp;"to ADB, Overseas Economic Cooperation Fund of Japan , **Implementing institution** changed from Duka Bay Resort to DA, **Partners_public** changed from Unknown to MLGU, **Reference** changed from Blog to Balgos, M.C. (1995). Evaluation of artificial reef "&amp;"development in the Philippines. In Munro, J.L. &amp; Balgos, M. (eds.) Artificial reefs in the Philippines. ICLARM Conf. Proc. 49, pp. 6-22., **Website** changed from https://cbartazo.com/tag/duka-bay/; https://www.scubaandtravel.com/2016/12/scuba-diving-and-"&amp;"travel-destination.html to https://core.ac.uk/download/pdf/6515223.pdf;, **Contact_name** changed from Ernesto Pelaez to Miriam Balgos, **Contact_details** changed from 0917 794 2759 to Unknown")</f>
        <v>**Restoration_project** changed from Unknown to Fisheries Sector Program, **Restoration_project_short** changed from *Artificial structure installed by the resort for SCUBA tourism to Unknown, **Year of establishment** changed from 2017 to 1992, **Project Start** changed from Unknown to 1990, **Project End** changed from Unknown to 1994, **Technique/Material Type** changed from Statue to Unknown, **Restoration objective** changed from Attraction to Unknown, **Funding agency** changed from Duka Bay Resort to ADB, Overseas Economic Cooperation Fund of Japan , **Implementing institution** changed from Duka Bay Resort to DA, **Partners_public** changed from Unknown to MLGU, **Reference** changed from Blog to Balgos, M.C. (1995). Evaluation of artificial reef development in the Philippines. In Munro, J.L. &amp; Balgos, M. (eds.) Artificial reefs in the Philippines. ICLARM Conf. Proc. 49, pp. 6-22., **Website** changed from https://cbartazo.com/tag/duka-bay/; https://www.scubaandtravel.com/2016/12/scuba-diving-and-travel-destination.html to https://core.ac.uk/download/pdf/6515223.pdf;, **Contact_name** changed from Ernesto Pelaez to Miriam Balgos, **Contact_details** changed from 0917 794 2759 to Unknown</v>
      </c>
      <c r="I696" s="153" t="s">
        <v>7388</v>
      </c>
      <c r="J696" s="153" t="s">
        <v>171</v>
      </c>
      <c r="K696" s="153" t="s">
        <v>976</v>
      </c>
      <c r="L696" s="153" t="s">
        <v>1502</v>
      </c>
      <c r="M696" s="181" t="s">
        <v>1503</v>
      </c>
      <c r="N696" s="153" t="s">
        <v>151</v>
      </c>
      <c r="O696" s="153" t="s">
        <v>1377</v>
      </c>
      <c r="P696" s="3" t="s">
        <v>149</v>
      </c>
      <c r="Q696" s="178">
        <v>1992.0</v>
      </c>
      <c r="R696" s="175" t="s">
        <v>6198</v>
      </c>
      <c r="S696" s="175" t="s">
        <v>6199</v>
      </c>
      <c r="T696" s="161" t="s">
        <v>150</v>
      </c>
      <c r="U696" s="153">
        <f>IFERROR(__xludf.DUMMYFUNCTION("""COMPUTED_VALUE"""),668.0)</f>
        <v>668</v>
      </c>
      <c r="V696" s="162" t="s">
        <v>3311</v>
      </c>
      <c r="W696" s="187" t="s">
        <v>149</v>
      </c>
      <c r="X696" s="184"/>
      <c r="Y696" s="184" t="s">
        <v>149</v>
      </c>
      <c r="Z696" s="158" t="s">
        <v>149</v>
      </c>
      <c r="AA696" s="158" t="s">
        <v>149</v>
      </c>
      <c r="AB696" s="158" t="s">
        <v>149</v>
      </c>
      <c r="AC696" s="153" t="s">
        <v>1381</v>
      </c>
      <c r="AD696" s="158" t="s">
        <v>6154</v>
      </c>
      <c r="AE696" s="158" t="s">
        <v>206</v>
      </c>
      <c r="AF696" s="158" t="s">
        <v>159</v>
      </c>
      <c r="AG696" s="164" t="s">
        <v>149</v>
      </c>
      <c r="AH696" s="158" t="s">
        <v>149</v>
      </c>
      <c r="AI696" s="158" t="s">
        <v>149</v>
      </c>
      <c r="AJ696" s="153" t="s">
        <v>660</v>
      </c>
      <c r="AK696" s="153" t="s">
        <v>6035</v>
      </c>
      <c r="AL696" s="153" t="s">
        <v>369</v>
      </c>
      <c r="AM696" s="3" t="s">
        <v>149</v>
      </c>
      <c r="AN696" s="3" t="s">
        <v>149</v>
      </c>
      <c r="AO696" s="156">
        <v>1.0</v>
      </c>
      <c r="AP696" s="156" t="s">
        <v>6037</v>
      </c>
      <c r="AQ696" s="158" t="s">
        <v>395</v>
      </c>
      <c r="AR696" s="153" t="s">
        <v>6060</v>
      </c>
      <c r="AS696" s="158" t="s">
        <v>6711</v>
      </c>
      <c r="AT696" s="153" t="s">
        <v>398</v>
      </c>
      <c r="AU696" s="3" t="s">
        <v>149</v>
      </c>
    </row>
    <row r="697">
      <c r="A697" s="186">
        <v>348.0</v>
      </c>
      <c r="B697" s="152">
        <v>2023.0</v>
      </c>
      <c r="D697" s="152"/>
      <c r="E697" s="151">
        <v>348.0</v>
      </c>
      <c r="F697" s="129" t="s">
        <v>140</v>
      </c>
      <c r="G697" s="3" t="s">
        <v>6029</v>
      </c>
      <c r="H697" s="8" t="str">
        <f>IFERROR(__xludf.DUMMYFUNCTION("""COMPUTED_VALUE"""),"")</f>
        <v/>
      </c>
      <c r="I697" s="8" t="s">
        <v>7389</v>
      </c>
      <c r="J697" s="8" t="s">
        <v>171</v>
      </c>
      <c r="K697" s="8" t="s">
        <v>172</v>
      </c>
      <c r="L697" s="8" t="s">
        <v>173</v>
      </c>
      <c r="M697" s="8" t="s">
        <v>174</v>
      </c>
      <c r="N697" s="8" t="s">
        <v>6062</v>
      </c>
      <c r="O697" s="8" t="s">
        <v>7390</v>
      </c>
      <c r="P697" s="8" t="s">
        <v>7391</v>
      </c>
      <c r="Q697" s="154" t="s">
        <v>149</v>
      </c>
      <c r="R697" s="154" t="s">
        <v>149</v>
      </c>
      <c r="S697" s="154" t="s">
        <v>149</v>
      </c>
      <c r="T697" s="8"/>
      <c r="U697" s="8">
        <f>IFERROR(__xludf.DUMMYFUNCTION("""COMPUTED_VALUE"""),669.0)</f>
        <v>669</v>
      </c>
      <c r="V697" s="8"/>
      <c r="W697" s="8"/>
      <c r="X697" s="8"/>
      <c r="Y697" s="8"/>
      <c r="AA697" s="8" t="s">
        <v>179</v>
      </c>
      <c r="AB697" s="8" t="s">
        <v>286</v>
      </c>
      <c r="AC697" s="8" t="s">
        <v>2093</v>
      </c>
      <c r="AG697" s="154" t="s">
        <v>149</v>
      </c>
      <c r="AH697" s="154" t="s">
        <v>149</v>
      </c>
      <c r="AI697" s="154" t="s">
        <v>149</v>
      </c>
      <c r="AJ697" s="8" t="s">
        <v>2094</v>
      </c>
      <c r="AL697" s="8" t="s">
        <v>369</v>
      </c>
      <c r="AM697" s="154" t="s">
        <v>149</v>
      </c>
      <c r="AN697" s="154" t="s">
        <v>149</v>
      </c>
      <c r="AO697" s="8"/>
      <c r="AP697" s="8"/>
      <c r="AR697" s="8" t="s">
        <v>166</v>
      </c>
      <c r="AS697" s="8" t="s">
        <v>7392</v>
      </c>
    </row>
    <row r="698">
      <c r="A698" s="186">
        <v>349.0</v>
      </c>
      <c r="B698" s="152">
        <v>2023.0</v>
      </c>
      <c r="D698" s="152"/>
      <c r="E698" s="151">
        <v>349.0</v>
      </c>
      <c r="F698" s="129" t="s">
        <v>140</v>
      </c>
      <c r="G698" s="3" t="s">
        <v>6029</v>
      </c>
      <c r="H698" s="8" t="str">
        <f>IFERROR(__xludf.DUMMYFUNCTION("""COMPUTED_VALUE"""),"")</f>
        <v/>
      </c>
      <c r="I698" s="8" t="s">
        <v>7393</v>
      </c>
      <c r="J698" s="8" t="s">
        <v>171</v>
      </c>
      <c r="K698" s="8" t="s">
        <v>172</v>
      </c>
      <c r="L698" s="8" t="s">
        <v>173</v>
      </c>
      <c r="M698" s="8" t="s">
        <v>174</v>
      </c>
      <c r="N698" s="8" t="s">
        <v>6062</v>
      </c>
      <c r="O698" s="8" t="s">
        <v>7394</v>
      </c>
      <c r="P698" s="154" t="s">
        <v>149</v>
      </c>
      <c r="Q698" s="154" t="s">
        <v>149</v>
      </c>
      <c r="R698" s="142" t="s">
        <v>6596</v>
      </c>
      <c r="S698" s="142" t="s">
        <v>6392</v>
      </c>
      <c r="T698" s="8"/>
      <c r="U698" s="8">
        <f>IFERROR(__xludf.DUMMYFUNCTION("""COMPUTED_VALUE"""),670.0)</f>
        <v>670</v>
      </c>
      <c r="V698" s="8"/>
      <c r="W698" s="8"/>
      <c r="X698" s="8"/>
      <c r="Y698" s="8"/>
      <c r="AA698" s="8" t="s">
        <v>179</v>
      </c>
      <c r="AB698" s="154" t="s">
        <v>149</v>
      </c>
      <c r="AC698" s="8" t="s">
        <v>2752</v>
      </c>
      <c r="AG698" s="154" t="s">
        <v>149</v>
      </c>
      <c r="AH698" s="154" t="s">
        <v>149</v>
      </c>
      <c r="AI698" s="154" t="s">
        <v>149</v>
      </c>
      <c r="AJ698" s="8" t="s">
        <v>2752</v>
      </c>
      <c r="AL698" s="154" t="s">
        <v>149</v>
      </c>
      <c r="AM698" s="8" t="s">
        <v>185</v>
      </c>
      <c r="AO698" s="8"/>
      <c r="AP698" s="8"/>
      <c r="AR698" s="8" t="s">
        <v>166</v>
      </c>
      <c r="AS698" s="8" t="s">
        <v>187</v>
      </c>
      <c r="AT698" s="8" t="s">
        <v>188</v>
      </c>
      <c r="AU698" s="172" t="s">
        <v>1140</v>
      </c>
    </row>
    <row r="699">
      <c r="A699" s="186">
        <v>349.0</v>
      </c>
      <c r="B699" s="152">
        <v>2025.0</v>
      </c>
      <c r="C699" s="153" t="str">
        <f t="shared" ref="C699:C700" si="77">CONCATENATE(D699, "-", M699, "-", A699)
</f>
        <v>2023-PH104210000-349</v>
      </c>
      <c r="D699" s="152">
        <f t="shared" ref="D699:D700" si="78">IF(OR(F698="Published", F698="Unpublished"), 2023, IF(F698="New", 2025, ""))
</f>
        <v>2023</v>
      </c>
      <c r="E699" s="151">
        <v>349.0</v>
      </c>
      <c r="F699" s="156" t="s">
        <v>140</v>
      </c>
      <c r="G699" s="156" t="s">
        <v>141</v>
      </c>
      <c r="H699" s="153" t="str">
        <f>IFERROR(__xludf.DUMMYFUNCTION("""COMPUTED_VALUE"""),"**Restoration_project** changed from Acanthasia Project to Fisheries Sector Program, **Restoration_project_short** changed from Unknown to Site in San Antonio, **Project Start** changed from 2002 to 1990, **Project End** changed from 2006 to 1994, **Resto"&amp;"ration method** changed from Asexual Reproduction to Artificial Reef, **Technique/Material Type** changed from Coral transplantation to Unknown, **Funding agency** changed from Duka Bay Resort to ADB, Overseas Economic Cooperation Fund of Japan , **Implem"&amp;"enting institution** changed from Duka Bay Resort to DA, **Partners_public** changed from Unknown to MLGU, **Partners_private** changed from Ernesto Pelaez; Eduardo Yap to Unknown, **Partners_communities** changed from to Unknown, **Reference** changed fr"&amp;"om News/Press Release to Balgos, M.C. (1995). Evaluation of artificial reef development in the Philippines. In Munro, J.L. &amp; Balgos, M. (eds.) Artificial reefs in the Philippines. ICLARM Conf. Proc. 49, pp. 6-22., **Website** changed from https://www.phil"&amp;"star.com/business/business-as-usual/2006/04/24/333050/duka-bay-ecological-business-paradigm to https://core.ac.uk/download/pdf/6515223.pdf;, **Contact_name** changed from Ernesto Pelaez to Miriam Balgos, **Contact_details** changed from 0917 794 2759 to U"&amp;"nknown")</f>
        <v>**Restoration_project** changed from Acanthasia Project to Fisheries Sector Program, **Restoration_project_short** changed from Unknown to Site in San Antonio, **Project Start** changed from 2002 to 1990, **Project End** changed from 2006 to 1994, **Restoration method** changed from Asexual Reproduction to Artificial Reef, **Technique/Material Type** changed from Coral transplantation to Unknown, **Funding agency** changed from Duka Bay Resort to ADB, Overseas Economic Cooperation Fund of Japan , **Implementing institution** changed from Duka Bay Resort to DA, **Partners_public** changed from Unknown to MLGU, **Partners_private** changed from Ernesto Pelaez; Eduardo Yap to Unknown, **Partners_communities** changed from to Unknown, **Reference** changed from News/Press Release to Balgos, M.C. (1995). Evaluation of artificial reef development in the Philippines. In Munro, J.L. &amp; Balgos, M. (eds.) Artificial reefs in the Philippines. ICLARM Conf. Proc. 49, pp. 6-22., **Website** changed from https://www.philstar.com/business/business-as-usual/2006/04/24/333050/duka-bay-ecological-business-paradigm to https://core.ac.uk/download/pdf/6515223.pdf;, **Contact_name** changed from Ernesto Pelaez to Miriam Balgos, **Contact_details** changed from 0917 794 2759 to Unknown</v>
      </c>
      <c r="I699" s="153" t="s">
        <v>7395</v>
      </c>
      <c r="J699" s="153" t="s">
        <v>171</v>
      </c>
      <c r="K699" s="153" t="s">
        <v>976</v>
      </c>
      <c r="L699" s="153" t="s">
        <v>7396</v>
      </c>
      <c r="M699" s="181" t="s">
        <v>1506</v>
      </c>
      <c r="N699" s="153" t="s">
        <v>151</v>
      </c>
      <c r="O699" s="153" t="s">
        <v>1377</v>
      </c>
      <c r="P699" s="153" t="s">
        <v>1507</v>
      </c>
      <c r="Q699" s="178" t="s">
        <v>149</v>
      </c>
      <c r="R699" s="175" t="s">
        <v>6198</v>
      </c>
      <c r="S699" s="175" t="s">
        <v>6199</v>
      </c>
      <c r="T699" s="161" t="s">
        <v>150</v>
      </c>
      <c r="U699" s="153">
        <f>IFERROR(__xludf.DUMMYFUNCTION("""COMPUTED_VALUE"""),671.0)</f>
        <v>671</v>
      </c>
      <c r="V699" s="162" t="s">
        <v>3311</v>
      </c>
      <c r="W699" s="187" t="s">
        <v>149</v>
      </c>
      <c r="X699" s="184"/>
      <c r="Y699" s="184" t="s">
        <v>149</v>
      </c>
      <c r="Z699" s="158" t="s">
        <v>149</v>
      </c>
      <c r="AA699" s="158" t="s">
        <v>149</v>
      </c>
      <c r="AB699" s="158" t="s">
        <v>149</v>
      </c>
      <c r="AC699" s="153" t="s">
        <v>1381</v>
      </c>
      <c r="AD699" s="158" t="s">
        <v>6154</v>
      </c>
      <c r="AE699" s="158" t="s">
        <v>206</v>
      </c>
      <c r="AF699" s="158" t="s">
        <v>159</v>
      </c>
      <c r="AG699" s="164" t="s">
        <v>149</v>
      </c>
      <c r="AH699" s="158" t="s">
        <v>149</v>
      </c>
      <c r="AI699" s="158" t="s">
        <v>149</v>
      </c>
      <c r="AJ699" s="153" t="s">
        <v>660</v>
      </c>
      <c r="AK699" s="153" t="s">
        <v>6035</v>
      </c>
      <c r="AL699" s="153" t="s">
        <v>369</v>
      </c>
      <c r="AM699" s="154" t="s">
        <v>149</v>
      </c>
      <c r="AN699" s="154" t="s">
        <v>149</v>
      </c>
      <c r="AO699" s="156">
        <v>1.0</v>
      </c>
      <c r="AP699" s="156" t="s">
        <v>6037</v>
      </c>
      <c r="AQ699" s="158" t="s">
        <v>395</v>
      </c>
      <c r="AR699" s="153" t="s">
        <v>6060</v>
      </c>
      <c r="AS699" s="158" t="s">
        <v>6711</v>
      </c>
      <c r="AT699" s="153" t="s">
        <v>398</v>
      </c>
      <c r="AU699" s="154" t="s">
        <v>149</v>
      </c>
    </row>
    <row r="700">
      <c r="A700" s="186">
        <v>350.0</v>
      </c>
      <c r="B700" s="152">
        <v>2025.0</v>
      </c>
      <c r="C700" s="153" t="str">
        <f t="shared" si="77"/>
        <v>2023-PH104211000-350</v>
      </c>
      <c r="D700" s="152">
        <f t="shared" si="78"/>
        <v>2023</v>
      </c>
      <c r="E700" s="151">
        <v>350.0</v>
      </c>
      <c r="F700" s="176" t="s">
        <v>191</v>
      </c>
      <c r="G700" s="176" t="s">
        <v>191</v>
      </c>
      <c r="H700" s="158" t="str">
        <f>IFERROR(__xludf.DUMMYFUNCTION("""COMPUTED_VALUE"""),"**Restoration_project** changed from Fisheries Sector Program to Unknown, **Restoration_project_short** changed from Site in San Antonio to Unknown, **Year of establishment** changed from Unknown to 2023, **Project Start** changed from 1990 to Unknown, **"&amp;"Project End** changed from 1994 to Unknown, **Technique/Material Type** changed from Unknown to Concrete; PVC pipes; recycled bottles, **Restoration objective** changed from Unknown to Habitat for marine life, **Funding agency** changed from ADB, Overseas"&amp;" Economic Cooperation Fund of Japan to University of Science and Technology of Southern Philippines, **Total units** changed from Unknown to 5 units, **Implementing institution** changed from DA to University of Science and Technology of Southern Philippi"&amp;"nes - BS Marine Biology, **Partners_public** changed from MLGU to Unknown, **Reference** changed from Balgos, M.C. (1995). Evaluation of artificial reef development in the Philippines. In Munro, J.L. &amp; Balgos, M. (eds.) Artificial reefs in the Philippines"&amp;". ICLARM Conf. Proc. 49, pp. 6-22. to Gomonit, J. (n.d.). BSMB students install artificial coral reefs in Panaon coastal waters. https://www.ustp.edu.ph/bsmb-students-install-artificial-coral-reefs-in-panaon-coastal-waters/, **Website** changed from https"&amp;"://core.ac.uk/download/pdf/6515223.pdf; to https://www.ustp.edu.ph/bsmb-students-install-artificial-coral-reefs-in-panaon-coastal-waters/, **Contact_name** changed from Miriam Balgos to Unknown")</f>
        <v>**Restoration_project** changed from Fisheries Sector Program to Unknown, **Restoration_project_short** changed from Site in San Antonio to Unknown, **Year of establishment** changed from Unknown to 2023, **Project Start** changed from 1990 to Unknown, **Project End** changed from 1994 to Unknown, **Technique/Material Type** changed from Unknown to Concrete; PVC pipes; recycled bottles, **Restoration objective** changed from Unknown to Habitat for marine life, **Funding agency** changed from ADB, Overseas Economic Cooperation Fund of Japan to University of Science and Technology of Southern Philippines, **Total units** changed from Unknown to 5 units, **Implementing institution** changed from DA to University of Science and Technology of Southern Philippines - BS Marine Biology, **Partners_public** changed from MLGU to Unknown, **Reference** changed from Balgos, M.C. (1995). Evaluation of artificial reef development in the Philippines. In Munro, J.L. &amp; Balgos, M. (eds.) Artificial reefs in the Philippines. ICLARM Conf. Proc. 49, pp. 6-22. to Gomonit, J. (n.d.). BSMB students install artificial coral reefs in Panaon coastal waters. https://www.ustp.edu.ph/bsmb-students-install-artificial-coral-reefs-in-panaon-coastal-waters/, **Website** changed from https://core.ac.uk/download/pdf/6515223.pdf; to https://www.ustp.edu.ph/bsmb-students-install-artificial-coral-reefs-in-panaon-coastal-waters/, **Contact_name** changed from Miriam Balgos to Unknown</v>
      </c>
      <c r="I700" s="158" t="s">
        <v>7397</v>
      </c>
      <c r="J700" s="158" t="s">
        <v>171</v>
      </c>
      <c r="K700" s="158" t="s">
        <v>976</v>
      </c>
      <c r="L700" s="158" t="s">
        <v>2488</v>
      </c>
      <c r="M700" s="164" t="s">
        <v>2489</v>
      </c>
      <c r="N700" s="158" t="s">
        <v>151</v>
      </c>
      <c r="O700" s="158" t="s">
        <v>149</v>
      </c>
      <c r="P700" s="176" t="s">
        <v>149</v>
      </c>
      <c r="Q700" s="178">
        <v>2023.0</v>
      </c>
      <c r="R700" s="160" t="s">
        <v>149</v>
      </c>
      <c r="S700" s="160" t="s">
        <v>149</v>
      </c>
      <c r="T700" s="206" t="s">
        <v>150</v>
      </c>
      <c r="U700" s="158">
        <f>IFERROR(__xludf.DUMMYFUNCTION("""COMPUTED_VALUE"""),672.0)</f>
        <v>672</v>
      </c>
      <c r="V700" s="162" t="s">
        <v>3311</v>
      </c>
      <c r="W700" s="184" t="s">
        <v>6172</v>
      </c>
      <c r="X700" s="28" t="s">
        <v>6173</v>
      </c>
      <c r="Y700" s="32" t="s">
        <v>7398</v>
      </c>
      <c r="Z700" s="158" t="s">
        <v>2491</v>
      </c>
      <c r="AA700" s="158" t="s">
        <v>2491</v>
      </c>
      <c r="AB700" s="158" t="s">
        <v>1006</v>
      </c>
      <c r="AC700" s="158" t="s">
        <v>2492</v>
      </c>
      <c r="AD700" s="158" t="s">
        <v>160</v>
      </c>
      <c r="AE700" s="158" t="s">
        <v>209</v>
      </c>
      <c r="AF700" s="158" t="s">
        <v>159</v>
      </c>
      <c r="AG700" s="164" t="s">
        <v>149</v>
      </c>
      <c r="AH700" s="158" t="s">
        <v>149</v>
      </c>
      <c r="AI700" s="158" t="s">
        <v>675</v>
      </c>
      <c r="AJ700" s="158" t="s">
        <v>2493</v>
      </c>
      <c r="AK700" s="158" t="s">
        <v>7294</v>
      </c>
      <c r="AL700" s="176" t="s">
        <v>149</v>
      </c>
      <c r="AM700" s="176" t="s">
        <v>149</v>
      </c>
      <c r="AN700" s="176" t="s">
        <v>149</v>
      </c>
      <c r="AO700" s="156">
        <v>1.0</v>
      </c>
      <c r="AP700" s="156" t="s">
        <v>6037</v>
      </c>
      <c r="AQ700" s="158" t="s">
        <v>6027</v>
      </c>
      <c r="AR700" s="158" t="s">
        <v>2494</v>
      </c>
      <c r="AS700" s="172" t="s">
        <v>2495</v>
      </c>
      <c r="AT700" s="176" t="s">
        <v>149</v>
      </c>
      <c r="AU700" s="176" t="s">
        <v>149</v>
      </c>
    </row>
    <row r="701">
      <c r="A701" s="186">
        <v>350.0</v>
      </c>
      <c r="B701" s="152">
        <v>2023.0</v>
      </c>
      <c r="D701" s="152"/>
      <c r="E701" s="151">
        <v>350.0</v>
      </c>
      <c r="F701" s="129" t="s">
        <v>140</v>
      </c>
      <c r="G701" s="3" t="s">
        <v>6029</v>
      </c>
      <c r="H701" s="8" t="str">
        <f>IFERROR(__xludf.DUMMYFUNCTION("""COMPUTED_VALUE"""),"")</f>
        <v/>
      </c>
      <c r="I701" s="8" t="s">
        <v>7399</v>
      </c>
      <c r="J701" s="8" t="s">
        <v>171</v>
      </c>
      <c r="K701" s="8" t="s">
        <v>172</v>
      </c>
      <c r="L701" s="8" t="s">
        <v>173</v>
      </c>
      <c r="M701" s="8" t="s">
        <v>174</v>
      </c>
      <c r="N701" s="8" t="s">
        <v>6062</v>
      </c>
      <c r="O701" s="153" t="s">
        <v>1132</v>
      </c>
      <c r="P701" s="154" t="s">
        <v>149</v>
      </c>
      <c r="Q701" s="154" t="s">
        <v>149</v>
      </c>
      <c r="R701" s="154" t="s">
        <v>149</v>
      </c>
      <c r="S701" s="154" t="s">
        <v>149</v>
      </c>
      <c r="T701" s="8"/>
      <c r="U701" s="8">
        <f>IFERROR(__xludf.DUMMYFUNCTION("""COMPUTED_VALUE"""),673.0)</f>
        <v>673</v>
      </c>
      <c r="V701" s="8"/>
      <c r="W701" s="8"/>
      <c r="X701" s="8"/>
      <c r="Y701" s="8"/>
      <c r="AA701" s="8" t="s">
        <v>1134</v>
      </c>
      <c r="AB701" s="8" t="s">
        <v>7400</v>
      </c>
      <c r="AC701" s="8" t="s">
        <v>2752</v>
      </c>
      <c r="AG701" s="154" t="s">
        <v>149</v>
      </c>
      <c r="AH701" s="154" t="s">
        <v>149</v>
      </c>
      <c r="AI701" s="154" t="s">
        <v>149</v>
      </c>
      <c r="AJ701" s="8" t="s">
        <v>2752</v>
      </c>
      <c r="AL701" s="154" t="s">
        <v>149</v>
      </c>
      <c r="AM701" s="8" t="s">
        <v>185</v>
      </c>
      <c r="AO701" s="8"/>
      <c r="AP701" s="8"/>
      <c r="AR701" s="8" t="s">
        <v>166</v>
      </c>
      <c r="AS701" s="172" t="s">
        <v>1139</v>
      </c>
      <c r="AT701" s="8" t="s">
        <v>188</v>
      </c>
      <c r="AU701" s="172" t="s">
        <v>1140</v>
      </c>
    </row>
    <row r="702">
      <c r="A702" s="186">
        <v>351.0</v>
      </c>
      <c r="B702" s="152">
        <v>2023.0</v>
      </c>
      <c r="D702" s="152"/>
      <c r="E702" s="151">
        <v>351.0</v>
      </c>
      <c r="F702" s="129" t="s">
        <v>140</v>
      </c>
      <c r="G702" s="3" t="s">
        <v>6029</v>
      </c>
      <c r="H702" s="8" t="str">
        <f>IFERROR(__xludf.DUMMYFUNCTION("""COMPUTED_VALUE"""),"")</f>
        <v/>
      </c>
      <c r="I702" s="8" t="s">
        <v>7401</v>
      </c>
      <c r="J702" s="8" t="s">
        <v>171</v>
      </c>
      <c r="K702" s="8" t="s">
        <v>172</v>
      </c>
      <c r="L702" s="8" t="s">
        <v>3173</v>
      </c>
      <c r="M702" s="8" t="s">
        <v>3174</v>
      </c>
      <c r="N702" s="8" t="s">
        <v>151</v>
      </c>
      <c r="O702" s="154" t="s">
        <v>149</v>
      </c>
      <c r="P702" s="3" t="s">
        <v>7402</v>
      </c>
      <c r="Q702" s="142" t="s">
        <v>6064</v>
      </c>
      <c r="R702" s="154" t="s">
        <v>149</v>
      </c>
      <c r="S702" s="154" t="s">
        <v>149</v>
      </c>
      <c r="T702" s="8"/>
      <c r="U702" s="8">
        <f>IFERROR(__xludf.DUMMYFUNCTION("""COMPUTED_VALUE"""),674.0)</f>
        <v>674</v>
      </c>
      <c r="V702" s="8"/>
      <c r="W702" s="154"/>
      <c r="X702" s="8"/>
      <c r="Y702" s="8"/>
      <c r="AA702" s="154" t="s">
        <v>149</v>
      </c>
      <c r="AB702" s="154" t="s">
        <v>149</v>
      </c>
      <c r="AC702" s="154" t="s">
        <v>149</v>
      </c>
      <c r="AG702" s="154" t="s">
        <v>149</v>
      </c>
      <c r="AH702" s="154" t="s">
        <v>149</v>
      </c>
      <c r="AI702" s="154" t="s">
        <v>149</v>
      </c>
      <c r="AJ702" s="154" t="s">
        <v>149</v>
      </c>
      <c r="AL702" s="154" t="s">
        <v>149</v>
      </c>
      <c r="AM702" s="154" t="s">
        <v>149</v>
      </c>
      <c r="AN702" s="154" t="s">
        <v>149</v>
      </c>
      <c r="AO702" s="8"/>
      <c r="AP702" s="8"/>
      <c r="AR702" s="8" t="s">
        <v>166</v>
      </c>
      <c r="AS702" s="172" t="s">
        <v>3176</v>
      </c>
      <c r="AT702" s="154" t="s">
        <v>149</v>
      </c>
      <c r="AU702" s="154" t="s">
        <v>149</v>
      </c>
    </row>
    <row r="703">
      <c r="A703" s="186">
        <v>351.0</v>
      </c>
      <c r="B703" s="152">
        <v>2025.0</v>
      </c>
      <c r="C703" s="153" t="str">
        <f>CONCATENATE(D703, "-", M703, "-", A703)
</f>
        <v>2023-PH104214000-351</v>
      </c>
      <c r="D703" s="152">
        <f>IF(OR(F702="Published", F702="Unpublished"), 2023, IF(F702="New", 2025, ""))
</f>
        <v>2023</v>
      </c>
      <c r="E703" s="151">
        <v>351.0</v>
      </c>
      <c r="F703" s="156" t="s">
        <v>140</v>
      </c>
      <c r="G703" s="156" t="s">
        <v>141</v>
      </c>
      <c r="H703" s="153" t="str">
        <f>IFERROR(__xludf.DUMMYFUNCTION("""COMPUTED_VALUE"""),"**Restoration_project** changed from Unknown to Coral Reef Habitat and Productivity Enhancement through Coral Transplantation and Giant Clam Restocking, **Restoration_project_short** changed from Mentioned the turning over of artificial reefs by JCI Macaj"&amp;"alar 24K to Unknown, **Year of establishment** changed from 2016 to 2001, **Project Start** changed from Unknown to 2001, **Project End** changed from Unknown to 2005, **Restoration method** changed from Artificial Reef to Asexual Reproduction, **Techniqu"&amp;"e/Material Type** changed from Unknown to Direct transplantation, **Restoration objective** changed from Unknown to Improve biodiversity and productivity of stressed coral reef habitats in 10 selected demonstration sites, **Funding agency** changed from U"&amp;"nknown to Pew Marine Conservation Fellowship, **Implementing institution** changed from Unknown to UP MSI, **Reference** changed from News/Press Release to Gomez, E., Cabaitan, P., &amp; Vicentuan, K. (2006). Coral culture and transplantation and restocking o"&amp;"f giant clams in the Philippines. In J.H. Primavera, E.T. Quinitio, &amp; M. R. R. Eguia (Eds.). Proceedings of the Regional Technical Consultation on Stock Enhancement for Threatened Species of International Concern, Iloilo City, Philippines, 13-15 July 2005"&amp;" (pp. 39-48). Tigbaua, Iloilo, Philippines: Aquaculture Department, Southeast Asian Fisheries Development Center. Retrieved from https://aquadocs.org/bitstream/handle/1834/40478/GomezED2006.pdf?sequence=1&amp;isAllowed=y, **Website** changed from https://issu"&amp;"u.com/sudaria_publications/docs/cdotimes_april_16-22__2016 to https://aquadocs.org/bitstream/handle/1834/40478/GomezED2006.pdf?sequence=1&amp;isAllowed=y, **Contact_name** changed from Unknown to Dr. Patrick Cabaitan")</f>
        <v>**Restoration_project** changed from Unknown to Coral Reef Habitat and Productivity Enhancement through Coral Transplantation and Giant Clam Restocking, **Restoration_project_short** changed from Mentioned the turning over of artificial reefs by JCI Macajalar 24K to Unknown, **Year of establishment** changed from 2016 to 2001, **Project Start** changed from Unknown to 2001, **Project End** changed from Unknown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Unknown to Pew Marine Conservation Fellowship, **Implementing institution** changed from Unknown to UP MSI,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https://issuu.com/sudaria_publications/docs/cdotimes_april_16-22__2016 to https://aquadocs.org/bitstream/handle/1834/40478/GomezED2006.pdf?sequence=1&amp;isAllowed=y, **Contact_name** changed from Unknown to Dr. Patrick Cabaitan</v>
      </c>
      <c r="I703" s="153" t="s">
        <v>7403</v>
      </c>
      <c r="J703" s="153" t="s">
        <v>171</v>
      </c>
      <c r="K703" s="153" t="s">
        <v>976</v>
      </c>
      <c r="L703" s="153" t="s">
        <v>977</v>
      </c>
      <c r="M703" s="181" t="s">
        <v>978</v>
      </c>
      <c r="N703" s="153" t="s">
        <v>6062</v>
      </c>
      <c r="O703" s="153" t="s">
        <v>934</v>
      </c>
      <c r="P703" s="154" t="s">
        <v>149</v>
      </c>
      <c r="Q703" s="169">
        <v>2001.0</v>
      </c>
      <c r="R703" s="175" t="s">
        <v>6229</v>
      </c>
      <c r="S703" s="175" t="s">
        <v>6230</v>
      </c>
      <c r="T703" s="156" t="s">
        <v>177</v>
      </c>
      <c r="U703" s="153">
        <f>IFERROR(__xludf.DUMMYFUNCTION("""COMPUTED_VALUE"""),675.0)</f>
        <v>675</v>
      </c>
      <c r="V703" s="191" t="s">
        <v>3245</v>
      </c>
      <c r="W703" s="179" t="s">
        <v>149</v>
      </c>
      <c r="X703" s="180"/>
      <c r="Y703" s="180" t="s">
        <v>154</v>
      </c>
      <c r="Z703" s="158" t="s">
        <v>179</v>
      </c>
      <c r="AA703" s="153" t="s">
        <v>3245</v>
      </c>
      <c r="AB703" s="153" t="s">
        <v>939</v>
      </c>
      <c r="AC703" s="153" t="s">
        <v>940</v>
      </c>
      <c r="AD703" s="158" t="s">
        <v>6154</v>
      </c>
      <c r="AE703" s="158" t="s">
        <v>206</v>
      </c>
      <c r="AF703" s="158" t="s">
        <v>204</v>
      </c>
      <c r="AG703" s="164" t="s">
        <v>149</v>
      </c>
      <c r="AH703" s="158" t="s">
        <v>149</v>
      </c>
      <c r="AI703" s="158" t="s">
        <v>149</v>
      </c>
      <c r="AJ703" s="153" t="s">
        <v>233</v>
      </c>
      <c r="AK703" s="158" t="s">
        <v>6068</v>
      </c>
      <c r="AL703" s="154" t="s">
        <v>149</v>
      </c>
      <c r="AM703" s="154" t="s">
        <v>149</v>
      </c>
      <c r="AN703" s="154" t="s">
        <v>149</v>
      </c>
      <c r="AO703" s="156">
        <v>1.0</v>
      </c>
      <c r="AP703" s="156" t="s">
        <v>6037</v>
      </c>
      <c r="AQ703" s="158" t="s">
        <v>6214</v>
      </c>
      <c r="AR703" s="153" t="s">
        <v>941</v>
      </c>
      <c r="AS703" s="153" t="s">
        <v>942</v>
      </c>
      <c r="AT703" s="153" t="s">
        <v>943</v>
      </c>
      <c r="AU703" s="154" t="s">
        <v>149</v>
      </c>
    </row>
    <row r="704">
      <c r="A704" s="186">
        <v>352.0</v>
      </c>
      <c r="B704" s="152">
        <v>2023.0</v>
      </c>
      <c r="D704" s="152"/>
      <c r="E704" s="151">
        <v>352.0</v>
      </c>
      <c r="F704" s="129" t="s">
        <v>140</v>
      </c>
      <c r="G704" s="3" t="s">
        <v>6029</v>
      </c>
      <c r="H704" s="8" t="str">
        <f>IFERROR(__xludf.DUMMYFUNCTION("""COMPUTED_VALUE"""),"")</f>
        <v/>
      </c>
      <c r="I704" s="8" t="s">
        <v>7404</v>
      </c>
      <c r="J704" s="8" t="s">
        <v>171</v>
      </c>
      <c r="K704" s="8" t="s">
        <v>172</v>
      </c>
      <c r="L704" s="8" t="s">
        <v>2021</v>
      </c>
      <c r="M704" s="8" t="s">
        <v>2022</v>
      </c>
      <c r="N704" s="8" t="s">
        <v>151</v>
      </c>
      <c r="O704" s="8" t="s">
        <v>2023</v>
      </c>
      <c r="P704" s="8" t="s">
        <v>7405</v>
      </c>
      <c r="Q704" s="142" t="s">
        <v>6268</v>
      </c>
      <c r="R704" s="154" t="s">
        <v>149</v>
      </c>
      <c r="S704" s="154" t="s">
        <v>149</v>
      </c>
      <c r="T704" s="8"/>
      <c r="U704" s="8">
        <f>IFERROR(__xludf.DUMMYFUNCTION("""COMPUTED_VALUE"""),676.0)</f>
        <v>676</v>
      </c>
      <c r="V704" s="8"/>
      <c r="W704" s="8"/>
      <c r="X704" s="8"/>
      <c r="Y704" s="8"/>
      <c r="AA704" s="8" t="s">
        <v>362</v>
      </c>
      <c r="AB704" s="8" t="s">
        <v>2026</v>
      </c>
      <c r="AC704" s="8" t="s">
        <v>2027</v>
      </c>
      <c r="AG704" s="154" t="s">
        <v>149</v>
      </c>
      <c r="AH704" s="154" t="s">
        <v>149</v>
      </c>
      <c r="AI704" s="154" t="s">
        <v>149</v>
      </c>
      <c r="AJ704" s="8" t="s">
        <v>2027</v>
      </c>
      <c r="AL704" s="8" t="s">
        <v>369</v>
      </c>
      <c r="AM704" s="8" t="s">
        <v>7406</v>
      </c>
      <c r="AN704" s="154" t="s">
        <v>149</v>
      </c>
      <c r="AO704" s="8"/>
      <c r="AP704" s="8"/>
      <c r="AR704" s="8" t="s">
        <v>166</v>
      </c>
      <c r="AS704" s="172" t="s">
        <v>2031</v>
      </c>
      <c r="AT704" s="154" t="s">
        <v>149</v>
      </c>
      <c r="AU704" s="154" t="s">
        <v>149</v>
      </c>
    </row>
    <row r="705">
      <c r="A705" s="186">
        <v>352.0</v>
      </c>
      <c r="B705" s="152">
        <v>2025.0</v>
      </c>
      <c r="C705" s="153" t="str">
        <f t="shared" ref="C705:C706" si="79">CONCATENATE(D705, "-", M705, "-", A705)
</f>
        <v>2023-PH104303000-352</v>
      </c>
      <c r="D705" s="152">
        <f t="shared" ref="D705:D706" si="80">IF(OR(F704="Published", F704="Unpublished"), 2023, IF(F704="New", 2025, ""))
</f>
        <v>2023</v>
      </c>
      <c r="E705" s="151">
        <v>352.0</v>
      </c>
      <c r="F705" s="156" t="s">
        <v>648</v>
      </c>
      <c r="G705" s="156" t="s">
        <v>141</v>
      </c>
      <c r="H705" s="153" t="str">
        <f>IFERROR(__xludf.DUMMYFUNCTION("""COMPUTED_VALUE"""),"**Restoration_project** changed from Sea of Life to Sustainable Coastal Resource Management Project (SCRMP), **Restoration_project_short** changed from Project aims to build environmental awareness against illegal means of fishing and to rehabilitate the "&amp;"areas where coral growth is possible to Unknown, **Year of establishment** changed from 2015 to 1997, **Technique/Material Type** changed from Domes to tires, **Restoration objective** changed from Promote marine growth and rehabilitation of damaged coral"&amp;"s to Unknown, **Funding agency** changed from JCI Manila; JCI Macajalar 24K to Canadian International Development Assistance (CIDA), **Implementing institution** changed from JCI Manila; JCI Macajalar 24K to Touch Foundation, **Partners_public** changed f"&amp;"rom MLGU to Local Government Support Project (LGSP) - Region 10, **Partners_private** changed from Macajalar Bay Development Alliance to Unknown, **Reference** changed from News/Press Release to Lapinig About the Initiative (n.d.). SDVillage.ph A Project "&amp;"of Philippine Sustainable Development Network Foundation, Inc. (PSDN). https://www.psdn.org.ph/sdvillage-ph/index.html, **Website** changed from https://www.xu.edu.ph/images/publication/newsletters/pagtaob/documents/PAGTAOB_V3_I1.pdf to https://www.psdn.o"&amp;"rg.ph/sdvillage-ph/coastal/lpnig2.html")</f>
        <v>**Restoration_project** changed from Sea of Life to Sustainable Coastal Resource Management Project (SCRMP), **Restoration_project_short** changed from Project aims to build environmental awareness against illegal means of fishing and to rehabilitate the areas where coral growth is possible to Unknown, **Year of establishment** changed from 2015 to 1997, **Technique/Material Type** changed from Domes to tires, **Restoration objective** changed from Promote marine growth and rehabilitation of damaged corals to Unknown, **Funding agency** changed from JCI Manila; JCI Macajalar 24K to Canadian International Development Assistance (CIDA), **Implementing institution** changed from JCI Manila; JCI Macajalar 24K to Touch Foundation, **Partners_public** changed from MLGU to Local Government Support Project (LGSP) - Region 10, **Partners_private** changed from Macajalar Bay Development Alliance to Unknown, **Reference** changed from News/Press Release to Lapinig About the Initiative (n.d.). SDVillage.ph A Project of Philippine Sustainable Development Network Foundation, Inc. (PSDN). https://www.psdn.org.ph/sdvillage-ph/index.html, **Website** changed from https://www.xu.edu.ph/images/publication/newsletters/pagtaob/documents/PAGTAOB_V3_I1.pdf to https://www.psdn.org.ph/sdvillage-ph/coastal/lpnig2.html</v>
      </c>
      <c r="I705" s="153" t="s">
        <v>7407</v>
      </c>
      <c r="J705" s="153" t="s">
        <v>171</v>
      </c>
      <c r="K705" s="153" t="s">
        <v>172</v>
      </c>
      <c r="L705" s="153" t="s">
        <v>2128</v>
      </c>
      <c r="M705" s="181" t="s">
        <v>2129</v>
      </c>
      <c r="N705" s="153" t="s">
        <v>151</v>
      </c>
      <c r="O705" s="153" t="s">
        <v>2130</v>
      </c>
      <c r="P705" s="3" t="s">
        <v>149</v>
      </c>
      <c r="Q705" s="169">
        <v>1997.0</v>
      </c>
      <c r="R705" s="160" t="s">
        <v>149</v>
      </c>
      <c r="S705" s="160" t="s">
        <v>149</v>
      </c>
      <c r="T705" s="161" t="s">
        <v>150</v>
      </c>
      <c r="U705" s="153">
        <f>IFERROR(__xludf.DUMMYFUNCTION("""COMPUTED_VALUE"""),677.0)</f>
        <v>677</v>
      </c>
      <c r="V705" s="162" t="s">
        <v>3311</v>
      </c>
      <c r="W705" s="170" t="s">
        <v>6059</v>
      </c>
      <c r="X705" s="28" t="s">
        <v>6033</v>
      </c>
      <c r="Y705" s="28" t="s">
        <v>386</v>
      </c>
      <c r="Z705" s="176" t="s">
        <v>386</v>
      </c>
      <c r="AA705" s="153" t="s">
        <v>6054</v>
      </c>
      <c r="AB705" s="158" t="s">
        <v>149</v>
      </c>
      <c r="AC705" s="153" t="s">
        <v>2131</v>
      </c>
      <c r="AD705" s="158" t="s">
        <v>6154</v>
      </c>
      <c r="AE705" s="158" t="s">
        <v>206</v>
      </c>
      <c r="AF705" s="158" t="s">
        <v>159</v>
      </c>
      <c r="AG705" s="164" t="s">
        <v>149</v>
      </c>
      <c r="AH705" s="158" t="s">
        <v>149</v>
      </c>
      <c r="AI705" s="158" t="s">
        <v>149</v>
      </c>
      <c r="AJ705" s="153" t="s">
        <v>2132</v>
      </c>
      <c r="AK705" s="158" t="s">
        <v>306</v>
      </c>
      <c r="AL705" s="158" t="s">
        <v>2133</v>
      </c>
      <c r="AM705" s="156" t="s">
        <v>149</v>
      </c>
      <c r="AN705" s="156" t="s">
        <v>149</v>
      </c>
      <c r="AO705" s="156">
        <v>1.0</v>
      </c>
      <c r="AP705" s="156" t="s">
        <v>6037</v>
      </c>
      <c r="AQ705" s="158" t="s">
        <v>6027</v>
      </c>
      <c r="AR705" s="153" t="s">
        <v>2134</v>
      </c>
      <c r="AS705" s="172" t="s">
        <v>2135</v>
      </c>
      <c r="AT705" s="3" t="s">
        <v>149</v>
      </c>
      <c r="AU705" s="3" t="s">
        <v>149</v>
      </c>
    </row>
    <row r="706">
      <c r="A706" s="186">
        <v>353.0</v>
      </c>
      <c r="B706" s="152">
        <v>2025.0</v>
      </c>
      <c r="C706" s="153" t="str">
        <f t="shared" si="79"/>
        <v>2023-PH104305000-353</v>
      </c>
      <c r="D706" s="152">
        <f t="shared" si="80"/>
        <v>2023</v>
      </c>
      <c r="E706" s="151">
        <v>353.0</v>
      </c>
      <c r="F706" s="129" t="s">
        <v>140</v>
      </c>
      <c r="G706" s="156" t="s">
        <v>141</v>
      </c>
      <c r="H706" s="153" t="str">
        <f>IFERROR(__xludf.DUMMYFUNCTION("""COMPUTED_VALUE"""),"**Restoration_project** changed from Sustainable Coastal Resource Management Project (SCRMP) to House for Nemo: An Artificial Coral Reef Deployment Project, **Restoration_project_short** changed from Unknown to Site near Bayabas Marine Sanctuary, **Year o"&amp;"f establishment** changed from 1997 to 2021, **Technique/Material Type** changed from tires to Rebars, **Funding agency** changed from Canadian International Development Assistance (CIDA) to Rotaract Club of West CDO, **Total units** changed from Unknown "&amp;"to 20 units, **Implementing institution** changed from Touch Foundation to Rotaract Club of West CDO, **Partners_public** changed from Local Government Support Project (LGSP) - Region 10 to Agricultural Productivity Operations Office; PNP Maritime, **Part"&amp;"ners_private** changed from Unknown to AB Engineering and Allied Services; Inner Wheel, **Reference** changed from Lapinig About the Initiative (n.d.). SDVillage.ph A Project of Philippine Sustainable Development Network Foundation, Inc. (PSDN). https://w"&amp;"ww.psdn.org.ph/sdvillage-ph/index.html to Agricultural Productivity Operations Office - Cagayan de Oro (2021, January 24). ICYMI. The video highlights of the House of Nemo: the Artificial Coral Reef Deployment Project by the Rotaract Club of West [Video a"&amp;"ttached] [Status Update]. Facebook. https://web.facebook.com/CityAgricultureCDO/posts/1818126778356518/?paipv=0&amp;eav=AfZRQmJgGSI0L2g9U65jABSY00S9bkGu4Mij9M1M--6CIMfEuumw-Pv07pQ30DTpugs&amp;_rdc=1&amp;_rdr, **Website** changed from https://www.psdn.org.ph/sdvillage"&amp;"-ph/coastal/lpnig2.html to https://web.facebook.com/CityAgricultureCDO/posts/1818126778356518/?paipv=0&amp;eav=AfZRQmJgGSI0L2g9U65jABSY00S9bkGu4Mij9M1M--6CIMfEuumw-Pv07pQ30DTpugs&amp;_rdc=1&amp;_rdr")</f>
        <v>**Restoration_project** changed from Sustainable Coastal Resource Management Project (SCRMP) to House for Nemo: An Artificial Coral Reef Deployment Project, **Restoration_project_short** changed from Unknown to Site near Bayabas Marine Sanctuary, **Year of establishment** changed from 1997 to 2021, **Technique/Material Type** changed from tires to Rebars, **Funding agency** changed from Canadian International Development Assistance (CIDA) to Rotaract Club of West CDO, **Total units** changed from Unknown to 20 units, **Implementing institution** changed from Touch Foundation to Rotaract Club of West CDO, **Partners_public** changed from Local Government Support Project (LGSP) - Region 10 to Agricultural Productivity Operations Office; PNP Maritime, **Partners_private** changed from Unknown to AB Engineering and Allied Services; Inner Wheel, **Reference** changed from Lapinig About the Initiative (n.d.). SDVillage.ph A Project of Philippine Sustainable Development Network Foundation, Inc. (PSDN). https://www.psdn.org.ph/sdvillage-ph/index.html to Agricultural Productivity Operations Office - Cagayan de Oro (2021, January 24). ICYMI. The video highlights of the House of Nemo: the Artificial Coral Reef Deployment Project by the Rotaract Club of West [Video attached] [Status Update]. Facebook. https://web.facebook.com/CityAgricultureCDO/posts/1818126778356518/?paipv=0&amp;eav=AfZRQmJgGSI0L2g9U65jABSY00S9bkGu4Mij9M1M--6CIMfEuumw-Pv07pQ30DTpugs&amp;_rdc=1&amp;_rdr, **Website** changed from https://www.psdn.org.ph/sdvillage-ph/coastal/lpnig2.html to https://web.facebook.com/CityAgricultureCDO/posts/1818126778356518/?paipv=0&amp;eav=AfZRQmJgGSI0L2g9U65jABSY00S9bkGu4Mij9M1M--6CIMfEuumw-Pv07pQ30DTpugs&amp;_rdc=1&amp;_rdr</v>
      </c>
      <c r="I706" s="153" t="s">
        <v>7408</v>
      </c>
      <c r="J706" s="153" t="s">
        <v>171</v>
      </c>
      <c r="K706" s="153" t="s">
        <v>172</v>
      </c>
      <c r="L706" s="153" t="s">
        <v>7356</v>
      </c>
      <c r="M706" s="181" t="s">
        <v>1552</v>
      </c>
      <c r="N706" s="153" t="s">
        <v>151</v>
      </c>
      <c r="O706" s="153" t="s">
        <v>1553</v>
      </c>
      <c r="P706" s="153" t="s">
        <v>1554</v>
      </c>
      <c r="Q706" s="169">
        <v>2021.0</v>
      </c>
      <c r="R706" s="160" t="s">
        <v>149</v>
      </c>
      <c r="S706" s="160" t="s">
        <v>149</v>
      </c>
      <c r="T706" s="161" t="s">
        <v>150</v>
      </c>
      <c r="U706" s="153">
        <f>IFERROR(__xludf.DUMMYFUNCTION("""COMPUTED_VALUE"""),678.0)</f>
        <v>678</v>
      </c>
      <c r="V706" s="162" t="s">
        <v>3311</v>
      </c>
      <c r="W706" s="184" t="s">
        <v>6626</v>
      </c>
      <c r="X706" s="28" t="s">
        <v>6033</v>
      </c>
      <c r="Y706" s="32" t="s">
        <v>1556</v>
      </c>
      <c r="Z706" s="158" t="s">
        <v>1556</v>
      </c>
      <c r="AA706" s="158" t="s">
        <v>1556</v>
      </c>
      <c r="AB706" s="153" t="s">
        <v>149</v>
      </c>
      <c r="AC706" s="153" t="s">
        <v>1557</v>
      </c>
      <c r="AD706" s="158" t="s">
        <v>160</v>
      </c>
      <c r="AE706" s="158" t="s">
        <v>271</v>
      </c>
      <c r="AF706" s="158" t="s">
        <v>159</v>
      </c>
      <c r="AG706" s="164" t="s">
        <v>149</v>
      </c>
      <c r="AH706" s="158" t="s">
        <v>149</v>
      </c>
      <c r="AI706" s="153" t="s">
        <v>1558</v>
      </c>
      <c r="AJ706" s="153" t="s">
        <v>1557</v>
      </c>
      <c r="AK706" s="153" t="s">
        <v>271</v>
      </c>
      <c r="AL706" s="153" t="s">
        <v>1559</v>
      </c>
      <c r="AM706" s="153" t="s">
        <v>1560</v>
      </c>
      <c r="AN706" s="3" t="s">
        <v>149</v>
      </c>
      <c r="AO706" s="156">
        <v>1.0</v>
      </c>
      <c r="AP706" s="156" t="s">
        <v>6037</v>
      </c>
      <c r="AQ706" s="153" t="s">
        <v>6038</v>
      </c>
      <c r="AR706" s="153" t="s">
        <v>7409</v>
      </c>
      <c r="AS706" s="172" t="s">
        <v>1562</v>
      </c>
      <c r="AT706" s="3" t="s">
        <v>149</v>
      </c>
      <c r="AU706" s="3" t="s">
        <v>149</v>
      </c>
    </row>
    <row r="707">
      <c r="A707" s="186">
        <v>353.0</v>
      </c>
      <c r="B707" s="152">
        <v>2023.0</v>
      </c>
      <c r="D707" s="152"/>
      <c r="E707" s="151">
        <v>353.0</v>
      </c>
      <c r="F707" s="129" t="s">
        <v>140</v>
      </c>
      <c r="G707" s="3" t="s">
        <v>6029</v>
      </c>
      <c r="H707" s="8" t="str">
        <f>IFERROR(__xludf.DUMMYFUNCTION("""COMPUTED_VALUE"""),"")</f>
        <v/>
      </c>
      <c r="I707" s="8" t="s">
        <v>7410</v>
      </c>
      <c r="J707" s="8" t="s">
        <v>171</v>
      </c>
      <c r="K707" s="8" t="s">
        <v>600</v>
      </c>
      <c r="L707" s="8" t="s">
        <v>601</v>
      </c>
      <c r="M707" s="153" t="s">
        <v>602</v>
      </c>
      <c r="N707" s="8" t="s">
        <v>151</v>
      </c>
      <c r="O707" s="8" t="s">
        <v>384</v>
      </c>
      <c r="P707" s="8" t="s">
        <v>603</v>
      </c>
      <c r="Q707" s="142" t="s">
        <v>6051</v>
      </c>
      <c r="R707" s="142" t="s">
        <v>6052</v>
      </c>
      <c r="S707" s="142" t="s">
        <v>6053</v>
      </c>
      <c r="T707" s="8"/>
      <c r="U707" s="8">
        <f>IFERROR(__xludf.DUMMYFUNCTION("""COMPUTED_VALUE"""),679.0)</f>
        <v>679</v>
      </c>
      <c r="V707" s="8"/>
      <c r="W707" s="8"/>
      <c r="X707" s="8"/>
      <c r="Y707" s="8"/>
      <c r="AA707" s="8" t="s">
        <v>6076</v>
      </c>
      <c r="AB707" s="3" t="s">
        <v>149</v>
      </c>
      <c r="AC707" s="8" t="s">
        <v>390</v>
      </c>
      <c r="AG707" s="3" t="s">
        <v>149</v>
      </c>
      <c r="AH707" s="3" t="s">
        <v>149</v>
      </c>
      <c r="AI707" s="8" t="s">
        <v>606</v>
      </c>
      <c r="AJ707" s="8" t="s">
        <v>390</v>
      </c>
      <c r="AL707" s="8" t="s">
        <v>6055</v>
      </c>
      <c r="AM707" s="3" t="s">
        <v>149</v>
      </c>
      <c r="AN707" s="3" t="s">
        <v>149</v>
      </c>
      <c r="AO707" s="8"/>
      <c r="AP707" s="8"/>
      <c r="AR707" s="8" t="s">
        <v>6057</v>
      </c>
      <c r="AS707" s="8" t="s">
        <v>2873</v>
      </c>
      <c r="AT707" s="8" t="s">
        <v>398</v>
      </c>
      <c r="AU707" s="3" t="s">
        <v>149</v>
      </c>
    </row>
    <row r="708">
      <c r="A708" s="186">
        <v>354.0</v>
      </c>
      <c r="B708" s="152">
        <v>2025.0</v>
      </c>
      <c r="C708" s="153" t="str">
        <f>CONCATENATE(D708, "-", M708, "-", A708)
</f>
        <v>2023-PH104305000-354</v>
      </c>
      <c r="D708" s="152">
        <f>IF(OR(F707="Published", F707="Unpublished"), 2023, IF(F707="New", 2025, ""))
</f>
        <v>2023</v>
      </c>
      <c r="E708" s="151">
        <v>354.0</v>
      </c>
      <c r="F708" s="129" t="s">
        <v>140</v>
      </c>
      <c r="G708" s="156" t="s">
        <v>141</v>
      </c>
      <c r="H708" s="153" t="str">
        <f>IFERROR(__xludf.DUMMYFUNCTION("""COMPUTED_VALUE"""),"**Restoration_project** changed from Artificial Reef Development Program to Unknown, **Restoration_project_short** changed from Site in Kawit Or. to Site in Brgy Macabalan, **Year of establishment** changed from 1986 to 2017, **Project Start** changed fro"&amp;"m 1985 to 2017, **Project End** changed from 1987 to Unknown, **Technique/Material Type** changed from bamboo to recycled glass bottles, **Restoration objective** changed from Unknown to Ocean rehabilitation; sustainable school-community based projects, *"&amp;"*Funding agency** changed from BFAR to Maria Theresa Mabalos, **Total units** changed from 5 BM to Unknown, **Implementing institution** changed from BFAR to Maria Theresa Mabalos / Bugo National High School, **Partners_public** changed from Ministry of H"&amp;"uman Settlements to BFAR; Philippine Coast Guard, **Partners_communities** changed from Unknown to Naturesphere, **Reference** changed from Conference Proceediing to Luczon, N. (2020, March 6). CDO teacher leads ocean rehab with glass bottles. Philippine "&amp;"News Agency. https://www.pna.gov.ph/articles/1095764, **Website** changed from http://pubs.iclarm.net/libinfo/Pdf/Pub%20CP6%2049.pdf to https://www.pna.gov.ph/articles/1095764, **Contact_name** changed from Miriam Balgos to Unknown")</f>
        <v>**Restoration_project** changed from Artificial Reef Development Program to Unknown, **Restoration_project_short** changed from Site in Kawit Or. to Site in Brgy Macabalan, **Year of establishment** changed from 1986 to 2017, **Project Start** changed from 1985 to 2017, **Project End** changed from 1987 to Unknown, **Technique/Material Type** changed from bamboo to recycled glass bottles, **Restoration objective** changed from Unknown to Ocean rehabilitation; sustainable school-community based projects, **Funding agency** changed from BFAR to Maria Theresa Mabalos, **Total units** changed from 5 BM to Unknown, **Implementing institution** changed from BFAR to Maria Theresa Mabalos / Bugo National High School, **Partners_public** changed from Ministry of Human Settlements to BFAR; Philippine Coast Guard, **Partners_communities** changed from Unknown to Naturesphere, **Reference** changed from Conference Proceediing to Luczon, N. (2020, March 6). CDO teacher leads ocean rehab with glass bottles. Philippine News Agency. https://www.pna.gov.ph/articles/1095764, **Website** changed from http://pubs.iclarm.net/libinfo/Pdf/Pub%20CP6%2049.pdf to https://www.pna.gov.ph/articles/1095764, **Contact_name** changed from Miriam Balgos to Unknown</v>
      </c>
      <c r="I708" s="153" t="s">
        <v>7411</v>
      </c>
      <c r="J708" s="153" t="s">
        <v>171</v>
      </c>
      <c r="K708" s="153" t="s">
        <v>172</v>
      </c>
      <c r="L708" s="153" t="s">
        <v>7356</v>
      </c>
      <c r="M708" s="181" t="s">
        <v>1552</v>
      </c>
      <c r="N708" s="153" t="s">
        <v>151</v>
      </c>
      <c r="O708" s="158" t="s">
        <v>149</v>
      </c>
      <c r="P708" s="153" t="s">
        <v>2629</v>
      </c>
      <c r="Q708" s="169">
        <v>2017.0</v>
      </c>
      <c r="R708" s="175" t="s">
        <v>6152</v>
      </c>
      <c r="S708" s="160" t="s">
        <v>149</v>
      </c>
      <c r="T708" s="161" t="s">
        <v>150</v>
      </c>
      <c r="U708" s="153">
        <f>IFERROR(__xludf.DUMMYFUNCTION("""COMPUTED_VALUE"""),680.0)</f>
        <v>680</v>
      </c>
      <c r="V708" s="162" t="s">
        <v>3311</v>
      </c>
      <c r="W708" s="179" t="s">
        <v>6059</v>
      </c>
      <c r="X708" s="28" t="s">
        <v>6033</v>
      </c>
      <c r="Y708" s="32" t="s">
        <v>2630</v>
      </c>
      <c r="Z708" s="158" t="s">
        <v>2631</v>
      </c>
      <c r="AA708" s="153" t="s">
        <v>2631</v>
      </c>
      <c r="AB708" s="153" t="s">
        <v>7412</v>
      </c>
      <c r="AC708" s="158" t="s">
        <v>2634</v>
      </c>
      <c r="AD708" s="158" t="s">
        <v>160</v>
      </c>
      <c r="AE708" s="158" t="s">
        <v>2635</v>
      </c>
      <c r="AF708" s="158" t="s">
        <v>204</v>
      </c>
      <c r="AG708" s="164" t="s">
        <v>149</v>
      </c>
      <c r="AH708" s="158" t="s">
        <v>149</v>
      </c>
      <c r="AI708" s="158" t="s">
        <v>149</v>
      </c>
      <c r="AJ708" s="153" t="s">
        <v>7413</v>
      </c>
      <c r="AK708" s="158" t="s">
        <v>7294</v>
      </c>
      <c r="AL708" s="153" t="s">
        <v>7414</v>
      </c>
      <c r="AM708" s="3" t="s">
        <v>149</v>
      </c>
      <c r="AN708" s="153" t="s">
        <v>2638</v>
      </c>
      <c r="AO708" s="156">
        <v>1.0</v>
      </c>
      <c r="AP708" s="156" t="s">
        <v>6037</v>
      </c>
      <c r="AQ708" s="158" t="s">
        <v>166</v>
      </c>
      <c r="AR708" s="153" t="s">
        <v>2639</v>
      </c>
      <c r="AS708" s="165" t="s">
        <v>2640</v>
      </c>
      <c r="AT708" s="3" t="s">
        <v>149</v>
      </c>
      <c r="AU708" s="3" t="s">
        <v>149</v>
      </c>
    </row>
    <row r="709">
      <c r="A709" s="186">
        <v>354.0</v>
      </c>
      <c r="B709" s="152">
        <v>2023.0</v>
      </c>
      <c r="D709" s="152"/>
      <c r="E709" s="151">
        <v>354.0</v>
      </c>
      <c r="F709" s="129" t="s">
        <v>140</v>
      </c>
      <c r="G709" s="3" t="s">
        <v>6029</v>
      </c>
      <c r="H709" s="8" t="str">
        <f>IFERROR(__xludf.DUMMYFUNCTION("""COMPUTED_VALUE"""),"")</f>
        <v/>
      </c>
      <c r="I709" s="8" t="s">
        <v>7415</v>
      </c>
      <c r="J709" s="8" t="s">
        <v>171</v>
      </c>
      <c r="K709" s="8" t="s">
        <v>600</v>
      </c>
      <c r="L709" s="8" t="s">
        <v>601</v>
      </c>
      <c r="M709" s="153" t="s">
        <v>602</v>
      </c>
      <c r="N709" s="8" t="s">
        <v>151</v>
      </c>
      <c r="O709" s="8" t="s">
        <v>384</v>
      </c>
      <c r="P709" s="8" t="s">
        <v>608</v>
      </c>
      <c r="Q709" s="142" t="s">
        <v>6051</v>
      </c>
      <c r="R709" s="142" t="s">
        <v>6052</v>
      </c>
      <c r="S709" s="142" t="s">
        <v>6053</v>
      </c>
      <c r="T709" s="8"/>
      <c r="U709" s="8">
        <f>IFERROR(__xludf.DUMMYFUNCTION("""COMPUTED_VALUE"""),681.0)</f>
        <v>681</v>
      </c>
      <c r="V709" s="8"/>
      <c r="W709" s="8"/>
      <c r="X709" s="8"/>
      <c r="Y709" s="8"/>
      <c r="AA709" s="8" t="s">
        <v>469</v>
      </c>
      <c r="AB709" s="3" t="s">
        <v>149</v>
      </c>
      <c r="AC709" s="8" t="s">
        <v>390</v>
      </c>
      <c r="AG709" s="3" t="s">
        <v>149</v>
      </c>
      <c r="AH709" s="3" t="s">
        <v>149</v>
      </c>
      <c r="AI709" s="8" t="s">
        <v>609</v>
      </c>
      <c r="AJ709" s="8" t="s">
        <v>390</v>
      </c>
      <c r="AL709" s="8" t="s">
        <v>6055</v>
      </c>
      <c r="AM709" s="3" t="s">
        <v>149</v>
      </c>
      <c r="AN709" s="3" t="s">
        <v>149</v>
      </c>
      <c r="AO709" s="8"/>
      <c r="AP709" s="8"/>
      <c r="AR709" s="8" t="s">
        <v>6057</v>
      </c>
      <c r="AS709" s="8" t="s">
        <v>2873</v>
      </c>
      <c r="AT709" s="8" t="s">
        <v>398</v>
      </c>
      <c r="AU709" s="3" t="s">
        <v>149</v>
      </c>
    </row>
    <row r="710">
      <c r="A710" s="186">
        <v>355.0</v>
      </c>
      <c r="B710" s="152">
        <v>2025.0</v>
      </c>
      <c r="C710" s="153" t="str">
        <f>CONCATENATE(D710, "-", M710, "-", A710)
</f>
        <v>2023-PH104310000-355</v>
      </c>
      <c r="D710" s="152">
        <f>IF(OR(F709="Published", F709="Unpublished"), 2023, IF(F709="New", 2025, ""))
</f>
        <v>2023</v>
      </c>
      <c r="E710" s="151">
        <v>355.0</v>
      </c>
      <c r="F710" s="129" t="s">
        <v>140</v>
      </c>
      <c r="G710" s="156" t="s">
        <v>141</v>
      </c>
      <c r="H710" s="153" t="str">
        <f>IFERROR(__xludf.DUMMYFUNCTION("""COMPUTED_VALUE"""),"**Restoration_project_short** changed from Site in Dalicanan to Unknown, **Year of establishment** changed from 1986 to 1986, **Technique/Material Type** changed from tires; bamboo to tires, **Total units** changed from 6 TM; 4 BM to Unknown, **Reference*"&amp;"* changed from Conference Proceediing to Balgos, M.C. (1995). Evaluation of artificial reef development in the Philippines. In Munro, J.L. &amp; Balgos, M. (eds.) Artificial reefs in the Philippines. ICLARM Conf. Proc. 49, pp. 6-22., **Website** changed from "&amp;"http://pubs.iclarm.net/libinfo/Pdf/Pub%20CP6%2049.pdf to https://core.ac.uk/download/pdf/6515223.pdf;")</f>
        <v>**Restoration_project_short** changed from Site in Dalicanan to Unknown, **Year of establishment** changed from 1986 to 1986, **Technique/Material Type** changed from tires; bamboo to tires, **Total units** changed from 6 TM; 4 BM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710" s="153" t="s">
        <v>7416</v>
      </c>
      <c r="J710" s="153" t="s">
        <v>171</v>
      </c>
      <c r="K710" s="153" t="s">
        <v>172</v>
      </c>
      <c r="L710" s="153" t="s">
        <v>611</v>
      </c>
      <c r="M710" s="181" t="s">
        <v>612</v>
      </c>
      <c r="N710" s="153" t="s">
        <v>151</v>
      </c>
      <c r="O710" s="153" t="s">
        <v>384</v>
      </c>
      <c r="P710" s="3" t="s">
        <v>149</v>
      </c>
      <c r="Q710" s="169">
        <v>1986.0</v>
      </c>
      <c r="R710" s="175" t="s">
        <v>6052</v>
      </c>
      <c r="S710" s="175" t="s">
        <v>6053</v>
      </c>
      <c r="T710" s="161" t="s">
        <v>150</v>
      </c>
      <c r="U710" s="153">
        <f>IFERROR(__xludf.DUMMYFUNCTION("""COMPUTED_VALUE"""),682.0)</f>
        <v>682</v>
      </c>
      <c r="V710" s="162" t="s">
        <v>3311</v>
      </c>
      <c r="W710" s="170" t="s">
        <v>6059</v>
      </c>
      <c r="X710" s="28" t="s">
        <v>6033</v>
      </c>
      <c r="Y710" s="28" t="s">
        <v>386</v>
      </c>
      <c r="Z710" s="176" t="s">
        <v>386</v>
      </c>
      <c r="AA710" s="153" t="s">
        <v>6054</v>
      </c>
      <c r="AB710" s="158" t="s">
        <v>149</v>
      </c>
      <c r="AC710" s="153" t="s">
        <v>390</v>
      </c>
      <c r="AD710" s="158" t="s">
        <v>160</v>
      </c>
      <c r="AE710" s="158" t="s">
        <v>6035</v>
      </c>
      <c r="AF710" s="158" t="s">
        <v>159</v>
      </c>
      <c r="AG710" s="164" t="s">
        <v>149</v>
      </c>
      <c r="AH710" s="158" t="s">
        <v>149</v>
      </c>
      <c r="AI710" s="158" t="s">
        <v>149</v>
      </c>
      <c r="AJ710" s="153" t="s">
        <v>390</v>
      </c>
      <c r="AK710" s="153" t="s">
        <v>6035</v>
      </c>
      <c r="AL710" s="153" t="s">
        <v>6055</v>
      </c>
      <c r="AM710" s="3" t="s">
        <v>149</v>
      </c>
      <c r="AN710" s="3" t="s">
        <v>149</v>
      </c>
      <c r="AO710" s="156">
        <v>1.0</v>
      </c>
      <c r="AP710" s="156" t="s">
        <v>6037</v>
      </c>
      <c r="AQ710" s="158" t="s">
        <v>395</v>
      </c>
      <c r="AR710" s="153" t="s">
        <v>6060</v>
      </c>
      <c r="AS710" s="158" t="s">
        <v>6711</v>
      </c>
      <c r="AT710" s="153" t="s">
        <v>398</v>
      </c>
      <c r="AU710" s="3" t="s">
        <v>149</v>
      </c>
    </row>
    <row r="711">
      <c r="A711" s="186">
        <v>355.0</v>
      </c>
      <c r="B711" s="152">
        <v>2023.0</v>
      </c>
      <c r="D711" s="152"/>
      <c r="E711" s="151">
        <v>355.0</v>
      </c>
      <c r="F711" s="129" t="s">
        <v>140</v>
      </c>
      <c r="G711" s="3" t="s">
        <v>3279</v>
      </c>
      <c r="H711" s="8" t="str">
        <f>IFERROR(__xludf.DUMMYFUNCTION("""COMPUTED_VALUE"""),"")</f>
        <v/>
      </c>
      <c r="I711" s="8" t="s">
        <v>7417</v>
      </c>
      <c r="J711" s="8" t="s">
        <v>171</v>
      </c>
      <c r="K711" s="8" t="s">
        <v>600</v>
      </c>
      <c r="L711" s="8" t="s">
        <v>601</v>
      </c>
      <c r="M711" s="8" t="s">
        <v>602</v>
      </c>
      <c r="N711" s="8" t="s">
        <v>151</v>
      </c>
      <c r="O711" s="8" t="s">
        <v>6113</v>
      </c>
      <c r="Q711" s="142" t="s">
        <v>6098</v>
      </c>
      <c r="R711" s="142"/>
      <c r="S711" s="142"/>
      <c r="U711" s="8">
        <f>IFERROR(__xludf.DUMMYFUNCTION("""COMPUTED_VALUE"""),683.0)</f>
        <v>683</v>
      </c>
      <c r="V711" s="8"/>
      <c r="W711" s="8"/>
      <c r="AA711" s="8" t="s">
        <v>7418</v>
      </c>
      <c r="AG711" s="142"/>
      <c r="AJ711" s="8" t="s">
        <v>7419</v>
      </c>
      <c r="AO711" s="8"/>
      <c r="AP711" s="8"/>
      <c r="AR711" s="8" t="s">
        <v>6038</v>
      </c>
      <c r="AS711" s="8" t="s">
        <v>7420</v>
      </c>
    </row>
    <row r="712">
      <c r="A712" s="186">
        <v>356.0</v>
      </c>
      <c r="B712" s="152">
        <v>2025.0</v>
      </c>
      <c r="C712" s="153" t="str">
        <f>CONCATENATE(D712, "-", M712, "-", A712)
</f>
        <v>2023-PH104311000-356</v>
      </c>
      <c r="D712" s="152">
        <f>IF(OR(F711="Published", F711="Unpublished"), 2023, IF(F711="New", 2025, ""))
</f>
        <v>2023</v>
      </c>
      <c r="E712" s="151">
        <v>356.0</v>
      </c>
      <c r="F712" s="129" t="s">
        <v>140</v>
      </c>
      <c r="G712" s="156" t="s">
        <v>141</v>
      </c>
      <c r="H712" s="153" t="str">
        <f>IFERROR(__xludf.DUMMYFUNCTION("""COMPUTED_VALUE"""),"**Restoration_project** changed from *Not indicated to Agutayan Artificial Reef Project and Giant Clam Seeding, **Restoration_project_short** changed from to Site in Agutayan Island, **Year of establishment** changed from 2018 to Unknown, **Project Start*"&amp;"* changed from to Unknown, **Project End** changed from to Unknown, **Technique/Material Type** changed from Concrete hollow blocks to tires, concrete, steel, **Restoration objective** changed from to Corporate social responsibility, **Funding agency** ch"&amp;"anged from to Nestle, **Total funding** changed from to Unknown, **Total area of restoration** changed from to Unknown, **Total units** changed from to Unknown, **Implementing institution** changed from SHIELDS (Safety, Environmental Health and Land Devel"&amp;"opment Services) to Nestle, **Partners_public** changed from to Unknown, **Partners_private** changed from to Rudy Trillanes, **Partners_communities** changed from to Unknown, **Reference** changed from Social Media to cbartazo (2008, April 16). Diving at"&amp;" Agutayan Island…October 13, 2007). Life in the Great Beyond [blog]. https://cbartazo.com/tag/agutayan-island/, **Website** changed from https://web.facebook.com/shieldsconservation/?_rdc=1&amp;_rdr to https://cbartazo.com/tag/agutayan-island/; https://www.ph"&amp;"ilstar.com/business/business-as-usual/2008/08/25/81412/rudy-trillanes-coffee-man; https://www.lakwatsero.com/dive-report/my-yearend-dive-at-agutayan-island-marine-sanctuary/, **Contact_name** changed from to Unknown, **Contact_details** changed from to Un"&amp;"known")</f>
        <v>**Restoration_project** changed from *Not indicated to Agutayan Artificial Reef Project and Giant Clam Seeding, **Restoration_project_short** changed from to Site in Agutayan Island, **Year of establishment** changed from 2018 to Unknown, **Project Start** changed from to Unknown, **Project End** changed from to Unknown, **Technique/Material Type** changed from Concrete hollow blocks to tires, concrete, steel, **Restoration objective** changed from to Corporate social responsibility, **Funding agency** changed from to Nestle, **Total funding** changed from to Unknown, **Total area of restoration** changed from to Unknown, **Total units** changed from to Unknown, **Implementing institution** changed from SHIELDS (Safety, Environmental Health and Land Development Services) to Nestle, **Partners_public** changed from to Unknown, **Partners_private** changed from to Rudy Trillanes, **Partners_communities** changed from to Unknown, **Reference** changed from Social Media to cbartazo (2008, April 16). Diving at Agutayan Island…October 13, 2007). Life in the Great Beyond [blog]. https://cbartazo.com/tag/agutayan-island/, **Website** changed from https://web.facebook.com/shieldsconservation/?_rdc=1&amp;_rdr to https://cbartazo.com/tag/agutayan-island/; https://www.philstar.com/business/business-as-usual/2008/08/25/81412/rudy-trillanes-coffee-man; https://www.lakwatsero.com/dive-report/my-yearend-dive-at-agutayan-island-marine-sanctuary/, **Contact_name** changed from to Unknown, **Contact_details** changed from to Unknown</v>
      </c>
      <c r="I712" s="153" t="s">
        <v>7421</v>
      </c>
      <c r="J712" s="153" t="s">
        <v>171</v>
      </c>
      <c r="K712" s="153" t="s">
        <v>172</v>
      </c>
      <c r="L712" s="153" t="s">
        <v>277</v>
      </c>
      <c r="M712" s="181" t="s">
        <v>278</v>
      </c>
      <c r="N712" s="153" t="s">
        <v>151</v>
      </c>
      <c r="O712" s="153" t="s">
        <v>279</v>
      </c>
      <c r="P712" s="153" t="s">
        <v>280</v>
      </c>
      <c r="Q712" s="178" t="s">
        <v>149</v>
      </c>
      <c r="R712" s="160" t="s">
        <v>149</v>
      </c>
      <c r="S712" s="160" t="s">
        <v>149</v>
      </c>
      <c r="T712" s="161" t="s">
        <v>150</v>
      </c>
      <c r="U712" s="153">
        <f>IFERROR(__xludf.DUMMYFUNCTION("""COMPUTED_VALUE"""),684.0)</f>
        <v>684</v>
      </c>
      <c r="V712" s="162" t="s">
        <v>3311</v>
      </c>
      <c r="W712" s="179" t="s">
        <v>7422</v>
      </c>
      <c r="X712" s="28" t="s">
        <v>6082</v>
      </c>
      <c r="Y712" s="32" t="s">
        <v>7423</v>
      </c>
      <c r="Z712" s="158" t="s">
        <v>283</v>
      </c>
      <c r="AA712" s="153" t="s">
        <v>283</v>
      </c>
      <c r="AB712" s="153" t="s">
        <v>286</v>
      </c>
      <c r="AC712" s="153" t="s">
        <v>287</v>
      </c>
      <c r="AD712" s="158" t="s">
        <v>160</v>
      </c>
      <c r="AE712" s="158" t="s">
        <v>184</v>
      </c>
      <c r="AF712" s="158" t="s">
        <v>159</v>
      </c>
      <c r="AG712" s="164" t="s">
        <v>149</v>
      </c>
      <c r="AH712" s="158" t="s">
        <v>149</v>
      </c>
      <c r="AI712" s="158" t="s">
        <v>149</v>
      </c>
      <c r="AJ712" s="153" t="s">
        <v>287</v>
      </c>
      <c r="AK712" s="158" t="s">
        <v>184</v>
      </c>
      <c r="AL712" s="3" t="s">
        <v>149</v>
      </c>
      <c r="AM712" s="153" t="s">
        <v>288</v>
      </c>
      <c r="AN712" s="3" t="s">
        <v>149</v>
      </c>
      <c r="AO712" s="156">
        <v>1.0</v>
      </c>
      <c r="AP712" s="156" t="s">
        <v>6037</v>
      </c>
      <c r="AQ712" s="158" t="s">
        <v>6091</v>
      </c>
      <c r="AR712" s="153" t="s">
        <v>7424</v>
      </c>
      <c r="AS712" s="153" t="s">
        <v>7425</v>
      </c>
      <c r="AT712" s="3" t="s">
        <v>149</v>
      </c>
      <c r="AU712" s="3" t="s">
        <v>149</v>
      </c>
    </row>
    <row r="713">
      <c r="A713" s="186">
        <v>356.0</v>
      </c>
      <c r="B713" s="152">
        <v>2023.0</v>
      </c>
      <c r="D713" s="152"/>
      <c r="E713" s="151">
        <v>356.0</v>
      </c>
      <c r="F713" s="129" t="s">
        <v>140</v>
      </c>
      <c r="G713" s="3" t="s">
        <v>6029</v>
      </c>
      <c r="H713" s="8" t="str">
        <f>IFERROR(__xludf.DUMMYFUNCTION("""COMPUTED_VALUE"""),"")</f>
        <v/>
      </c>
      <c r="I713" s="8" t="s">
        <v>7426</v>
      </c>
      <c r="J713" s="8" t="s">
        <v>171</v>
      </c>
      <c r="K713" s="8" t="s">
        <v>600</v>
      </c>
      <c r="L713" s="8" t="s">
        <v>2252</v>
      </c>
      <c r="M713" s="8" t="s">
        <v>2253</v>
      </c>
      <c r="N713" s="8" t="s">
        <v>6062</v>
      </c>
      <c r="O713" s="8" t="s">
        <v>2254</v>
      </c>
      <c r="P713" s="8" t="s">
        <v>7378</v>
      </c>
      <c r="Q713" s="142" t="s">
        <v>6415</v>
      </c>
      <c r="R713" s="3" t="s">
        <v>149</v>
      </c>
      <c r="S713" s="3" t="s">
        <v>149</v>
      </c>
      <c r="T713" s="8"/>
      <c r="U713" s="8">
        <f>IFERROR(__xludf.DUMMYFUNCTION("""COMPUTED_VALUE"""),685.0)</f>
        <v>685</v>
      </c>
      <c r="V713" s="8"/>
      <c r="W713" s="8"/>
      <c r="X713" s="8"/>
      <c r="Y713" s="8"/>
      <c r="AA713" s="8" t="s">
        <v>179</v>
      </c>
      <c r="AB713" s="3" t="s">
        <v>149</v>
      </c>
      <c r="AC713" s="8" t="s">
        <v>2257</v>
      </c>
      <c r="AG713" s="142" t="s">
        <v>7379</v>
      </c>
      <c r="AH713" s="3" t="s">
        <v>149</v>
      </c>
      <c r="AI713" s="8" t="s">
        <v>2259</v>
      </c>
      <c r="AJ713" s="8" t="s">
        <v>2260</v>
      </c>
      <c r="AL713" s="3" t="s">
        <v>149</v>
      </c>
      <c r="AM713" s="3" t="s">
        <v>149</v>
      </c>
      <c r="AN713" s="8" t="s">
        <v>2261</v>
      </c>
      <c r="AO713" s="8"/>
      <c r="AP713" s="8"/>
      <c r="AR713" s="8" t="s">
        <v>6091</v>
      </c>
      <c r="AS713" s="172" t="s">
        <v>2263</v>
      </c>
      <c r="AT713" s="3" t="s">
        <v>149</v>
      </c>
      <c r="AU713" s="3" t="s">
        <v>149</v>
      </c>
    </row>
    <row r="714">
      <c r="A714" s="186">
        <v>357.0</v>
      </c>
      <c r="B714" s="152">
        <v>2025.0</v>
      </c>
      <c r="C714" s="153" t="str">
        <f>CONCATENATE(D714, "-", M714, "-", A714)
</f>
        <v>2023-PH104314000-357</v>
      </c>
      <c r="D714" s="152">
        <f>IF(OR(F713="Published", F713="Unpublished"), 2023, IF(F713="New", 2025, ""))
</f>
        <v>2023</v>
      </c>
      <c r="E714" s="151">
        <v>357.0</v>
      </c>
      <c r="F714" s="156" t="s">
        <v>191</v>
      </c>
      <c r="G714" s="156" t="s">
        <v>191</v>
      </c>
      <c r="H714" s="153" t="str">
        <f>IFERROR(__xludf.DUMMYFUNCTION("""COMPUTED_VALUE"""),"**Restoration_project** changed from The Linamon Coral Reef Restoration and Enhancement Through Community-Based Coral Transplantation in a Marine Protected Area to Unknown, **Restoration_project_short** changed from Biodiversity enhancement project under "&amp;"the NRM program of the Mindanao Rural Development Project (MRDP) to Unknown, **Year of establishment** changed from 2008 to 2017, **Project Start** changed from Unknown to 2017, **Restoration method** changed from Asexual Reproduction to Artificial Reef, "&amp;"**Technique/Material Type** changed from Coral transplantation to recycled glass bottles, **Restoration objective** changed from Unknown to Ocean rehabilitation; research, **Funding agency** changed from World Bank; GOP to Maria Theresa Mabalos, **Total f"&amp;"unding** changed from 3.23 million to Unknown, **Total units** changed from 38 modules to Unknown, **Implementing institution** changed from MLGU; Department of Agriculture to Maria Theresa Mabalos / Bugo National High School, **Partners_public** changed "&amp;"from Unknown to BFAR; Philippine Coast Guard, **Partners_communities** changed from Magoong and Samburon Fisherfolk Assoc. to Naturesphere, **Reference** changed from Blog to Luczon, N. (2020, March 6). CDO teacher leads ocean rehab with glass bottles. Ph"&amp;"ilippine News Agency. https://www.pna.gov.ph/articles/1095764, **Website** changed from https://www.lakwatsero.com/dive-report/linamon-coral-transplanation-project-in-iligan-bay/ to https://www.pna.gov.ph/articles/1095764")</f>
        <v>**Restoration_project** changed from The Linamon Coral Reef Restoration and Enhancement Through Community-Based Coral Transplantation in a Marine Protected Area to Unknown, **Restoration_project_short** changed from Biodiversity enhancement project under the NRM program of the Mindanao Rural Development Project (MRDP) to Unknown, **Year of establishment** changed from 2008 to 2017, **Project Start** changed from Unknown to 2017, **Restoration method** changed from Asexual Reproduction to Artificial Reef, **Technique/Material Type** changed from Coral transplantation to recycled glass bottles, **Restoration objective** changed from Unknown to Ocean rehabilitation; research, **Funding agency** changed from World Bank; GOP to Maria Theresa Mabalos, **Total funding** changed from 3.23 million to Unknown, **Total units** changed from 38 modules to Unknown, **Implementing institution** changed from MLGU; Department of Agriculture to Maria Theresa Mabalos / Bugo National High School, **Partners_public** changed from Unknown to BFAR; Philippine Coast Guard, **Partners_communities** changed from Magoong and Samburon Fisherfolk Assoc. to Naturesphere, **Reference** changed from Blog to Luczon, N. (2020, March 6). CDO teacher leads ocean rehab with glass bottles. Philippine News Agency. https://www.pna.gov.ph/articles/1095764, **Website** changed from https://www.lakwatsero.com/dive-report/linamon-coral-transplanation-project-in-iligan-bay/ to https://www.pna.gov.ph/articles/1095764</v>
      </c>
      <c r="I714" s="153" t="s">
        <v>7427</v>
      </c>
      <c r="J714" s="153" t="s">
        <v>171</v>
      </c>
      <c r="K714" s="153" t="s">
        <v>172</v>
      </c>
      <c r="L714" s="153" t="s">
        <v>2642</v>
      </c>
      <c r="M714" s="181" t="s">
        <v>2643</v>
      </c>
      <c r="N714" s="153" t="s">
        <v>151</v>
      </c>
      <c r="O714" s="158" t="s">
        <v>149</v>
      </c>
      <c r="P714" s="156" t="s">
        <v>149</v>
      </c>
      <c r="Q714" s="169">
        <v>2017.0</v>
      </c>
      <c r="R714" s="175" t="s">
        <v>6152</v>
      </c>
      <c r="S714" s="160" t="s">
        <v>149</v>
      </c>
      <c r="T714" s="206" t="s">
        <v>150</v>
      </c>
      <c r="U714" s="153">
        <f>IFERROR(__xludf.DUMMYFUNCTION("""COMPUTED_VALUE"""),686.0)</f>
        <v>686</v>
      </c>
      <c r="V714" s="162" t="s">
        <v>3311</v>
      </c>
      <c r="W714" s="179" t="s">
        <v>6059</v>
      </c>
      <c r="X714" s="28" t="s">
        <v>6033</v>
      </c>
      <c r="Y714" s="32" t="s">
        <v>2630</v>
      </c>
      <c r="Z714" s="158" t="s">
        <v>2631</v>
      </c>
      <c r="AA714" s="153" t="s">
        <v>2631</v>
      </c>
      <c r="AB714" s="153" t="s">
        <v>2644</v>
      </c>
      <c r="AC714" s="158" t="s">
        <v>2634</v>
      </c>
      <c r="AD714" s="158" t="s">
        <v>160</v>
      </c>
      <c r="AE714" s="158" t="s">
        <v>2635</v>
      </c>
      <c r="AF714" s="158" t="s">
        <v>204</v>
      </c>
      <c r="AG714" s="164" t="s">
        <v>149</v>
      </c>
      <c r="AH714" s="158" t="s">
        <v>149</v>
      </c>
      <c r="AI714" s="158" t="s">
        <v>149</v>
      </c>
      <c r="AJ714" s="153" t="s">
        <v>7413</v>
      </c>
      <c r="AK714" s="158" t="s">
        <v>7294</v>
      </c>
      <c r="AL714" s="153" t="s">
        <v>7428</v>
      </c>
      <c r="AM714" s="156" t="s">
        <v>149</v>
      </c>
      <c r="AN714" s="153" t="s">
        <v>2638</v>
      </c>
      <c r="AO714" s="156">
        <v>1.0</v>
      </c>
      <c r="AP714" s="156" t="s">
        <v>6037</v>
      </c>
      <c r="AQ714" s="158" t="s">
        <v>166</v>
      </c>
      <c r="AR714" s="153" t="s">
        <v>2639</v>
      </c>
      <c r="AS714" s="165" t="s">
        <v>2640</v>
      </c>
      <c r="AT714" s="156" t="s">
        <v>149</v>
      </c>
      <c r="AU714" s="156" t="s">
        <v>149</v>
      </c>
    </row>
    <row r="715">
      <c r="A715" s="186">
        <v>357.0</v>
      </c>
      <c r="B715" s="152">
        <v>2023.0</v>
      </c>
      <c r="D715" s="152"/>
      <c r="E715" s="151">
        <v>357.0</v>
      </c>
      <c r="F715" s="129" t="s">
        <v>140</v>
      </c>
      <c r="G715" s="3" t="s">
        <v>6029</v>
      </c>
      <c r="H715" s="8" t="str">
        <f>IFERROR(__xludf.DUMMYFUNCTION("""COMPUTED_VALUE"""),"")</f>
        <v/>
      </c>
      <c r="I715" s="8" t="s">
        <v>7429</v>
      </c>
      <c r="J715" s="8" t="s">
        <v>171</v>
      </c>
      <c r="K715" s="8" t="s">
        <v>600</v>
      </c>
      <c r="L715" s="8" t="s">
        <v>1497</v>
      </c>
      <c r="M715" s="153" t="s">
        <v>1498</v>
      </c>
      <c r="N715" s="8" t="s">
        <v>151</v>
      </c>
      <c r="O715" s="8" t="s">
        <v>1377</v>
      </c>
      <c r="P715" s="3" t="s">
        <v>149</v>
      </c>
      <c r="Q715" s="3" t="s">
        <v>149</v>
      </c>
      <c r="R715" s="142" t="s">
        <v>6198</v>
      </c>
      <c r="S715" s="142" t="s">
        <v>6199</v>
      </c>
      <c r="T715" s="8"/>
      <c r="U715" s="8">
        <f>IFERROR(__xludf.DUMMYFUNCTION("""COMPUTED_VALUE"""),687.0)</f>
        <v>687</v>
      </c>
      <c r="V715" s="8"/>
      <c r="W715" s="3"/>
      <c r="X715" s="8"/>
      <c r="Y715" s="8"/>
      <c r="AA715" s="3" t="s">
        <v>149</v>
      </c>
      <c r="AB715" s="3" t="s">
        <v>149</v>
      </c>
      <c r="AC715" s="8" t="s">
        <v>1381</v>
      </c>
      <c r="AG715" s="3" t="s">
        <v>149</v>
      </c>
      <c r="AH715" s="3" t="s">
        <v>149</v>
      </c>
      <c r="AI715" s="3" t="s">
        <v>149</v>
      </c>
      <c r="AJ715" s="8" t="s">
        <v>660</v>
      </c>
      <c r="AL715" s="8" t="s">
        <v>369</v>
      </c>
      <c r="AM715" s="3" t="s">
        <v>149</v>
      </c>
      <c r="AN715" s="3" t="s">
        <v>149</v>
      </c>
      <c r="AO715" s="8"/>
      <c r="AP715" s="8"/>
      <c r="AR715" s="8" t="s">
        <v>395</v>
      </c>
      <c r="AS715" s="8" t="s">
        <v>2873</v>
      </c>
      <c r="AT715" s="8" t="s">
        <v>398</v>
      </c>
      <c r="AU715" s="3" t="s">
        <v>149</v>
      </c>
    </row>
    <row r="716">
      <c r="A716" s="186">
        <v>358.0</v>
      </c>
      <c r="B716" s="152">
        <v>2025.0</v>
      </c>
      <c r="C716" s="153" t="str">
        <f>CONCATENATE(D716, "-", M716, "-", A716)
</f>
        <v>2023-PH104314000-358</v>
      </c>
      <c r="D716" s="152">
        <f>IF(OR(F715="Published", F715="Unpublished"), 2023, IF(F715="New", 2025, ""))
</f>
        <v>2023</v>
      </c>
      <c r="E716" s="151">
        <v>358.0</v>
      </c>
      <c r="F716" s="156" t="s">
        <v>140</v>
      </c>
      <c r="G716" s="156" t="s">
        <v>141</v>
      </c>
      <c r="H716" s="153" t="str">
        <f>IFERROR(__xludf.DUMMYFUNCTION("""COMPUTED_VALUE"""),"**Restoration_project** changed from Fisheries Sector Program to Unknown, **Restoration_project_short** changed from Unknown to Earth Day 2022 celebration of Ports Management Office, CDO, **Year of establishment** changed from Unknown to 2022, **Project S"&amp;"tart** changed from 1990 to Unknown, **Project End** changed from 1994 to Unknown, **Restoration method** changed from Artificial Reef to Asexual Reproduction, **Technique/Material Type** changed from Unknown to Coral planting, **Restoration objective** c"&amp;"hanged from Unknown to Promote awareness and raise action in addressing climate change, **Funding agency** changed from ADB, Overseas Economic Cooperation Fund of Japan to Ports Management Office of Misamis Oriental/Cagayan de Oro, **Implementing institut"&amp;"ion** changed from DA to Ports Management Office of Misamis Oriental/Cagayan de Oro, **Partners_public** changed from MLGU to Philippine Coast Guard District of Northern Mindanao; 101st Auxilliary Squadron Marine Environmental Protection, **Reference** ch"&amp;"anged from Conference Proceeding to PMO MO/C expands initiatives for environment conservation (2022, April 12). Philippine Ports Authority Port Management Office of Misamis Oriental/Cagayan de Oro [Press Release]. http://www.pmocdo.ppa.com.ph/pmo-mo-c-exp"&amp;"ands-initiatives-for-environment-conservation/, **Website** changed from http://pubs.iclarm.net/libinfo/Pdf/Pub%20CP6%2049.pdf to http://www.pmocdo.ppa.com.ph/pmo-mo-c-expands-initiatives-for-environment-conservation/, **Contact_name** changed from Miriam"&amp;" Balgos to Unknown")</f>
        <v>**Restoration_project** changed from Fisheries Sector Program to Unknown, **Restoration_project_short** changed from Unknown to Earth Day 2022 celebration of Ports Management Office, CDO, **Year of establishment** changed from Unknown to 2022, **Project Start** changed from 1990 to Unknown, **Project End** changed from 1994 to Unknown, **Restoration method** changed from Artificial Reef to Asexual Reproduction, **Technique/Material Type** changed from Unknown to Coral planting, **Restoration objective** changed from Unknown to Promote awareness and raise action in addressing climate change, **Funding agency** changed from ADB, Overseas Economic Cooperation Fund of Japan to Ports Management Office of Misamis Oriental/Cagayan de Oro, **Implementing institution** changed from DA to Ports Management Office of Misamis Oriental/Cagayan de Oro, **Partners_public** changed from MLGU to Philippine Coast Guard District of Northern Mindanao; 101st Auxilliary Squadron Marine Environmental Protection, **Reference** changed from Conference Proceeding to PMO MO/C expands initiatives for environment conservation (2022, April 12). Philippine Ports Authority Port Management Office of Misamis Oriental/Cagayan de Oro [Press Release]. http://www.pmocdo.ppa.com.ph/pmo-mo-c-expands-initiatives-for-environment-conservation/, **Website** changed from http://pubs.iclarm.net/libinfo/Pdf/Pub%20CP6%2049.pdf to http://www.pmocdo.ppa.com.ph/pmo-mo-c-expands-initiatives-for-environment-conservation/, **Contact_name** changed from Miriam Balgos to Unknown</v>
      </c>
      <c r="I716" s="153" t="s">
        <v>7430</v>
      </c>
      <c r="J716" s="153" t="s">
        <v>171</v>
      </c>
      <c r="K716" s="153" t="s">
        <v>172</v>
      </c>
      <c r="L716" s="153" t="s">
        <v>2642</v>
      </c>
      <c r="M716" s="181" t="s">
        <v>2643</v>
      </c>
      <c r="N716" s="153" t="s">
        <v>6062</v>
      </c>
      <c r="O716" s="158" t="s">
        <v>149</v>
      </c>
      <c r="P716" s="153" t="s">
        <v>7375</v>
      </c>
      <c r="Q716" s="169">
        <v>2022.0</v>
      </c>
      <c r="R716" s="160" t="s">
        <v>149</v>
      </c>
      <c r="S716" s="160" t="s">
        <v>149</v>
      </c>
      <c r="T716" s="156" t="s">
        <v>177</v>
      </c>
      <c r="U716" s="153">
        <f>IFERROR(__xludf.DUMMYFUNCTION("""COMPUTED_VALUE"""),688.0)</f>
        <v>688</v>
      </c>
      <c r="V716" s="191" t="s">
        <v>3245</v>
      </c>
      <c r="W716" s="179" t="s">
        <v>149</v>
      </c>
      <c r="X716" s="180"/>
      <c r="Y716" s="180" t="s">
        <v>154</v>
      </c>
      <c r="Z716" s="158" t="s">
        <v>179</v>
      </c>
      <c r="AA716" s="153" t="s">
        <v>6666</v>
      </c>
      <c r="AB716" s="158" t="s">
        <v>2815</v>
      </c>
      <c r="AC716" s="158" t="s">
        <v>2816</v>
      </c>
      <c r="AD716" s="158" t="s">
        <v>160</v>
      </c>
      <c r="AE716" s="158" t="s">
        <v>6035</v>
      </c>
      <c r="AF716" s="158" t="s">
        <v>159</v>
      </c>
      <c r="AG716" s="164" t="s">
        <v>149</v>
      </c>
      <c r="AH716" s="158" t="s">
        <v>149</v>
      </c>
      <c r="AI716" s="158" t="s">
        <v>149</v>
      </c>
      <c r="AJ716" s="158" t="s">
        <v>2816</v>
      </c>
      <c r="AK716" s="153" t="s">
        <v>6035</v>
      </c>
      <c r="AL716" s="158" t="s">
        <v>2817</v>
      </c>
      <c r="AM716" s="3" t="s">
        <v>149</v>
      </c>
      <c r="AN716" s="3" t="s">
        <v>149</v>
      </c>
      <c r="AO716" s="156">
        <v>1.0</v>
      </c>
      <c r="AP716" s="156" t="s">
        <v>6037</v>
      </c>
      <c r="AQ716" s="158" t="s">
        <v>166</v>
      </c>
      <c r="AR716" s="153" t="s">
        <v>2818</v>
      </c>
      <c r="AS716" s="165" t="s">
        <v>2819</v>
      </c>
      <c r="AT716" s="3" t="s">
        <v>149</v>
      </c>
      <c r="AU716" s="3" t="s">
        <v>149</v>
      </c>
    </row>
    <row r="717">
      <c r="A717" s="186">
        <v>358.0</v>
      </c>
      <c r="B717" s="152">
        <v>2023.0</v>
      </c>
      <c r="D717" s="152"/>
      <c r="E717" s="151">
        <v>358.0</v>
      </c>
      <c r="F717" s="129" t="s">
        <v>140</v>
      </c>
      <c r="G717" s="3" t="s">
        <v>6029</v>
      </c>
      <c r="H717" s="8" t="str">
        <f>IFERROR(__xludf.DUMMYFUNCTION("""COMPUTED_VALUE"""),"")</f>
        <v/>
      </c>
      <c r="I717" s="8" t="s">
        <v>7431</v>
      </c>
      <c r="J717" s="8" t="s">
        <v>171</v>
      </c>
      <c r="K717" s="8" t="s">
        <v>600</v>
      </c>
      <c r="L717" s="8" t="s">
        <v>1497</v>
      </c>
      <c r="M717" s="153" t="s">
        <v>1498</v>
      </c>
      <c r="N717" s="8" t="s">
        <v>151</v>
      </c>
      <c r="O717" s="8" t="s">
        <v>1377</v>
      </c>
      <c r="P717" s="8" t="s">
        <v>7432</v>
      </c>
      <c r="Q717" s="3" t="s">
        <v>149</v>
      </c>
      <c r="R717" s="142" t="s">
        <v>6198</v>
      </c>
      <c r="S717" s="142" t="s">
        <v>6199</v>
      </c>
      <c r="T717" s="8"/>
      <c r="U717" s="8">
        <f>IFERROR(__xludf.DUMMYFUNCTION("""COMPUTED_VALUE"""),689.0)</f>
        <v>689</v>
      </c>
      <c r="V717" s="8"/>
      <c r="W717" s="3"/>
      <c r="X717" s="8"/>
      <c r="Y717" s="8"/>
      <c r="AA717" s="3" t="s">
        <v>149</v>
      </c>
      <c r="AB717" s="3" t="s">
        <v>149</v>
      </c>
      <c r="AC717" s="8" t="s">
        <v>1381</v>
      </c>
      <c r="AG717" s="3" t="s">
        <v>149</v>
      </c>
      <c r="AH717" s="3" t="s">
        <v>149</v>
      </c>
      <c r="AI717" s="3" t="s">
        <v>149</v>
      </c>
      <c r="AJ717" s="8" t="s">
        <v>660</v>
      </c>
      <c r="AL717" s="8" t="s">
        <v>369</v>
      </c>
      <c r="AM717" s="3" t="s">
        <v>149</v>
      </c>
      <c r="AN717" s="3" t="s">
        <v>149</v>
      </c>
      <c r="AO717" s="8"/>
      <c r="AP717" s="8"/>
      <c r="AR717" s="8" t="s">
        <v>395</v>
      </c>
      <c r="AS717" s="8" t="s">
        <v>2873</v>
      </c>
      <c r="AT717" s="8" t="s">
        <v>398</v>
      </c>
      <c r="AU717" s="3" t="s">
        <v>149</v>
      </c>
    </row>
    <row r="718">
      <c r="A718" s="186">
        <v>359.0</v>
      </c>
      <c r="B718" s="152">
        <v>2025.0</v>
      </c>
      <c r="C718" s="153" t="str">
        <f>CONCATENATE(D718, "-", M718, "-", A718)
</f>
        <v>2023-PH104319000-359</v>
      </c>
      <c r="D718" s="152">
        <f>IF(OR(F717="Published", F717="Unpublished"), 2023, IF(F717="New", 2025, ""))
</f>
        <v>2023</v>
      </c>
      <c r="E718" s="151">
        <v>359.0</v>
      </c>
      <c r="F718" s="129" t="s">
        <v>140</v>
      </c>
      <c r="G718" s="156" t="s">
        <v>141</v>
      </c>
      <c r="H718" s="153" t="str">
        <f>IFERROR(__xludf.DUMMYFUNCTION("""COMPUTED_VALUE"""),"**Restoration_project** changed from Fisheries Sector Program to Unknown, **Restoration_project_short** changed from Site in Sogapod; *Stated as Sogapod in the lit but this is a barangay which is part of the municipality of Maigo to Artificial structure i"&amp;"nstalled by the resort for SCUBA tourism; Located in Japanese Garden dive site, **Project Start** changed from 1990 to Unknown, **Project End** changed from 1994 to Unknown, **Technique/Material Type** changed from Unknown to Steel frame, **Restoration ob"&amp;"jective** changed from Unknown to Tourism, **Funding agency** changed from ADB, Overseas Economic Cooperation Fund of Japan to Duka Bay Resort, **Implementing institution** changed from DA to Duka Bay Resort, **Partners_public** changed from MLGU to Unkno"&amp;"wn, **Reference** changed from Conference Proceeding to Bob of the Storm (2023, February 11). Freediving Tour - Duka Bay's ""Octopus"" Artificial Reef [Video]. Youtube. https://www.youtube.com/watch?v=7NBc_NGXqEA, **Website** changed from http://pubs.icla"&amp;"rm.net/libinfo/Pdf/Pub%20CP6%2049.pdf to https://www.youtube.com/watch?v=7NBc_NGXqEA, **Contact_name** changed from Miriam Balgos to Ernesto Pelaez, **Contact_details** changed from Unknown to 0917 794 2759")</f>
        <v>**Restoration_project** changed from Fisheries Sector Program to Unknown, **Restoration_project_short** changed from Site in Sogapod; *Stated as Sogapod in the lit but this is a barangay which is part of the municipality of Maigo to Artificial structure installed by the resort for SCUBA tourism; Located in Japanese Garden dive site, **Project Start** changed from 1990 to Unknown, **Project End** changed from 1994 to Unknown, **Technique/Material Type** changed from Unknown to Steel frame, **Restoration objective** changed from Unknown to Tourism, **Funding agency** changed from ADB, Overseas Economic Cooperation Fund of Japan to Duka Bay Resort, **Implementing institution** changed from DA to Duka Bay Resort, **Partners_public** changed from MLGU to Unknown, **Reference** changed from Conference Proceeding to Bob of the Storm (2023, February 11). Freediving Tour - Duka Bay's "Octopus" Artificial Reef [Video]. Youtube. https://www.youtube.com/watch?v=7NBc_NGXqEA, **Website** changed from http://pubs.iclarm.net/libinfo/Pdf/Pub%20CP6%2049.pdf to https://www.youtube.com/watch?v=7NBc_NGXqEA, **Contact_name** changed from Miriam Balgos to Ernesto Pelaez, **Contact_details** changed from Unknown to 0917 794 2759</v>
      </c>
      <c r="I718" s="153" t="s">
        <v>7433</v>
      </c>
      <c r="J718" s="153" t="s">
        <v>171</v>
      </c>
      <c r="K718" s="153" t="s">
        <v>172</v>
      </c>
      <c r="L718" s="153" t="s">
        <v>173</v>
      </c>
      <c r="M718" s="181" t="s">
        <v>174</v>
      </c>
      <c r="N718" s="153" t="s">
        <v>151</v>
      </c>
      <c r="O718" s="158" t="s">
        <v>149</v>
      </c>
      <c r="P718" s="153" t="s">
        <v>7434</v>
      </c>
      <c r="Q718" s="178" t="s">
        <v>149</v>
      </c>
      <c r="R718" s="160" t="s">
        <v>149</v>
      </c>
      <c r="S718" s="160" t="s">
        <v>149</v>
      </c>
      <c r="T718" s="161" t="s">
        <v>150</v>
      </c>
      <c r="U718" s="153">
        <f>IFERROR(__xludf.DUMMYFUNCTION("""COMPUTED_VALUE"""),690.0)</f>
        <v>690</v>
      </c>
      <c r="V718" s="162" t="s">
        <v>3311</v>
      </c>
      <c r="W718" s="179" t="s">
        <v>6626</v>
      </c>
      <c r="Y718" s="32" t="s">
        <v>2217</v>
      </c>
      <c r="Z718" s="158" t="s">
        <v>2217</v>
      </c>
      <c r="AA718" s="153" t="s">
        <v>2217</v>
      </c>
      <c r="AB718" s="158" t="s">
        <v>2751</v>
      </c>
      <c r="AC718" s="158" t="s">
        <v>2752</v>
      </c>
      <c r="AD718" s="158" t="s">
        <v>160</v>
      </c>
      <c r="AE718" s="158" t="s">
        <v>184</v>
      </c>
      <c r="AF718" s="158" t="s">
        <v>159</v>
      </c>
      <c r="AG718" s="164" t="s">
        <v>149</v>
      </c>
      <c r="AH718" s="158" t="s">
        <v>149</v>
      </c>
      <c r="AI718" s="158" t="s">
        <v>149</v>
      </c>
      <c r="AJ718" s="153" t="s">
        <v>2752</v>
      </c>
      <c r="AK718" s="158" t="s">
        <v>184</v>
      </c>
      <c r="AL718" s="154" t="s">
        <v>149</v>
      </c>
      <c r="AM718" s="154" t="s">
        <v>149</v>
      </c>
      <c r="AN718" s="154" t="s">
        <v>149</v>
      </c>
      <c r="AO718" s="156">
        <v>1.0</v>
      </c>
      <c r="AP718" s="156" t="s">
        <v>6037</v>
      </c>
      <c r="AQ718" s="158" t="s">
        <v>6038</v>
      </c>
      <c r="AR718" s="153" t="s">
        <v>7435</v>
      </c>
      <c r="AS718" s="165" t="s">
        <v>2754</v>
      </c>
      <c r="AT718" s="153" t="s">
        <v>188</v>
      </c>
      <c r="AU718" s="165" t="s">
        <v>1140</v>
      </c>
    </row>
    <row r="719">
      <c r="A719" s="186">
        <v>359.0</v>
      </c>
      <c r="B719" s="152">
        <v>2023.0</v>
      </c>
      <c r="D719" s="152"/>
      <c r="E719" s="151">
        <v>359.0</v>
      </c>
      <c r="F719" s="129" t="s">
        <v>140</v>
      </c>
      <c r="G719" s="3" t="s">
        <v>3279</v>
      </c>
      <c r="H719" s="8" t="str">
        <f>IFERROR(__xludf.DUMMYFUNCTION("""COMPUTED_VALUE"""),"")</f>
        <v/>
      </c>
      <c r="I719" s="8" t="s">
        <v>7436</v>
      </c>
      <c r="J719" s="8" t="s">
        <v>171</v>
      </c>
      <c r="K719" s="8" t="s">
        <v>600</v>
      </c>
      <c r="L719" s="8" t="s">
        <v>5456</v>
      </c>
      <c r="M719" s="8" t="s">
        <v>5457</v>
      </c>
      <c r="N719" s="8" t="s">
        <v>151</v>
      </c>
      <c r="O719" s="8" t="s">
        <v>7437</v>
      </c>
      <c r="P719" s="226" t="s">
        <v>7438</v>
      </c>
      <c r="Q719" s="142" t="s">
        <v>6030</v>
      </c>
      <c r="R719" s="142"/>
      <c r="S719" s="142"/>
      <c r="U719" s="8">
        <f>IFERROR(__xludf.DUMMYFUNCTION("""COMPUTED_VALUE"""),691.0)</f>
        <v>691</v>
      </c>
      <c r="V719" s="8"/>
      <c r="W719" s="8"/>
      <c r="AA719" s="8" t="s">
        <v>7439</v>
      </c>
      <c r="AB719" s="8" t="s">
        <v>1006</v>
      </c>
      <c r="AC719" s="8" t="s">
        <v>7440</v>
      </c>
      <c r="AG719" s="142"/>
      <c r="AJ719" s="8" t="s">
        <v>7440</v>
      </c>
      <c r="AL719" s="8" t="s">
        <v>7441</v>
      </c>
      <c r="AM719" s="8" t="s">
        <v>7442</v>
      </c>
      <c r="AN719" s="8" t="s">
        <v>7443</v>
      </c>
      <c r="AO719" s="8"/>
      <c r="AP719" s="8"/>
      <c r="AR719" s="8" t="s">
        <v>166</v>
      </c>
      <c r="AS719" s="172" t="s">
        <v>7444</v>
      </c>
      <c r="AT719" s="8" t="s">
        <v>7445</v>
      </c>
    </row>
    <row r="720">
      <c r="A720" s="186">
        <v>360.0</v>
      </c>
      <c r="B720" s="152">
        <v>2025.0</v>
      </c>
      <c r="C720" s="153" t="str">
        <f>CONCATENATE(D720, "-", M720, "-", A720)
</f>
        <v>2023-PH104319000-360</v>
      </c>
      <c r="D720" s="152">
        <f>IF(OR(F719="Published", F719="Unpublished"), 2023, IF(F719="New", 2025, ""))
</f>
        <v>2023</v>
      </c>
      <c r="E720" s="151">
        <v>360.0</v>
      </c>
      <c r="F720" s="129" t="s">
        <v>140</v>
      </c>
      <c r="G720" s="156" t="s">
        <v>141</v>
      </c>
      <c r="H720" s="153" t="str">
        <f>IFERROR(__xludf.DUMMYFUNCTION("""COMPUTED_VALUE"""),"**Restoration_project** changed from S.A.G.O.P Kalikasan Project on Maritime and Environmental Protection and Conservation to Unknown, **Restoration_project_short** changed from Sustainable Approaches Generating Opportunities to reduce Poverty”, aims to p"&amp;"rotect mother Earth through conducting purposeful activities and at the same time give assistance to the livelihood of the people.  to Artificial structure installed by the resort for SCUBA tourism; Located in Almost Paradise dive site, **Year of establis"&amp;"hment** changed from 2021 to 2017, **Project Start** changed from to Unknown, **Project End** changed from to Unknown, **Technique/Material Type** changed from Ceramic material to Statue, **Restoration objective** changed from Habitat for marine life to T"&amp;"ourism, **Funding agency** changed from Inner Wheel Club of Lanao del Norte to Duka Bay Resort, **Total funding** changed from to Unknown, **Total area of restoration** changed from to Unknown, **Total units** changed from to Unknown, **Implementing insti"&amp;"tution** changed from Inner Wheel Club of Lanao del Norte to Duka Bay Resort, **Partners_public** changed from PLGU, MLGU, Philippine Coast Guard, Phil Army, BFAR to Unknown, **Partners_private** changed from JCI Panguil Bay, AHAN AIKIDO to Unknown, **Par"&amp;"tners_communities** changed from Bangaan Women's Assoc. to Unknown, **Reference** changed from News/Press Release to cbartazo (2018, January 23). Deluge at Duka Bay!. Life in the Great Beyond. https://cbartazo.com/tag/duka-bay/, **Website** changed from h"&amp;"ttps://lanaodelnorte.gov.ph/2021/03/15/pgldn-show-support-to-s-a-g-o-p/ to https://cbartazo.com/tag/duka-bay/; https://www.scubaandtravel.com/2016/12/scuba-diving-and-travel-destination.html, **Contact_name** changed from Bulhing Montefalcon dela Cruz to "&amp;"Ernesto Pelaez, **Contact_details** changed from to 0917 794 2759")</f>
        <v>**Restoration_project** changed from S.A.G.O.P Kalikasan Project on Maritime and Environmental Protection and Conservation to Unknown, **Restoration_project_short** changed from Sustainable Approaches Generating Opportunities to reduce Poverty”, aims to protect mother Earth through conducting purposeful activities and at the same time give assistance to the livelihood of the people.  to Artificial structure installed by the resort for SCUBA tourism; Located in Almost Paradise dive site, **Year of establishment** changed from 2021 to 2017, **Project Start** changed from to Unknown, **Project End** changed from to Unknown, **Technique/Material Type** changed from Ceramic material to Statue, **Restoration objective** changed from Habitat for marine life to Tourism, **Funding agency** changed from Inner Wheel Club of Lanao del Norte to Duka Bay Resort, **Total funding** changed from to Unknown, **Total area of restoration** changed from to Unknown, **Total units** changed from to Unknown, **Implementing institution** changed from Inner Wheel Club of Lanao del Norte to Duka Bay Resort, **Partners_public** changed from PLGU, MLGU, Philippine Coast Guard, Phil Army, BFAR to Unknown, **Partners_private** changed from JCI Panguil Bay, AHAN AIKIDO to Unknown, **Partners_communities** changed from Bangaan Women's Assoc. to Unknown, **Reference** changed from News/Press Release to cbartazo (2018, January 23). Deluge at Duka Bay!. Life in the Great Beyond. https://cbartazo.com/tag/duka-bay/, **Website** changed from https://lanaodelnorte.gov.ph/2021/03/15/pgldn-show-support-to-s-a-g-o-p/ to https://cbartazo.com/tag/duka-bay/; https://www.scubaandtravel.com/2016/12/scuba-diving-and-travel-destination.html, **Contact_name** changed from Bulhing Montefalcon dela Cruz to Ernesto Pelaez, **Contact_details** changed from to 0917 794 2759</v>
      </c>
      <c r="I720" s="153" t="s">
        <v>7446</v>
      </c>
      <c r="J720" s="153" t="s">
        <v>171</v>
      </c>
      <c r="K720" s="153" t="s">
        <v>172</v>
      </c>
      <c r="L720" s="153" t="s">
        <v>173</v>
      </c>
      <c r="M720" s="181" t="s">
        <v>174</v>
      </c>
      <c r="N720" s="153" t="s">
        <v>151</v>
      </c>
      <c r="O720" s="158" t="s">
        <v>149</v>
      </c>
      <c r="P720" s="153" t="s">
        <v>7447</v>
      </c>
      <c r="Q720" s="169">
        <v>2017.0</v>
      </c>
      <c r="R720" s="160" t="s">
        <v>149</v>
      </c>
      <c r="S720" s="160" t="s">
        <v>149</v>
      </c>
      <c r="T720" s="161" t="s">
        <v>150</v>
      </c>
      <c r="U720" s="153">
        <f>IFERROR(__xludf.DUMMYFUNCTION("""COMPUTED_VALUE"""),692.0)</f>
        <v>692</v>
      </c>
      <c r="V720" s="162" t="s">
        <v>3311</v>
      </c>
      <c r="W720" s="179" t="s">
        <v>6032</v>
      </c>
      <c r="X720" s="28" t="s">
        <v>6033</v>
      </c>
      <c r="Y720" s="32" t="s">
        <v>2049</v>
      </c>
      <c r="Z720" s="158" t="s">
        <v>2758</v>
      </c>
      <c r="AA720" s="153" t="s">
        <v>2758</v>
      </c>
      <c r="AB720" s="158" t="s">
        <v>2751</v>
      </c>
      <c r="AC720" s="153" t="s">
        <v>2752</v>
      </c>
      <c r="AD720" s="158" t="s">
        <v>160</v>
      </c>
      <c r="AE720" s="158" t="s">
        <v>184</v>
      </c>
      <c r="AF720" s="158" t="s">
        <v>159</v>
      </c>
      <c r="AG720" s="164" t="s">
        <v>149</v>
      </c>
      <c r="AH720" s="158" t="s">
        <v>149</v>
      </c>
      <c r="AI720" s="158" t="s">
        <v>149</v>
      </c>
      <c r="AJ720" s="153" t="s">
        <v>2752</v>
      </c>
      <c r="AK720" s="158" t="s">
        <v>184</v>
      </c>
      <c r="AL720" s="154" t="s">
        <v>149</v>
      </c>
      <c r="AM720" s="154" t="s">
        <v>149</v>
      </c>
      <c r="AN720" s="154" t="s">
        <v>149</v>
      </c>
      <c r="AO720" s="156">
        <v>1.0</v>
      </c>
      <c r="AP720" s="156" t="s">
        <v>6037</v>
      </c>
      <c r="AQ720" s="158" t="s">
        <v>6091</v>
      </c>
      <c r="AR720" s="153" t="s">
        <v>2759</v>
      </c>
      <c r="AS720" s="153" t="s">
        <v>2760</v>
      </c>
      <c r="AT720" s="153" t="s">
        <v>188</v>
      </c>
      <c r="AU720" s="165" t="s">
        <v>1140</v>
      </c>
    </row>
    <row r="721">
      <c r="A721" s="186">
        <v>360.0</v>
      </c>
      <c r="B721" s="152">
        <v>2023.0</v>
      </c>
      <c r="D721" s="152"/>
      <c r="E721" s="151">
        <v>360.0</v>
      </c>
      <c r="F721" s="129" t="s">
        <v>140</v>
      </c>
      <c r="G721" s="3" t="s">
        <v>3279</v>
      </c>
      <c r="H721" s="8" t="str">
        <f>IFERROR(__xludf.DUMMYFUNCTION("""COMPUTED_VALUE"""),"")</f>
        <v/>
      </c>
      <c r="I721" s="8" t="s">
        <v>7448</v>
      </c>
      <c r="J721" s="8" t="s">
        <v>171</v>
      </c>
      <c r="K721" s="8" t="s">
        <v>600</v>
      </c>
      <c r="L721" s="8" t="s">
        <v>5481</v>
      </c>
      <c r="M721" s="8" t="s">
        <v>5482</v>
      </c>
      <c r="N721" s="8" t="s">
        <v>151</v>
      </c>
      <c r="O721" s="8" t="s">
        <v>7449</v>
      </c>
      <c r="Q721" s="142"/>
      <c r="R721" s="142" t="s">
        <v>6198</v>
      </c>
      <c r="S721" s="142" t="s">
        <v>7351</v>
      </c>
      <c r="U721" s="8">
        <f>IFERROR(__xludf.DUMMYFUNCTION("""COMPUTED_VALUE"""),693.0)</f>
        <v>693</v>
      </c>
      <c r="V721" s="8"/>
      <c r="W721" s="8"/>
      <c r="AC721" s="8" t="s">
        <v>1381</v>
      </c>
      <c r="AG721" s="142"/>
      <c r="AJ721" s="8" t="s">
        <v>660</v>
      </c>
      <c r="AL721" s="8" t="s">
        <v>369</v>
      </c>
      <c r="AO721" s="8"/>
      <c r="AP721" s="8"/>
    </row>
    <row r="722">
      <c r="A722" s="186">
        <v>361.0</v>
      </c>
      <c r="B722" s="152">
        <v>2025.0</v>
      </c>
      <c r="C722" s="153" t="str">
        <f>CONCATENATE(D722, "-", M722, "-", A722)
</f>
        <v>2023-PH104319000-361</v>
      </c>
      <c r="D722" s="152">
        <f>IF(OR(F721="Published", F721="Unpublished"), 2023, IF(F721="New", 2025, ""))
</f>
        <v>2023</v>
      </c>
      <c r="E722" s="151">
        <v>361.0</v>
      </c>
      <c r="F722" s="129" t="s">
        <v>140</v>
      </c>
      <c r="G722" s="156" t="s">
        <v>141</v>
      </c>
      <c r="H722" s="153" t="str">
        <f>IFERROR(__xludf.DUMMYFUNCTION("""COMPUTED_VALUE"""),"**Restoration_project** changed from Fisheries Sector Program to Shore It Up, **Restoration_project_short** changed from to *News report shows picture of divers conductingcoral planting, **Year of establishment** changed from to Unknown, **Project Start**"&amp;" changed from 1990 to 2018, **Project End** changed from 1993 to Unknown, **Restoration method** changed from Artificial Reef to Asexual Reproduction, **Technique/Material Type** changed from to Coral transplantation, **Restoration objective** changed fro"&amp;"m to Corporate social responsibility, **Funding agency** changed from ADB, Overseas Economic Cooperation Fund of Japan to Metro Pacific Investment Corporation, **Total funding** changed from to Unknown, **Total area of restoration** changed from to Unknow"&amp;"n, **Total units** changed from to Unknown, **Implementing institution** changed from DA to Metro Pacific Investments Foundation, **Partners_private** changed from to Unknown, **Partners_communities** changed from to Unknown, **Reference** changed from to"&amp;" Sta Maria, D. (2019, May 5). Shoring up Medina. PhilStar Global. https://www.philstar.com/other-sections/starweek-magazine/2019/05/05/1915171/shoring-medina, **Website** changed from to https://www.philstar.com/other-sections/starweek-magazine/2019/05/05"&amp;"/1915171/shoring-medina; https://businessmirror.com.ph/2017/04/23/shoring-up-marine-restoration/ , **Contact_name** changed from to Unknown, **Contact_details** changed from to Unknown")</f>
        <v>**Restoration_project** changed from Fisheries Sector Program to Shore It Up, **Restoration_project_short** changed from to *News report shows picture of divers conductingcoral planting, **Year of establishment** changed from to Unknown, **Project Start** changed from 1990 to 2018, **Project End** changed from 1993 to Unknown, **Restoration method** changed from Artificial Reef to Asexual Reproduction, **Technique/Material Type** changed from to Coral transplantation, **Restoration objective** changed from to Corporate social responsibility, **Funding agency** changed from ADB, Overseas Economic Cooperation Fund of Japan to Metro Pacific Investment Corporation, **Total funding** changed from to Unknown, **Total area of restoration** changed from to Unknown, **Total units** changed from to Unknown, **Implementing institution** changed from DA to Metro Pacific Investments Foundation, **Partners_private** changed from to Unknown, **Partners_communities** changed from to Unknown, **Reference** changed from to Sta Maria, D. (2019, May 5). Shoring up Medina. PhilStar Global. https://www.philstar.com/other-sections/starweek-magazine/2019/05/05/1915171/shoring-medina, **Website** changed from to https://www.philstar.com/other-sections/starweek-magazine/2019/05/05/1915171/shoring-medina; https://businessmirror.com.ph/2017/04/23/shoring-up-marine-restoration/ , **Contact_name** changed from to Unknown, **Contact_details** changed from to Unknown</v>
      </c>
      <c r="I722" s="153" t="s">
        <v>7450</v>
      </c>
      <c r="J722" s="153" t="s">
        <v>171</v>
      </c>
      <c r="K722" s="153" t="s">
        <v>172</v>
      </c>
      <c r="L722" s="153" t="s">
        <v>173</v>
      </c>
      <c r="M722" s="181" t="s">
        <v>174</v>
      </c>
      <c r="N722" s="153" t="s">
        <v>6062</v>
      </c>
      <c r="O722" s="153" t="s">
        <v>2081</v>
      </c>
      <c r="P722" s="158" t="s">
        <v>7451</v>
      </c>
      <c r="Q722" s="178" t="s">
        <v>149</v>
      </c>
      <c r="R722" s="160" t="s">
        <v>6098</v>
      </c>
      <c r="S722" s="160" t="s">
        <v>149</v>
      </c>
      <c r="T722" s="156" t="s">
        <v>177</v>
      </c>
      <c r="U722" s="153">
        <f>IFERROR(__xludf.DUMMYFUNCTION("""COMPUTED_VALUE"""),694.0)</f>
        <v>694</v>
      </c>
      <c r="V722" s="191" t="s">
        <v>3245</v>
      </c>
      <c r="W722" s="184" t="s">
        <v>149</v>
      </c>
      <c r="X722" s="180"/>
      <c r="Y722" s="180" t="s">
        <v>154</v>
      </c>
      <c r="Z722" s="158" t="s">
        <v>2092</v>
      </c>
      <c r="AA722" s="153" t="s">
        <v>179</v>
      </c>
      <c r="AB722" s="153" t="s">
        <v>286</v>
      </c>
      <c r="AC722" s="153" t="s">
        <v>2093</v>
      </c>
      <c r="AD722" s="158" t="s">
        <v>160</v>
      </c>
      <c r="AE722" s="158" t="s">
        <v>184</v>
      </c>
      <c r="AF722" s="158" t="s">
        <v>159</v>
      </c>
      <c r="AG722" s="164" t="s">
        <v>149</v>
      </c>
      <c r="AH722" s="158" t="s">
        <v>149</v>
      </c>
      <c r="AI722" s="158" t="s">
        <v>149</v>
      </c>
      <c r="AJ722" s="153" t="s">
        <v>2094</v>
      </c>
      <c r="AK722" s="158" t="s">
        <v>184</v>
      </c>
      <c r="AL722" s="153" t="s">
        <v>369</v>
      </c>
      <c r="AM722" s="154" t="s">
        <v>149</v>
      </c>
      <c r="AN722" s="154" t="s">
        <v>149</v>
      </c>
      <c r="AO722" s="156">
        <v>1.0</v>
      </c>
      <c r="AP722" s="156" t="s">
        <v>6037</v>
      </c>
      <c r="AQ722" s="158" t="s">
        <v>166</v>
      </c>
      <c r="AR722" s="153" t="s">
        <v>2095</v>
      </c>
      <c r="AS722" s="227" t="s">
        <v>7452</v>
      </c>
      <c r="AT722" s="156" t="s">
        <v>149</v>
      </c>
      <c r="AU722" s="156" t="s">
        <v>149</v>
      </c>
    </row>
    <row r="723">
      <c r="A723" s="186">
        <v>361.0</v>
      </c>
      <c r="B723" s="152">
        <v>2023.0</v>
      </c>
      <c r="D723" s="152"/>
      <c r="E723" s="151">
        <v>361.0</v>
      </c>
      <c r="F723" s="129" t="s">
        <v>140</v>
      </c>
      <c r="G723" s="3" t="s">
        <v>3279</v>
      </c>
      <c r="H723" s="8" t="str">
        <f>IFERROR(__xludf.DUMMYFUNCTION("""COMPUTED_VALUE"""),"")</f>
        <v/>
      </c>
      <c r="I723" s="8" t="s">
        <v>7453</v>
      </c>
      <c r="J723" s="8" t="s">
        <v>330</v>
      </c>
      <c r="K723" s="8" t="s">
        <v>2265</v>
      </c>
      <c r="L723" s="8" t="s">
        <v>1255</v>
      </c>
      <c r="M723" s="8" t="s">
        <v>2266</v>
      </c>
      <c r="N723" s="8" t="s">
        <v>151</v>
      </c>
      <c r="O723" s="8" t="s">
        <v>6587</v>
      </c>
      <c r="Q723" s="142"/>
      <c r="R723" s="142" t="s">
        <v>6151</v>
      </c>
      <c r="S723" s="142"/>
      <c r="U723" s="8">
        <f>IFERROR(__xludf.DUMMYFUNCTION("""COMPUTED_VALUE"""),695.0)</f>
        <v>695</v>
      </c>
      <c r="V723" s="8"/>
      <c r="W723" s="8"/>
      <c r="AC723" s="8" t="s">
        <v>341</v>
      </c>
      <c r="AG723" s="142"/>
      <c r="AJ723" s="8" t="s">
        <v>369</v>
      </c>
      <c r="AO723" s="8"/>
      <c r="AP723" s="8"/>
    </row>
    <row r="724">
      <c r="A724" s="186">
        <v>362.0</v>
      </c>
      <c r="B724" s="152">
        <v>2025.0</v>
      </c>
      <c r="C724" s="153" t="str">
        <f>CONCATENATE(D724, "-", M724, "-", A724)
</f>
        <v>2023-PH104319000-362</v>
      </c>
      <c r="D724" s="152">
        <f>IF(OR(F723="Published", F723="Unpublished"), 2023, IF(F723="New", 2025, ""))
</f>
        <v>2023</v>
      </c>
      <c r="E724" s="151">
        <v>362.0</v>
      </c>
      <c r="F724" s="129" t="s">
        <v>140</v>
      </c>
      <c r="G724" s="156" t="s">
        <v>141</v>
      </c>
      <c r="H724" s="153" t="str">
        <f>IFERROR(__xludf.DUMMYFUNCTION("""COMPUTED_VALUE"""),"**Region** changed from XI to X, **Restoration_project** changed from SCREMP to Acantasia Project, **Restoration_project_short** changed from to Site in Duka Bay, **Year of establishment** changed from to 2000, **Project Start** changed from 2012 to 2000,"&amp;" **Project End** changed from to Unknown, **Restoration method** changed from Artificial Reef to Asexual Reproduction, **Technique/Material Type** changed from to Coral transplantation, **Restoration objective** changed from to Environmental restoration a"&amp;"nd conservation, **Funding agency** changed from DENR to Duka Bay Resort Inc., **Total funding** changed from to Unknown, **Total area of restoration** changed from to Unknown, **Total units** changed from to Unknown, **Implementing institution** changed "&amp;"from MLGU to Duka Bay Resort Inc., **Partners_public** changed from to Unknown, **Partners_private** changed from to Ernesto Pelaez; Eduardo Yap, **Partners_communities** changed from to Unknown, **Reference** changed from to dela Cruz, R. (2006, April 24"&amp;"). Duka Bay: An ecological business paradigm. PhilStar Global. https://www.philstar.com/business/business-as-usual/2006/04/24/333050/duka-bay-ecological-business-paradigm, **Website** changed from to https://www.philstar.com/business/business-as-usual/200"&amp;"6/04/24/333050/duka-bay-ecological-business-paradigm, **Contact_name** changed from to Ernesto Pelaez, **Contact_details** changed from to 0917 794 2759")</f>
        <v>**Region** changed from XI to X, **Restoration_project** changed from SCREMP to Acantasia Project, **Restoration_project_short** changed from to Site in Duka Bay, **Year of establishment** changed from to 2000, **Project Start** changed from 2012 to 2000, **Project End** changed from to Unknown, **Restoration method** changed from Artificial Reef to Asexual Reproduction, **Technique/Material Type** changed from to Coral transplantation, **Restoration objective** changed from to Environmental restoration and conservation, **Funding agency** changed from DENR to Duka Bay Resort Inc., **Total funding** changed from to Unknown, **Total area of restoration** changed from to Unknown, **Total units** changed from to Unknown, **Implementing institution** changed from MLGU to Duka Bay Resort Inc., **Partners_public** changed from to Unknown, **Partners_private** changed from to Ernesto Pelaez; Eduardo Yap, **Partners_communities** changed from to Unknown, **Reference** changed from to dela Cruz, R. (2006, April 24). Duka Bay: An ecological business paradigm. PhilStar Global. https://www.philstar.com/business/business-as-usual/2006/04/24/333050/duka-bay-ecological-business-paradigm, **Website** changed from to https://www.philstar.com/business/business-as-usual/2006/04/24/333050/duka-bay-ecological-business-paradigm, **Contact_name** changed from to Ernesto Pelaez, **Contact_details** changed from to 0917 794 2759</v>
      </c>
      <c r="I724" s="153" t="s">
        <v>7454</v>
      </c>
      <c r="J724" s="153" t="s">
        <v>171</v>
      </c>
      <c r="K724" s="153" t="s">
        <v>172</v>
      </c>
      <c r="L724" s="153" t="s">
        <v>173</v>
      </c>
      <c r="M724" s="181" t="s">
        <v>174</v>
      </c>
      <c r="N724" s="153" t="s">
        <v>6062</v>
      </c>
      <c r="O724" s="153" t="s">
        <v>175</v>
      </c>
      <c r="P724" s="153" t="s">
        <v>7455</v>
      </c>
      <c r="Q724" s="169">
        <v>2000.0</v>
      </c>
      <c r="R724" s="160" t="s">
        <v>6211</v>
      </c>
      <c r="S724" s="160" t="s">
        <v>149</v>
      </c>
      <c r="T724" s="156" t="s">
        <v>177</v>
      </c>
      <c r="U724" s="153">
        <f>IFERROR(__xludf.DUMMYFUNCTION("""COMPUTED_VALUE"""),696.0)</f>
        <v>696</v>
      </c>
      <c r="V724" s="191" t="s">
        <v>3245</v>
      </c>
      <c r="W724" s="184" t="s">
        <v>149</v>
      </c>
      <c r="X724" s="180"/>
      <c r="Y724" s="180" t="s">
        <v>154</v>
      </c>
      <c r="Z724" s="158" t="s">
        <v>179</v>
      </c>
      <c r="AA724" s="153" t="s">
        <v>179</v>
      </c>
      <c r="AB724" s="158" t="s">
        <v>7456</v>
      </c>
      <c r="AC724" s="153" t="s">
        <v>183</v>
      </c>
      <c r="AD724" s="158" t="s">
        <v>160</v>
      </c>
      <c r="AE724" s="158" t="s">
        <v>184</v>
      </c>
      <c r="AF724" s="158" t="s">
        <v>159</v>
      </c>
      <c r="AG724" s="164" t="s">
        <v>149</v>
      </c>
      <c r="AH724" s="158" t="s">
        <v>149</v>
      </c>
      <c r="AI724" s="158" t="s">
        <v>149</v>
      </c>
      <c r="AJ724" s="153" t="s">
        <v>183</v>
      </c>
      <c r="AK724" s="158" t="s">
        <v>184</v>
      </c>
      <c r="AL724" s="154" t="s">
        <v>149</v>
      </c>
      <c r="AM724" s="153" t="s">
        <v>185</v>
      </c>
      <c r="AN724" s="156" t="s">
        <v>149</v>
      </c>
      <c r="AO724" s="156">
        <v>1.0</v>
      </c>
      <c r="AP724" s="156" t="s">
        <v>6037</v>
      </c>
      <c r="AQ724" s="158" t="s">
        <v>166</v>
      </c>
      <c r="AR724" s="153" t="s">
        <v>186</v>
      </c>
      <c r="AS724" s="172" t="s">
        <v>187</v>
      </c>
      <c r="AT724" s="153" t="s">
        <v>188</v>
      </c>
      <c r="AU724" s="165" t="s">
        <v>1140</v>
      </c>
    </row>
    <row r="725">
      <c r="A725" s="186">
        <v>362.0</v>
      </c>
      <c r="B725" s="152">
        <v>2023.0</v>
      </c>
      <c r="D725" s="152"/>
      <c r="E725" s="151">
        <v>362.0</v>
      </c>
      <c r="F725" s="129" t="s">
        <v>140</v>
      </c>
      <c r="G725" s="3" t="s">
        <v>6029</v>
      </c>
      <c r="H725" s="8" t="str">
        <f>IFERROR(__xludf.DUMMYFUNCTION("""COMPUTED_VALUE"""),"")</f>
        <v/>
      </c>
      <c r="I725" s="8" t="s">
        <v>7457</v>
      </c>
      <c r="J725" s="8" t="s">
        <v>330</v>
      </c>
      <c r="K725" s="8" t="s">
        <v>2265</v>
      </c>
      <c r="L725" s="8" t="s">
        <v>1255</v>
      </c>
      <c r="M725" s="8" t="s">
        <v>2266</v>
      </c>
      <c r="N725" s="8" t="s">
        <v>6062</v>
      </c>
      <c r="O725" s="153" t="s">
        <v>2267</v>
      </c>
      <c r="P725" s="8" t="s">
        <v>7458</v>
      </c>
      <c r="Q725" s="142" t="s">
        <v>18</v>
      </c>
      <c r="R725" s="3" t="s">
        <v>149</v>
      </c>
      <c r="S725" s="3" t="s">
        <v>149</v>
      </c>
      <c r="T725" s="8"/>
      <c r="U725" s="8">
        <f>IFERROR(__xludf.DUMMYFUNCTION("""COMPUTED_VALUE"""),697.0)</f>
        <v>697</v>
      </c>
      <c r="V725" s="8"/>
      <c r="W725" s="8"/>
      <c r="X725" s="8"/>
      <c r="Y725" s="8"/>
      <c r="AA725" s="8" t="s">
        <v>320</v>
      </c>
      <c r="AB725" s="3" t="s">
        <v>149</v>
      </c>
      <c r="AC725" s="8" t="s">
        <v>2271</v>
      </c>
      <c r="AG725" s="3" t="s">
        <v>149</v>
      </c>
      <c r="AH725" s="3" t="s">
        <v>149</v>
      </c>
      <c r="AI725" s="3" t="s">
        <v>149</v>
      </c>
      <c r="AJ725" s="8" t="s">
        <v>2271</v>
      </c>
      <c r="AL725" s="8" t="s">
        <v>7459</v>
      </c>
      <c r="AM725" s="8" t="s">
        <v>7460</v>
      </c>
      <c r="AN725" s="3" t="s">
        <v>149</v>
      </c>
      <c r="AO725" s="8"/>
      <c r="AP725" s="8"/>
      <c r="AR725" s="8" t="s">
        <v>166</v>
      </c>
      <c r="AS725" s="172" t="s">
        <v>7461</v>
      </c>
      <c r="AT725" s="3" t="s">
        <v>149</v>
      </c>
      <c r="AU725" s="3" t="s">
        <v>149</v>
      </c>
    </row>
    <row r="726">
      <c r="A726" s="186">
        <v>363.0</v>
      </c>
      <c r="B726" s="152">
        <v>2025.0</v>
      </c>
      <c r="C726" s="153" t="str">
        <f>CONCATENATE(D726, "-", M726, "-", A726)
</f>
        <v>2023-PH104319000-363</v>
      </c>
      <c r="D726" s="152">
        <f>IF(OR(F725="Published", F725="Unpublished"), 2023, IF(F725="New", 2025, ""))
</f>
        <v>2023</v>
      </c>
      <c r="E726" s="151">
        <v>363.0</v>
      </c>
      <c r="F726" s="129" t="s">
        <v>140</v>
      </c>
      <c r="G726" s="156" t="s">
        <v>141</v>
      </c>
      <c r="H726" s="153" t="str">
        <f>IFERROR(__xludf.DUMMYFUNCTION("""COMPUTED_VALUE"""),"**Region** changed from XI to X, **Restoration_project** changed from The Reef 35 to Duka Bay Carbon Cycle Laboratory, **Restoration_project_short** changed from Install 35 artificial reef frames to become structural foundation of transplanted coral fragm"&amp;"ents to Site inside Duka Bay MPA; First to use ""Large Coral Clones"" for outplanting; Involved the construction of and installation of concrete substrates seeded with large coral clones (LCCs)., **Year of establishment** changed from 2023 to Unknown, **R"&amp;"estoration method** changed from Asexual Reproduction to Asexual Reproduction; Artificial Reef, **Technique/Material Type** changed from CNU to Coral transplantation; Artificial Reef, **Restoration objective** changed from Unknown to Develop a transplanta"&amp;"ble coral technology, **Funding agency** changed from Davao Gulf Divers to Duka Bay Resort Inc., **Implementing institution** changed from Davao Gulf Divers to Duka Bay Resort Inc., **Partners_public** changed from DENR; Mabini Emergency Response Team; BF"&amp;"P to Unknown, **Partners_private** changed from Beach View Resort; Dusit Thani Lubi Plantation Resort; Ocean Bluex Freediving; The Trinity Project; Hijo Resorts Davao to Ernesto Pelaez; Eduardo Yap, **Reference** changed from News/Press Release to Sustain"&amp;"able coral nurseries ensure future of Philippine coral reefs (2011, May 28). Eco-Business. https://www.eco-business.com/news/sustainable-coral-nurseries-ensure-future-of-philippine-coral-reefs/, **Website** changed from https://r11.denr.gov.ph/index.php/n"&amp;"ews-events/regional-releases to https://www.eco-business.com/news/sustainable-coral-nurseries-ensure-future-of-philippine-coral-reefs/, **Contact_name** changed from Unknown to Ernesto Pelaez, **Contact_details** changed from Unknown to 0917 794 2759")</f>
        <v>**Region** changed from XI to X, **Restoration_project** changed from The Reef 35 to Duka Bay Carbon Cycle Laboratory, **Restoration_project_short** changed from Install 35 artificial reef frames to become structural foundation of transplanted coral fragments to Site inside Duka Bay MPA; First to use "Large Coral Clones" for outplanting; Involved the construction of and installation of concrete substrates seeded with large coral clones (LCCs)., **Year of establishment** changed from 2023 to Unknown, **Restoration method** changed from Asexual Reproduction to Asexual Reproduction; Artificial Reef, **Technique/Material Type** changed from CNU to Coral transplantation; Artificial Reef, **Restoration objective** changed from Unknown to Develop a transplantable coral technology, **Funding agency** changed from Davao Gulf Divers to Duka Bay Resort Inc., **Implementing institution** changed from Davao Gulf Divers to Duka Bay Resort Inc., **Partners_public** changed from DENR; Mabini Emergency Response Team; BFP to Unknown, **Partners_private** changed from Beach View Resort; Dusit Thani Lubi Plantation Resort; Ocean Bluex Freediving; The Trinity Project; Hijo Resorts Davao to Ernesto Pelaez; Eduardo Yap, **Reference** changed from News/Press Release to Sustainable coral nurseries ensure future of Philippine coral reefs (2011, May 28). Eco-Business. https://www.eco-business.com/news/sustainable-coral-nurseries-ensure-future-of-philippine-coral-reefs/, **Website** changed from https://r11.denr.gov.ph/index.php/news-events/regional-releases to https://www.eco-business.com/news/sustainable-coral-nurseries-ensure-future-of-philippine-coral-reefs/, **Contact_name** changed from Unknown to Ernesto Pelaez, **Contact_details** changed from Unknown to 0917 794 2759</v>
      </c>
      <c r="I726" s="153" t="s">
        <v>7462</v>
      </c>
      <c r="J726" s="153" t="s">
        <v>171</v>
      </c>
      <c r="K726" s="153" t="s">
        <v>172</v>
      </c>
      <c r="L726" s="153" t="s">
        <v>173</v>
      </c>
      <c r="M726" s="181" t="s">
        <v>174</v>
      </c>
      <c r="N726" s="153" t="s">
        <v>6814</v>
      </c>
      <c r="O726" s="153" t="s">
        <v>1132</v>
      </c>
      <c r="P726" s="153" t="s">
        <v>7463</v>
      </c>
      <c r="Q726" s="178" t="s">
        <v>149</v>
      </c>
      <c r="R726" s="160" t="s">
        <v>149</v>
      </c>
      <c r="S726" s="160" t="s">
        <v>149</v>
      </c>
      <c r="T726" s="156" t="s">
        <v>263</v>
      </c>
      <c r="U726" s="153">
        <f>IFERROR(__xludf.DUMMYFUNCTION("""COMPUTED_VALUE"""),698.0)</f>
        <v>698</v>
      </c>
      <c r="V726" s="191" t="s">
        <v>6625</v>
      </c>
      <c r="W726" s="187" t="s">
        <v>149</v>
      </c>
      <c r="X726" s="184"/>
      <c r="Y726" s="184" t="s">
        <v>149</v>
      </c>
      <c r="Z726" s="153" t="s">
        <v>1134</v>
      </c>
      <c r="AA726" s="158" t="s">
        <v>7185</v>
      </c>
      <c r="AB726" s="158" t="s">
        <v>1137</v>
      </c>
      <c r="AC726" s="153" t="s">
        <v>183</v>
      </c>
      <c r="AD726" s="158" t="s">
        <v>160</v>
      </c>
      <c r="AE726" s="158" t="s">
        <v>184</v>
      </c>
      <c r="AF726" s="158" t="s">
        <v>204</v>
      </c>
      <c r="AG726" s="164" t="s">
        <v>149</v>
      </c>
      <c r="AH726" s="158" t="s">
        <v>149</v>
      </c>
      <c r="AI726" s="158" t="s">
        <v>149</v>
      </c>
      <c r="AJ726" s="153" t="s">
        <v>183</v>
      </c>
      <c r="AK726" s="158" t="s">
        <v>184</v>
      </c>
      <c r="AL726" s="154" t="s">
        <v>149</v>
      </c>
      <c r="AM726" s="153" t="s">
        <v>185</v>
      </c>
      <c r="AN726" s="156" t="s">
        <v>149</v>
      </c>
      <c r="AO726" s="156">
        <v>2.0</v>
      </c>
      <c r="AP726" s="156" t="s">
        <v>6628</v>
      </c>
      <c r="AQ726" s="158" t="s">
        <v>6517</v>
      </c>
      <c r="AR726" s="153" t="s">
        <v>1138</v>
      </c>
      <c r="AS726" s="172" t="s">
        <v>1139</v>
      </c>
      <c r="AT726" s="153" t="s">
        <v>188</v>
      </c>
      <c r="AU726" s="165" t="s">
        <v>1140</v>
      </c>
    </row>
    <row r="727">
      <c r="A727" s="186">
        <v>363.0</v>
      </c>
      <c r="B727" s="152">
        <v>2023.0</v>
      </c>
      <c r="D727" s="152"/>
      <c r="E727" s="151">
        <v>363.0</v>
      </c>
      <c r="F727" s="129" t="s">
        <v>140</v>
      </c>
      <c r="G727" s="3" t="s">
        <v>6029</v>
      </c>
      <c r="H727" s="8" t="str">
        <f>IFERROR(__xludf.DUMMYFUNCTION("""COMPUTED_VALUE"""),"")</f>
        <v/>
      </c>
      <c r="I727" s="8" t="s">
        <v>7464</v>
      </c>
      <c r="J727" s="8" t="s">
        <v>330</v>
      </c>
      <c r="K727" s="8" t="s">
        <v>331</v>
      </c>
      <c r="L727" s="8" t="s">
        <v>3991</v>
      </c>
      <c r="M727" s="8" t="s">
        <v>981</v>
      </c>
      <c r="N727" s="8" t="s">
        <v>151</v>
      </c>
      <c r="O727" s="153" t="s">
        <v>1659</v>
      </c>
      <c r="P727" s="3" t="s">
        <v>149</v>
      </c>
      <c r="Q727" s="3" t="s">
        <v>149</v>
      </c>
      <c r="R727" s="142" t="s">
        <v>6198</v>
      </c>
      <c r="S727" s="142" t="s">
        <v>6896</v>
      </c>
      <c r="T727" s="8"/>
      <c r="U727" s="8">
        <f>IFERROR(__xludf.DUMMYFUNCTION("""COMPUTED_VALUE"""),699.0)</f>
        <v>699</v>
      </c>
      <c r="V727" s="8"/>
      <c r="W727" s="8"/>
      <c r="X727" s="8"/>
      <c r="Y727" s="8"/>
      <c r="AA727" s="8" t="s">
        <v>6897</v>
      </c>
      <c r="AB727" s="8" t="s">
        <v>1380</v>
      </c>
      <c r="AC727" s="8" t="s">
        <v>1663</v>
      </c>
      <c r="AG727" s="3" t="s">
        <v>149</v>
      </c>
      <c r="AH727" s="3" t="s">
        <v>149</v>
      </c>
      <c r="AI727" s="3" t="s">
        <v>149</v>
      </c>
      <c r="AJ727" s="8" t="s">
        <v>1663</v>
      </c>
      <c r="AL727" s="3" t="s">
        <v>149</v>
      </c>
      <c r="AM727" s="3" t="s">
        <v>149</v>
      </c>
      <c r="AN727" s="3" t="s">
        <v>149</v>
      </c>
      <c r="AO727" s="8"/>
      <c r="AP727" s="8"/>
      <c r="AR727" s="3" t="s">
        <v>149</v>
      </c>
      <c r="AS727" s="3" t="s">
        <v>149</v>
      </c>
      <c r="AT727" s="3" t="s">
        <v>149</v>
      </c>
      <c r="AU727" s="3" t="s">
        <v>149</v>
      </c>
    </row>
    <row r="728">
      <c r="A728" s="186">
        <v>364.0</v>
      </c>
      <c r="B728" s="152">
        <v>2025.0</v>
      </c>
      <c r="C728" s="153" t="str">
        <f>CONCATENATE(D728, "-", M728, "-", A728)
</f>
        <v>2023-PH104321000-364</v>
      </c>
      <c r="D728" s="152">
        <f>IF(OR(F727="Published", F727="Unpublished"), 2023, IF(F727="New", 2025, ""))
</f>
        <v>2023</v>
      </c>
      <c r="E728" s="151">
        <v>364.0</v>
      </c>
      <c r="F728" s="129" t="s">
        <v>140</v>
      </c>
      <c r="G728" s="156" t="s">
        <v>141</v>
      </c>
      <c r="H728" s="153" t="str">
        <f>IFERROR(__xludf.DUMMYFUNCTION("""COMPUTED_VALUE"""),"**Region** changed from XI to X, **Restoration_project** changed from National Coral Reef Management Conservation Program to Unknown, **Restoration_project_short** changed from Unknown to Mentioned the turning over of artificial reefs by JCI Macajalar 24K"&amp;", **Year of establishment** changed from Unknown to 2016, **Project Start** changed from 1990 to Unknown, **Project End** changed from 1992 to Unknown, **Technique/Material Type** changed from Tires, concrete to Unknown, **Restoration objective** changed "&amp;"from Fishing and rehabilitation to Unknown, **Funding agency** changed from PCAMRD to Unknown, **Implementing institution** changed from PCAMRD to Unknown, **Reference** changed from Unknown to Francisco, M. (2016, April 16-22). JCI Macajalar 24K honors w"&amp;"omen during JCI Week 2016. The Cagayan Times. https://issuu.com/sudaria_publications/docs/cdotimes_april_16-22__2016, **Website** changed from Unknown to https://issuu.com/sudaria_publications/docs/cdotimes_april_16-22__2016")</f>
        <v>**Region** changed from XI to X, **Restoration_project** changed from National Coral Reef Management Conservation Program to Unknown, **Restoration_project_short** changed from Unknown to Mentioned the turning over of artificial reefs by JCI Macajalar 24K, **Year of establishment** changed from Unknown to 2016, **Project Start** changed from 1990 to Unknown, **Project End** changed from 1992 to Unknown, **Technique/Material Type** changed from Tires, concrete to Unknown, **Restoration objective** changed from Fishing and rehabilitation to Unknown, **Funding agency** changed from PCAMRD to Unknown, **Implementing institution** changed from PCAMRD to Unknown, **Reference** changed from Unknown to Francisco, M. (2016, April 16-22). JCI Macajalar 24K honors women during JCI Week 2016. The Cagayan Times. https://issuu.com/sudaria_publications/docs/cdotimes_april_16-22__2016, **Website** changed from Unknown to https://issuu.com/sudaria_publications/docs/cdotimes_april_16-22__2016</v>
      </c>
      <c r="I728" s="153" t="s">
        <v>7465</v>
      </c>
      <c r="J728" s="153" t="s">
        <v>171</v>
      </c>
      <c r="K728" s="153" t="s">
        <v>172</v>
      </c>
      <c r="L728" s="153" t="s">
        <v>3173</v>
      </c>
      <c r="M728" s="181" t="s">
        <v>3174</v>
      </c>
      <c r="N728" s="153" t="s">
        <v>151</v>
      </c>
      <c r="O728" s="158" t="s">
        <v>149</v>
      </c>
      <c r="P728" s="153" t="s">
        <v>7402</v>
      </c>
      <c r="Q728" s="169">
        <v>2016.0</v>
      </c>
      <c r="R728" s="160" t="s">
        <v>149</v>
      </c>
      <c r="S728" s="160" t="s">
        <v>149</v>
      </c>
      <c r="T728" s="161" t="s">
        <v>150</v>
      </c>
      <c r="U728" s="153">
        <f>IFERROR(__xludf.DUMMYFUNCTION("""COMPUTED_VALUE"""),700.0)</f>
        <v>700</v>
      </c>
      <c r="V728" s="162" t="s">
        <v>3311</v>
      </c>
      <c r="W728" s="187" t="s">
        <v>149</v>
      </c>
      <c r="X728" s="184"/>
      <c r="Y728" s="184" t="s">
        <v>149</v>
      </c>
      <c r="Z728" s="158" t="s">
        <v>149</v>
      </c>
      <c r="AA728" s="158" t="s">
        <v>149</v>
      </c>
      <c r="AB728" s="158" t="s">
        <v>149</v>
      </c>
      <c r="AC728" s="158" t="s">
        <v>149</v>
      </c>
      <c r="AD728" s="158" t="s">
        <v>149</v>
      </c>
      <c r="AE728" s="158" t="s">
        <v>149</v>
      </c>
      <c r="AF728" s="158" t="s">
        <v>149</v>
      </c>
      <c r="AG728" s="164" t="s">
        <v>149</v>
      </c>
      <c r="AH728" s="158" t="s">
        <v>149</v>
      </c>
      <c r="AI728" s="158" t="s">
        <v>149</v>
      </c>
      <c r="AJ728" s="158" t="s">
        <v>149</v>
      </c>
      <c r="AK728" s="158" t="s">
        <v>149</v>
      </c>
      <c r="AL728" s="154" t="s">
        <v>149</v>
      </c>
      <c r="AM728" s="154" t="s">
        <v>149</v>
      </c>
      <c r="AN728" s="154" t="s">
        <v>149</v>
      </c>
      <c r="AO728" s="156">
        <v>1.0</v>
      </c>
      <c r="AP728" s="156" t="s">
        <v>6037</v>
      </c>
      <c r="AQ728" s="158" t="s">
        <v>166</v>
      </c>
      <c r="AR728" s="153" t="s">
        <v>3175</v>
      </c>
      <c r="AS728" s="165" t="s">
        <v>3176</v>
      </c>
      <c r="AT728" s="154" t="s">
        <v>149</v>
      </c>
      <c r="AU728" s="154" t="s">
        <v>149</v>
      </c>
    </row>
    <row r="729">
      <c r="A729" s="186">
        <v>364.0</v>
      </c>
      <c r="B729" s="152">
        <v>2023.0</v>
      </c>
      <c r="D729" s="152"/>
      <c r="E729" s="151">
        <v>364.0</v>
      </c>
      <c r="F729" s="129" t="s">
        <v>140</v>
      </c>
      <c r="G729" s="3" t="s">
        <v>6029</v>
      </c>
      <c r="H729" s="8" t="str">
        <f>IFERROR(__xludf.DUMMYFUNCTION("""COMPUTED_VALUE"""),"")</f>
        <v/>
      </c>
      <c r="I729" s="8" t="s">
        <v>7466</v>
      </c>
      <c r="J729" s="8" t="s">
        <v>330</v>
      </c>
      <c r="K729" s="8" t="s">
        <v>331</v>
      </c>
      <c r="L729" s="8" t="s">
        <v>3991</v>
      </c>
      <c r="M729" s="8" t="s">
        <v>981</v>
      </c>
      <c r="N729" s="8" t="s">
        <v>151</v>
      </c>
      <c r="O729" s="8" t="s">
        <v>2023</v>
      </c>
      <c r="P729" s="8" t="s">
        <v>7405</v>
      </c>
      <c r="Q729" s="142" t="s">
        <v>6151</v>
      </c>
      <c r="R729" s="3" t="s">
        <v>149</v>
      </c>
      <c r="S729" s="3" t="s">
        <v>149</v>
      </c>
      <c r="T729" s="8"/>
      <c r="U729" s="8">
        <f>IFERROR(__xludf.DUMMYFUNCTION("""COMPUTED_VALUE"""),701.0)</f>
        <v>701</v>
      </c>
      <c r="V729" s="8"/>
      <c r="W729" s="8"/>
      <c r="X729" s="8"/>
      <c r="Y729" s="8"/>
      <c r="AA729" s="8" t="s">
        <v>362</v>
      </c>
      <c r="AB729" s="3" t="s">
        <v>149</v>
      </c>
      <c r="AC729" s="8" t="s">
        <v>2059</v>
      </c>
      <c r="AG729" s="3" t="s">
        <v>149</v>
      </c>
      <c r="AH729" s="3" t="s">
        <v>149</v>
      </c>
      <c r="AI729" s="8" t="s">
        <v>2060</v>
      </c>
      <c r="AJ729" s="8" t="s">
        <v>2038</v>
      </c>
      <c r="AL729" s="3" t="s">
        <v>149</v>
      </c>
      <c r="AM729" s="8" t="s">
        <v>2061</v>
      </c>
      <c r="AN729" s="3" t="s">
        <v>149</v>
      </c>
      <c r="AO729" s="8"/>
      <c r="AP729" s="8"/>
      <c r="AR729" s="8" t="s">
        <v>6091</v>
      </c>
      <c r="AS729" s="172" t="s">
        <v>2063</v>
      </c>
      <c r="AT729" s="8" t="s">
        <v>2064</v>
      </c>
      <c r="AU729" s="3" t="s">
        <v>149</v>
      </c>
    </row>
    <row r="730">
      <c r="A730" s="186">
        <v>365.0</v>
      </c>
      <c r="B730" s="152">
        <v>2025.0</v>
      </c>
      <c r="C730" s="153" t="str">
        <f>CONCATENATE(D730, "-", M730, "-", A730)
</f>
        <v>2023-PH104326000-365</v>
      </c>
      <c r="D730" s="152">
        <f>IF(OR(F729="Published", F729="Unpublished"), 2023, IF(F729="New", 2025, ""))
</f>
        <v>2023</v>
      </c>
      <c r="E730" s="151">
        <v>365.0</v>
      </c>
      <c r="F730" s="156" t="s">
        <v>140</v>
      </c>
      <c r="G730" s="156" t="s">
        <v>141</v>
      </c>
      <c r="H730" s="153" t="str">
        <f>IFERROR(__xludf.DUMMYFUNCTION("""COMPUTED_VALUE"""),"**Region** changed from XI to X, **Year of establishment** changed from 2012 to 2015, **Restoration objective** changed from Unknown to Promote marine growth and rehabilitation of damaged corals, **Funding agency** changed from Phoenix Petroleum et al to "&amp;"JCI Manila; JCI Macajalar 24K, **Total units** changed from 50 domes to Unknown, **Implementing institution** changed from JCI Manila to JCI Manila; JCI Macajalar 24K, **Partners_public** changed from Unknown to MLGU, Macajalar Bay Development Alliance, *"&amp;"*Partners_private** changed from Pilipinas Ecowarriors; JCI Davao to Xavier University, Scuba de Oro, **Reference** changed from Blog to Roble, R. D., &amp; Pedroza, S. (2015). Artificial reef domes deployed in Villanueva. Pagtaob The Official Newsletter of t"&amp;"he McKeough Marine Center of Xavier University, 3(1). https://www.xu.edu.ph/images/publication/newsletters/pagtaob/documents/PAGTAOB_V3_I1.pdf, **Website** changed from http://allhonestreviews.blogspot.com/2012/08/launching-of-jci-manila-sea-of-life.html "&amp;"to https://www.xu.edu.ph/images/publication/newsletters/pagtaob/documents/PAGTAOB_V3_I1.pdf, **Contact_name** changed from Rodney Dizon to Unknown")</f>
        <v>**Region** changed from XI to X, **Year of establishment** changed from 2012 to 2015, **Restoration objective** changed from Unknown to Promote marine growth and rehabilitation of damaged corals, **Funding agency** changed from Phoenix Petroleum et al to JCI Manila; JCI Macajalar 24K, **Total units** changed from 50 domes to Unknown, **Implementing institution** changed from JCI Manila to JCI Manila; JCI Macajalar 24K, **Partners_public** changed from Unknown to MLGU, Macajalar Bay Development Alliance, **Partners_private** changed from Pilipinas Ecowarriors; JCI Davao to Xavier University, Scuba de Oro, **Reference** changed from Blog to Roble, R. D., &amp; Pedroza, S. (2015). Artificial reef domes deployed in Villanueva. Pagtaob The Official Newsletter of the McKeough Marine Center of Xavier University, 3(1). https://www.xu.edu.ph/images/publication/newsletters/pagtaob/documents/PAGTAOB_V3_I1.pdf, **Website** changed from http://allhonestreviews.blogspot.com/2012/08/launching-of-jci-manila-sea-of-life.html to https://www.xu.edu.ph/images/publication/newsletters/pagtaob/documents/PAGTAOB_V3_I1.pdf, **Contact_name** changed from Rodney Dizon to Unknown</v>
      </c>
      <c r="I730" s="153" t="s">
        <v>7467</v>
      </c>
      <c r="J730" s="153" t="s">
        <v>171</v>
      </c>
      <c r="K730" s="153" t="s">
        <v>172</v>
      </c>
      <c r="L730" s="153" t="s">
        <v>2021</v>
      </c>
      <c r="M730" s="181" t="s">
        <v>2022</v>
      </c>
      <c r="N730" s="153" t="s">
        <v>151</v>
      </c>
      <c r="O730" s="153" t="s">
        <v>2023</v>
      </c>
      <c r="P730" s="153" t="s">
        <v>7405</v>
      </c>
      <c r="Q730" s="169">
        <v>2015.0</v>
      </c>
      <c r="R730" s="160" t="s">
        <v>149</v>
      </c>
      <c r="S730" s="160" t="s">
        <v>149</v>
      </c>
      <c r="T730" s="161" t="s">
        <v>150</v>
      </c>
      <c r="U730" s="153">
        <f>IFERROR(__xludf.DUMMYFUNCTION("""COMPUTED_VALUE"""),702.0)</f>
        <v>702</v>
      </c>
      <c r="V730" s="162" t="s">
        <v>3311</v>
      </c>
      <c r="W730" s="179" t="s">
        <v>7468</v>
      </c>
      <c r="X730" s="28" t="s">
        <v>6082</v>
      </c>
      <c r="Y730" s="32" t="s">
        <v>7469</v>
      </c>
      <c r="Z730" s="158" t="s">
        <v>2025</v>
      </c>
      <c r="AA730" s="153" t="s">
        <v>362</v>
      </c>
      <c r="AB730" s="153" t="s">
        <v>2026</v>
      </c>
      <c r="AC730" s="153" t="s">
        <v>2027</v>
      </c>
      <c r="AD730" s="158" t="s">
        <v>160</v>
      </c>
      <c r="AE730" s="158" t="s">
        <v>184</v>
      </c>
      <c r="AF730" s="158" t="s">
        <v>159</v>
      </c>
      <c r="AG730" s="164" t="s">
        <v>149</v>
      </c>
      <c r="AH730" s="158" t="s">
        <v>149</v>
      </c>
      <c r="AI730" s="158" t="s">
        <v>149</v>
      </c>
      <c r="AJ730" s="153" t="s">
        <v>2027</v>
      </c>
      <c r="AK730" s="158" t="s">
        <v>271</v>
      </c>
      <c r="AL730" s="158" t="s">
        <v>7470</v>
      </c>
      <c r="AM730" s="158" t="s">
        <v>7471</v>
      </c>
      <c r="AN730" s="154" t="s">
        <v>149</v>
      </c>
      <c r="AO730" s="156">
        <v>1.0</v>
      </c>
      <c r="AP730" s="156" t="s">
        <v>6037</v>
      </c>
      <c r="AQ730" s="158" t="s">
        <v>166</v>
      </c>
      <c r="AR730" s="153" t="s">
        <v>2030</v>
      </c>
      <c r="AS730" s="165" t="s">
        <v>2031</v>
      </c>
      <c r="AT730" s="154" t="s">
        <v>149</v>
      </c>
      <c r="AU730" s="154" t="s">
        <v>149</v>
      </c>
    </row>
    <row r="731">
      <c r="A731" s="186">
        <v>365.0</v>
      </c>
      <c r="B731" s="152">
        <v>2023.0</v>
      </c>
      <c r="D731" s="152"/>
      <c r="E731" s="151">
        <v>365.0</v>
      </c>
      <c r="F731" s="129" t="s">
        <v>140</v>
      </c>
      <c r="G731" s="3" t="s">
        <v>3279</v>
      </c>
      <c r="H731" s="8" t="str">
        <f>IFERROR(__xludf.DUMMYFUNCTION("""COMPUTED_VALUE"""),"")</f>
        <v/>
      </c>
      <c r="I731" s="8" t="s">
        <v>7472</v>
      </c>
      <c r="J731" s="8" t="s">
        <v>330</v>
      </c>
      <c r="K731" s="8" t="s">
        <v>331</v>
      </c>
      <c r="L731" s="8" t="s">
        <v>3991</v>
      </c>
      <c r="M731" s="8" t="s">
        <v>981</v>
      </c>
      <c r="N731" s="8" t="s">
        <v>151</v>
      </c>
      <c r="O731" s="8" t="s">
        <v>6113</v>
      </c>
      <c r="P731" s="8" t="s">
        <v>7473</v>
      </c>
      <c r="Q731" s="142" t="s">
        <v>6113</v>
      </c>
      <c r="R731" s="142"/>
      <c r="S731" s="142"/>
      <c r="U731" s="8">
        <f>IFERROR(__xludf.DUMMYFUNCTION("""COMPUTED_VALUE"""),703.0)</f>
        <v>703</v>
      </c>
      <c r="V731" s="8"/>
      <c r="W731" s="8"/>
      <c r="AG731" s="142"/>
      <c r="AJ731" s="8" t="s">
        <v>369</v>
      </c>
      <c r="AL731" s="3" t="s">
        <v>149</v>
      </c>
      <c r="AO731" s="8"/>
      <c r="AP731" s="8"/>
    </row>
    <row r="732">
      <c r="A732" s="186">
        <v>366.0</v>
      </c>
      <c r="B732" s="152">
        <v>2023.0</v>
      </c>
      <c r="D732" s="152"/>
      <c r="E732" s="151">
        <v>366.0</v>
      </c>
      <c r="F732" s="129" t="s">
        <v>140</v>
      </c>
      <c r="G732" s="3" t="s">
        <v>6029</v>
      </c>
      <c r="H732" s="8" t="str">
        <f>IFERROR(__xludf.DUMMYFUNCTION("""COMPUTED_VALUE"""),"")</f>
        <v/>
      </c>
      <c r="I732" s="8" t="s">
        <v>7474</v>
      </c>
      <c r="J732" s="8" t="s">
        <v>330</v>
      </c>
      <c r="K732" s="8" t="s">
        <v>331</v>
      </c>
      <c r="L732" s="8" t="s">
        <v>3991</v>
      </c>
      <c r="M732" s="8" t="s">
        <v>981</v>
      </c>
      <c r="N732" s="8" t="s">
        <v>151</v>
      </c>
      <c r="O732" s="8" t="s">
        <v>989</v>
      </c>
      <c r="P732" s="3" t="s">
        <v>149</v>
      </c>
      <c r="Q732" s="142" t="s">
        <v>6273</v>
      </c>
      <c r="R732" s="3" t="s">
        <v>149</v>
      </c>
      <c r="S732" s="3" t="s">
        <v>149</v>
      </c>
      <c r="T732" s="8"/>
      <c r="U732" s="8">
        <f>IFERROR(__xludf.DUMMYFUNCTION("""COMPUTED_VALUE"""),704.0)</f>
        <v>704</v>
      </c>
      <c r="V732" s="8"/>
      <c r="W732" s="8"/>
      <c r="X732" s="8"/>
      <c r="Y732" s="8"/>
      <c r="AA732" s="8" t="s">
        <v>152</v>
      </c>
      <c r="AB732" s="3" t="s">
        <v>149</v>
      </c>
      <c r="AC732" s="8" t="s">
        <v>993</v>
      </c>
      <c r="AG732" s="3" t="s">
        <v>149</v>
      </c>
      <c r="AH732" s="3" t="s">
        <v>149</v>
      </c>
      <c r="AI732" s="3" t="s">
        <v>149</v>
      </c>
      <c r="AJ732" s="8" t="s">
        <v>994</v>
      </c>
      <c r="AL732" s="8" t="s">
        <v>369</v>
      </c>
      <c r="AM732" s="3" t="s">
        <v>149</v>
      </c>
      <c r="AN732" s="3" t="s">
        <v>149</v>
      </c>
      <c r="AO732" s="8"/>
      <c r="AP732" s="8"/>
      <c r="AR732" s="8" t="s">
        <v>6038</v>
      </c>
      <c r="AS732" s="8" t="s">
        <v>997</v>
      </c>
      <c r="AT732" s="3" t="s">
        <v>149</v>
      </c>
      <c r="AU732" s="3" t="s">
        <v>149</v>
      </c>
    </row>
    <row r="733">
      <c r="A733" s="186">
        <v>366.0</v>
      </c>
      <c r="B733" s="152">
        <v>2025.0</v>
      </c>
      <c r="C733" s="153" t="str">
        <f>CONCATENATE(D733, "-", M733, "-", A733)
</f>
        <v>2023-PH112317000-366</v>
      </c>
      <c r="D733" s="152">
        <f>IF(OR(F732="Published", F732="Unpublished"), 2023, IF(F732="New", 2025, ""))
</f>
        <v>2023</v>
      </c>
      <c r="E733" s="151">
        <v>366.0</v>
      </c>
      <c r="F733" s="129" t="s">
        <v>140</v>
      </c>
      <c r="G733" s="156" t="s">
        <v>141</v>
      </c>
      <c r="H733" s="153" t="str">
        <f>IFERROR(__xludf.DUMMYFUNCTION("""COMPUTED_VALUE"""),"**Restoration_project** changed from Coral Reef Preservation and Restoration to National Coral Reef Management Conservation Program, **Restoration_project_short** changed from Unknown to Project under the former PCAMRD, **Year of establishment** changed f"&amp;"rom 2019 to 1991, **Project Start** changed from Unknown to 1990, **Project End** changed from Unknown to 1992, **Technique/Material Type** changed from Concrete to Tires, concrete, **Restoration objective** changed from Unknown to Fishing and rehabilitat"&amp;"ion, **Funding agency** changed from Philippine Navy to DOST-PCAARRD, **Implementing institution** changed from Philippine Navy Naval Forces Eastern Mindanao to PCAMRD, **Partners_public** changed from MLGU to Unknown, **Reference** changed from Social Me"&amp;"dia to Balgos, M.C. (1995). Evaluation of artificial reef development in the Philippines. In Munro, J.L. &amp; Balgos, M. (eds.) Artificial reefs in the Philippines. ICLARM Conf. Proc. 49, pp. 6-22., **Website** changed from https://web.facebook.com/CMOUEM201"&amp;"8/posts/24-august-19-the-naval-forces-eastern-mindanao-nfem-civil-military-operations-un/1349837585154833/?_rdc=1&amp;_rdr to https://core.ac.uk/download/pdf/6515223.pdf;")</f>
        <v>**Restoration_project** changed from Coral Reef Preservation and Restoration to National Coral Reef Management Conservation Program, **Restoration_project_short** changed from Unknown to Project under the former PCAMRD, **Year of establishment** changed from 2019 to 1991, **Project Start** changed from Unknown to 1990, **Project End** changed from Unknown to 1992, **Technique/Material Type** changed from Concrete to Tires, concrete, **Restoration objective** changed from Unknown to Fishing and rehabilitation, **Funding agency** changed from Philippine Navy to DOST-PCAARRD, **Implementing institution** changed from Philippine Navy Naval Forces Eastern Mindanao to PCAMRD, **Partners_public** changed from MLGU to Unknown, **Reference** changed from Social Media to Balgos, M.C. (1995). Evaluation of artificial reef development in the Philippines. In Munro, J.L. &amp; Balgos, M. (eds.) Artificial reefs in the Philippines. ICLARM Conf. Proc. 49, pp. 6-22., **Website** changed from https://web.facebook.com/CMOUEM2018/posts/24-august-19-the-naval-forces-eastern-mindanao-nfem-civil-military-operations-un/1349837585154833/?_rdc=1&amp;_rdr to https://core.ac.uk/download/pdf/6515223.pdf;</v>
      </c>
      <c r="I733" s="153" t="s">
        <v>7475</v>
      </c>
      <c r="J733" s="153" t="s">
        <v>330</v>
      </c>
      <c r="K733" s="153" t="s">
        <v>331</v>
      </c>
      <c r="L733" s="153" t="s">
        <v>3991</v>
      </c>
      <c r="M733" s="181" t="s">
        <v>981</v>
      </c>
      <c r="N733" s="153" t="s">
        <v>151</v>
      </c>
      <c r="O733" s="153" t="s">
        <v>1659</v>
      </c>
      <c r="P733" s="158" t="s">
        <v>7476</v>
      </c>
      <c r="Q733" s="178">
        <v>1991.0</v>
      </c>
      <c r="R733" s="175" t="s">
        <v>6198</v>
      </c>
      <c r="S733" s="175" t="s">
        <v>6896</v>
      </c>
      <c r="T733" s="206" t="s">
        <v>150</v>
      </c>
      <c r="U733" s="153">
        <f>IFERROR(__xludf.DUMMYFUNCTION("""COMPUTED_VALUE"""),705.0)</f>
        <v>705</v>
      </c>
      <c r="V733" s="162" t="s">
        <v>3311</v>
      </c>
      <c r="W733" s="179" t="s">
        <v>6172</v>
      </c>
      <c r="X733" s="28" t="s">
        <v>6082</v>
      </c>
      <c r="Y733" s="32" t="s">
        <v>7477</v>
      </c>
      <c r="Z733" s="158" t="s">
        <v>7067</v>
      </c>
      <c r="AA733" s="153" t="s">
        <v>6897</v>
      </c>
      <c r="AB733" s="153" t="s">
        <v>1380</v>
      </c>
      <c r="AC733" s="158" t="s">
        <v>321</v>
      </c>
      <c r="AD733" s="158" t="s">
        <v>160</v>
      </c>
      <c r="AE733" s="158" t="s">
        <v>6035</v>
      </c>
      <c r="AF733" s="158" t="s">
        <v>159</v>
      </c>
      <c r="AG733" s="164" t="s">
        <v>149</v>
      </c>
      <c r="AH733" s="158" t="s">
        <v>149</v>
      </c>
      <c r="AI733" s="158" t="s">
        <v>149</v>
      </c>
      <c r="AJ733" s="153" t="s">
        <v>1663</v>
      </c>
      <c r="AK733" s="153" t="s">
        <v>6035</v>
      </c>
      <c r="AL733" s="3" t="s">
        <v>149</v>
      </c>
      <c r="AM733" s="3" t="s">
        <v>149</v>
      </c>
      <c r="AN733" s="3" t="s">
        <v>149</v>
      </c>
      <c r="AO733" s="156">
        <v>1.0</v>
      </c>
      <c r="AP733" s="156" t="s">
        <v>6037</v>
      </c>
      <c r="AQ733" s="158" t="s">
        <v>395</v>
      </c>
      <c r="AR733" s="153" t="s">
        <v>6060</v>
      </c>
      <c r="AS733" s="158" t="s">
        <v>6711</v>
      </c>
      <c r="AT733" s="156" t="s">
        <v>149</v>
      </c>
      <c r="AU733" s="156" t="s">
        <v>149</v>
      </c>
    </row>
    <row r="734">
      <c r="A734" s="186">
        <v>367.0</v>
      </c>
      <c r="B734" s="152">
        <v>2023.0</v>
      </c>
      <c r="D734" s="152"/>
      <c r="E734" s="151">
        <v>367.0</v>
      </c>
      <c r="F734" s="129" t="s">
        <v>140</v>
      </c>
      <c r="G734" s="3" t="s">
        <v>6029</v>
      </c>
      <c r="H734" s="8" t="str">
        <f>IFERROR(__xludf.DUMMYFUNCTION("""COMPUTED_VALUE"""),"")</f>
        <v/>
      </c>
      <c r="I734" s="8" t="s">
        <v>7478</v>
      </c>
      <c r="J734" s="8" t="s">
        <v>330</v>
      </c>
      <c r="K734" s="8" t="s">
        <v>331</v>
      </c>
      <c r="L734" s="8" t="s">
        <v>3991</v>
      </c>
      <c r="M734" s="8" t="s">
        <v>981</v>
      </c>
      <c r="N734" s="8" t="s">
        <v>6062</v>
      </c>
      <c r="O734" s="8" t="s">
        <v>7479</v>
      </c>
      <c r="P734" s="8" t="s">
        <v>7480</v>
      </c>
      <c r="Q734" s="3" t="s">
        <v>149</v>
      </c>
      <c r="R734" s="3" t="s">
        <v>149</v>
      </c>
      <c r="S734" s="3" t="s">
        <v>149</v>
      </c>
      <c r="T734" s="8"/>
      <c r="U734" s="8">
        <f>IFERROR(__xludf.DUMMYFUNCTION("""COMPUTED_VALUE"""),706.0)</f>
        <v>706</v>
      </c>
      <c r="V734" s="8"/>
      <c r="W734" s="8"/>
      <c r="X734" s="8"/>
      <c r="Y734" s="8"/>
      <c r="AA734" s="8" t="s">
        <v>6276</v>
      </c>
      <c r="AB734" s="3" t="s">
        <v>149</v>
      </c>
      <c r="AC734" s="3" t="s">
        <v>149</v>
      </c>
      <c r="AG734" s="3" t="s">
        <v>149</v>
      </c>
      <c r="AH734" s="3" t="s">
        <v>149</v>
      </c>
      <c r="AI734" s="3" t="s">
        <v>149</v>
      </c>
      <c r="AJ734" s="3" t="s">
        <v>149</v>
      </c>
      <c r="AL734" s="3" t="s">
        <v>149</v>
      </c>
      <c r="AM734" s="8" t="s">
        <v>2247</v>
      </c>
      <c r="AN734" s="8" t="s">
        <v>2248</v>
      </c>
      <c r="AO734" s="8"/>
      <c r="AP734" s="8"/>
      <c r="AR734" s="8" t="s">
        <v>6091</v>
      </c>
      <c r="AS734" s="172" t="s">
        <v>2250</v>
      </c>
      <c r="AT734" s="3" t="s">
        <v>149</v>
      </c>
      <c r="AU734" s="3" t="s">
        <v>149</v>
      </c>
    </row>
    <row r="735">
      <c r="A735" s="186">
        <v>367.0</v>
      </c>
      <c r="B735" s="152">
        <v>2025.0</v>
      </c>
      <c r="C735" s="153" t="str">
        <f>CONCATENATE(D735, "-", M735, "-", A735)
</f>
        <v>2023-PH112317000-367</v>
      </c>
      <c r="D735" s="152">
        <f>IF(OR(F734="Published", F734="Unpublished"), 2023, IF(F734="New", 2025, ""))
</f>
        <v>2023</v>
      </c>
      <c r="E735" s="151">
        <v>367.0</v>
      </c>
      <c r="F735" s="129" t="s">
        <v>140</v>
      </c>
      <c r="G735" s="156" t="s">
        <v>141</v>
      </c>
      <c r="H735" s="153" t="str">
        <f>IFERROR(__xludf.DUMMYFUNCTION("""COMPUTED_VALUE"""),"**Restoration_project** changed from The Coral Project to Sea of Life, **Restoration_project_short** changed from Coral Restoration Awareness and Livelihood (CORAL) to Site in Kamudmud MPA, **Year of establishment** changed from Unknown to 2012, **Restora"&amp;"tion method** changed from Asexual Reproduction to Artificial Reef, **Technique/Material Type** changed from Direct transplantation; to Domes, **Funding agency** changed from Unknown to Phoenix Petroleum et al, **Total units** changed from Unknown to 50 d"&amp;"omes, **Implementing institution** changed from Unknown to JCI Manila, **Partners_private** changed from Philippine Business for the Environment (PBE); Generose Tecson to Pilipinas Ecowarriors; JCI Davao, **Partners_communities** changed from Nagkahiusang"&amp;" Mangingisda sa Tagbaobo to Unknown, **Reference** changed from Blog to Launching of JCI Manila ""Sea of Life"" program (2012, August 24). All Honest Reviews of Sarah G. http://allhonestreviews.blogspot.com/2012/08/launching-of-jci-manila-sea-of-life.html"&amp;", **Website** changed from https://savethephilippinecoralreefs.wordpress.com/page/10/?controllername=search&amp;action=search&amp;channel=world&amp;search=1&amp;inlinelink=1&amp;query=-paul%20fong- to http://allhonestreviews.blogspot.com/2012/08/launching-of-jci-manila-sea-o"&amp;"f-life.html, **Contact_name** changed from Unknown to Rodney Dizon")</f>
        <v>**Restoration_project** changed from The Coral Project to Sea of Life, **Restoration_project_short** changed from Coral Restoration Awareness and Livelihood (CORAL) to Site in Kamudmud MPA, **Year of establishment** changed from Unknown to 2012, **Restoration method** changed from Asexual Reproduction to Artificial Reef, **Technique/Material Type** changed from Direct transplantation; to Domes, **Funding agency** changed from Unknown to Phoenix Petroleum et al, **Total units** changed from Unknown to 50 domes, **Implementing institution** changed from Unknown to JCI Manila, **Partners_private** changed from Philippine Business for the Environment (PBE); Generose Tecson to Pilipinas Ecowarriors; JCI Davao, **Partners_communities** changed from Nagkahiusang Mangingisda sa Tagbaobo to Unknown, **Reference** changed from Blog to Launching of JCI Manila "Sea of Life" program (2012, August 24). All Honest Reviews of Sarah G. http://allhonestreviews.blogspot.com/2012/08/launching-of-jci-manila-sea-of-life.html, **Website** changed from https://savethephilippinecoralreefs.wordpress.com/page/10/?controllername=search&amp;action=search&amp;channel=world&amp;search=1&amp;inlinelink=1&amp;query=-paul%20fong- to http://allhonestreviews.blogspot.com/2012/08/launching-of-jci-manila-sea-of-life.html, **Contact_name** changed from Unknown to Rodney Dizon</v>
      </c>
      <c r="I735" s="153" t="s">
        <v>7481</v>
      </c>
      <c r="J735" s="153" t="s">
        <v>330</v>
      </c>
      <c r="K735" s="153" t="s">
        <v>331</v>
      </c>
      <c r="L735" s="153" t="s">
        <v>3991</v>
      </c>
      <c r="M735" s="181" t="s">
        <v>981</v>
      </c>
      <c r="N735" s="153" t="s">
        <v>151</v>
      </c>
      <c r="O735" s="153" t="s">
        <v>2023</v>
      </c>
      <c r="P735" s="153" t="s">
        <v>2058</v>
      </c>
      <c r="Q735" s="169">
        <v>2012.0</v>
      </c>
      <c r="R735" s="160" t="s">
        <v>149</v>
      </c>
      <c r="S735" s="160" t="s">
        <v>149</v>
      </c>
      <c r="T735" s="206" t="s">
        <v>150</v>
      </c>
      <c r="U735" s="153">
        <f>IFERROR(__xludf.DUMMYFUNCTION("""COMPUTED_VALUE"""),707.0)</f>
        <v>707</v>
      </c>
      <c r="V735" s="162" t="s">
        <v>3311</v>
      </c>
      <c r="W735" s="179" t="s">
        <v>6032</v>
      </c>
      <c r="X735" s="28" t="s">
        <v>6173</v>
      </c>
      <c r="Y735" s="32" t="s">
        <v>361</v>
      </c>
      <c r="Z735" s="158" t="s">
        <v>362</v>
      </c>
      <c r="AA735" s="153" t="s">
        <v>362</v>
      </c>
      <c r="AB735" s="158" t="s">
        <v>149</v>
      </c>
      <c r="AC735" s="153" t="s">
        <v>2059</v>
      </c>
      <c r="AD735" s="158" t="s">
        <v>160</v>
      </c>
      <c r="AE735" s="158" t="s">
        <v>184</v>
      </c>
      <c r="AF735" s="158" t="s">
        <v>159</v>
      </c>
      <c r="AG735" s="164" t="s">
        <v>149</v>
      </c>
      <c r="AH735" s="158" t="s">
        <v>149</v>
      </c>
      <c r="AI735" s="153" t="s">
        <v>2060</v>
      </c>
      <c r="AJ735" s="153" t="s">
        <v>2038</v>
      </c>
      <c r="AK735" s="153" t="s">
        <v>271</v>
      </c>
      <c r="AL735" s="3" t="s">
        <v>149</v>
      </c>
      <c r="AM735" s="153" t="s">
        <v>2061</v>
      </c>
      <c r="AN735" s="3" t="s">
        <v>149</v>
      </c>
      <c r="AO735" s="156">
        <v>1.0</v>
      </c>
      <c r="AP735" s="156" t="s">
        <v>6037</v>
      </c>
      <c r="AQ735" s="158" t="s">
        <v>6091</v>
      </c>
      <c r="AR735" s="153" t="s">
        <v>2062</v>
      </c>
      <c r="AS735" s="165" t="s">
        <v>2063</v>
      </c>
      <c r="AT735" s="153" t="s">
        <v>2064</v>
      </c>
      <c r="AU735" s="3" t="s">
        <v>149</v>
      </c>
    </row>
    <row r="736">
      <c r="A736" s="186">
        <v>368.0</v>
      </c>
      <c r="B736" s="152">
        <v>2023.0</v>
      </c>
      <c r="D736" s="152"/>
      <c r="E736" s="151">
        <v>368.0</v>
      </c>
      <c r="F736" s="129" t="s">
        <v>140</v>
      </c>
      <c r="G736" s="3" t="s">
        <v>6029</v>
      </c>
      <c r="H736" s="8" t="str">
        <f>IFERROR(__xludf.DUMMYFUNCTION("""COMPUTED_VALUE"""),"")</f>
        <v/>
      </c>
      <c r="I736" s="8" t="s">
        <v>7482</v>
      </c>
      <c r="J736" s="8" t="s">
        <v>330</v>
      </c>
      <c r="K736" s="8" t="s">
        <v>331</v>
      </c>
      <c r="L736" s="8" t="s">
        <v>3991</v>
      </c>
      <c r="M736" s="8" t="s">
        <v>981</v>
      </c>
      <c r="N736" s="8" t="s">
        <v>6624</v>
      </c>
      <c r="O736" s="8" t="s">
        <v>6587</v>
      </c>
      <c r="P736" s="3" t="s">
        <v>149</v>
      </c>
      <c r="Q736" s="3" t="s">
        <v>149</v>
      </c>
      <c r="R736" s="142" t="s">
        <v>6151</v>
      </c>
      <c r="S736" s="3" t="s">
        <v>149</v>
      </c>
      <c r="T736" s="8"/>
      <c r="U736" s="8">
        <f>IFERROR(__xludf.DUMMYFUNCTION("""COMPUTED_VALUE"""),708.0)</f>
        <v>708</v>
      </c>
      <c r="V736" s="8"/>
      <c r="W736" s="8"/>
      <c r="X736" s="8"/>
      <c r="Y736" s="8"/>
      <c r="AA736" s="8" t="s">
        <v>2218</v>
      </c>
      <c r="AB736" s="3" t="s">
        <v>149</v>
      </c>
      <c r="AC736" s="8" t="s">
        <v>341</v>
      </c>
      <c r="AG736" s="3" t="s">
        <v>149</v>
      </c>
      <c r="AH736" s="3" t="s">
        <v>149</v>
      </c>
      <c r="AI736" s="3" t="s">
        <v>149</v>
      </c>
      <c r="AJ736" s="8" t="s">
        <v>341</v>
      </c>
      <c r="AL736" s="3" t="s">
        <v>149</v>
      </c>
      <c r="AM736" s="3" t="s">
        <v>149</v>
      </c>
      <c r="AN736" s="3" t="s">
        <v>149</v>
      </c>
      <c r="AO736" s="8"/>
      <c r="AP736" s="8"/>
      <c r="AR736" s="8" t="s">
        <v>166</v>
      </c>
      <c r="AS736" s="8" t="s">
        <v>2220</v>
      </c>
      <c r="AT736" s="3" t="s">
        <v>149</v>
      </c>
      <c r="AU736" s="3" t="s">
        <v>149</v>
      </c>
    </row>
    <row r="737">
      <c r="A737" s="186">
        <v>368.0</v>
      </c>
      <c r="B737" s="152">
        <v>2025.0</v>
      </c>
      <c r="C737" s="153" t="str">
        <f>CONCATENATE(D737, "-", M737, "-", A737)
</f>
        <v>2023-PH112317000-368</v>
      </c>
      <c r="D737" s="152">
        <f>IF(OR(F736="Published", F736="Unpublished"), 2023, IF(F736="New", 2025, ""))
</f>
        <v>2023</v>
      </c>
      <c r="E737" s="151">
        <v>368.0</v>
      </c>
      <c r="F737" s="129" t="s">
        <v>140</v>
      </c>
      <c r="G737" s="156" t="s">
        <v>141</v>
      </c>
      <c r="H737" s="153" t="str">
        <f>IFERROR(__xludf.DUMMYFUNCTION("""COMPUTED_VALUE"""),"**Restoration_project** changed from SCREMP to Coral Reef Preservation and Restoration, **Restoration_project_short** changed from Unknown to Site in Brgy Balet, **Year of establishment** changed from Unknown to 2019, **Project Start** changed from 2012 t"&amp;"o Unknown, **Restoration method** changed from Artificial Reef; Asexual Reproduction to Artificial Reef, **Technique/Material Type** changed from Modular frame; Coral transplantation to Concrete, **Restoration objective** changed from Unknown to Restore a"&amp;"nd improve marine life, **Funding agency** changed from DENR to Philippine Navy, **Implementing institution** changed from DENR to Philippine Navy Naval Forces Eastern Mindanao, **Partners_public** changed from Unknown to CLGU; Civil Military Operations U"&amp;"nit - Eastern Mindanao; Naval Special Operations Unit 7, **Reference** changed from News/Press Release to CMOU-Eastern Mindanao (2019, August 25). 24 August 19 - The Naval Forces Eastern Mindanao (NFEM), Civil Military Operations Unit-Eastern Mindanao (CM"&amp;"OU-EM), Naval Operations Unit-7 [Status Update] [Images Attached]. Facebook. https://web.facebook.com/CMOUEM2018/posts/24-august-19-the-naval-forces-eastern-mindanao-nfem-civil-military-operations-un/1349837585154833/?_rdc=1&amp;_rdr, **Website** changed from"&amp;" https://www.sunstar.com.ph/article/1837913/davao/local-news/denr-rehabilitates-3-hectares-of-coral-reef to https://web.facebook.com/CMOUEM2018/posts/24-august-19-the-naval-forces-eastern-mindanao-nfem-civil-military-operations-un/1349837585154833/?_rdc=1"&amp;"&amp;_rdr")</f>
        <v>**Restoration_project** changed from SCREMP to Coral Reef Preservation and Restoration, **Restoration_project_short** changed from Unknown to Site in Brgy Balet, **Year of establishment** changed from Unknown to 2019, **Project Start** changed from 2012 to Unknown, **Restoration method** changed from Artificial Reef; Asexual Reproduction to Artificial Reef, **Technique/Material Type** changed from Modular frame; Coral transplantation to Concrete, **Restoration objective** changed from Unknown to Restore and improve marine life, **Funding agency** changed from DENR to Philippine Navy, **Implementing institution** changed from DENR to Philippine Navy Naval Forces Eastern Mindanao, **Partners_public** changed from Unknown to CLGU; Civil Military Operations Unit - Eastern Mindanao; Naval Special Operations Unit 7, **Reference** changed from News/Press Release to CMOU-Eastern Mindanao (2019, August 25). 24 August 19 - The Naval Forces Eastern Mindanao (NFEM), Civil Military Operations Unit-Eastern Mindanao (CMOU-EM), Naval Operations Unit-7 [Status Update] [Images Attached]. Facebook. https://web.facebook.com/CMOUEM2018/posts/24-august-19-the-naval-forces-eastern-mindanao-nfem-civil-military-operations-un/1349837585154833/?_rdc=1&amp;_rdr, **Website** changed from https://www.sunstar.com.ph/article/1837913/davao/local-news/denr-rehabilitates-3-hectares-of-coral-reef to https://web.facebook.com/CMOUEM2018/posts/24-august-19-the-naval-forces-eastern-mindanao-nfem-civil-military-operations-un/1349837585154833/?_rdc=1&amp;_rdr</v>
      </c>
      <c r="I737" s="153" t="s">
        <v>7483</v>
      </c>
      <c r="J737" s="153" t="s">
        <v>330</v>
      </c>
      <c r="K737" s="153" t="s">
        <v>331</v>
      </c>
      <c r="L737" s="153" t="s">
        <v>3991</v>
      </c>
      <c r="M737" s="181" t="s">
        <v>981</v>
      </c>
      <c r="N737" s="153" t="s">
        <v>151</v>
      </c>
      <c r="O737" s="153" t="s">
        <v>989</v>
      </c>
      <c r="P737" s="158" t="s">
        <v>990</v>
      </c>
      <c r="Q737" s="169">
        <v>2019.0</v>
      </c>
      <c r="R737" s="160" t="s">
        <v>149</v>
      </c>
      <c r="S737" s="160" t="s">
        <v>149</v>
      </c>
      <c r="T737" s="206" t="s">
        <v>150</v>
      </c>
      <c r="U737" s="153">
        <f>IFERROR(__xludf.DUMMYFUNCTION("""COMPUTED_VALUE"""),709.0)</f>
        <v>709</v>
      </c>
      <c r="V737" s="162" t="s">
        <v>3311</v>
      </c>
      <c r="W737" s="179" t="s">
        <v>6032</v>
      </c>
      <c r="X737" s="28" t="s">
        <v>6173</v>
      </c>
      <c r="Y737" s="32" t="s">
        <v>361</v>
      </c>
      <c r="Z737" s="158" t="s">
        <v>991</v>
      </c>
      <c r="AA737" s="153" t="s">
        <v>152</v>
      </c>
      <c r="AB737" s="158" t="s">
        <v>992</v>
      </c>
      <c r="AC737" s="153" t="s">
        <v>993</v>
      </c>
      <c r="AD737" s="158" t="s">
        <v>160</v>
      </c>
      <c r="AE737" s="158" t="s">
        <v>6035</v>
      </c>
      <c r="AF737" s="158" t="s">
        <v>159</v>
      </c>
      <c r="AG737" s="164" t="s">
        <v>149</v>
      </c>
      <c r="AH737" s="158" t="s">
        <v>149</v>
      </c>
      <c r="AI737" s="158" t="s">
        <v>149</v>
      </c>
      <c r="AJ737" s="153" t="s">
        <v>994</v>
      </c>
      <c r="AK737" s="153" t="s">
        <v>6035</v>
      </c>
      <c r="AL737" s="153" t="s">
        <v>7484</v>
      </c>
      <c r="AM737" s="3" t="s">
        <v>149</v>
      </c>
      <c r="AN737" s="3" t="s">
        <v>149</v>
      </c>
      <c r="AO737" s="156">
        <v>1.0</v>
      </c>
      <c r="AP737" s="156" t="s">
        <v>6037</v>
      </c>
      <c r="AQ737" s="153" t="s">
        <v>6038</v>
      </c>
      <c r="AR737" s="153" t="s">
        <v>7485</v>
      </c>
      <c r="AS737" s="165" t="s">
        <v>997</v>
      </c>
      <c r="AT737" s="3" t="s">
        <v>149</v>
      </c>
      <c r="AU737" s="3" t="s">
        <v>149</v>
      </c>
    </row>
    <row r="738">
      <c r="A738" s="186">
        <v>369.0</v>
      </c>
      <c r="B738" s="152">
        <v>2023.0</v>
      </c>
      <c r="D738" s="152"/>
      <c r="E738" s="151">
        <v>369.0</v>
      </c>
      <c r="F738" s="129" t="s">
        <v>140</v>
      </c>
      <c r="G738" s="3" t="s">
        <v>6029</v>
      </c>
      <c r="H738" s="8" t="str">
        <f>IFERROR(__xludf.DUMMYFUNCTION("""COMPUTED_VALUE"""),"")</f>
        <v/>
      </c>
      <c r="I738" s="8" t="s">
        <v>7486</v>
      </c>
      <c r="J738" s="8" t="s">
        <v>330</v>
      </c>
      <c r="K738" s="8" t="s">
        <v>331</v>
      </c>
      <c r="L738" s="8" t="s">
        <v>3991</v>
      </c>
      <c r="M738" s="8" t="s">
        <v>981</v>
      </c>
      <c r="N738" s="8" t="s">
        <v>151</v>
      </c>
      <c r="O738" s="3" t="s">
        <v>149</v>
      </c>
      <c r="P738" s="3" t="s">
        <v>149</v>
      </c>
      <c r="Q738" s="142" t="s">
        <v>6030</v>
      </c>
      <c r="R738" s="3" t="s">
        <v>149</v>
      </c>
      <c r="S738" s="3" t="s">
        <v>149</v>
      </c>
      <c r="T738" s="8"/>
      <c r="U738" s="8">
        <f>IFERROR(__xludf.DUMMYFUNCTION("""COMPUTED_VALUE"""),710.0)</f>
        <v>710</v>
      </c>
      <c r="V738" s="8"/>
      <c r="W738" s="8"/>
      <c r="X738" s="8"/>
      <c r="Y738" s="8"/>
      <c r="AA738" s="8" t="s">
        <v>7487</v>
      </c>
      <c r="AB738" s="8" t="s">
        <v>2751</v>
      </c>
      <c r="AC738" s="8" t="s">
        <v>2765</v>
      </c>
      <c r="AG738" s="3" t="s">
        <v>149</v>
      </c>
      <c r="AH738" s="3" t="s">
        <v>149</v>
      </c>
      <c r="AI738" s="3" t="s">
        <v>149</v>
      </c>
      <c r="AJ738" s="8" t="s">
        <v>2765</v>
      </c>
      <c r="AL738" s="3" t="s">
        <v>149</v>
      </c>
      <c r="AM738" s="3" t="s">
        <v>149</v>
      </c>
      <c r="AN738" s="3" t="s">
        <v>149</v>
      </c>
      <c r="AO738" s="8"/>
      <c r="AP738" s="8"/>
      <c r="AR738" s="8" t="s">
        <v>166</v>
      </c>
      <c r="AS738" s="172" t="s">
        <v>2767</v>
      </c>
      <c r="AT738" s="3" t="s">
        <v>149</v>
      </c>
      <c r="AU738" s="3" t="s">
        <v>149</v>
      </c>
    </row>
    <row r="739">
      <c r="A739" s="186">
        <v>369.0</v>
      </c>
      <c r="B739" s="152">
        <v>2025.0</v>
      </c>
      <c r="C739" s="153" t="str">
        <f>CONCATENATE(D739, "-", M739, "-", A739)
</f>
        <v>2023-PH112317000-369</v>
      </c>
      <c r="D739" s="152">
        <f>IF(OR(F738="Published", F738="Unpublished"), 2023, IF(F738="New", 2025, ""))
</f>
        <v>2023</v>
      </c>
      <c r="E739" s="151">
        <v>369.0</v>
      </c>
      <c r="F739" s="129" t="s">
        <v>140</v>
      </c>
      <c r="G739" s="156" t="s">
        <v>141</v>
      </c>
      <c r="H739" s="153" t="str">
        <f>IFERROR(__xludf.DUMMYFUNCTION("""COMPUTED_VALUE"""),"**Restoration_project** changed from Unknown to The Coral Project; Coral Restoration Awareness and Livelihood (CORAL), **Restoration_project_short** changed from Unknown to Site in Brgy Tagbaobo; coral planting inside a no-take sanctuary, **Year of establ"&amp;"ishment** changed from 2021 to Unknown, **Restoration method** changed from Artificial Reef to Asexual Reproduction, **Technique/Material Type** changed from Plane to Direct transplantation; , **Restoration objective** changed from Tourism to Reef restora"&amp;"tion, **Funding agency** changed from Pearl Farm Resort to Unknown, **Implementing institution** changed from Pearl Farm Resort to Unknown, **Partners_private** changed from Unknown to Philippine Business for the Environment (PBE); Generose Tecson, **Part"&amp;"ners_communities** changed from Unknown to Nagkahiusang Mangingisda sa Tagbaobo, **Reference** changed from News/Press Release to Estremera, S. (2012, October 7). Coral Restoration Awareness and Livelihood - in the Island Garden City of Samal. Save the Ph"&amp;"ilippine Coral Reefs. https://savethephilippinecoralreefs.wordpress.com/page/10/?controllername=search&amp;action=search&amp;channel=world&amp;search=1&amp;inlinelink=1&amp;query=-paul%20fong-, **Website** changed from https://philippinemorningpost.com/underwater-experience-"&amp;"in-samal-island/ to https://savethephilippinecoralreefs.wordpress.com/page/10/?controllername=search&amp;action=search&amp;channel=world&amp;search=1&amp;inlinelink=1&amp;query=-paul%20fong-")</f>
        <v>**Restoration_project** changed from Unknown to The Coral Project; Coral Restoration Awareness and Livelihood (CORAL), **Restoration_project_short** changed from Unknown to Site in Brgy Tagbaobo; coral planting inside a no-take sanctuary, **Year of establishment** changed from 2021 to Unknown, **Restoration method** changed from Artificial Reef to Asexual Reproduction, **Technique/Material Type** changed from Plane to Direct transplantation; , **Restoration objective** changed from Tourism to Reef restoration, **Funding agency** changed from Pearl Farm Resort to Unknown, **Implementing institution** changed from Pearl Farm Resort to Unknown, **Partners_private** changed from Unknown to Philippine Business for the Environment (PBE); Generose Tecson, **Partners_communities** changed from Unknown to Nagkahiusang Mangingisda sa Tagbaobo, **Reference** changed from News/Press Release to Estremera, S. (2012, October 7). Coral Restoration Awareness and Livelihood - in the Island Garden City of Samal. Save the Philippine Coral Reefs. https://savethephilippinecoralreefs.wordpress.com/page/10/?controllername=search&amp;action=search&amp;channel=world&amp;search=1&amp;inlinelink=1&amp;query=-paul%20fong-, **Website** changed from https://philippinemorningpost.com/underwater-experience-in-samal-island/ to https://savethephilippinecoralreefs.wordpress.com/page/10/?controllername=search&amp;action=search&amp;channel=world&amp;search=1&amp;inlinelink=1&amp;query=-paul%20fong-</v>
      </c>
      <c r="I739" s="153" t="s">
        <v>7488</v>
      </c>
      <c r="J739" s="153" t="s">
        <v>330</v>
      </c>
      <c r="K739" s="153" t="s">
        <v>331</v>
      </c>
      <c r="L739" s="153" t="s">
        <v>3991</v>
      </c>
      <c r="M739" s="181" t="s">
        <v>981</v>
      </c>
      <c r="N739" s="153" t="s">
        <v>6062</v>
      </c>
      <c r="O739" s="153" t="s">
        <v>2244</v>
      </c>
      <c r="P739" s="153" t="s">
        <v>7489</v>
      </c>
      <c r="Q739" s="178" t="s">
        <v>149</v>
      </c>
      <c r="R739" s="160" t="s">
        <v>149</v>
      </c>
      <c r="S739" s="160" t="s">
        <v>149</v>
      </c>
      <c r="T739" s="156" t="s">
        <v>177</v>
      </c>
      <c r="U739" s="153">
        <f>IFERROR(__xludf.DUMMYFUNCTION("""COMPUTED_VALUE"""),711.0)</f>
        <v>711</v>
      </c>
      <c r="V739" s="191" t="s">
        <v>3245</v>
      </c>
      <c r="W739" s="179" t="s">
        <v>149</v>
      </c>
      <c r="X739" s="180"/>
      <c r="Y739" s="180" t="s">
        <v>154</v>
      </c>
      <c r="Z739" s="158" t="s">
        <v>2246</v>
      </c>
      <c r="AA739" s="153" t="s">
        <v>6276</v>
      </c>
      <c r="AB739" s="158" t="s">
        <v>202</v>
      </c>
      <c r="AC739" s="158" t="s">
        <v>149</v>
      </c>
      <c r="AD739" s="158" t="s">
        <v>149</v>
      </c>
      <c r="AE739" s="158" t="s">
        <v>149</v>
      </c>
      <c r="AF739" s="158" t="s">
        <v>159</v>
      </c>
      <c r="AG739" s="164" t="s">
        <v>149</v>
      </c>
      <c r="AH739" s="158" t="s">
        <v>149</v>
      </c>
      <c r="AI739" s="158" t="s">
        <v>149</v>
      </c>
      <c r="AJ739" s="158" t="s">
        <v>149</v>
      </c>
      <c r="AK739" s="158" t="s">
        <v>149</v>
      </c>
      <c r="AL739" s="3" t="s">
        <v>149</v>
      </c>
      <c r="AM739" s="153" t="s">
        <v>2247</v>
      </c>
      <c r="AN739" s="153" t="s">
        <v>2248</v>
      </c>
      <c r="AO739" s="156">
        <v>1.0</v>
      </c>
      <c r="AP739" s="156" t="s">
        <v>6037</v>
      </c>
      <c r="AQ739" s="158" t="s">
        <v>6091</v>
      </c>
      <c r="AR739" s="153" t="s">
        <v>2249</v>
      </c>
      <c r="AS739" s="165" t="s">
        <v>2250</v>
      </c>
      <c r="AT739" s="3" t="s">
        <v>149</v>
      </c>
      <c r="AU739" s="3" t="s">
        <v>149</v>
      </c>
    </row>
    <row r="740">
      <c r="A740" s="186">
        <v>370.0</v>
      </c>
      <c r="B740" s="152">
        <v>2023.0</v>
      </c>
      <c r="D740" s="152"/>
      <c r="E740" s="151">
        <v>370.0</v>
      </c>
      <c r="F740" s="129" t="s">
        <v>140</v>
      </c>
      <c r="G740" s="3" t="s">
        <v>6029</v>
      </c>
      <c r="H740" s="8" t="str">
        <f>IFERROR(__xludf.DUMMYFUNCTION("""COMPUTED_VALUE"""),"")</f>
        <v/>
      </c>
      <c r="I740" s="8" t="s">
        <v>7490</v>
      </c>
      <c r="J740" s="8" t="s">
        <v>330</v>
      </c>
      <c r="K740" s="8" t="s">
        <v>331</v>
      </c>
      <c r="L740" s="8" t="s">
        <v>3991</v>
      </c>
      <c r="M740" s="8" t="s">
        <v>981</v>
      </c>
      <c r="N740" s="8" t="s">
        <v>151</v>
      </c>
      <c r="O740" s="3" t="s">
        <v>149</v>
      </c>
      <c r="P740" s="3" t="s">
        <v>149</v>
      </c>
      <c r="Q740" s="142" t="s">
        <v>6145</v>
      </c>
      <c r="R740" s="3" t="s">
        <v>149</v>
      </c>
      <c r="S740" s="3" t="s">
        <v>149</v>
      </c>
      <c r="T740" s="8"/>
      <c r="U740" s="8">
        <f>IFERROR(__xludf.DUMMYFUNCTION("""COMPUTED_VALUE"""),712.0)</f>
        <v>712</v>
      </c>
      <c r="V740" s="8"/>
      <c r="W740" s="3"/>
      <c r="X740" s="8"/>
      <c r="Y740" s="8"/>
      <c r="AA740" s="3" t="s">
        <v>149</v>
      </c>
      <c r="AB740" s="8" t="s">
        <v>779</v>
      </c>
      <c r="AC740" s="8" t="s">
        <v>2520</v>
      </c>
      <c r="AG740" s="3" t="s">
        <v>149</v>
      </c>
      <c r="AH740" s="3" t="s">
        <v>149</v>
      </c>
      <c r="AI740" s="3" t="s">
        <v>149</v>
      </c>
      <c r="AJ740" s="8" t="s">
        <v>2522</v>
      </c>
      <c r="AL740" s="8" t="s">
        <v>3048</v>
      </c>
      <c r="AM740" s="8" t="s">
        <v>7491</v>
      </c>
      <c r="AN740" s="3" t="s">
        <v>149</v>
      </c>
      <c r="AO740" s="8"/>
      <c r="AP740" s="8"/>
      <c r="AR740" s="8" t="s">
        <v>166</v>
      </c>
      <c r="AS740" s="8" t="s">
        <v>7492</v>
      </c>
      <c r="AT740" s="8" t="s">
        <v>7493</v>
      </c>
      <c r="AU740" s="3" t="s">
        <v>149</v>
      </c>
    </row>
    <row r="741">
      <c r="A741" s="186">
        <v>370.0</v>
      </c>
      <c r="B741" s="152">
        <v>2025.0</v>
      </c>
      <c r="C741" s="153" t="str">
        <f>CONCATENATE(D741, "-", M741, "-", A741)
</f>
        <v>2023-PH112317000-370</v>
      </c>
      <c r="D741" s="152">
        <f>IF(OR(F740="Published", F740="Unpublished"), 2023, IF(F740="New", 2025, ""))
</f>
        <v>2023</v>
      </c>
      <c r="E741" s="151">
        <v>370.0</v>
      </c>
      <c r="F741" s="129" t="s">
        <v>140</v>
      </c>
      <c r="G741" s="156" t="s">
        <v>141</v>
      </c>
      <c r="H741" s="153" t="str">
        <f>IFERROR(__xludf.DUMMYFUNCTION("""COMPUTED_VALUE"""),"**Restoration_project** changed from Unknown to SCREMP, **Restoration_project_short** changed from Unknown to Whole project covered Pujada Bay Landscape and Seascape (Davao Oriental), Mabini Landscape and Seascape (Davao de Oro) and IGACOS, **Year of esta"&amp;"blishment** changed from 2022 to 2012, **Project Start** changed from Unknown to 2012, **Restoration method** changed from Artificial Reef to Artificial Reef; Asexual Reproduction, **Technique/Material Type** changed from Unknown to Modular frame; Coral t"&amp;"ransplantation, **Restoration objective** changed from Habitat for fish species; fish production to Unknown, **Funding agency** changed from LYR Group of Companies to DENR, **Total area of restoration** changed from Unknown to 3 ha for 3 sites, **Implemen"&amp;"ting institution** changed from LYR Resort to DENR, **Partners_public** changed from CLGU; Philippine Coast Guard to Unknown, **Partners_private** changed from Rotary Club of Tagum; to Unknown, **Reference** changed from News/Press Release to Llemit, R. L"&amp;". (2019, Dec. 28). DENR rehabilitates 3 hectares of coral reef. SunStar Davao. https://www.sunstar.com.ph/article/1837913/davao/local-news/denr-rehabilitates-3-hectares-of-coral-reef, **Website** changed from https://mindanao.politics.com.ph/artificial-re"&amp;"efs-to-be-installed-in-samal-island-waters/; https://web.facebook.com/cgs.igacos/posts/pfbid0o1Pr1n877hcQS3bWp9eiPnMsVcMwKEjXnSYkgKQVbuJVEF6KGgha7NPtkJeWfThZl to https://www.sunstar.com.ph/article/1837913/davao/local-news/denr-rehabilitates-3-hectares-of-"&amp;"coral-reef, **Contact_name** changed from Lorenzo Rubinos Jr. to Unknown")</f>
        <v>**Restoration_project** changed from Unknown to SCREMP, **Restoration_project_short** changed from Unknown to Whole project covered Pujada Bay Landscape and Seascape (Davao Oriental), Mabini Landscape and Seascape (Davao de Oro) and IGACOS, **Year of establishment** changed from 2022 to 2012, **Project Start** changed from Unknown to 2012, **Restoration method** changed from Artificial Reef to Artificial Reef; Asexual Reproduction, **Technique/Material Type** changed from Unknown to Modular frame; Coral transplantation, **Restoration objective** changed from Habitat for fish species; fish production to Unknown, **Funding agency** changed from LYR Group of Companies to DENR, **Total area of restoration** changed from Unknown to 3 ha for 3 sites, **Implementing institution** changed from LYR Resort to DENR, **Partners_public** changed from CLGU; Philippine Coast Guard to Unknown, **Partners_private** changed from Rotary Club of Tagum; to Unknown, **Reference** changed from News/Press Release to Llemit, R. L. (2019, Dec. 28). DENR rehabilitates 3 hectares of coral reef. SunStar Davao. https://www.sunstar.com.ph/article/1837913/davao/local-news/denr-rehabilitates-3-hectares-of-coral-reef, **Website** changed from https://mindanao.politics.com.ph/artificial-reefs-to-be-installed-in-samal-island-waters/; https://web.facebook.com/cgs.igacos/posts/pfbid0o1Pr1n877hcQS3bWp9eiPnMsVcMwKEjXnSYkgKQVbuJVEF6KGgha7NPtkJeWfThZl to https://www.sunstar.com.ph/article/1837913/davao/local-news/denr-rehabilitates-3-hectares-of-coral-reef, **Contact_name** changed from Lorenzo Rubinos Jr. to Unknown</v>
      </c>
      <c r="I741" s="153" t="s">
        <v>7494</v>
      </c>
      <c r="J741" s="153" t="s">
        <v>330</v>
      </c>
      <c r="K741" s="153" t="s">
        <v>331</v>
      </c>
      <c r="L741" s="153" t="s">
        <v>3991</v>
      </c>
      <c r="M741" s="181" t="s">
        <v>981</v>
      </c>
      <c r="N741" s="153" t="s">
        <v>6624</v>
      </c>
      <c r="O741" s="153" t="s">
        <v>6587</v>
      </c>
      <c r="P741" s="158" t="s">
        <v>7495</v>
      </c>
      <c r="Q741" s="178">
        <v>2012.0</v>
      </c>
      <c r="R741" s="175" t="s">
        <v>6151</v>
      </c>
      <c r="S741" s="160" t="s">
        <v>149</v>
      </c>
      <c r="T741" s="156" t="s">
        <v>263</v>
      </c>
      <c r="U741" s="153">
        <f>IFERROR(__xludf.DUMMYFUNCTION("""COMPUTED_VALUE"""),713.0)</f>
        <v>713</v>
      </c>
      <c r="V741" s="191" t="s">
        <v>6625</v>
      </c>
      <c r="W741" s="179" t="s">
        <v>6626</v>
      </c>
      <c r="Y741" s="180" t="s">
        <v>2217</v>
      </c>
      <c r="Z741" s="158" t="s">
        <v>2218</v>
      </c>
      <c r="AA741" s="153" t="s">
        <v>2218</v>
      </c>
      <c r="AB741" s="3" t="s">
        <v>149</v>
      </c>
      <c r="AC741" s="153" t="s">
        <v>341</v>
      </c>
      <c r="AD741" s="158" t="s">
        <v>160</v>
      </c>
      <c r="AE741" s="158" t="s">
        <v>6035</v>
      </c>
      <c r="AF741" s="158" t="s">
        <v>159</v>
      </c>
      <c r="AG741" s="164" t="s">
        <v>149</v>
      </c>
      <c r="AH741" s="158" t="s">
        <v>7496</v>
      </c>
      <c r="AI741" s="158" t="s">
        <v>149</v>
      </c>
      <c r="AJ741" s="153" t="s">
        <v>341</v>
      </c>
      <c r="AK741" s="153" t="s">
        <v>6035</v>
      </c>
      <c r="AL741" s="3" t="s">
        <v>149</v>
      </c>
      <c r="AM741" s="3" t="s">
        <v>149</v>
      </c>
      <c r="AN741" s="3" t="s">
        <v>149</v>
      </c>
      <c r="AO741" s="156">
        <v>2.0</v>
      </c>
      <c r="AP741" s="156" t="s">
        <v>6628</v>
      </c>
      <c r="AQ741" s="158" t="s">
        <v>166</v>
      </c>
      <c r="AR741" s="153" t="s">
        <v>7497</v>
      </c>
      <c r="AS741" s="172" t="s">
        <v>2220</v>
      </c>
      <c r="AT741" s="3" t="s">
        <v>149</v>
      </c>
      <c r="AU741" s="3" t="s">
        <v>149</v>
      </c>
    </row>
    <row r="742">
      <c r="A742" s="186">
        <v>371.0</v>
      </c>
      <c r="B742" s="152">
        <v>2023.0</v>
      </c>
      <c r="D742" s="152"/>
      <c r="E742" s="151">
        <v>371.0</v>
      </c>
      <c r="F742" s="129" t="s">
        <v>140</v>
      </c>
      <c r="G742" s="3" t="s">
        <v>6029</v>
      </c>
      <c r="H742" s="8" t="str">
        <f>IFERROR(__xludf.DUMMYFUNCTION("""COMPUTED_VALUE"""),"")</f>
        <v/>
      </c>
      <c r="I742" s="8" t="s">
        <v>7498</v>
      </c>
      <c r="J742" s="8" t="s">
        <v>330</v>
      </c>
      <c r="K742" s="8" t="s">
        <v>331</v>
      </c>
      <c r="L742" s="8" t="s">
        <v>3991</v>
      </c>
      <c r="M742" s="8" t="s">
        <v>981</v>
      </c>
      <c r="N742" s="8" t="s">
        <v>6062</v>
      </c>
      <c r="O742" s="8" t="s">
        <v>934</v>
      </c>
      <c r="P742" s="3" t="s">
        <v>149</v>
      </c>
      <c r="Q742" s="142" t="s">
        <v>6229</v>
      </c>
      <c r="R742" s="142" t="s">
        <v>6229</v>
      </c>
      <c r="S742" s="142" t="s">
        <v>6230</v>
      </c>
      <c r="T742" s="8"/>
      <c r="U742" s="8">
        <f>IFERROR(__xludf.DUMMYFUNCTION("""COMPUTED_VALUE"""),714.0)</f>
        <v>714</v>
      </c>
      <c r="V742" s="8"/>
      <c r="W742" s="3"/>
      <c r="X742" s="8"/>
      <c r="Y742" s="8"/>
      <c r="AA742" s="3" t="s">
        <v>3245</v>
      </c>
      <c r="AB742" s="8" t="s">
        <v>939</v>
      </c>
      <c r="AC742" s="8" t="s">
        <v>940</v>
      </c>
      <c r="AG742" s="3" t="s">
        <v>149</v>
      </c>
      <c r="AH742" s="3" t="s">
        <v>149</v>
      </c>
      <c r="AI742" s="3" t="s">
        <v>149</v>
      </c>
      <c r="AJ742" s="8" t="s">
        <v>233</v>
      </c>
      <c r="AL742" s="3" t="s">
        <v>149</v>
      </c>
      <c r="AM742" s="3" t="s">
        <v>149</v>
      </c>
      <c r="AN742" s="3" t="s">
        <v>149</v>
      </c>
      <c r="AO742" s="8"/>
      <c r="AP742" s="8"/>
      <c r="AR742" s="8" t="s">
        <v>6214</v>
      </c>
      <c r="AS742" s="8" t="s">
        <v>942</v>
      </c>
      <c r="AT742" s="8" t="s">
        <v>943</v>
      </c>
      <c r="AU742" s="3" t="s">
        <v>149</v>
      </c>
    </row>
    <row r="743">
      <c r="A743" s="186">
        <v>371.0</v>
      </c>
      <c r="B743" s="152">
        <v>2025.0</v>
      </c>
      <c r="C743" s="153" t="str">
        <f t="shared" ref="C743:C744" si="81">CONCATENATE(D743, "-", M743, "-", A743)
</f>
        <v>2023-PH112317000-371</v>
      </c>
      <c r="D743" s="152">
        <f t="shared" ref="D743:D744" si="82">IF(OR(F742="Published", F742="Unpublished"), 2023, IF(F742="New", 2025, ""))
</f>
        <v>2023</v>
      </c>
      <c r="E743" s="151">
        <v>371.0</v>
      </c>
      <c r="F743" s="129" t="s">
        <v>140</v>
      </c>
      <c r="G743" s="156" t="s">
        <v>141</v>
      </c>
      <c r="H743" s="153" t="str">
        <f>IFERROR(__xludf.DUMMYFUNCTION("""COMPUTED_VALUE"""),"**Restoration_project** changed from Coral Reef Habitat and Productivity Enhancement through Coral Transplantation and Giant Clam Restocking to Unknown, **Restoration_project_short** changed from Unknown to Site in Pearl Farm Resort, **Year of establishme"&amp;"nt** changed from 2001 to Unknown, **Project Start** changed from 2001 to Unknown, **Project End** changed from 2005 to Unknown, **Restoration method** changed from Asexual Reproduction to Artificial Reef, **Technique/Material Type** changed from Direct t"&amp;"ransplantation to Small airplane, **Restoration objective** changed from Improve biodiversity and productivity of stressed coral reef habitats in 10 selected demonstration sites to Tourist attraction, **Funding agency** changed from Pew Marine Conservatio"&amp;"n Fellowship to Pearl Farm Resort, **Implementing institution** changed from UP MSI to Pearl Farm Resort, **Reference** changed from Published article to Tacio, H. (2021, February 15). Underwater Experience in Samal Island. Philippine Morning Post. https:"&amp;"//philippinemorningpost.com/underwater-experience-in-samal-island/, **Website** changed from https://aquadocs.org/bitstream/handle/1834/40478/GomezED2006.pdf?sequence=1&amp;isAllowed=y to https://philippinemorningpost.com/underwater-experience-in-samal-island"&amp;"/, **Contact_name** changed from Dr. Patrick Cabaitan to Unknown")</f>
        <v>**Restoration_project** changed from Coral Reef Habitat and Productivity Enhancement through Coral Transplantation and Giant Clam Restocking to Unknown, **Restoration_project_short** changed from Unknown to Site in Pearl Farm Resort, **Year of establishment** changed from 2001 to Unknown, **Project Start** changed from 2001 to Unknown, **Project End** changed from 2005 to Unknown, **Restoration method** changed from Asexual Reproduction to Artificial Reef, **Technique/Material Type** changed from Direct transplantation to Small airplane, **Restoration objective** changed from Improve biodiversity and productivity of stressed coral reef habitats in 10 selected demonstration sites to Tourist attraction, **Funding agency** changed from Pew Marine Conservation Fellowship to Pearl Farm Resort, **Implementing institution** changed from UP MSI to Pearl Farm Resort, **Reference** changed from Published article to Tacio, H. (2021, February 15). Underwater Experience in Samal Island. Philippine Morning Post. https://philippinemorningpost.com/underwater-experience-in-samal-island/, **Website** changed from https://aquadocs.org/bitstream/handle/1834/40478/GomezED2006.pdf?sequence=1&amp;isAllowed=y to https://philippinemorningpost.com/underwater-experience-in-samal-island/, **Contact_name** changed from Dr. Patrick Cabaitan to Unknown</v>
      </c>
      <c r="I743" s="153" t="s">
        <v>7499</v>
      </c>
      <c r="J743" s="153" t="s">
        <v>330</v>
      </c>
      <c r="K743" s="153" t="s">
        <v>331</v>
      </c>
      <c r="L743" s="153" t="s">
        <v>3991</v>
      </c>
      <c r="M743" s="181" t="s">
        <v>981</v>
      </c>
      <c r="N743" s="153" t="s">
        <v>151</v>
      </c>
      <c r="O743" s="158" t="s">
        <v>149</v>
      </c>
      <c r="P743" s="153" t="s">
        <v>2762</v>
      </c>
      <c r="Q743" s="178" t="s">
        <v>149</v>
      </c>
      <c r="R743" s="160" t="s">
        <v>149</v>
      </c>
      <c r="S743" s="160" t="s">
        <v>149</v>
      </c>
      <c r="T743" s="161" t="s">
        <v>150</v>
      </c>
      <c r="U743" s="153">
        <f>IFERROR(__xludf.DUMMYFUNCTION("""COMPUTED_VALUE"""),715.0)</f>
        <v>715</v>
      </c>
      <c r="V743" s="162" t="s">
        <v>3311</v>
      </c>
      <c r="W743" s="179" t="s">
        <v>6626</v>
      </c>
      <c r="Y743" s="32" t="s">
        <v>2763</v>
      </c>
      <c r="Z743" s="158" t="s">
        <v>2763</v>
      </c>
      <c r="AA743" s="153" t="s">
        <v>2763</v>
      </c>
      <c r="AB743" s="153" t="s">
        <v>6863</v>
      </c>
      <c r="AC743" s="153" t="s">
        <v>2765</v>
      </c>
      <c r="AD743" s="158" t="s">
        <v>160</v>
      </c>
      <c r="AE743" s="158" t="s">
        <v>184</v>
      </c>
      <c r="AF743" s="158" t="s">
        <v>159</v>
      </c>
      <c r="AG743" s="164" t="s">
        <v>149</v>
      </c>
      <c r="AH743" s="158" t="s">
        <v>149</v>
      </c>
      <c r="AI743" s="158" t="s">
        <v>149</v>
      </c>
      <c r="AJ743" s="153" t="s">
        <v>2765</v>
      </c>
      <c r="AK743" s="158" t="s">
        <v>184</v>
      </c>
      <c r="AL743" s="3" t="s">
        <v>149</v>
      </c>
      <c r="AM743" s="3" t="s">
        <v>149</v>
      </c>
      <c r="AN743" s="3" t="s">
        <v>149</v>
      </c>
      <c r="AO743" s="156">
        <v>1.0</v>
      </c>
      <c r="AP743" s="156" t="s">
        <v>6037</v>
      </c>
      <c r="AQ743" s="158" t="s">
        <v>6517</v>
      </c>
      <c r="AR743" s="153" t="s">
        <v>2766</v>
      </c>
      <c r="AS743" s="165" t="s">
        <v>2767</v>
      </c>
      <c r="AT743" s="3" t="s">
        <v>149</v>
      </c>
      <c r="AU743" s="3" t="s">
        <v>149</v>
      </c>
    </row>
    <row r="744">
      <c r="A744" s="186">
        <v>372.0</v>
      </c>
      <c r="B744" s="152">
        <v>2025.0</v>
      </c>
      <c r="C744" s="153" t="str">
        <f t="shared" si="81"/>
        <v>2023-PH112317000-372</v>
      </c>
      <c r="D744" s="152">
        <f t="shared" si="82"/>
        <v>2023</v>
      </c>
      <c r="E744" s="151">
        <v>372.0</v>
      </c>
      <c r="F744" s="129" t="s">
        <v>140</v>
      </c>
      <c r="G744" s="156" t="s">
        <v>141</v>
      </c>
      <c r="H744" s="153" t="str">
        <f>IFERROR(__xludf.DUMMYFUNCTION("""COMPUTED_VALUE"""),"**Restoration_project_short** changed from Site in Pearl Farm Resort to Site in Brgy Adecor, **Year of establishment** changed from Unknown to 2022, **Project Start** changed from Unknown to 2022, **Technique/Material Type** changed from Small airplane to"&amp;" Concrete; Domes, **Restoration objective** changed from Tourist attraction to Habitat for fish species; fish production, **Funding agency** changed from Pearl Farm Resort to LYR Group of Companies, **Total units** changed from Unknown to 266 units, **Imp"&amp;"lementing institution** changed from Pearl Farm Resort to LYR Resort, **Partners_public** changed from Unknown to CLGU - City Agricultures Office-Fisheries Division; Philippine Coast Guard, **Partners_private** changed from Unknown to Rotary Club of Tagum"&amp;"; Lorenzo Rubinos Jr., **Reference** changed from Tacio, H. (2021, February 15). Underwater Experience in Samal Island. Philippine Morning Post. https://philippinemorningpost.com/underwater-experience-in-samal-island/ to Coast Guard Station IGACOS (2022, "&amp;"November 7). Enhancing marine environment in Samal Island. Goodnews: A total of 266 Artificial coral reefs were successfully installed at the coastal [Status Update] [Image attached]. Facebook. https://web.facebook.com/cgs.igacos/posts/pfbid0o1Pr1n877hcQS"&amp;"3bWp9eiPnMsVcMwKEjXnSYkgKQVbuJVEF6KGgha7NPtkJeWfThZl, **Website** changed from https://philippinemorningpost.com/underwater-experience-in-samal-island/ to https://web.facebook.com/cgs.igacos/posts/pfbid0o1Pr1n877hcQS3bWp9eiPnMsVcMwKEjXnSYkgKQVbuJVEF6KGgha"&amp;"7NPtkJeWfThZl; https://mindanao.politiko.com.ph/artificial-reefs-to-be-installed-in-samal-island-waters/")</f>
        <v>**Restoration_project_short** changed from Site in Pearl Farm Resort to Site in Brgy Adecor, **Year of establishment** changed from Unknown to 2022, **Project Start** changed from Unknown to 2022, **Technique/Material Type** changed from Small airplane to Concrete; Domes, **Restoration objective** changed from Tourist attraction to Habitat for fish species; fish production, **Funding agency** changed from Pearl Farm Resort to LYR Group of Companies, **Total units** changed from Unknown to 266 units, **Implementing institution** changed from Pearl Farm Resort to LYR Resort, **Partners_public** changed from Unknown to CLGU - City Agricultures Office-Fisheries Division; Philippine Coast Guard, **Partners_private** changed from Unknown to Rotary Club of Tagum; Lorenzo Rubinos Jr., **Reference** changed from Tacio, H. (2021, February 15). Underwater Experience in Samal Island. Philippine Morning Post. https://philippinemorningpost.com/underwater-experience-in-samal-island/ to Coast Guard Station IGACOS (2022, November 7). Enhancing marine environment in Samal Island. Goodnews: A total of 266 Artificial coral reefs were successfully installed at the coastal [Status Update] [Image attached]. Facebook. https://web.facebook.com/cgs.igacos/posts/pfbid0o1Pr1n877hcQS3bWp9eiPnMsVcMwKEjXnSYkgKQVbuJVEF6KGgha7NPtkJeWfThZl, **Website** changed from https://philippinemorningpost.com/underwater-experience-in-samal-island/ to https://web.facebook.com/cgs.igacos/posts/pfbid0o1Pr1n877hcQS3bWp9eiPnMsVcMwKEjXnSYkgKQVbuJVEF6KGgha7NPtkJeWfThZl; https://mindanao.politiko.com.ph/artificial-reefs-to-be-installed-in-samal-island-waters/</v>
      </c>
      <c r="I744" s="153" t="s">
        <v>7500</v>
      </c>
      <c r="J744" s="153" t="s">
        <v>330</v>
      </c>
      <c r="K744" s="153" t="s">
        <v>331</v>
      </c>
      <c r="L744" s="153" t="s">
        <v>3991</v>
      </c>
      <c r="M744" s="181" t="s">
        <v>981</v>
      </c>
      <c r="N744" s="153" t="s">
        <v>151</v>
      </c>
      <c r="O744" s="158" t="s">
        <v>149</v>
      </c>
      <c r="P744" s="153" t="s">
        <v>2519</v>
      </c>
      <c r="Q744" s="169">
        <v>2022.0</v>
      </c>
      <c r="R744" s="160" t="s">
        <v>6145</v>
      </c>
      <c r="S744" s="160" t="s">
        <v>149</v>
      </c>
      <c r="T744" s="161" t="s">
        <v>150</v>
      </c>
      <c r="U744" s="153">
        <f>IFERROR(__xludf.DUMMYFUNCTION("""COMPUTED_VALUE"""),716.0)</f>
        <v>716</v>
      </c>
      <c r="V744" s="162" t="s">
        <v>3311</v>
      </c>
      <c r="W744" s="184" t="s">
        <v>6032</v>
      </c>
      <c r="X744" s="28" t="s">
        <v>6173</v>
      </c>
      <c r="Y744" s="32" t="s">
        <v>361</v>
      </c>
      <c r="Z744" s="158" t="s">
        <v>670</v>
      </c>
      <c r="AA744" s="158" t="s">
        <v>670</v>
      </c>
      <c r="AB744" s="153" t="s">
        <v>779</v>
      </c>
      <c r="AC744" s="153" t="s">
        <v>2520</v>
      </c>
      <c r="AD744" s="158" t="s">
        <v>160</v>
      </c>
      <c r="AE744" s="158" t="s">
        <v>184</v>
      </c>
      <c r="AF744" s="158" t="s">
        <v>159</v>
      </c>
      <c r="AG744" s="164" t="s">
        <v>149</v>
      </c>
      <c r="AH744" s="158" t="s">
        <v>149</v>
      </c>
      <c r="AI744" s="153" t="s">
        <v>2521</v>
      </c>
      <c r="AJ744" s="153" t="s">
        <v>2522</v>
      </c>
      <c r="AK744" s="158" t="s">
        <v>184</v>
      </c>
      <c r="AL744" s="153" t="s">
        <v>2523</v>
      </c>
      <c r="AM744" s="153" t="s">
        <v>2524</v>
      </c>
      <c r="AN744" s="3" t="s">
        <v>149</v>
      </c>
      <c r="AO744" s="156">
        <v>1.0</v>
      </c>
      <c r="AP744" s="156" t="s">
        <v>6037</v>
      </c>
      <c r="AQ744" s="153" t="s">
        <v>6038</v>
      </c>
      <c r="AR744" s="153" t="s">
        <v>2525</v>
      </c>
      <c r="AS744" s="153" t="s">
        <v>2526</v>
      </c>
      <c r="AT744" s="3" t="s">
        <v>149</v>
      </c>
      <c r="AU744" s="3" t="s">
        <v>149</v>
      </c>
    </row>
    <row r="745">
      <c r="A745" s="186">
        <v>372.0</v>
      </c>
      <c r="B745" s="152">
        <v>2023.0</v>
      </c>
      <c r="D745" s="152"/>
      <c r="E745" s="151">
        <v>372.0</v>
      </c>
      <c r="F745" s="129" t="s">
        <v>140</v>
      </c>
      <c r="G745" s="3" t="s">
        <v>6029</v>
      </c>
      <c r="H745" s="8" t="str">
        <f>IFERROR(__xludf.DUMMYFUNCTION("""COMPUTED_VALUE"""),"")</f>
        <v/>
      </c>
      <c r="I745" s="8" t="s">
        <v>7501</v>
      </c>
      <c r="J745" s="8" t="s">
        <v>330</v>
      </c>
      <c r="K745" s="8" t="s">
        <v>331</v>
      </c>
      <c r="L745" s="153" t="s">
        <v>7502</v>
      </c>
      <c r="M745" s="8" t="s">
        <v>333</v>
      </c>
      <c r="N745" s="8" t="s">
        <v>151</v>
      </c>
      <c r="O745" s="8" t="s">
        <v>334</v>
      </c>
      <c r="P745" s="3" t="s">
        <v>149</v>
      </c>
      <c r="Q745" s="142" t="s">
        <v>6404</v>
      </c>
      <c r="R745" s="142" t="s">
        <v>6404</v>
      </c>
      <c r="S745" s="142" t="s">
        <v>6064</v>
      </c>
      <c r="T745" s="8"/>
      <c r="U745" s="8">
        <f>IFERROR(__xludf.DUMMYFUNCTION("""COMPUTED_VALUE"""),717.0)</f>
        <v>717</v>
      </c>
      <c r="V745" s="8"/>
      <c r="W745" s="3"/>
      <c r="X745" s="8"/>
      <c r="Y745" s="8"/>
      <c r="AA745" s="3" t="s">
        <v>149</v>
      </c>
      <c r="AB745" s="3" t="s">
        <v>149</v>
      </c>
      <c r="AC745" s="3" t="s">
        <v>149</v>
      </c>
      <c r="AG745" s="3" t="s">
        <v>149</v>
      </c>
      <c r="AH745" s="8" t="s">
        <v>7503</v>
      </c>
      <c r="AI745" s="8" t="s">
        <v>340</v>
      </c>
      <c r="AJ745" s="8" t="s">
        <v>7504</v>
      </c>
      <c r="AL745" s="8" t="s">
        <v>341</v>
      </c>
      <c r="AM745" s="3" t="s">
        <v>149</v>
      </c>
      <c r="AN745" s="3" t="s">
        <v>149</v>
      </c>
      <c r="AO745" s="8"/>
      <c r="AP745" s="8"/>
      <c r="AR745" s="8" t="s">
        <v>166</v>
      </c>
      <c r="AS745" s="8" t="s">
        <v>7505</v>
      </c>
      <c r="AT745" s="3" t="s">
        <v>149</v>
      </c>
      <c r="AU745" s="3" t="s">
        <v>149</v>
      </c>
    </row>
    <row r="746">
      <c r="A746" s="186">
        <v>373.0</v>
      </c>
      <c r="B746" s="152">
        <v>2025.0</v>
      </c>
      <c r="C746" s="153" t="str">
        <f>CONCATENATE(D746, "-", M746, "-", A746)
</f>
        <v>2023-PH112317000-373</v>
      </c>
      <c r="D746" s="152">
        <f>IF(OR(F745="Published", F745="Unpublished"), 2023, IF(F745="New", 2025, ""))
</f>
        <v>2023</v>
      </c>
      <c r="E746" s="151">
        <v>373.0</v>
      </c>
      <c r="F746" s="156" t="s">
        <v>140</v>
      </c>
      <c r="G746" s="156" t="s">
        <v>141</v>
      </c>
      <c r="H746" s="153" t="str">
        <f>IFERROR(__xludf.DUMMYFUNCTION("""COMPUTED_VALUE"""),"**Restoration_project** changed from Artificial Coral Reef Project to Coral Reef Habitat and Productivity Enhancement through Coral Transplantation and Giant Clam Restocking, **Year of establishment** changed from 2007 to 2001, **Project Start** changed f"&amp;"rom 2007 to 2001, **Project End** changed from 2016 to 2005, **Restoration method** changed from Artificial Reef to Asexual Reproduction, **Technique/Material Type** changed from Unknown to Direct transplantation, **Restoration objective** changed from Un"&amp;"known to Improve biodiversity and productivity of stressed coral reef habitats in 10 selected demonstration sites, **Funding agency** changed from Unknown to Pew Marine Conservation Fellowship, **Total area of restoration** changed from 3 hectare to Unkno"&amp;"wn, **Total units** changed from 200 reef balls to Unknown, **Implementing institution** changed from CLGU; to UP MSI, **Partners_public** changed from DENR to Unknown, **Reference** changed from News/Press Release to Gomez, E., Cabaitan, P., &amp; Vicentuan,"&amp;" K. (2006). Coral culture and transplantation and restocking of giant clams in the Philippines. In J.H. Primavera, E.T. Quinitio, &amp; M. R. R. Eguia (Eds.). Proceedings of the Regional Technical Consultation on Stock Enhancement for Threatened Species of In"&amp;"ternational Concern, Iloilo City, Philippines, 13-15 July 2005 (pp. 39-48). Tigbaua, Iloilo, Philippines: Aquaculture Department, Southeast Asian Fisheries Development Center. Retrieved from https://aquadocs.org/bitstream/handle/1834/40478/GomezED2006.pdf"&amp;"?sequence=1&amp;isAllowed=y, **Website** changed from https://businessmirror.com.ph/2017/03/26/tagum-city-cites-artificial-reef-project-supports-mpa-networking-initiative/; https://mobile.facebook.com/DistinctivelyDavao/posts/tagum-city-cites-artificial-reef-"&amp;"project-supports-mpa-networking-initiativetagum/283751215413471/?_rdc=1&amp;_rdr to https://aquadocs.org/bitstream/handle/1834/40478/GomezED2006.pdf?sequence=1&amp;isAllowed=y, **Contact_name** changed from Unknown to Dr. Patrick Cabaitan")</f>
        <v>**Restoration_project** changed from Artificial Coral Reef Project to Coral Reef Habitat and Productivity Enhancement through Coral Transplantation and Giant Clam Restocking, **Year of establishment** changed from 2007 to 2001, **Project Start** changed from 2007 to 2001, **Project End** changed from 2016 to 2005, **Restoration method** changed from Artificial Reef to Asexual Reproduction, **Technique/Material Type** changed from Unknown to Direct transplantation, **Restoration objective** changed from Unknown to Improve biodiversity and productivity of stressed coral reef habitats in 10 selected demonstration sites, **Funding agency** changed from Unknown to Pew Marine Conservation Fellowship, **Total area of restoration** changed from 3 hectare to Unknown, **Total units** changed from 200 reef balls to Unknown, **Implementing institution** changed from CLGU; to UP MSI, **Partners_public** changed from DENR to Unknown,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https://businessmirror.com.ph/2017/03/26/tagum-city-cites-artificial-reef-project-supports-mpa-networking-initiative/; https://mobile.facebook.com/DistinctivelyDavao/posts/tagum-city-cites-artificial-reef-project-supports-mpa-networking-initiativetagum/283751215413471/?_rdc=1&amp;_rdr to https://aquadocs.org/bitstream/handle/1834/40478/GomezED2006.pdf?sequence=1&amp;isAllowed=y, **Contact_name** changed from Unknown to Dr. Patrick Cabaitan</v>
      </c>
      <c r="I746" s="153" t="s">
        <v>7506</v>
      </c>
      <c r="J746" s="153" t="s">
        <v>330</v>
      </c>
      <c r="K746" s="153" t="s">
        <v>331</v>
      </c>
      <c r="L746" s="153" t="s">
        <v>3991</v>
      </c>
      <c r="M746" s="181" t="s">
        <v>981</v>
      </c>
      <c r="N746" s="153" t="s">
        <v>6062</v>
      </c>
      <c r="O746" s="153" t="s">
        <v>934</v>
      </c>
      <c r="P746" s="3" t="s">
        <v>149</v>
      </c>
      <c r="Q746" s="169">
        <v>2001.0</v>
      </c>
      <c r="R746" s="175" t="s">
        <v>6229</v>
      </c>
      <c r="S746" s="175" t="s">
        <v>6230</v>
      </c>
      <c r="T746" s="156" t="s">
        <v>177</v>
      </c>
      <c r="U746" s="153">
        <f>IFERROR(__xludf.DUMMYFUNCTION("""COMPUTED_VALUE"""),718.0)</f>
        <v>718</v>
      </c>
      <c r="V746" s="191" t="s">
        <v>3245</v>
      </c>
      <c r="W746" s="179" t="s">
        <v>149</v>
      </c>
      <c r="X746" s="180"/>
      <c r="Y746" s="180" t="s">
        <v>154</v>
      </c>
      <c r="Z746" s="158" t="s">
        <v>3245</v>
      </c>
      <c r="AA746" s="153" t="s">
        <v>3245</v>
      </c>
      <c r="AB746" s="153" t="s">
        <v>939</v>
      </c>
      <c r="AC746" s="153" t="s">
        <v>940</v>
      </c>
      <c r="AD746" s="158" t="s">
        <v>6154</v>
      </c>
      <c r="AE746" s="158" t="s">
        <v>206</v>
      </c>
      <c r="AF746" s="158" t="s">
        <v>204</v>
      </c>
      <c r="AG746" s="164" t="s">
        <v>149</v>
      </c>
      <c r="AH746" s="158" t="s">
        <v>149</v>
      </c>
      <c r="AI746" s="158" t="s">
        <v>149</v>
      </c>
      <c r="AJ746" s="153" t="s">
        <v>233</v>
      </c>
      <c r="AK746" s="158" t="s">
        <v>6068</v>
      </c>
      <c r="AL746" s="3" t="s">
        <v>149</v>
      </c>
      <c r="AM746" s="3" t="s">
        <v>149</v>
      </c>
      <c r="AN746" s="3" t="s">
        <v>149</v>
      </c>
      <c r="AO746" s="156">
        <v>1.0</v>
      </c>
      <c r="AP746" s="156" t="s">
        <v>6037</v>
      </c>
      <c r="AQ746" s="158" t="s">
        <v>6214</v>
      </c>
      <c r="AR746" s="153" t="s">
        <v>941</v>
      </c>
      <c r="AS746" s="153" t="s">
        <v>942</v>
      </c>
      <c r="AT746" s="153" t="s">
        <v>943</v>
      </c>
      <c r="AU746" s="3" t="s">
        <v>149</v>
      </c>
    </row>
    <row r="747">
      <c r="A747" s="186">
        <v>373.0</v>
      </c>
      <c r="B747" s="152">
        <v>2023.0</v>
      </c>
      <c r="D747" s="152"/>
      <c r="E747" s="151">
        <v>373.0</v>
      </c>
      <c r="F747" s="129" t="s">
        <v>140</v>
      </c>
      <c r="G747" s="3" t="s">
        <v>6029</v>
      </c>
      <c r="H747" s="8" t="str">
        <f>IFERROR(__xludf.DUMMYFUNCTION("""COMPUTED_VALUE"""),"")</f>
        <v/>
      </c>
      <c r="I747" s="8" t="s">
        <v>7507</v>
      </c>
      <c r="J747" s="8" t="s">
        <v>330</v>
      </c>
      <c r="K747" s="8" t="s">
        <v>331</v>
      </c>
      <c r="L747" s="153" t="s">
        <v>7508</v>
      </c>
      <c r="M747" s="8" t="s">
        <v>333</v>
      </c>
      <c r="N747" s="8" t="s">
        <v>151</v>
      </c>
      <c r="O747" s="153" t="s">
        <v>1580</v>
      </c>
      <c r="P747" s="3" t="s">
        <v>149</v>
      </c>
      <c r="Q747" s="3" t="s">
        <v>149</v>
      </c>
      <c r="R747" s="3" t="s">
        <v>149</v>
      </c>
      <c r="S747" s="3" t="s">
        <v>149</v>
      </c>
      <c r="T747" s="8"/>
      <c r="U747" s="8">
        <f>IFERROR(__xludf.DUMMYFUNCTION("""COMPUTED_VALUE"""),719.0)</f>
        <v>719</v>
      </c>
      <c r="V747" s="8"/>
      <c r="W747" s="8"/>
      <c r="X747" s="8"/>
      <c r="Y747" s="8"/>
      <c r="AA747" s="8" t="s">
        <v>362</v>
      </c>
      <c r="AB747" s="8" t="s">
        <v>1582</v>
      </c>
      <c r="AC747" s="8" t="s">
        <v>228</v>
      </c>
      <c r="AG747" s="3" t="s">
        <v>149</v>
      </c>
      <c r="AH747" s="3" t="s">
        <v>149</v>
      </c>
      <c r="AI747" s="188" t="s">
        <v>1583</v>
      </c>
      <c r="AJ747" s="8" t="s">
        <v>7509</v>
      </c>
      <c r="AL747" s="3" t="s">
        <v>149</v>
      </c>
      <c r="AM747" s="3" t="s">
        <v>149</v>
      </c>
      <c r="AN747" s="3" t="s">
        <v>149</v>
      </c>
      <c r="AO747" s="8"/>
      <c r="AP747" s="8"/>
      <c r="AR747" s="8" t="s">
        <v>6038</v>
      </c>
      <c r="AS747" s="8" t="s">
        <v>1585</v>
      </c>
      <c r="AT747" s="3" t="s">
        <v>149</v>
      </c>
      <c r="AU747" s="3" t="s">
        <v>149</v>
      </c>
    </row>
    <row r="748">
      <c r="A748" s="186">
        <v>374.0</v>
      </c>
      <c r="B748" s="152">
        <v>2023.0</v>
      </c>
      <c r="D748" s="152"/>
      <c r="E748" s="151">
        <v>374.0</v>
      </c>
      <c r="F748" s="129" t="s">
        <v>140</v>
      </c>
      <c r="G748" s="3" t="s">
        <v>6029</v>
      </c>
      <c r="H748" s="8" t="str">
        <f>IFERROR(__xludf.DUMMYFUNCTION("""COMPUTED_VALUE"""),"")</f>
        <v/>
      </c>
      <c r="I748" s="8" t="s">
        <v>7510</v>
      </c>
      <c r="J748" s="8" t="s">
        <v>330</v>
      </c>
      <c r="K748" s="8" t="s">
        <v>615</v>
      </c>
      <c r="L748" s="8" t="s">
        <v>7511</v>
      </c>
      <c r="M748" s="153" t="s">
        <v>617</v>
      </c>
      <c r="N748" s="8" t="s">
        <v>151</v>
      </c>
      <c r="O748" s="8" t="s">
        <v>384</v>
      </c>
      <c r="Q748" s="142" t="s">
        <v>6051</v>
      </c>
      <c r="R748" s="142" t="s">
        <v>6052</v>
      </c>
      <c r="S748" s="142" t="s">
        <v>6053</v>
      </c>
      <c r="T748" s="8"/>
      <c r="U748" s="8">
        <f>IFERROR(__xludf.DUMMYFUNCTION("""COMPUTED_VALUE"""),720.0)</f>
        <v>720</v>
      </c>
      <c r="V748" s="8"/>
      <c r="W748" s="8"/>
      <c r="X748" s="8"/>
      <c r="Y748" s="8"/>
      <c r="AA748" s="8" t="s">
        <v>6054</v>
      </c>
      <c r="AB748" s="3" t="s">
        <v>149</v>
      </c>
      <c r="AC748" s="8" t="s">
        <v>390</v>
      </c>
      <c r="AG748" s="3" t="s">
        <v>149</v>
      </c>
      <c r="AH748" s="3" t="s">
        <v>149</v>
      </c>
      <c r="AI748" s="3" t="s">
        <v>149</v>
      </c>
      <c r="AJ748" s="8" t="s">
        <v>390</v>
      </c>
      <c r="AL748" s="8" t="s">
        <v>6055</v>
      </c>
      <c r="AM748" s="3" t="s">
        <v>149</v>
      </c>
      <c r="AN748" s="3" t="s">
        <v>149</v>
      </c>
      <c r="AO748" s="8"/>
      <c r="AP748" s="8"/>
      <c r="AR748" s="8" t="s">
        <v>6057</v>
      </c>
      <c r="AS748" s="8" t="s">
        <v>2873</v>
      </c>
      <c r="AT748" s="8" t="s">
        <v>398</v>
      </c>
      <c r="AU748" s="3" t="s">
        <v>149</v>
      </c>
    </row>
    <row r="749">
      <c r="A749" s="186">
        <v>374.0</v>
      </c>
      <c r="B749" s="152">
        <v>2025.0</v>
      </c>
      <c r="C749" s="153" t="str">
        <f>CONCATENATE(D749, "-", M749, "-", A749)
</f>
        <v>2023-PH112319000-374</v>
      </c>
      <c r="D749" s="152">
        <f>IF(OR(F748="Published", F748="Unpublished"), 2023, IF(F748="New", 2025, ""))
</f>
        <v>2023</v>
      </c>
      <c r="E749" s="151">
        <v>374.0</v>
      </c>
      <c r="F749" s="129" t="s">
        <v>140</v>
      </c>
      <c r="G749" s="156" t="s">
        <v>141</v>
      </c>
      <c r="H749" s="153" t="str">
        <f>IFERROR(__xludf.DUMMYFUNCTION("""COMPUTED_VALUE"""),"**Restoration_project** changed from Artificial Reef Development Program to Artificial Coral Reef Project, **Restoration_project_short** changed from to Site inside 22-ha MPA in Brgy Liboganon;, **Year of establishment** changed from 1986 to 2007, **Proje"&amp;"ct Start** changed from 1985 to 2007, **Project End** changed from 1987 to 2016, **Technique/Material Type** changed from tires to Reef ball, **Restoration objective** changed from Unknown to Improve marine life, **Funding agency** changed from BFAR to CL"&amp;"GU, **Total area of restoration** changed from Unknown to 3 hectare, **Total units** changed from Unknown to 200 reef balls, **Implementing institution** changed from BFAR to CLGU, **Partners_public** changed from Ministry of Human Settlements to DENR, **"&amp;"Reference** changed from Conference Proceediing to Mayuga, J. (2017, March 26). Tagum City cites artificial reef project, supports ""MPA networking"" initiative. Business Mirror. https://businessmirror.com.ph/2017/03/26/tagum-city-cites-artificial-reef-pr"&amp;"oject-supports-mpa-networking-initiative/, **Website** changed from http://pubs.iclarm.net/libinfo/Pdf/Pub%20CP6%2049.pdf to https://businessmirror.com.ph/2017/03/26/tagum-city-cites-artificial-reef-project-supports-mpa-networking-initiative/; https://mob"&amp;"ile.facebook.com/DistinctivelyDavao/posts/tagum-city-cites-artificial-reef-project-supports-mpa-networking-initiativetagum/283751215413471/?_rdc=1&amp;_rdr, **Contact_name** changed from Miriam Balgos to Unknown")</f>
        <v>**Restoration_project** changed from Artificial Reef Development Program to Artificial Coral Reef Project, **Restoration_project_short** changed from to Site inside 22-ha MPA in Brgy Liboganon;, **Year of establishment** changed from 1986 to 2007, **Project Start** changed from 1985 to 2007, **Project End** changed from 1987 to 2016, **Technique/Material Type** changed from tires to Reef ball, **Restoration objective** changed from Unknown to Improve marine life, **Funding agency** changed from BFAR to CLGU, **Total area of restoration** changed from Unknown to 3 hectare, **Total units** changed from Unknown to 200 reef balls, **Implementing institution** changed from BFAR to CLGU, **Partners_public** changed from Ministry of Human Settlements to DENR, **Reference** changed from Conference Proceediing to Mayuga, J. (2017, March 26). Tagum City cites artificial reef project, supports "MPA networking" initiative. Business Mirror. https://businessmirror.com.ph/2017/03/26/tagum-city-cites-artificial-reef-project-supports-mpa-networking-initiative/, **Website** changed from http://pubs.iclarm.net/libinfo/Pdf/Pub%20CP6%2049.pdf to https://businessmirror.com.ph/2017/03/26/tagum-city-cites-artificial-reef-project-supports-mpa-networking-initiative/; https://mobile.facebook.com/DistinctivelyDavao/posts/tagum-city-cites-artificial-reef-project-supports-mpa-networking-initiativetagum/283751215413471/?_rdc=1&amp;_rdr, **Contact_name** changed from Miriam Balgos to Unknown</v>
      </c>
      <c r="I749" s="153" t="s">
        <v>7512</v>
      </c>
      <c r="J749" s="153" t="s">
        <v>330</v>
      </c>
      <c r="K749" s="153" t="s">
        <v>331</v>
      </c>
      <c r="L749" s="153" t="s">
        <v>7513</v>
      </c>
      <c r="M749" s="181" t="s">
        <v>333</v>
      </c>
      <c r="N749" s="153" t="s">
        <v>151</v>
      </c>
      <c r="O749" s="153" t="s">
        <v>334</v>
      </c>
      <c r="P749" s="158" t="s">
        <v>7514</v>
      </c>
      <c r="Q749" s="169">
        <v>2007.0</v>
      </c>
      <c r="R749" s="175" t="s">
        <v>6404</v>
      </c>
      <c r="S749" s="160" t="s">
        <v>6064</v>
      </c>
      <c r="T749" s="161" t="s">
        <v>150</v>
      </c>
      <c r="U749" s="153">
        <f>IFERROR(__xludf.DUMMYFUNCTION("""COMPUTED_VALUE"""),721.0)</f>
        <v>721</v>
      </c>
      <c r="V749" s="162" t="s">
        <v>3311</v>
      </c>
      <c r="W749" s="184" t="s">
        <v>6032</v>
      </c>
      <c r="X749" s="28" t="s">
        <v>6033</v>
      </c>
      <c r="Y749" s="32" t="s">
        <v>337</v>
      </c>
      <c r="Z749" s="158" t="s">
        <v>337</v>
      </c>
      <c r="AA749" s="158" t="s">
        <v>337</v>
      </c>
      <c r="AB749" s="158" t="s">
        <v>338</v>
      </c>
      <c r="AC749" s="158" t="s">
        <v>228</v>
      </c>
      <c r="AD749" s="158" t="s">
        <v>160</v>
      </c>
      <c r="AE749" s="158" t="s">
        <v>6035</v>
      </c>
      <c r="AF749" s="158" t="s">
        <v>159</v>
      </c>
      <c r="AG749" s="164" t="s">
        <v>149</v>
      </c>
      <c r="AH749" s="153" t="s">
        <v>7503</v>
      </c>
      <c r="AI749" s="153" t="s">
        <v>340</v>
      </c>
      <c r="AJ749" s="153" t="s">
        <v>228</v>
      </c>
      <c r="AK749" s="153" t="s">
        <v>6035</v>
      </c>
      <c r="AL749" s="153" t="s">
        <v>341</v>
      </c>
      <c r="AM749" s="3" t="s">
        <v>149</v>
      </c>
      <c r="AN749" s="3" t="s">
        <v>149</v>
      </c>
      <c r="AO749" s="156">
        <v>1.0</v>
      </c>
      <c r="AP749" s="156" t="s">
        <v>6037</v>
      </c>
      <c r="AQ749" s="158" t="s">
        <v>166</v>
      </c>
      <c r="AR749" s="153" t="s">
        <v>342</v>
      </c>
      <c r="AS749" s="153" t="s">
        <v>7505</v>
      </c>
      <c r="AT749" s="3" t="s">
        <v>149</v>
      </c>
      <c r="AU749" s="3" t="s">
        <v>149</v>
      </c>
    </row>
    <row r="750">
      <c r="A750" s="186">
        <v>375.0</v>
      </c>
      <c r="B750" s="152">
        <v>2023.0</v>
      </c>
      <c r="D750" s="152"/>
      <c r="E750" s="151">
        <v>375.0</v>
      </c>
      <c r="F750" s="129" t="s">
        <v>140</v>
      </c>
      <c r="G750" s="3" t="s">
        <v>6029</v>
      </c>
      <c r="H750" s="8" t="str">
        <f>IFERROR(__xludf.DUMMYFUNCTION("""COMPUTED_VALUE"""),"")</f>
        <v/>
      </c>
      <c r="I750" s="8" t="s">
        <v>7515</v>
      </c>
      <c r="J750" s="8" t="s">
        <v>330</v>
      </c>
      <c r="K750" s="8" t="s">
        <v>615</v>
      </c>
      <c r="L750" s="8" t="s">
        <v>7511</v>
      </c>
      <c r="M750" s="8" t="s">
        <v>617</v>
      </c>
      <c r="N750" s="8" t="s">
        <v>151</v>
      </c>
      <c r="O750" s="8" t="s">
        <v>777</v>
      </c>
      <c r="P750" s="8" t="s">
        <v>7516</v>
      </c>
      <c r="Q750" s="142" t="s">
        <v>6152</v>
      </c>
      <c r="R750" s="3" t="s">
        <v>149</v>
      </c>
      <c r="S750" s="3" t="s">
        <v>149</v>
      </c>
      <c r="T750" s="8"/>
      <c r="U750" s="8">
        <f>IFERROR(__xludf.DUMMYFUNCTION("""COMPUTED_VALUE"""),722.0)</f>
        <v>722</v>
      </c>
      <c r="V750" s="8"/>
      <c r="W750" s="8"/>
      <c r="X750" s="8"/>
      <c r="Y750" s="8"/>
      <c r="AA750" s="8" t="s">
        <v>362</v>
      </c>
      <c r="AB750" s="8" t="s">
        <v>779</v>
      </c>
      <c r="AC750" s="8" t="s">
        <v>7517</v>
      </c>
      <c r="AG750" s="3" t="s">
        <v>149</v>
      </c>
      <c r="AH750" s="3" t="s">
        <v>149</v>
      </c>
      <c r="AI750" s="8" t="s">
        <v>782</v>
      </c>
      <c r="AJ750" s="8" t="s">
        <v>780</v>
      </c>
      <c r="AL750" s="8" t="s">
        <v>760</v>
      </c>
      <c r="AM750" s="3" t="s">
        <v>149</v>
      </c>
      <c r="AN750" s="3" t="s">
        <v>149</v>
      </c>
      <c r="AO750" s="8"/>
      <c r="AP750" s="8"/>
      <c r="AR750" s="8" t="s">
        <v>6027</v>
      </c>
      <c r="AS750" s="8" t="s">
        <v>784</v>
      </c>
      <c r="AU750" s="3" t="s">
        <v>149</v>
      </c>
    </row>
    <row r="751">
      <c r="A751" s="186">
        <v>375.0</v>
      </c>
      <c r="B751" s="152">
        <v>2025.0</v>
      </c>
      <c r="C751" s="153" t="str">
        <f>CONCATENATE(D751, "-", M751, "-", A751)
</f>
        <v>2023-PH112319000-375</v>
      </c>
      <c r="D751" s="152">
        <f>IF(OR(F750="Published", F750="Unpublished"), 2023, IF(F750="New", 2025, ""))
</f>
        <v>2023</v>
      </c>
      <c r="E751" s="151">
        <v>375.0</v>
      </c>
      <c r="F751" s="129" t="s">
        <v>140</v>
      </c>
      <c r="G751" s="156" t="s">
        <v>141</v>
      </c>
      <c r="H751" s="153" t="str">
        <f>IFERROR(__xludf.DUMMYFUNCTION("""COMPUTED_VALUE"""),"**Restoration_project** changed from Build-a-Reef Project to Integrated Management for Sustainable Environmental Approach to Coastal and Underwater Resources Program (IMSEACURE), **Restoration_project_short** changed from Build-A-Reef project is one of th"&amp;"e four major activities carried out by the Foundation to preserve and protect the environment, the others being tree planting, coastal cleanup, and the adoption of a Philippine eagle. to Site inside 22-ha MPA in Tagum, **Year of establishment** changed fr"&amp;"om 2017 to Unknown, **Restoration objective** changed from Habitat for fish species; fish production to Food security; fish productivity, **Funding agency** changed from Phoenix Petroleum to CLGU, **Total units** changed from 30 units to 3,000 units, **Im"&amp;"plementing institution** changed from Phoenix Philippines Foundation to CLGU, **Partners_public** changed from Philippine Coast Guard to Unknown, **Reference** changed from Website to City of Government of Tagum (2019, November 1). Let Mayor Allan Rellon "&amp;"take you to the 22-hectare Marine Protected Area of Tagum which is brimming with underwater life [Status Update] [Video attached]. Facebook. https://mobile.facebook.com/watch/?v=381675062720602&amp;paipv=0&amp;eav=AfYwcIL9NxwTN4aCbErewJy7tTD3nrufxoQ6KHefWVVRdYsV3"&amp;"q7dl44iSGOHSXvUCgs&amp;_rdr, **Website** changed from https://www.phoenixfuels.ph/phoenix-helps-save-marine-life-through-artificial-reefs/ to https://mobile.facebook.com/watch/?v=381675062720602&amp;paipv=0&amp;eav=AfYwcIL9NxwTN4aCbErewJy7tTD3nrufxoQ6KHefWVVRdYsV3q7d"&amp;"l44iSGOHSXvUCgs&amp;_rdr, **Contact_name** changed from to Unknown")</f>
        <v>**Restoration_project** changed from Build-a-Reef Project to Integrated Management for Sustainable Environmental Approach to Coastal and Underwater Resources Program (IMSEACURE), **Restoration_project_short** changed from Build-A-Reef project is one of the four major activities carried out by the Foundation to preserve and protect the environment, the others being tree planting, coastal cleanup, and the adoption of a Philippine eagle. to Site inside 22-ha MPA in Tagum, **Year of establishment** changed from 2017 to Unknown, **Restoration objective** changed from Habitat for fish species; fish production to Food security; fish productivity, **Funding agency** changed from Phoenix Petroleum to CLGU, **Total units** changed from 30 units to 3,000 units, **Implementing institution** changed from Phoenix Philippines Foundation to CLGU, **Partners_public** changed from Philippine Coast Guard to Unknown, **Reference** changed from Website to City of Government of Tagum (2019, November 1). Let Mayor Allan Rellon take you to the 22-hectare Marine Protected Area of Tagum which is brimming with underwater life [Status Update] [Video attached]. Facebook. https://mobile.facebook.com/watch/?v=381675062720602&amp;paipv=0&amp;eav=AfYwcIL9NxwTN4aCbErewJy7tTD3nrufxoQ6KHefWVVRdYsV3q7dl44iSGOHSXvUCgs&amp;_rdr, **Website** changed from https://www.phoenixfuels.ph/phoenix-helps-save-marine-life-through-artificial-reefs/ to https://mobile.facebook.com/watch/?v=381675062720602&amp;paipv=0&amp;eav=AfYwcIL9NxwTN4aCbErewJy7tTD3nrufxoQ6KHefWVVRdYsV3q7dl44iSGOHSXvUCgs&amp;_rdr, **Contact_name** changed from to Unknown</v>
      </c>
      <c r="I751" s="153" t="s">
        <v>7518</v>
      </c>
      <c r="J751" s="153" t="s">
        <v>330</v>
      </c>
      <c r="K751" s="153" t="s">
        <v>331</v>
      </c>
      <c r="L751" s="153" t="s">
        <v>7519</v>
      </c>
      <c r="M751" s="181" t="s">
        <v>333</v>
      </c>
      <c r="N751" s="153" t="s">
        <v>151</v>
      </c>
      <c r="O751" s="153" t="s">
        <v>1580</v>
      </c>
      <c r="P751" s="158" t="s">
        <v>1581</v>
      </c>
      <c r="Q751" s="178" t="s">
        <v>149</v>
      </c>
      <c r="R751" s="160" t="s">
        <v>149</v>
      </c>
      <c r="S751" s="160" t="s">
        <v>149</v>
      </c>
      <c r="T751" s="161" t="s">
        <v>150</v>
      </c>
      <c r="U751" s="153">
        <f>IFERROR(__xludf.DUMMYFUNCTION("""COMPUTED_VALUE"""),723.0)</f>
        <v>723</v>
      </c>
      <c r="V751" s="162" t="s">
        <v>3311</v>
      </c>
      <c r="W751" s="179" t="s">
        <v>6032</v>
      </c>
      <c r="X751" s="28" t="s">
        <v>6173</v>
      </c>
      <c r="Y751" s="32" t="s">
        <v>361</v>
      </c>
      <c r="Z751" s="158" t="s">
        <v>362</v>
      </c>
      <c r="AA751" s="153" t="s">
        <v>362</v>
      </c>
      <c r="AB751" s="153" t="s">
        <v>1582</v>
      </c>
      <c r="AC751" s="153" t="s">
        <v>228</v>
      </c>
      <c r="AD751" s="158" t="s">
        <v>160</v>
      </c>
      <c r="AE751" s="158" t="s">
        <v>6035</v>
      </c>
      <c r="AF751" s="158" t="s">
        <v>159</v>
      </c>
      <c r="AG751" s="164" t="s">
        <v>149</v>
      </c>
      <c r="AH751" s="158" t="s">
        <v>149</v>
      </c>
      <c r="AI751" s="188" t="s">
        <v>1583</v>
      </c>
      <c r="AJ751" s="153" t="s">
        <v>228</v>
      </c>
      <c r="AK751" s="153" t="s">
        <v>6035</v>
      </c>
      <c r="AL751" s="3" t="s">
        <v>149</v>
      </c>
      <c r="AM751" s="3" t="s">
        <v>149</v>
      </c>
      <c r="AN751" s="3" t="s">
        <v>149</v>
      </c>
      <c r="AO751" s="156">
        <v>1.0</v>
      </c>
      <c r="AP751" s="156" t="s">
        <v>6037</v>
      </c>
      <c r="AQ751" s="153" t="s">
        <v>6038</v>
      </c>
      <c r="AR751" s="153" t="s">
        <v>1584</v>
      </c>
      <c r="AS751" s="172" t="s">
        <v>1585</v>
      </c>
      <c r="AT751" s="3" t="s">
        <v>149</v>
      </c>
      <c r="AU751" s="3" t="s">
        <v>149</v>
      </c>
    </row>
    <row r="752">
      <c r="A752" s="186">
        <v>376.0</v>
      </c>
      <c r="B752" s="152">
        <v>2023.0</v>
      </c>
      <c r="D752" s="152"/>
      <c r="E752" s="151">
        <v>376.0</v>
      </c>
      <c r="F752" s="129" t="s">
        <v>140</v>
      </c>
      <c r="G752" s="3" t="s">
        <v>6029</v>
      </c>
      <c r="H752" s="8" t="str">
        <f>IFERROR(__xludf.DUMMYFUNCTION("""COMPUTED_VALUE"""),"")</f>
        <v/>
      </c>
      <c r="I752" s="8" t="s">
        <v>7520</v>
      </c>
      <c r="J752" s="8" t="s">
        <v>330</v>
      </c>
      <c r="K752" s="8" t="s">
        <v>615</v>
      </c>
      <c r="L752" s="8" t="s">
        <v>7511</v>
      </c>
      <c r="M752" s="8" t="s">
        <v>617</v>
      </c>
      <c r="N752" s="8" t="s">
        <v>151</v>
      </c>
      <c r="O752" s="8" t="s">
        <v>668</v>
      </c>
      <c r="P752" s="3" t="s">
        <v>149</v>
      </c>
      <c r="Q752" s="142" t="s">
        <v>6152</v>
      </c>
      <c r="R752" s="3" t="s">
        <v>149</v>
      </c>
      <c r="S752" s="3" t="s">
        <v>149</v>
      </c>
      <c r="T752" s="8"/>
      <c r="U752" s="8">
        <f>IFERROR(__xludf.DUMMYFUNCTION("""COMPUTED_VALUE"""),724.0)</f>
        <v>724</v>
      </c>
      <c r="V752" s="8"/>
      <c r="W752" s="3"/>
      <c r="X752" s="8"/>
      <c r="Y752" s="8"/>
      <c r="AA752" s="3" t="s">
        <v>149</v>
      </c>
      <c r="AB752" s="3" t="s">
        <v>149</v>
      </c>
      <c r="AC752" s="3" t="s">
        <v>149</v>
      </c>
      <c r="AG752" s="3" t="s">
        <v>149</v>
      </c>
      <c r="AH752" s="3" t="s">
        <v>149</v>
      </c>
      <c r="AI752" s="8" t="s">
        <v>675</v>
      </c>
      <c r="AJ752" s="8" t="s">
        <v>674</v>
      </c>
      <c r="AL752" s="8" t="s">
        <v>7521</v>
      </c>
      <c r="AO752" s="8"/>
      <c r="AP752" s="8"/>
      <c r="AR752" s="8" t="s">
        <v>166</v>
      </c>
      <c r="AS752" s="8" t="s">
        <v>679</v>
      </c>
      <c r="AT752" s="3" t="s">
        <v>149</v>
      </c>
      <c r="AU752" s="3" t="s">
        <v>149</v>
      </c>
    </row>
    <row r="753">
      <c r="A753" s="186">
        <v>376.0</v>
      </c>
      <c r="B753" s="152">
        <v>2025.0</v>
      </c>
      <c r="C753" s="153" t="str">
        <f>CONCATENATE(D753, "-", M753, "-", A753)
</f>
        <v>2023-PH112402000-376</v>
      </c>
      <c r="D753" s="152">
        <f>IF(OR(F752="Published", F752="Unpublished"), 2023, IF(F752="New", 2025, ""))
</f>
        <v>2023</v>
      </c>
      <c r="E753" s="151">
        <v>376.0</v>
      </c>
      <c r="F753" s="129" t="s">
        <v>140</v>
      </c>
      <c r="G753" s="156" t="s">
        <v>141</v>
      </c>
      <c r="H753" s="153" t="str">
        <f>IFERROR(__xludf.DUMMYFUNCTION("""COMPUTED_VALUE"""),"**Restoration_project** changed from Artificial Reefs Project to Artificial Reef Development Program, **Year of establishment** changed from 2017 to 1986, **Project Start** changed from Unknown to 1985, **Project End** changed from Unknown to 1987, **Tech"&amp;"nique/Material Type** changed from Unknown to tires, **Funding agency** changed from Unknown to BFAR, **Total units** changed from 5 units to Unknown, **Implementing institution** changed from Davao City Water District to BFAR, **Partners_public** changed"&amp;" from Philippine Navy; BFAR; CLU to Ministry of Human Settlements, **Partners_private** changed from to Unknown, **Partners_communities** changed from to Unknown, **Reference** changed from News/Press Release to Balgos, M.C. (1995). Evaluation of artifici"&amp;"al reef development in the Philippines. In Munro, J.L. &amp; Balgos, M. (eds.) Artificial reefs in the Philippines. ICLARM Conf. Proc. 49, pp. 6-22., **Website** changed from https://www.davao-water.gov.ph/home/pages/post.php?link=_GPrHoZaGZDEFMzRxVnu; https:"&amp;"//www.pressreader.com/philippines/sunstar-davao/20170803/281608125516436 to https://core.ac.uk/download/pdf/6515223.pdf;, **Contact_name** changed from Unknown to Miriam Balgos")</f>
        <v>**Restoration_project** changed from Artificial Reefs Project to Artificial Reef Development Program, **Year of establishment** changed from 2017 to 1986, **Project Start** changed from Unknown to 1985, **Project End** changed from Unknown to 1987, **Technique/Material Type** changed from Unknown to tires, **Funding agency** changed from Unknown to BFAR, **Total units** changed from 5 units to Unknown, **Implementing institution** changed from Davao City Water District to BFAR, **Partners_public** changed from Philippine Navy; BFAR; CLU to Ministry of Human Settlements, **Partners_private** changed from to Unknown, **Partners_communities** changed from to Unknown, **Reference** changed from News/Press Release to Balgos, M.C. (1995). Evaluation of artificial reef development in the Philippines. In Munro, J.L. &amp; Balgos, M. (eds.) Artificial reefs in the Philippines. ICLARM Conf. Proc. 49, pp. 6-22., **Website** changed from https://www.davao-water.gov.ph/home/pages/post.php?link=_GPrHoZaGZDEFMzRxVnu; https://www.pressreader.com/philippines/sunstar-davao/20170803/281608125516436 to https://core.ac.uk/download/pdf/6515223.pdf;, **Contact_name** changed from Unknown to Miriam Balgos</v>
      </c>
      <c r="I753" s="153" t="s">
        <v>7522</v>
      </c>
      <c r="J753" s="153" t="s">
        <v>330</v>
      </c>
      <c r="K753" s="153" t="s">
        <v>615</v>
      </c>
      <c r="L753" s="153" t="s">
        <v>7511</v>
      </c>
      <c r="M753" s="181" t="s">
        <v>617</v>
      </c>
      <c r="N753" s="153" t="s">
        <v>151</v>
      </c>
      <c r="O753" s="153" t="s">
        <v>384</v>
      </c>
      <c r="P753" s="156" t="s">
        <v>149</v>
      </c>
      <c r="Q753" s="169">
        <v>1986.0</v>
      </c>
      <c r="R753" s="175" t="s">
        <v>6052</v>
      </c>
      <c r="S753" s="175" t="s">
        <v>6053</v>
      </c>
      <c r="T753" s="161" t="s">
        <v>150</v>
      </c>
      <c r="U753" s="153">
        <f>IFERROR(__xludf.DUMMYFUNCTION("""COMPUTED_VALUE"""),725.0)</f>
        <v>725</v>
      </c>
      <c r="V753" s="162" t="s">
        <v>3311</v>
      </c>
      <c r="W753" s="170" t="s">
        <v>6059</v>
      </c>
      <c r="X753" s="28" t="s">
        <v>6033</v>
      </c>
      <c r="Y753" s="28" t="s">
        <v>386</v>
      </c>
      <c r="Z753" s="176" t="s">
        <v>386</v>
      </c>
      <c r="AA753" s="153" t="s">
        <v>6054</v>
      </c>
      <c r="AB753" s="158" t="s">
        <v>149</v>
      </c>
      <c r="AC753" s="153" t="s">
        <v>390</v>
      </c>
      <c r="AD753" s="158" t="s">
        <v>160</v>
      </c>
      <c r="AE753" s="158" t="s">
        <v>6035</v>
      </c>
      <c r="AF753" s="158" t="s">
        <v>159</v>
      </c>
      <c r="AG753" s="164" t="s">
        <v>149</v>
      </c>
      <c r="AH753" s="158" t="s">
        <v>149</v>
      </c>
      <c r="AI753" s="158" t="s">
        <v>149</v>
      </c>
      <c r="AJ753" s="153" t="s">
        <v>390</v>
      </c>
      <c r="AK753" s="153" t="s">
        <v>6035</v>
      </c>
      <c r="AL753" s="153" t="s">
        <v>6055</v>
      </c>
      <c r="AM753" s="3" t="s">
        <v>149</v>
      </c>
      <c r="AN753" s="3" t="s">
        <v>149</v>
      </c>
      <c r="AO753" s="156">
        <v>1.0</v>
      </c>
      <c r="AP753" s="156" t="s">
        <v>6037</v>
      </c>
      <c r="AQ753" s="158" t="s">
        <v>395</v>
      </c>
      <c r="AR753" s="153" t="s">
        <v>6060</v>
      </c>
      <c r="AS753" s="158" t="s">
        <v>6711</v>
      </c>
      <c r="AT753" s="153" t="s">
        <v>398</v>
      </c>
      <c r="AU753" s="3" t="s">
        <v>149</v>
      </c>
    </row>
    <row r="754">
      <c r="A754" s="186">
        <v>377.0</v>
      </c>
      <c r="B754" s="152">
        <v>2023.0</v>
      </c>
      <c r="D754" s="152"/>
      <c r="E754" s="151">
        <v>377.0</v>
      </c>
      <c r="F754" s="129" t="s">
        <v>140</v>
      </c>
      <c r="G754" s="3" t="s">
        <v>6029</v>
      </c>
      <c r="H754" s="8" t="str">
        <f>IFERROR(__xludf.DUMMYFUNCTION("""COMPUTED_VALUE"""),"")</f>
        <v/>
      </c>
      <c r="I754" s="8" t="s">
        <v>7523</v>
      </c>
      <c r="J754" s="8" t="s">
        <v>330</v>
      </c>
      <c r="K754" s="8" t="s">
        <v>615</v>
      </c>
      <c r="L754" s="8" t="s">
        <v>7511</v>
      </c>
      <c r="M754" s="8" t="s">
        <v>617</v>
      </c>
      <c r="N754" s="8" t="s">
        <v>151</v>
      </c>
      <c r="O754" s="3" t="s">
        <v>149</v>
      </c>
      <c r="P754" s="3" t="s">
        <v>149</v>
      </c>
      <c r="Q754" s="142" t="s">
        <v>6151</v>
      </c>
      <c r="R754" s="3" t="s">
        <v>149</v>
      </c>
      <c r="S754" s="3" t="s">
        <v>149</v>
      </c>
      <c r="T754" s="8"/>
      <c r="U754" s="8">
        <f>IFERROR(__xludf.DUMMYFUNCTION("""COMPUTED_VALUE"""),726.0)</f>
        <v>726</v>
      </c>
      <c r="V754" s="8"/>
      <c r="W754" s="8"/>
      <c r="X754" s="8"/>
      <c r="Y754" s="8"/>
      <c r="AA754" s="8" t="s">
        <v>362</v>
      </c>
      <c r="AB754" s="3" t="s">
        <v>149</v>
      </c>
      <c r="AC754" s="3" t="s">
        <v>149</v>
      </c>
      <c r="AG754" s="3" t="s">
        <v>149</v>
      </c>
      <c r="AH754" s="3" t="s">
        <v>149</v>
      </c>
      <c r="AI754" s="3" t="s">
        <v>149</v>
      </c>
      <c r="AJ754" s="8" t="s">
        <v>7524</v>
      </c>
      <c r="AL754" s="3" t="s">
        <v>149</v>
      </c>
      <c r="AM754" s="8" t="s">
        <v>2581</v>
      </c>
      <c r="AN754" s="3" t="s">
        <v>149</v>
      </c>
      <c r="AO754" s="8"/>
      <c r="AP754" s="8"/>
      <c r="AR754" s="8" t="s">
        <v>6038</v>
      </c>
      <c r="AS754" s="8" t="s">
        <v>2583</v>
      </c>
      <c r="AT754" s="3" t="s">
        <v>149</v>
      </c>
      <c r="AU754" s="3" t="s">
        <v>149</v>
      </c>
    </row>
    <row r="755">
      <c r="A755" s="186">
        <v>377.0</v>
      </c>
      <c r="B755" s="152">
        <v>2025.0</v>
      </c>
      <c r="C755" s="153" t="str">
        <f t="shared" ref="C755:C756" si="83">CONCATENATE(D755, "-", M755, "-", A755)
</f>
        <v>2023-PH112402000-377</v>
      </c>
      <c r="D755" s="152">
        <f t="shared" ref="D755:D756" si="84">IF(OR(F754="Published", F754="Unpublished"), 2023, IF(F754="New", 2025, ""))
</f>
        <v>2023</v>
      </c>
      <c r="E755" s="151">
        <v>377.0</v>
      </c>
      <c r="F755" s="129" t="s">
        <v>140</v>
      </c>
      <c r="G755" s="156" t="s">
        <v>141</v>
      </c>
      <c r="H755" s="153" t="str">
        <f>IFERROR(__xludf.DUMMYFUNCTION("""COMPUTED_VALUE"""),"**Restoration_project** changed from Unknown to Build-a-Reef Project, **Restoration_project_short** changed from Unknown to Site inside MPAs in Brgy Vicente Hizon,Lanang and Barangay Centro; Build-A-Reef project is one of the four major activities carried"&amp;" out by the Foundation to preserve and protect the environment, the others being tree planting, coastal cleanup, and the adoption of a Philippine eagle., **Year of establishment** changed from 2012 to 2017, **Technique/Material Type** changed from Domes t"&amp;"o Concrete; Domes, **Restoration objective** changed from Unknown to Habitat for fish species; fish production, **Funding agency** changed from Unknown to Phoenix Philippines Foundation, **Total area of restoration** changed from Unknown to 110cm x 70 cm "&amp;"each, **Total units** changed from Unknown to 30 units, **Implementing institution** changed from San Pedro College to Phoenix Philippines Foundation, **Partners_public** changed from Unknown to Philippine Coast Guard, **Partners_private** changed from GM"&amp;"A Davao to Philippine Coast Guard Auxiliary, **Reference** changed from Social Media to Phoenix helps save marine life through artificial reefs (2017, October 13). Phoenix Petroleum. https://www.phoenixfuels.ph/phoenix-helps-save-marine-life-through-artif"&amp;"icial-reefs/, **Website** changed from https://www.youtube.com/watch?v=6AfF_6TG2jE to https://www.phoenixfuels.ph/phoenix-helps-save-marine-life-through-artificial-reefs/")</f>
        <v>**Restoration_project** changed from Unknown to Build-a-Reef Project, **Restoration_project_short** changed from Unknown to Site inside MPAs in Brgy Vicente Hizon,Lanang and Barangay Centro; Build-A-Reef project is one of the four major activities carried out by the Foundation to preserve and protect the environment, the others being tree planting, coastal cleanup, and the adoption of a Philippine eagle., **Year of establishment** changed from 2012 to 2017, **Technique/Material Type** changed from Domes to Concrete; Domes, **Restoration objective** changed from Unknown to Habitat for fish species; fish production, **Funding agency** changed from Unknown to Phoenix Philippines Foundation, **Total area of restoration** changed from Unknown to 110cm x 70 cm each, **Total units** changed from Unknown to 30 units, **Implementing institution** changed from San Pedro College to Phoenix Philippines Foundation, **Partners_public** changed from Unknown to Philippine Coast Guard, **Partners_private** changed from GMA Davao to Philippine Coast Guard Auxiliary, **Reference** changed from Social Media to Phoenix helps save marine life through artificial reefs (2017, October 13). Phoenix Petroleum. https://www.phoenixfuels.ph/phoenix-helps-save-marine-life-through-artificial-reefs/, **Website** changed from https://www.youtube.com/watch?v=6AfF_6TG2jE to https://www.phoenixfuels.ph/phoenix-helps-save-marine-life-through-artificial-reefs/</v>
      </c>
      <c r="I755" s="153" t="s">
        <v>7525</v>
      </c>
      <c r="J755" s="153" t="s">
        <v>330</v>
      </c>
      <c r="K755" s="153" t="s">
        <v>615</v>
      </c>
      <c r="L755" s="153" t="s">
        <v>7511</v>
      </c>
      <c r="M755" s="181" t="s">
        <v>617</v>
      </c>
      <c r="N755" s="153" t="s">
        <v>151</v>
      </c>
      <c r="O755" s="153" t="s">
        <v>777</v>
      </c>
      <c r="P755" s="153" t="s">
        <v>7526</v>
      </c>
      <c r="Q755" s="169">
        <v>2017.0</v>
      </c>
      <c r="R755" s="160" t="s">
        <v>149</v>
      </c>
      <c r="S755" s="160" t="s">
        <v>149</v>
      </c>
      <c r="T755" s="161" t="s">
        <v>150</v>
      </c>
      <c r="U755" s="153">
        <f>IFERROR(__xludf.DUMMYFUNCTION("""COMPUTED_VALUE"""),727.0)</f>
        <v>727</v>
      </c>
      <c r="V755" s="162" t="s">
        <v>3311</v>
      </c>
      <c r="W755" s="184" t="s">
        <v>6032</v>
      </c>
      <c r="X755" s="28" t="s">
        <v>6173</v>
      </c>
      <c r="Y755" s="32" t="s">
        <v>361</v>
      </c>
      <c r="Z755" s="158" t="s">
        <v>670</v>
      </c>
      <c r="AA755" s="158" t="s">
        <v>670</v>
      </c>
      <c r="AB755" s="153" t="s">
        <v>779</v>
      </c>
      <c r="AC755" s="153" t="s">
        <v>780</v>
      </c>
      <c r="AD755" s="158" t="s">
        <v>160</v>
      </c>
      <c r="AE755" s="158" t="s">
        <v>184</v>
      </c>
      <c r="AF755" s="158" t="s">
        <v>159</v>
      </c>
      <c r="AG755" s="164" t="s">
        <v>149</v>
      </c>
      <c r="AH755" s="158" t="s">
        <v>7527</v>
      </c>
      <c r="AI755" s="153" t="s">
        <v>782</v>
      </c>
      <c r="AJ755" s="153" t="s">
        <v>780</v>
      </c>
      <c r="AK755" s="158" t="s">
        <v>184</v>
      </c>
      <c r="AL755" s="153" t="s">
        <v>760</v>
      </c>
      <c r="AM755" s="153" t="s">
        <v>765</v>
      </c>
      <c r="AN755" s="3" t="s">
        <v>149</v>
      </c>
      <c r="AO755" s="156">
        <v>1.0</v>
      </c>
      <c r="AP755" s="156" t="s">
        <v>6037</v>
      </c>
      <c r="AQ755" s="158" t="s">
        <v>6027</v>
      </c>
      <c r="AR755" s="153" t="s">
        <v>783</v>
      </c>
      <c r="AS755" s="165" t="s">
        <v>784</v>
      </c>
      <c r="AT755" s="3" t="s">
        <v>149</v>
      </c>
      <c r="AU755" s="3" t="s">
        <v>149</v>
      </c>
    </row>
    <row r="756">
      <c r="A756" s="186">
        <v>378.0</v>
      </c>
      <c r="B756" s="152">
        <v>2025.0</v>
      </c>
      <c r="C756" s="153" t="str">
        <f t="shared" si="83"/>
        <v>2023-PH112402000-378</v>
      </c>
      <c r="D756" s="152">
        <f t="shared" si="84"/>
        <v>2023</v>
      </c>
      <c r="E756" s="151">
        <v>378.0</v>
      </c>
      <c r="F756" s="129" t="s">
        <v>140</v>
      </c>
      <c r="G756" s="156" t="s">
        <v>141</v>
      </c>
      <c r="H756" s="153" t="str">
        <f>IFERROR(__xludf.DUMMYFUNCTION("""COMPUTED_VALUE"""),"**Restoration_project** changed from Build-a-Reef Project to Artificial Reefs Project, **Restoration_project_short** changed from Site inside MPAs in Brgy Vicente Hizon,Lanang and Barangay Centro; Build-A-Reef project is one of the four major activities c"&amp;"arried out by the Foundation to preserve and protect the environment, the others being tree planting, coastal cleanup, and the adoption of a Philippine eagle. to Site inside MPA in Brgy Bago Aplaya, **Restoration objective** changed from Habitat for fish "&amp;"species; fish production to Development of fisherfolk community; preservation of coastal resources, **Funding agency** changed from Phoenix Philippines Foundation to Davao City Water District, **Total area of restoration** changed from 110cm x 70 cm each "&amp;"to Unknown, **Total units** changed from 30 units to 5 units, **Implementing institution** changed from Phoenix Philippines Foundation to Davao City Water District, **Partners_public** changed from Philippine Coast Guard to Philippine Navy; BFAR; CLGU, **"&amp;"Partners_private** changed from Philippine Coast Guard Auxiliary to Unknown, **Partners_communities** changed from Unknown to Brgy Aplaya residents, **Reference** changed from Phoenix helps save marine life through artificial reefs (2017, October 13). Pho"&amp;"enix Petroleum. https://www.phoenixfuels.ph/phoenix-helps-save-marine-life-through-artificial-reefs/ to Ajero, W. (n.d.). DCWD installs artificial reefs in Bago Aplaya. Davao City Water District. https://www.davao-water.gov.ph/home/pages/post.php?link=_GP"&amp;"rHoZaGZDEFMzRxVnu, **Website** changed from https://www.phoenixfuels.ph/phoenix-helps-save-marine-life-through-artificial-reefs/ to https://www.davao-water.gov.ph/home/pages/post.php?link=_GPrHoZaGZDEFMzRxVnu; https://www.pressreader.com/philippines/sunst"&amp;"ar-davao/20170803/281608125516436")</f>
        <v>**Restoration_project** changed from Build-a-Reef Project to Artificial Reefs Project, **Restoration_project_short** changed from Site inside MPAs in Brgy Vicente Hizon,Lanang and Barangay Centro; Build-A-Reef project is one of the four major activities carried out by the Foundation to preserve and protect the environment, the others being tree planting, coastal cleanup, and the adoption of a Philippine eagle. to Site inside MPA in Brgy Bago Aplaya, **Restoration objective** changed from Habitat for fish species; fish production to Development of fisherfolk community; preservation of coastal resources, **Funding agency** changed from Phoenix Philippines Foundation to Davao City Water District, **Total area of restoration** changed from 110cm x 70 cm each to Unknown, **Total units** changed from 30 units to 5 units, **Implementing institution** changed from Phoenix Philippines Foundation to Davao City Water District, **Partners_public** changed from Philippine Coast Guard to Philippine Navy; BFAR; CLGU, **Partners_private** changed from Philippine Coast Guard Auxiliary to Unknown, **Partners_communities** changed from Unknown to Brgy Aplaya residents, **Reference** changed from Phoenix helps save marine life through artificial reefs (2017, October 13). Phoenix Petroleum. https://www.phoenixfuels.ph/phoenix-helps-save-marine-life-through-artificial-reefs/ to Ajero, W. (n.d.). DCWD installs artificial reefs in Bago Aplaya. Davao City Water District. https://www.davao-water.gov.ph/home/pages/post.php?link=_GPrHoZaGZDEFMzRxVnu, **Website** changed from https://www.phoenixfuels.ph/phoenix-helps-save-marine-life-through-artificial-reefs/ to https://www.davao-water.gov.ph/home/pages/post.php?link=_GPrHoZaGZDEFMzRxVnu; https://www.pressreader.com/philippines/sunstar-davao/20170803/281608125516436</v>
      </c>
      <c r="I756" s="153" t="s">
        <v>7528</v>
      </c>
      <c r="J756" s="153" t="s">
        <v>330</v>
      </c>
      <c r="K756" s="153" t="s">
        <v>615</v>
      </c>
      <c r="L756" s="153" t="s">
        <v>7511</v>
      </c>
      <c r="M756" s="181" t="s">
        <v>617</v>
      </c>
      <c r="N756" s="153" t="s">
        <v>151</v>
      </c>
      <c r="O756" s="153" t="s">
        <v>668</v>
      </c>
      <c r="P756" s="153" t="s">
        <v>669</v>
      </c>
      <c r="Q756" s="169">
        <v>2017.0</v>
      </c>
      <c r="R756" s="160" t="s">
        <v>149</v>
      </c>
      <c r="S756" s="160" t="s">
        <v>149</v>
      </c>
      <c r="T756" s="161" t="s">
        <v>150</v>
      </c>
      <c r="U756" s="153">
        <f>IFERROR(__xludf.DUMMYFUNCTION("""COMPUTED_VALUE"""),728.0)</f>
        <v>728</v>
      </c>
      <c r="V756" s="162" t="s">
        <v>3311</v>
      </c>
      <c r="W756" s="184" t="s">
        <v>6032</v>
      </c>
      <c r="X756" s="28" t="s">
        <v>6173</v>
      </c>
      <c r="Y756" s="32" t="s">
        <v>361</v>
      </c>
      <c r="Z756" s="158" t="s">
        <v>670</v>
      </c>
      <c r="AA756" s="158" t="s">
        <v>670</v>
      </c>
      <c r="AB756" s="158" t="s">
        <v>673</v>
      </c>
      <c r="AC756" s="153" t="s">
        <v>674</v>
      </c>
      <c r="AD756" s="158" t="s">
        <v>160</v>
      </c>
      <c r="AE756" s="158" t="s">
        <v>6035</v>
      </c>
      <c r="AF756" s="158" t="s">
        <v>159</v>
      </c>
      <c r="AG756" s="164" t="s">
        <v>149</v>
      </c>
      <c r="AH756" s="158" t="s">
        <v>149</v>
      </c>
      <c r="AI756" s="153" t="s">
        <v>675</v>
      </c>
      <c r="AJ756" s="158" t="s">
        <v>674</v>
      </c>
      <c r="AK756" s="153" t="s">
        <v>6035</v>
      </c>
      <c r="AL756" s="153" t="s">
        <v>676</v>
      </c>
      <c r="AM756" s="156" t="s">
        <v>149</v>
      </c>
      <c r="AN756" s="158" t="s">
        <v>677</v>
      </c>
      <c r="AO756" s="156">
        <v>1.0</v>
      </c>
      <c r="AP756" s="156" t="s">
        <v>6037</v>
      </c>
      <c r="AQ756" s="158" t="s">
        <v>6027</v>
      </c>
      <c r="AR756" s="153" t="s">
        <v>678</v>
      </c>
      <c r="AS756" s="153" t="s">
        <v>679</v>
      </c>
      <c r="AT756" s="3" t="s">
        <v>149</v>
      </c>
      <c r="AU756" s="3" t="s">
        <v>149</v>
      </c>
    </row>
    <row r="757">
      <c r="A757" s="186">
        <v>378.0</v>
      </c>
      <c r="B757" s="152">
        <v>2023.0</v>
      </c>
      <c r="D757" s="152"/>
      <c r="E757" s="151">
        <v>378.0</v>
      </c>
      <c r="F757" s="129" t="s">
        <v>140</v>
      </c>
      <c r="G757" s="3" t="s">
        <v>6029</v>
      </c>
      <c r="H757" s="8" t="str">
        <f>IFERROR(__xludf.DUMMYFUNCTION("""COMPUTED_VALUE"""),"")</f>
        <v/>
      </c>
      <c r="I757" s="8" t="s">
        <v>7529</v>
      </c>
      <c r="J757" s="8" t="s">
        <v>330</v>
      </c>
      <c r="K757" s="8" t="s">
        <v>999</v>
      </c>
      <c r="L757" s="158" t="s">
        <v>7530</v>
      </c>
      <c r="M757" s="8" t="s">
        <v>1001</v>
      </c>
      <c r="N757" s="8" t="s">
        <v>151</v>
      </c>
      <c r="O757" s="3" t="s">
        <v>149</v>
      </c>
      <c r="P757" s="8" t="s">
        <v>7531</v>
      </c>
      <c r="Q757" s="142" t="s">
        <v>6328</v>
      </c>
      <c r="R757" s="3" t="s">
        <v>149</v>
      </c>
      <c r="S757" s="3" t="s">
        <v>149</v>
      </c>
      <c r="T757" s="8"/>
      <c r="U757" s="8">
        <f>IFERROR(__xludf.DUMMYFUNCTION("""COMPUTED_VALUE"""),729.0)</f>
        <v>729</v>
      </c>
      <c r="V757" s="8"/>
      <c r="W757" s="3"/>
      <c r="X757" s="8"/>
      <c r="Y757" s="8"/>
      <c r="AA757" s="3" t="s">
        <v>149</v>
      </c>
      <c r="AB757" s="3" t="s">
        <v>149</v>
      </c>
      <c r="AC757" s="3" t="s">
        <v>149</v>
      </c>
      <c r="AG757" s="3" t="s">
        <v>149</v>
      </c>
      <c r="AH757" s="3" t="s">
        <v>149</v>
      </c>
      <c r="AI757" s="3" t="s">
        <v>149</v>
      </c>
      <c r="AJ757" s="8" t="s">
        <v>369</v>
      </c>
      <c r="AL757" s="3" t="s">
        <v>149</v>
      </c>
      <c r="AM757" s="3" t="s">
        <v>149</v>
      </c>
      <c r="AN757" s="3" t="s">
        <v>149</v>
      </c>
      <c r="AO757" s="8"/>
      <c r="AP757" s="8"/>
      <c r="AR757" s="8" t="s">
        <v>166</v>
      </c>
      <c r="AS757" s="8" t="s">
        <v>7532</v>
      </c>
      <c r="AT757" s="3" t="s">
        <v>149</v>
      </c>
      <c r="AU757" s="3" t="s">
        <v>149</v>
      </c>
    </row>
    <row r="758">
      <c r="A758" s="186">
        <v>379.0</v>
      </c>
      <c r="B758" s="152">
        <v>2025.0</v>
      </c>
      <c r="C758" s="153" t="str">
        <f>CONCATENATE(D758, "-", M758, "-", A758)
</f>
        <v>2023-PH112402000-379</v>
      </c>
      <c r="D758" s="152">
        <f>IF(OR(F757="Published", F757="Unpublished"), 2023, IF(F757="New", 2025, ""))
</f>
        <v>2023</v>
      </c>
      <c r="E758" s="151">
        <v>379.0</v>
      </c>
      <c r="F758" s="156" t="s">
        <v>191</v>
      </c>
      <c r="G758" s="156" t="s">
        <v>191</v>
      </c>
      <c r="H758" s="153" t="str">
        <f>IFERROR(__xludf.DUMMYFUNCTION("""COMPUTED_VALUE"""),"**Restoration_project** changed from Unknown to Artificial Reefs Project, **Restoration_project_short** changed from *Installation mentioned as part of Pujada Bay Festival to Site in an MPA in the Davao Gulf, **Year of establishment** changed from 2004 to"&amp;" 2017, **Technique/Material Type** changed from Unknown to Concrete; Domes, **Restoration objective** changed from Unknown to Fisheries livelihoods, **Funding agency** changed from Unknown to Philippine Navy - Naval Forces Eastern Mindanao, **Total units*"&amp;"* changed from Unknown to 14 units, **Implementing institution** changed from MLGU to Philippine Navy - Naval Forces Eastern Mindanao, **Partners_public** changed from Unknown to BFAR; CLGU, **Partners_private** changed from Unknown to Davao City Water Di"&amp;"strict, **Reference** changed from News/Press Release to UNTV News and Rescue (2017, August 24). Naval Forces in Eastern Mindanao conducts coral reef restoration in Davao City [Video]. https://www.youtube.com/watch?v=J2E9tUJsTVo, **Website** changed from "&amp;"http://archives.pia.gov.ph/?m=12&amp;sec=reader&amp;rp=1&amp;fi=p040320.htm&amp;no=8&amp;date=03/20/2004 to https://www.youtube.com/watch?v=J2E9tUJsTVo")</f>
        <v>**Restoration_project** changed from Unknown to Artificial Reefs Project, **Restoration_project_short** changed from *Installation mentioned as part of Pujada Bay Festival to Site in an MPA in the Davao Gulf, **Year of establishment** changed from 2004 to 2017, **Technique/Material Type** changed from Unknown to Concrete; Domes, **Restoration objective** changed from Unknown to Fisheries livelihoods, **Funding agency** changed from Unknown to Philippine Navy - Naval Forces Eastern Mindanao, **Total units** changed from Unknown to 14 units, **Implementing institution** changed from MLGU to Philippine Navy - Naval Forces Eastern Mindanao, **Partners_public** changed from Unknown to BFAR; CLGU, **Partners_private** changed from Unknown to Davao City Water District, **Reference** changed from News/Press Release to UNTV News and Rescue (2017, August 24). Naval Forces in Eastern Mindanao conducts coral reef restoration in Davao City [Video]. https://www.youtube.com/watch?v=J2E9tUJsTVo, **Website** changed from http://archives.pia.gov.ph/?m=12&amp;sec=reader&amp;rp=1&amp;fi=p040320.htm&amp;no=8&amp;date=03/20/2004 to https://www.youtube.com/watch?v=J2E9tUJsTVo</v>
      </c>
      <c r="I758" s="153" t="s">
        <v>7533</v>
      </c>
      <c r="J758" s="153" t="s">
        <v>330</v>
      </c>
      <c r="K758" s="153" t="s">
        <v>615</v>
      </c>
      <c r="L758" s="153" t="s">
        <v>7511</v>
      </c>
      <c r="M758" s="181" t="s">
        <v>617</v>
      </c>
      <c r="N758" s="153" t="s">
        <v>151</v>
      </c>
      <c r="O758" s="153" t="s">
        <v>668</v>
      </c>
      <c r="P758" s="153" t="s">
        <v>681</v>
      </c>
      <c r="Q758" s="169">
        <v>2017.0</v>
      </c>
      <c r="R758" s="160" t="s">
        <v>149</v>
      </c>
      <c r="S758" s="160" t="s">
        <v>149</v>
      </c>
      <c r="T758" s="161" t="s">
        <v>150</v>
      </c>
      <c r="U758" s="153">
        <f>IFERROR(__xludf.DUMMYFUNCTION("""COMPUTED_VALUE"""),730.0)</f>
        <v>730</v>
      </c>
      <c r="V758" s="162" t="s">
        <v>3311</v>
      </c>
      <c r="W758" s="184" t="s">
        <v>6032</v>
      </c>
      <c r="X758" s="28" t="s">
        <v>6173</v>
      </c>
      <c r="Y758" s="32" t="s">
        <v>361</v>
      </c>
      <c r="Z758" s="158" t="s">
        <v>670</v>
      </c>
      <c r="AA758" s="158" t="s">
        <v>670</v>
      </c>
      <c r="AB758" s="153" t="s">
        <v>684</v>
      </c>
      <c r="AC758" s="153" t="s">
        <v>685</v>
      </c>
      <c r="AD758" s="158" t="s">
        <v>160</v>
      </c>
      <c r="AE758" s="158" t="s">
        <v>6035</v>
      </c>
      <c r="AF758" s="158" t="s">
        <v>159</v>
      </c>
      <c r="AG758" s="164" t="s">
        <v>149</v>
      </c>
      <c r="AH758" s="158" t="s">
        <v>149</v>
      </c>
      <c r="AI758" s="153" t="s">
        <v>687</v>
      </c>
      <c r="AJ758" s="153" t="s">
        <v>685</v>
      </c>
      <c r="AK758" s="153" t="s">
        <v>6035</v>
      </c>
      <c r="AL758" s="153" t="s">
        <v>688</v>
      </c>
      <c r="AM758" s="153" t="s">
        <v>674</v>
      </c>
      <c r="AN758" s="156" t="s">
        <v>149</v>
      </c>
      <c r="AO758" s="156">
        <v>1.0</v>
      </c>
      <c r="AP758" s="156" t="s">
        <v>6037</v>
      </c>
      <c r="AQ758" s="158" t="s">
        <v>6038</v>
      </c>
      <c r="AR758" s="153" t="s">
        <v>7534</v>
      </c>
      <c r="AS758" s="165" t="s">
        <v>7535</v>
      </c>
      <c r="AT758" s="3" t="s">
        <v>149</v>
      </c>
      <c r="AU758" s="3" t="s">
        <v>149</v>
      </c>
      <c r="AV758" s="8" t="s">
        <v>6109</v>
      </c>
    </row>
    <row r="759">
      <c r="A759" s="186">
        <v>379.0</v>
      </c>
      <c r="B759" s="152">
        <v>2023.0</v>
      </c>
      <c r="D759" s="152"/>
      <c r="E759" s="151">
        <v>379.0</v>
      </c>
      <c r="F759" s="129" t="s">
        <v>140</v>
      </c>
      <c r="G759" s="3" t="s">
        <v>6029</v>
      </c>
      <c r="H759" s="8" t="str">
        <f>IFERROR(__xludf.DUMMYFUNCTION("""COMPUTED_VALUE"""),"")</f>
        <v/>
      </c>
      <c r="I759" s="8" t="s">
        <v>7536</v>
      </c>
      <c r="J759" s="8" t="s">
        <v>330</v>
      </c>
      <c r="K759" s="8" t="s">
        <v>999</v>
      </c>
      <c r="L759" s="8" t="s">
        <v>3178</v>
      </c>
      <c r="M759" s="8" t="s">
        <v>3179</v>
      </c>
      <c r="N759" s="8" t="s">
        <v>151</v>
      </c>
      <c r="O759" s="3" t="s">
        <v>149</v>
      </c>
      <c r="P759" s="3" t="s">
        <v>7537</v>
      </c>
      <c r="Q759" s="3" t="s">
        <v>149</v>
      </c>
      <c r="R759" s="3" t="s">
        <v>149</v>
      </c>
      <c r="S759" s="3" t="s">
        <v>149</v>
      </c>
      <c r="T759" s="8"/>
      <c r="U759" s="8">
        <f>IFERROR(__xludf.DUMMYFUNCTION("""COMPUTED_VALUE"""),731.0)</f>
        <v>731</v>
      </c>
      <c r="V759" s="8"/>
      <c r="W759" s="3"/>
      <c r="X759" s="8"/>
      <c r="Y759" s="8"/>
      <c r="AA759" s="3" t="s">
        <v>149</v>
      </c>
      <c r="AB759" s="3" t="s">
        <v>149</v>
      </c>
      <c r="AC759" s="3" t="s">
        <v>149</v>
      </c>
      <c r="AG759" s="3" t="s">
        <v>149</v>
      </c>
      <c r="AH759" s="3" t="s">
        <v>149</v>
      </c>
      <c r="AI759" s="3" t="s">
        <v>149</v>
      </c>
      <c r="AJ759" s="8" t="s">
        <v>369</v>
      </c>
      <c r="AL759" s="3" t="s">
        <v>149</v>
      </c>
      <c r="AM759" s="3" t="s">
        <v>149</v>
      </c>
      <c r="AN759" s="3" t="s">
        <v>149</v>
      </c>
      <c r="AO759" s="8"/>
      <c r="AP759" s="8"/>
      <c r="AR759" s="8" t="s">
        <v>6027</v>
      </c>
      <c r="AS759" s="172" t="s">
        <v>2105</v>
      </c>
      <c r="AT759" s="3" t="s">
        <v>149</v>
      </c>
      <c r="AU759" s="3" t="s">
        <v>149</v>
      </c>
    </row>
    <row r="760">
      <c r="A760" s="186">
        <v>380.0</v>
      </c>
      <c r="B760" s="152">
        <v>2025.0</v>
      </c>
      <c r="C760" s="153" t="str">
        <f>CONCATENATE(D760, "-", M760, "-", A760)
</f>
        <v>2023-PH112402000-380</v>
      </c>
      <c r="D760" s="152">
        <f>IF(OR(F759="Published", F759="Unpublished"), 2023, IF(F759="New", 2025, ""))
</f>
        <v>2023</v>
      </c>
      <c r="E760" s="151">
        <v>380.0</v>
      </c>
      <c r="F760" s="129" t="s">
        <v>140</v>
      </c>
      <c r="G760" s="156" t="s">
        <v>141</v>
      </c>
      <c r="H760" s="153" t="str">
        <f>IFERROR(__xludf.DUMMYFUNCTION("""COMPUTED_VALUE"""),"**Restoration_project_short** changed from Mention of artificial reef deployment as part of the LGU's CRM activities to Unknown, **Year of establishment** changed from Unknown to 2012, **Technique/Material Type** changed from Unknown to Concrete; Domes, *"&amp;"*Restoration objective** changed from Unknown to Improve environmental conditions; Fisheries livelihood, **Implementing institution** changed from MLGU to Paolo Colminares of San Pedro College, **Partners_private** changed from Unknown to GMA Davao, **Ref"&amp;"erence** changed from Website to GMA Integrated News (2012, September 13). BP: Artificial reef: handog ng ilang biology students (Davao) [Video]. Youtube. https://www.youtube.com/watch?v=6AfF_6TG2jE, **Website** changed from http://oneocean.org/about_crmp"&amp;"/98search.html to https://www.youtube.com/watch?v=6AfF_6TG2jE")</f>
        <v>**Restoration_project_short** changed from Mention of artificial reef deployment as part of the LGU's CRM activities to Unknown, **Year of establishment** changed from Unknown to 2012, **Technique/Material Type** changed from Unknown to Concrete; Domes, **Restoration objective** changed from Unknown to Improve environmental conditions; Fisheries livelihood, **Implementing institution** changed from MLGU to Paolo Colminares of San Pedro College, **Partners_private** changed from Unknown to GMA Davao, **Reference** changed from Website to GMA Integrated News (2012, September 13). BP: Artificial reef: handog ng ilang biology students (Davao) [Video]. Youtube. https://www.youtube.com/watch?v=6AfF_6TG2jE, **Website** changed from http://oneocean.org/about_crmp/98search.html to https://www.youtube.com/watch?v=6AfF_6TG2jE</v>
      </c>
      <c r="I760" s="153" t="s">
        <v>7538</v>
      </c>
      <c r="J760" s="153" t="s">
        <v>330</v>
      </c>
      <c r="K760" s="153" t="s">
        <v>615</v>
      </c>
      <c r="L760" s="153" t="s">
        <v>7511</v>
      </c>
      <c r="M760" s="181" t="s">
        <v>617</v>
      </c>
      <c r="N760" s="153" t="s">
        <v>151</v>
      </c>
      <c r="O760" s="3" t="s">
        <v>149</v>
      </c>
      <c r="P760" s="3" t="s">
        <v>149</v>
      </c>
      <c r="Q760" s="169">
        <v>2012.0</v>
      </c>
      <c r="R760" s="160" t="s">
        <v>149</v>
      </c>
      <c r="S760" s="160" t="s">
        <v>149</v>
      </c>
      <c r="T760" s="161" t="s">
        <v>150</v>
      </c>
      <c r="U760" s="153">
        <f>IFERROR(__xludf.DUMMYFUNCTION("""COMPUTED_VALUE"""),732.0)</f>
        <v>732</v>
      </c>
      <c r="V760" s="162" t="s">
        <v>3311</v>
      </c>
      <c r="W760" s="184" t="s">
        <v>6032</v>
      </c>
      <c r="X760" s="28" t="s">
        <v>6173</v>
      </c>
      <c r="Y760" s="32" t="s">
        <v>361</v>
      </c>
      <c r="Z760" s="158" t="s">
        <v>670</v>
      </c>
      <c r="AA760" s="158" t="s">
        <v>670</v>
      </c>
      <c r="AB760" s="158" t="s">
        <v>2579</v>
      </c>
      <c r="AC760" s="158" t="s">
        <v>149</v>
      </c>
      <c r="AD760" s="158" t="s">
        <v>149</v>
      </c>
      <c r="AE760" s="158" t="s">
        <v>149</v>
      </c>
      <c r="AF760" s="158" t="s">
        <v>159</v>
      </c>
      <c r="AG760" s="164" t="s">
        <v>149</v>
      </c>
      <c r="AH760" s="158" t="s">
        <v>149</v>
      </c>
      <c r="AI760" s="158" t="s">
        <v>149</v>
      </c>
      <c r="AJ760" s="158" t="s">
        <v>2580</v>
      </c>
      <c r="AK760" s="158" t="s">
        <v>7294</v>
      </c>
      <c r="AL760" s="3" t="s">
        <v>149</v>
      </c>
      <c r="AM760" s="153" t="s">
        <v>2581</v>
      </c>
      <c r="AN760" s="3" t="s">
        <v>149</v>
      </c>
      <c r="AO760" s="156">
        <v>1.0</v>
      </c>
      <c r="AP760" s="156" t="s">
        <v>6037</v>
      </c>
      <c r="AQ760" s="158" t="s">
        <v>6038</v>
      </c>
      <c r="AR760" s="153" t="s">
        <v>2582</v>
      </c>
      <c r="AS760" s="165" t="s">
        <v>2583</v>
      </c>
      <c r="AT760" s="3" t="s">
        <v>149</v>
      </c>
      <c r="AU760" s="3" t="s">
        <v>149</v>
      </c>
    </row>
    <row r="761">
      <c r="A761" s="186">
        <v>380.0</v>
      </c>
      <c r="B761" s="152">
        <v>2023.0</v>
      </c>
      <c r="D761" s="152"/>
      <c r="E761" s="151">
        <v>380.0</v>
      </c>
      <c r="F761" s="129" t="s">
        <v>648</v>
      </c>
      <c r="G761" s="3" t="s">
        <v>3279</v>
      </c>
      <c r="H761" s="8" t="str">
        <f>IFERROR(__xludf.DUMMYFUNCTION("""COMPUTED_VALUE"""),"")</f>
        <v/>
      </c>
      <c r="I761" s="8" t="s">
        <v>7539</v>
      </c>
      <c r="J761" s="8" t="s">
        <v>356</v>
      </c>
      <c r="K761" s="8" t="s">
        <v>3569</v>
      </c>
      <c r="L761" s="8" t="s">
        <v>5680</v>
      </c>
      <c r="M761" s="8" t="s">
        <v>5681</v>
      </c>
      <c r="O761" s="8" t="s">
        <v>6113</v>
      </c>
      <c r="P761" s="8" t="s">
        <v>7540</v>
      </c>
      <c r="Q761" s="142"/>
      <c r="R761" s="142"/>
      <c r="S761" s="142"/>
      <c r="U761" s="8">
        <f>IFERROR(__xludf.DUMMYFUNCTION("""COMPUTED_VALUE"""),733.0)</f>
        <v>733</v>
      </c>
      <c r="V761" s="8"/>
      <c r="W761" s="8"/>
      <c r="AG761" s="142"/>
      <c r="AO761" s="8"/>
      <c r="AP761" s="8"/>
    </row>
    <row r="762">
      <c r="A762" s="186">
        <v>381.0</v>
      </c>
      <c r="B762" s="152">
        <v>2025.0</v>
      </c>
      <c r="C762" s="153" t="str">
        <f>CONCATENATE(D762, "-", M762, "-", A762)
</f>
        <v>2023-PH112509000-381</v>
      </c>
      <c r="D762" s="152">
        <f>IF(OR(F761="Published", F761="Unpublished"), 2023, IF(F761="New", 2025, ""))
</f>
        <v>2023</v>
      </c>
      <c r="E762" s="151">
        <v>381.0</v>
      </c>
      <c r="F762" s="176" t="s">
        <v>140</v>
      </c>
      <c r="G762" s="176" t="s">
        <v>141</v>
      </c>
      <c r="H762" s="158" t="str">
        <f>IFERROR(__xludf.DUMMYFUNCTION("""COMPUTED_VALUE"""),"**Region** changed from XII to XI, **Restoration_project** changed from *Not indicated to Coral Reef Regeneration Project, **Restoration_project_short** changed from *There's a project monitoring report from BFAR stating purchase of artificial reefs for S"&amp;"ultan Kudarat LGUs but there are no documents available to know if the purchase proceeded to Site in Brgy Bobon, Pujada Bay, **Year of establishment** changed from to 2024, **Project Start** changed from to 2024, **Project End** changed from to Unknown, *"&amp;"*Restoration method** changed from to Artificial Reef, **Technique/Material Type** changed from to Concrete; 3D printed clay bricks, **Restoration objective** changed from to Habitat for marine life, **Funding agency** changed from to Rethinking, Rebuildi"&amp;"ng, and Regenerating Coral Reefs (rrreefs), **Total funding** changed from to Unknown, **Total area of restoration** changed from to 100 meters, **Total units** changed from to 500 concrete base units; 820 3D-printed clay brick modules, **Implementing ins"&amp;"titution** changed from to Davao Oriental State University - Regional Integrated Coastal Resource Management Center, **Partners_public** changed from to Unknown, **Partners_private** changed from to RRREEFS; Holcim Cement, **Partners_communities** changed"&amp;" from to Unknown, **Reference** changed from to Relator, R. (2024, Mar. 12). Reef made of clay bricks put up in Mati City, Davao Oriental. GMA Regional TV. https://www.gmanetwork.com/regionaltv/features/100891/reef-made-of-clay-bricks-put-up-in-mati-city-"&amp;"davao-oriental/story/, **Website** changed from to https://www.gmanetwork.com/regionaltv/features/100891/reef-made-of-clay-bricks-put-up-in-mati-city-davao-oriental/story/; https://www.sunstar.com.ph/davao/feature/holcim-supports-startup-rrreefs-in-restor"&amp;"ing-coastal-areas-in-mati; https://www.facebook.com/maticitylgu/posts/look-marine-life-is-slowly-settling-in-the-artificial-reef-laid-down-by-several-/824622969706980/, **Contact_name** changed from to Unknown, **Contact_details** changed from to Unknown")</f>
        <v>**Region** changed from XII to XI, **Restoration_project** changed from *Not indicated to Coral Reef Regeneration Project, **Restoration_project_short** changed from *There's a project monitoring report from BFAR stating purchase of artificial reefs for Sultan Kudarat LGUs but there are no documents available to know if the purchase proceeded to Site in Brgy Bobon, Pujada Bay, **Year of establishment** changed from to 2024, **Project Start** changed from to 2024, **Project End** changed from to Unknown, **Restoration method** changed from to Artificial Reef, **Technique/Material Type** changed from to Concrete; 3D printed clay bricks, **Restoration objective** changed from to Habitat for marine life, **Funding agency** changed from to Rethinking, Rebuilding, and Regenerating Coral Reefs (rrreefs), **Total funding** changed from to Unknown, **Total area of restoration** changed from to 100 meters, **Total units** changed from to 500 concrete base units; 820 3D-printed clay brick modules, **Implementing institution** changed from to Davao Oriental State University - Regional Integrated Coastal Resource Management Center, **Partners_public** changed from to Unknown, **Partners_private** changed from to RRREEFS; Holcim Cement, **Partners_communities** changed from to Unknown, **Reference** changed from to Relator, R. (2024, Mar. 12). Reef made of clay bricks put up in Mati City, Davao Oriental. GMA Regional TV. https://www.gmanetwork.com/regionaltv/features/100891/reef-made-of-clay-bricks-put-up-in-mati-city-davao-oriental/story/, **Website** changed from to https://www.gmanetwork.com/regionaltv/features/100891/reef-made-of-clay-bricks-put-up-in-mati-city-davao-oriental/story/; https://www.sunstar.com.ph/davao/feature/holcim-supports-startup-rrreefs-in-restoring-coastal-areas-in-mati; https://www.facebook.com/maticitylgu/posts/look-marine-life-is-slowly-settling-in-the-artificial-reef-laid-down-by-several-/824622969706980/, **Contact_name** changed from to Unknown, **Contact_details** changed from to Unknown</v>
      </c>
      <c r="I762" s="158" t="s">
        <v>7541</v>
      </c>
      <c r="J762" s="158" t="s">
        <v>330</v>
      </c>
      <c r="K762" s="158" t="s">
        <v>999</v>
      </c>
      <c r="L762" s="158" t="s">
        <v>7530</v>
      </c>
      <c r="M762" s="164" t="s">
        <v>1001</v>
      </c>
      <c r="N762" s="158" t="s">
        <v>151</v>
      </c>
      <c r="O762" s="158" t="s">
        <v>1002</v>
      </c>
      <c r="P762" s="158" t="s">
        <v>1003</v>
      </c>
      <c r="Q762" s="178">
        <v>2024.0</v>
      </c>
      <c r="R762" s="160" t="s">
        <v>16</v>
      </c>
      <c r="S762" s="160" t="s">
        <v>149</v>
      </c>
      <c r="T762" s="206" t="s">
        <v>150</v>
      </c>
      <c r="U762" s="158">
        <f>IFERROR(__xludf.DUMMYFUNCTION("""COMPUTED_VALUE"""),734.0)</f>
        <v>734</v>
      </c>
      <c r="V762" s="162" t="s">
        <v>3311</v>
      </c>
      <c r="W762" s="184" t="s">
        <v>6032</v>
      </c>
      <c r="X762" s="28" t="s">
        <v>6173</v>
      </c>
      <c r="Y762" s="32" t="s">
        <v>7542</v>
      </c>
      <c r="Z762" s="158" t="s">
        <v>1005</v>
      </c>
      <c r="AA762" s="158" t="s">
        <v>1005</v>
      </c>
      <c r="AB762" s="158" t="s">
        <v>1006</v>
      </c>
      <c r="AC762" s="158" t="s">
        <v>1007</v>
      </c>
      <c r="AD762" s="158" t="s">
        <v>6154</v>
      </c>
      <c r="AE762" s="158" t="s">
        <v>184</v>
      </c>
      <c r="AF762" s="158" t="s">
        <v>159</v>
      </c>
      <c r="AG762" s="164" t="s">
        <v>149</v>
      </c>
      <c r="AH762" s="158" t="s">
        <v>7543</v>
      </c>
      <c r="AI762" s="158" t="s">
        <v>1009</v>
      </c>
      <c r="AJ762" s="158" t="s">
        <v>1010</v>
      </c>
      <c r="AK762" s="158" t="s">
        <v>6068</v>
      </c>
      <c r="AL762" s="3" t="s">
        <v>149</v>
      </c>
      <c r="AM762" s="158" t="s">
        <v>1011</v>
      </c>
      <c r="AN762" s="3" t="s">
        <v>149</v>
      </c>
      <c r="AO762" s="156">
        <v>1.0</v>
      </c>
      <c r="AP762" s="156" t="s">
        <v>6037</v>
      </c>
      <c r="AQ762" s="158" t="s">
        <v>166</v>
      </c>
      <c r="AR762" s="158" t="s">
        <v>7544</v>
      </c>
      <c r="AS762" s="177" t="s">
        <v>1013</v>
      </c>
      <c r="AT762" s="3" t="s">
        <v>149</v>
      </c>
      <c r="AU762" s="3" t="s">
        <v>149</v>
      </c>
    </row>
    <row r="763">
      <c r="A763" s="186">
        <v>381.0</v>
      </c>
      <c r="B763" s="152">
        <v>2023.0</v>
      </c>
      <c r="D763" s="152"/>
      <c r="E763" s="151">
        <v>381.0</v>
      </c>
      <c r="F763" s="129" t="s">
        <v>648</v>
      </c>
      <c r="G763" s="3" t="s">
        <v>3279</v>
      </c>
      <c r="H763" s="8" t="str">
        <f>IFERROR(__xludf.DUMMYFUNCTION("""COMPUTED_VALUE"""),"")</f>
        <v/>
      </c>
      <c r="I763" s="8" t="s">
        <v>7545</v>
      </c>
      <c r="J763" s="8" t="s">
        <v>356</v>
      </c>
      <c r="K763" s="8" t="s">
        <v>3569</v>
      </c>
      <c r="L763" s="8" t="s">
        <v>5682</v>
      </c>
      <c r="M763" s="8" t="s">
        <v>5683</v>
      </c>
      <c r="O763" s="8" t="s">
        <v>6113</v>
      </c>
      <c r="P763" s="8" t="s">
        <v>7540</v>
      </c>
      <c r="Q763" s="142"/>
      <c r="R763" s="142"/>
      <c r="S763" s="142"/>
      <c r="U763" s="8">
        <f>IFERROR(__xludf.DUMMYFUNCTION("""COMPUTED_VALUE"""),735.0)</f>
        <v>735</v>
      </c>
      <c r="V763" s="8"/>
      <c r="W763" s="8"/>
      <c r="AG763" s="142"/>
      <c r="AO763" s="8"/>
      <c r="AP763" s="8"/>
    </row>
    <row r="764">
      <c r="A764" s="186">
        <v>382.0</v>
      </c>
      <c r="B764" s="152">
        <v>2025.0</v>
      </c>
      <c r="C764" s="153" t="str">
        <f>CONCATENATE(D764, "-", M764, "-", A764)
</f>
        <v>2023-PH112510000-382</v>
      </c>
      <c r="D764" s="152">
        <f>IF(OR(F763="Published", F763="Unpublished"), 2023, IF(F763="New", 2025, ""))
</f>
        <v>2023</v>
      </c>
      <c r="E764" s="151">
        <v>382.0</v>
      </c>
      <c r="F764" s="156" t="s">
        <v>140</v>
      </c>
      <c r="G764" s="156" t="s">
        <v>141</v>
      </c>
      <c r="H764" s="153" t="str">
        <f>IFERROR(__xludf.DUMMYFUNCTION("""COMPUTED_VALUE"""),"**Region** changed from XII to XI, **Restoration_project** changed from *Not indicated to Unknown, **Restoration_project_short** changed from *There's a project monitoring report from BFAR stating purchase of artificial reefs for Sultan Kudarat LGUs but t"&amp;"here are no documents available to know if the purchase proceeded to Mention of artificial reef deployment as part of the LGU's CRM activities, **Year of establishment** changed from to Unknown, **Project Start** changed from to Unknown, **Project End** c"&amp;"hanged from to Unknown, **Restoration method** changed from to Artificial Reef, **Technique/Material Type** changed from to Unknown, **Restoration objective** changed from to Unknown, **Funding agency** changed from to Unknown, **Total funding** changed f"&amp;"rom to Unknown, **Total area of restoration** changed from to Unknown, **Total units** changed from to Unknown, **Implementing institution** changed from to MLGU, **Partners_public** changed from to Unknown, **Partners_private** changed from to Unknown, *"&amp;"*Partners_communities** changed from to Unknown, **Reference** changed from to The Search for Best Coastal Management Programs 1998 (n.d.). OneOcean. http://oneocean.org/about_crmp/98search.html, **Website** changed from to http://oneocean.org/about_crmp/"&amp;"98search.html, **Contact_name** changed from to Unknown, **Contact_details** changed from to Unknown")</f>
        <v>**Region** changed from XII to XI, **Restoration_project** changed from *Not indicated to Unknown, **Restoration_project_short** changed from *There's a project monitoring report from BFAR stating purchase of artificial reefs for Sultan Kudarat LGUs but there are no documents available to know if the purchase proceeded to Mention of artificial reef deployment as part of the LGU's CRM activities, **Year of establishment** changed from to Unknown, **Project Start** changed from to Unknown, **Project End** changed from to Unknown, **Restoration method** changed from to Artificial Reef, **Technique/Material Type** changed from to Unknown, **Restoration objective** changed from to Unknown, **Funding agency** changed from to Unknown, **Total funding** changed from to Unknown, **Total area of restoration** changed from to Unknown, **Total units** changed from to Unknown, **Implementing institution** changed from to MLGU, **Partners_public** changed from to Unknown, **Partners_private** changed from to Unknown, **Partners_communities** changed from to Unknown, **Reference** changed from to The Search for Best Coastal Management Programs 1998 (n.d.). OneOcean. http://oneocean.org/about_crmp/98search.html, **Website** changed from to http://oneocean.org/about_crmp/98search.html, **Contact_name** changed from to Unknown, **Contact_details** changed from to Unknown</v>
      </c>
      <c r="I764" s="153" t="s">
        <v>7546</v>
      </c>
      <c r="J764" s="153" t="s">
        <v>330</v>
      </c>
      <c r="K764" s="153" t="s">
        <v>999</v>
      </c>
      <c r="L764" s="153" t="s">
        <v>3178</v>
      </c>
      <c r="M764" s="181" t="s">
        <v>3179</v>
      </c>
      <c r="N764" s="153" t="s">
        <v>151</v>
      </c>
      <c r="O764" s="158" t="s">
        <v>149</v>
      </c>
      <c r="P764" s="153" t="s">
        <v>7537</v>
      </c>
      <c r="Q764" s="178" t="s">
        <v>149</v>
      </c>
      <c r="R764" s="160" t="s">
        <v>149</v>
      </c>
      <c r="S764" s="160" t="s">
        <v>149</v>
      </c>
      <c r="T764" s="161" t="s">
        <v>150</v>
      </c>
      <c r="U764" s="153">
        <f>IFERROR(__xludf.DUMMYFUNCTION("""COMPUTED_VALUE"""),736.0)</f>
        <v>736</v>
      </c>
      <c r="V764" s="162" t="s">
        <v>3311</v>
      </c>
      <c r="W764" s="187" t="s">
        <v>149</v>
      </c>
      <c r="X764" s="184"/>
      <c r="Y764" s="184" t="s">
        <v>149</v>
      </c>
      <c r="Z764" s="158" t="s">
        <v>149</v>
      </c>
      <c r="AA764" s="158" t="s">
        <v>149</v>
      </c>
      <c r="AB764" s="158" t="s">
        <v>149</v>
      </c>
      <c r="AC764" s="158" t="s">
        <v>149</v>
      </c>
      <c r="AD764" s="158" t="s">
        <v>149</v>
      </c>
      <c r="AE764" s="158" t="s">
        <v>149</v>
      </c>
      <c r="AF764" s="158" t="s">
        <v>149</v>
      </c>
      <c r="AG764" s="164" t="s">
        <v>149</v>
      </c>
      <c r="AH764" s="158" t="s">
        <v>149</v>
      </c>
      <c r="AI764" s="158" t="s">
        <v>149</v>
      </c>
      <c r="AJ764" s="153" t="s">
        <v>369</v>
      </c>
      <c r="AK764" s="153" t="s">
        <v>6035</v>
      </c>
      <c r="AL764" s="3" t="s">
        <v>149</v>
      </c>
      <c r="AM764" s="3" t="s">
        <v>149</v>
      </c>
      <c r="AN764" s="3" t="s">
        <v>149</v>
      </c>
      <c r="AO764" s="156">
        <v>1.0</v>
      </c>
      <c r="AP764" s="156" t="s">
        <v>6037</v>
      </c>
      <c r="AQ764" s="158" t="s">
        <v>6027</v>
      </c>
      <c r="AR764" s="153" t="s">
        <v>2104</v>
      </c>
      <c r="AS764" s="165" t="s">
        <v>2105</v>
      </c>
      <c r="AT764" s="3" t="s">
        <v>149</v>
      </c>
      <c r="AU764" s="3" t="s">
        <v>149</v>
      </c>
    </row>
    <row r="765">
      <c r="A765" s="186">
        <v>382.0</v>
      </c>
      <c r="B765" s="152">
        <v>2023.0</v>
      </c>
      <c r="D765" s="152"/>
      <c r="E765" s="151">
        <v>382.0</v>
      </c>
      <c r="F765" s="129" t="s">
        <v>648</v>
      </c>
      <c r="G765" s="3" t="s">
        <v>3279</v>
      </c>
      <c r="H765" s="8" t="str">
        <f>IFERROR(__xludf.DUMMYFUNCTION("""COMPUTED_VALUE"""),"")</f>
        <v/>
      </c>
      <c r="I765" s="8" t="s">
        <v>7547</v>
      </c>
      <c r="J765" s="8" t="s">
        <v>356</v>
      </c>
      <c r="K765" s="8" t="s">
        <v>3569</v>
      </c>
      <c r="L765" s="8" t="s">
        <v>5688</v>
      </c>
      <c r="M765" s="8" t="s">
        <v>5689</v>
      </c>
      <c r="O765" s="8" t="s">
        <v>6113</v>
      </c>
      <c r="P765" s="8" t="s">
        <v>7540</v>
      </c>
      <c r="Q765" s="142"/>
      <c r="R765" s="142"/>
      <c r="S765" s="142"/>
      <c r="U765" s="8">
        <f>IFERROR(__xludf.DUMMYFUNCTION("""COMPUTED_VALUE"""),737.0)</f>
        <v>737</v>
      </c>
      <c r="V765" s="8"/>
      <c r="W765" s="8"/>
      <c r="AG765" s="142"/>
      <c r="AO765" s="8"/>
      <c r="AP765" s="8"/>
    </row>
    <row r="766">
      <c r="A766" s="186">
        <v>383.0</v>
      </c>
      <c r="B766" s="152">
        <v>2025.0</v>
      </c>
      <c r="C766" s="153" t="str">
        <f>CONCATENATE(D766, "-", M766, "-", A766)
</f>
        <v>2023-PH118203000-383</v>
      </c>
      <c r="D766" s="152">
        <f>IF(OR(F765="Published", F765="Unpublished"), 2023, IF(F765="New", 2025, ""))
</f>
        <v>2023</v>
      </c>
      <c r="E766" s="151">
        <v>383.0</v>
      </c>
      <c r="F766" s="156" t="s">
        <v>140</v>
      </c>
      <c r="G766" s="156" t="s">
        <v>141</v>
      </c>
      <c r="H766" s="153" t="str">
        <f>IFERROR(__xludf.DUMMYFUNCTION("""COMPUTED_VALUE"""),"**Region** changed from XII to XI, **Restoration_project** changed from *Not indicated to The Reef 35, **Restoration_project_short** changed from *There's a project monitoring report from BFAR stating purchase of artificial reefs for Sultan Kudarat LGUs b"&amp;"ut there are no documents available to know if the purchase proceeded to Site in Kopiat Island; inside NIPAS Mabini Protected Landscape and Seascape, **Year of establishment** changed from to 2023, **Project Start** changed from to Unknown, **Project End*"&amp;"* changed from to Unknown, **Restoration method** changed from to Asexual Reproduction, **Technique/Material Type** changed from to Rectangular rebar frames, **Restoration objective** changed from to Coral reef enrichment; Marine conservation for future g"&amp;"eneration, **Funding agency** changed from to Davao Gulf Divers, **Total funding** changed from to Unknown, **Total area of restoration** changed from to 1m x 2m, **Total units** changed from to 35 units, **Implementing institution** changed from to Davao"&amp;" Gulf Divers, **Partners_public** changed from to Provincial Environment and Natural Resources Office (PENRO) Davao de Oro; DENR Region 11; MPLS - Protected Area Management Office, **Partners_private** changed from to Unknown, **Partners_communities** cha"&amp;"nged from to Unknown, **Reference** changed from to DENR Davao (2023, January 21). Coral reef enrichment undertaken at Mabini Protected Landscape and Seascape, Davao de Oro [Status Update]. https://web.facebook.com/story.php?story_fbid=551153050380292&amp;id="&amp;"100064568057133&amp;_rdc=1&amp;_rdr, **Website** changed from to https://web.facebook.com/story.php?story_fbid=551153050380292&amp;id=100064568057133&amp;_rdc=1&amp;_rdr, **Contact_name** changed from to Unknown, **Contact_details** changed from to Unknown")</f>
        <v>**Region** changed from XII to XI, **Restoration_project** changed from *Not indicated to The Reef 35, **Restoration_project_short** changed from *There's a project monitoring report from BFAR stating purchase of artificial reefs for Sultan Kudarat LGUs but there are no documents available to know if the purchase proceeded to Site in Kopiat Island; inside NIPAS Mabini Protected Landscape and Seascape, **Year of establishment** changed from to 2023, **Project Start** changed from to Unknown, **Project End** changed from to Unknown, **Restoration method** changed from to Asexual Reproduction, **Technique/Material Type** changed from to Rectangular rebar frames, **Restoration objective** changed from to Coral reef enrichment; Marine conservation for future generation, **Funding agency** changed from to Davao Gulf Divers, **Total funding** changed from to Unknown, **Total area of restoration** changed from to 1m x 2m, **Total units** changed from to 35 units, **Implementing institution** changed from to Davao Gulf Divers, **Partners_public** changed from to Provincial Environment and Natural Resources Office (PENRO) Davao de Oro; DENR Region 11; MPLS - Protected Area Management Office, **Partners_private** changed from to Unknown, **Partners_communities** changed from to Unknown, **Reference** changed from to DENR Davao (2023, January 21). Coral reef enrichment undertaken at Mabini Protected Landscape and Seascape, Davao de Oro [Status Update]. https://web.facebook.com/story.php?story_fbid=551153050380292&amp;id=100064568057133&amp;_rdc=1&amp;_rdr, **Website** changed from to https://web.facebook.com/story.php?story_fbid=551153050380292&amp;id=100064568057133&amp;_rdc=1&amp;_rdr, **Contact_name** changed from to Unknown, **Contact_details** changed from to Unknown</v>
      </c>
      <c r="I766" s="153" t="s">
        <v>7548</v>
      </c>
      <c r="J766" s="153" t="s">
        <v>330</v>
      </c>
      <c r="K766" s="153" t="s">
        <v>2265</v>
      </c>
      <c r="L766" s="153" t="s">
        <v>1255</v>
      </c>
      <c r="M766" s="181" t="s">
        <v>2266</v>
      </c>
      <c r="N766" s="153" t="s">
        <v>6062</v>
      </c>
      <c r="O766" s="153" t="s">
        <v>2267</v>
      </c>
      <c r="P766" s="158" t="s">
        <v>7549</v>
      </c>
      <c r="Q766" s="169">
        <v>2023.0</v>
      </c>
      <c r="R766" s="160" t="s">
        <v>149</v>
      </c>
      <c r="S766" s="160" t="s">
        <v>149</v>
      </c>
      <c r="T766" s="156" t="s">
        <v>177</v>
      </c>
      <c r="U766" s="153">
        <f>IFERROR(__xludf.DUMMYFUNCTION("""COMPUTED_VALUE"""),738.0)</f>
        <v>738</v>
      </c>
      <c r="V766" s="191" t="s">
        <v>1359</v>
      </c>
      <c r="W766" s="184" t="s">
        <v>6066</v>
      </c>
      <c r="X766" s="180"/>
      <c r="Y766" s="180" t="s">
        <v>154</v>
      </c>
      <c r="Z766" s="158" t="s">
        <v>2269</v>
      </c>
      <c r="AA766" s="158" t="s">
        <v>2269</v>
      </c>
      <c r="AB766" s="158" t="s">
        <v>2270</v>
      </c>
      <c r="AC766" s="153" t="s">
        <v>2271</v>
      </c>
      <c r="AD766" s="158" t="s">
        <v>160</v>
      </c>
      <c r="AE766" s="158" t="s">
        <v>184</v>
      </c>
      <c r="AF766" s="158" t="s">
        <v>159</v>
      </c>
      <c r="AG766" s="164" t="s">
        <v>149</v>
      </c>
      <c r="AH766" s="158" t="s">
        <v>7550</v>
      </c>
      <c r="AI766" s="158" t="s">
        <v>2273</v>
      </c>
      <c r="AJ766" s="153" t="s">
        <v>2271</v>
      </c>
      <c r="AK766" s="153" t="s">
        <v>271</v>
      </c>
      <c r="AL766" s="158" t="s">
        <v>2274</v>
      </c>
      <c r="AM766" s="3" t="s">
        <v>149</v>
      </c>
      <c r="AN766" s="3" t="s">
        <v>149</v>
      </c>
      <c r="AO766" s="156">
        <v>1.0</v>
      </c>
      <c r="AP766" s="156" t="s">
        <v>6037</v>
      </c>
      <c r="AQ766" s="158" t="s">
        <v>6038</v>
      </c>
      <c r="AR766" s="158" t="s">
        <v>7551</v>
      </c>
      <c r="AS766" s="172" t="s">
        <v>2276</v>
      </c>
      <c r="AT766" s="3" t="s">
        <v>149</v>
      </c>
      <c r="AU766" s="3" t="s">
        <v>149</v>
      </c>
    </row>
    <row r="767">
      <c r="A767" s="186">
        <v>383.0</v>
      </c>
      <c r="B767" s="152">
        <v>2023.0</v>
      </c>
      <c r="D767" s="152"/>
      <c r="E767" s="151">
        <v>383.0</v>
      </c>
      <c r="F767" s="129" t="s">
        <v>140</v>
      </c>
      <c r="G767" s="3" t="s">
        <v>6029</v>
      </c>
      <c r="H767" s="8" t="str">
        <f>IFERROR(__xludf.DUMMYFUNCTION("""COMPUTED_VALUE"""),"")</f>
        <v/>
      </c>
      <c r="I767" s="8" t="s">
        <v>7552</v>
      </c>
      <c r="J767" s="8" t="s">
        <v>356</v>
      </c>
      <c r="K767" s="8" t="s">
        <v>1997</v>
      </c>
      <c r="L767" s="8" t="s">
        <v>7553</v>
      </c>
      <c r="M767" s="8" t="s">
        <v>1999</v>
      </c>
      <c r="N767" s="8" t="s">
        <v>151</v>
      </c>
      <c r="O767" s="3" t="s">
        <v>149</v>
      </c>
      <c r="P767" s="8" t="s">
        <v>7554</v>
      </c>
      <c r="Q767" s="3" t="s">
        <v>149</v>
      </c>
      <c r="R767" s="3" t="s">
        <v>149</v>
      </c>
      <c r="S767" s="3" t="s">
        <v>149</v>
      </c>
      <c r="T767" s="8"/>
      <c r="U767" s="8">
        <f>IFERROR(__xludf.DUMMYFUNCTION("""COMPUTED_VALUE"""),739.0)</f>
        <v>739</v>
      </c>
      <c r="V767" s="8"/>
      <c r="W767" s="8"/>
      <c r="X767" s="8"/>
      <c r="Y767" s="8"/>
      <c r="AA767" s="8" t="s">
        <v>362</v>
      </c>
      <c r="AB767" s="3" t="s">
        <v>149</v>
      </c>
      <c r="AC767" s="3" t="s">
        <v>149</v>
      </c>
      <c r="AD767" s="228" t="s">
        <v>149</v>
      </c>
      <c r="AE767" s="228" t="s">
        <v>149</v>
      </c>
      <c r="AF767" s="228" t="s">
        <v>149</v>
      </c>
      <c r="AG767" s="3" t="s">
        <v>149</v>
      </c>
      <c r="AH767" s="3" t="s">
        <v>149</v>
      </c>
      <c r="AI767" s="8" t="s">
        <v>3182</v>
      </c>
      <c r="AJ767" s="3" t="s">
        <v>149</v>
      </c>
      <c r="AL767" s="3" t="s">
        <v>149</v>
      </c>
      <c r="AM767" s="3" t="s">
        <v>149</v>
      </c>
      <c r="AN767" s="3" t="s">
        <v>149</v>
      </c>
      <c r="AO767" s="8"/>
      <c r="AP767" s="8"/>
      <c r="AR767" s="8" t="s">
        <v>166</v>
      </c>
      <c r="AS767" s="8" t="s">
        <v>3184</v>
      </c>
      <c r="AT767" s="3" t="s">
        <v>149</v>
      </c>
      <c r="AU767" s="3" t="s">
        <v>149</v>
      </c>
    </row>
    <row r="768">
      <c r="A768" s="186">
        <v>384.0</v>
      </c>
      <c r="B768" s="152">
        <v>2023.0</v>
      </c>
      <c r="D768" s="152"/>
      <c r="E768" s="151">
        <v>384.0</v>
      </c>
      <c r="F768" s="129" t="s">
        <v>140</v>
      </c>
      <c r="G768" s="3" t="s">
        <v>6029</v>
      </c>
      <c r="H768" s="8" t="str">
        <f>IFERROR(__xludf.DUMMYFUNCTION("""COMPUTED_VALUE"""),"")</f>
        <v/>
      </c>
      <c r="I768" s="8" t="s">
        <v>7555</v>
      </c>
      <c r="J768" s="8" t="s">
        <v>356</v>
      </c>
      <c r="K768" s="8" t="s">
        <v>1997</v>
      </c>
      <c r="L768" s="8" t="s">
        <v>7553</v>
      </c>
      <c r="M768" s="8" t="s">
        <v>1999</v>
      </c>
      <c r="N768" s="8" t="s">
        <v>151</v>
      </c>
      <c r="O768" s="3" t="s">
        <v>149</v>
      </c>
      <c r="P768" s="8" t="s">
        <v>2000</v>
      </c>
      <c r="Q768" s="142" t="s">
        <v>6230</v>
      </c>
      <c r="R768" s="142" t="s">
        <v>6230</v>
      </c>
      <c r="S768" s="142" t="s">
        <v>6415</v>
      </c>
      <c r="T768" s="8"/>
      <c r="U768" s="8">
        <f>IFERROR(__xludf.DUMMYFUNCTION("""COMPUTED_VALUE"""),740.0)</f>
        <v>740</v>
      </c>
      <c r="V768" s="8"/>
      <c r="W768" s="8"/>
      <c r="X768" s="8"/>
      <c r="Y768" s="8"/>
      <c r="AA768" s="8" t="s">
        <v>362</v>
      </c>
      <c r="AB768" s="3" t="s">
        <v>149</v>
      </c>
      <c r="AC768" s="3" t="s">
        <v>149</v>
      </c>
      <c r="AG768" s="142" t="s">
        <v>7556</v>
      </c>
      <c r="AH768" s="3" t="s">
        <v>149</v>
      </c>
      <c r="AI768" s="8" t="s">
        <v>7557</v>
      </c>
      <c r="AJ768" s="8" t="s">
        <v>2004</v>
      </c>
      <c r="AL768" s="3" t="s">
        <v>149</v>
      </c>
      <c r="AM768" s="8" t="s">
        <v>2005</v>
      </c>
      <c r="AN768" s="3" t="s">
        <v>149</v>
      </c>
      <c r="AO768" s="8"/>
      <c r="AP768" s="8"/>
      <c r="AR768" s="8" t="s">
        <v>166</v>
      </c>
      <c r="AS768" s="8" t="s">
        <v>2007</v>
      </c>
      <c r="AT768" s="8" t="s">
        <v>2008</v>
      </c>
      <c r="AU768" s="172" t="s">
        <v>2009</v>
      </c>
    </row>
    <row r="769">
      <c r="A769" s="186">
        <v>384.0</v>
      </c>
      <c r="B769" s="152">
        <v>2025.0</v>
      </c>
      <c r="C769" s="153" t="str">
        <f t="shared" ref="C769:C770" si="85">CONCATENATE(D769, "-", M769, "-", A769)
</f>
        <v>2023-PH126303000-384</v>
      </c>
      <c r="D769" s="152">
        <f t="shared" ref="D769:D770" si="86">IF(OR(F768="Published", F768="Unpublished"), 2023, IF(F768="New", 2025, ""))
</f>
        <v>2023</v>
      </c>
      <c r="E769" s="151">
        <v>384.0</v>
      </c>
      <c r="F769" s="156" t="s">
        <v>140</v>
      </c>
      <c r="G769" s="156" t="s">
        <v>141</v>
      </c>
      <c r="H769" s="153" t="str">
        <f>IFERROR(__xludf.DUMMYFUNCTION("""COMPUTED_VALUE"""),"**Restoration_project_short** changed from Sarangani Bay Artificial Reef Dome Project to Site in Brgy Diadangas South; Mention of artificial reefs damaged after a foreign vessel ran ground., **Year of establishment** changed from 2005 to Unknown, **Projec"&amp;"t Start** changed from 2005 to Unknown, **Project End** changed from 2008 to Unknown, **Total funding** changed from Project Aware Foundation; Philippine Ports Authority to Unknown, **Total units** changed from 5,001 domes to 200 units, **Implementing ins"&amp;"titution** changed from Sarangani Bay Divers to Unknown, **Partners_private** changed from Cambridge Dive Center to Unknown, **Reference** changed from News/Press Release to PNA (2018, June 19). Foreign vessels runs aground, damages artificial reefs off G"&amp;"enSan. Philippine News Agency. https://www.pna.gov.ph/articles/1038701, **Website** changed from https://www.gmanetwork.com/news/topstories/regions/47043/sun-star-3-500-artificial-reef-domes-set-up-in-sarangani-bay/story/ to https://www.pna.gov.ph/article"&amp;"s/1038701, **Contact_name** changed from Chris Dearne to Unknown, **Contact_details** changed from dvgensan@yahoo.com.ph to Unknown")</f>
        <v>**Restoration_project_short** changed from Sarangani Bay Artificial Reef Dome Project to Site in Brgy Diadangas South; Mention of artificial reefs damaged after a foreign vessel ran ground., **Year of establishment** changed from 2005 to Unknown, **Project Start** changed from 2005 to Unknown, **Project End** changed from 2008 to Unknown, **Total funding** changed from Project Aware Foundation; Philippine Ports Authority to Unknown, **Total units** changed from 5,001 domes to 200 units, **Implementing institution** changed from Sarangani Bay Divers to Unknown, **Partners_private** changed from Cambridge Dive Center to Unknown, **Reference** changed from News/Press Release to PNA (2018, June 19). Foreign vessels runs aground, damages artificial reefs off GenSan. Philippine News Agency. https://www.pna.gov.ph/articles/1038701, **Website** changed from https://www.gmanetwork.com/news/topstories/regions/47043/sun-star-3-500-artificial-reef-domes-set-up-in-sarangani-bay/story/ to https://www.pna.gov.ph/articles/1038701, **Contact_name** changed from Chris Dearne to Unknown, **Contact_details** changed from dvgensan@yahoo.com.ph to Unknown</v>
      </c>
      <c r="I769" s="153" t="s">
        <v>7558</v>
      </c>
      <c r="J769" s="153" t="s">
        <v>356</v>
      </c>
      <c r="K769" s="153" t="s">
        <v>1997</v>
      </c>
      <c r="L769" s="153" t="s">
        <v>7559</v>
      </c>
      <c r="M769" s="181" t="s">
        <v>1999</v>
      </c>
      <c r="N769" s="153" t="s">
        <v>151</v>
      </c>
      <c r="O769" s="158" t="s">
        <v>149</v>
      </c>
      <c r="P769" s="153" t="s">
        <v>7560</v>
      </c>
      <c r="Q769" s="178" t="s">
        <v>149</v>
      </c>
      <c r="R769" s="160" t="s">
        <v>149</v>
      </c>
      <c r="S769" s="160" t="s">
        <v>149</v>
      </c>
      <c r="T769" s="161" t="s">
        <v>150</v>
      </c>
      <c r="U769" s="153">
        <f>IFERROR(__xludf.DUMMYFUNCTION("""COMPUTED_VALUE"""),741.0)</f>
        <v>741</v>
      </c>
      <c r="V769" s="162" t="s">
        <v>3311</v>
      </c>
      <c r="W769" s="179" t="s">
        <v>6032</v>
      </c>
      <c r="X769" s="28" t="s">
        <v>6173</v>
      </c>
      <c r="Y769" s="32" t="s">
        <v>361</v>
      </c>
      <c r="Z769" s="158" t="s">
        <v>362</v>
      </c>
      <c r="AA769" s="153" t="s">
        <v>362</v>
      </c>
      <c r="AB769" s="158" t="s">
        <v>149</v>
      </c>
      <c r="AC769" s="158" t="s">
        <v>149</v>
      </c>
      <c r="AD769" s="158" t="s">
        <v>149</v>
      </c>
      <c r="AE769" s="158" t="s">
        <v>149</v>
      </c>
      <c r="AF769" s="158" t="s">
        <v>149</v>
      </c>
      <c r="AG769" s="164" t="s">
        <v>149</v>
      </c>
      <c r="AH769" s="158" t="s">
        <v>149</v>
      </c>
      <c r="AI769" s="153" t="s">
        <v>3182</v>
      </c>
      <c r="AJ769" s="158" t="s">
        <v>149</v>
      </c>
      <c r="AK769" s="158" t="s">
        <v>149</v>
      </c>
      <c r="AL769" s="3" t="s">
        <v>149</v>
      </c>
      <c r="AM769" s="210" t="s">
        <v>149</v>
      </c>
      <c r="AN769" s="3" t="s">
        <v>149</v>
      </c>
      <c r="AO769" s="156">
        <v>1.0</v>
      </c>
      <c r="AP769" s="156" t="s">
        <v>6037</v>
      </c>
      <c r="AQ769" s="158" t="s">
        <v>166</v>
      </c>
      <c r="AR769" s="153" t="s">
        <v>3183</v>
      </c>
      <c r="AS769" s="165" t="s">
        <v>3184</v>
      </c>
      <c r="AT769" s="3" t="s">
        <v>149</v>
      </c>
      <c r="AU769" s="3" t="s">
        <v>149</v>
      </c>
    </row>
    <row r="770">
      <c r="A770" s="186">
        <v>385.0</v>
      </c>
      <c r="B770" s="152">
        <v>2025.0</v>
      </c>
      <c r="C770" s="153" t="str">
        <f t="shared" si="85"/>
        <v>2023-PH126303000-385</v>
      </c>
      <c r="D770" s="152">
        <f t="shared" si="86"/>
        <v>2023</v>
      </c>
      <c r="E770" s="151">
        <v>385.0</v>
      </c>
      <c r="F770" s="156" t="s">
        <v>140</v>
      </c>
      <c r="G770" s="156" t="s">
        <v>141</v>
      </c>
      <c r="H770" s="153" t="str">
        <f>IFERROR(__xludf.DUMMYFUNCTION("""COMPUTED_VALUE"""),"**Restoration_project** changed from Unknown to Sarangani Bay Artificial Reef Dome Project, **Restoration_project_short** changed from Site in Brgy Diadangas South; Mention of artificial reefs damaged after a foreign vessel ran ground. to Sites in Maharli"&amp;"ka Beach Resort; Dupalco Beach; Part of a project to install 5,000 artificial reefs in the entire Sarangani Bay and municipalities that included towns of Glan, Malapatan, Alabel, Maasim and General Santos City. ; 3,509 units for the entire Sarangani Bay, "&amp;"**Year of establishment** changed from Unknown to 2005, **Project Start** changed from Unknown to 2005, **Project End** changed from Unknown to 2008, **Restoration objective** changed from Unknown to Improve marine life diversity and population; alternati"&amp;"ve fishing ground, **Funding agency** changed from Unknown to Project Aware Foundation, **Total units** changed from 200 units to Unknown, **Implementing institution** changed from Unknown to Sarangani Bay Divers, **Partners_private** changed from Unknown"&amp;" to Cambridge Dive Center, **Reference** changed from PNA (2018, June 19). Foreign vessels runs aground, damages artificial reefs off GenSan. Philippine News Agency. https://www.pna.gov.ph/articles/1038701 to GMANews.TV (2007, June 18). Sun.Star: 3,500 ar"&amp;"tificial reef domes set up in Sarangani Bay. GMA News Online. https://www.gmanetwork.com/news/topstories/regions/47043/sun-star-3-500-artificial-reef-domes-set-up-in-sarangani-bay/story/, **Website** changed from https://www.pna.gov.ph/articles/1038701 to"&amp;" https://www.gmanetwork.com/news/topstories/regions/47043/sun-star-3-500-artificial-reef-domes-set-up-in-sarangani-bay/story/, **Contact_name** changed from Unknown to Chris Dearne, **Contact_details** changed from Unknown to dvgensan@yahoo.com.ph")</f>
        <v>**Restoration_project** changed from Unknown to Sarangani Bay Artificial Reef Dome Project, **Restoration_project_short** changed from Site in Brgy Diadangas South; Mention of artificial reefs damaged after a foreign vessel ran ground. to Sites in Maharlika Beach Resort; Dupalco Beach; Part of a project to install 5,000 artificial reefs in the entire Sarangani Bay and municipalities that included towns of Glan, Malapatan, Alabel, Maasim and General Santos City. ; 3,509 units for the entire Sarangani Bay, **Year of establishment** changed from Unknown to 2005, **Project Start** changed from Unknown to 2005, **Project End** changed from Unknown to 2008, **Restoration objective** changed from Unknown to Improve marine life diversity and population; alternative fishing ground, **Funding agency** changed from Unknown to Project Aware Foundation, **Total units** changed from 200 units to Unknown, **Implementing institution** changed from Unknown to Sarangani Bay Divers, **Partners_private** changed from Unknown to Cambridge Dive Center, **Reference** changed from PNA (2018, June 19). Foreign vessels runs aground, damages artificial reefs off GenSan. Philippine News Agency. https://www.pna.gov.ph/articles/1038701 to GMANews.TV (2007, June 18). Sun.Star: 3,500 artificial reef domes set up in Sarangani Bay. GMA News Online. https://www.gmanetwork.com/news/topstories/regions/47043/sun-star-3-500-artificial-reef-domes-set-up-in-sarangani-bay/story/, **Website** changed from https://www.pna.gov.ph/articles/1038701 to https://www.gmanetwork.com/news/topstories/regions/47043/sun-star-3-500-artificial-reef-domes-set-up-in-sarangani-bay/story/, **Contact_name** changed from Unknown to Chris Dearne, **Contact_details** changed from Unknown to dvgensan@yahoo.com.ph</v>
      </c>
      <c r="I770" s="153" t="s">
        <v>7561</v>
      </c>
      <c r="J770" s="153" t="s">
        <v>356</v>
      </c>
      <c r="K770" s="153" t="s">
        <v>1997</v>
      </c>
      <c r="L770" s="153" t="s">
        <v>7562</v>
      </c>
      <c r="M770" s="181" t="s">
        <v>1999</v>
      </c>
      <c r="N770" s="153" t="s">
        <v>151</v>
      </c>
      <c r="O770" s="153" t="s">
        <v>2000</v>
      </c>
      <c r="P770" s="153" t="s">
        <v>7563</v>
      </c>
      <c r="Q770" s="169">
        <v>2005.0</v>
      </c>
      <c r="R770" s="175" t="s">
        <v>6230</v>
      </c>
      <c r="S770" s="175" t="s">
        <v>6415</v>
      </c>
      <c r="T770" s="161" t="s">
        <v>150</v>
      </c>
      <c r="U770" s="153">
        <f>IFERROR(__xludf.DUMMYFUNCTION("""COMPUTED_VALUE"""),742.0)</f>
        <v>742</v>
      </c>
      <c r="V770" s="162" t="s">
        <v>3311</v>
      </c>
      <c r="W770" s="179" t="s">
        <v>6032</v>
      </c>
      <c r="X770" s="28" t="s">
        <v>6173</v>
      </c>
      <c r="Y770" s="32" t="s">
        <v>361</v>
      </c>
      <c r="Z770" s="158" t="s">
        <v>362</v>
      </c>
      <c r="AA770" s="153" t="s">
        <v>362</v>
      </c>
      <c r="AB770" s="158" t="s">
        <v>2002</v>
      </c>
      <c r="AC770" s="158" t="s">
        <v>2003</v>
      </c>
      <c r="AD770" s="158" t="s">
        <v>6154</v>
      </c>
      <c r="AE770" s="158" t="s">
        <v>184</v>
      </c>
      <c r="AF770" s="158" t="s">
        <v>159</v>
      </c>
      <c r="AG770" s="164" t="s">
        <v>149</v>
      </c>
      <c r="AH770" s="158" t="s">
        <v>149</v>
      </c>
      <c r="AI770" s="229" t="s">
        <v>149</v>
      </c>
      <c r="AJ770" s="153" t="s">
        <v>2004</v>
      </c>
      <c r="AK770" s="153" t="s">
        <v>271</v>
      </c>
      <c r="AL770" s="3" t="s">
        <v>149</v>
      </c>
      <c r="AM770" s="153" t="s">
        <v>2005</v>
      </c>
      <c r="AN770" s="3" t="s">
        <v>149</v>
      </c>
      <c r="AO770" s="156">
        <v>1.0</v>
      </c>
      <c r="AP770" s="156" t="s">
        <v>6037</v>
      </c>
      <c r="AQ770" s="158" t="s">
        <v>166</v>
      </c>
      <c r="AR770" s="153" t="s">
        <v>2006</v>
      </c>
      <c r="AS770" s="172" t="s">
        <v>2007</v>
      </c>
      <c r="AT770" s="153" t="s">
        <v>2008</v>
      </c>
      <c r="AU770" s="165" t="s">
        <v>2009</v>
      </c>
    </row>
    <row r="771">
      <c r="A771" s="186">
        <v>385.0</v>
      </c>
      <c r="B771" s="152">
        <v>2023.0</v>
      </c>
      <c r="D771" s="152"/>
      <c r="E771" s="151">
        <v>385.0</v>
      </c>
      <c r="F771" s="129" t="s">
        <v>140</v>
      </c>
      <c r="G771" s="3" t="s">
        <v>3279</v>
      </c>
      <c r="H771" s="8" t="str">
        <f>IFERROR(__xludf.DUMMYFUNCTION("""COMPUTED_VALUE"""),"")</f>
        <v/>
      </c>
      <c r="I771" s="8" t="s">
        <v>7564</v>
      </c>
      <c r="J771" s="8" t="s">
        <v>356</v>
      </c>
      <c r="K771" s="8" t="s">
        <v>1997</v>
      </c>
      <c r="L771" s="8" t="s">
        <v>7553</v>
      </c>
      <c r="M771" s="8" t="s">
        <v>1999</v>
      </c>
      <c r="N771" s="8" t="s">
        <v>151</v>
      </c>
      <c r="O771" s="8" t="s">
        <v>777</v>
      </c>
      <c r="P771" s="8" t="s">
        <v>7565</v>
      </c>
      <c r="Q771" s="142" t="s">
        <v>6273</v>
      </c>
      <c r="R771" s="142" t="s">
        <v>6064</v>
      </c>
      <c r="S771" s="3" t="s">
        <v>149</v>
      </c>
      <c r="U771" s="8">
        <f>IFERROR(__xludf.DUMMYFUNCTION("""COMPUTED_VALUE"""),743.0)</f>
        <v>743</v>
      </c>
      <c r="V771" s="8"/>
      <c r="W771" s="8"/>
      <c r="AA771" s="8" t="s">
        <v>362</v>
      </c>
      <c r="AB771" s="8" t="s">
        <v>286</v>
      </c>
      <c r="AC771" s="8" t="s">
        <v>7517</v>
      </c>
      <c r="AG771" s="3" t="s">
        <v>149</v>
      </c>
      <c r="AH771" s="3" t="s">
        <v>149</v>
      </c>
      <c r="AI771" s="8" t="s">
        <v>7566</v>
      </c>
      <c r="AJ771" s="8" t="s">
        <v>780</v>
      </c>
      <c r="AL771" s="3" t="s">
        <v>149</v>
      </c>
      <c r="AM771" s="8" t="s">
        <v>760</v>
      </c>
      <c r="AN771" s="3" t="s">
        <v>149</v>
      </c>
      <c r="AO771" s="8"/>
      <c r="AP771" s="8"/>
      <c r="AR771" s="8" t="s">
        <v>6027</v>
      </c>
      <c r="AS771" s="8" t="s">
        <v>7567</v>
      </c>
      <c r="AT771" s="3" t="s">
        <v>149</v>
      </c>
      <c r="AU771" s="3" t="s">
        <v>149</v>
      </c>
    </row>
    <row r="772">
      <c r="A772" s="186">
        <v>386.0</v>
      </c>
      <c r="B772" s="152">
        <v>2023.0</v>
      </c>
      <c r="D772" s="152"/>
      <c r="E772" s="151">
        <v>386.0</v>
      </c>
      <c r="F772" s="129" t="s">
        <v>140</v>
      </c>
      <c r="G772" s="3" t="s">
        <v>6029</v>
      </c>
      <c r="H772" s="8" t="str">
        <f>IFERROR(__xludf.DUMMYFUNCTION("""COMPUTED_VALUE"""),"")</f>
        <v/>
      </c>
      <c r="I772" s="8" t="s">
        <v>7568</v>
      </c>
      <c r="J772" s="8" t="s">
        <v>356</v>
      </c>
      <c r="K772" s="8" t="s">
        <v>357</v>
      </c>
      <c r="L772" s="8" t="s">
        <v>2011</v>
      </c>
      <c r="M772" s="8" t="s">
        <v>2012</v>
      </c>
      <c r="N772" s="8" t="s">
        <v>151</v>
      </c>
      <c r="O772" s="8" t="s">
        <v>2013</v>
      </c>
      <c r="P772" s="8" t="s">
        <v>7569</v>
      </c>
      <c r="Q772" s="3" t="s">
        <v>149</v>
      </c>
      <c r="R772" s="142" t="s">
        <v>6356</v>
      </c>
      <c r="S772" s="3" t="s">
        <v>149</v>
      </c>
      <c r="T772" s="8"/>
      <c r="U772" s="8">
        <f>IFERROR(__xludf.DUMMYFUNCTION("""COMPUTED_VALUE"""),744.0)</f>
        <v>744</v>
      </c>
      <c r="V772" s="8"/>
      <c r="W772" s="3"/>
      <c r="X772" s="8"/>
      <c r="Y772" s="8"/>
      <c r="AA772" s="3" t="s">
        <v>149</v>
      </c>
      <c r="AB772" s="3" t="s">
        <v>149</v>
      </c>
      <c r="AC772" s="8" t="s">
        <v>2016</v>
      </c>
      <c r="AG772" s="3" t="s">
        <v>149</v>
      </c>
      <c r="AH772" s="3" t="s">
        <v>149</v>
      </c>
      <c r="AI772" s="3" t="s">
        <v>149</v>
      </c>
      <c r="AJ772" s="3" t="s">
        <v>2017</v>
      </c>
      <c r="AL772" s="3" t="s">
        <v>149</v>
      </c>
      <c r="AM772" s="3" t="s">
        <v>149</v>
      </c>
      <c r="AN772" s="3" t="s">
        <v>149</v>
      </c>
      <c r="AO772" s="8"/>
      <c r="AP772" s="8"/>
      <c r="AR772" s="8" t="s">
        <v>6027</v>
      </c>
      <c r="AS772" s="172" t="s">
        <v>2019</v>
      </c>
      <c r="AT772" s="3" t="s">
        <v>149</v>
      </c>
      <c r="AU772" s="3" t="s">
        <v>149</v>
      </c>
    </row>
    <row r="773">
      <c r="A773" s="186">
        <v>386.0</v>
      </c>
      <c r="B773" s="152">
        <v>2025.0</v>
      </c>
      <c r="C773" s="153" t="str">
        <f t="shared" ref="C773:C774" si="87">CONCATENATE(D773, "-", M773, "-", A773)
</f>
        <v>2023-PH128001000-386</v>
      </c>
      <c r="D773" s="152">
        <f t="shared" ref="D773:D774" si="88">IF(OR(F772="Published", F772="Unpublished"), 2023, IF(F772="New", 2025, ""))
</f>
        <v>2023</v>
      </c>
      <c r="E773" s="151">
        <v>386.0</v>
      </c>
      <c r="F773" s="156" t="s">
        <v>140</v>
      </c>
      <c r="G773" s="156" t="s">
        <v>141</v>
      </c>
      <c r="H773" s="153" t="str">
        <f>IFERROR(__xludf.DUMMYFUNCTION("""COMPUTED_VALUE"""),"**Restoration_project_short** changed from *Mentioned as one of the activities conducted under the project to Site in Brgy Kawas; Mentioned as one of the activities conducted under the project, **Year of establishment** changed from Unknown to 1998, **Res"&amp;"toration objective** changed from Unknown to Conserve, rehabilitate, protect and manage marine resources, **Reference** changed from Website to Sarangani Coastal Resource Development and Management Project (MINDANAO) (n.d.). The GEF Small Grants Programme"&amp;". https://sgp.undp.org/spacial-itemid-projects-landing-page/spacial-itemid-project-search-results/spacial-itemid-project-detailpage?view=projectdetail&amp;id=3748")</f>
        <v>**Restoration_project_short** changed from *Mentioned as one of the activities conducted under the project to Site in Brgy Kawas; Mentioned as one of the activities conducted under the project, **Year of establishment** changed from Unknown to 1998, **Restoration objective** changed from Unknown to Conserve, rehabilitate, protect and manage marine resources, **Reference** changed from Website to Sarangani Coastal Resource Development and Management Project (MINDANAO) (n.d.). The GEF Small Grants Programme. https://sgp.undp.org/spacial-itemid-projects-landing-page/spacial-itemid-project-search-results/spacial-itemid-project-detailpage?view=projectdetail&amp;id=3748</v>
      </c>
      <c r="I773" s="153" t="s">
        <v>7570</v>
      </c>
      <c r="J773" s="153" t="s">
        <v>356</v>
      </c>
      <c r="K773" s="153" t="s">
        <v>357</v>
      </c>
      <c r="L773" s="153" t="s">
        <v>2011</v>
      </c>
      <c r="M773" s="181" t="s">
        <v>2012</v>
      </c>
      <c r="N773" s="153" t="s">
        <v>151</v>
      </c>
      <c r="O773" s="153" t="s">
        <v>2013</v>
      </c>
      <c r="P773" s="153" t="s">
        <v>7571</v>
      </c>
      <c r="Q773" s="178">
        <v>1998.0</v>
      </c>
      <c r="R773" s="175" t="s">
        <v>6356</v>
      </c>
      <c r="S773" s="160" t="s">
        <v>149</v>
      </c>
      <c r="T773" s="161" t="s">
        <v>150</v>
      </c>
      <c r="U773" s="153">
        <f>IFERROR(__xludf.DUMMYFUNCTION("""COMPUTED_VALUE"""),745.0)</f>
        <v>745</v>
      </c>
      <c r="V773" s="162" t="s">
        <v>3311</v>
      </c>
      <c r="W773" s="187" t="s">
        <v>149</v>
      </c>
      <c r="X773" s="184"/>
      <c r="Y773" s="184" t="s">
        <v>149</v>
      </c>
      <c r="Z773" s="158" t="s">
        <v>149</v>
      </c>
      <c r="AA773" s="158" t="s">
        <v>149</v>
      </c>
      <c r="AB773" s="158" t="s">
        <v>2015</v>
      </c>
      <c r="AC773" s="153" t="s">
        <v>2016</v>
      </c>
      <c r="AD773" s="158" t="s">
        <v>6154</v>
      </c>
      <c r="AE773" s="158" t="s">
        <v>206</v>
      </c>
      <c r="AF773" s="158" t="s">
        <v>159</v>
      </c>
      <c r="AG773" s="164" t="s">
        <v>149</v>
      </c>
      <c r="AH773" s="158" t="s">
        <v>149</v>
      </c>
      <c r="AI773" s="158" t="s">
        <v>149</v>
      </c>
      <c r="AJ773" s="153" t="s">
        <v>2017</v>
      </c>
      <c r="AK773" s="153" t="s">
        <v>306</v>
      </c>
      <c r="AL773" s="3" t="s">
        <v>149</v>
      </c>
      <c r="AM773" s="3" t="s">
        <v>149</v>
      </c>
      <c r="AN773" s="3" t="s">
        <v>149</v>
      </c>
      <c r="AO773" s="156">
        <v>1.0</v>
      </c>
      <c r="AP773" s="156" t="s">
        <v>6037</v>
      </c>
      <c r="AQ773" s="158" t="s">
        <v>6027</v>
      </c>
      <c r="AR773" s="153" t="s">
        <v>2018</v>
      </c>
      <c r="AS773" s="165" t="s">
        <v>2019</v>
      </c>
      <c r="AT773" s="3" t="s">
        <v>149</v>
      </c>
      <c r="AU773" s="3" t="s">
        <v>149</v>
      </c>
    </row>
    <row r="774">
      <c r="A774" s="186">
        <v>387.0</v>
      </c>
      <c r="B774" s="152">
        <v>2025.0</v>
      </c>
      <c r="C774" s="153" t="str">
        <f t="shared" si="87"/>
        <v>2023-PH128003000-387</v>
      </c>
      <c r="D774" s="152">
        <f t="shared" si="88"/>
        <v>2023</v>
      </c>
      <c r="E774" s="151">
        <v>387.0</v>
      </c>
      <c r="F774" s="129" t="s">
        <v>140</v>
      </c>
      <c r="G774" s="156" t="s">
        <v>141</v>
      </c>
      <c r="H774" s="153" t="str">
        <f>IFERROR(__xludf.DUMMYFUNCTION("""COMPUTED_VALUE"""),"**Restoration_project** changed from Sarangani Coastal Resources Development and Management Project to Unknown, **Restoration_project_short** changed from Site in Brgy Kawas; Mentioned as one of the activities conducted under the project to 2017, **Year o"&amp;"f establishment** changed from 1998 to 2017, **Project Start** changed from 1998 to 2017, **Project End** changed from Unknown to 2017, **Restoration method** changed from Artificial Reef to Asexual Reproduction; Artificial Reef, **Technique/Material Type"&amp;"** changed from Unknown to CNU, **Restoration objective** changed from Conserve, rehabilitate, protect and manage marine resources to Experimental; Research, **Funding agency** changed from GEF Small Grants Programme to Mindanao State University - General"&amp;" Santos City, **Implementing institution** changed from South Cotabato Foundation, Inc. to Mindanao State University - General Santos City, **Reference** changed from Sarangani Coastal Resource Development and Management Project (MINDANAO) (n.d.). The GEF"&amp;" Small Grants Programme. https://sgp.undp.org/spacial-itemid-projects-landing-page/spacial-itemid-project-search-results/spacial-itemid-project-detailpage?view=projectdetail&amp;id=3748 to Varela, E. (2017). Growth and survival of corals of opportunity (Acrop"&amp;"ora spp.) at different depths at Tuka 3 Kiamba, Sarangani Province. Mindanao State University General Santos City Thesis Repository. https://35.229.131.110/node/60, **Website** changed from https://sgp.undp.org/spacial-itemid-projects-landing-page/spacial"&amp;"-itemid-project-search-results/spacial-itemid-project-detailpage?view=projectdetail&amp;id=3748 to https://35.229.131.110/node/60, **Contact_name** changed from Unknown to Evangeline D. Varela")</f>
        <v>**Restoration_project** changed from Sarangani Coastal Resources Development and Management Project to Unknown, **Restoration_project_short** changed from Site in Brgy Kawas; Mentioned as one of the activities conducted under the project to 2017, **Year of establishment** changed from 1998 to 2017, **Project Start** changed from 1998 to 2017, **Project End** changed from Unknown to 2017, **Restoration method** changed from Artificial Reef to Asexual Reproduction; Artificial Reef, **Technique/Material Type** changed from Unknown to CNU, **Restoration objective** changed from Conserve, rehabilitate, protect and manage marine resources to Experimental; Research, **Funding agency** changed from GEF Small Grants Programme to Mindanao State University - General Santos City, **Implementing institution** changed from South Cotabato Foundation, Inc. to Mindanao State University - General Santos City, **Reference** changed from Sarangani Coastal Resource Development and Management Project (MINDANAO) (n.d.). The GEF Small Grants Programme. https://sgp.undp.org/spacial-itemid-projects-landing-page/spacial-itemid-project-search-results/spacial-itemid-project-detailpage?view=projectdetail&amp;id=3748 to Varela, E. (2017). Growth and survival of corals of opportunity (Acropora spp.) at different depths at Tuka 3 Kiamba, Sarangani Province. Mindanao State University General Santos City Thesis Repository. https://35.229.131.110/node/60, **Website** changed from https://sgp.undp.org/spacial-itemid-projects-landing-page/spacial-itemid-project-search-results/spacial-itemid-project-detailpage?view=projectdetail&amp;id=3748 to https://35.229.131.110/node/60, **Contact_name** changed from Unknown to Evangeline D. Varela</v>
      </c>
      <c r="I774" s="153" t="s">
        <v>7572</v>
      </c>
      <c r="J774" s="153" t="s">
        <v>356</v>
      </c>
      <c r="K774" s="153" t="s">
        <v>357</v>
      </c>
      <c r="L774" s="153" t="s">
        <v>1689</v>
      </c>
      <c r="M774" s="181" t="s">
        <v>1690</v>
      </c>
      <c r="N774" s="153" t="s">
        <v>6814</v>
      </c>
      <c r="O774" s="158" t="s">
        <v>149</v>
      </c>
      <c r="P774" s="230">
        <v>2017.0</v>
      </c>
      <c r="Q774" s="169">
        <v>2017.0</v>
      </c>
      <c r="R774" s="175" t="s">
        <v>6152</v>
      </c>
      <c r="S774" s="175" t="s">
        <v>6152</v>
      </c>
      <c r="T774" s="156" t="s">
        <v>263</v>
      </c>
      <c r="U774" s="153">
        <f>IFERROR(__xludf.DUMMYFUNCTION("""COMPUTED_VALUE"""),746.0)</f>
        <v>746</v>
      </c>
      <c r="V774" s="191" t="s">
        <v>6790</v>
      </c>
      <c r="W774" s="179" t="s">
        <v>6066</v>
      </c>
      <c r="X774" s="180"/>
      <c r="Y774" s="180" t="s">
        <v>149</v>
      </c>
      <c r="Z774" s="158" t="s">
        <v>179</v>
      </c>
      <c r="AA774" s="158" t="s">
        <v>320</v>
      </c>
      <c r="AB774" s="153" t="s">
        <v>3030</v>
      </c>
      <c r="AC774" s="153" t="s">
        <v>1693</v>
      </c>
      <c r="AD774" s="158" t="s">
        <v>160</v>
      </c>
      <c r="AE774" s="158" t="s">
        <v>209</v>
      </c>
      <c r="AF774" s="158" t="s">
        <v>204</v>
      </c>
      <c r="AG774" s="164" t="s">
        <v>149</v>
      </c>
      <c r="AH774" s="158" t="s">
        <v>149</v>
      </c>
      <c r="AI774" s="158" t="s">
        <v>149</v>
      </c>
      <c r="AJ774" s="153" t="s">
        <v>1693</v>
      </c>
      <c r="AK774" s="158" t="s">
        <v>6068</v>
      </c>
      <c r="AL774" s="156" t="s">
        <v>149</v>
      </c>
      <c r="AM774" s="210" t="s">
        <v>149</v>
      </c>
      <c r="AN774" s="210" t="s">
        <v>149</v>
      </c>
      <c r="AO774" s="156">
        <v>2.0</v>
      </c>
      <c r="AP774" s="156" t="s">
        <v>6628</v>
      </c>
      <c r="AQ774" s="158" t="s">
        <v>7149</v>
      </c>
      <c r="AR774" s="153" t="s">
        <v>3031</v>
      </c>
      <c r="AS774" s="172" t="s">
        <v>7573</v>
      </c>
      <c r="AT774" s="153" t="s">
        <v>3033</v>
      </c>
      <c r="AU774" s="210" t="s">
        <v>149</v>
      </c>
    </row>
    <row r="775">
      <c r="A775" s="186">
        <v>387.0</v>
      </c>
      <c r="B775" s="152">
        <v>2023.0</v>
      </c>
      <c r="D775" s="152"/>
      <c r="E775" s="151">
        <v>387.0</v>
      </c>
      <c r="F775" s="129" t="s">
        <v>140</v>
      </c>
      <c r="G775" s="3" t="s">
        <v>3279</v>
      </c>
      <c r="H775" s="8" t="str">
        <f>IFERROR(__xludf.DUMMYFUNCTION("""COMPUTED_VALUE"""),"")</f>
        <v/>
      </c>
      <c r="I775" s="8" t="s">
        <v>7574</v>
      </c>
      <c r="J775" s="8" t="s">
        <v>356</v>
      </c>
      <c r="K775" s="8" t="s">
        <v>357</v>
      </c>
      <c r="L775" s="8" t="s">
        <v>1689</v>
      </c>
      <c r="M775" s="8" t="s">
        <v>1690</v>
      </c>
      <c r="N775" s="8" t="s">
        <v>151</v>
      </c>
      <c r="O775" s="3" t="s">
        <v>149</v>
      </c>
      <c r="P775" s="8" t="s">
        <v>7575</v>
      </c>
      <c r="Q775" s="142" t="s">
        <v>6329</v>
      </c>
      <c r="R775" s="142"/>
      <c r="S775" s="142"/>
      <c r="U775" s="8">
        <f>IFERROR(__xludf.DUMMYFUNCTION("""COMPUTED_VALUE"""),747.0)</f>
        <v>747</v>
      </c>
      <c r="V775" s="8"/>
      <c r="W775" s="8"/>
      <c r="AG775" s="142"/>
      <c r="AO775" s="8"/>
      <c r="AP775" s="8"/>
      <c r="AR775" s="8" t="s">
        <v>166</v>
      </c>
      <c r="AS775" s="8" t="s">
        <v>7576</v>
      </c>
      <c r="AT775" s="3" t="s">
        <v>149</v>
      </c>
      <c r="AU775" s="3" t="s">
        <v>149</v>
      </c>
    </row>
    <row r="776">
      <c r="A776" s="186">
        <v>388.0</v>
      </c>
      <c r="B776" s="152">
        <v>2023.0</v>
      </c>
      <c r="D776" s="152"/>
      <c r="E776" s="151">
        <v>388.0</v>
      </c>
      <c r="F776" s="129" t="s">
        <v>140</v>
      </c>
      <c r="G776" s="3" t="s">
        <v>6029</v>
      </c>
      <c r="H776" s="8" t="str">
        <f>IFERROR(__xludf.DUMMYFUNCTION("""COMPUTED_VALUE"""),"")</f>
        <v/>
      </c>
      <c r="I776" s="8" t="s">
        <v>7577</v>
      </c>
      <c r="J776" s="8" t="s">
        <v>356</v>
      </c>
      <c r="K776" s="8" t="s">
        <v>357</v>
      </c>
      <c r="L776" s="8" t="s">
        <v>1689</v>
      </c>
      <c r="M776" s="8" t="s">
        <v>1690</v>
      </c>
      <c r="N776" s="8" t="s">
        <v>6814</v>
      </c>
      <c r="O776" s="3" t="s">
        <v>149</v>
      </c>
      <c r="P776" s="8" t="s">
        <v>7578</v>
      </c>
      <c r="Q776" s="142" t="s">
        <v>6152</v>
      </c>
      <c r="R776" s="3" t="s">
        <v>149</v>
      </c>
      <c r="S776" s="3" t="s">
        <v>149</v>
      </c>
      <c r="T776" s="8"/>
      <c r="U776" s="8">
        <f>IFERROR(__xludf.DUMMYFUNCTION("""COMPUTED_VALUE"""),748.0)</f>
        <v>748</v>
      </c>
      <c r="V776" s="8"/>
      <c r="W776" s="8"/>
      <c r="X776" s="8"/>
      <c r="Y776" s="8"/>
      <c r="AA776" s="8" t="s">
        <v>320</v>
      </c>
      <c r="AB776" s="8" t="s">
        <v>3030</v>
      </c>
      <c r="AC776" s="8" t="s">
        <v>1693</v>
      </c>
      <c r="AG776" s="3" t="s">
        <v>149</v>
      </c>
      <c r="AH776" s="3" t="s">
        <v>149</v>
      </c>
      <c r="AI776" s="3" t="s">
        <v>149</v>
      </c>
      <c r="AJ776" s="8" t="s">
        <v>1693</v>
      </c>
      <c r="AM776" s="210" t="s">
        <v>149</v>
      </c>
      <c r="AN776" s="210" t="s">
        <v>149</v>
      </c>
      <c r="AO776" s="8"/>
      <c r="AP776" s="8"/>
      <c r="AR776" s="8" t="s">
        <v>7149</v>
      </c>
      <c r="AS776" s="172" t="s">
        <v>7573</v>
      </c>
      <c r="AT776" s="8" t="s">
        <v>3033</v>
      </c>
      <c r="AU776" s="210" t="s">
        <v>149</v>
      </c>
    </row>
    <row r="777">
      <c r="A777" s="186">
        <v>389.0</v>
      </c>
      <c r="B777" s="152">
        <v>2025.0</v>
      </c>
      <c r="C777" s="153" t="str">
        <f t="shared" ref="C777:C778" si="89">CONCATENATE(D777, "-", M777, "-", A777)
</f>
        <v>2023-PH128003000-389</v>
      </c>
      <c r="D777" s="152">
        <f t="shared" ref="D777:D778" si="90">IF(OR(F776="Published", F776="Unpublished"), 2023, IF(F776="New", 2025, ""))
</f>
        <v>2023</v>
      </c>
      <c r="E777" s="151">
        <v>388.0</v>
      </c>
      <c r="F777" s="129" t="s">
        <v>140</v>
      </c>
      <c r="G777" s="156" t="s">
        <v>141</v>
      </c>
      <c r="H777" s="153" t="str">
        <f>IFERROR(__xludf.DUMMYFUNCTION("""COMPUTED_VALUE"""),"**Restoration_project** changed from Unknown to National Coral Reef Rehabilitation Roll-Out Program, **Restoration_project_short** changed from Research to assess growth and survival of COPs at diff depths to Site in Tuka Marine Park, **Year of establishm"&amp;"ent** changed from 2017 to 2014, **Project Start** changed from Unknown to 2014, **Project End** changed from Unknown to 2016, **Restoration method** changed from Asexual Reproduction; Artificial Reef to Asexual Reproduction, **Restoration objective** cha"&amp;"nged from Experimental; Research to Unknown, **Funding agency** changed from Mindanao State University - General Santos City to DOST-PCAARRD, **Total units** changed from Unknown to 10 CNUs/30,000 COPs, **Partners_public** changed from to PLGU, DOT, PNP, "&amp;"**Partners_private** changed from Unknown to Rotary Zamboanga North, **Reference** changed from Unpublished thesis to DOST-PCAARRD. (n.d.). DOST-PCAARRD National Corals Rehabilitation Program Briefer Report. , **Website** changed from https://35.229.131.1"&amp;"10/node/60 to Report uploaded in the Google Drive; https://savethephilippinecoralreefs.wordpress.com/2013/03/24/government-and-army-assist-with-coral-farming-on-nogas-coral-reefs/, **Contact_name** changed from Evangeline D. Varela to Unknown")</f>
        <v>**Restoration_project** changed from Unknown to National Coral Reef Rehabilitation Roll-Out Program, **Restoration_project_short** changed from Research to assess growth and survival of COPs at diff depths to Site in Tuka Marine Park, **Year of establishment** changed from 2017 to 2014, **Project Start** changed from Unknown to 2014, **Project End** changed from Unknown to 2016, **Restoration method** changed from Asexual Reproduction; Artificial Reef to Asexual Reproduction, **Restoration objective** changed from Experimental; Research to Unknown, **Funding agency** changed from Mindanao State University - General Santos City to DOST-PCAARRD, **Total units** changed from Unknown to 10 CNUs/30,000 COPs, **Partners_public** changed from to PLGU, DOT, PNP, **Partners_private** changed from Unknown to Rotary Zamboanga North, **Reference** changed from Unpublished thesis to DOST-PCAARRD. (n.d.). DOST-PCAARRD National Corals Rehabilitation Program Briefer Report. , **Website** changed from https://35.229.131.110/node/60 to Report uploaded in the Google Drive; https://savethephilippinecoralreefs.wordpress.com/2013/03/24/government-and-army-assist-with-coral-farming-on-nogas-coral-reefs/, **Contact_name** changed from Evangeline D. Varela to Unknown</v>
      </c>
      <c r="I777" s="153" t="s">
        <v>7579</v>
      </c>
      <c r="J777" s="153" t="s">
        <v>356</v>
      </c>
      <c r="K777" s="153" t="s">
        <v>357</v>
      </c>
      <c r="L777" s="153" t="s">
        <v>1689</v>
      </c>
      <c r="M777" s="181" t="s">
        <v>1690</v>
      </c>
      <c r="N777" s="153" t="s">
        <v>6062</v>
      </c>
      <c r="O777" s="153" t="s">
        <v>1683</v>
      </c>
      <c r="P777" s="158" t="s">
        <v>1691</v>
      </c>
      <c r="Q777" s="178">
        <v>2014.0</v>
      </c>
      <c r="R777" s="160" t="s">
        <v>6063</v>
      </c>
      <c r="S777" s="175" t="s">
        <v>6064</v>
      </c>
      <c r="T777" s="156" t="s">
        <v>177</v>
      </c>
      <c r="U777" s="153">
        <f>IFERROR(__xludf.DUMMYFUNCTION("""COMPUTED_VALUE"""),749.0)</f>
        <v>749</v>
      </c>
      <c r="V777" s="191" t="s">
        <v>1359</v>
      </c>
      <c r="W777" s="179" t="s">
        <v>6066</v>
      </c>
      <c r="X777" s="180"/>
      <c r="Y777" s="180" t="s">
        <v>154</v>
      </c>
      <c r="Z777" s="158" t="s">
        <v>179</v>
      </c>
      <c r="AA777" s="153" t="s">
        <v>320</v>
      </c>
      <c r="AB777" s="158" t="s">
        <v>149</v>
      </c>
      <c r="AC777" s="153" t="s">
        <v>321</v>
      </c>
      <c r="AD777" s="158" t="s">
        <v>160</v>
      </c>
      <c r="AE777" s="158" t="s">
        <v>6035</v>
      </c>
      <c r="AF777" s="158" t="s">
        <v>159</v>
      </c>
      <c r="AG777" s="164" t="s">
        <v>149</v>
      </c>
      <c r="AH777" s="158" t="s">
        <v>149</v>
      </c>
      <c r="AI777" s="153" t="s">
        <v>1692</v>
      </c>
      <c r="AJ777" s="153" t="s">
        <v>1693</v>
      </c>
      <c r="AK777" s="158" t="s">
        <v>6068</v>
      </c>
      <c r="AL777" s="153" t="s">
        <v>7580</v>
      </c>
      <c r="AM777" s="153" t="s">
        <v>1695</v>
      </c>
      <c r="AN777" s="3" t="s">
        <v>149</v>
      </c>
      <c r="AO777" s="156">
        <v>1.0</v>
      </c>
      <c r="AP777" s="156" t="s">
        <v>6037</v>
      </c>
      <c r="AQ777" s="158" t="s">
        <v>6069</v>
      </c>
      <c r="AR777" s="153" t="s">
        <v>1300</v>
      </c>
      <c r="AS777" s="153" t="s">
        <v>7029</v>
      </c>
      <c r="AT777" s="3" t="s">
        <v>149</v>
      </c>
      <c r="AU777" s="3" t="s">
        <v>149</v>
      </c>
    </row>
    <row r="778">
      <c r="A778" s="186">
        <v>390.0</v>
      </c>
      <c r="B778" s="152">
        <v>2025.0</v>
      </c>
      <c r="C778" s="153" t="str">
        <f t="shared" si="89"/>
        <v>2023-PH128003000-390</v>
      </c>
      <c r="D778" s="152">
        <f t="shared" si="90"/>
        <v>2023</v>
      </c>
      <c r="E778" s="151">
        <v>389.0</v>
      </c>
      <c r="F778" s="176" t="s">
        <v>191</v>
      </c>
      <c r="G778" s="176" t="s">
        <v>191</v>
      </c>
      <c r="H778" s="158" t="str">
        <f>IFERROR(__xludf.DUMMYFUNCTION("""COMPUTED_VALUE"""),"**Restoration_project** changed from National Coral Reef Rehabilitation Roll-Out Program to Unknown, **Year of establishment** changed from 2014 to 2020, **Project Start** changed from 2014 to Unknown, **Project End** changed from 2016 to Unknown, **Techn"&amp;"ique/Material Type** changed from CNU to Direct transplantation, **Restoration objective** changed from Unknown to Transplant coral fragments affected by human activities and typhoons, **Funding agency** changed from DOST-PCAARRD to Sarangani PENRO, **Tot"&amp;"al units** changed from 10 CNUs/30,000 COPs to 1,400 fragments, **Implementing institution** changed from Mindanao State University - General Santos City to Sarangani PENRO, **Partners_public** changed from PLGU, DOT, PNP to LGU MENRO, **Partners_private*"&amp;"* changed from Rotary Zamboanga North to Unknown, **Reference** changed from DOST-PCAARRD. (n.d.). DOST-PCAARRD National Corals Rehabilitation Program Briefer Report. to Gubalani, R. (2020, Sept. 29). Sarangani Bay's coral ecosystem ""healthy, improving"""&amp;". https://www.pna.gov.ph/articles/1116952, **Website** changed from Report uploaded in the Google Drive; https://savethephilippinecoralreefs.wordpress.com/2013/03/24/government-and-army-assist-with-coral-farming-on-nogas-coral-reefs/ to https://www.pna.go"&amp;"v.ph/articles/1116952")</f>
        <v>**Restoration_project** changed from National Coral Reef Rehabilitation Roll-Out Program to Unknown, **Year of establishment** changed from 2014 to 2020, **Project Start** changed from 2014 to Unknown, **Project End** changed from 2016 to Unknown, **Technique/Material Type** changed from CNU to Direct transplantation, **Restoration objective** changed from Unknown to Transplant coral fragments affected by human activities and typhoons, **Funding agency** changed from DOST-PCAARRD to Sarangani PENRO, **Total units** changed from 10 CNUs/30,000 COPs to 1,400 fragments, **Implementing institution** changed from Mindanao State University - General Santos City to Sarangani PENRO, **Partners_public** changed from PLGU, DOT, PNP to LGU MENRO, **Partners_private** changed from Rotary Zamboanga North to Unknown, **Reference** changed from DOST-PCAARRD. (n.d.). DOST-PCAARRD National Corals Rehabilitation Program Briefer Report. to Gubalani, R. (2020, Sept. 29). Sarangani Bay's coral ecosystem "healthy, improving". https://www.pna.gov.ph/articles/1116952, **Website** changed from Report uploaded in the Google Drive; https://savethephilippinecoralreefs.wordpress.com/2013/03/24/government-and-army-assist-with-coral-farming-on-nogas-coral-reefs/ to https://www.pna.gov.ph/articles/1116952</v>
      </c>
      <c r="I778" s="158" t="s">
        <v>7581</v>
      </c>
      <c r="J778" s="158" t="s">
        <v>356</v>
      </c>
      <c r="K778" s="158" t="s">
        <v>357</v>
      </c>
      <c r="L778" s="158" t="s">
        <v>1689</v>
      </c>
      <c r="M778" s="164" t="s">
        <v>1690</v>
      </c>
      <c r="N778" s="158" t="s">
        <v>6062</v>
      </c>
      <c r="O778" s="202" t="s">
        <v>149</v>
      </c>
      <c r="P778" s="202" t="s">
        <v>1691</v>
      </c>
      <c r="Q778" s="218">
        <v>2020.0</v>
      </c>
      <c r="R778" s="203" t="s">
        <v>149</v>
      </c>
      <c r="S778" s="203" t="s">
        <v>149</v>
      </c>
      <c r="T778" s="176" t="s">
        <v>177</v>
      </c>
      <c r="U778" s="158">
        <f>IFERROR(__xludf.DUMMYFUNCTION("""COMPUTED_VALUE"""),750.0)</f>
        <v>750</v>
      </c>
      <c r="V778" s="180" t="s">
        <v>3245</v>
      </c>
      <c r="W778" s="179" t="s">
        <v>149</v>
      </c>
      <c r="X778" s="180"/>
      <c r="Y778" s="180" t="s">
        <v>154</v>
      </c>
      <c r="Z778" s="158" t="s">
        <v>179</v>
      </c>
      <c r="AA778" s="158" t="s">
        <v>3245</v>
      </c>
      <c r="AB778" s="158" t="s">
        <v>7582</v>
      </c>
      <c r="AC778" s="202" t="s">
        <v>2317</v>
      </c>
      <c r="AD778" s="158" t="s">
        <v>160</v>
      </c>
      <c r="AE778" s="158" t="s">
        <v>6035</v>
      </c>
      <c r="AF778" s="158" t="s">
        <v>159</v>
      </c>
      <c r="AG778" s="194" t="s">
        <v>149</v>
      </c>
      <c r="AH778" s="202" t="s">
        <v>149</v>
      </c>
      <c r="AI778" s="202" t="s">
        <v>7583</v>
      </c>
      <c r="AJ778" s="202" t="s">
        <v>2317</v>
      </c>
      <c r="AK778" s="158" t="s">
        <v>6035</v>
      </c>
      <c r="AL778" s="202" t="s">
        <v>2319</v>
      </c>
      <c r="AM778" s="204" t="s">
        <v>149</v>
      </c>
      <c r="AN778" s="176" t="s">
        <v>149</v>
      </c>
      <c r="AO778" s="156">
        <v>1.0</v>
      </c>
      <c r="AP778" s="156" t="s">
        <v>6037</v>
      </c>
      <c r="AQ778" s="158" t="s">
        <v>166</v>
      </c>
      <c r="AR778" s="158" t="s">
        <v>2320</v>
      </c>
      <c r="AS778" s="177" t="s">
        <v>2321</v>
      </c>
      <c r="AT778" s="204" t="s">
        <v>149</v>
      </c>
      <c r="AU778" s="210" t="s">
        <v>149</v>
      </c>
    </row>
    <row r="779">
      <c r="A779" s="186">
        <v>391.0</v>
      </c>
      <c r="B779" s="152">
        <v>2023.0</v>
      </c>
      <c r="D779" s="152"/>
      <c r="E779" s="151">
        <v>389.0</v>
      </c>
      <c r="F779" s="129" t="s">
        <v>140</v>
      </c>
      <c r="G779" s="3" t="s">
        <v>6029</v>
      </c>
      <c r="H779" s="8" t="str">
        <f>IFERROR(__xludf.DUMMYFUNCTION("""COMPUTED_VALUE"""),"")</f>
        <v/>
      </c>
      <c r="I779" s="8" t="s">
        <v>7584</v>
      </c>
      <c r="J779" s="8" t="s">
        <v>356</v>
      </c>
      <c r="K779" s="8" t="s">
        <v>357</v>
      </c>
      <c r="L779" s="8" t="s">
        <v>1689</v>
      </c>
      <c r="M779" s="8" t="s">
        <v>1690</v>
      </c>
      <c r="N779" s="8" t="s">
        <v>6062</v>
      </c>
      <c r="O779" s="8" t="s">
        <v>1683</v>
      </c>
      <c r="P779" s="3" t="s">
        <v>149</v>
      </c>
      <c r="Q779" s="3" t="s">
        <v>149</v>
      </c>
      <c r="R779" s="142" t="s">
        <v>6063</v>
      </c>
      <c r="S779" s="142" t="s">
        <v>6064</v>
      </c>
      <c r="T779" s="8"/>
      <c r="U779" s="8">
        <f>IFERROR(__xludf.DUMMYFUNCTION("""COMPUTED_VALUE"""),751.0)</f>
        <v>751</v>
      </c>
      <c r="V779" s="8"/>
      <c r="W779" s="8"/>
      <c r="X779" s="8"/>
      <c r="Y779" s="8"/>
      <c r="AA779" s="8" t="s">
        <v>320</v>
      </c>
      <c r="AB779" s="3" t="s">
        <v>149</v>
      </c>
      <c r="AC779" s="8" t="s">
        <v>321</v>
      </c>
      <c r="AG779" s="3" t="s">
        <v>149</v>
      </c>
      <c r="AH779" s="3" t="s">
        <v>149</v>
      </c>
      <c r="AI779" s="8" t="s">
        <v>1692</v>
      </c>
      <c r="AJ779" s="8" t="s">
        <v>1693</v>
      </c>
      <c r="AL779" s="8" t="s">
        <v>7580</v>
      </c>
      <c r="AM779" s="8" t="s">
        <v>1695</v>
      </c>
      <c r="AN779" s="3" t="s">
        <v>149</v>
      </c>
      <c r="AO779" s="8"/>
      <c r="AP779" s="8"/>
      <c r="AR779" s="8" t="s">
        <v>6069</v>
      </c>
      <c r="AS779" s="3" t="s">
        <v>149</v>
      </c>
      <c r="AT779" s="3" t="s">
        <v>149</v>
      </c>
      <c r="AU779" s="3" t="s">
        <v>149</v>
      </c>
    </row>
    <row r="780">
      <c r="A780" s="186">
        <v>392.0</v>
      </c>
      <c r="B780" s="152">
        <v>2025.0</v>
      </c>
      <c r="C780" s="153" t="str">
        <f>CONCATENATE(D780, "-", M780, "-", A780)
</f>
        <v>2023-PH128002000-392</v>
      </c>
      <c r="D780" s="152">
        <f>IF(OR(F779="Published", F779="Unpublished"), 2023, IF(F779="New", 2025, ""))
</f>
        <v>2023</v>
      </c>
      <c r="E780" s="151">
        <v>390.0</v>
      </c>
      <c r="F780" s="156" t="s">
        <v>191</v>
      </c>
      <c r="G780" s="156" t="s">
        <v>191</v>
      </c>
      <c r="H780" s="153" t="str">
        <f>IFERROR(__xludf.DUMMYFUNCTION("""COMPUTED_VALUE"""),"**Restoration_project** changed from National Coral Reef Rehabilitation Roll-Out Program to Unknown, **Restoration_project_short** changed from Unknown to Site inside MPAs in Binuni, Nibong and Talisay, **Year of establishment** changed from Unknown to 20"&amp;"12, **Project Start** changed from 2014 to Unknown, **Project End** changed from 2016 to Unknown, **Restoration method** changed from Asexual Reproduction to Asexual Reproduction; Artificial Reef, **Technique/Material Type** changed from CNU to Coral tran"&amp;"splantation, **Funding agency** changed from DOST-PCAARRD to DENR, **Total units** changed from 10 CNUs/30,000 COPs to Unknown, **Implementing institution** changed from Mindanao State University - General Santos City to DENR, **Partners_public** changed "&amp;"from PLGU, DOT, PNP to Unknown, **Partners_private** changed from Rotary Zamboanga North to Unknown, **Reference** changed from Briefer Report to Cortez, R. (n.d.). Artificial reef cum coral transplantation in Sarangani. https://www.emecs.or.jp/en/wp-cont"&amp;"ent/uploads/2023/03/129.pdf#:~:text=This%20is%20sought%20as%20one%20of%20the,but%20throughout%20Sarangani%20Bay.%20The%20preparation%20of., **Website** changed from Unknown to https://www.emecs.or.jp/en/wp-content/uploads/2023/03/129.pdf#:~:text=This%20is"&amp;"%20sought%20as%20one%20of%20the,but%20throughout%20Sarangani%20Bay.%20The%20preparation%20of.")</f>
        <v>**Restoration_project** changed from National Coral Reef Rehabilitation Roll-Out Program to Unknown, **Restoration_project_short** changed from Unknown to Site inside MPAs in Binuni, Nibong and Talisay, **Year of establishment** changed from Unknown to 2012, **Project Start** changed from 2014 to Unknown, **Project End** changed from 2016 to Unknown, **Restoration method** changed from Asexual Reproduction to Asexual Reproduction; Artificial Reef, **Technique/Material Type** changed from CNU to Coral transplantation, **Funding agency** changed from DOST-PCAARRD to DENR, **Total units** changed from 10 CNUs/30,000 COPs to Unknown, **Implementing institution** changed from Mindanao State University - General Santos City to DENR, **Partners_public** changed from PLGU, DOT, PNP to Unknown, **Partners_private** changed from Rotary Zamboanga North to Unknown, **Reference** changed from Briefer Report to Cortez, R. (n.d.). Artificial reef cum coral transplantation in Sarangani. https://www.emecs.or.jp/en/wp-content/uploads/2023/03/129.pdf#:~:text=This%20is%20sought%20as%20one%20of%20the,but%20throughout%20Sarangani%20Bay.%20The%20preparation%20of., **Website** changed from Unknown to https://www.emecs.or.jp/en/wp-content/uploads/2023/03/129.pdf#:~:text=This%20is%20sought%20as%20one%20of%20the,but%20throughout%20Sarangani%20Bay.%20The%20preparation%20of.</v>
      </c>
      <c r="I780" s="153" t="s">
        <v>7585</v>
      </c>
      <c r="J780" s="153" t="s">
        <v>356</v>
      </c>
      <c r="K780" s="153" t="s">
        <v>357</v>
      </c>
      <c r="L780" s="153" t="s">
        <v>3186</v>
      </c>
      <c r="M780" s="181" t="s">
        <v>3187</v>
      </c>
      <c r="N780" s="158" t="s">
        <v>6814</v>
      </c>
      <c r="O780" s="158" t="s">
        <v>149</v>
      </c>
      <c r="P780" s="158" t="s">
        <v>3188</v>
      </c>
      <c r="Q780" s="178">
        <v>2012.0</v>
      </c>
      <c r="R780" s="164" t="s">
        <v>149</v>
      </c>
      <c r="S780" s="160" t="s">
        <v>149</v>
      </c>
      <c r="T780" s="156" t="s">
        <v>263</v>
      </c>
      <c r="U780" s="153">
        <f>IFERROR(__xludf.DUMMYFUNCTION("""COMPUTED_VALUE"""),752.0)</f>
        <v>752</v>
      </c>
      <c r="V780" s="191" t="s">
        <v>6625</v>
      </c>
      <c r="W780" s="184" t="s">
        <v>6032</v>
      </c>
      <c r="X780" s="28" t="s">
        <v>6173</v>
      </c>
      <c r="Y780" s="180" t="s">
        <v>265</v>
      </c>
      <c r="Z780" s="158" t="s">
        <v>3189</v>
      </c>
      <c r="AA780" s="158" t="s">
        <v>179</v>
      </c>
      <c r="AB780" s="158" t="s">
        <v>149</v>
      </c>
      <c r="AC780" s="158" t="s">
        <v>341</v>
      </c>
      <c r="AD780" s="158" t="s">
        <v>160</v>
      </c>
      <c r="AE780" s="158" t="s">
        <v>6035</v>
      </c>
      <c r="AF780" s="158" t="s">
        <v>159</v>
      </c>
      <c r="AG780" s="164" t="s">
        <v>149</v>
      </c>
      <c r="AH780" s="158" t="s">
        <v>149</v>
      </c>
      <c r="AI780" s="158" t="s">
        <v>149</v>
      </c>
      <c r="AJ780" s="158" t="s">
        <v>341</v>
      </c>
      <c r="AK780" s="158" t="s">
        <v>6035</v>
      </c>
      <c r="AL780" s="217" t="s">
        <v>149</v>
      </c>
      <c r="AM780" s="217" t="s">
        <v>149</v>
      </c>
      <c r="AN780" s="217" t="s">
        <v>149</v>
      </c>
      <c r="AO780" s="156">
        <v>2.0</v>
      </c>
      <c r="AP780" s="156" t="s">
        <v>6628</v>
      </c>
      <c r="AQ780" s="158" t="s">
        <v>3277</v>
      </c>
      <c r="AR780" s="158" t="s">
        <v>3190</v>
      </c>
      <c r="AS780" s="172" t="s">
        <v>3191</v>
      </c>
      <c r="AT780" s="156" t="s">
        <v>149</v>
      </c>
      <c r="AU780" s="217" t="s">
        <v>149</v>
      </c>
    </row>
    <row r="781">
      <c r="A781" s="186">
        <v>393.0</v>
      </c>
      <c r="B781" s="152">
        <v>2023.0</v>
      </c>
      <c r="D781" s="152"/>
      <c r="E781" s="151">
        <v>390.0</v>
      </c>
      <c r="F781" s="129" t="s">
        <v>140</v>
      </c>
      <c r="G781" s="3" t="s">
        <v>6029</v>
      </c>
      <c r="H781" s="8" t="str">
        <f>IFERROR(__xludf.DUMMYFUNCTION("""COMPUTED_VALUE"""),"")</f>
        <v/>
      </c>
      <c r="I781" s="8" t="s">
        <v>7586</v>
      </c>
      <c r="J781" s="8" t="s">
        <v>356</v>
      </c>
      <c r="K781" s="8" t="s">
        <v>357</v>
      </c>
      <c r="L781" s="8" t="s">
        <v>358</v>
      </c>
      <c r="M781" s="8" t="s">
        <v>359</v>
      </c>
      <c r="N781" s="8" t="s">
        <v>151</v>
      </c>
      <c r="O781" s="8" t="s">
        <v>360</v>
      </c>
      <c r="P781" s="3" t="s">
        <v>149</v>
      </c>
      <c r="Q781" s="142" t="s">
        <v>6329</v>
      </c>
      <c r="R781" s="3" t="s">
        <v>149</v>
      </c>
      <c r="S781" s="3" t="s">
        <v>149</v>
      </c>
      <c r="T781" s="8"/>
      <c r="U781" s="8">
        <f>IFERROR(__xludf.DUMMYFUNCTION("""COMPUTED_VALUE"""),753.0)</f>
        <v>753</v>
      </c>
      <c r="V781" s="8"/>
      <c r="W781" s="3"/>
      <c r="X781" s="8"/>
      <c r="Y781" s="8"/>
      <c r="AA781" s="3" t="s">
        <v>149</v>
      </c>
      <c r="AB781" s="3" t="s">
        <v>149</v>
      </c>
      <c r="AC781" s="8" t="s">
        <v>7587</v>
      </c>
      <c r="AG781" s="3" t="s">
        <v>149</v>
      </c>
      <c r="AH781" s="3" t="s">
        <v>149</v>
      </c>
      <c r="AI781" s="8" t="s">
        <v>7588</v>
      </c>
      <c r="AJ781" s="8" t="s">
        <v>368</v>
      </c>
      <c r="AL781" s="8" t="s">
        <v>369</v>
      </c>
      <c r="AM781" s="8" t="s">
        <v>7589</v>
      </c>
      <c r="AN781" s="3" t="s">
        <v>149</v>
      </c>
      <c r="AO781" s="8"/>
      <c r="AP781" s="8"/>
      <c r="AR781" s="8" t="s">
        <v>166</v>
      </c>
      <c r="AS781" s="8" t="s">
        <v>7590</v>
      </c>
      <c r="AT781" s="3" t="s">
        <v>149</v>
      </c>
      <c r="AU781" s="3" t="s">
        <v>149</v>
      </c>
    </row>
    <row r="782">
      <c r="A782" s="186">
        <v>394.0</v>
      </c>
      <c r="B782" s="152">
        <v>2023.0</v>
      </c>
      <c r="D782" s="152"/>
      <c r="E782" s="151">
        <v>391.0</v>
      </c>
      <c r="F782" s="129" t="s">
        <v>140</v>
      </c>
      <c r="G782" s="3" t="s">
        <v>6029</v>
      </c>
      <c r="H782" s="8" t="str">
        <f>IFERROR(__xludf.DUMMYFUNCTION("""COMPUTED_VALUE"""),"")</f>
        <v/>
      </c>
      <c r="I782" s="8" t="s">
        <v>7591</v>
      </c>
      <c r="J782" s="8" t="s">
        <v>356</v>
      </c>
      <c r="K782" s="8" t="s">
        <v>357</v>
      </c>
      <c r="L782" s="8" t="s">
        <v>358</v>
      </c>
      <c r="M782" s="8" t="s">
        <v>359</v>
      </c>
      <c r="N782" s="8" t="s">
        <v>151</v>
      </c>
      <c r="O782" s="8" t="s">
        <v>360</v>
      </c>
      <c r="P782" s="8" t="s">
        <v>7592</v>
      </c>
      <c r="Q782" s="142" t="s">
        <v>6151</v>
      </c>
      <c r="R782" s="3" t="s">
        <v>149</v>
      </c>
      <c r="S782" s="3" t="s">
        <v>149</v>
      </c>
      <c r="T782" s="8"/>
      <c r="U782" s="8">
        <f>IFERROR(__xludf.DUMMYFUNCTION("""COMPUTED_VALUE"""),754.0)</f>
        <v>754</v>
      </c>
      <c r="V782" s="8"/>
      <c r="W782" s="8"/>
      <c r="X782" s="8"/>
      <c r="Y782" s="8"/>
      <c r="AA782" s="8" t="s">
        <v>362</v>
      </c>
      <c r="AB782" s="3" t="s">
        <v>149</v>
      </c>
      <c r="AC782" s="8" t="s">
        <v>2349</v>
      </c>
      <c r="AG782" s="3" t="s">
        <v>149</v>
      </c>
      <c r="AH782" s="3" t="s">
        <v>149</v>
      </c>
      <c r="AI782" s="8" t="s">
        <v>2350</v>
      </c>
      <c r="AJ782" s="8" t="s">
        <v>368</v>
      </c>
      <c r="AL782" s="8" t="s">
        <v>7593</v>
      </c>
      <c r="AM782" s="8" t="s">
        <v>2352</v>
      </c>
      <c r="AN782" s="8" t="s">
        <v>2353</v>
      </c>
      <c r="AO782" s="8"/>
      <c r="AP782" s="8"/>
      <c r="AR782" s="8" t="s">
        <v>166</v>
      </c>
      <c r="AS782" s="8" t="s">
        <v>7594</v>
      </c>
      <c r="AT782" s="3" t="s">
        <v>149</v>
      </c>
      <c r="AU782" s="3" t="s">
        <v>149</v>
      </c>
    </row>
    <row r="783">
      <c r="A783" s="186">
        <v>395.0</v>
      </c>
      <c r="B783" s="152">
        <v>2025.0</v>
      </c>
      <c r="C783" s="153" t="str">
        <f t="shared" ref="C783:C784" si="91">CONCATENATE(D783, "-", M783, "-", A783)
</f>
        <v>2023-PH128004000-395</v>
      </c>
      <c r="D783" s="152">
        <f t="shared" ref="D783:D784" si="92">IF(OR(F782="Published", F782="Unpublished"), 2023, IF(F782="New", 2025, ""))
</f>
        <v>2023</v>
      </c>
      <c r="E783" s="151">
        <v>391.0</v>
      </c>
      <c r="F783" s="129" t="s">
        <v>140</v>
      </c>
      <c r="G783" s="156" t="s">
        <v>141</v>
      </c>
      <c r="H783" s="153" t="str">
        <f>IFERROR(__xludf.DUMMYFUNCTION("""COMPUTED_VALUE"""),"**Restoration_project_short** changed from *Conduct of activity part of the celebration of International Coastal Cleanup Month to Unknown, **Year of establishment** changed from 2012 to 2009, **Project Start** changed from Unknown to 2009, **Restoration o"&amp;"bjective** changed from Unknown to Restore marine and coastal life; restore fishery resources; breeding ground; corporate social responsibility, **Funding agency** changed from World Vision to Conrado and Ladislawa Alcantara Foundation; Holcim Cement, **T"&amp;"otal units** changed from 29 units to 4,300 units, **Partners_public** changed from OPA, OMA, PENRO, Environmental Conservation and Protection Center; 73rd Infrantry Batallion Philippine Army to MLGU, **Partners_private** changed from Lemlunay Resort to S"&amp;"arangani Energy Corporation, **Partners_communities** changed from Tinoto Fisherfolks Assoc. to Unknown, **Reference** changed from News/Press Release to The Philippine Star (2015, November 23). Sarangani's Kamanga Marine Eco-tourism Park and Sanctuary ci"&amp;"ted as one of Philippine's best. PhilStar Global. https://www.philstar.com/other-sections/the-good-news/2015/11/23/1524749/saranganis-kamanga-marine-eco-tourism-park-and-sanctuary-cited-one-philippines-best, **Website** changed from https://www.pressreade"&amp;"r.com/philippines/sunstar-davao/20121003/281745561608748; https://clafi.org/our_work_categories/environment-protection-and-conservation-projects/; http://archives.pia.gov.ph/?m=12&amp;fi=p090529.htm&amp;no=67 to https://www.philstar.com/other-sections/the-good-ne"&amp;"ws/2015/11/23/1524749/saranganis-kamanga-marine-eco-tourism-park-and-sanctuary-cited-one-philippines-best; https://www.sunstar.com.ph/more-articles/artificial-reef-to-be-deployed-in-sarangani-bay")</f>
        <v>**Restoration_project_short** changed from *Conduct of activity part of the celebration of International Coastal Cleanup Month to Unknown, **Year of establishment** changed from 2012 to 2009, **Project Start** changed from Unknown to 2009, **Restoration objective** changed from Unknown to Restore marine and coastal life; restore fishery resources; breeding ground; corporate social responsibility, **Funding agency** changed from World Vision to Conrado and Ladislawa Alcantara Foundation; Holcim Cement, **Total units** changed from 29 units to 4,300 units, **Partners_public** changed from OPA, OMA, PENRO, Environmental Conservation and Protection Center; 73rd Infrantry Batallion Philippine Army to MLGU, **Partners_private** changed from Lemlunay Resort to Sarangani Energy Corporation, **Partners_communities** changed from Tinoto Fisherfolks Assoc. to Unknown, **Reference** changed from News/Press Release to The Philippine Star (2015, November 23). Sarangani's Kamanga Marine Eco-tourism Park and Sanctuary cited as one of Philippine's best. PhilStar Global. https://www.philstar.com/other-sections/the-good-news/2015/11/23/1524749/saranganis-kamanga-marine-eco-tourism-park-and-sanctuary-cited-one-philippines-best, **Website** changed from https://www.pressreader.com/philippines/sunstar-davao/20121003/281745561608748; https://clafi.org/our_work_categories/environment-protection-and-conservation-projects/; http://archives.pia.gov.ph/?m=12&amp;fi=p090529.htm&amp;no=67 to https://www.philstar.com/other-sections/the-good-news/2015/11/23/1524749/saranganis-kamanga-marine-eco-tourism-park-and-sanctuary-cited-one-philippines-best; https://www.sunstar.com.ph/more-articles/artificial-reef-to-be-deployed-in-sarangani-bay</v>
      </c>
      <c r="I783" s="153" t="s">
        <v>7595</v>
      </c>
      <c r="J783" s="153" t="s">
        <v>356</v>
      </c>
      <c r="K783" s="153" t="s">
        <v>357</v>
      </c>
      <c r="L783" s="153" t="s">
        <v>358</v>
      </c>
      <c r="M783" s="181" t="s">
        <v>359</v>
      </c>
      <c r="N783" s="153" t="s">
        <v>151</v>
      </c>
      <c r="O783" s="153" t="s">
        <v>360</v>
      </c>
      <c r="P783" s="3" t="s">
        <v>149</v>
      </c>
      <c r="Q783" s="169">
        <v>2009.0</v>
      </c>
      <c r="R783" s="175" t="s">
        <v>6329</v>
      </c>
      <c r="S783" s="160" t="s">
        <v>149</v>
      </c>
      <c r="T783" s="161" t="s">
        <v>150</v>
      </c>
      <c r="U783" s="153">
        <f>IFERROR(__xludf.DUMMYFUNCTION("""COMPUTED_VALUE"""),755.0)</f>
        <v>755</v>
      </c>
      <c r="V783" s="162" t="s">
        <v>3311</v>
      </c>
      <c r="W783" s="179" t="s">
        <v>6032</v>
      </c>
      <c r="X783" s="28" t="s">
        <v>6173</v>
      </c>
      <c r="Y783" s="32" t="s">
        <v>361</v>
      </c>
      <c r="Z783" s="158" t="s">
        <v>362</v>
      </c>
      <c r="AA783" s="158" t="s">
        <v>362</v>
      </c>
      <c r="AB783" s="158" t="s">
        <v>365</v>
      </c>
      <c r="AC783" s="158" t="s">
        <v>366</v>
      </c>
      <c r="AD783" s="158" t="s">
        <v>160</v>
      </c>
      <c r="AE783" s="158" t="s">
        <v>306</v>
      </c>
      <c r="AF783" s="158" t="s">
        <v>159</v>
      </c>
      <c r="AG783" s="164" t="s">
        <v>149</v>
      </c>
      <c r="AH783" s="158" t="s">
        <v>149</v>
      </c>
      <c r="AI783" s="158" t="s">
        <v>367</v>
      </c>
      <c r="AJ783" s="158" t="s">
        <v>368</v>
      </c>
      <c r="AK783" s="158" t="s">
        <v>306</v>
      </c>
      <c r="AL783" s="158" t="s">
        <v>369</v>
      </c>
      <c r="AM783" s="202" t="s">
        <v>370</v>
      </c>
      <c r="AN783" s="210" t="s">
        <v>149</v>
      </c>
      <c r="AO783" s="156">
        <v>1.0</v>
      </c>
      <c r="AP783" s="156" t="s">
        <v>6037</v>
      </c>
      <c r="AQ783" s="158" t="s">
        <v>166</v>
      </c>
      <c r="AR783" s="153" t="s">
        <v>371</v>
      </c>
      <c r="AS783" s="165" t="s">
        <v>372</v>
      </c>
      <c r="AT783" s="3" t="s">
        <v>149</v>
      </c>
      <c r="AU783" s="3" t="s">
        <v>149</v>
      </c>
    </row>
    <row r="784">
      <c r="A784" s="186">
        <v>396.0</v>
      </c>
      <c r="B784" s="152">
        <v>2025.0</v>
      </c>
      <c r="C784" s="153" t="str">
        <f t="shared" si="91"/>
        <v>2023-PH128004000-396</v>
      </c>
      <c r="D784" s="152">
        <f t="shared" si="92"/>
        <v>2023</v>
      </c>
      <c r="E784" s="151">
        <v>392.0</v>
      </c>
      <c r="F784" s="129" t="s">
        <v>140</v>
      </c>
      <c r="G784" s="156" t="s">
        <v>141</v>
      </c>
      <c r="H784" s="153" t="str">
        <f>IFERROR(__xludf.DUMMYFUNCTION("""COMPUTED_VALUE"""),"**Restoration_project** changed from Artificial Reef Deployment Project to Unknown, **Restoration_project_short** changed from Unknown to Site in Tinoto Reef; Conducted as part of the celebration of International Coastal Cleanup Month, **Year of establish"&amp;"ment** changed from 2009 to 2012, **Project Start** changed from 2009 to Unknown, **Restoration objective** changed from Restore marine and coastal life; restore fishery resources; breeding ground; corporate social responsibility to Conservation and prote"&amp;"ction of Sarangani Bay, **Funding agency** changed from Conrado and Ladislawa Alcantara Foundation; Holcim Cement to World Vision, **Total units** changed from 4,300 units to 29 units, **Partners_public** changed from MLGU to OPA, OMA, PENRO, Environmenta"&amp;"l Conservation and Protection Center; 73rd Infrantry Batallion Philippine Army, **Partners_private** changed from Sarangani Energy Corporation to Lemlunay Resort, **Partners_communities** changed from Unknown to Tinoto Fisherfolks Assoc., **Reference** ch"&amp;"anged from The Philippine Star (2015, November 23). Sarangani's Kamanga Marine Eco-tourism Park and Sanctuary cited as one of Philippine's best. PhilStar Global. https://www.philstar.com/other-sections/the-good-news/2015/11/23/1524749/saranganis-kamanga-m"&amp;"arine-eco-tourism-park-and-sanctuary-cited-one-philippines-best to de Guzman, J. R. (2012, October 3). Donors lay artificial reef domes in Sarangani Bay. One Mindanao. https://issuu.com/piamindanao1/docs/one_mindanao_-_october_3, **Website** changed from "&amp;"https://www.philstar.com/other-sections/the-good-news/2015/11/23/1524749/saranganis-kamanga-marine-eco-tourism-park-and-sanctuary-cited-one-philippines-best; https://www.sunstar.com.ph/more-articles/artificial-reef-to-be-deployed-in-sarangani-bay to https"&amp;"://issuu.com/piamindanao1/docs/one_mindanao_-_october_3; https://clafi.org/our_work_categories/environment-protection-and-conservation-projects/;")</f>
        <v>**Restoration_project** changed from Artificial Reef Deployment Project to Unknown, **Restoration_project_short** changed from Unknown to Site in Tinoto Reef; Conducted as part of the celebration of International Coastal Cleanup Month, **Year of establishment** changed from 2009 to 2012, **Project Start** changed from 2009 to Unknown, **Restoration objective** changed from Restore marine and coastal life; restore fishery resources; breeding ground; corporate social responsibility to Conservation and protection of Sarangani Bay, **Funding agency** changed from Conrado and Ladislawa Alcantara Foundation; Holcim Cement to World Vision, **Total units** changed from 4,300 units to 29 units, **Partners_public** changed from MLGU to OPA, OMA, PENRO, Environmental Conservation and Protection Center; 73rd Infrantry Batallion Philippine Army, **Partners_private** changed from Sarangani Energy Corporation to Lemlunay Resort, **Partners_communities** changed from Unknown to Tinoto Fisherfolks Assoc., **Reference** changed from The Philippine Star (2015, November 23). Sarangani's Kamanga Marine Eco-tourism Park and Sanctuary cited as one of Philippine's best. PhilStar Global. https://www.philstar.com/other-sections/the-good-news/2015/11/23/1524749/saranganis-kamanga-marine-eco-tourism-park-and-sanctuary-cited-one-philippines-best to de Guzman, J. R. (2012, October 3). Donors lay artificial reef domes in Sarangani Bay. One Mindanao. https://issuu.com/piamindanao1/docs/one_mindanao_-_october_3, **Website** changed from https://www.philstar.com/other-sections/the-good-news/2015/11/23/1524749/saranganis-kamanga-marine-eco-tourism-park-and-sanctuary-cited-one-philippines-best; https://www.sunstar.com.ph/more-articles/artificial-reef-to-be-deployed-in-sarangani-bay to https://issuu.com/piamindanao1/docs/one_mindanao_-_october_3; https://clafi.org/our_work_categories/environment-protection-and-conservation-projects/;</v>
      </c>
      <c r="I784" s="153" t="s">
        <v>7596</v>
      </c>
      <c r="J784" s="153" t="s">
        <v>356</v>
      </c>
      <c r="K784" s="153" t="s">
        <v>357</v>
      </c>
      <c r="L784" s="153" t="s">
        <v>358</v>
      </c>
      <c r="M784" s="181" t="s">
        <v>359</v>
      </c>
      <c r="N784" s="153" t="s">
        <v>151</v>
      </c>
      <c r="O784" s="158" t="s">
        <v>149</v>
      </c>
      <c r="P784" s="158" t="s">
        <v>7597</v>
      </c>
      <c r="Q784" s="169">
        <v>2012.0</v>
      </c>
      <c r="R784" s="160" t="s">
        <v>149</v>
      </c>
      <c r="S784" s="3" t="s">
        <v>149</v>
      </c>
      <c r="T784" s="161" t="s">
        <v>150</v>
      </c>
      <c r="U784" s="153">
        <f>IFERROR(__xludf.DUMMYFUNCTION("""COMPUTED_VALUE"""),756.0)</f>
        <v>756</v>
      </c>
      <c r="V784" s="162" t="s">
        <v>3311</v>
      </c>
      <c r="W784" s="179" t="s">
        <v>6032</v>
      </c>
      <c r="X784" s="28" t="s">
        <v>6173</v>
      </c>
      <c r="Y784" s="32" t="s">
        <v>361</v>
      </c>
      <c r="Z784" s="158" t="s">
        <v>362</v>
      </c>
      <c r="AA784" s="153" t="s">
        <v>362</v>
      </c>
      <c r="AB784" s="158" t="s">
        <v>2348</v>
      </c>
      <c r="AC784" s="153" t="s">
        <v>2349</v>
      </c>
      <c r="AD784" s="158" t="s">
        <v>6154</v>
      </c>
      <c r="AE784" s="158" t="s">
        <v>306</v>
      </c>
      <c r="AF784" s="158" t="s">
        <v>159</v>
      </c>
      <c r="AG784" s="164" t="s">
        <v>149</v>
      </c>
      <c r="AH784" s="158" t="s">
        <v>149</v>
      </c>
      <c r="AI784" s="153" t="s">
        <v>2350</v>
      </c>
      <c r="AJ784" s="153" t="s">
        <v>368</v>
      </c>
      <c r="AK784" s="153" t="s">
        <v>306</v>
      </c>
      <c r="AL784" s="153" t="s">
        <v>7593</v>
      </c>
      <c r="AM784" s="173" t="s">
        <v>2352</v>
      </c>
      <c r="AN784" s="173" t="s">
        <v>2353</v>
      </c>
      <c r="AO784" s="156">
        <v>1.0</v>
      </c>
      <c r="AP784" s="156" t="s">
        <v>6037</v>
      </c>
      <c r="AQ784" s="158" t="s">
        <v>166</v>
      </c>
      <c r="AR784" s="153" t="s">
        <v>7598</v>
      </c>
      <c r="AS784" s="153" t="s">
        <v>7599</v>
      </c>
      <c r="AT784" s="3" t="s">
        <v>149</v>
      </c>
      <c r="AU784" s="3" t="s">
        <v>149</v>
      </c>
    </row>
    <row r="785">
      <c r="A785" s="186">
        <v>397.0</v>
      </c>
      <c r="B785" s="152">
        <v>2023.0</v>
      </c>
      <c r="D785" s="152"/>
      <c r="E785" s="151">
        <v>392.0</v>
      </c>
      <c r="F785" s="129" t="s">
        <v>140</v>
      </c>
      <c r="G785" s="3" t="s">
        <v>6029</v>
      </c>
      <c r="H785" s="8" t="str">
        <f>IFERROR(__xludf.DUMMYFUNCTION("""COMPUTED_VALUE"""),"")</f>
        <v/>
      </c>
      <c r="I785" s="8" t="s">
        <v>7600</v>
      </c>
      <c r="J785" s="8" t="s">
        <v>356</v>
      </c>
      <c r="K785" s="8" t="s">
        <v>357</v>
      </c>
      <c r="L785" s="8" t="s">
        <v>375</v>
      </c>
      <c r="M785" s="8" t="s">
        <v>376</v>
      </c>
      <c r="N785" s="8" t="s">
        <v>151</v>
      </c>
      <c r="O785" s="8" t="s">
        <v>360</v>
      </c>
      <c r="P785" s="3" t="s">
        <v>149</v>
      </c>
      <c r="Q785" s="142" t="s">
        <v>6151</v>
      </c>
      <c r="R785" s="3" t="s">
        <v>149</v>
      </c>
      <c r="S785" s="3" t="s">
        <v>149</v>
      </c>
      <c r="T785" s="8"/>
      <c r="U785" s="8">
        <f>IFERROR(__xludf.DUMMYFUNCTION("""COMPUTED_VALUE"""),757.0)</f>
        <v>757</v>
      </c>
      <c r="V785" s="8"/>
      <c r="W785" s="8"/>
      <c r="X785" s="8"/>
      <c r="Y785" s="8"/>
      <c r="AA785" s="8" t="s">
        <v>362</v>
      </c>
      <c r="AB785" s="3" t="s">
        <v>149</v>
      </c>
      <c r="AC785" s="3" t="s">
        <v>149</v>
      </c>
      <c r="AG785" s="3" t="s">
        <v>149</v>
      </c>
      <c r="AH785" s="3" t="s">
        <v>149</v>
      </c>
      <c r="AI785" s="3" t="s">
        <v>149</v>
      </c>
      <c r="AJ785" s="3" t="s">
        <v>149</v>
      </c>
      <c r="AL785" s="3" t="s">
        <v>149</v>
      </c>
      <c r="AM785" s="210" t="s">
        <v>149</v>
      </c>
      <c r="AN785" s="210" t="s">
        <v>149</v>
      </c>
      <c r="AO785" s="8"/>
      <c r="AP785" s="8"/>
      <c r="AR785" s="8" t="s">
        <v>7601</v>
      </c>
      <c r="AS785" s="3" t="s">
        <v>149</v>
      </c>
      <c r="AT785" s="3" t="s">
        <v>149</v>
      </c>
      <c r="AU785" s="3" t="s">
        <v>149</v>
      </c>
    </row>
    <row r="786">
      <c r="A786" s="186">
        <v>398.0</v>
      </c>
      <c r="B786" s="152">
        <v>2025.0</v>
      </c>
      <c r="C786" s="153" t="str">
        <f>CONCATENATE(D786, "-", M786, "-", A786)
</f>
        <v>2023-PH128006000-398</v>
      </c>
      <c r="D786" s="152">
        <f>IF(OR(F785="Published", F785="Unpublished"), 2023, IF(F785="New", 2025, ""))
</f>
        <v>2023</v>
      </c>
      <c r="E786" s="151">
        <v>393.0</v>
      </c>
      <c r="F786" s="129" t="s">
        <v>140</v>
      </c>
      <c r="G786" s="156" t="s">
        <v>141</v>
      </c>
      <c r="H786" s="153" t="str">
        <f>IFERROR(__xludf.DUMMYFUNCTION("""COMPUTED_VALUE"""),"**Restoration_project_short** changed from Unknown to Deployed with ARs at the same time with Maasim in 2015, **Year of establishment** changed from 2012 to 2015, **Funding agency** changed from Unknown to Conrado and Ladislawa Alcantara Foundation, **Tot"&amp;"al units** changed from Unknown to 300 units, including in Maasim, **Implementing institution** changed from Unknown to Conrado and Ladislawa Alcantara Foundation, **Reference** changed from *Need to get source for this to Artificial Reef Dome (n.d.). Our"&amp;" Work: Environment Protection and Conservation Projects. Conrado &amp; Ladislawa Alcantara Foundation. https://clafi.org/our_work_categories/environment-protection-and-conservation-projects/, **Website** changed from Unknown to https://clafi.org/our_work_cate"&amp;"gories/environment-protection-and-conservation-projects/")</f>
        <v>**Restoration_project_short** changed from Unknown to Deployed with ARs at the same time with Maasim in 2015, **Year of establishment** changed from 2012 to 2015, **Funding agency** changed from Unknown to Conrado and Ladislawa Alcantara Foundation, **Total units** changed from Unknown to 300 units, including in Maasim, **Implementing institution** changed from Unknown to Conrado and Ladislawa Alcantara Foundation, **Reference** changed from *Need to get source for this to Artificial Reef Dome (n.d.). Our Work: Environment Protection and Conservation Projects. Conrado &amp; Ladislawa Alcantara Foundation. https://clafi.org/our_work_categories/environment-protection-and-conservation-projects/, **Website** changed from Unknown to https://clafi.org/our_work_categories/environment-protection-and-conservation-projects/</v>
      </c>
      <c r="I786" s="153" t="s">
        <v>7602</v>
      </c>
      <c r="J786" s="153" t="s">
        <v>356</v>
      </c>
      <c r="K786" s="153" t="s">
        <v>357</v>
      </c>
      <c r="L786" s="153" t="s">
        <v>375</v>
      </c>
      <c r="M786" s="181" t="s">
        <v>376</v>
      </c>
      <c r="N786" s="153" t="s">
        <v>151</v>
      </c>
      <c r="O786" s="153" t="s">
        <v>360</v>
      </c>
      <c r="P786" s="158" t="s">
        <v>7603</v>
      </c>
      <c r="Q786" s="169">
        <v>2015.0</v>
      </c>
      <c r="R786" s="160" t="s">
        <v>149</v>
      </c>
      <c r="S786" s="160" t="s">
        <v>149</v>
      </c>
      <c r="T786" s="161" t="s">
        <v>150</v>
      </c>
      <c r="U786" s="153">
        <f>IFERROR(__xludf.DUMMYFUNCTION("""COMPUTED_VALUE"""),758.0)</f>
        <v>758</v>
      </c>
      <c r="V786" s="162" t="s">
        <v>3311</v>
      </c>
      <c r="W786" s="179" t="s">
        <v>6032</v>
      </c>
      <c r="X786" s="28" t="s">
        <v>6173</v>
      </c>
      <c r="Y786" s="32" t="s">
        <v>361</v>
      </c>
      <c r="Z786" s="158" t="s">
        <v>362</v>
      </c>
      <c r="AA786" s="153" t="s">
        <v>362</v>
      </c>
      <c r="AB786" s="158" t="s">
        <v>149</v>
      </c>
      <c r="AC786" s="158" t="s">
        <v>368</v>
      </c>
      <c r="AD786" s="158" t="s">
        <v>160</v>
      </c>
      <c r="AE786" s="158" t="s">
        <v>306</v>
      </c>
      <c r="AF786" s="158" t="s">
        <v>159</v>
      </c>
      <c r="AG786" s="164" t="s">
        <v>149</v>
      </c>
      <c r="AH786" s="158" t="s">
        <v>149</v>
      </c>
      <c r="AI786" s="158" t="s">
        <v>7604</v>
      </c>
      <c r="AJ786" s="153" t="s">
        <v>368</v>
      </c>
      <c r="AK786" s="153" t="s">
        <v>306</v>
      </c>
      <c r="AL786" s="156" t="s">
        <v>149</v>
      </c>
      <c r="AM786" s="217" t="s">
        <v>149</v>
      </c>
      <c r="AN786" s="210" t="s">
        <v>149</v>
      </c>
      <c r="AO786" s="156">
        <v>1.0</v>
      </c>
      <c r="AP786" s="156" t="s">
        <v>6037</v>
      </c>
      <c r="AQ786" s="158" t="s">
        <v>6027</v>
      </c>
      <c r="AR786" s="153" t="s">
        <v>7605</v>
      </c>
      <c r="AS786" s="172" t="s">
        <v>379</v>
      </c>
      <c r="AT786" s="3" t="s">
        <v>149</v>
      </c>
      <c r="AU786" s="210" t="s">
        <v>149</v>
      </c>
    </row>
    <row r="787">
      <c r="A787" s="186">
        <v>399.0</v>
      </c>
      <c r="B787" s="152">
        <v>2023.0</v>
      </c>
      <c r="D787" s="152"/>
      <c r="E787" s="151">
        <v>393.0</v>
      </c>
      <c r="F787" s="129" t="s">
        <v>140</v>
      </c>
      <c r="G787" s="3" t="s">
        <v>6029</v>
      </c>
      <c r="H787" s="8" t="str">
        <f>IFERROR(__xludf.DUMMYFUNCTION("""COMPUTED_VALUE"""),"")</f>
        <v/>
      </c>
      <c r="I787" s="8" t="s">
        <v>7606</v>
      </c>
      <c r="J787" s="8" t="s">
        <v>345</v>
      </c>
      <c r="K787" s="8" t="s">
        <v>649</v>
      </c>
      <c r="L787" s="8" t="s">
        <v>1172</v>
      </c>
      <c r="M787" s="8" t="s">
        <v>1969</v>
      </c>
      <c r="N787" s="8" t="s">
        <v>151</v>
      </c>
      <c r="O787" s="3" t="s">
        <v>149</v>
      </c>
      <c r="P787" s="8" t="s">
        <v>7607</v>
      </c>
      <c r="Q787" s="3" t="s">
        <v>149</v>
      </c>
      <c r="R787" s="3" t="s">
        <v>149</v>
      </c>
      <c r="S787" s="3" t="s">
        <v>149</v>
      </c>
      <c r="T787" s="8"/>
      <c r="U787" s="8">
        <f>IFERROR(__xludf.DUMMYFUNCTION("""COMPUTED_VALUE"""),759.0)</f>
        <v>759</v>
      </c>
      <c r="V787" s="8"/>
      <c r="W787" s="3"/>
      <c r="X787" s="8"/>
      <c r="Y787" s="8"/>
      <c r="AA787" s="3" t="s">
        <v>149</v>
      </c>
      <c r="AB787" s="3" t="s">
        <v>149</v>
      </c>
      <c r="AC787" s="3" t="s">
        <v>149</v>
      </c>
      <c r="AG787" s="3" t="s">
        <v>149</v>
      </c>
      <c r="AH787" s="3" t="s">
        <v>149</v>
      </c>
      <c r="AI787" s="8" t="s">
        <v>571</v>
      </c>
      <c r="AJ787" s="8" t="s">
        <v>390</v>
      </c>
      <c r="AL787" s="3" t="s">
        <v>149</v>
      </c>
      <c r="AM787" s="210" t="s">
        <v>149</v>
      </c>
      <c r="AN787" s="210" t="s">
        <v>149</v>
      </c>
      <c r="AO787" s="8"/>
      <c r="AP787" s="8"/>
      <c r="AR787" s="8" t="s">
        <v>6084</v>
      </c>
      <c r="AS787" s="8" t="s">
        <v>2563</v>
      </c>
      <c r="AT787" s="3" t="s">
        <v>149</v>
      </c>
      <c r="AU787" s="210" t="s">
        <v>149</v>
      </c>
    </row>
    <row r="788">
      <c r="A788" s="186">
        <v>400.0</v>
      </c>
      <c r="B788" s="152">
        <v>2023.0</v>
      </c>
      <c r="D788" s="152"/>
      <c r="E788" s="151">
        <v>394.0</v>
      </c>
      <c r="F788" s="129" t="s">
        <v>140</v>
      </c>
      <c r="G788" s="3" t="s">
        <v>6029</v>
      </c>
      <c r="H788" s="8" t="str">
        <f>IFERROR(__xludf.DUMMYFUNCTION("""COMPUTED_VALUE"""),"")</f>
        <v/>
      </c>
      <c r="I788" s="8" t="s">
        <v>7608</v>
      </c>
      <c r="J788" s="8" t="s">
        <v>345</v>
      </c>
      <c r="K788" s="8" t="s">
        <v>649</v>
      </c>
      <c r="L788" s="8" t="s">
        <v>1172</v>
      </c>
      <c r="M788" s="8" t="s">
        <v>1969</v>
      </c>
      <c r="N788" s="8" t="s">
        <v>151</v>
      </c>
      <c r="O788" s="3" t="s">
        <v>149</v>
      </c>
      <c r="P788" s="3" t="s">
        <v>149</v>
      </c>
      <c r="Q788" s="142" t="s">
        <v>6145</v>
      </c>
      <c r="R788" s="3" t="s">
        <v>149</v>
      </c>
      <c r="S788" s="3" t="s">
        <v>149</v>
      </c>
      <c r="T788" s="8"/>
      <c r="U788" s="8">
        <f>IFERROR(__xludf.DUMMYFUNCTION("""COMPUTED_VALUE"""),760.0)</f>
        <v>760</v>
      </c>
      <c r="V788" s="8"/>
      <c r="W788" s="3"/>
      <c r="X788" s="8"/>
      <c r="Y788" s="8"/>
      <c r="AA788" s="3" t="s">
        <v>149</v>
      </c>
      <c r="AB788" s="3" t="s">
        <v>149</v>
      </c>
      <c r="AC788" s="3" t="s">
        <v>149</v>
      </c>
      <c r="AG788" s="3" t="s">
        <v>149</v>
      </c>
      <c r="AH788" s="3" t="s">
        <v>149</v>
      </c>
      <c r="AI788" s="8" t="s">
        <v>2498</v>
      </c>
      <c r="AJ788" s="8" t="s">
        <v>2499</v>
      </c>
      <c r="AL788" s="8" t="s">
        <v>760</v>
      </c>
      <c r="AM788" s="210" t="s">
        <v>149</v>
      </c>
      <c r="AN788" s="210" t="s">
        <v>149</v>
      </c>
      <c r="AO788" s="8"/>
      <c r="AP788" s="8"/>
      <c r="AR788" s="8" t="s">
        <v>6038</v>
      </c>
      <c r="AS788" s="8" t="s">
        <v>2501</v>
      </c>
      <c r="AT788" s="3" t="s">
        <v>149</v>
      </c>
      <c r="AU788" s="210" t="s">
        <v>149</v>
      </c>
    </row>
    <row r="789">
      <c r="A789" s="186">
        <v>401.0</v>
      </c>
      <c r="B789" s="152">
        <v>2025.0</v>
      </c>
      <c r="C789" s="153" t="str">
        <f t="shared" ref="C789:C790" si="93">CONCATENATE(D789, "-", M789, "-", A789)
</f>
        <v>2023-PH160201000-401</v>
      </c>
      <c r="D789" s="152">
        <f t="shared" ref="D789:D790" si="94">IF(OR(F788="Published", F788="Unpublished"), 2023, IF(F788="New", 2025, ""))
</f>
        <v>2023</v>
      </c>
      <c r="E789" s="151">
        <v>394.0</v>
      </c>
      <c r="F789" s="156" t="s">
        <v>140</v>
      </c>
      <c r="G789" s="156" t="s">
        <v>141</v>
      </c>
      <c r="H789" s="153" t="str">
        <f>IFERROR(__xludf.DUMMYFUNCTION("""COMPUTED_VALUE"""),"**Restoration_project_short** changed from Unknown to Site inside Sacol Fish Sanctuary, **Year of establishment** changed from 2022 to Unknown, **Restoration objective** changed from Unknown to Enhance productivity; benefit local fisherfolk, **Total units"&amp;"** changed from 27 units to 50 units, **Implementing institution** changed from MLGU; Butuan Bay Divers to BFAR, **Partners_public** changed from Philippine Coast Guard to Unknown, **Reference** changed from Social Media to BFAR CARAGA (2018). Annual Repo"&amp;"rt 2018. https://caraga.bfar.da.gov.ph/wp-content/uploads/2022/12/Annual-Report-2018.pdf, **Website** changed from https://web.facebook.com/photo/?fbid=434871958676768&amp;set=pcb.434872188676745 to https://caraga.bfar.da.gov.ph/wp-content/uploads/2022/12/Ann"&amp;"ual-Report-2018.pdf")</f>
        <v>**Restoration_project_short** changed from Unknown to Site inside Sacol Fish Sanctuary, **Year of establishment** changed from 2022 to Unknown, **Restoration objective** changed from Unknown to Enhance productivity; benefit local fisherfolk, **Total units** changed from 27 units to 50 units, **Implementing institution** changed from MLGU; Butuan Bay Divers to BFAR, **Partners_public** changed from Philippine Coast Guard to Unknown, **Reference** changed from Social Media to BFAR CARAGA (2018). Annual Report 2018. https://caraga.bfar.da.gov.ph/wp-content/uploads/2022/12/Annual-Report-2018.pdf, **Website** changed from https://web.facebook.com/photo/?fbid=434871958676768&amp;set=pcb.434872188676745 to https://caraga.bfar.da.gov.ph/wp-content/uploads/2022/12/Annual-Report-2018.pdf</v>
      </c>
      <c r="I789" s="153" t="s">
        <v>7609</v>
      </c>
      <c r="J789" s="153" t="s">
        <v>345</v>
      </c>
      <c r="K789" s="153" t="s">
        <v>649</v>
      </c>
      <c r="L789" s="153" t="s">
        <v>1172</v>
      </c>
      <c r="M789" s="181" t="s">
        <v>1969</v>
      </c>
      <c r="N789" s="153" t="s">
        <v>151</v>
      </c>
      <c r="O789" s="158" t="s">
        <v>149</v>
      </c>
      <c r="P789" s="153" t="s">
        <v>1971</v>
      </c>
      <c r="Q789" s="178" t="s">
        <v>149</v>
      </c>
      <c r="R789" s="3" t="s">
        <v>149</v>
      </c>
      <c r="S789" s="3" t="s">
        <v>149</v>
      </c>
      <c r="T789" s="161" t="s">
        <v>150</v>
      </c>
      <c r="U789" s="153">
        <f>IFERROR(__xludf.DUMMYFUNCTION("""COMPUTED_VALUE"""),761.0)</f>
        <v>761</v>
      </c>
      <c r="V789" s="162" t="s">
        <v>3311</v>
      </c>
      <c r="W789" s="187" t="s">
        <v>149</v>
      </c>
      <c r="X789" s="184"/>
      <c r="Y789" s="184" t="s">
        <v>149</v>
      </c>
      <c r="Z789" s="158" t="s">
        <v>149</v>
      </c>
      <c r="AA789" s="158" t="s">
        <v>149</v>
      </c>
      <c r="AB789" s="158" t="s">
        <v>2561</v>
      </c>
      <c r="AC789" s="158" t="s">
        <v>149</v>
      </c>
      <c r="AD789" s="158" t="s">
        <v>149</v>
      </c>
      <c r="AE789" s="158" t="s">
        <v>149</v>
      </c>
      <c r="AF789" s="158" t="s">
        <v>149</v>
      </c>
      <c r="AG789" s="164" t="s">
        <v>149</v>
      </c>
      <c r="AH789" s="158" t="s">
        <v>149</v>
      </c>
      <c r="AI789" s="153" t="s">
        <v>571</v>
      </c>
      <c r="AJ789" s="153" t="s">
        <v>390</v>
      </c>
      <c r="AK789" s="153" t="s">
        <v>6035</v>
      </c>
      <c r="AL789" s="3" t="s">
        <v>149</v>
      </c>
      <c r="AM789" s="210" t="s">
        <v>149</v>
      </c>
      <c r="AN789" s="210" t="s">
        <v>149</v>
      </c>
      <c r="AO789" s="156">
        <v>1.0</v>
      </c>
      <c r="AP789" s="156" t="s">
        <v>6037</v>
      </c>
      <c r="AQ789" s="153" t="s">
        <v>6084</v>
      </c>
      <c r="AR789" s="153" t="s">
        <v>2562</v>
      </c>
      <c r="AS789" s="165" t="s">
        <v>2563</v>
      </c>
      <c r="AT789" s="3" t="s">
        <v>149</v>
      </c>
      <c r="AU789" s="210" t="s">
        <v>149</v>
      </c>
    </row>
    <row r="790">
      <c r="A790" s="186">
        <v>402.0</v>
      </c>
      <c r="B790" s="152">
        <v>2025.0</v>
      </c>
      <c r="C790" s="153" t="str">
        <f t="shared" si="93"/>
        <v>2023-PH160201000-402</v>
      </c>
      <c r="D790" s="152">
        <f t="shared" si="94"/>
        <v>2023</v>
      </c>
      <c r="E790" s="151">
        <v>395.0</v>
      </c>
      <c r="F790" s="156" t="s">
        <v>140</v>
      </c>
      <c r="G790" s="156" t="s">
        <v>141</v>
      </c>
      <c r="H790" s="153" t="str">
        <f>IFERROR(__xludf.DUMMYFUNCTION("""COMPUTED_VALUE"""),"**Year of establishment** changed from Unknown to 2022, **Technique/Material Type** changed from Unknown to Concrete cubic, **Restoration objective** changed from Enhance productivity; benefit local fisherfolk to Provide shelter, food for biodiversity, **"&amp;"Total units** changed from 50 units to 27 units, **Implementing institution** changed from BFAR to MLGU; Butuan Bay Divers, **Partners_public** changed from Unknown to Philippine Coast Guard, **Reference** changed from BFAR CARAGA (2018). Annual Report 20"&amp;"18. https://caraga.bfar.da.gov.ph/wp-content/uploads/2022/12/Annual-Report-2018.pdf to MAO FITS Center-Buenavista, ADN (2022, August 23). Arrangement of artificial coral reefs by the #butuanbaydivers and the Philippine Coast Guard-AND at the municipal san"&amp;"ctuary of Brgy Sacol [Status Update] [Images Attached]. https://web.facebook.com/LGUbuenavistaagriculture, **Website** changed from https://caraga.bfar.da.gov.ph/wp-content/uploads/2022/12/Annual-Report-2018.pdf to https://web.facebook.com/photo/?fbid=434"&amp;"871958676768&amp;set=pcb.434872188676745")</f>
        <v>**Year of establishment** changed from Unknown to 2022, **Technique/Material Type** changed from Unknown to Concrete cubic, **Restoration objective** changed from Enhance productivity; benefit local fisherfolk to Provide shelter, food for biodiversity, **Total units** changed from 50 units to 27 units, **Implementing institution** changed from BFAR to MLGU; Butuan Bay Divers, **Partners_public** changed from Unknown to Philippine Coast Guard, **Reference** changed from BFAR CARAGA (2018). Annual Report 2018. https://caraga.bfar.da.gov.ph/wp-content/uploads/2022/12/Annual-Report-2018.pdf to MAO FITS Center-Buenavista, ADN (2022, August 23). Arrangement of artificial coral reefs by the #butuanbaydivers and the Philippine Coast Guard-AND at the municipal sanctuary of Brgy Sacol [Status Update] [Images Attached]. https://web.facebook.com/LGUbuenavistaagriculture, **Website** changed from https://caraga.bfar.da.gov.ph/wp-content/uploads/2022/12/Annual-Report-2018.pdf to https://web.facebook.com/photo/?fbid=434871958676768&amp;set=pcb.434872188676745</v>
      </c>
      <c r="I790" s="153" t="s">
        <v>7610</v>
      </c>
      <c r="J790" s="153" t="s">
        <v>345</v>
      </c>
      <c r="K790" s="153" t="s">
        <v>649</v>
      </c>
      <c r="L790" s="153" t="s">
        <v>1172</v>
      </c>
      <c r="M790" s="181" t="s">
        <v>1969</v>
      </c>
      <c r="N790" s="153" t="s">
        <v>151</v>
      </c>
      <c r="O790" s="158" t="s">
        <v>149</v>
      </c>
      <c r="P790" s="153" t="s">
        <v>1971</v>
      </c>
      <c r="Q790" s="169">
        <v>2022.0</v>
      </c>
      <c r="R790" s="3" t="s">
        <v>149</v>
      </c>
      <c r="S790" s="3" t="s">
        <v>149</v>
      </c>
      <c r="T790" s="161" t="s">
        <v>150</v>
      </c>
      <c r="U790" s="153">
        <f>IFERROR(__xludf.DUMMYFUNCTION("""COMPUTED_VALUE"""),762.0)</f>
        <v>762</v>
      </c>
      <c r="V790" s="162" t="s">
        <v>3311</v>
      </c>
      <c r="W790" s="184" t="s">
        <v>6032</v>
      </c>
      <c r="X790" s="28" t="s">
        <v>6173</v>
      </c>
      <c r="Y790" s="32" t="s">
        <v>2467</v>
      </c>
      <c r="Z790" s="158" t="s">
        <v>911</v>
      </c>
      <c r="AA790" s="158" t="s">
        <v>911</v>
      </c>
      <c r="AB790" s="158" t="s">
        <v>2497</v>
      </c>
      <c r="AC790" s="158" t="s">
        <v>149</v>
      </c>
      <c r="AD790" s="158" t="s">
        <v>149</v>
      </c>
      <c r="AE790" s="158" t="s">
        <v>149</v>
      </c>
      <c r="AF790" s="158" t="s">
        <v>159</v>
      </c>
      <c r="AG790" s="164" t="s">
        <v>149</v>
      </c>
      <c r="AH790" s="158" t="s">
        <v>149</v>
      </c>
      <c r="AI790" s="153" t="s">
        <v>2498</v>
      </c>
      <c r="AJ790" s="153" t="s">
        <v>2499</v>
      </c>
      <c r="AK790" s="153" t="s">
        <v>6035</v>
      </c>
      <c r="AL790" s="153" t="s">
        <v>760</v>
      </c>
      <c r="AM790" s="210" t="s">
        <v>149</v>
      </c>
      <c r="AN790" s="210" t="s">
        <v>149</v>
      </c>
      <c r="AO790" s="156">
        <v>1.0</v>
      </c>
      <c r="AP790" s="156" t="s">
        <v>6037</v>
      </c>
      <c r="AQ790" s="153" t="s">
        <v>6038</v>
      </c>
      <c r="AR790" s="153" t="s">
        <v>2500</v>
      </c>
      <c r="AS790" s="165" t="s">
        <v>2501</v>
      </c>
      <c r="AT790" s="3" t="s">
        <v>149</v>
      </c>
      <c r="AU790" s="210" t="s">
        <v>149</v>
      </c>
    </row>
    <row r="791">
      <c r="A791" s="186">
        <v>403.0</v>
      </c>
      <c r="B791" s="152">
        <v>2023.0</v>
      </c>
      <c r="D791" s="152"/>
      <c r="E791" s="151">
        <v>395.0</v>
      </c>
      <c r="F791" s="129" t="s">
        <v>140</v>
      </c>
      <c r="G791" s="3" t="s">
        <v>6029</v>
      </c>
      <c r="H791" s="8" t="str">
        <f>IFERROR(__xludf.DUMMYFUNCTION("""COMPUTED_VALUE"""),"")</f>
        <v/>
      </c>
      <c r="I791" s="8" t="s">
        <v>7611</v>
      </c>
      <c r="J791" s="8" t="s">
        <v>345</v>
      </c>
      <c r="K791" s="8" t="s">
        <v>649</v>
      </c>
      <c r="L791" s="8" t="s">
        <v>7612</v>
      </c>
      <c r="M791" s="8" t="s">
        <v>2740</v>
      </c>
      <c r="N791" s="8" t="s">
        <v>151</v>
      </c>
      <c r="O791" s="3" t="s">
        <v>149</v>
      </c>
      <c r="P791" s="3" t="s">
        <v>149</v>
      </c>
      <c r="Q791" s="142" t="s">
        <v>6906</v>
      </c>
      <c r="R791" s="3" t="s">
        <v>149</v>
      </c>
      <c r="S791" s="3" t="s">
        <v>149</v>
      </c>
      <c r="T791" s="8"/>
      <c r="U791" s="8">
        <f>IFERROR(__xludf.DUMMYFUNCTION("""COMPUTED_VALUE"""),763.0)</f>
        <v>763</v>
      </c>
      <c r="V791" s="8"/>
      <c r="W791" s="3"/>
      <c r="X791" s="8"/>
      <c r="Y791" s="8"/>
      <c r="AA791" s="3" t="s">
        <v>149</v>
      </c>
      <c r="AB791" s="3" t="s">
        <v>149</v>
      </c>
      <c r="AC791" s="3" t="s">
        <v>149</v>
      </c>
      <c r="AG791" s="3" t="s">
        <v>149</v>
      </c>
      <c r="AH791" s="3" t="s">
        <v>149</v>
      </c>
      <c r="AI791" s="8" t="s">
        <v>2273</v>
      </c>
      <c r="AJ791" s="8" t="s">
        <v>390</v>
      </c>
      <c r="AL791" s="3" t="s">
        <v>149</v>
      </c>
      <c r="AM791" s="3" t="s">
        <v>149</v>
      </c>
      <c r="AN791" s="3" t="s">
        <v>149</v>
      </c>
      <c r="AO791" s="8"/>
      <c r="AP791" s="8"/>
      <c r="AR791" s="8" t="s">
        <v>6038</v>
      </c>
      <c r="AS791" s="8" t="s">
        <v>2745</v>
      </c>
      <c r="AT791" s="3" t="s">
        <v>149</v>
      </c>
      <c r="AU791" s="3" t="s">
        <v>149</v>
      </c>
    </row>
    <row r="792">
      <c r="A792" s="186">
        <v>404.0</v>
      </c>
      <c r="B792" s="152">
        <v>2025.0</v>
      </c>
      <c r="C792" s="153" t="str">
        <f>CONCATENATE(D792, "-", M792, "-", A792)
</f>
        <v>2023-PH160201000-404</v>
      </c>
      <c r="D792" s="152">
        <f>IF(OR(F791="Published", F791="Unpublished"), 2023, IF(F791="New", 2025, ""))
</f>
        <v>2023</v>
      </c>
      <c r="E792" s="151">
        <v>396.0</v>
      </c>
      <c r="F792" s="176" t="s">
        <v>191</v>
      </c>
      <c r="G792" s="176" t="s">
        <v>191</v>
      </c>
      <c r="H792" s="158" t="str">
        <f>IFERROR(__xludf.DUMMYFUNCTION("""COMPUTED_VALUE"""),"**Restoration_project** changed from Unknown to S.O.S. Save our Seas: Supporting Ocean Biodiversity, **Restoration_project_short** changed from Unknown to Site inside Sacol Fish Sanctuary, **Year of establishment** changed from 2020 to 2024, **Technique/M"&amp;"aterial Type** changed from Unknown to Concrete cubic, **Restoration objective** changed from Unknown to Sustainable fisheries management and marine conservation, **Funding agency** changed from Unknown to Rotary Club of Butuan City, **Total units** chang"&amp;"ed from 35 units to Unknown, **Implementing institution** changed from BFAR to Rotary Club of Butuan City, **Partners_public** changed from Unknown to MLGU, BFAR, **Partners_private** changed from Unknown to PETDA, **Reference** changed from Social Media "&amp;"to MAO FITS Center-Buenavista, ADN (2024, November 14). The installation of artificial reefs at the Sacol Sanctuary in Buenavista, Agusan del Norte marked a significant step in promoting [Status Update] [Images Attached]. https://web.facebook.com/LGUbuena"&amp;"vistaagriculture, **Website** changed from https://web.facebook.com/butuancitypioofficial/posts/35-artificial-reefs-gi-instalar-sa-fish-sanctuary-sa-brgy-masao-sa-butuannagtamb/3347562868625222/?_rdc=1&amp;_rdr to https://web.facebook.com/LGUbuenavistaagricul"&amp;"ture")</f>
        <v>**Restoration_project** changed from Unknown to S.O.S. Save our Seas: Supporting Ocean Biodiversity, **Restoration_project_short** changed from Unknown to Site inside Sacol Fish Sanctuary, **Year of establishment** changed from 2020 to 2024, **Technique/Material Type** changed from Unknown to Concrete cubic, **Restoration objective** changed from Unknown to Sustainable fisheries management and marine conservation, **Funding agency** changed from Unknown to Rotary Club of Butuan City, **Total units** changed from 35 units to Unknown, **Implementing institution** changed from BFAR to Rotary Club of Butuan City, **Partners_public** changed from Unknown to MLGU, BFAR, **Partners_private** changed from Unknown to PETDA, **Reference** changed from Social Media to MAO FITS Center-Buenavista, ADN (2024, November 14). The installation of artificial reefs at the Sacol Sanctuary in Buenavista, Agusan del Norte marked a significant step in promoting [Status Update] [Images Attached]. https://web.facebook.com/LGUbuenavistaagriculture, **Website** changed from https://web.facebook.com/butuancitypioofficial/posts/35-artificial-reefs-gi-instalar-sa-fish-sanctuary-sa-brgy-masao-sa-butuannagtamb/3347562868625222/?_rdc=1&amp;_rdr to https://web.facebook.com/LGUbuenavistaagriculture</v>
      </c>
      <c r="I792" s="158" t="s">
        <v>7613</v>
      </c>
      <c r="J792" s="158" t="s">
        <v>345</v>
      </c>
      <c r="K792" s="158" t="s">
        <v>649</v>
      </c>
      <c r="L792" s="158" t="s">
        <v>1172</v>
      </c>
      <c r="M792" s="164" t="s">
        <v>1969</v>
      </c>
      <c r="N792" s="158" t="s">
        <v>151</v>
      </c>
      <c r="O792" s="158" t="s">
        <v>1970</v>
      </c>
      <c r="P792" s="158" t="s">
        <v>1971</v>
      </c>
      <c r="Q792" s="178">
        <v>2024.0</v>
      </c>
      <c r="R792" s="160" t="s">
        <v>149</v>
      </c>
      <c r="S792" s="160" t="s">
        <v>149</v>
      </c>
      <c r="T792" s="206" t="s">
        <v>150</v>
      </c>
      <c r="U792" s="158">
        <f>IFERROR(__xludf.DUMMYFUNCTION("""COMPUTED_VALUE"""),764.0)</f>
        <v>764</v>
      </c>
      <c r="V792" s="162" t="s">
        <v>3311</v>
      </c>
      <c r="W792" s="184" t="s">
        <v>6032</v>
      </c>
      <c r="X792" s="28" t="s">
        <v>6173</v>
      </c>
      <c r="Y792" s="32" t="s">
        <v>2467</v>
      </c>
      <c r="Z792" s="158" t="s">
        <v>911</v>
      </c>
      <c r="AA792" s="158" t="s">
        <v>911</v>
      </c>
      <c r="AB792" s="158" t="s">
        <v>7614</v>
      </c>
      <c r="AC792" s="158" t="s">
        <v>1973</v>
      </c>
      <c r="AD792" s="158" t="s">
        <v>160</v>
      </c>
      <c r="AE792" s="158" t="s">
        <v>271</v>
      </c>
      <c r="AF792" s="158" t="s">
        <v>159</v>
      </c>
      <c r="AG792" s="164" t="s">
        <v>149</v>
      </c>
      <c r="AH792" s="158" t="s">
        <v>149</v>
      </c>
      <c r="AI792" s="158" t="s">
        <v>149</v>
      </c>
      <c r="AJ792" s="158" t="s">
        <v>1973</v>
      </c>
      <c r="AK792" s="158" t="s">
        <v>271</v>
      </c>
      <c r="AL792" s="158" t="s">
        <v>7615</v>
      </c>
      <c r="AM792" s="158" t="s">
        <v>1975</v>
      </c>
      <c r="AN792" s="156" t="s">
        <v>149</v>
      </c>
      <c r="AO792" s="156">
        <v>1.0</v>
      </c>
      <c r="AP792" s="156" t="s">
        <v>6037</v>
      </c>
      <c r="AQ792" s="158" t="s">
        <v>6038</v>
      </c>
      <c r="AR792" s="158" t="s">
        <v>1976</v>
      </c>
      <c r="AS792" s="177" t="s">
        <v>1977</v>
      </c>
      <c r="AT792" s="156" t="s">
        <v>149</v>
      </c>
      <c r="AU792" s="156" t="s">
        <v>149</v>
      </c>
    </row>
    <row r="793">
      <c r="A793" s="186">
        <v>405.0</v>
      </c>
      <c r="B793" s="152">
        <v>2023.0</v>
      </c>
      <c r="D793" s="152"/>
      <c r="E793" s="151">
        <v>396.0</v>
      </c>
      <c r="F793" s="129" t="s">
        <v>648</v>
      </c>
      <c r="G793" s="3" t="s">
        <v>6029</v>
      </c>
      <c r="H793" s="8" t="str">
        <f>IFERROR(__xludf.DUMMYFUNCTION("""COMPUTED_VALUE"""),"")</f>
        <v/>
      </c>
      <c r="I793" s="8" t="s">
        <v>7616</v>
      </c>
      <c r="J793" s="8" t="s">
        <v>345</v>
      </c>
      <c r="K793" s="8" t="s">
        <v>649</v>
      </c>
      <c r="L793" s="153" t="s">
        <v>7617</v>
      </c>
      <c r="M793" s="8" t="s">
        <v>651</v>
      </c>
      <c r="N793" s="3" t="s">
        <v>149</v>
      </c>
      <c r="O793" s="3" t="s">
        <v>149</v>
      </c>
      <c r="P793" s="3" t="s">
        <v>149</v>
      </c>
      <c r="Q793" s="3" t="s">
        <v>149</v>
      </c>
      <c r="R793" s="3" t="s">
        <v>149</v>
      </c>
      <c r="S793" s="3" t="s">
        <v>149</v>
      </c>
      <c r="T793" s="3"/>
      <c r="U793" s="8">
        <f>IFERROR(__xludf.DUMMYFUNCTION("""COMPUTED_VALUE"""),765.0)</f>
        <v>765</v>
      </c>
      <c r="V793" s="3"/>
      <c r="W793" s="3"/>
      <c r="X793" s="8"/>
      <c r="Y793" s="8"/>
      <c r="AA793" s="3" t="s">
        <v>149</v>
      </c>
      <c r="AB793" s="3" t="s">
        <v>149</v>
      </c>
      <c r="AC793" s="3" t="s">
        <v>149</v>
      </c>
      <c r="AG793" s="3" t="s">
        <v>149</v>
      </c>
      <c r="AH793" s="3" t="s">
        <v>149</v>
      </c>
      <c r="AI793" s="3" t="s">
        <v>149</v>
      </c>
      <c r="AJ793" s="3" t="s">
        <v>149</v>
      </c>
      <c r="AL793" s="3" t="s">
        <v>149</v>
      </c>
      <c r="AM793" s="3" t="s">
        <v>149</v>
      </c>
      <c r="AN793" s="3" t="s">
        <v>149</v>
      </c>
      <c r="AO793" s="3"/>
      <c r="AP793" s="3"/>
      <c r="AR793" s="3" t="s">
        <v>149</v>
      </c>
      <c r="AS793" s="3" t="s">
        <v>149</v>
      </c>
      <c r="AT793" s="3" t="s">
        <v>149</v>
      </c>
      <c r="AU793" s="3" t="s">
        <v>149</v>
      </c>
    </row>
    <row r="794">
      <c r="A794" s="186">
        <v>406.0</v>
      </c>
      <c r="B794" s="152">
        <v>2025.0</v>
      </c>
      <c r="C794" s="153" t="str">
        <f>CONCATENATE(D794, "-", M794, "-", A794)
</f>
        <v>2023-PH160202000-406</v>
      </c>
      <c r="D794" s="152">
        <f>IF(OR(F793="Published", F793="Unpublished"), 2023, IF(F793="New", 2025, ""))
</f>
        <v>2023</v>
      </c>
      <c r="E794" s="151">
        <v>397.0</v>
      </c>
      <c r="F794" s="156" t="s">
        <v>140</v>
      </c>
      <c r="G794" s="156" t="s">
        <v>141</v>
      </c>
      <c r="H794" s="153" t="str">
        <f>IFERROR(__xludf.DUMMYFUNCTION("""COMPUTED_VALUE"""),"**Restoration_project_short** changed from Unknown to Site in Brgy Masao, **Year of establishment** changed from Unknown to 2020, **Restoration method** changed from Unknown to Artificial Reef, **Technique/Material Type** changed from Unknown to Concrete,"&amp;" **Restoration objective** changed from Unknown to Fisheries livelihoods, **Funding agency** changed from Unknown to Butuan City LGU, **Total units** changed from Unknown to 35 units, **Implementing institution** changed from Unknown to CLGU, **Partners_p"&amp;"ublic** changed from Unknown to BFAR, **Partners_private** changed from Unknown to Triskelion de Butuan, **Reference** changed from Unknown to Butuan City PIO (2020, October 3). 35 Artificial Reefs, gi-instalar sa fish sanctuary sa Brgy Masao sa Butuan. N"&amp;"agtambayayong ang mga mananagat ug BFAR divers sa [Status Update] [Image attached]. Facebook. https://web.facebook.com/butuancitypioofficial/posts/3347562868625222/?comment_id=3354237894624386&amp;paipv=0&amp;eav=AfayzrMZvsrCqBmAnyyJvbVm4UnCoZMKB9c_V4QFjA6yCUpPYl"&amp;"dsd_nRFXKh2mNK9bs&amp;_rdc=1&amp;_rdr, **Website** changed from Unknown to https://web.facebook.com/butuancitypioofficial/posts/35-artificial-reefs-gi-instalar-sa-fish-sanctuary-sa-brgy-masao-sa-butuannagtamb/3347562868625222/?_rdc=1&amp;_rdr")</f>
        <v>**Restoration_project_short** changed from Unknown to Site in Brgy Masao, **Year of establishment** changed from Unknown to 2020, **Restoration method** changed from Unknown to Artificial Reef, **Technique/Material Type** changed from Unknown to Concrete, **Restoration objective** changed from Unknown to Fisheries livelihoods, **Funding agency** changed from Unknown to Butuan City LGU, **Total units** changed from Unknown to 35 units, **Implementing institution** changed from Unknown to CLGU, **Partners_public** changed from Unknown to BFAR, **Partners_private** changed from Unknown to Triskelion de Butuan, **Reference** changed from Unknown to Butuan City PIO (2020, October 3). 35 Artificial Reefs, gi-instalar sa fish sanctuary sa Brgy Masao sa Butuan. Nagtambayayong ang mga mananagat ug BFAR divers sa [Status Update] [Image attached]. Facebook. https://web.facebook.com/butuancitypioofficial/posts/3347562868625222/?comment_id=3354237894624386&amp;paipv=0&amp;eav=AfayzrMZvsrCqBmAnyyJvbVm4UnCoZMKB9c_V4QFjA6yCUpPYldsd_nRFXKh2mNK9bs&amp;_rdc=1&amp;_rdr, **Website** changed from Unknown to https://web.facebook.com/butuancitypioofficial/posts/35-artificial-reefs-gi-instalar-sa-fish-sanctuary-sa-brgy-masao-sa-butuannagtamb/3347562868625222/?_rdc=1&amp;_rdr</v>
      </c>
      <c r="I794" s="153" t="s">
        <v>7618</v>
      </c>
      <c r="J794" s="153" t="s">
        <v>345</v>
      </c>
      <c r="K794" s="153" t="s">
        <v>649</v>
      </c>
      <c r="L794" s="153" t="s">
        <v>7612</v>
      </c>
      <c r="M794" s="181" t="s">
        <v>2740</v>
      </c>
      <c r="N794" s="153" t="s">
        <v>151</v>
      </c>
      <c r="O794" s="158" t="s">
        <v>149</v>
      </c>
      <c r="P794" s="153" t="s">
        <v>2741</v>
      </c>
      <c r="Q794" s="169">
        <v>2020.0</v>
      </c>
      <c r="R794" s="3" t="s">
        <v>149</v>
      </c>
      <c r="S794" s="3" t="s">
        <v>149</v>
      </c>
      <c r="T794" s="161" t="s">
        <v>150</v>
      </c>
      <c r="U794" s="153">
        <f>IFERROR(__xludf.DUMMYFUNCTION("""COMPUTED_VALUE"""),766.0)</f>
        <v>766</v>
      </c>
      <c r="V794" s="162" t="s">
        <v>3311</v>
      </c>
      <c r="W794" s="184" t="s">
        <v>6032</v>
      </c>
      <c r="X794" s="28" t="s">
        <v>6173</v>
      </c>
      <c r="Y794" s="32" t="s">
        <v>6474</v>
      </c>
      <c r="Z794" s="158" t="s">
        <v>152</v>
      </c>
      <c r="AA794" s="158" t="s">
        <v>152</v>
      </c>
      <c r="AB794" s="158" t="s">
        <v>684</v>
      </c>
      <c r="AC794" s="158" t="s">
        <v>2742</v>
      </c>
      <c r="AD794" s="158" t="s">
        <v>160</v>
      </c>
      <c r="AE794" s="158" t="s">
        <v>6035</v>
      </c>
      <c r="AF794" s="158" t="s">
        <v>159</v>
      </c>
      <c r="AG794" s="164" t="s">
        <v>149</v>
      </c>
      <c r="AH794" s="158" t="s">
        <v>149</v>
      </c>
      <c r="AI794" s="153" t="s">
        <v>2273</v>
      </c>
      <c r="AJ794" s="158" t="s">
        <v>228</v>
      </c>
      <c r="AK794" s="153" t="s">
        <v>6035</v>
      </c>
      <c r="AL794" s="158" t="s">
        <v>390</v>
      </c>
      <c r="AM794" s="158" t="s">
        <v>2743</v>
      </c>
      <c r="AN794" s="3" t="s">
        <v>149</v>
      </c>
      <c r="AO794" s="156">
        <v>1.0</v>
      </c>
      <c r="AP794" s="156" t="s">
        <v>6037</v>
      </c>
      <c r="AQ794" s="153" t="s">
        <v>6038</v>
      </c>
      <c r="AR794" s="153" t="s">
        <v>2744</v>
      </c>
      <c r="AS794" s="165" t="s">
        <v>2745</v>
      </c>
      <c r="AT794" s="3" t="s">
        <v>149</v>
      </c>
      <c r="AU794" s="3" t="s">
        <v>149</v>
      </c>
    </row>
    <row r="795">
      <c r="A795" s="186">
        <v>407.0</v>
      </c>
      <c r="B795" s="152">
        <v>2023.0</v>
      </c>
      <c r="D795" s="152"/>
      <c r="E795" s="151">
        <v>397.0</v>
      </c>
      <c r="F795" s="129" t="s">
        <v>140</v>
      </c>
      <c r="G795" s="3" t="s">
        <v>6029</v>
      </c>
      <c r="H795" s="8" t="str">
        <f>IFERROR(__xludf.DUMMYFUNCTION("""COMPUTED_VALUE"""),"")</f>
        <v/>
      </c>
      <c r="I795" s="8" t="s">
        <v>7619</v>
      </c>
      <c r="J795" s="8" t="s">
        <v>345</v>
      </c>
      <c r="K795" s="8" t="s">
        <v>649</v>
      </c>
      <c r="L795" s="8" t="s">
        <v>2503</v>
      </c>
      <c r="M795" s="8" t="s">
        <v>2504</v>
      </c>
      <c r="N795" s="8" t="s">
        <v>151</v>
      </c>
      <c r="O795" s="8" t="s">
        <v>1309</v>
      </c>
      <c r="P795" s="8" t="s">
        <v>7620</v>
      </c>
      <c r="Q795" s="3" t="s">
        <v>149</v>
      </c>
      <c r="R795" s="3" t="s">
        <v>149</v>
      </c>
      <c r="S795" s="3" t="s">
        <v>149</v>
      </c>
      <c r="T795" s="8"/>
      <c r="U795" s="8">
        <f>IFERROR(__xludf.DUMMYFUNCTION("""COMPUTED_VALUE"""),767.0)</f>
        <v>767</v>
      </c>
      <c r="V795" s="8"/>
      <c r="W795" s="3"/>
      <c r="X795" s="8"/>
      <c r="Y795" s="8"/>
      <c r="AA795" s="3" t="s">
        <v>149</v>
      </c>
      <c r="AB795" s="3" t="s">
        <v>149</v>
      </c>
      <c r="AC795" s="8" t="s">
        <v>6907</v>
      </c>
      <c r="AG795" s="3" t="s">
        <v>149</v>
      </c>
      <c r="AH795" s="3" t="s">
        <v>149</v>
      </c>
      <c r="AI795" s="3" t="s">
        <v>149</v>
      </c>
      <c r="AJ795" s="8" t="s">
        <v>390</v>
      </c>
      <c r="AL795" s="3" t="s">
        <v>149</v>
      </c>
      <c r="AM795" s="3" t="s">
        <v>149</v>
      </c>
      <c r="AN795" s="3" t="s">
        <v>149</v>
      </c>
      <c r="AO795" s="8"/>
      <c r="AP795" s="8"/>
      <c r="AR795" s="8" t="s">
        <v>6084</v>
      </c>
      <c r="AS795" s="8" t="s">
        <v>7621</v>
      </c>
      <c r="AT795" s="3" t="s">
        <v>149</v>
      </c>
      <c r="AU795" s="3" t="s">
        <v>149</v>
      </c>
    </row>
    <row r="796">
      <c r="A796" s="186">
        <v>408.0</v>
      </c>
      <c r="B796" s="152">
        <v>2025.0</v>
      </c>
      <c r="C796" s="153" t="str">
        <f>CONCATENATE(D796, "-", M796, "-", A796)
</f>
        <v>2023-PH160203000-408</v>
      </c>
      <c r="D796" s="152">
        <f>IF(OR(F795="Published", F795="Unpublished"), 2023, IF(F795="New", 2025, ""))
</f>
        <v>2023</v>
      </c>
      <c r="E796" s="151">
        <v>398.0</v>
      </c>
      <c r="F796" s="156" t="s">
        <v>648</v>
      </c>
      <c r="G796" s="156" t="s">
        <v>141</v>
      </c>
      <c r="H796" s="153" t="str">
        <f>IFERROR(__xludf.DUMMYFUNCTION("""COMPUTED_VALUE"""),"**Restoration_project** changed from FishCORAL to Artificial Reef Project, **Restoration_project_short** changed from *Mentioned in FishCORAL 2017 Report that artificial reefs were under procurement for the municipality to Site in Calibunan MPA, **Year of"&amp;" establishment** changed from Unknown to 1987, **Technique/Material Type** changed from Unknown to bamboo, tires, concrete, **Restoration objective** changed from Unknown to Spawning ground for fish, **Funding agency** changed from IFAD to DA - Provincial"&amp;" Agriculture Office, **Implementing institution** changed from BFAR to Calibunan Fisherfolks, **Partners_public** changed from Unknown to PAO, BFAR, **Reference** changed from Report to de Sequera, V. (2001, June 17). Butuan: The Waters Live Again. PhilSt"&amp;"ar Global. https://www.philstar.com/other-sections/starweek-magazine/2001/06/17/127209/butuan-waters-live-again, **Website** changed from https://www.bfar.da.gov.ph/wp-content/uploads/2022/05/FishCORAL-Project-Annual-Report-2017.pdf to https://www.philsta"&amp;"r.com/other-sections/starweek-magazine/2001/06/17/127209/butuan-waters-live-again")</f>
        <v>**Restoration_project** changed from FishCORAL to Artificial Reef Project, **Restoration_project_short** changed from *Mentioned in FishCORAL 2017 Report that artificial reefs were under procurement for the municipality to Site in Calibunan MPA, **Year of establishment** changed from Unknown to 1987, **Technique/Material Type** changed from Unknown to bamboo, tires, concrete, **Restoration objective** changed from Unknown to Spawning ground for fish, **Funding agency** changed from IFAD to DA - Provincial Agriculture Office, **Implementing institution** changed from BFAR to Calibunan Fisherfolks, **Partners_public** changed from Unknown to PAO, BFAR, **Reference** changed from Report to de Sequera, V. (2001, June 17). Butuan: The Waters Live Again. PhilStar Global. https://www.philstar.com/other-sections/starweek-magazine/2001/06/17/127209/butuan-waters-live-again, **Website** changed from https://www.bfar.da.gov.ph/wp-content/uploads/2022/05/FishCORAL-Project-Annual-Report-2017.pdf to https://www.philstar.com/other-sections/starweek-magazine/2001/06/17/127209/butuan-waters-live-again</v>
      </c>
      <c r="I796" s="153" t="s">
        <v>7622</v>
      </c>
      <c r="J796" s="153" t="s">
        <v>345</v>
      </c>
      <c r="K796" s="153" t="s">
        <v>649</v>
      </c>
      <c r="L796" s="153" t="s">
        <v>7623</v>
      </c>
      <c r="M796" s="181" t="s">
        <v>651</v>
      </c>
      <c r="N796" s="153" t="s">
        <v>151</v>
      </c>
      <c r="O796" s="153" t="s">
        <v>652</v>
      </c>
      <c r="P796" s="153" t="s">
        <v>653</v>
      </c>
      <c r="Q796" s="169">
        <v>1987.0</v>
      </c>
      <c r="R796" s="3" t="s">
        <v>149</v>
      </c>
      <c r="S796" s="3" t="s">
        <v>149</v>
      </c>
      <c r="T796" s="161" t="s">
        <v>150</v>
      </c>
      <c r="U796" s="153">
        <f>IFERROR(__xludf.DUMMYFUNCTION("""COMPUTED_VALUE"""),768.0)</f>
        <v>768</v>
      </c>
      <c r="V796" s="162" t="s">
        <v>3311</v>
      </c>
      <c r="W796" s="179" t="s">
        <v>7624</v>
      </c>
      <c r="X796" s="28" t="s">
        <v>6082</v>
      </c>
      <c r="Y796" s="28" t="s">
        <v>7625</v>
      </c>
      <c r="Z796" s="158" t="s">
        <v>7626</v>
      </c>
      <c r="AA796" s="153" t="s">
        <v>7626</v>
      </c>
      <c r="AB796" s="158" t="s">
        <v>7627</v>
      </c>
      <c r="AC796" s="158" t="s">
        <v>659</v>
      </c>
      <c r="AD796" s="158" t="s">
        <v>160</v>
      </c>
      <c r="AE796" s="158" t="s">
        <v>6035</v>
      </c>
      <c r="AF796" s="158" t="s">
        <v>159</v>
      </c>
      <c r="AG796" s="164" t="s">
        <v>149</v>
      </c>
      <c r="AH796" s="158" t="s">
        <v>149</v>
      </c>
      <c r="AI796" s="158" t="s">
        <v>149</v>
      </c>
      <c r="AJ796" s="158" t="s">
        <v>661</v>
      </c>
      <c r="AK796" s="158" t="s">
        <v>662</v>
      </c>
      <c r="AL796" s="158" t="s">
        <v>7628</v>
      </c>
      <c r="AM796" s="3" t="s">
        <v>149</v>
      </c>
      <c r="AN796" s="3" t="s">
        <v>149</v>
      </c>
      <c r="AO796" s="156">
        <v>1.0</v>
      </c>
      <c r="AP796" s="156" t="s">
        <v>6037</v>
      </c>
      <c r="AQ796" s="158" t="s">
        <v>6517</v>
      </c>
      <c r="AR796" s="153" t="s">
        <v>664</v>
      </c>
      <c r="AS796" s="172" t="s">
        <v>665</v>
      </c>
      <c r="AT796" s="3" t="s">
        <v>149</v>
      </c>
      <c r="AU796" s="3" t="s">
        <v>149</v>
      </c>
    </row>
    <row r="797">
      <c r="A797" s="186">
        <v>409.0</v>
      </c>
      <c r="B797" s="152">
        <v>2023.0</v>
      </c>
      <c r="D797" s="152"/>
      <c r="E797" s="151">
        <v>398.0</v>
      </c>
      <c r="F797" s="129" t="s">
        <v>140</v>
      </c>
      <c r="G797" s="3" t="s">
        <v>3279</v>
      </c>
      <c r="H797" s="8" t="str">
        <f>IFERROR(__xludf.DUMMYFUNCTION("""COMPUTED_VALUE"""),"")</f>
        <v/>
      </c>
      <c r="I797" s="8" t="s">
        <v>7629</v>
      </c>
      <c r="J797" s="8" t="s">
        <v>345</v>
      </c>
      <c r="K797" s="8" t="s">
        <v>346</v>
      </c>
      <c r="L797" s="8" t="s">
        <v>2291</v>
      </c>
      <c r="M797" s="8" t="s">
        <v>2292</v>
      </c>
      <c r="N797" s="8" t="s">
        <v>151</v>
      </c>
      <c r="O797" s="8" t="s">
        <v>1913</v>
      </c>
      <c r="Q797" s="142"/>
      <c r="R797" s="142"/>
      <c r="S797" s="142"/>
      <c r="U797" s="8">
        <f>IFERROR(__xludf.DUMMYFUNCTION("""COMPUTED_VALUE"""),769.0)</f>
        <v>769</v>
      </c>
      <c r="V797" s="8"/>
      <c r="W797" s="8"/>
      <c r="AC797" s="8" t="s">
        <v>7630</v>
      </c>
      <c r="AG797" s="142"/>
      <c r="AJ797" s="8" t="s">
        <v>7631</v>
      </c>
      <c r="AO797" s="8"/>
      <c r="AP797" s="8"/>
      <c r="AR797" s="8" t="s">
        <v>6027</v>
      </c>
      <c r="AS797" s="172" t="s">
        <v>1919</v>
      </c>
    </row>
    <row r="798">
      <c r="A798" s="186">
        <v>410.0</v>
      </c>
      <c r="B798" s="152">
        <v>2025.0</v>
      </c>
      <c r="C798" s="153" t="str">
        <f>CONCATENATE(D798, "-", M798, "-", A798)
</f>
        <v>2023-PH160204000-410</v>
      </c>
      <c r="D798" s="152">
        <f>IF(OR(F797="Published", F797="Unpublished"), 2023, IF(F797="New", 2025, ""))
</f>
        <v>2023</v>
      </c>
      <c r="E798" s="151">
        <v>399.0</v>
      </c>
      <c r="F798" s="176" t="s">
        <v>140</v>
      </c>
      <c r="G798" s="156" t="s">
        <v>141</v>
      </c>
      <c r="H798" s="158" t="str">
        <f>IFERROR(__xludf.DUMMYFUNCTION("""COMPUTED_VALUE"""),"**Restoration_project** changed from Reef Restoration Project to Unknown, **Restoration_project_short** changed from to 60 units out of 120 inside Poblacion Fish Sanctuary, **Year of establishment** changed from to 2019, **Project Start** changed from to "&amp;"Unknown, **Project End** changed from to Unknown, **Technique/Material Type** changed from to Unknown, **Restoration objective** changed from to Habitat for aquatic flora and fauna, **Funding agency** changed from Nickel Asia Corp to BFAR, **Total funding"&amp;"** changed from to Unknown, **Total area of restoration** changed from to Unknown, **Total units** changed from to 120 units, **Implementing institution** changed from Taganito Mining Corp to BFAR, **Partners_public** changed from to Unknown, **Partners_p"&amp;"rivate** changed from to Unknown, **Partners_communities** changed from to Unknown, **Reference** changed from Website to BFAR CARAGA (2019). 2019 Annual Report. https://caraga.bfar.da.gov.ph/wp-content/uploads/2022/12/Annual-Report-2019.pdf, **Website** "&amp;"changed from https://nickelasia.com/bulletin/pangangalaga-sa-karagatan-pinaigting-pa-ng-cmc-hmc to https://caraga.bfar.da.gov.ph/wp-content/uploads/2022/12/Annual-Report-2019.pdf, **Contact_name** changed from to Unknown, **Contact_details** changed from "&amp;"to Unknown")</f>
        <v>**Restoration_project** changed from Reef Restoration Project to Unknown, **Restoration_project_short** changed from to 60 units out of 120 inside Poblacion Fish Sanctuary, **Year of establishment** changed from to 2019, **Project Start** changed from to Unknown, **Project End** changed from to Unknown, **Technique/Material Type** changed from to Unknown, **Restoration objective** changed from to Habitat for aquatic flora and fauna, **Funding agency** changed from Nickel Asia Corp to BFAR, **Total funding** changed from to Unknown, **Total area of restoration** changed from to Unknown, **Total units** changed from to 120 units, **Implementing institution** changed from Taganito Mining Corp to BFAR, **Partners_public** changed from to Unknown, **Partners_private** changed from to Unknown, **Partners_communities** changed from to Unknown, **Reference** changed from Website to BFAR CARAGA (2019). 2019 Annual Report. https://caraga.bfar.da.gov.ph/wp-content/uploads/2022/12/Annual-Report-2019.pdf, **Website** changed from https://nickelasia.com/bulletin/pangangalaga-sa-karagatan-pinaigting-pa-ng-cmc-hmc to https://caraga.bfar.da.gov.ph/wp-content/uploads/2022/12/Annual-Report-2019.pdf, **Contact_name** changed from to Unknown, **Contact_details** changed from to Unknown</v>
      </c>
      <c r="I798" s="158" t="s">
        <v>7632</v>
      </c>
      <c r="J798" s="158" t="s">
        <v>345</v>
      </c>
      <c r="K798" s="158" t="s">
        <v>649</v>
      </c>
      <c r="L798" s="158" t="s">
        <v>2503</v>
      </c>
      <c r="M798" s="164" t="s">
        <v>2504</v>
      </c>
      <c r="N798" s="158" t="s">
        <v>151</v>
      </c>
      <c r="O798" s="158" t="s">
        <v>149</v>
      </c>
      <c r="P798" s="158" t="s">
        <v>7633</v>
      </c>
      <c r="Q798" s="178">
        <v>2019.0</v>
      </c>
      <c r="R798" s="3" t="s">
        <v>149</v>
      </c>
      <c r="S798" s="3" t="s">
        <v>149</v>
      </c>
      <c r="T798" s="161" t="s">
        <v>150</v>
      </c>
      <c r="U798" s="158">
        <f>IFERROR(__xludf.DUMMYFUNCTION("""COMPUTED_VALUE"""),770.0)</f>
        <v>770</v>
      </c>
      <c r="V798" s="162" t="s">
        <v>3311</v>
      </c>
      <c r="W798" s="187" t="s">
        <v>149</v>
      </c>
      <c r="X798" s="184"/>
      <c r="Y798" s="184" t="s">
        <v>149</v>
      </c>
      <c r="Z798" s="158" t="s">
        <v>149</v>
      </c>
      <c r="AA798" s="158" t="s">
        <v>149</v>
      </c>
      <c r="AB798" s="158" t="s">
        <v>2506</v>
      </c>
      <c r="AC798" s="158" t="s">
        <v>390</v>
      </c>
      <c r="AD798" s="158" t="s">
        <v>160</v>
      </c>
      <c r="AE798" s="158" t="s">
        <v>6035</v>
      </c>
      <c r="AF798" s="158" t="s">
        <v>159</v>
      </c>
      <c r="AG798" s="164" t="s">
        <v>149</v>
      </c>
      <c r="AH798" s="158" t="s">
        <v>149</v>
      </c>
      <c r="AI798" s="158" t="s">
        <v>2507</v>
      </c>
      <c r="AJ798" s="158" t="s">
        <v>390</v>
      </c>
      <c r="AK798" s="158" t="s">
        <v>6035</v>
      </c>
      <c r="AL798" s="3" t="s">
        <v>149</v>
      </c>
      <c r="AM798" s="3" t="s">
        <v>149</v>
      </c>
      <c r="AN798" s="3" t="s">
        <v>149</v>
      </c>
      <c r="AO798" s="156">
        <v>1.0</v>
      </c>
      <c r="AP798" s="156" t="s">
        <v>6037</v>
      </c>
      <c r="AQ798" s="158" t="s">
        <v>6084</v>
      </c>
      <c r="AR798" s="158" t="s">
        <v>2508</v>
      </c>
      <c r="AS798" s="172" t="s">
        <v>2509</v>
      </c>
      <c r="AT798" s="3" t="s">
        <v>149</v>
      </c>
      <c r="AU798" s="3" t="s">
        <v>149</v>
      </c>
    </row>
    <row r="799">
      <c r="A799" s="186">
        <v>411.0</v>
      </c>
      <c r="B799" s="152">
        <v>2023.0</v>
      </c>
      <c r="D799" s="152"/>
      <c r="E799" s="151">
        <v>399.0</v>
      </c>
      <c r="F799" s="129" t="s">
        <v>140</v>
      </c>
      <c r="G799" s="3" t="s">
        <v>6029</v>
      </c>
      <c r="H799" s="8" t="str">
        <f>IFERROR(__xludf.DUMMYFUNCTION("""COMPUTED_VALUE"""),"")</f>
        <v/>
      </c>
      <c r="I799" s="8" t="s">
        <v>7634</v>
      </c>
      <c r="J799" s="8" t="s">
        <v>345</v>
      </c>
      <c r="K799" s="8" t="s">
        <v>346</v>
      </c>
      <c r="L799" s="8" t="s">
        <v>2291</v>
      </c>
      <c r="M799" s="8" t="s">
        <v>2292</v>
      </c>
      <c r="N799" s="8" t="s">
        <v>151</v>
      </c>
      <c r="O799" s="8" t="s">
        <v>1092</v>
      </c>
      <c r="P799" s="8" t="s">
        <v>7635</v>
      </c>
      <c r="Q799" s="142" t="s">
        <v>6098</v>
      </c>
      <c r="R799" s="3" t="s">
        <v>149</v>
      </c>
      <c r="S799" s="3" t="s">
        <v>149</v>
      </c>
      <c r="T799" s="8"/>
      <c r="U799" s="8">
        <f>IFERROR(__xludf.DUMMYFUNCTION("""COMPUTED_VALUE"""),771.0)</f>
        <v>771</v>
      </c>
      <c r="V799" s="8"/>
      <c r="W799" s="3"/>
      <c r="X799" s="8"/>
      <c r="Y799" s="8"/>
      <c r="AA799" s="3" t="s">
        <v>149</v>
      </c>
      <c r="AB799" s="3" t="s">
        <v>149</v>
      </c>
      <c r="AC799" s="8" t="s">
        <v>2295</v>
      </c>
      <c r="AG799" s="3" t="s">
        <v>149</v>
      </c>
      <c r="AH799" s="3" t="s">
        <v>149</v>
      </c>
      <c r="AI799" s="8" t="s">
        <v>6370</v>
      </c>
      <c r="AJ799" s="8" t="s">
        <v>2295</v>
      </c>
      <c r="AL799" s="3" t="s">
        <v>149</v>
      </c>
      <c r="AM799" s="8" t="s">
        <v>7636</v>
      </c>
      <c r="AN799" s="3" t="s">
        <v>149</v>
      </c>
      <c r="AO799" s="8"/>
      <c r="AP799" s="8"/>
      <c r="AR799" s="8" t="s">
        <v>6084</v>
      </c>
      <c r="AS799" s="172" t="s">
        <v>7637</v>
      </c>
      <c r="AT799" s="3" t="s">
        <v>149</v>
      </c>
      <c r="AU799" s="3" t="s">
        <v>149</v>
      </c>
    </row>
    <row r="800">
      <c r="A800" s="186">
        <v>412.0</v>
      </c>
      <c r="B800" s="152">
        <v>2025.0</v>
      </c>
      <c r="C800" s="153" t="str">
        <f>CONCATENATE(D800, "-", M800, "-", A800)
</f>
        <v>2023-PH166706000-412</v>
      </c>
      <c r="D800" s="152">
        <f>IF(OR(F799="Published", F799="Unpublished"), 2023, IF(F799="New", 2025, ""))
</f>
        <v>2023</v>
      </c>
      <c r="E800" s="151">
        <v>400.0</v>
      </c>
      <c r="F800" s="129" t="s">
        <v>140</v>
      </c>
      <c r="G800" s="156" t="s">
        <v>141</v>
      </c>
      <c r="H800" s="153" t="str">
        <f>IFERROR(__xludf.DUMMYFUNCTION("""COMPUTED_VALUE"""),"**Restoration_project** changed from Coral Rehabilitation Project to Unknown, **Restoration_project_short** changed from *Installation of ARs to rehabilitate Lambason Island Marine Sanctuary to Site inside Lambason Marine Sanctuary (Millari Island), **Yea"&amp;"r of establishment** changed from 2018 to 2019, **Restoration method** changed from Artificial Reef to Asexual Reproduction, **Technique/Material Type** changed from Unknown to Coral transplantation, **Restoration objective** changed from Unknown to Recov"&amp;"ery of stressed corals, **Total units** changed from 32 modules to Unknown, **Partners_private** changed from Global Ferronickel Holdings Inc. to Philippine Nickel Industry Association, **Reference** changed from Report to PGMC's Coral Transplantation in "&amp;"Lambason (Millari Island) Marine Sanctuary (2019, June 10). Philippine Nickel Industry Association. https://www.philippinenickel.org/news-and-updates/press-release/pgmcs-coral-transplantation-in-lambason-millari-island-marine-sanctuary/, **Website** chang"&amp;"ed from http://www.gfni.com.ph/wp-content/uploads/annualreports/2018%20IR%20061919%20FINAL.pdf to https://www.philippinenickel.org/news-and-updates/press-release/pgmcs-coral-transplantation-in-lambason-millari-island-marine-sanctuary/")</f>
        <v>**Restoration_project** changed from Coral Rehabilitation Project to Unknown, **Restoration_project_short** changed from *Installation of ARs to rehabilitate Lambason Island Marine Sanctuary to Site inside Lambason Marine Sanctuary (Millari Island), **Year of establishment** changed from 2018 to 2019, **Restoration method** changed from Artificial Reef to Asexual Reproduction, **Technique/Material Type** changed from Unknown to Coral transplantation, **Restoration objective** changed from Unknown to Recovery of stressed corals, **Total units** changed from 32 modules to Unknown, **Partners_private** changed from Global Ferronickel Holdings Inc. to Philippine Nickel Industry Association, **Reference** changed from Report to PGMC's Coral Transplantation in Lambason (Millari Island) Marine Sanctuary (2019, June 10). Philippine Nickel Industry Association. https://www.philippinenickel.org/news-and-updates/press-release/pgmcs-coral-transplantation-in-lambason-millari-island-marine-sanctuary/, **Website** changed from http://www.gfni.com.ph/wp-content/uploads/annualreports/2018%20IR%20061919%20FINAL.pdf to https://www.philippinenickel.org/news-and-updates/press-release/pgmcs-coral-transplantation-in-lambason-millari-island-marine-sanctuary/</v>
      </c>
      <c r="I800" s="153" t="s">
        <v>7638</v>
      </c>
      <c r="J800" s="153" t="s">
        <v>345</v>
      </c>
      <c r="K800" s="153" t="s">
        <v>346</v>
      </c>
      <c r="L800" s="153" t="s">
        <v>2291</v>
      </c>
      <c r="M800" s="181" t="s">
        <v>2292</v>
      </c>
      <c r="N800" s="158" t="s">
        <v>6062</v>
      </c>
      <c r="O800" s="158" t="s">
        <v>149</v>
      </c>
      <c r="P800" s="158" t="s">
        <v>2293</v>
      </c>
      <c r="Q800" s="178">
        <v>2019.0</v>
      </c>
      <c r="R800" s="3" t="s">
        <v>149</v>
      </c>
      <c r="S800" s="3" t="s">
        <v>149</v>
      </c>
      <c r="T800" s="176" t="s">
        <v>177</v>
      </c>
      <c r="U800" s="153">
        <f>IFERROR(__xludf.DUMMYFUNCTION("""COMPUTED_VALUE"""),772.0)</f>
        <v>772</v>
      </c>
      <c r="V800" s="180" t="s">
        <v>3245</v>
      </c>
      <c r="W800" s="184" t="s">
        <v>149</v>
      </c>
      <c r="X800" s="180"/>
      <c r="Y800" s="180" t="s">
        <v>154</v>
      </c>
      <c r="Z800" s="158" t="s">
        <v>179</v>
      </c>
      <c r="AA800" s="158" t="s">
        <v>179</v>
      </c>
      <c r="AB800" s="158" t="s">
        <v>2294</v>
      </c>
      <c r="AC800" s="158" t="s">
        <v>2295</v>
      </c>
      <c r="AD800" s="158" t="s">
        <v>160</v>
      </c>
      <c r="AE800" s="158" t="s">
        <v>184</v>
      </c>
      <c r="AF800" s="158" t="s">
        <v>159</v>
      </c>
      <c r="AG800" s="164" t="s">
        <v>149</v>
      </c>
      <c r="AH800" s="158" t="s">
        <v>149</v>
      </c>
      <c r="AI800" s="158" t="s">
        <v>149</v>
      </c>
      <c r="AJ800" s="158" t="s">
        <v>2295</v>
      </c>
      <c r="AK800" s="158" t="s">
        <v>184</v>
      </c>
      <c r="AL800" s="3" t="s">
        <v>149</v>
      </c>
      <c r="AM800" s="158" t="s">
        <v>2296</v>
      </c>
      <c r="AN800" s="3" t="s">
        <v>149</v>
      </c>
      <c r="AO800" s="156">
        <v>1.0</v>
      </c>
      <c r="AP800" s="156" t="s">
        <v>6037</v>
      </c>
      <c r="AQ800" s="158" t="s">
        <v>6027</v>
      </c>
      <c r="AR800" s="153" t="s">
        <v>2297</v>
      </c>
      <c r="AS800" s="172" t="s">
        <v>2298</v>
      </c>
      <c r="AT800" s="3" t="s">
        <v>149</v>
      </c>
      <c r="AU800" s="3" t="s">
        <v>149</v>
      </c>
    </row>
    <row r="801">
      <c r="A801" s="186">
        <v>413.0</v>
      </c>
      <c r="B801" s="152">
        <v>2023.0</v>
      </c>
      <c r="D801" s="152"/>
      <c r="E801" s="151">
        <v>400.0</v>
      </c>
      <c r="F801" s="129" t="s">
        <v>140</v>
      </c>
      <c r="G801" s="3" t="s">
        <v>6029</v>
      </c>
      <c r="H801" s="8" t="str">
        <f>IFERROR(__xludf.DUMMYFUNCTION("""COMPUTED_VALUE"""),"")</f>
        <v/>
      </c>
      <c r="I801" s="8" t="s">
        <v>7639</v>
      </c>
      <c r="J801" s="8" t="s">
        <v>345</v>
      </c>
      <c r="K801" s="8" t="s">
        <v>346</v>
      </c>
      <c r="L801" s="8" t="s">
        <v>3193</v>
      </c>
      <c r="M801" s="8" t="s">
        <v>3194</v>
      </c>
      <c r="N801" s="8" t="s">
        <v>151</v>
      </c>
      <c r="O801" s="3" t="s">
        <v>149</v>
      </c>
      <c r="P801" s="3" t="s">
        <v>7640</v>
      </c>
      <c r="Q801" s="3" t="s">
        <v>149</v>
      </c>
      <c r="R801" s="3" t="s">
        <v>149</v>
      </c>
      <c r="S801" s="3" t="s">
        <v>149</v>
      </c>
      <c r="T801" s="8"/>
      <c r="U801" s="8">
        <f>IFERROR(__xludf.DUMMYFUNCTION("""COMPUTED_VALUE"""),773.0)</f>
        <v>773</v>
      </c>
      <c r="V801" s="8"/>
      <c r="W801" s="3"/>
      <c r="X801" s="8"/>
      <c r="Y801" s="8"/>
      <c r="AA801" s="3" t="s">
        <v>149</v>
      </c>
      <c r="AB801" s="3" t="s">
        <v>149</v>
      </c>
      <c r="AC801" s="3" t="s">
        <v>149</v>
      </c>
      <c r="AG801" s="3" t="s">
        <v>149</v>
      </c>
      <c r="AH801" s="3" t="s">
        <v>149</v>
      </c>
      <c r="AI801" s="3" t="s">
        <v>149</v>
      </c>
      <c r="AJ801" s="3" t="s">
        <v>149</v>
      </c>
      <c r="AL801" s="3" t="s">
        <v>149</v>
      </c>
      <c r="AM801" s="3" t="s">
        <v>149</v>
      </c>
      <c r="AN801" s="3" t="s">
        <v>149</v>
      </c>
      <c r="AO801" s="8"/>
      <c r="AP801" s="8"/>
      <c r="AR801" s="8" t="s">
        <v>6027</v>
      </c>
      <c r="AS801" s="172" t="s">
        <v>3196</v>
      </c>
      <c r="AT801" s="3" t="s">
        <v>149</v>
      </c>
      <c r="AU801" s="3" t="s">
        <v>149</v>
      </c>
    </row>
    <row r="802">
      <c r="A802" s="186">
        <v>414.0</v>
      </c>
      <c r="B802" s="152">
        <v>2025.0</v>
      </c>
      <c r="C802" s="153" t="str">
        <f>CONCATENATE(D802, "-", M802, "-", A802)
</f>
        <v>2023-PH166708000-414</v>
      </c>
      <c r="D802" s="152">
        <f>IF(OR(F801="Published", F801="Unpublished"), 2023, IF(F801="New", 2025, ""))
</f>
        <v>2023</v>
      </c>
      <c r="E802" s="151">
        <v>401.0</v>
      </c>
      <c r="F802" s="129" t="s">
        <v>140</v>
      </c>
      <c r="G802" s="156" t="s">
        <v>141</v>
      </c>
      <c r="H802" s="153" t="str">
        <f>IFERROR(__xludf.DUMMYFUNCTION("""COMPUTED_VALUE"""),"**Technique/Material Type** changed from Unknown to Concrete cubic, **Reference** changed from Website to Del Carmen (2017, July 7). Del Carmen Artificial Coral Reefs. Municipality of Del Carmen. https://www.visitdelcarmen.com/del-carmen-artificial-coral-"&amp;"reefs/")</f>
        <v>**Technique/Material Type** changed from Unknown to Concrete cubic, **Reference** changed from Website to Del Carmen (2017, July 7). Del Carmen Artificial Coral Reefs. Municipality of Del Carmen. https://www.visitdelcarmen.com/del-carmen-artificial-coral-reefs/</v>
      </c>
      <c r="I802" s="153" t="s">
        <v>7641</v>
      </c>
      <c r="J802" s="153" t="s">
        <v>345</v>
      </c>
      <c r="K802" s="153" t="s">
        <v>346</v>
      </c>
      <c r="L802" s="153" t="s">
        <v>3193</v>
      </c>
      <c r="M802" s="181" t="s">
        <v>3194</v>
      </c>
      <c r="N802" s="153" t="s">
        <v>151</v>
      </c>
      <c r="O802" s="158" t="s">
        <v>149</v>
      </c>
      <c r="P802" s="153" t="s">
        <v>7640</v>
      </c>
      <c r="Q802" s="178" t="s">
        <v>149</v>
      </c>
      <c r="R802" s="3" t="s">
        <v>149</v>
      </c>
      <c r="S802" s="3" t="s">
        <v>149</v>
      </c>
      <c r="T802" s="161" t="s">
        <v>150</v>
      </c>
      <c r="U802" s="153">
        <f>IFERROR(__xludf.DUMMYFUNCTION("""COMPUTED_VALUE"""),774.0)</f>
        <v>774</v>
      </c>
      <c r="V802" s="162" t="s">
        <v>3311</v>
      </c>
      <c r="W802" s="184" t="s">
        <v>6032</v>
      </c>
      <c r="X802" s="28" t="s">
        <v>6173</v>
      </c>
      <c r="Y802" s="32" t="s">
        <v>2467</v>
      </c>
      <c r="Z802" s="158" t="s">
        <v>911</v>
      </c>
      <c r="AA802" s="158" t="s">
        <v>911</v>
      </c>
      <c r="AB802" s="158" t="s">
        <v>149</v>
      </c>
      <c r="AC802" s="158" t="s">
        <v>149</v>
      </c>
      <c r="AD802" s="158" t="s">
        <v>149</v>
      </c>
      <c r="AE802" s="158" t="s">
        <v>149</v>
      </c>
      <c r="AF802" s="158" t="s">
        <v>149</v>
      </c>
      <c r="AG802" s="164" t="s">
        <v>149</v>
      </c>
      <c r="AH802" s="158" t="s">
        <v>149</v>
      </c>
      <c r="AI802" s="158" t="s">
        <v>149</v>
      </c>
      <c r="AJ802" s="158" t="s">
        <v>149</v>
      </c>
      <c r="AK802" s="158" t="s">
        <v>149</v>
      </c>
      <c r="AL802" s="3" t="s">
        <v>149</v>
      </c>
      <c r="AM802" s="3" t="s">
        <v>149</v>
      </c>
      <c r="AN802" s="3" t="s">
        <v>149</v>
      </c>
      <c r="AO802" s="156">
        <v>1.0</v>
      </c>
      <c r="AP802" s="156" t="s">
        <v>6037</v>
      </c>
      <c r="AQ802" s="158" t="s">
        <v>6027</v>
      </c>
      <c r="AR802" s="153" t="s">
        <v>3195</v>
      </c>
      <c r="AS802" s="165" t="s">
        <v>3196</v>
      </c>
      <c r="AT802" s="3" t="s">
        <v>149</v>
      </c>
      <c r="AU802" s="3" t="s">
        <v>149</v>
      </c>
    </row>
    <row r="803">
      <c r="A803" s="186">
        <v>415.0</v>
      </c>
      <c r="B803" s="152">
        <v>2023.0</v>
      </c>
      <c r="D803" s="152"/>
      <c r="E803" s="151">
        <v>401.0</v>
      </c>
      <c r="F803" s="129" t="s">
        <v>648</v>
      </c>
      <c r="G803" s="3" t="s">
        <v>3279</v>
      </c>
      <c r="H803" s="8" t="str">
        <f>IFERROR(__xludf.DUMMYFUNCTION("""COMPUTED_VALUE"""),"")</f>
        <v/>
      </c>
      <c r="I803" s="8" t="s">
        <v>7642</v>
      </c>
      <c r="J803" s="8" t="s">
        <v>345</v>
      </c>
      <c r="K803" s="8" t="s">
        <v>346</v>
      </c>
      <c r="L803" s="8" t="s">
        <v>1406</v>
      </c>
      <c r="M803" s="8" t="s">
        <v>5744</v>
      </c>
      <c r="O803" s="8" t="s">
        <v>6113</v>
      </c>
      <c r="P803" s="8" t="s">
        <v>7643</v>
      </c>
      <c r="Q803" s="142"/>
      <c r="R803" s="142"/>
      <c r="S803" s="142"/>
      <c r="U803" s="8">
        <f>IFERROR(__xludf.DUMMYFUNCTION("""COMPUTED_VALUE"""),775.0)</f>
        <v>775</v>
      </c>
      <c r="V803" s="8"/>
      <c r="W803" s="8"/>
      <c r="AG803" s="142"/>
      <c r="AO803" s="8"/>
      <c r="AP803" s="8"/>
    </row>
    <row r="804">
      <c r="A804" s="186">
        <v>416.0</v>
      </c>
      <c r="B804" s="152">
        <v>2023.0</v>
      </c>
      <c r="D804" s="152"/>
      <c r="E804" s="151">
        <v>402.0</v>
      </c>
      <c r="F804" s="129" t="s">
        <v>140</v>
      </c>
      <c r="G804" s="3" t="s">
        <v>6029</v>
      </c>
      <c r="H804" s="8" t="str">
        <f>IFERROR(__xludf.DUMMYFUNCTION("""COMPUTED_VALUE"""),"")</f>
        <v/>
      </c>
      <c r="I804" s="8" t="s">
        <v>7644</v>
      </c>
      <c r="J804" s="8" t="s">
        <v>345</v>
      </c>
      <c r="K804" s="8" t="s">
        <v>346</v>
      </c>
      <c r="L804" s="8" t="s">
        <v>3198</v>
      </c>
      <c r="M804" s="8" t="s">
        <v>3199</v>
      </c>
      <c r="N804" s="8" t="s">
        <v>151</v>
      </c>
      <c r="O804" s="3" t="s">
        <v>149</v>
      </c>
      <c r="P804" s="3" t="s">
        <v>149</v>
      </c>
      <c r="Q804" s="142" t="s">
        <v>6906</v>
      </c>
      <c r="R804" s="3" t="s">
        <v>149</v>
      </c>
      <c r="S804" s="3" t="s">
        <v>149</v>
      </c>
      <c r="T804" s="8"/>
      <c r="U804" s="8">
        <f>IFERROR(__xludf.DUMMYFUNCTION("""COMPUTED_VALUE"""),776.0)</f>
        <v>776</v>
      </c>
      <c r="V804" s="8"/>
      <c r="W804" s="3"/>
      <c r="X804" s="8"/>
      <c r="Y804" s="8"/>
      <c r="AA804" s="3" t="s">
        <v>149</v>
      </c>
      <c r="AB804" s="3" t="s">
        <v>149</v>
      </c>
      <c r="AC804" s="3" t="s">
        <v>149</v>
      </c>
      <c r="AG804" s="3" t="s">
        <v>149</v>
      </c>
      <c r="AH804" s="3" t="s">
        <v>149</v>
      </c>
      <c r="AI804" s="3" t="s">
        <v>149</v>
      </c>
      <c r="AJ804" s="8" t="s">
        <v>369</v>
      </c>
      <c r="AL804" s="8" t="s">
        <v>390</v>
      </c>
      <c r="AM804" s="3" t="s">
        <v>149</v>
      </c>
      <c r="AN804" s="3" t="s">
        <v>149</v>
      </c>
      <c r="AO804" s="8"/>
      <c r="AP804" s="8"/>
      <c r="AR804" s="3" t="s">
        <v>149</v>
      </c>
      <c r="AS804" s="3" t="s">
        <v>149</v>
      </c>
      <c r="AT804" s="3" t="s">
        <v>149</v>
      </c>
      <c r="AU804" s="3" t="s">
        <v>149</v>
      </c>
    </row>
    <row r="805">
      <c r="A805" s="186">
        <v>417.0</v>
      </c>
      <c r="B805" s="152">
        <v>2025.0</v>
      </c>
      <c r="C805" s="153" t="str">
        <f>CONCATENATE(D805, "-", M805, "-", A805)
</f>
        <v>2023-PH166715000-417</v>
      </c>
      <c r="D805" s="152">
        <f>IF(OR(F804="Published", F804="Unpublished"), 2023, IF(F804="New", 2025, ""))
</f>
        <v>2023</v>
      </c>
      <c r="E805" s="151">
        <v>402.0</v>
      </c>
      <c r="F805" s="129" t="s">
        <v>140</v>
      </c>
      <c r="G805" s="156" t="s">
        <v>141</v>
      </c>
      <c r="H805" s="153" t="str">
        <f>IFERROR(__xludf.DUMMYFUNCTION("""COMPUTED_VALUE"""),"**Restoration_project_short** changed from Unknown to Site in Hanagdong Fish Sanctuary, **Year of establishment** changed from 2020 to 2020, **Total units** changed from Unknown to 50 units, **Reference** changed from Unknown to BFAR CARAGA (2020). Annual"&amp;" Report 2020. https://caraga.bfar.da.gov.ph/wp-content/uploads/2022/12/Annual-Report-2020.pdf, **Website** changed from Unknown to https://caraga.bfar.da.gov.ph/wp-content/uploads/2022/12/Annual-Report-2020.pdf")</f>
        <v>**Restoration_project_short** changed from Unknown to Site in Hanagdong Fish Sanctuary, **Year of establishment** changed from 2020 to 2020, **Total units** changed from Unknown to 50 units, **Reference** changed from Unknown to BFAR CARAGA (2020). Annual Report 2020. https://caraga.bfar.da.gov.ph/wp-content/uploads/2022/12/Annual-Report-2020.pdf, **Website** changed from Unknown to https://caraga.bfar.da.gov.ph/wp-content/uploads/2022/12/Annual-Report-2020.pdf</v>
      </c>
      <c r="I805" s="153" t="s">
        <v>7645</v>
      </c>
      <c r="J805" s="153" t="s">
        <v>345</v>
      </c>
      <c r="K805" s="153" t="s">
        <v>346</v>
      </c>
      <c r="L805" s="153" t="s">
        <v>3198</v>
      </c>
      <c r="M805" s="181" t="s">
        <v>3199</v>
      </c>
      <c r="N805" s="153" t="s">
        <v>151</v>
      </c>
      <c r="O805" s="158" t="s">
        <v>149</v>
      </c>
      <c r="P805" s="153" t="s">
        <v>3200</v>
      </c>
      <c r="Q805" s="169">
        <v>2020.0</v>
      </c>
      <c r="R805" s="3" t="s">
        <v>149</v>
      </c>
      <c r="S805" s="3" t="s">
        <v>149</v>
      </c>
      <c r="T805" s="161" t="s">
        <v>150</v>
      </c>
      <c r="U805" s="153">
        <f>IFERROR(__xludf.DUMMYFUNCTION("""COMPUTED_VALUE"""),777.0)</f>
        <v>777</v>
      </c>
      <c r="V805" s="162" t="s">
        <v>3311</v>
      </c>
      <c r="W805" s="187" t="s">
        <v>149</v>
      </c>
      <c r="X805" s="184"/>
      <c r="Y805" s="184" t="s">
        <v>149</v>
      </c>
      <c r="Z805" s="158" t="s">
        <v>149</v>
      </c>
      <c r="AA805" s="158" t="s">
        <v>149</v>
      </c>
      <c r="AB805" s="158" t="s">
        <v>149</v>
      </c>
      <c r="AC805" s="158" t="s">
        <v>149</v>
      </c>
      <c r="AD805" s="158" t="s">
        <v>149</v>
      </c>
      <c r="AE805" s="158" t="s">
        <v>149</v>
      </c>
      <c r="AF805" s="158" t="s">
        <v>149</v>
      </c>
      <c r="AG805" s="164" t="s">
        <v>149</v>
      </c>
      <c r="AH805" s="158" t="s">
        <v>149</v>
      </c>
      <c r="AI805" s="158" t="s">
        <v>571</v>
      </c>
      <c r="AJ805" s="158" t="s">
        <v>369</v>
      </c>
      <c r="AK805" s="158" t="s">
        <v>6035</v>
      </c>
      <c r="AL805" s="158" t="s">
        <v>390</v>
      </c>
      <c r="AM805" s="3" t="s">
        <v>149</v>
      </c>
      <c r="AN805" s="3" t="s">
        <v>149</v>
      </c>
      <c r="AO805" s="156">
        <v>1.0</v>
      </c>
      <c r="AP805" s="156" t="s">
        <v>6037</v>
      </c>
      <c r="AQ805" s="153" t="s">
        <v>6084</v>
      </c>
      <c r="AR805" s="153" t="s">
        <v>3201</v>
      </c>
      <c r="AS805" s="165" t="s">
        <v>3202</v>
      </c>
      <c r="AT805" s="3" t="s">
        <v>149</v>
      </c>
      <c r="AU805" s="3" t="s">
        <v>149</v>
      </c>
    </row>
    <row r="806">
      <c r="A806" s="186">
        <v>418.0</v>
      </c>
      <c r="B806" s="152">
        <v>2023.0</v>
      </c>
      <c r="D806" s="152"/>
      <c r="E806" s="151">
        <v>403.0</v>
      </c>
      <c r="F806" s="129" t="s">
        <v>140</v>
      </c>
      <c r="G806" s="3" t="s">
        <v>6029</v>
      </c>
      <c r="H806" s="8" t="str">
        <f>IFERROR(__xludf.DUMMYFUNCTION("""COMPUTED_VALUE"""),"")</f>
        <v/>
      </c>
      <c r="I806" s="8" t="s">
        <v>7646</v>
      </c>
      <c r="J806" s="8" t="s">
        <v>345</v>
      </c>
      <c r="K806" s="8" t="s">
        <v>346</v>
      </c>
      <c r="L806" s="8" t="s">
        <v>7647</v>
      </c>
      <c r="M806" s="8" t="s">
        <v>348</v>
      </c>
      <c r="N806" s="8" t="s">
        <v>151</v>
      </c>
      <c r="O806" s="8" t="s">
        <v>7648</v>
      </c>
      <c r="P806" s="3" t="s">
        <v>149</v>
      </c>
      <c r="Q806" s="3" t="s">
        <v>149</v>
      </c>
      <c r="R806" s="3" t="s">
        <v>149</v>
      </c>
      <c r="S806" s="3" t="s">
        <v>149</v>
      </c>
      <c r="T806" s="8"/>
      <c r="U806" s="8">
        <f>IFERROR(__xludf.DUMMYFUNCTION("""COMPUTED_VALUE"""),778.0)</f>
        <v>778</v>
      </c>
      <c r="V806" s="8"/>
      <c r="W806" s="3"/>
      <c r="X806" s="8"/>
      <c r="Y806" s="8"/>
      <c r="AA806" s="3" t="s">
        <v>149</v>
      </c>
      <c r="AB806" s="3" t="s">
        <v>149</v>
      </c>
      <c r="AC806" s="3" t="s">
        <v>149</v>
      </c>
      <c r="AG806" s="3" t="s">
        <v>149</v>
      </c>
      <c r="AH806" s="3" t="s">
        <v>149</v>
      </c>
      <c r="AI806" s="8" t="s">
        <v>917</v>
      </c>
      <c r="AJ806" s="8" t="s">
        <v>7649</v>
      </c>
      <c r="AL806" s="8" t="s">
        <v>228</v>
      </c>
      <c r="AM806" s="8" t="s">
        <v>916</v>
      </c>
      <c r="AN806" s="3" t="s">
        <v>149</v>
      </c>
      <c r="AO806" s="8"/>
      <c r="AP806" s="8"/>
      <c r="AR806" s="8" t="s">
        <v>166</v>
      </c>
      <c r="AS806" s="8" t="s">
        <v>7650</v>
      </c>
      <c r="AT806" s="3" t="s">
        <v>149</v>
      </c>
      <c r="AU806" s="3" t="s">
        <v>149</v>
      </c>
    </row>
    <row r="807">
      <c r="A807" s="186">
        <v>419.0</v>
      </c>
      <c r="B807" s="152">
        <v>2025.0</v>
      </c>
      <c r="C807" s="153" t="str">
        <f>CONCATENATE(D807, "-", M807, "-", A807)
</f>
        <v>2023-PH166724000-419</v>
      </c>
      <c r="D807" s="152">
        <f>IF(OR(F806="Published", F806="Unpublished"), 2023, IF(F806="New", 2025, ""))
</f>
        <v>2023</v>
      </c>
      <c r="E807" s="151">
        <v>403.0</v>
      </c>
      <c r="F807" s="129" t="s">
        <v>140</v>
      </c>
      <c r="G807" s="156" t="s">
        <v>141</v>
      </c>
      <c r="H807" s="153" t="str">
        <f>IFERROR(__xludf.DUMMYFUNCTION("""COMPUTED_VALUE"""),"**Restoration_project** changed from Coral Reef Farm to Coral Reef Farm Project, **Restoration_project_short** changed from Unknown to Site in Brgy Ipil MPA; Site in Brgy Mabua, **Year of establishment** changed from Unknown to 2021, **Technique/Material "&amp;"Type** changed from Unknown to Concrete cubic; mesh, **Restoration objective** changed from Unknown to Hasten reef development, **Funding agency** changed from Unknown to JCI Surigao Nickel, **Implementing institution** changed from Philippine Coast Guard"&amp;" District North Eastern Mindanao to JCI Surigao Nickel, **Partners_public** changed from CLGU to PCG District North Eastern Mindanao; CLGU; DENR; BFAR, **Partners_private** changed from JCI Surigao Nickel to Unknown, **Reference** changed from News/Press "&amp;"Release to NewsLine Philippines (2021, July 2). Artificial reefs installed in protected waters of Surigao City. NewsLine Philippines: Building Information Highway for the Community. https://newsline.ph/top-stories/2021/07/02/artificial-reefs-installed-in-"&amp;"protected-waters-in-surigao-city/, **Website** changed from https://coastguard.gov.ph/index.php/related-links/11-news/4072-pcg-supports-coral-reef-farm-project-in-surigao-city; https://newsline.ph/top-stories/2021/07/02/artificial-reefs-installed-in-prote"&amp;"cted-waters-in-surigao-city/ to https://web.facebook.com/jcisurigaonickel/posts/a-reef-for-life-a-dive-of-hopejci-surigao-nickel-in-partnership-with-other-jci-p/3308942349207324/?_rdc=1&amp;_rdr; https://newsline.ph/artificial-reefs-installed-in-protected-wat"&amp;"ers-in-surigao-city/")</f>
        <v>**Restoration_project** changed from Coral Reef Farm to Coral Reef Farm Project, **Restoration_project_short** changed from Unknown to Site in Brgy Ipil MPA; Site in Brgy Mabua, **Year of establishment** changed from Unknown to 2021, **Technique/Material Type** changed from Unknown to Concrete cubic; mesh, **Restoration objective** changed from Unknown to Hasten reef development, **Funding agency** changed from Unknown to JCI Surigao Nickel, **Implementing institution** changed from Philippine Coast Guard District North Eastern Mindanao to JCI Surigao Nickel, **Partners_public** changed from CLGU to PCG District North Eastern Mindanao; CLGU; DENR; BFAR, **Partners_private** changed from JCI Surigao Nickel to Unknown, **Reference** changed from News/Press Release to NewsLine Philippines (2021, July 2). Artificial reefs installed in protected waters of Surigao City. NewsLine Philippines: Building Information Highway for the Community. https://newsline.ph/top-stories/2021/07/02/artificial-reefs-installed-in-protected-waters-in-surigao-city/, **Website** changed from https://coastguard.gov.ph/index.php/related-links/11-news/4072-pcg-supports-coral-reef-farm-project-in-surigao-city; https://newsline.ph/top-stories/2021/07/02/artificial-reefs-installed-in-protected-waters-in-surigao-city/ to https://web.facebook.com/jcisurigaonickel/posts/a-reef-for-life-a-dive-of-hopejci-surigao-nickel-in-partnership-with-other-jci-p/3308942349207324/?_rdc=1&amp;_rdr; https://newsline.ph/artificial-reefs-installed-in-protected-waters-in-surigao-city/</v>
      </c>
      <c r="I807" s="153" t="s">
        <v>7651</v>
      </c>
      <c r="J807" s="153" t="s">
        <v>345</v>
      </c>
      <c r="K807" s="153" t="s">
        <v>346</v>
      </c>
      <c r="L807" s="153" t="s">
        <v>7647</v>
      </c>
      <c r="M807" s="181" t="s">
        <v>348</v>
      </c>
      <c r="N807" s="153" t="s">
        <v>151</v>
      </c>
      <c r="O807" s="153" t="s">
        <v>908</v>
      </c>
      <c r="P807" s="153" t="s">
        <v>7652</v>
      </c>
      <c r="Q807" s="169">
        <v>2021.0</v>
      </c>
      <c r="R807" s="3" t="s">
        <v>149</v>
      </c>
      <c r="S807" s="3" t="s">
        <v>149</v>
      </c>
      <c r="T807" s="161" t="s">
        <v>150</v>
      </c>
      <c r="U807" s="153">
        <f>IFERROR(__xludf.DUMMYFUNCTION("""COMPUTED_VALUE"""),779.0)</f>
        <v>779</v>
      </c>
      <c r="V807" s="162" t="s">
        <v>3311</v>
      </c>
      <c r="W807" s="184" t="s">
        <v>6032</v>
      </c>
      <c r="X807" s="28" t="s">
        <v>6173</v>
      </c>
      <c r="Y807" s="32" t="s">
        <v>7653</v>
      </c>
      <c r="Z807" s="158" t="s">
        <v>912</v>
      </c>
      <c r="AA807" s="158" t="s">
        <v>912</v>
      </c>
      <c r="AB807" s="158" t="s">
        <v>915</v>
      </c>
      <c r="AC807" s="158" t="s">
        <v>916</v>
      </c>
      <c r="AD807" s="158" t="s">
        <v>160</v>
      </c>
      <c r="AE807" s="158" t="s">
        <v>271</v>
      </c>
      <c r="AF807" s="158" t="s">
        <v>159</v>
      </c>
      <c r="AG807" s="164" t="s">
        <v>149</v>
      </c>
      <c r="AH807" s="158" t="s">
        <v>149</v>
      </c>
      <c r="AI807" s="153" t="s">
        <v>917</v>
      </c>
      <c r="AJ807" s="158" t="s">
        <v>916</v>
      </c>
      <c r="AK807" s="158" t="s">
        <v>271</v>
      </c>
      <c r="AL807" s="158" t="s">
        <v>918</v>
      </c>
      <c r="AM807" s="3" t="s">
        <v>149</v>
      </c>
      <c r="AN807" s="3" t="s">
        <v>149</v>
      </c>
      <c r="AO807" s="156">
        <v>1.0</v>
      </c>
      <c r="AP807" s="156" t="s">
        <v>6037</v>
      </c>
      <c r="AQ807" s="158" t="s">
        <v>166</v>
      </c>
      <c r="AR807" s="153" t="s">
        <v>919</v>
      </c>
      <c r="AS807" s="153" t="s">
        <v>7654</v>
      </c>
      <c r="AT807" s="3" t="s">
        <v>149</v>
      </c>
      <c r="AU807" s="3" t="s">
        <v>149</v>
      </c>
    </row>
    <row r="808">
      <c r="A808" s="186">
        <v>420.0</v>
      </c>
      <c r="B808" s="152">
        <v>2023.0</v>
      </c>
      <c r="D808" s="152"/>
      <c r="E808" s="151">
        <v>404.0</v>
      </c>
      <c r="F808" s="129" t="s">
        <v>140</v>
      </c>
      <c r="G808" s="3" t="s">
        <v>6029</v>
      </c>
      <c r="H808" s="8" t="str">
        <f>IFERROR(__xludf.DUMMYFUNCTION("""COMPUTED_VALUE"""),"")</f>
        <v/>
      </c>
      <c r="I808" s="8" t="s">
        <v>7655</v>
      </c>
      <c r="J808" s="8" t="s">
        <v>345</v>
      </c>
      <c r="K808" s="8" t="s">
        <v>346</v>
      </c>
      <c r="L808" s="8" t="s">
        <v>7647</v>
      </c>
      <c r="M808" s="8" t="s">
        <v>348</v>
      </c>
      <c r="N808" s="8" t="s">
        <v>151</v>
      </c>
      <c r="O808" s="3" t="s">
        <v>149</v>
      </c>
      <c r="P808" s="3" t="s">
        <v>149</v>
      </c>
      <c r="Q808" s="142" t="s">
        <v>6268</v>
      </c>
      <c r="R808" s="3" t="s">
        <v>149</v>
      </c>
      <c r="S808" s="3" t="s">
        <v>149</v>
      </c>
      <c r="T808" s="8"/>
      <c r="U808" s="8">
        <f>IFERROR(__xludf.DUMMYFUNCTION("""COMPUTED_VALUE"""),780.0)</f>
        <v>780</v>
      </c>
      <c r="V808" s="8"/>
      <c r="W808" s="3"/>
      <c r="X808" s="8"/>
      <c r="Y808" s="8"/>
      <c r="AA808" s="3" t="s">
        <v>149</v>
      </c>
      <c r="AB808" s="3" t="s">
        <v>149</v>
      </c>
      <c r="AC808" s="3" t="s">
        <v>149</v>
      </c>
      <c r="AG808" s="3" t="s">
        <v>149</v>
      </c>
      <c r="AH808" s="3" t="s">
        <v>149</v>
      </c>
      <c r="AI808" s="8" t="s">
        <v>7656</v>
      </c>
      <c r="AJ808" s="8" t="s">
        <v>228</v>
      </c>
      <c r="AL808" s="3" t="s">
        <v>149</v>
      </c>
      <c r="AM808" s="3" t="s">
        <v>149</v>
      </c>
      <c r="AN808" s="3" t="s">
        <v>149</v>
      </c>
      <c r="AO808" s="8"/>
      <c r="AP808" s="8"/>
      <c r="AR808" s="8" t="s">
        <v>6084</v>
      </c>
      <c r="AS808" s="172" t="s">
        <v>7657</v>
      </c>
      <c r="AT808" s="3" t="s">
        <v>149</v>
      </c>
      <c r="AU808" s="3" t="s">
        <v>149</v>
      </c>
    </row>
    <row r="809">
      <c r="A809" s="186">
        <v>421.0</v>
      </c>
      <c r="B809" s="152">
        <v>2025.0</v>
      </c>
      <c r="C809" s="153" t="str">
        <f>CONCATENATE(D809, "-", M809, "-", A809)
</f>
        <v>2023-PH166724000-421</v>
      </c>
      <c r="D809" s="152">
        <f>IF(OR(F808="Published", F808="Unpublished"), 2023, IF(F808="New", 2025, ""))
</f>
        <v>2023</v>
      </c>
      <c r="E809" s="151">
        <v>404.0</v>
      </c>
      <c r="F809" s="129" t="s">
        <v>140</v>
      </c>
      <c r="G809" s="156" t="s">
        <v>141</v>
      </c>
      <c r="H809" s="153" t="str">
        <f>IFERROR(__xludf.DUMMYFUNCTION("""COMPUTED_VALUE"""),"**Restoration_project** changed from Unknown to Artificial Coral Reefs, **Restoration_project_short** changed from Unknown to Site in Brgy Sugbay and Brgy Manjagao, **Year of establishment** changed from 2015 to 2018, **Technique/Material Type** changed f"&amp;"rom Unknown to Concrete, **Restoration objective** changed from Unknown to Shelter and breeding ground for fish, **Total units** changed from 5 modules to Unknown, **Reference** changed from Report to Bombo Butuan Newsdesk (2018, March 19). Artificial cor"&amp;"al reefs, gimontar sa Surigao City. Bombo Radyo. https://butuan.bomboradyo.com/artificial-coral-reefs-gimontar-sa-surigao-city/, **Website** changed from http://www.surigaocity.gov.ph/sites/default/files/documents/milestones/2015%20annual%20report_0.pdf t"&amp;"o https://butuan.bomboradyo.com/artificial-coral-reefs-gimontar-sa-surigao-city/")</f>
        <v>**Restoration_project** changed from Unknown to Artificial Coral Reefs, **Restoration_project_short** changed from Unknown to Site in Brgy Sugbay and Brgy Manjagao, **Year of establishment** changed from 2015 to 2018, **Technique/Material Type** changed from Unknown to Concrete, **Restoration objective** changed from Unknown to Shelter and breeding ground for fish, **Total units** changed from 5 modules to Unknown, **Reference** changed from Report to Bombo Butuan Newsdesk (2018, March 19). Artificial coral reefs, gimontar sa Surigao City. Bombo Radyo. https://butuan.bomboradyo.com/artificial-coral-reefs-gimontar-sa-surigao-city/, **Website** changed from http://www.surigaocity.gov.ph/sites/default/files/documents/milestones/2015%20annual%20report_0.pdf to https://butuan.bomboradyo.com/artificial-coral-reefs-gimontar-sa-surigao-city/</v>
      </c>
      <c r="I809" s="153" t="s">
        <v>7658</v>
      </c>
      <c r="J809" s="153" t="s">
        <v>345</v>
      </c>
      <c r="K809" s="153" t="s">
        <v>346</v>
      </c>
      <c r="L809" s="153" t="s">
        <v>7647</v>
      </c>
      <c r="M809" s="181" t="s">
        <v>348</v>
      </c>
      <c r="N809" s="153" t="s">
        <v>151</v>
      </c>
      <c r="O809" s="153" t="s">
        <v>349</v>
      </c>
      <c r="P809" s="153" t="s">
        <v>350</v>
      </c>
      <c r="Q809" s="169">
        <v>2018.0</v>
      </c>
      <c r="R809" s="3" t="s">
        <v>149</v>
      </c>
      <c r="S809" s="3" t="s">
        <v>149</v>
      </c>
      <c r="T809" s="161" t="s">
        <v>150</v>
      </c>
      <c r="U809" s="153">
        <f>IFERROR(__xludf.DUMMYFUNCTION("""COMPUTED_VALUE"""),781.0)</f>
        <v>781</v>
      </c>
      <c r="V809" s="162" t="s">
        <v>3311</v>
      </c>
      <c r="W809" s="184" t="s">
        <v>6032</v>
      </c>
      <c r="X809" s="28" t="s">
        <v>6173</v>
      </c>
      <c r="Y809" s="32" t="s">
        <v>6474</v>
      </c>
      <c r="Z809" s="158" t="s">
        <v>152</v>
      </c>
      <c r="AA809" s="158" t="s">
        <v>152</v>
      </c>
      <c r="AB809" s="158" t="s">
        <v>6839</v>
      </c>
      <c r="AC809" s="158" t="s">
        <v>149</v>
      </c>
      <c r="AD809" s="158" t="s">
        <v>149</v>
      </c>
      <c r="AE809" s="158" t="s">
        <v>149</v>
      </c>
      <c r="AF809" s="158" t="s">
        <v>159</v>
      </c>
      <c r="AG809" s="164" t="s">
        <v>149</v>
      </c>
      <c r="AH809" s="158" t="s">
        <v>149</v>
      </c>
      <c r="AI809" s="158" t="s">
        <v>149</v>
      </c>
      <c r="AJ809" s="153" t="s">
        <v>228</v>
      </c>
      <c r="AK809" s="153" t="s">
        <v>6035</v>
      </c>
      <c r="AL809" s="3" t="s">
        <v>149</v>
      </c>
      <c r="AM809" s="3" t="s">
        <v>149</v>
      </c>
      <c r="AN809" s="3" t="s">
        <v>149</v>
      </c>
      <c r="AO809" s="156">
        <v>1.0</v>
      </c>
      <c r="AP809" s="156" t="s">
        <v>6037</v>
      </c>
      <c r="AQ809" s="158" t="s">
        <v>166</v>
      </c>
      <c r="AR809" s="153" t="s">
        <v>353</v>
      </c>
      <c r="AS809" s="172" t="s">
        <v>354</v>
      </c>
      <c r="AT809" s="3" t="s">
        <v>149</v>
      </c>
      <c r="AU809" s="3" t="s">
        <v>149</v>
      </c>
    </row>
    <row r="810">
      <c r="A810" s="186">
        <v>422.0</v>
      </c>
      <c r="B810" s="152">
        <v>2023.0</v>
      </c>
      <c r="D810" s="152"/>
      <c r="E810" s="151">
        <v>405.0</v>
      </c>
      <c r="F810" s="129" t="s">
        <v>140</v>
      </c>
      <c r="G810" s="3" t="s">
        <v>6029</v>
      </c>
      <c r="H810" s="8" t="str">
        <f>IFERROR(__xludf.DUMMYFUNCTION("""COMPUTED_VALUE"""),"")</f>
        <v/>
      </c>
      <c r="I810" s="8" t="s">
        <v>7659</v>
      </c>
      <c r="J810" s="8" t="s">
        <v>345</v>
      </c>
      <c r="K810" s="8" t="s">
        <v>346</v>
      </c>
      <c r="L810" s="8" t="s">
        <v>2375</v>
      </c>
      <c r="M810" s="8" t="s">
        <v>2376</v>
      </c>
      <c r="N810" s="8" t="s">
        <v>6624</v>
      </c>
      <c r="O810" s="8" t="s">
        <v>7660</v>
      </c>
      <c r="P810" s="3" t="s">
        <v>149</v>
      </c>
      <c r="Q810" s="142" t="s">
        <v>6268</v>
      </c>
      <c r="R810" s="3" t="s">
        <v>149</v>
      </c>
      <c r="S810" s="3" t="s">
        <v>149</v>
      </c>
      <c r="T810" s="8"/>
      <c r="U810" s="8">
        <f>IFERROR(__xludf.DUMMYFUNCTION("""COMPUTED_VALUE"""),782.0)</f>
        <v>782</v>
      </c>
      <c r="V810" s="8"/>
      <c r="W810" s="3"/>
      <c r="X810" s="8"/>
      <c r="Y810" s="8"/>
      <c r="AA810" s="3" t="s">
        <v>149</v>
      </c>
      <c r="AB810" s="8" t="s">
        <v>2379</v>
      </c>
      <c r="AC810" s="8" t="s">
        <v>2380</v>
      </c>
      <c r="AG810" s="3" t="s">
        <v>149</v>
      </c>
      <c r="AH810" s="3" t="s">
        <v>149</v>
      </c>
      <c r="AI810" s="3" t="s">
        <v>149</v>
      </c>
      <c r="AJ810" s="8" t="s">
        <v>2380</v>
      </c>
      <c r="AL810" s="3" t="s">
        <v>149</v>
      </c>
      <c r="AM810" s="8" t="s">
        <v>2382</v>
      </c>
      <c r="AN810" s="3" t="s">
        <v>149</v>
      </c>
      <c r="AO810" s="8"/>
      <c r="AP810" s="8"/>
      <c r="AR810" s="8" t="s">
        <v>166</v>
      </c>
      <c r="AS810" s="8" t="s">
        <v>7661</v>
      </c>
      <c r="AT810" s="3" t="s">
        <v>149</v>
      </c>
      <c r="AU810" s="3" t="s">
        <v>149</v>
      </c>
    </row>
    <row r="811">
      <c r="A811" s="186">
        <v>423.0</v>
      </c>
      <c r="B811" s="152">
        <v>2025.0</v>
      </c>
      <c r="C811" s="153" t="str">
        <f>CONCATENATE(D811, "-", M811, "-", A811)
</f>
        <v>2023-PH166725000-423</v>
      </c>
      <c r="D811" s="152">
        <f>IF(OR(F810="Published", F810="Unpublished"), 2023, IF(F810="New", 2025, ""))
</f>
        <v>2023</v>
      </c>
      <c r="E811" s="151">
        <v>405.0</v>
      </c>
      <c r="F811" s="129" t="s">
        <v>140</v>
      </c>
      <c r="G811" s="156" t="s">
        <v>141</v>
      </c>
      <c r="H811" s="153" t="str">
        <f>IFERROR(__xludf.DUMMYFUNCTION("""COMPUTED_VALUE"""),"**Restoration_project** changed from Artificial Coral Reef and Coral Transportation Project to Unknown, **Restoration_project_short** changed from Unknown to Site near Hinatuan Beach, Brgy Talavera, **Year of establishment** changed from 2015 to 2015, **P"&amp;"roject Start** changed from Unknown to 2015, **Technique/Material Type** changed from Unknown to Concrete cubic w/ depression holes, **Total units** changed from Unknown to 150 fragments, **Reference** changed from News/Press Release to Ocampo, K. A. (201"&amp;"7, October 15). Tourist site near an open mining pit. Philippine Daily Inquirer. https://newsinfo.inquirer.net/937981/philippine-tourism-hinatuan-beach-surigao-del-sur-tourist-spot-nickel-asia-corp-michael-arlan-hinatuan-mining-corp-denr-scremp, **Website"&amp;"** changed from https://newsinfo.inquirer.net/937981/philippine-tourism-hinatuan-beach-surigao-del-sur-tourist-spot-nickel-asia-corp-michael-arlan-hinatuan-mining-corp-denr-scremp to https://newsinfo.inquirer.net/937981/philippine-tourism-hinatuan-beach-s"&amp;"urigao-del-sur-tourist-spot-nickel-asia-corp-michael-arlan-hinatuan-mining-corp-denr-scremp; https://nickelasia.com/subsidiaries/hinatuan-mining-corporation")</f>
        <v>**Restoration_project** changed from Artificial Coral Reef and Coral Transportation Project to Unknown, **Restoration_project_short** changed from Unknown to Site near Hinatuan Beach, Brgy Talavera, **Year of establishment** changed from 2015 to 2015, **Project Start** changed from Unknown to 2015, **Technique/Material Type** changed from Unknown to Concrete cubic w/ depression holes, **Total units** changed from Unknown to 150 fragments, **Reference** changed from News/Press Release to Ocampo, K. A. (2017, October 15). Tourist site near an open mining pit. Philippine Daily Inquirer. https://newsinfo.inquirer.net/937981/philippine-tourism-hinatuan-beach-surigao-del-sur-tourist-spot-nickel-asia-corp-michael-arlan-hinatuan-mining-corp-denr-scremp, **Website** changed from https://newsinfo.inquirer.net/937981/philippine-tourism-hinatuan-beach-surigao-del-sur-tourist-spot-nickel-asia-corp-michael-arlan-hinatuan-mining-corp-denr-scremp to https://newsinfo.inquirer.net/937981/philippine-tourism-hinatuan-beach-surigao-del-sur-tourist-spot-nickel-asia-corp-michael-arlan-hinatuan-mining-corp-denr-scremp; https://nickelasia.com/subsidiaries/hinatuan-mining-corporation</v>
      </c>
      <c r="I811" s="153" t="s">
        <v>7662</v>
      </c>
      <c r="J811" s="153" t="s">
        <v>345</v>
      </c>
      <c r="K811" s="153" t="s">
        <v>346</v>
      </c>
      <c r="L811" s="153" t="s">
        <v>2375</v>
      </c>
      <c r="M811" s="181" t="s">
        <v>2376</v>
      </c>
      <c r="N811" s="158" t="s">
        <v>6624</v>
      </c>
      <c r="O811" s="158" t="s">
        <v>149</v>
      </c>
      <c r="P811" s="158" t="s">
        <v>2377</v>
      </c>
      <c r="Q811" s="178">
        <v>2015.0</v>
      </c>
      <c r="R811" s="160" t="s">
        <v>6268</v>
      </c>
      <c r="S811" s="160" t="s">
        <v>149</v>
      </c>
      <c r="T811" s="156" t="s">
        <v>263</v>
      </c>
      <c r="U811" s="153">
        <f>IFERROR(__xludf.DUMMYFUNCTION("""COMPUTED_VALUE"""),783.0)</f>
        <v>783</v>
      </c>
      <c r="V811" s="191" t="s">
        <v>6625</v>
      </c>
      <c r="W811" s="184" t="s">
        <v>6032</v>
      </c>
      <c r="X811" s="28" t="s">
        <v>6173</v>
      </c>
      <c r="Y811" s="180" t="s">
        <v>2467</v>
      </c>
      <c r="Z811" s="158" t="s">
        <v>2378</v>
      </c>
      <c r="AA811" s="158" t="s">
        <v>2378</v>
      </c>
      <c r="AB811" s="153" t="s">
        <v>2379</v>
      </c>
      <c r="AC811" s="153" t="s">
        <v>2380</v>
      </c>
      <c r="AD811" s="158" t="s">
        <v>160</v>
      </c>
      <c r="AE811" s="158" t="s">
        <v>184</v>
      </c>
      <c r="AF811" s="158" t="s">
        <v>159</v>
      </c>
      <c r="AG811" s="164" t="s">
        <v>149</v>
      </c>
      <c r="AH811" s="158" t="s">
        <v>149</v>
      </c>
      <c r="AI811" s="158" t="s">
        <v>7663</v>
      </c>
      <c r="AJ811" s="153" t="s">
        <v>2380</v>
      </c>
      <c r="AK811" s="158" t="s">
        <v>184</v>
      </c>
      <c r="AL811" s="3" t="s">
        <v>149</v>
      </c>
      <c r="AM811" s="153" t="s">
        <v>2382</v>
      </c>
      <c r="AN811" s="3" t="s">
        <v>149</v>
      </c>
      <c r="AO811" s="156">
        <v>2.0</v>
      </c>
      <c r="AP811" s="156" t="s">
        <v>6628</v>
      </c>
      <c r="AQ811" s="158" t="s">
        <v>166</v>
      </c>
      <c r="AR811" s="153" t="s">
        <v>2383</v>
      </c>
      <c r="AS811" s="165" t="s">
        <v>2384</v>
      </c>
      <c r="AT811" s="3" t="s">
        <v>149</v>
      </c>
      <c r="AU811" s="3" t="s">
        <v>149</v>
      </c>
    </row>
    <row r="812">
      <c r="A812" s="186">
        <v>424.0</v>
      </c>
      <c r="B812" s="152">
        <v>2023.0</v>
      </c>
      <c r="D812" s="152"/>
      <c r="E812" s="151">
        <v>406.0</v>
      </c>
      <c r="F812" s="129" t="s">
        <v>140</v>
      </c>
      <c r="G812" s="3" t="s">
        <v>6029</v>
      </c>
      <c r="H812" s="8" t="str">
        <f>IFERROR(__xludf.DUMMYFUNCTION("""COMPUTED_VALUE"""),"")</f>
        <v/>
      </c>
      <c r="I812" s="8" t="s">
        <v>7664</v>
      </c>
      <c r="J812" s="8" t="s">
        <v>345</v>
      </c>
      <c r="K812" s="8" t="s">
        <v>3204</v>
      </c>
      <c r="L812" s="8" t="s">
        <v>3205</v>
      </c>
      <c r="M812" s="8" t="s">
        <v>3206</v>
      </c>
      <c r="N812" s="8" t="s">
        <v>151</v>
      </c>
      <c r="O812" s="3" t="s">
        <v>149</v>
      </c>
      <c r="P812" s="3" t="s">
        <v>7665</v>
      </c>
      <c r="Q812" s="3" t="s">
        <v>149</v>
      </c>
      <c r="R812" s="3" t="s">
        <v>149</v>
      </c>
      <c r="S812" s="3" t="s">
        <v>149</v>
      </c>
      <c r="T812" s="8"/>
      <c r="U812" s="8">
        <f>IFERROR(__xludf.DUMMYFUNCTION("""COMPUTED_VALUE"""),784.0)</f>
        <v>784</v>
      </c>
      <c r="V812" s="8"/>
      <c r="W812" s="3"/>
      <c r="X812" s="8"/>
      <c r="Y812" s="8"/>
      <c r="AA812" s="3" t="s">
        <v>149</v>
      </c>
      <c r="AB812" s="3" t="s">
        <v>149</v>
      </c>
      <c r="AC812" s="3" t="s">
        <v>149</v>
      </c>
      <c r="AG812" s="3" t="s">
        <v>149</v>
      </c>
      <c r="AH812" s="3" t="s">
        <v>149</v>
      </c>
      <c r="AI812" s="3" t="s">
        <v>149</v>
      </c>
      <c r="AJ812" s="8" t="s">
        <v>3207</v>
      </c>
      <c r="AL812" s="3" t="s">
        <v>149</v>
      </c>
      <c r="AM812" s="3" t="s">
        <v>149</v>
      </c>
      <c r="AN812" s="3" t="s">
        <v>149</v>
      </c>
      <c r="AO812" s="8"/>
      <c r="AP812" s="8"/>
      <c r="AR812" s="8" t="s">
        <v>7666</v>
      </c>
      <c r="AS812" s="172" t="s">
        <v>3209</v>
      </c>
      <c r="AT812" s="3" t="s">
        <v>149</v>
      </c>
      <c r="AU812" s="3" t="s">
        <v>149</v>
      </c>
    </row>
    <row r="813">
      <c r="A813" s="186">
        <v>425.0</v>
      </c>
      <c r="B813" s="152">
        <v>2025.0</v>
      </c>
      <c r="C813" s="153" t="str">
        <f>CONCATENATE(D813, "-", M813, "-", A813)
</f>
        <v>2023-PH166808000-425</v>
      </c>
      <c r="D813" s="152">
        <f>IF(OR(F812="Published", F812="Unpublished"), 2023, IF(F812="New", 2025, ""))
</f>
        <v>2023</v>
      </c>
      <c r="E813" s="151">
        <v>406.0</v>
      </c>
      <c r="F813" s="129" t="s">
        <v>140</v>
      </c>
      <c r="G813" s="156" t="s">
        <v>141</v>
      </c>
      <c r="H813" s="153" t="str">
        <f>IFERROR(__xludf.DUMMYFUNCTION("""COMPUTED_VALUE"""),"**Restoration_project_short** changed from Mentioned in 6th Gawad Bayani ng Bayan, Center for Environmental Concerns; One of the activities of winner, NAMATI to Mentioned in 6th Gawad Bayani ng Bayan, Center for Environmental Concerns; One of the activiti"&amp;"es of organization, NAMATI, **Reference** changed from Program to Fronda, J., De Leon, K., Grafil, M., &amp; Villarias, K. (2020). 6th Gawad Bayani ng Kalikasan Parangal sa mga Magiting na Pakikibaka para sa Kalikasan at Karapatan. Center for Environmental Co"&amp;"ncerns - Philippines. https://www.cecphils.org/wp-content/uploads/gbk2020-souvenir-program.pdf")</f>
        <v>**Restoration_project_short** changed from Mentioned in 6th Gawad Bayani ng Bayan, Center for Environmental Concerns; One of the activities of winner, NAMATI to Mentioned in 6th Gawad Bayani ng Bayan, Center for Environmental Concerns; One of the activities of organization, NAMATI, **Reference** changed from Program to Fronda, J., De Leon, K., Grafil, M., &amp; Villarias, K. (2020). 6th Gawad Bayani ng Kalikasan Parangal sa mga Magiting na Pakikibaka para sa Kalikasan at Karapatan. Center for Environmental Concerns - Philippines. https://www.cecphils.org/wp-content/uploads/gbk2020-souvenir-program.pdf</v>
      </c>
      <c r="I813" s="153" t="s">
        <v>7667</v>
      </c>
      <c r="J813" s="153" t="s">
        <v>345</v>
      </c>
      <c r="K813" s="153" t="s">
        <v>3204</v>
      </c>
      <c r="L813" s="153" t="s">
        <v>3205</v>
      </c>
      <c r="M813" s="181" t="s">
        <v>3206</v>
      </c>
      <c r="N813" s="153" t="s">
        <v>151</v>
      </c>
      <c r="O813" s="158" t="s">
        <v>149</v>
      </c>
      <c r="P813" s="153" t="s">
        <v>7668</v>
      </c>
      <c r="Q813" s="178" t="s">
        <v>149</v>
      </c>
      <c r="R813" s="3" t="s">
        <v>149</v>
      </c>
      <c r="S813" s="3" t="s">
        <v>149</v>
      </c>
      <c r="T813" s="161" t="s">
        <v>150</v>
      </c>
      <c r="U813" s="153">
        <f>IFERROR(__xludf.DUMMYFUNCTION("""COMPUTED_VALUE"""),785.0)</f>
        <v>785</v>
      </c>
      <c r="V813" s="162" t="s">
        <v>3311</v>
      </c>
      <c r="W813" s="187" t="s">
        <v>149</v>
      </c>
      <c r="X813" s="184"/>
      <c r="Y813" s="184" t="s">
        <v>149</v>
      </c>
      <c r="Z813" s="158" t="s">
        <v>149</v>
      </c>
      <c r="AA813" s="158" t="s">
        <v>149</v>
      </c>
      <c r="AB813" s="158" t="s">
        <v>149</v>
      </c>
      <c r="AC813" s="158" t="s">
        <v>149</v>
      </c>
      <c r="AD813" s="158" t="s">
        <v>149</v>
      </c>
      <c r="AE813" s="158" t="s">
        <v>149</v>
      </c>
      <c r="AF813" s="158" t="s">
        <v>149</v>
      </c>
      <c r="AG813" s="164" t="s">
        <v>149</v>
      </c>
      <c r="AH813" s="158" t="s">
        <v>149</v>
      </c>
      <c r="AI813" s="158" t="s">
        <v>149</v>
      </c>
      <c r="AJ813" s="153" t="s">
        <v>3207</v>
      </c>
      <c r="AK813" s="158" t="s">
        <v>662</v>
      </c>
      <c r="AL813" s="3" t="s">
        <v>149</v>
      </c>
      <c r="AM813" s="3" t="s">
        <v>149</v>
      </c>
      <c r="AN813" s="3" t="s">
        <v>149</v>
      </c>
      <c r="AO813" s="156">
        <v>1.0</v>
      </c>
      <c r="AP813" s="156" t="s">
        <v>6037</v>
      </c>
      <c r="AQ813" s="158" t="s">
        <v>7666</v>
      </c>
      <c r="AR813" s="153" t="s">
        <v>3208</v>
      </c>
      <c r="AS813" s="172" t="s">
        <v>3209</v>
      </c>
      <c r="AT813" s="3" t="s">
        <v>149</v>
      </c>
      <c r="AU813" s="3" t="s">
        <v>149</v>
      </c>
    </row>
    <row r="814">
      <c r="A814" s="186">
        <v>426.0</v>
      </c>
      <c r="B814" s="152">
        <v>2023.0</v>
      </c>
      <c r="D814" s="152"/>
      <c r="E814" s="151">
        <v>407.0</v>
      </c>
      <c r="F814" s="129" t="s">
        <v>140</v>
      </c>
      <c r="G814" s="3" t="s">
        <v>6029</v>
      </c>
      <c r="H814" s="8" t="str">
        <f>IFERROR(__xludf.DUMMYFUNCTION("""COMPUTED_VALUE"""),"")</f>
        <v/>
      </c>
      <c r="I814" s="8" t="s">
        <v>7669</v>
      </c>
      <c r="J814" s="8" t="s">
        <v>345</v>
      </c>
      <c r="K814" s="8" t="s">
        <v>1910</v>
      </c>
      <c r="L814" s="8" t="s">
        <v>1911</v>
      </c>
      <c r="M814" s="8" t="s">
        <v>1912</v>
      </c>
      <c r="N814" s="8" t="s">
        <v>151</v>
      </c>
      <c r="O814" s="3" t="s">
        <v>149</v>
      </c>
      <c r="P814" s="8" t="s">
        <v>7670</v>
      </c>
      <c r="Q814" s="142" t="s">
        <v>6273</v>
      </c>
      <c r="R814" s="3" t="s">
        <v>149</v>
      </c>
      <c r="S814" s="3" t="s">
        <v>149</v>
      </c>
      <c r="T814" s="8"/>
      <c r="U814" s="8">
        <f>IFERROR(__xludf.DUMMYFUNCTION("""COMPUTED_VALUE"""),786.0)</f>
        <v>786</v>
      </c>
      <c r="V814" s="8"/>
      <c r="W814" s="3"/>
      <c r="X814" s="8"/>
      <c r="Y814" s="8"/>
      <c r="AA814" s="3" t="s">
        <v>149</v>
      </c>
      <c r="AB814" s="3" t="s">
        <v>149</v>
      </c>
      <c r="AC814" s="8" t="s">
        <v>1916</v>
      </c>
      <c r="AG814" s="3" t="s">
        <v>149</v>
      </c>
      <c r="AH814" s="3" t="s">
        <v>149</v>
      </c>
      <c r="AI814" s="3" t="s">
        <v>149</v>
      </c>
      <c r="AJ814" s="8" t="s">
        <v>1916</v>
      </c>
      <c r="AL814" s="3" t="s">
        <v>149</v>
      </c>
      <c r="AM814" s="3" t="s">
        <v>149</v>
      </c>
      <c r="AN814" s="3" t="s">
        <v>149</v>
      </c>
      <c r="AO814" s="8"/>
      <c r="AP814" s="8"/>
      <c r="AR814" s="3" t="s">
        <v>149</v>
      </c>
      <c r="AS814" s="3" t="s">
        <v>149</v>
      </c>
      <c r="AT814" s="3" t="s">
        <v>149</v>
      </c>
      <c r="AU814" s="3" t="s">
        <v>149</v>
      </c>
    </row>
    <row r="815">
      <c r="A815" s="186">
        <v>427.0</v>
      </c>
      <c r="B815" s="152">
        <v>2025.0</v>
      </c>
      <c r="C815" s="153" t="str">
        <f t="shared" ref="C815:C816" si="95">CONCATENATE(D815, "-", M815, "-", A815)
</f>
        <v>2023-PH168502000-427</v>
      </c>
      <c r="D815" s="152">
        <f t="shared" ref="D815:D816" si="96">IF(OR(F814="Published", F814="Unpublished"), 2023, IF(F814="New", 2025, ""))
</f>
        <v>2023</v>
      </c>
      <c r="E815" s="151">
        <v>407.0</v>
      </c>
      <c r="F815" s="156" t="s">
        <v>140</v>
      </c>
      <c r="G815" s="156" t="s">
        <v>141</v>
      </c>
      <c r="H815" s="153" t="str">
        <f>IFERROR(__xludf.DUMMYFUNCTION("""COMPUTED_VALUE"""),"**Restoration_project** changed from Unknown to Reef Restoration Project, **Restoration_project_short** changed from Activity conducted as part of World Ocean Day celebrations to Unknown, **Year of establishment** changed from 2019 to Unknown, **Technique"&amp;"/Material Type** changed from Unknown to Concrete, **Restoration objective** changed from Unknown to Environmental protection and enhancement, **Funding agency** changed from Cagdianao Mining Corporation to Cagdianao Mining Corporation; Nickel Asia Corp, "&amp;"**Partners_private** changed from Unknown to Nickel Asia Corporation, **Reference** changed from Unknown to Pascua, L. (n.d.). Pangangalaga sa karagatan, pinaigting pa ng CMC, HMC. Nickel Asia Corp. https://nickelasia.com/bulletin/pangangalaga-sa-karagata"&amp;"n-pinaigting-pa-ng-cmc-hmc, **Website** changed from Unknown to https://nickelasia.com/bulletin/pangangalaga-sa-karagatan-pinaigting-pa-ng-cmc-hmc")</f>
        <v>**Restoration_project** changed from Unknown to Reef Restoration Project, **Restoration_project_short** changed from Activity conducted as part of World Ocean Day celebrations to Unknown, **Year of establishment** changed from 2019 to Unknown, **Technique/Material Type** changed from Unknown to Concrete, **Restoration objective** changed from Unknown to Environmental protection and enhancement, **Funding agency** changed from Cagdianao Mining Corporation to Cagdianao Mining Corporation; Nickel Asia Corp, **Partners_private** changed from Unknown to Nickel Asia Corporation, **Reference** changed from Unknown to Pascua, L. (n.d.). Pangangalaga sa karagatan, pinaigting pa ng CMC, HMC. Nickel Asia Corp. https://nickelasia.com/bulletin/pangangalaga-sa-karagatan-pinaigting-pa-ng-cmc-hmc, **Website** changed from Unknown to https://nickelasia.com/bulletin/pangangalaga-sa-karagatan-pinaigting-pa-ng-cmc-hmc</v>
      </c>
      <c r="I815" s="153" t="s">
        <v>7671</v>
      </c>
      <c r="J815" s="153" t="s">
        <v>345</v>
      </c>
      <c r="K815" s="153" t="s">
        <v>1910</v>
      </c>
      <c r="L815" s="153" t="s">
        <v>1911</v>
      </c>
      <c r="M815" s="181" t="s">
        <v>1912</v>
      </c>
      <c r="N815" s="153" t="s">
        <v>151</v>
      </c>
      <c r="O815" s="153" t="s">
        <v>1913</v>
      </c>
      <c r="P815" s="3" t="s">
        <v>149</v>
      </c>
      <c r="Q815" s="169" t="s">
        <v>149</v>
      </c>
      <c r="R815" s="3" t="s">
        <v>149</v>
      </c>
      <c r="S815" s="3" t="s">
        <v>149</v>
      </c>
      <c r="T815" s="161" t="s">
        <v>150</v>
      </c>
      <c r="U815" s="153">
        <f>IFERROR(__xludf.DUMMYFUNCTION("""COMPUTED_VALUE"""),787.0)</f>
        <v>787</v>
      </c>
      <c r="V815" s="162" t="s">
        <v>3311</v>
      </c>
      <c r="W815" s="184" t="s">
        <v>6032</v>
      </c>
      <c r="X815" s="28" t="s">
        <v>6173</v>
      </c>
      <c r="Y815" s="32" t="s">
        <v>6474</v>
      </c>
      <c r="Z815" s="158" t="s">
        <v>152</v>
      </c>
      <c r="AA815" s="158" t="s">
        <v>152</v>
      </c>
      <c r="AB815" s="158" t="s">
        <v>1914</v>
      </c>
      <c r="AC815" s="153" t="s">
        <v>1915</v>
      </c>
      <c r="AD815" s="158" t="s">
        <v>160</v>
      </c>
      <c r="AE815" s="158" t="s">
        <v>184</v>
      </c>
      <c r="AF815" s="158" t="s">
        <v>159</v>
      </c>
      <c r="AG815" s="164" t="s">
        <v>149</v>
      </c>
      <c r="AH815" s="158" t="s">
        <v>149</v>
      </c>
      <c r="AI815" s="158" t="s">
        <v>149</v>
      </c>
      <c r="AJ815" s="153" t="s">
        <v>1916</v>
      </c>
      <c r="AK815" s="153" t="s">
        <v>184</v>
      </c>
      <c r="AL815" s="3" t="s">
        <v>149</v>
      </c>
      <c r="AM815" s="158" t="s">
        <v>1917</v>
      </c>
      <c r="AN815" s="3" t="s">
        <v>149</v>
      </c>
      <c r="AO815" s="156">
        <v>1.0</v>
      </c>
      <c r="AP815" s="156" t="s">
        <v>6037</v>
      </c>
      <c r="AQ815" s="158" t="s">
        <v>6027</v>
      </c>
      <c r="AR815" s="153" t="s">
        <v>1918</v>
      </c>
      <c r="AS815" s="172" t="s">
        <v>1919</v>
      </c>
      <c r="AT815" s="3" t="s">
        <v>149</v>
      </c>
      <c r="AU815" s="3" t="s">
        <v>149</v>
      </c>
    </row>
    <row r="816">
      <c r="A816" s="186">
        <v>428.0</v>
      </c>
      <c r="B816" s="152">
        <v>2025.0</v>
      </c>
      <c r="C816" s="153" t="str">
        <f t="shared" si="95"/>
        <v>2023-PH133913000-428</v>
      </c>
      <c r="D816" s="152">
        <f t="shared" si="96"/>
        <v>2023</v>
      </c>
      <c r="E816" s="151">
        <v>408.0</v>
      </c>
      <c r="F816" s="156" t="s">
        <v>140</v>
      </c>
      <c r="G816" s="156" t="s">
        <v>141</v>
      </c>
      <c r="H816" s="153" t="str">
        <f>IFERROR(__xludf.DUMMYFUNCTION("""COMPUTED_VALUE"""),"**Region** changed from XIII to NCR, **Restoration_project** changed from Reef Restoration Project to Artificial Reef Development Program, **Restoration_project_short** changed from Unknown to San Nicolas Shoal (Port Area), **Year of establishment** chang"&amp;"ed from Unknown to 1985, **Project Start** changed from Unknown to 1985, **Project End** changed from Unknown to 1987, **Technique/Material Type** changed from Concrete to tires, **Restoration objective** changed from Environmental protection and enhancem"&amp;"ent to Unknown, **Funding agency** changed from Cagdianao Mining Corporation; Nickel Asia Corp to BFAR, **Total units** changed from Unknown to 15 TM, **Implementing institution** changed from Cagdianao Mining Corporation to BFAR, **Partners_public** chan"&amp;"ged from Unknown to Ministry of Human Settlements, **Partners_private** changed from Nickel Asia Corporation to Unknown, **Reference** changed from Pascua, L. (n.d.). Pangangalaga sa karagatan, pinaigting pa ng CMC, HMC. Nickel Asia Corp. https://nickelas"&amp;"ia.com/bulletin/pangangalaga-sa-karagatan-pinaigting-pa-ng-cmc-hmc to Balgos, M.C. (1995). Evaluation of artificial reef development in the Philippines. In Munro, J.L. &amp; Balgos, M. (eds.) Artificial reefs in the Philippines. ICLARM Conf. Proc. 49, pp. 6-2"&amp;"2., **Website** changed from https://nickelasia.com/bulletin/pangangalaga-sa-karagatan-pinaigting-pa-ng-cmc-hmc to https://core.ac.uk/download/pdf/6515223.pdf, **Contact_name** changed from Unknown to Miriam Balgos")</f>
        <v>**Region** changed from XIII to NCR, **Restoration_project** changed from Reef Restoration Project to Artificial Reef Development Program, **Restoration_project_short** changed from Unknown to San Nicolas Shoal (Port Area), **Year of establishment** changed from Unknown to 1985, **Project Start** changed from Unknown to 1985, **Project End** changed from Unknown to 1987, **Technique/Material Type** changed from Concrete to tires, **Restoration objective** changed from Environmental protection and enhancement to Unknown, **Funding agency** changed from Cagdianao Mining Corporation; Nickel Asia Corp to BFAR, **Total units** changed from Unknown to 15 TM, **Implementing institution** changed from Cagdianao Mining Corporation to BFAR, **Partners_public** changed from Unknown to Ministry of Human Settlements, **Partners_private** changed from Nickel Asia Corporation to Unknown, **Reference** changed from Pascua, L. (n.d.). Pangangalaga sa karagatan, pinaigting pa ng CMC, HMC. Nickel Asia Corp. https://nickelasia.com/bulletin/pangangalaga-sa-karagatan-pinaigting-pa-ng-cmc-hmc to Balgos, M.C. (1995). Evaluation of artificial reef development in the Philippines. In Munro, J.L. &amp; Balgos, M. (eds.) Artificial reefs in the Philippines. ICLARM Conf. Proc. 49, pp. 6-22., **Website** changed from https://nickelasia.com/bulletin/pangangalaga-sa-karagatan-pinaigting-pa-ng-cmc-hmc to https://core.ac.uk/download/pdf/6515223.pdf, **Contact_name** changed from Unknown to Miriam Balgos</v>
      </c>
      <c r="I816" s="153" t="s">
        <v>7672</v>
      </c>
      <c r="J816" s="153" t="s">
        <v>619</v>
      </c>
      <c r="K816" s="153" t="s">
        <v>620</v>
      </c>
      <c r="L816" s="8" t="s">
        <v>7673</v>
      </c>
      <c r="M816" s="181" t="s">
        <v>7674</v>
      </c>
      <c r="N816" s="153" t="s">
        <v>151</v>
      </c>
      <c r="O816" s="153" t="s">
        <v>384</v>
      </c>
      <c r="P816" s="153" t="s">
        <v>7675</v>
      </c>
      <c r="Q816" s="178">
        <v>1985.0</v>
      </c>
      <c r="R816" s="175" t="s">
        <v>6052</v>
      </c>
      <c r="S816" s="175" t="s">
        <v>6053</v>
      </c>
      <c r="T816" s="161" t="s">
        <v>150</v>
      </c>
      <c r="U816" s="153">
        <f>IFERROR(__xludf.DUMMYFUNCTION("""COMPUTED_VALUE"""),788.0)</f>
        <v>788</v>
      </c>
      <c r="V816" s="162" t="s">
        <v>3311</v>
      </c>
      <c r="W816" s="170" t="s">
        <v>6059</v>
      </c>
      <c r="X816" s="28" t="s">
        <v>6033</v>
      </c>
      <c r="Y816" s="28" t="s">
        <v>386</v>
      </c>
      <c r="Z816" s="176" t="s">
        <v>386</v>
      </c>
      <c r="AA816" s="153" t="s">
        <v>6054</v>
      </c>
      <c r="AB816" s="158" t="s">
        <v>149</v>
      </c>
      <c r="AC816" s="153" t="s">
        <v>390</v>
      </c>
      <c r="AD816" s="158" t="s">
        <v>160</v>
      </c>
      <c r="AE816" s="158" t="s">
        <v>6035</v>
      </c>
      <c r="AF816" s="158" t="s">
        <v>159</v>
      </c>
      <c r="AG816" s="164" t="s">
        <v>149</v>
      </c>
      <c r="AH816" s="158" t="s">
        <v>149</v>
      </c>
      <c r="AI816" s="153" t="s">
        <v>2885</v>
      </c>
      <c r="AJ816" s="153" t="s">
        <v>390</v>
      </c>
      <c r="AK816" s="153" t="s">
        <v>6035</v>
      </c>
      <c r="AL816" s="153" t="s">
        <v>6055</v>
      </c>
      <c r="AM816" s="3" t="s">
        <v>149</v>
      </c>
      <c r="AN816" s="3" t="s">
        <v>149</v>
      </c>
      <c r="AO816" s="156">
        <v>1.0</v>
      </c>
      <c r="AP816" s="156" t="s">
        <v>6037</v>
      </c>
      <c r="AQ816" s="158" t="s">
        <v>395</v>
      </c>
      <c r="AR816" s="153" t="s">
        <v>6060</v>
      </c>
      <c r="AS816" s="177" t="s">
        <v>541</v>
      </c>
      <c r="AT816" s="153" t="s">
        <v>398</v>
      </c>
      <c r="AU816" s="3" t="s">
        <v>149</v>
      </c>
    </row>
    <row r="817">
      <c r="A817" s="186">
        <v>429.0</v>
      </c>
      <c r="B817" s="152">
        <v>2023.0</v>
      </c>
      <c r="D817" s="152"/>
      <c r="E817" s="151">
        <v>408.0</v>
      </c>
      <c r="F817" s="129" t="s">
        <v>140</v>
      </c>
      <c r="G817" s="3" t="s">
        <v>6029</v>
      </c>
      <c r="H817" s="8" t="str">
        <f>IFERROR(__xludf.DUMMYFUNCTION("""COMPUTED_VALUE"""),"")</f>
        <v/>
      </c>
      <c r="I817" s="8" t="s">
        <v>7676</v>
      </c>
      <c r="J817" s="8" t="s">
        <v>642</v>
      </c>
      <c r="K817" s="8" t="s">
        <v>1333</v>
      </c>
      <c r="L817" s="8" t="s">
        <v>1334</v>
      </c>
      <c r="M817" s="8" t="s">
        <v>1335</v>
      </c>
      <c r="N817" s="8" t="s">
        <v>151</v>
      </c>
      <c r="O817" s="8" t="s">
        <v>1309</v>
      </c>
      <c r="P817" s="3" t="s">
        <v>149</v>
      </c>
      <c r="Q817" s="142" t="s">
        <v>6906</v>
      </c>
      <c r="R817" s="3" t="s">
        <v>149</v>
      </c>
      <c r="S817" s="3" t="s">
        <v>149</v>
      </c>
      <c r="T817" s="8"/>
      <c r="U817" s="8">
        <f>IFERROR(__xludf.DUMMYFUNCTION("""COMPUTED_VALUE"""),789.0)</f>
        <v>789</v>
      </c>
      <c r="V817" s="8"/>
      <c r="W817" s="3"/>
      <c r="X817" s="8"/>
      <c r="Y817" s="8"/>
      <c r="AA817" s="3" t="s">
        <v>149</v>
      </c>
      <c r="AB817" s="3" t="s">
        <v>149</v>
      </c>
      <c r="AC817" s="8" t="s">
        <v>6907</v>
      </c>
      <c r="AG817" s="3" t="s">
        <v>149</v>
      </c>
      <c r="AH817" s="3" t="s">
        <v>149</v>
      </c>
      <c r="AI817" s="8" t="s">
        <v>1336</v>
      </c>
      <c r="AJ817" s="8" t="s">
        <v>390</v>
      </c>
      <c r="AL817" s="8" t="s">
        <v>369</v>
      </c>
      <c r="AM817" s="3" t="s">
        <v>149</v>
      </c>
      <c r="AN817" s="3" t="s">
        <v>149</v>
      </c>
      <c r="AO817" s="8"/>
      <c r="AP817" s="8"/>
      <c r="AR817" s="8" t="s">
        <v>6084</v>
      </c>
      <c r="AS817" s="8" t="s">
        <v>1331</v>
      </c>
      <c r="AT817" s="3" t="s">
        <v>149</v>
      </c>
      <c r="AU817" s="3" t="s">
        <v>149</v>
      </c>
    </row>
    <row r="818" ht="15.0" customHeight="1">
      <c r="A818" s="186">
        <v>430.0</v>
      </c>
      <c r="B818" s="152">
        <v>2023.0</v>
      </c>
      <c r="D818" s="152"/>
      <c r="E818" s="151">
        <v>409.0</v>
      </c>
      <c r="F818" s="129" t="s">
        <v>140</v>
      </c>
      <c r="G818" s="3" t="s">
        <v>6029</v>
      </c>
      <c r="H818" s="8" t="str">
        <f>IFERROR(__xludf.DUMMYFUNCTION("""COMPUTED_VALUE"""),"")</f>
        <v/>
      </c>
      <c r="I818" s="8" t="s">
        <v>7677</v>
      </c>
      <c r="J818" s="8" t="s">
        <v>642</v>
      </c>
      <c r="K818" s="8" t="s">
        <v>1333</v>
      </c>
      <c r="L818" s="8" t="s">
        <v>1338</v>
      </c>
      <c r="M818" s="8" t="s">
        <v>1339</v>
      </c>
      <c r="N818" s="8" t="s">
        <v>151</v>
      </c>
      <c r="O818" s="8" t="s">
        <v>1309</v>
      </c>
      <c r="P818" s="3" t="s">
        <v>149</v>
      </c>
      <c r="Q818" s="142" t="s">
        <v>6906</v>
      </c>
      <c r="R818" s="3" t="s">
        <v>149</v>
      </c>
      <c r="S818" s="3" t="s">
        <v>149</v>
      </c>
      <c r="T818" s="8"/>
      <c r="U818" s="8">
        <f>IFERROR(__xludf.DUMMYFUNCTION("""COMPUTED_VALUE"""),790.0)</f>
        <v>790</v>
      </c>
      <c r="V818" s="8"/>
      <c r="W818" s="3"/>
      <c r="X818" s="8"/>
      <c r="Y818" s="8"/>
      <c r="AA818" s="3" t="s">
        <v>149</v>
      </c>
      <c r="AB818" s="3" t="s">
        <v>149</v>
      </c>
      <c r="AC818" s="8" t="s">
        <v>6907</v>
      </c>
      <c r="AG818" s="3" t="s">
        <v>149</v>
      </c>
      <c r="AH818" s="3" t="s">
        <v>149</v>
      </c>
      <c r="AI818" s="8" t="s">
        <v>7678</v>
      </c>
      <c r="AJ818" s="8" t="s">
        <v>390</v>
      </c>
      <c r="AL818" s="8" t="s">
        <v>369</v>
      </c>
      <c r="AM818" s="3" t="s">
        <v>149</v>
      </c>
      <c r="AN818" s="3" t="s">
        <v>149</v>
      </c>
      <c r="AO818" s="8"/>
      <c r="AP818" s="8"/>
      <c r="AR818" s="8" t="s">
        <v>6084</v>
      </c>
      <c r="AS818" s="8" t="s">
        <v>1331</v>
      </c>
      <c r="AT818" s="3" t="s">
        <v>149</v>
      </c>
      <c r="AU818" s="3" t="s">
        <v>149</v>
      </c>
    </row>
    <row r="819" ht="13.5" customHeight="1">
      <c r="A819" s="186">
        <v>431.0</v>
      </c>
      <c r="B819" s="152">
        <v>2025.0</v>
      </c>
      <c r="C819" s="153" t="str">
        <f t="shared" ref="C819:C820" si="97">CONCATENATE(D819, "-", M819, "-", A819)
</f>
        <v>2023-PH133913000-431</v>
      </c>
      <c r="D819" s="152">
        <f t="shared" ref="D819:D820" si="98">IF(OR(F818="Published", F818="Unpublished"), 2023, IF(F818="New", 2025, ""))
</f>
        <v>2023</v>
      </c>
      <c r="E819" s="151">
        <v>409.0</v>
      </c>
      <c r="F819" s="156" t="s">
        <v>140</v>
      </c>
      <c r="G819" s="156" t="s">
        <v>141</v>
      </c>
      <c r="H819" s="153" t="str">
        <f>IFERROR(__xludf.DUMMYFUNCTION("""COMPUTED_VALUE"""),"**Region** changed from BARMM to NCR, **Restoration_project** changed from FishCORAL to Artificial Reef Development Program, **Restoration_project_short** changed from Unknown to Site in Manila Bay Fish Sanctuary (Port Area); *Coordinates taken from https"&amp;"://www.bfar.da.gov.ph/wp-content/uploads/2021/04/FAO-No.-151-s.-1985.pdf; fronting Navotas and Tondo area in Manila and Orion in Bataan, **Year of establishment** changed from 2020 to 1985, **Project Start** changed from Unknown to 1985, **Project End** c"&amp;"hanged from Unknown to 1987, **Technique/Material Type** changed from Unknown to tires, **Funding agency** changed from IFAD to BFAR, **Total units** changed from 288 units to 8 TM, **Partners_public** changed from MLGU to Ministry of Human Settlements, *"&amp;"*Reference** changed from Report to Balgos, M.C. (1995). Evaluation of artificial reef development in the Philippines. In Munro, J.L. &amp; Balgos, M. (eds.) Artificial reefs in the Philippines. ICLARM Conf. Proc. 49, pp. 6-22., **Website** changed from https"&amp;"://www.bfar.da.gov.ph/wp-content/uploads/2022/05/FishCORAL-Project-Annual-Report-2020.pdf to https://core.ac.uk/download/pdf/6515223.pdf, **Contact_name** changed from Unknown to Miriam Balgos")</f>
        <v>**Region** changed from BARMM to NCR, **Restoration_project** changed from FishCORAL to Artificial Reef Development Program, **Restoration_project_short** changed from Unknown to Site in Manila Bay Fish Sanctuary (Port Area); *Coordinates taken from https://www.bfar.da.gov.ph/wp-content/uploads/2021/04/FAO-No.-151-s.-1985.pdf; fronting Navotas and Tondo area in Manila and Orion in Bataan, **Year of establishment** changed from 2020 to 1985, **Project Start** changed from Unknown to 1985, **Project End** changed from Unknown to 1987, **Technique/Material Type** changed from Unknown to tires, **Funding agency** changed from IFAD to BFAR, **Total units** changed from 288 units to 8 TM, **Partners_public** changed from MLGU to Ministry of Human Settlements, **Reference** changed from Report to Balgos, M.C. (1995). Evaluation of artificial reef development in the Philippines. In Munro, J.L. &amp; Balgos, M. (eds.) Artificial reefs in the Philippines. ICLARM Conf. Proc. 49, pp. 6-22., **Website** changed from https://www.bfar.da.gov.ph/wp-content/uploads/2022/05/FishCORAL-Project-Annual-Report-2020.pdf to https://core.ac.uk/download/pdf/6515223.pdf, **Contact_name** changed from Unknown to Miriam Balgos</v>
      </c>
      <c r="I819" s="153" t="s">
        <v>7679</v>
      </c>
      <c r="J819" s="153" t="s">
        <v>619</v>
      </c>
      <c r="K819" s="153" t="s">
        <v>620</v>
      </c>
      <c r="L819" s="8" t="s">
        <v>7673</v>
      </c>
      <c r="M819" s="181" t="s">
        <v>7674</v>
      </c>
      <c r="N819" s="153" t="s">
        <v>151</v>
      </c>
      <c r="O819" s="153" t="s">
        <v>384</v>
      </c>
      <c r="P819" s="153" t="s">
        <v>7680</v>
      </c>
      <c r="Q819" s="169">
        <v>1985.0</v>
      </c>
      <c r="R819" s="175" t="s">
        <v>6052</v>
      </c>
      <c r="S819" s="175" t="s">
        <v>6053</v>
      </c>
      <c r="T819" s="161" t="s">
        <v>150</v>
      </c>
      <c r="U819" s="153">
        <f>IFERROR(__xludf.DUMMYFUNCTION("""COMPUTED_VALUE"""),791.0)</f>
        <v>791</v>
      </c>
      <c r="V819" s="162" t="s">
        <v>3311</v>
      </c>
      <c r="W819" s="170" t="s">
        <v>6059</v>
      </c>
      <c r="X819" s="28" t="s">
        <v>6033</v>
      </c>
      <c r="Y819" s="28" t="s">
        <v>386</v>
      </c>
      <c r="Z819" s="176" t="s">
        <v>386</v>
      </c>
      <c r="AA819" s="153" t="s">
        <v>6054</v>
      </c>
      <c r="AB819" s="158" t="s">
        <v>149</v>
      </c>
      <c r="AC819" s="153" t="s">
        <v>390</v>
      </c>
      <c r="AD819" s="158" t="s">
        <v>160</v>
      </c>
      <c r="AE819" s="158" t="s">
        <v>6035</v>
      </c>
      <c r="AF819" s="158" t="s">
        <v>159</v>
      </c>
      <c r="AG819" s="164" t="s">
        <v>149</v>
      </c>
      <c r="AH819" s="158" t="s">
        <v>149</v>
      </c>
      <c r="AI819" s="153" t="s">
        <v>414</v>
      </c>
      <c r="AJ819" s="153" t="s">
        <v>390</v>
      </c>
      <c r="AK819" s="153" t="s">
        <v>6035</v>
      </c>
      <c r="AL819" s="153" t="s">
        <v>6055</v>
      </c>
      <c r="AM819" s="3" t="s">
        <v>149</v>
      </c>
      <c r="AN819" s="3" t="s">
        <v>149</v>
      </c>
      <c r="AO819" s="156">
        <v>1.0</v>
      </c>
      <c r="AP819" s="156" t="s">
        <v>6037</v>
      </c>
      <c r="AQ819" s="158" t="s">
        <v>395</v>
      </c>
      <c r="AR819" s="153" t="s">
        <v>6060</v>
      </c>
      <c r="AS819" s="177" t="s">
        <v>541</v>
      </c>
      <c r="AT819" s="153" t="s">
        <v>398</v>
      </c>
      <c r="AU819" s="3" t="s">
        <v>149</v>
      </c>
    </row>
    <row r="820">
      <c r="A820" s="186">
        <v>432.0</v>
      </c>
      <c r="B820" s="152">
        <v>2025.0</v>
      </c>
      <c r="C820" s="153" t="str">
        <f t="shared" si="97"/>
        <v>2023-PH184501000-432</v>
      </c>
      <c r="D820" s="152">
        <f t="shared" si="98"/>
        <v>2023</v>
      </c>
      <c r="E820" s="151">
        <v>410.0</v>
      </c>
      <c r="F820" s="156" t="s">
        <v>140</v>
      </c>
      <c r="G820" s="156" t="s">
        <v>141</v>
      </c>
      <c r="H820" s="153" t="str">
        <f>IFERROR(__xludf.DUMMYFUNCTION("""COMPUTED_VALUE"""),"**Region** changed from NCR to NIR, **Restoration_project_short** changed from Site in Manila Bay Fish Sanctuary (Port Area); *Coordinates taken from https://www.bfar.da.gov.ph/wp-content/uploads/2021/04/FAO-No.-151-s.-1985.pdf; fronting Navotas and Tondo"&amp;" area in Manila and Orion in Bataan to Site in Banago, **Year of establishment** changed from 1985 to 1986, **Total units** changed from 8 TM to 10 TM")</f>
        <v>**Region** changed from NCR to NIR, **Restoration_project_short** changed from Site in Manila Bay Fish Sanctuary (Port Area); *Coordinates taken from https://www.bfar.da.gov.ph/wp-content/uploads/2021/04/FAO-No.-151-s.-1985.pdf; fronting Navotas and Tondo area in Manila and Orion in Bataan to Site in Banago, **Year of establishment** changed from 1985 to 1986, **Total units** changed from 8 TM to 10 TM</v>
      </c>
      <c r="I820" s="153" t="s">
        <v>7681</v>
      </c>
      <c r="J820" s="153" t="s">
        <v>625</v>
      </c>
      <c r="K820" s="153" t="s">
        <v>626</v>
      </c>
      <c r="L820" s="153" t="s">
        <v>627</v>
      </c>
      <c r="M820" s="181" t="s">
        <v>7059</v>
      </c>
      <c r="N820" s="153" t="s">
        <v>151</v>
      </c>
      <c r="O820" s="153" t="s">
        <v>384</v>
      </c>
      <c r="P820" s="153" t="s">
        <v>629</v>
      </c>
      <c r="Q820" s="178">
        <v>1986.0</v>
      </c>
      <c r="R820" s="175" t="s">
        <v>6052</v>
      </c>
      <c r="S820" s="175" t="s">
        <v>6053</v>
      </c>
      <c r="T820" s="161" t="s">
        <v>150</v>
      </c>
      <c r="U820" s="153">
        <f>IFERROR(__xludf.DUMMYFUNCTION("""COMPUTED_VALUE"""),792.0)</f>
        <v>792</v>
      </c>
      <c r="V820" s="162" t="s">
        <v>3311</v>
      </c>
      <c r="W820" s="170" t="s">
        <v>6059</v>
      </c>
      <c r="X820" s="28" t="s">
        <v>6033</v>
      </c>
      <c r="Y820" s="28" t="s">
        <v>386</v>
      </c>
      <c r="Z820" s="176" t="s">
        <v>386</v>
      </c>
      <c r="AA820" s="153" t="s">
        <v>6054</v>
      </c>
      <c r="AB820" s="158" t="s">
        <v>149</v>
      </c>
      <c r="AC820" s="153" t="s">
        <v>390</v>
      </c>
      <c r="AD820" s="158" t="s">
        <v>160</v>
      </c>
      <c r="AE820" s="158" t="s">
        <v>6035</v>
      </c>
      <c r="AF820" s="158" t="s">
        <v>159</v>
      </c>
      <c r="AG820" s="164" t="s">
        <v>149</v>
      </c>
      <c r="AH820" s="158" t="s">
        <v>149</v>
      </c>
      <c r="AI820" s="153" t="s">
        <v>391</v>
      </c>
      <c r="AJ820" s="153" t="s">
        <v>390</v>
      </c>
      <c r="AK820" s="153" t="s">
        <v>6035</v>
      </c>
      <c r="AL820" s="153" t="s">
        <v>6055</v>
      </c>
      <c r="AM820" s="154" t="s">
        <v>149</v>
      </c>
      <c r="AN820" s="154" t="s">
        <v>149</v>
      </c>
      <c r="AO820" s="156">
        <v>1.0</v>
      </c>
      <c r="AP820" s="156" t="s">
        <v>6037</v>
      </c>
      <c r="AQ820" s="158" t="s">
        <v>395</v>
      </c>
      <c r="AR820" s="153" t="s">
        <v>6060</v>
      </c>
      <c r="AS820" s="177" t="s">
        <v>541</v>
      </c>
      <c r="AT820" s="153" t="s">
        <v>398</v>
      </c>
      <c r="AU820" s="154" t="s">
        <v>149</v>
      </c>
    </row>
    <row r="821">
      <c r="A821" s="186">
        <v>433.0</v>
      </c>
      <c r="B821" s="152">
        <v>2023.0</v>
      </c>
      <c r="D821" s="152"/>
      <c r="E821" s="151">
        <v>410.0</v>
      </c>
      <c r="F821" s="129" t="s">
        <v>140</v>
      </c>
      <c r="G821" s="3" t="s">
        <v>6029</v>
      </c>
      <c r="H821" s="8" t="str">
        <f>IFERROR(__xludf.DUMMYFUNCTION("""COMPUTED_VALUE"""),"")</f>
        <v/>
      </c>
      <c r="I821" s="8" t="s">
        <v>7682</v>
      </c>
      <c r="J821" s="8" t="s">
        <v>642</v>
      </c>
      <c r="K821" s="8" t="s">
        <v>1333</v>
      </c>
      <c r="L821" s="8" t="s">
        <v>1347</v>
      </c>
      <c r="M821" s="8" t="s">
        <v>1348</v>
      </c>
      <c r="N821" s="8" t="s">
        <v>151</v>
      </c>
      <c r="O821" s="8" t="s">
        <v>1309</v>
      </c>
      <c r="P821" s="3" t="s">
        <v>149</v>
      </c>
      <c r="Q821" s="142" t="s">
        <v>6906</v>
      </c>
      <c r="R821" s="3" t="s">
        <v>149</v>
      </c>
      <c r="S821" s="3" t="s">
        <v>149</v>
      </c>
      <c r="T821" s="8"/>
      <c r="U821" s="8">
        <f>IFERROR(__xludf.DUMMYFUNCTION("""COMPUTED_VALUE"""),793.0)</f>
        <v>793</v>
      </c>
      <c r="V821" s="8"/>
      <c r="W821" s="3"/>
      <c r="X821" s="8"/>
      <c r="Y821" s="8"/>
      <c r="AA821" s="3" t="s">
        <v>149</v>
      </c>
      <c r="AB821" s="3" t="s">
        <v>149</v>
      </c>
      <c r="AC821" s="8" t="s">
        <v>6907</v>
      </c>
      <c r="AG821" s="3" t="s">
        <v>149</v>
      </c>
      <c r="AH821" s="3" t="s">
        <v>149</v>
      </c>
      <c r="AI821" s="8" t="s">
        <v>1350</v>
      </c>
      <c r="AJ821" s="8" t="s">
        <v>390</v>
      </c>
      <c r="AL821" s="8" t="s">
        <v>369</v>
      </c>
      <c r="AM821" s="3" t="s">
        <v>149</v>
      </c>
      <c r="AN821" s="3" t="s">
        <v>149</v>
      </c>
      <c r="AO821" s="8"/>
      <c r="AP821" s="8"/>
      <c r="AR821" s="8" t="s">
        <v>6084</v>
      </c>
      <c r="AS821" s="8" t="s">
        <v>1331</v>
      </c>
      <c r="AT821" s="3" t="s">
        <v>149</v>
      </c>
      <c r="AU821" s="3" t="s">
        <v>149</v>
      </c>
    </row>
    <row r="822">
      <c r="A822" s="186">
        <v>434.0</v>
      </c>
      <c r="B822" s="152">
        <v>2025.0</v>
      </c>
      <c r="C822" s="153" t="str">
        <f>CONCATENATE(D822, "-", M822, "-", A822)
</f>
        <v>2023-PH184507000-434</v>
      </c>
      <c r="D822" s="152">
        <f>IF(OR(F821="Published", F821="Unpublished"), 2023, IF(F821="New", 2025, ""))
</f>
        <v>2023</v>
      </c>
      <c r="E822" s="151">
        <v>411.0</v>
      </c>
      <c r="F822" s="156" t="s">
        <v>191</v>
      </c>
      <c r="G822" s="156" t="s">
        <v>191</v>
      </c>
      <c r="H822" s="153" t="str">
        <f>IFERROR(__xludf.DUMMYFUNCTION("""COMPUTED_VALUE"""),"**Region** changed from BARMM to NIR, **Restoration_project** changed from FishCORAL to Unknown, **Restoration_project_short** changed from Unknown to Site in Danjugan Island, **Year of establishment** changed from 2020 to 1998, **Project Start** changed "&amp;"from Unknown to 1998, **Project End** changed from Unknown to 1998, **Technique/Material Type** changed from Unknown to Rubber, concrete and crushed coral rubble plates, **Restoration objective** changed from Unknown to Research; coral settlement, **Fundi"&amp;"ng agency** changed from IFAD to Unknown, **Total units** changed from 80 units to Unknown, **Implementing institution** changed from BFAR to Michelle Reyes &amp; Helen T. Yap, **Partners_public** changed from MLGU to Unknown, **Partners_private** changed fro"&amp;"m Unknown to Philippine Reef and Rainforest Conservation Foundation, Inc. (PRRCFI), **Reference** changed from Report to Reyes, M., &amp; Yap, H. T. (2001). Effect of Artificial Substratum Material and Resident Adults on Coral Settlement Patterns at Danjugan "&amp;"Island, Philippines. Bulletin of Marine Science, 69(2), 559-566. https://www.ingentaconnect.com/content/umrsmas/bullmar/2001/00000069/00000002/art00028?crawler=true, **Website** changed from https://www.bfar.da.gov.ph/wp-content/uploads/2022/05/FishCORAL-"&amp;"Project-Annual-Report-2020.pdf to https://www.ingentaconnect.com/content/umrsmas/bullmar/2001/00000069/00000002/art00028?crawler=true")</f>
        <v>**Region** changed from BARMM to NIR, **Restoration_project** changed from FishCORAL to Unknown, **Restoration_project_short** changed from Unknown to Site in Danjugan Island, **Year of establishment** changed from 2020 to 1998, **Project Start** changed from Unknown to 1998, **Project End** changed from Unknown to 1998, **Technique/Material Type** changed from Unknown to Rubber, concrete and crushed coral rubble plates, **Restoration objective** changed from Unknown to Research; coral settlement, **Funding agency** changed from IFAD to Unknown, **Total units** changed from 80 units to Unknown, **Implementing institution** changed from BFAR to Michelle Reyes &amp; Helen T. Yap, **Partners_public** changed from MLGU to Unknown, **Partners_private** changed from Unknown to Philippine Reef and Rainforest Conservation Foundation, Inc. (PRRCFI), **Reference** changed from Report to Reyes, M., &amp; Yap, H. T. (2001). Effect of Artificial Substratum Material and Resident Adults on Coral Settlement Patterns at Danjugan Island, Philippines. Bulletin of Marine Science, 69(2), 559-566. https://www.ingentaconnect.com/content/umrsmas/bullmar/2001/00000069/00000002/art00028?crawler=true, **Website** changed from https://www.bfar.da.gov.ph/wp-content/uploads/2022/05/FishCORAL-Project-Annual-Report-2020.pdf to https://www.ingentaconnect.com/content/umrsmas/bullmar/2001/00000069/00000002/art00028?crawler=true</v>
      </c>
      <c r="I822" s="153" t="s">
        <v>7683</v>
      </c>
      <c r="J822" s="153" t="s">
        <v>625</v>
      </c>
      <c r="K822" s="153" t="s">
        <v>626</v>
      </c>
      <c r="L822" s="153" t="s">
        <v>983</v>
      </c>
      <c r="M822" s="181" t="s">
        <v>7063</v>
      </c>
      <c r="N822" s="153" t="s">
        <v>151</v>
      </c>
      <c r="O822" s="158" t="s">
        <v>149</v>
      </c>
      <c r="P822" s="153" t="s">
        <v>2887</v>
      </c>
      <c r="Q822" s="169">
        <v>1998.0</v>
      </c>
      <c r="R822" s="175" t="s">
        <v>6356</v>
      </c>
      <c r="S822" s="175" t="s">
        <v>6356</v>
      </c>
      <c r="T822" s="161" t="s">
        <v>150</v>
      </c>
      <c r="U822" s="153">
        <f>IFERROR(__xludf.DUMMYFUNCTION("""COMPUTED_VALUE"""),794.0)</f>
        <v>794</v>
      </c>
      <c r="V822" s="162" t="s">
        <v>3311</v>
      </c>
      <c r="W822" s="179" t="s">
        <v>7624</v>
      </c>
      <c r="X822" s="28" t="s">
        <v>6082</v>
      </c>
      <c r="Y822" s="32" t="s">
        <v>7684</v>
      </c>
      <c r="Z822" s="158" t="s">
        <v>2889</v>
      </c>
      <c r="AA822" s="153" t="s">
        <v>2889</v>
      </c>
      <c r="AB822" s="153" t="s">
        <v>2890</v>
      </c>
      <c r="AC822" s="158" t="s">
        <v>149</v>
      </c>
      <c r="AD822" s="158" t="s">
        <v>149</v>
      </c>
      <c r="AE822" s="158" t="s">
        <v>149</v>
      </c>
      <c r="AF822" s="158" t="s">
        <v>149</v>
      </c>
      <c r="AG822" s="164" t="s">
        <v>149</v>
      </c>
      <c r="AH822" s="158" t="s">
        <v>149</v>
      </c>
      <c r="AI822" s="158" t="s">
        <v>149</v>
      </c>
      <c r="AJ822" s="158" t="s">
        <v>7685</v>
      </c>
      <c r="AK822" s="153" t="s">
        <v>6068</v>
      </c>
      <c r="AL822" s="156" t="s">
        <v>149</v>
      </c>
      <c r="AM822" s="153" t="s">
        <v>7686</v>
      </c>
      <c r="AN822" s="156" t="s">
        <v>149</v>
      </c>
      <c r="AO822" s="156">
        <v>1.0</v>
      </c>
      <c r="AP822" s="156" t="s">
        <v>6037</v>
      </c>
      <c r="AQ822" s="158" t="s">
        <v>6214</v>
      </c>
      <c r="AR822" s="153" t="s">
        <v>2893</v>
      </c>
      <c r="AS822" s="165" t="s">
        <v>2894</v>
      </c>
      <c r="AT822" s="156" t="s">
        <v>149</v>
      </c>
      <c r="AU822" s="156" t="s">
        <v>149</v>
      </c>
    </row>
    <row r="823">
      <c r="A823" s="186">
        <v>435.0</v>
      </c>
      <c r="B823" s="152">
        <v>2023.0</v>
      </c>
      <c r="D823" s="152"/>
      <c r="E823" s="151">
        <v>411.0</v>
      </c>
      <c r="F823" s="129" t="s">
        <v>140</v>
      </c>
      <c r="G823" s="3" t="s">
        <v>6029</v>
      </c>
      <c r="H823" s="8" t="str">
        <f>IFERROR(__xludf.DUMMYFUNCTION("""COMPUTED_VALUE"""),"")</f>
        <v/>
      </c>
      <c r="I823" s="8" t="s">
        <v>7687</v>
      </c>
      <c r="J823" s="8" t="s">
        <v>642</v>
      </c>
      <c r="K823" s="8" t="s">
        <v>2528</v>
      </c>
      <c r="L823" s="8" t="s">
        <v>2529</v>
      </c>
      <c r="M823" s="8" t="s">
        <v>2530</v>
      </c>
      <c r="N823" s="8" t="s">
        <v>6062</v>
      </c>
      <c r="O823" s="8" t="s">
        <v>1309</v>
      </c>
      <c r="P823" s="3" t="s">
        <v>149</v>
      </c>
      <c r="Q823" s="142" t="s">
        <v>6273</v>
      </c>
      <c r="R823" s="3" t="s">
        <v>149</v>
      </c>
      <c r="S823" s="3" t="s">
        <v>149</v>
      </c>
      <c r="T823" s="8"/>
      <c r="U823" s="8">
        <f>IFERROR(__xludf.DUMMYFUNCTION("""COMPUTED_VALUE"""),795.0)</f>
        <v>795</v>
      </c>
      <c r="V823" s="8"/>
      <c r="W823" s="8"/>
      <c r="X823" s="8"/>
      <c r="Y823" s="8"/>
      <c r="AA823" s="8" t="s">
        <v>320</v>
      </c>
      <c r="AB823" s="3" t="s">
        <v>149</v>
      </c>
      <c r="AC823" s="8" t="s">
        <v>6907</v>
      </c>
      <c r="AG823" s="3" t="s">
        <v>149</v>
      </c>
      <c r="AH823" s="3" t="s">
        <v>149</v>
      </c>
      <c r="AI823" s="3" t="s">
        <v>149</v>
      </c>
      <c r="AJ823" s="8" t="s">
        <v>390</v>
      </c>
      <c r="AL823" s="8" t="s">
        <v>1314</v>
      </c>
      <c r="AM823" s="3" t="s">
        <v>149</v>
      </c>
      <c r="AN823" s="3" t="s">
        <v>149</v>
      </c>
      <c r="AO823" s="8"/>
      <c r="AP823" s="8"/>
      <c r="AR823" s="8" t="s">
        <v>166</v>
      </c>
      <c r="AS823" s="8" t="s">
        <v>7688</v>
      </c>
      <c r="AT823" s="3" t="s">
        <v>149</v>
      </c>
      <c r="AU823" s="3" t="s">
        <v>149</v>
      </c>
    </row>
    <row r="824">
      <c r="A824" s="186">
        <v>436.0</v>
      </c>
      <c r="B824" s="152">
        <v>2025.0</v>
      </c>
      <c r="C824" s="153" t="str">
        <f>CONCATENATE(D824, "-", M824, "-", A824)
</f>
        <v>2023-PH184507000-436</v>
      </c>
      <c r="D824" s="152">
        <f>IF(OR(F823="Published", F823="Unpublished"), 2023, IF(F823="New", 2025, ""))
</f>
        <v>2023</v>
      </c>
      <c r="E824" s="151">
        <v>412.0</v>
      </c>
      <c r="F824" s="156" t="s">
        <v>140</v>
      </c>
      <c r="G824" s="156" t="s">
        <v>141</v>
      </c>
      <c r="H824" s="153" t="str">
        <f>IFERROR(__xludf.DUMMYFUNCTION("""COMPUTED_VALUE"""),"**Region** changed from BARMM to NIR, **Restoration_project** changed from FishCORAL to Coral Reef Habitat and Productivity Enhancement through Coral Transplantation and Giant Clam Restocking, **Year of establishment** changed from 2019 to 2001, **Project"&amp;" Start** changed from Unknown to 2001, **Project End** changed from Unknown to 2005, **Technique/Material Type** changed from CNU to Direct transplantation, **Restoration objective** changed from Unknown to Improve biodiversity and productivity of stresse"&amp;"d coral reef habitats in 10 selected demonstration sites, **Funding agency** changed from IFAD to Pew Marine Conservation Fellowship, **Implementing institution** changed from BFAR to UP MSI, **Partners_public** changed from Ministry of Agriculture, Fishe"&amp;"ries and Agrarian Reform to Unknown, **Reference** changed from News/Press Release to Gomez, E., Cabaitan, P., &amp; Vicentuan, K. (2006). Coral culture and transplantation and restocking of giant clams in the Philippines. In J.H. Primavera, E.T. Quinitio, &amp; "&amp;"M. R. R. Eguia (Eds.). Proceedings of the Regional Technical Consultation on Stock Enhancement for Threatened Species of International Concern, Iloilo City, Philippines, 13-15 July 2005 (pp. 39-48). Tigbaua, Iloilo, Philippines: Aquaculture Department, So"&amp;"utheast Asian Fisheries Development Center. Retrieved from https://aquadocs.org/bitstream/handle/1834/40478/GomezED2006.pdf?sequence=1&amp;isAllowed=y, **Website** changed from https://mafar.bangsamoro.gov.ph/monitoring-of-deployed-coral-nursery-units-cnu-of-"&amp;"fishcoral-mafar-in-maguindanao/ to https://aquadocs.org/bitstream/handle/1834/40478/GomezED2006.pdf?sequence=1&amp;isAllowed=y, **Contact_name** changed from Unknown to Dr. Patrick Cabaitan")</f>
        <v>**Region** changed from BARMM to NIR, **Restoration_project** changed from FishCORAL to Coral Reef Habitat and Productivity Enhancement through Coral Transplantation and Giant Clam Restocking, **Year of establishment** changed from 2019 to 2001, **Project Start** changed from Unknown to 2001, **Project End** changed from Unknown to 2005, **Technique/Material Type** changed from CNU to Direct transplantation, **Restoration objective** changed from Unknown to Improve biodiversity and productivity of stressed coral reef habitats in 10 selected demonstration sites, **Funding agency** changed from IFAD to Pew Marine Conservation Fellowship, **Implementing institution** changed from BFAR to UP MSI, **Partners_public** changed from Ministry of Agriculture, Fisheries and Agrarian Reform to Unknown, **Reference** changed from News/Press Release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https://mafar.bangsamoro.gov.ph/monitoring-of-deployed-coral-nursery-units-cnu-of-fishcoral-mafar-in-maguindanao/ to https://aquadocs.org/bitstream/handle/1834/40478/GomezED2006.pdf?sequence=1&amp;isAllowed=y, **Contact_name** changed from Unknown to Dr. Patrick Cabaitan</v>
      </c>
      <c r="I824" s="153" t="s">
        <v>7689</v>
      </c>
      <c r="J824" s="153" t="s">
        <v>625</v>
      </c>
      <c r="K824" s="153" t="s">
        <v>626</v>
      </c>
      <c r="L824" s="153" t="s">
        <v>983</v>
      </c>
      <c r="M824" s="181" t="s">
        <v>7063</v>
      </c>
      <c r="N824" s="153" t="s">
        <v>6062</v>
      </c>
      <c r="O824" s="153" t="s">
        <v>934</v>
      </c>
      <c r="P824" s="156" t="s">
        <v>149</v>
      </c>
      <c r="Q824" s="169">
        <v>2001.0</v>
      </c>
      <c r="R824" s="175" t="s">
        <v>6229</v>
      </c>
      <c r="S824" s="175" t="s">
        <v>6230</v>
      </c>
      <c r="T824" s="156" t="s">
        <v>177</v>
      </c>
      <c r="U824" s="153">
        <f>IFERROR(__xludf.DUMMYFUNCTION("""COMPUTED_VALUE"""),796.0)</f>
        <v>796</v>
      </c>
      <c r="V824" s="191" t="s">
        <v>3245</v>
      </c>
      <c r="W824" s="179" t="s">
        <v>149</v>
      </c>
      <c r="X824" s="180"/>
      <c r="Y824" s="180" t="s">
        <v>154</v>
      </c>
      <c r="Z824" s="153" t="s">
        <v>179</v>
      </c>
      <c r="AA824" s="153" t="s">
        <v>3245</v>
      </c>
      <c r="AB824" s="153" t="s">
        <v>939</v>
      </c>
      <c r="AC824" s="153" t="s">
        <v>940</v>
      </c>
      <c r="AD824" s="158" t="s">
        <v>6154</v>
      </c>
      <c r="AE824" s="158" t="s">
        <v>206</v>
      </c>
      <c r="AF824" s="158" t="s">
        <v>204</v>
      </c>
      <c r="AG824" s="164" t="s">
        <v>149</v>
      </c>
      <c r="AH824" s="158" t="s">
        <v>149</v>
      </c>
      <c r="AI824" s="158" t="s">
        <v>149</v>
      </c>
      <c r="AJ824" s="153" t="s">
        <v>233</v>
      </c>
      <c r="AK824" s="158" t="s">
        <v>6068</v>
      </c>
      <c r="AL824" s="3" t="s">
        <v>149</v>
      </c>
      <c r="AM824" s="3" t="s">
        <v>149</v>
      </c>
      <c r="AN824" s="3" t="s">
        <v>149</v>
      </c>
      <c r="AO824" s="156">
        <v>1.0</v>
      </c>
      <c r="AP824" s="156" t="s">
        <v>6037</v>
      </c>
      <c r="AQ824" s="158" t="s">
        <v>6214</v>
      </c>
      <c r="AR824" s="153" t="s">
        <v>941</v>
      </c>
      <c r="AS824" s="153" t="s">
        <v>942</v>
      </c>
      <c r="AT824" s="153" t="s">
        <v>943</v>
      </c>
      <c r="AU824" s="3" t="s">
        <v>149</v>
      </c>
    </row>
    <row r="825">
      <c r="A825" s="186">
        <v>437.0</v>
      </c>
      <c r="B825" s="152">
        <v>2023.0</v>
      </c>
      <c r="D825" s="152"/>
      <c r="E825" s="151">
        <v>412.0</v>
      </c>
      <c r="F825" s="129" t="s">
        <v>140</v>
      </c>
      <c r="G825" s="3" t="s">
        <v>3279</v>
      </c>
      <c r="H825" s="8" t="str">
        <f>IFERROR(__xludf.DUMMYFUNCTION("""COMPUTED_VALUE"""),"")</f>
        <v/>
      </c>
      <c r="I825" s="8" t="s">
        <v>7690</v>
      </c>
      <c r="J825" s="8" t="s">
        <v>642</v>
      </c>
      <c r="K825" s="8" t="s">
        <v>643</v>
      </c>
      <c r="L825" s="8" t="s">
        <v>7691</v>
      </c>
      <c r="M825" s="8" t="s">
        <v>1308</v>
      </c>
      <c r="N825" s="8" t="s">
        <v>6062</v>
      </c>
      <c r="O825" s="8" t="s">
        <v>1309</v>
      </c>
      <c r="Q825" s="142" t="s">
        <v>6030</v>
      </c>
      <c r="R825" s="142"/>
      <c r="S825" s="142"/>
      <c r="U825" s="8">
        <f>IFERROR(__xludf.DUMMYFUNCTION("""COMPUTED_VALUE"""),797.0)</f>
        <v>797</v>
      </c>
      <c r="V825" s="8"/>
      <c r="W825" s="8"/>
      <c r="AA825" s="8" t="s">
        <v>320</v>
      </c>
      <c r="AC825" s="8" t="s">
        <v>6907</v>
      </c>
      <c r="AG825" s="142"/>
      <c r="AJ825" s="8" t="s">
        <v>390</v>
      </c>
      <c r="AL825" s="8" t="s">
        <v>1314</v>
      </c>
      <c r="AO825" s="8"/>
      <c r="AP825" s="8"/>
      <c r="AR825" s="8" t="s">
        <v>166</v>
      </c>
      <c r="AS825" s="172" t="s">
        <v>7688</v>
      </c>
    </row>
    <row r="826">
      <c r="A826" s="186">
        <v>438.0</v>
      </c>
      <c r="B826" s="152">
        <v>2025.0</v>
      </c>
      <c r="C826" s="153" t="str">
        <f>CONCATENATE(D826, "-", M826, "-", A826)
</f>
        <v>2023-PH101805000-438</v>
      </c>
      <c r="D826" s="152">
        <f>IF(OR(F825="Published", F825="Unpublished"), 2023, IF(F825="New", 2025, ""))
</f>
        <v>2023</v>
      </c>
      <c r="E826" s="151">
        <v>413.0</v>
      </c>
      <c r="F826" s="156" t="s">
        <v>140</v>
      </c>
      <c r="G826" s="156" t="s">
        <v>141</v>
      </c>
      <c r="H826" s="153" t="str">
        <f>IFERROR(__xludf.DUMMYFUNCTION("""COMPUTED_VALUE"""),"**Region** changed from BARMM to NIR, **Restoration_project** changed from FishCORAL to National Coral Reef Management Conservation Program, **Restoration_project_short** changed from to Unknown, **Year of establishment** changed from 2021 to Unknown, **P"&amp;"roject Start** changed from to 1990, **Project End** changed from to 1992, **Restoration method** changed from Asexual Reproduction to Artificial Reef, **Technique/Material Type** changed from CNU to tires, concrete, **Restoration objective** changed from"&amp;" to Fishing and rehabilitation, **Funding agency** changed from IFAD to PCAMRRD, **Total funding** changed from to Unknown, **Total area of restoration** changed from to Unknown, **Total units** changed from to Unknown, **Implementing institution** change"&amp;"d from BFAR to PCAMRRD, **Partners_public** changed from Ministry of Agriculture, Fisheries and Agrarian Reform to Unknown, **Partners_private** changed from to Unknown, **Partners_communities** changed from to Unknown, **Reference** changed from News/Pre"&amp;"ss Release to Balgos, M.C. (1995). Evaluation of artificial reef development in the Philippines. In Munro, J.L. &amp; Balgos, M. (eds.) Artificial reefs in the Philippines. ICLARM Conf. Proc. 49, pp. 6-22., **Website** changed from https://mafar.bangsamoro.go"&amp;"v.ph/monitoring-of-deployed-coral-nursery-units-cnu-of-fishcoral-mafar-in-maguindanao/ to https://core.ac.uk/download/pdf/6515223.pdf, **Contact_name** changed from to Miriam Balgos, **Contact_details** changed from to Unknown")</f>
        <v>**Region** changed from BARMM to NIR, **Restoration_project** changed from FishCORAL to National Coral Reef Management Conservation Program, **Restoration_project_short** changed from to Unknown, **Year of establishment** changed from 2021 to Unknown, **Project Start** changed from to 1990, **Project End** changed from to 1992, **Restoration method** changed from Asexual Reproduction to Artificial Reef, **Technique/Material Type** changed from CNU to tires, concrete, **Restoration objective** changed from to Fishing and rehabilitation, **Funding agency** changed from IFAD to PCAMRRD, **Total funding** changed from to Unknown, **Total area of restoration** changed from to Unknown, **Total units** changed from to Unknown, **Implementing institution** changed from BFAR to PCAMRRD, **Partners_public** changed from Ministry of Agriculture, Fisheries and Agrarian Reform to Unknown, **Partners_private** changed from to Unknown, **Partners_communities** changed from to Unknown, **Reference** changed from News/Press Release to Balgos, M.C. (1995). Evaluation of artificial reef development in the Philippines. In Munro, J.L. &amp; Balgos, M. (eds.) Artificial reefs in the Philippines. ICLARM Conf. Proc. 49, pp. 6-22., **Website** changed from https://mafar.bangsamoro.gov.ph/monitoring-of-deployed-coral-nursery-units-cnu-of-fishcoral-mafar-in-maguindanao/ to https://core.ac.uk/download/pdf/6515223.pdf, **Contact_name** changed from to Miriam Balgos, **Contact_details** changed from to Unknown</v>
      </c>
      <c r="I826" s="153" t="s">
        <v>7692</v>
      </c>
      <c r="J826" s="153" t="s">
        <v>625</v>
      </c>
      <c r="K826" s="153" t="s">
        <v>626</v>
      </c>
      <c r="L826" s="153" t="s">
        <v>5445</v>
      </c>
      <c r="M826" s="181" t="s">
        <v>5446</v>
      </c>
      <c r="N826" s="153" t="s">
        <v>151</v>
      </c>
      <c r="O826" s="153" t="s">
        <v>1659</v>
      </c>
      <c r="P826" s="156" t="s">
        <v>149</v>
      </c>
      <c r="Q826" s="178" t="s">
        <v>149</v>
      </c>
      <c r="R826" s="175" t="s">
        <v>6198</v>
      </c>
      <c r="S826" s="175" t="s">
        <v>6896</v>
      </c>
      <c r="T826" s="161" t="s">
        <v>150</v>
      </c>
      <c r="U826" s="153">
        <f>IFERROR(__xludf.DUMMYFUNCTION("""COMPUTED_VALUE"""),798.0)</f>
        <v>798</v>
      </c>
      <c r="V826" s="162" t="s">
        <v>3311</v>
      </c>
      <c r="W826" s="179" t="s">
        <v>6172</v>
      </c>
      <c r="X826" s="28" t="s">
        <v>6082</v>
      </c>
      <c r="Y826" s="32" t="s">
        <v>7477</v>
      </c>
      <c r="Z826" s="158" t="s">
        <v>7067</v>
      </c>
      <c r="AA826" s="153" t="s">
        <v>7067</v>
      </c>
      <c r="AB826" s="153" t="s">
        <v>1380</v>
      </c>
      <c r="AC826" s="153" t="s">
        <v>1673</v>
      </c>
      <c r="AD826" s="158" t="s">
        <v>160</v>
      </c>
      <c r="AE826" s="158" t="s">
        <v>6035</v>
      </c>
      <c r="AF826" s="158" t="s">
        <v>159</v>
      </c>
      <c r="AG826" s="164" t="s">
        <v>149</v>
      </c>
      <c r="AH826" s="158" t="s">
        <v>149</v>
      </c>
      <c r="AI826" s="158" t="s">
        <v>149</v>
      </c>
      <c r="AJ826" s="153" t="s">
        <v>1673</v>
      </c>
      <c r="AK826" s="153" t="s">
        <v>6035</v>
      </c>
      <c r="AL826" s="3" t="s">
        <v>149</v>
      </c>
      <c r="AM826" s="3" t="s">
        <v>149</v>
      </c>
      <c r="AN826" s="3" t="s">
        <v>149</v>
      </c>
      <c r="AO826" s="156">
        <v>1.0</v>
      </c>
      <c r="AP826" s="156" t="s">
        <v>6037</v>
      </c>
      <c r="AQ826" s="158" t="s">
        <v>395</v>
      </c>
      <c r="AR826" s="153" t="s">
        <v>6060</v>
      </c>
      <c r="AS826" s="177" t="s">
        <v>541</v>
      </c>
      <c r="AT826" s="153" t="s">
        <v>398</v>
      </c>
      <c r="AU826" s="3" t="s">
        <v>149</v>
      </c>
    </row>
    <row r="827">
      <c r="A827" s="186">
        <v>439.0</v>
      </c>
      <c r="B827" s="152">
        <v>2023.0</v>
      </c>
      <c r="D827" s="152"/>
      <c r="E827" s="151">
        <v>413.0</v>
      </c>
      <c r="F827" s="129" t="s">
        <v>140</v>
      </c>
      <c r="G827" s="3" t="s">
        <v>6029</v>
      </c>
      <c r="H827" s="8" t="str">
        <f>IFERROR(__xludf.DUMMYFUNCTION("""COMPUTED_VALUE"""),"")</f>
        <v/>
      </c>
      <c r="I827" s="8" t="s">
        <v>7693</v>
      </c>
      <c r="J827" s="8" t="s">
        <v>642</v>
      </c>
      <c r="K827" s="8" t="s">
        <v>643</v>
      </c>
      <c r="L827" s="8" t="s">
        <v>644</v>
      </c>
      <c r="M827" s="153" t="s">
        <v>645</v>
      </c>
      <c r="N827" s="8" t="s">
        <v>151</v>
      </c>
      <c r="O827" s="8" t="s">
        <v>384</v>
      </c>
      <c r="P827" s="8" t="s">
        <v>646</v>
      </c>
      <c r="Q827" s="142" t="s">
        <v>6051</v>
      </c>
      <c r="R827" s="142" t="s">
        <v>6052</v>
      </c>
      <c r="S827" s="142" t="s">
        <v>6053</v>
      </c>
      <c r="T827" s="8"/>
      <c r="U827" s="8">
        <f>IFERROR(__xludf.DUMMYFUNCTION("""COMPUTED_VALUE"""),799.0)</f>
        <v>799</v>
      </c>
      <c r="V827" s="8"/>
      <c r="W827" s="8"/>
      <c r="X827" s="8"/>
      <c r="Y827" s="8"/>
      <c r="AA827" s="8" t="s">
        <v>6054</v>
      </c>
      <c r="AB827" s="3" t="s">
        <v>149</v>
      </c>
      <c r="AC827" s="8" t="s">
        <v>390</v>
      </c>
      <c r="AG827" s="3" t="s">
        <v>149</v>
      </c>
      <c r="AH827" s="3" t="s">
        <v>149</v>
      </c>
      <c r="AI827" s="3" t="s">
        <v>149</v>
      </c>
      <c r="AJ827" s="8" t="s">
        <v>390</v>
      </c>
      <c r="AL827" s="8" t="s">
        <v>6055</v>
      </c>
      <c r="AM827" s="3" t="s">
        <v>149</v>
      </c>
      <c r="AN827" s="3" t="s">
        <v>149</v>
      </c>
      <c r="AO827" s="8"/>
      <c r="AP827" s="8"/>
      <c r="AR827" s="8" t="s">
        <v>6057</v>
      </c>
      <c r="AS827" s="8" t="s">
        <v>2873</v>
      </c>
      <c r="AT827" s="8" t="s">
        <v>398</v>
      </c>
      <c r="AU827" s="3" t="s">
        <v>149</v>
      </c>
    </row>
    <row r="828">
      <c r="A828" s="186">
        <v>440.0</v>
      </c>
      <c r="B828" s="152">
        <v>2025.0</v>
      </c>
      <c r="C828" s="153" t="str">
        <f>CONCATENATE(D828, "-", M828, "-", A828)
</f>
        <v>2023-PH184601000-440</v>
      </c>
      <c r="D828" s="152">
        <f>IF(OR(F827="Published", F827="Unpublished"), 2023, IF(F827="New", 2025, ""))
</f>
        <v>2023</v>
      </c>
      <c r="E828" s="151">
        <v>414.0</v>
      </c>
      <c r="F828" s="129" t="s">
        <v>140</v>
      </c>
      <c r="G828" s="156" t="s">
        <v>141</v>
      </c>
      <c r="H828" s="153" t="str">
        <f>IFERROR(__xludf.DUMMYFUNCTION("""COMPUTED_VALUE"""),"**Region** changed from BARMM to NIR, **Restoration_project** changed from Artificial Reef Development Program to Unknown, **Restoration_project_short** changed from Site in Sugod Bay to Site in Jugno, **Year of establishment** changed from 1986 to Unknow"&amp;"n, **Project Start** changed from 1985 to Unknown, **Project End** changed from 1987 to Unknown, **Technique/Material Type** changed from tires to tires; concrete base, **Funding agency** changed from BFAR to Unknown, **Total area of restoration** changed"&amp;" from Unknown to 280 m2, **Implementing institution** changed from BFAR to Unknown, **Partners_public** changed from Ministry of Human Settlements to Unknown, **Reference** changed from Conference Proceediing to Balgos, M.C. (1995). Evaluation of artifici"&amp;"al reef development in the Philippines. In Munro, J.L. &amp; Balgos, M. (eds.) Artificial reefs in the Philippines. ICLARM Conf. Proc. 49, pp. 6-22., **Website** changed from http://pubs.iclarm.net/libinfo/Pdf/Pub%20CP6%2049.pdf to https://core.ac.uk/download"&amp;"/pdf/6515223.pdf")</f>
        <v>**Region** changed from BARMM to NIR, **Restoration_project** changed from Artificial Reef Development Program to Unknown, **Restoration_project_short** changed from Site in Sugod Bay to Site in Jugno, **Year of establishment** changed from 1986 to Unknown, **Project Start** changed from 1985 to Unknown, **Project End** changed from 1987 to Unknown, **Technique/Material Type** changed from tires to tires; concrete base, **Funding agency** changed from BFAR to Unknown, **Total area of restoration** changed from Unknown to 280 m2, **Implementing institution** changed from BFAR to Unknown, **Partners_public** changed from Ministry of Human Settlements to Unknown, **Reference** changed from Conference Proceediing to Balgos, M.C. (1995). Evaluation of artificial reef development in the Philippines. In Munro, J.L. &amp; Balgos, M. (eds.) Artificial reefs in the Philippines. ICLARM Conf. Proc. 49, pp. 6-22., **Website** changed from http://pubs.iclarm.net/libinfo/Pdf/Pub%20CP6%2049.pdf to https://core.ac.uk/download/pdf/6515223.pdf</v>
      </c>
      <c r="I828" s="153" t="s">
        <v>7694</v>
      </c>
      <c r="J828" s="153" t="s">
        <v>625</v>
      </c>
      <c r="K828" s="153" t="s">
        <v>632</v>
      </c>
      <c r="L828" s="153" t="s">
        <v>2678</v>
      </c>
      <c r="M828" s="181" t="s">
        <v>7155</v>
      </c>
      <c r="N828" s="153" t="s">
        <v>151</v>
      </c>
      <c r="O828" s="158" t="s">
        <v>149</v>
      </c>
      <c r="P828" s="158" t="s">
        <v>2680</v>
      </c>
      <c r="Q828" s="178" t="s">
        <v>149</v>
      </c>
      <c r="R828" s="160" t="s">
        <v>149</v>
      </c>
      <c r="S828" s="160" t="s">
        <v>149</v>
      </c>
      <c r="T828" s="161" t="s">
        <v>150</v>
      </c>
      <c r="U828" s="153">
        <f>IFERROR(__xludf.DUMMYFUNCTION("""COMPUTED_VALUE"""),800.0)</f>
        <v>800</v>
      </c>
      <c r="V828" s="162" t="s">
        <v>3311</v>
      </c>
      <c r="W828" s="184" t="s">
        <v>6172</v>
      </c>
      <c r="X828" s="28" t="s">
        <v>6082</v>
      </c>
      <c r="Y828" s="32" t="s">
        <v>7477</v>
      </c>
      <c r="Z828" s="158" t="s">
        <v>7695</v>
      </c>
      <c r="AA828" s="158" t="s">
        <v>7695</v>
      </c>
      <c r="AB828" s="158" t="s">
        <v>149</v>
      </c>
      <c r="AC828" s="158" t="s">
        <v>149</v>
      </c>
      <c r="AD828" s="158" t="s">
        <v>149</v>
      </c>
      <c r="AE828" s="158" t="s">
        <v>149</v>
      </c>
      <c r="AF828" s="158" t="s">
        <v>149</v>
      </c>
      <c r="AG828" s="164" t="s">
        <v>149</v>
      </c>
      <c r="AH828" s="158" t="s">
        <v>7696</v>
      </c>
      <c r="AI828" s="158" t="s">
        <v>149</v>
      </c>
      <c r="AJ828" s="158" t="s">
        <v>149</v>
      </c>
      <c r="AK828" s="158" t="s">
        <v>149</v>
      </c>
      <c r="AL828" s="155" t="s">
        <v>149</v>
      </c>
      <c r="AM828" s="155" t="s">
        <v>149</v>
      </c>
      <c r="AN828" s="155" t="s">
        <v>149</v>
      </c>
      <c r="AO828" s="156">
        <v>1.0</v>
      </c>
      <c r="AP828" s="156" t="s">
        <v>6037</v>
      </c>
      <c r="AQ828" s="158" t="s">
        <v>395</v>
      </c>
      <c r="AR828" s="153" t="s">
        <v>6060</v>
      </c>
      <c r="AS828" s="177" t="s">
        <v>541</v>
      </c>
      <c r="AT828" s="153" t="s">
        <v>398</v>
      </c>
      <c r="AU828" s="155" t="s">
        <v>149</v>
      </c>
    </row>
    <row r="829">
      <c r="A829" s="186">
        <v>441.0</v>
      </c>
      <c r="B829" s="152">
        <v>2023.0</v>
      </c>
      <c r="D829" s="152"/>
      <c r="E829" s="151">
        <v>414.0</v>
      </c>
      <c r="F829" s="129" t="s">
        <v>140</v>
      </c>
      <c r="G829" s="3" t="s">
        <v>6029</v>
      </c>
      <c r="H829" s="8" t="str">
        <f>IFERROR(__xludf.DUMMYFUNCTION("""COMPUTED_VALUE"""),"")</f>
        <v/>
      </c>
      <c r="I829" s="8" t="s">
        <v>7697</v>
      </c>
      <c r="J829" s="8" t="s">
        <v>642</v>
      </c>
      <c r="K829" s="8" t="s">
        <v>643</v>
      </c>
      <c r="L829" s="8" t="s">
        <v>644</v>
      </c>
      <c r="M829" s="8" t="s">
        <v>645</v>
      </c>
      <c r="N829" s="8" t="s">
        <v>151</v>
      </c>
      <c r="O829" s="8" t="s">
        <v>1309</v>
      </c>
      <c r="P829" s="3" t="s">
        <v>149</v>
      </c>
      <c r="Q829" s="142" t="s">
        <v>6906</v>
      </c>
      <c r="R829" s="3" t="s">
        <v>149</v>
      </c>
      <c r="S829" s="3" t="s">
        <v>149</v>
      </c>
      <c r="T829" s="8"/>
      <c r="U829" s="8">
        <f>IFERROR(__xludf.DUMMYFUNCTION("""COMPUTED_VALUE"""),801.0)</f>
        <v>801</v>
      </c>
      <c r="V829" s="8"/>
      <c r="W829" s="3"/>
      <c r="X829" s="8"/>
      <c r="Y829" s="8"/>
      <c r="AA829" s="3" t="s">
        <v>149</v>
      </c>
      <c r="AB829" s="3" t="s">
        <v>149</v>
      </c>
      <c r="AC829" s="8" t="s">
        <v>6907</v>
      </c>
      <c r="AG829" s="3" t="s">
        <v>149</v>
      </c>
      <c r="AH829" s="3" t="s">
        <v>149</v>
      </c>
      <c r="AI829" s="8" t="s">
        <v>1353</v>
      </c>
      <c r="AJ829" s="8" t="s">
        <v>390</v>
      </c>
      <c r="AL829" s="3" t="s">
        <v>149</v>
      </c>
      <c r="AM829" s="3" t="s">
        <v>149</v>
      </c>
      <c r="AN829" s="3" t="s">
        <v>149</v>
      </c>
      <c r="AO829" s="8"/>
      <c r="AP829" s="8"/>
      <c r="AR829" s="8" t="s">
        <v>6084</v>
      </c>
      <c r="AS829" s="8" t="s">
        <v>1331</v>
      </c>
      <c r="AT829" s="3" t="s">
        <v>149</v>
      </c>
      <c r="AU829" s="3" t="s">
        <v>149</v>
      </c>
    </row>
    <row r="830">
      <c r="A830" s="186">
        <v>442.0</v>
      </c>
      <c r="B830" s="152">
        <v>2025.0</v>
      </c>
      <c r="C830" s="153" t="str">
        <f>CONCATENATE(D830, "-", M830, "-", A830)
</f>
        <v>2023-PH184602000-442</v>
      </c>
      <c r="D830" s="152">
        <f>IF(OR(F829="Published", F829="Unpublished"), 2023, IF(F829="New", 2025, ""))
</f>
        <v>2023</v>
      </c>
      <c r="E830" s="151">
        <v>415.0</v>
      </c>
      <c r="F830" s="156" t="s">
        <v>191</v>
      </c>
      <c r="G830" s="156" t="s">
        <v>191</v>
      </c>
      <c r="H830" s="153" t="str">
        <f>IFERROR(__xludf.DUMMYFUNCTION("""COMPUTED_VALUE"""),"**Region** changed from BARMM to NIR, **Restoration_project** changed from FishCORAL to SCREMP, **Restoration_project_short** changed from Unknown to Part of 420 artificial coral houses distributed in Negros Oriental under SCREMP, **Year of establishment*"&amp;"* changed from 2020 to Unknown, **Project Start** changed from Unknown to 2012, **Restoration objective** changed from Unknown to Reef recovery, **Funding agency** changed from IFAD to DENR, **Total units** changed from 187 units to Unknown, **Implementin"&amp;"g institution** changed from BFAR to DENR 7 PAWCZMS, **Reference** changed from Report to JKV (2014, December 30). DENR 7 plants 1T artificial reefs. SunStar. https://www.sunstar.com.ph/article/385473/denr-7-plants-1t-artificial-reefs-, **Website** change"&amp;"d from https://www.bfar.da.gov.ph/wp-content/uploads/2022/05/FishCORAL-Project-Annual-Report-2020.pdf to https://www.sunstar.com.ph/article/385473/denr-7-plants-1t-artificial-reefs-")</f>
        <v>**Region** changed from BARMM to NIR, **Restoration_project** changed from FishCORAL to SCREMP, **Restoration_project_short** changed from Unknown to Part of 420 artificial coral houses distributed in Negros Oriental under SCREMP, **Year of establishment** changed from 2020 to Unknown, **Project Start** changed from Unknown to 2012, **Restoration objective** changed from Unknown to Reef recovery, **Funding agency** changed from IFAD to DENR, **Total units** changed from 187 units to Unknown, **Implementing institution** changed from BFAR to DENR 7 PAWCZMS, **Reference** changed from Report to JKV (2014, December 30). DENR 7 plants 1T artificial reefs. SunStar. https://www.sunstar.com.ph/article/385473/denr-7-plants-1t-artificial-reefs-, **Website** changed from https://www.bfar.da.gov.ph/wp-content/uploads/2022/05/FishCORAL-Project-Annual-Report-2020.pdf to https://www.sunstar.com.ph/article/385473/denr-7-plants-1t-artificial-reefs-</v>
      </c>
      <c r="I830" s="153" t="s">
        <v>7698</v>
      </c>
      <c r="J830" s="153" t="s">
        <v>625</v>
      </c>
      <c r="K830" s="153" t="s">
        <v>632</v>
      </c>
      <c r="L830" s="153" t="s">
        <v>2193</v>
      </c>
      <c r="M830" s="181" t="s">
        <v>7699</v>
      </c>
      <c r="N830" s="153" t="s">
        <v>151</v>
      </c>
      <c r="O830" s="153" t="s">
        <v>6587</v>
      </c>
      <c r="P830" s="153" t="s">
        <v>7700</v>
      </c>
      <c r="Q830" s="197" t="s">
        <v>149</v>
      </c>
      <c r="R830" s="175" t="s">
        <v>6151</v>
      </c>
      <c r="S830" s="164" t="s">
        <v>149</v>
      </c>
      <c r="T830" s="161" t="s">
        <v>150</v>
      </c>
      <c r="U830" s="153">
        <f>IFERROR(__xludf.DUMMYFUNCTION("""COMPUTED_VALUE"""),802.0)</f>
        <v>802</v>
      </c>
      <c r="V830" s="162" t="s">
        <v>3311</v>
      </c>
      <c r="W830" s="187" t="s">
        <v>149</v>
      </c>
      <c r="X830" s="184"/>
      <c r="Y830" s="184" t="s">
        <v>149</v>
      </c>
      <c r="Z830" s="158" t="s">
        <v>149</v>
      </c>
      <c r="AA830" s="158" t="s">
        <v>149</v>
      </c>
      <c r="AB830" s="153" t="s">
        <v>7101</v>
      </c>
      <c r="AC830" s="153" t="s">
        <v>341</v>
      </c>
      <c r="AD830" s="158" t="s">
        <v>160</v>
      </c>
      <c r="AE830" s="158" t="s">
        <v>6035</v>
      </c>
      <c r="AF830" s="158" t="s">
        <v>159</v>
      </c>
      <c r="AG830" s="164" t="s">
        <v>149</v>
      </c>
      <c r="AH830" s="158" t="s">
        <v>149</v>
      </c>
      <c r="AI830" s="158" t="s">
        <v>149</v>
      </c>
      <c r="AJ830" s="153" t="s">
        <v>2160</v>
      </c>
      <c r="AK830" s="153" t="s">
        <v>6035</v>
      </c>
      <c r="AL830" s="156" t="s">
        <v>149</v>
      </c>
      <c r="AM830" s="156" t="s">
        <v>149</v>
      </c>
      <c r="AN830" s="156" t="s">
        <v>149</v>
      </c>
      <c r="AO830" s="156">
        <v>1.0</v>
      </c>
      <c r="AP830" s="156" t="s">
        <v>6037</v>
      </c>
      <c r="AQ830" s="158" t="s">
        <v>166</v>
      </c>
      <c r="AR830" s="153" t="s">
        <v>2161</v>
      </c>
      <c r="AS830" s="172" t="s">
        <v>2162</v>
      </c>
      <c r="AT830" s="156" t="s">
        <v>149</v>
      </c>
      <c r="AU830" s="156" t="s">
        <v>149</v>
      </c>
    </row>
    <row r="831">
      <c r="A831" s="186">
        <v>443.0</v>
      </c>
      <c r="B831" s="152">
        <v>2023.0</v>
      </c>
      <c r="D831" s="152"/>
      <c r="E831" s="151">
        <v>415.0</v>
      </c>
      <c r="F831" s="129" t="s">
        <v>140</v>
      </c>
      <c r="G831" s="3" t="s">
        <v>6029</v>
      </c>
      <c r="H831" s="8" t="str">
        <f>IFERROR(__xludf.DUMMYFUNCTION("""COMPUTED_VALUE"""),"")</f>
        <v/>
      </c>
      <c r="I831" s="8" t="s">
        <v>7701</v>
      </c>
      <c r="J831" s="8" t="s">
        <v>642</v>
      </c>
      <c r="K831" s="8" t="s">
        <v>643</v>
      </c>
      <c r="L831" s="8" t="s">
        <v>1355</v>
      </c>
      <c r="M831" s="8" t="s">
        <v>1356</v>
      </c>
      <c r="N831" s="8" t="s">
        <v>6062</v>
      </c>
      <c r="O831" s="8" t="s">
        <v>1309</v>
      </c>
      <c r="P831" s="8" t="s">
        <v>7702</v>
      </c>
      <c r="Q831" s="142" t="s">
        <v>6030</v>
      </c>
      <c r="R831" s="3" t="s">
        <v>149</v>
      </c>
      <c r="S831" s="3" t="s">
        <v>149</v>
      </c>
      <c r="T831" s="8"/>
      <c r="U831" s="8">
        <f>IFERROR(__xludf.DUMMYFUNCTION("""COMPUTED_VALUE"""),803.0)</f>
        <v>803</v>
      </c>
      <c r="V831" s="8"/>
      <c r="W831" s="3"/>
      <c r="X831" s="8"/>
      <c r="Y831" s="8"/>
      <c r="AA831" s="3" t="s">
        <v>149</v>
      </c>
      <c r="AB831" s="3" t="s">
        <v>149</v>
      </c>
      <c r="AC831" s="8" t="s">
        <v>6907</v>
      </c>
      <c r="AG831" s="3" t="s">
        <v>149</v>
      </c>
      <c r="AH831" s="3" t="s">
        <v>149</v>
      </c>
      <c r="AI831" s="3" t="s">
        <v>149</v>
      </c>
      <c r="AJ831" s="8" t="s">
        <v>390</v>
      </c>
      <c r="AL831" s="8" t="s">
        <v>1314</v>
      </c>
      <c r="AM831" s="3" t="s">
        <v>149</v>
      </c>
      <c r="AN831" s="3" t="s">
        <v>149</v>
      </c>
      <c r="AO831" s="8"/>
      <c r="AP831" s="8"/>
      <c r="AR831" s="3" t="s">
        <v>149</v>
      </c>
      <c r="AS831" s="3" t="s">
        <v>149</v>
      </c>
      <c r="AT831" s="3" t="s">
        <v>149</v>
      </c>
      <c r="AU831" s="3" t="s">
        <v>149</v>
      </c>
    </row>
    <row r="832">
      <c r="A832" s="186">
        <v>444.0</v>
      </c>
      <c r="B832" s="152">
        <v>2025.0</v>
      </c>
      <c r="C832" s="153" t="str">
        <f>CONCATENATE(D832, "-", M832, "-", A832)
</f>
        <v>2023-PH184603000-444</v>
      </c>
      <c r="D832" s="152">
        <f>IF(OR(F831="Published", F831="Unpublished"), 2023, IF(F831="New", 2025, ""))
</f>
        <v>2023</v>
      </c>
      <c r="E832" s="151">
        <v>416.0</v>
      </c>
      <c r="F832" s="129" t="s">
        <v>140</v>
      </c>
      <c r="G832" s="156" t="s">
        <v>141</v>
      </c>
      <c r="H832" s="153" t="str">
        <f>IFERROR(__xludf.DUMMYFUNCTION("""COMPUTED_VALUE"""),"**Region** changed from BARMM to NIR, **Restoration_project** changed from FishCORAL to Unknown, **Restoration_project_short** changed from *Mention of assessment conducted by FishCORAL team to find suitable site for coral nursery to Site in San Miguel, *"&amp;"*Year of establishment** changed from 2021 to Unknown, **Restoration method** changed from Asexual Reproduction to Artificial Reef, **Technique/Material Type** changed from Unknown to tires; concrete base, **Funding agency** changed from IFAD to Unknown, "&amp;"**Total area of restoration** changed from Unknown to 210 m2, **Implementing institution** changed from BFAR to Unknown, **Partners_public** changed from Ministry of Agriculture, Fisheries and Agrarian Reform to Unknown, **Reference** changed from Unknown"&amp;" to Balgos, M.C. (1995). Evaluation of artificial reef development in the Philippines. In Munro, J.L. &amp; Balgos, M. (eds.) Artificial reefs in the Philippines. ICLARM Conf. Proc. 49, pp. 6-22., **Website** changed from Unknown to https://core.ac.uk/downloa"&amp;"d/pdf/6515223.pdf, **Contact_name** changed from Unknown to Miriam Balgos")</f>
        <v>**Region** changed from BARMM to NIR, **Restoration_project** changed from FishCORAL to Unknown, **Restoration_project_short** changed from *Mention of assessment conducted by FishCORAL team to find suitable site for coral nursery to Site in San Miguel, **Year of establishment** changed from 2021 to Unknown, **Restoration method** changed from Asexual Reproduction to Artificial Reef, **Technique/Material Type** changed from Unknown to tires; concrete base, **Funding agency** changed from IFAD to Unknown, **Total area of restoration** changed from Unknown to 210 m2, **Implementing institution** changed from BFAR to Unknown, **Partners_public** changed from Ministry of Agriculture, Fisheries and Agrarian Reform to Unknown, **Reference** changed from Unknown to Balgos, M.C. (1995). Evaluation of artificial reef development in the Philippines. In Munro, J.L. &amp; Balgos, M. (eds.) Artificial reefs in the Philippines. ICLARM Conf. Proc. 49, pp. 6-22., **Website** changed from Unknown to https://core.ac.uk/download/pdf/6515223.pdf, **Contact_name** changed from Unknown to Miriam Balgos</v>
      </c>
      <c r="I832" s="153" t="s">
        <v>7703</v>
      </c>
      <c r="J832" s="153" t="s">
        <v>625</v>
      </c>
      <c r="K832" s="153" t="s">
        <v>632</v>
      </c>
      <c r="L832" s="153" t="s">
        <v>2687</v>
      </c>
      <c r="M832" s="181" t="s">
        <v>7160</v>
      </c>
      <c r="N832" s="153" t="s">
        <v>151</v>
      </c>
      <c r="O832" s="158" t="s">
        <v>149</v>
      </c>
      <c r="P832" s="158" t="s">
        <v>2689</v>
      </c>
      <c r="Q832" s="178" t="s">
        <v>149</v>
      </c>
      <c r="R832" s="160" t="s">
        <v>149</v>
      </c>
      <c r="S832" s="160" t="s">
        <v>149</v>
      </c>
      <c r="T832" s="161" t="s">
        <v>150</v>
      </c>
      <c r="U832" s="153">
        <f>IFERROR(__xludf.DUMMYFUNCTION("""COMPUTED_VALUE"""),804.0)</f>
        <v>804</v>
      </c>
      <c r="V832" s="162" t="s">
        <v>3311</v>
      </c>
      <c r="W832" s="184" t="s">
        <v>6172</v>
      </c>
      <c r="X832" s="28" t="s">
        <v>6082</v>
      </c>
      <c r="Y832" s="32" t="s">
        <v>7477</v>
      </c>
      <c r="Z832" s="158" t="s">
        <v>7695</v>
      </c>
      <c r="AA832" s="158" t="s">
        <v>7695</v>
      </c>
      <c r="AB832" s="158" t="s">
        <v>149</v>
      </c>
      <c r="AC832" s="158" t="s">
        <v>149</v>
      </c>
      <c r="AD832" s="158" t="s">
        <v>149</v>
      </c>
      <c r="AE832" s="158" t="s">
        <v>149</v>
      </c>
      <c r="AF832" s="158" t="s">
        <v>149</v>
      </c>
      <c r="AG832" s="164" t="s">
        <v>149</v>
      </c>
      <c r="AH832" s="153" t="s">
        <v>7161</v>
      </c>
      <c r="AI832" s="158" t="s">
        <v>149</v>
      </c>
      <c r="AJ832" s="158" t="s">
        <v>149</v>
      </c>
      <c r="AK832" s="158" t="s">
        <v>149</v>
      </c>
      <c r="AL832" s="155" t="s">
        <v>149</v>
      </c>
      <c r="AM832" s="155" t="s">
        <v>149</v>
      </c>
      <c r="AN832" s="155" t="s">
        <v>149</v>
      </c>
      <c r="AO832" s="156">
        <v>1.0</v>
      </c>
      <c r="AP832" s="156" t="s">
        <v>6037</v>
      </c>
      <c r="AQ832" s="158" t="s">
        <v>395</v>
      </c>
      <c r="AR832" s="153" t="s">
        <v>6060</v>
      </c>
      <c r="AS832" s="177" t="s">
        <v>541</v>
      </c>
      <c r="AT832" s="153" t="s">
        <v>398</v>
      </c>
      <c r="AU832" s="155" t="s">
        <v>149</v>
      </c>
    </row>
    <row r="833">
      <c r="A833" s="186">
        <v>445.0</v>
      </c>
      <c r="B833" s="152">
        <v>2023.0</v>
      </c>
      <c r="D833" s="152"/>
      <c r="E833" s="151">
        <v>416.0</v>
      </c>
      <c r="F833" s="129" t="s">
        <v>140</v>
      </c>
      <c r="G833" s="3" t="s">
        <v>6029</v>
      </c>
      <c r="H833" s="8" t="str">
        <f>IFERROR(__xludf.DUMMYFUNCTION("""COMPUTED_VALUE"""),"")</f>
        <v/>
      </c>
      <c r="I833" s="8" t="s">
        <v>7704</v>
      </c>
      <c r="J833" s="8" t="s">
        <v>642</v>
      </c>
      <c r="K833" s="8" t="s">
        <v>2769</v>
      </c>
      <c r="L833" s="8" t="s">
        <v>2770</v>
      </c>
      <c r="M833" s="8" t="s">
        <v>2771</v>
      </c>
      <c r="N833" s="8" t="s">
        <v>151</v>
      </c>
      <c r="O833" s="3" t="s">
        <v>149</v>
      </c>
      <c r="P833" s="3" t="s">
        <v>149</v>
      </c>
      <c r="Q833" s="142" t="s">
        <v>6273</v>
      </c>
      <c r="R833" s="3" t="s">
        <v>149</v>
      </c>
      <c r="S833" s="3" t="s">
        <v>149</v>
      </c>
      <c r="T833" s="8"/>
      <c r="U833" s="8">
        <f>IFERROR(__xludf.DUMMYFUNCTION("""COMPUTED_VALUE"""),805.0)</f>
        <v>805</v>
      </c>
      <c r="V833" s="8"/>
      <c r="W833" s="3"/>
      <c r="X833" s="8"/>
      <c r="Y833" s="8"/>
      <c r="AA833" s="3" t="s">
        <v>149</v>
      </c>
      <c r="AB833" s="3" t="s">
        <v>149</v>
      </c>
      <c r="AC833" s="8" t="s">
        <v>2776</v>
      </c>
      <c r="AG833" s="3" t="s">
        <v>149</v>
      </c>
      <c r="AH833" s="3" t="s">
        <v>149</v>
      </c>
      <c r="AI833" s="3" t="s">
        <v>149</v>
      </c>
      <c r="AJ833" s="8" t="s">
        <v>7705</v>
      </c>
      <c r="AL833" s="8" t="s">
        <v>390</v>
      </c>
      <c r="AM833" s="3" t="s">
        <v>149</v>
      </c>
      <c r="AN833" s="3" t="s">
        <v>149</v>
      </c>
      <c r="AO833" s="8"/>
      <c r="AP833" s="8"/>
      <c r="AR833" s="8" t="s">
        <v>166</v>
      </c>
      <c r="AS833" s="8" t="s">
        <v>2779</v>
      </c>
      <c r="AT833" s="3" t="s">
        <v>149</v>
      </c>
      <c r="AU833" s="3" t="s">
        <v>149</v>
      </c>
    </row>
    <row r="834">
      <c r="A834" s="186">
        <v>446.0</v>
      </c>
      <c r="B834" s="152">
        <v>2025.0</v>
      </c>
      <c r="C834" s="153" t="str">
        <f>CONCATENATE(D834, "-", M834, "-", A834)
</f>
        <v>2023-PH184603000-446</v>
      </c>
      <c r="D834" s="152">
        <f>IF(OR(F833="Published", F833="Unpublished"), 2023, IF(F833="New", 2025, ""))
</f>
        <v>2023</v>
      </c>
      <c r="E834" s="151">
        <v>417.0</v>
      </c>
      <c r="F834" s="156" t="s">
        <v>191</v>
      </c>
      <c r="G834" s="156" t="s">
        <v>191</v>
      </c>
      <c r="H834" s="153" t="str">
        <f>IFERROR(__xludf.DUMMYFUNCTION("""COMPUTED_VALUE"""),"**Region** changed from BARMM to NIR, **Restoration_project_short** changed from Unknown to Site where domes were installed already had tires and a submerged jeepney, **Year of establishment** changed from 2019 to Unknown, **Technique/Material Type** chan"&amp;"ged from Unknown to domes, **Funding agency** changed from Philippine Marines to Philippine Dental Association, **Implementing institution** changed from Philippine Marines Western Mindanao Command to Sea Explorers Philippines, **Partners_public** changed"&amp;" from BFAR to Unknown, **Reference** changed from News/Press Release to FinnSnow (2021, October 20). Creating &amp; Installing Artificial Reefs in the Philippines - (Before/After Results) [Video]. Youtube. https://www.youtube.com/watch?v=X-dAZVSGLok, **Websit"&amp;"e** changed from https://www.pna.gov.ph/articles/1067574 to https://www.youtube.com/watch?v=X-dAZVSGLok")</f>
        <v>**Region** changed from BARMM to NIR, **Restoration_project_short** changed from Unknown to Site where domes were installed already had tires and a submerged jeepney, **Year of establishment** changed from 2019 to Unknown, **Technique/Material Type** changed from Unknown to domes, **Funding agency** changed from Philippine Marines to Philippine Dental Association, **Implementing institution** changed from Philippine Marines Western Mindanao Command to Sea Explorers Philippines, **Partners_public** changed from BFAR to Unknown, **Reference** changed from News/Press Release to FinnSnow (2021, October 20). Creating &amp; Installing Artificial Reefs in the Philippines - (Before/After Results) [Video]. Youtube. https://www.youtube.com/watch?v=X-dAZVSGLok, **Website** changed from https://www.pna.gov.ph/articles/1067574 to https://www.youtube.com/watch?v=X-dAZVSGLok</v>
      </c>
      <c r="I834" s="153" t="s">
        <v>7706</v>
      </c>
      <c r="J834" s="153" t="s">
        <v>625</v>
      </c>
      <c r="K834" s="153" t="s">
        <v>632</v>
      </c>
      <c r="L834" s="153" t="s">
        <v>2687</v>
      </c>
      <c r="M834" s="181" t="s">
        <v>7160</v>
      </c>
      <c r="N834" s="153" t="s">
        <v>151</v>
      </c>
      <c r="O834" s="158" t="s">
        <v>149</v>
      </c>
      <c r="P834" s="158" t="s">
        <v>7707</v>
      </c>
      <c r="Q834" s="197" t="s">
        <v>149</v>
      </c>
      <c r="R834" s="164" t="s">
        <v>149</v>
      </c>
      <c r="S834" s="164" t="s">
        <v>149</v>
      </c>
      <c r="T834" s="161" t="s">
        <v>150</v>
      </c>
      <c r="U834" s="153">
        <f>IFERROR(__xludf.DUMMYFUNCTION("""COMPUTED_VALUE"""),806.0)</f>
        <v>806</v>
      </c>
      <c r="V834" s="162" t="s">
        <v>3311</v>
      </c>
      <c r="W834" s="179" t="s">
        <v>6032</v>
      </c>
      <c r="X834" s="28" t="s">
        <v>6173</v>
      </c>
      <c r="Y834" s="32" t="s">
        <v>361</v>
      </c>
      <c r="Z834" s="158" t="s">
        <v>3211</v>
      </c>
      <c r="AA834" s="153" t="s">
        <v>3211</v>
      </c>
      <c r="AB834" s="158" t="s">
        <v>149</v>
      </c>
      <c r="AC834" s="153" t="s">
        <v>3212</v>
      </c>
      <c r="AD834" s="158" t="s">
        <v>160</v>
      </c>
      <c r="AE834" s="158" t="s">
        <v>184</v>
      </c>
      <c r="AF834" s="158" t="s">
        <v>159</v>
      </c>
      <c r="AG834" s="164" t="s">
        <v>149</v>
      </c>
      <c r="AH834" s="158" t="s">
        <v>149</v>
      </c>
      <c r="AI834" s="158" t="s">
        <v>149</v>
      </c>
      <c r="AJ834" s="153" t="s">
        <v>3214</v>
      </c>
      <c r="AK834" s="158" t="s">
        <v>184</v>
      </c>
      <c r="AL834" s="156" t="s">
        <v>149</v>
      </c>
      <c r="AM834" s="156" t="s">
        <v>149</v>
      </c>
      <c r="AN834" s="156" t="s">
        <v>149</v>
      </c>
      <c r="AO834" s="156">
        <v>1.0</v>
      </c>
      <c r="AP834" s="156" t="s">
        <v>6037</v>
      </c>
      <c r="AQ834" s="158" t="s">
        <v>6038</v>
      </c>
      <c r="AR834" s="153" t="s">
        <v>3215</v>
      </c>
      <c r="AS834" s="165" t="s">
        <v>3216</v>
      </c>
      <c r="AT834" s="156" t="s">
        <v>149</v>
      </c>
      <c r="AU834" s="156" t="s">
        <v>149</v>
      </c>
    </row>
    <row r="835">
      <c r="A835" s="186">
        <v>447.0</v>
      </c>
      <c r="B835" s="152">
        <v>2023.0</v>
      </c>
      <c r="D835" s="152"/>
      <c r="E835" s="151">
        <v>417.0</v>
      </c>
      <c r="F835" s="129" t="s">
        <v>140</v>
      </c>
      <c r="G835" s="3" t="s">
        <v>6029</v>
      </c>
      <c r="H835" s="8" t="str">
        <f>IFERROR(__xludf.DUMMYFUNCTION("""COMPUTED_VALUE"""),"")</f>
        <v/>
      </c>
      <c r="I835" s="8" t="s">
        <v>7708</v>
      </c>
      <c r="J835" s="8" t="s">
        <v>642</v>
      </c>
      <c r="K835" s="8" t="s">
        <v>1217</v>
      </c>
      <c r="L835" s="8" t="s">
        <v>1218</v>
      </c>
      <c r="M835" s="8" t="s">
        <v>1219</v>
      </c>
      <c r="N835" s="8" t="s">
        <v>151</v>
      </c>
      <c r="O835" s="3" t="s">
        <v>149</v>
      </c>
      <c r="P835" s="3" t="s">
        <v>149</v>
      </c>
      <c r="Q835" s="142" t="s">
        <v>6151</v>
      </c>
      <c r="R835" s="3" t="s">
        <v>149</v>
      </c>
      <c r="S835" s="3" t="s">
        <v>149</v>
      </c>
      <c r="T835" s="8"/>
      <c r="U835" s="8">
        <f>IFERROR(__xludf.DUMMYFUNCTION("""COMPUTED_VALUE"""),807.0)</f>
        <v>807</v>
      </c>
      <c r="V835" s="8"/>
      <c r="W835" s="8"/>
      <c r="X835" s="8"/>
      <c r="Y835" s="8"/>
      <c r="AA835" s="8" t="s">
        <v>3399</v>
      </c>
      <c r="AB835" s="3" t="s">
        <v>149</v>
      </c>
      <c r="AC835" s="8" t="s">
        <v>3227</v>
      </c>
      <c r="AG835" s="3" t="s">
        <v>149</v>
      </c>
      <c r="AH835" s="3" t="s">
        <v>149</v>
      </c>
      <c r="AI835" s="3" t="s">
        <v>149</v>
      </c>
      <c r="AJ835" s="8" t="s">
        <v>3227</v>
      </c>
      <c r="AL835" s="3" t="s">
        <v>149</v>
      </c>
      <c r="AM835" s="8" t="s">
        <v>3228</v>
      </c>
      <c r="AN835" s="3" t="s">
        <v>149</v>
      </c>
      <c r="AO835" s="8"/>
      <c r="AP835" s="8"/>
      <c r="AR835" s="8" t="s">
        <v>6091</v>
      </c>
      <c r="AS835" s="8" t="s">
        <v>3230</v>
      </c>
      <c r="AT835" s="3" t="s">
        <v>149</v>
      </c>
      <c r="AU835" s="3" t="s">
        <v>149</v>
      </c>
    </row>
    <row r="836">
      <c r="A836" s="186">
        <v>448.0</v>
      </c>
      <c r="B836" s="152">
        <v>2025.0</v>
      </c>
      <c r="C836" s="153" t="str">
        <f>CONCATENATE(D836, "-", M836, "-", A836)
</f>
        <v>2023-PH184607000-448</v>
      </c>
      <c r="D836" s="152">
        <f>IF(OR(F835="Published", F835="Unpublished"), 2023, IF(F835="New", 2025, ""))
</f>
        <v>2023</v>
      </c>
      <c r="E836" s="151">
        <v>418.0</v>
      </c>
      <c r="F836" s="156" t="s">
        <v>191</v>
      </c>
      <c r="G836" s="156" t="s">
        <v>191</v>
      </c>
      <c r="H836" s="153" t="str">
        <f>IFERROR(__xludf.DUMMYFUNCTION("""COMPUTED_VALUE"""),"**Region** changed from BARMM to NIR, **Restoration_project** changed from Unknown to SCREMP, **Restoration_project_short** changed from Unknown to Part of 420 artificial coral houses distributed in Negros Oriental under SCREMP, **Year of establishment** "&amp;"changed from 2012 to Unknown, **Project Start** changed from Unknown to 2012, **Technique/Material Type** changed from Steel cabinet to Unknown, **Restoration objective** changed from Unknown to Reef recovery, **Funding agency** changed from Mindanao Stat"&amp;"e University to DENR, **Implementing institution** changed from Mindanao State University to DENR 7 PAWCZMS, **Partners_private** changed from WWF; Tawi-Tawi Diver's Club to Unknown, **Reference** changed from Blog to JKV (2014, December 30). DENR 7 plant"&amp;"s 1T artificial reefs. SunStar. https://www.sunstar.com.ph/article/385473/denr-7-plants-1t-artificial-reefs-, **Website** changed from https://piazampenpics.blogspot.com/2012/05/scuba-diving-training-enhances-msu-tawi.html?m=1 to https://www.sunstar.com.p"&amp;"h/article/385473/denr-7-plants-1t-artificial-reefs-")</f>
        <v>**Region** changed from BARMM to NIR, **Restoration_project** changed from Unknown to SCREMP, **Restoration_project_short** changed from Unknown to Part of 420 artificial coral houses distributed in Negros Oriental under SCREMP, **Year of establishment** changed from 2012 to Unknown, **Project Start** changed from Unknown to 2012, **Technique/Material Type** changed from Steel cabinet to Unknown, **Restoration objective** changed from Unknown to Reef recovery, **Funding agency** changed from Mindanao State University to DENR, **Implementing institution** changed from Mindanao State University to DENR 7 PAWCZMS, **Partners_private** changed from WWF; Tawi-Tawi Diver's Club to Unknown, **Reference** changed from Blog to JKV (2014, December 30). DENR 7 plants 1T artificial reefs. SunStar. https://www.sunstar.com.ph/article/385473/denr-7-plants-1t-artificial-reefs-, **Website** changed from https://piazampenpics.blogspot.com/2012/05/scuba-diving-training-enhances-msu-tawi.html?m=1 to https://www.sunstar.com.ph/article/385473/denr-7-plants-1t-artificial-reefs-</v>
      </c>
      <c r="I836" s="153" t="s">
        <v>7709</v>
      </c>
      <c r="J836" s="153" t="s">
        <v>625</v>
      </c>
      <c r="K836" s="153" t="s">
        <v>632</v>
      </c>
      <c r="L836" s="153" t="s">
        <v>2198</v>
      </c>
      <c r="M836" s="181" t="s">
        <v>7710</v>
      </c>
      <c r="N836" s="153" t="s">
        <v>151</v>
      </c>
      <c r="O836" s="153" t="s">
        <v>6587</v>
      </c>
      <c r="P836" s="153" t="s">
        <v>7700</v>
      </c>
      <c r="Q836" s="197" t="s">
        <v>149</v>
      </c>
      <c r="R836" s="175" t="s">
        <v>6151</v>
      </c>
      <c r="S836" s="164" t="s">
        <v>149</v>
      </c>
      <c r="T836" s="161" t="s">
        <v>150</v>
      </c>
      <c r="U836" s="153">
        <f>IFERROR(__xludf.DUMMYFUNCTION("""COMPUTED_VALUE"""),808.0)</f>
        <v>808</v>
      </c>
      <c r="V836" s="162" t="s">
        <v>3311</v>
      </c>
      <c r="W836" s="187" t="s">
        <v>149</v>
      </c>
      <c r="X836" s="184"/>
      <c r="Y836" s="184" t="s">
        <v>149</v>
      </c>
      <c r="Z836" s="158" t="s">
        <v>149</v>
      </c>
      <c r="AA836" s="158" t="s">
        <v>149</v>
      </c>
      <c r="AB836" s="153" t="s">
        <v>7101</v>
      </c>
      <c r="AC836" s="153" t="s">
        <v>341</v>
      </c>
      <c r="AD836" s="158" t="s">
        <v>160</v>
      </c>
      <c r="AE836" s="158" t="s">
        <v>6035</v>
      </c>
      <c r="AF836" s="158" t="s">
        <v>159</v>
      </c>
      <c r="AG836" s="164" t="s">
        <v>149</v>
      </c>
      <c r="AH836" s="158" t="s">
        <v>149</v>
      </c>
      <c r="AI836" s="158" t="s">
        <v>149</v>
      </c>
      <c r="AJ836" s="153" t="s">
        <v>2160</v>
      </c>
      <c r="AK836" s="153" t="s">
        <v>6035</v>
      </c>
      <c r="AL836" s="156" t="s">
        <v>149</v>
      </c>
      <c r="AM836" s="156" t="s">
        <v>149</v>
      </c>
      <c r="AN836" s="156" t="s">
        <v>149</v>
      </c>
      <c r="AO836" s="156">
        <v>1.0</v>
      </c>
      <c r="AP836" s="156" t="s">
        <v>6037</v>
      </c>
      <c r="AQ836" s="158" t="s">
        <v>166</v>
      </c>
      <c r="AR836" s="153" t="s">
        <v>2161</v>
      </c>
      <c r="AS836" s="172" t="s">
        <v>2162</v>
      </c>
      <c r="AT836" s="156" t="s">
        <v>149</v>
      </c>
      <c r="AU836" s="156" t="s">
        <v>149</v>
      </c>
    </row>
    <row r="837">
      <c r="A837" s="186">
        <v>449.0</v>
      </c>
      <c r="B837" s="152">
        <v>2023.0</v>
      </c>
      <c r="D837" s="152"/>
      <c r="E837" s="151">
        <v>418.0</v>
      </c>
      <c r="F837" s="129" t="s">
        <v>140</v>
      </c>
      <c r="G837" s="3" t="s">
        <v>3279</v>
      </c>
      <c r="H837" s="8" t="str">
        <f>IFERROR(__xludf.DUMMYFUNCTION("""COMPUTED_VALUE"""),"")</f>
        <v/>
      </c>
      <c r="I837" s="8" t="s">
        <v>7711</v>
      </c>
      <c r="J837" s="8" t="s">
        <v>642</v>
      </c>
      <c r="K837" s="8" t="s">
        <v>1217</v>
      </c>
      <c r="L837" s="8" t="s">
        <v>1218</v>
      </c>
      <c r="M837" s="8" t="s">
        <v>1219</v>
      </c>
      <c r="N837" s="8" t="s">
        <v>6062</v>
      </c>
      <c r="O837" s="8" t="s">
        <v>6113</v>
      </c>
      <c r="Q837" s="142" t="s">
        <v>6152</v>
      </c>
      <c r="R837" s="142"/>
      <c r="S837" s="142"/>
      <c r="U837" s="8">
        <f>IFERROR(__xludf.DUMMYFUNCTION("""COMPUTED_VALUE"""),809.0)</f>
        <v>809</v>
      </c>
      <c r="V837" s="8"/>
      <c r="W837" s="8"/>
      <c r="AA837" s="8" t="s">
        <v>320</v>
      </c>
      <c r="AC837" s="8" t="s">
        <v>7712</v>
      </c>
      <c r="AG837" s="142"/>
      <c r="AJ837" s="8" t="s">
        <v>7712</v>
      </c>
      <c r="AO837" s="8"/>
      <c r="AP837" s="8"/>
      <c r="AR837" s="8" t="s">
        <v>6027</v>
      </c>
      <c r="AS837" s="172" t="s">
        <v>7713</v>
      </c>
    </row>
    <row r="838" ht="14.25" customHeight="1">
      <c r="A838" s="186">
        <v>450.0</v>
      </c>
      <c r="B838" s="152">
        <v>2025.0</v>
      </c>
      <c r="C838" s="153" t="str">
        <f>CONCATENATE(D838, "-", M838, "-", A838)
</f>
        <v>2023-PH184609000-450</v>
      </c>
      <c r="D838" s="152">
        <f>IF(OR(F837="Published", F837="Unpublished"), 2023, IF(F837="New", 2025, ""))
</f>
        <v>2023</v>
      </c>
      <c r="E838" s="151">
        <v>419.0</v>
      </c>
      <c r="F838" s="156" t="s">
        <v>140</v>
      </c>
      <c r="G838" s="156" t="s">
        <v>141</v>
      </c>
      <c r="H838" s="153" t="str">
        <f>IFERROR(__xludf.DUMMYFUNCTION("""COMPUTED_VALUE"""),"**Region** changed from BARMM to NIR, **Restoration_project** changed from *Not indicated to Unknown, **Restoration_project_short** changed from to Site in Masaplod Norte, **Year of establishment** changed from 2017 to Unknown, **Project Start** changed f"&amp;"rom to Unknown, **Project End** changed from to Unknown, **Restoration method** changed from Asexual Reproduction to Artificial Reef, **Technique/Material Type** changed from CNU to tires; concrete base, **Restoration objective** changed from to Unknown, "&amp;"**Funding agency** changed from Rotary Club Tawi-Tawi to Unknown, **Total funding** changed from to Unknown, **Total area of restoration** changed from to 455 m2, **Total units** changed from to Unknown, **Implementing institution** changed from Rotary Cl"&amp;"ub Tawi-Tawi to Unknown, **Partners_public** changed from to Unknown, **Partners_private** changed from to Unknown, **Partners_communities** changed from to Unknown, **Reference** changed from Website to Balgos, M.C. (1995). Evaluation of artificial reef "&amp;"development in the Philippines. In Munro, J.L. &amp; Balgos, M. (eds.) Artificial reefs in the Philippines. ICLARM Conf. Proc. 49, pp. 6-22., **Website** changed from https://map.rotary.org/en/project/pages/project_detail.aspx?guid=F5D90E54-B5D2-4032-B523-24B"&amp;"3A8EDD9A4 to https://core.ac.uk/download/pdf/6515223.pdf, **Contact_name** changed from to Miriam Balgos, **Contact_details** changed from to Unknown")</f>
        <v>**Region** changed from BARMM to NIR, **Restoration_project** changed from *Not indicated to Unknown, **Restoration_project_short** changed from to Site in Masaplod Norte, **Year of establishment** changed from 2017 to Unknown, **Project Start** changed from to Unknown, **Project End** changed from to Unknown, **Restoration method** changed from Asexual Reproduction to Artificial Reef, **Technique/Material Type** changed from CNU to tires; concrete base, **Restoration objective** changed from to Unknown, **Funding agency** changed from Rotary Club Tawi-Tawi to Unknown, **Total funding** changed from to Unknown, **Total area of restoration** changed from to 455 m2, **Total units** changed from to Unknown, **Implementing institution** changed from Rotary Club Tawi-Tawi to Unknown, **Partners_public** changed from to Unknown, **Partners_private** changed from to Unknown, **Partners_communities** changed from to Unknown, **Reference** changed from Website to Balgos, M.C. (1995). Evaluation of artificial reef development in the Philippines. In Munro, J.L. &amp; Balgos, M. (eds.) Artificial reefs in the Philippines. ICLARM Conf. Proc. 49, pp. 6-22., **Website** changed from https://map.rotary.org/en/project/pages/project_detail.aspx?guid=F5D90E54-B5D2-4032-B523-24B3A8EDD9A4 to https://core.ac.uk/download/pdf/6515223.pdf, **Contact_name** changed from to Miriam Balgos, **Contact_details** changed from to Unknown</v>
      </c>
      <c r="I838" s="153" t="s">
        <v>7714</v>
      </c>
      <c r="J838" s="153" t="s">
        <v>625</v>
      </c>
      <c r="K838" s="153" t="s">
        <v>632</v>
      </c>
      <c r="L838" s="153" t="s">
        <v>847</v>
      </c>
      <c r="M838" s="181" t="s">
        <v>7167</v>
      </c>
      <c r="N838" s="153" t="s">
        <v>151</v>
      </c>
      <c r="O838" s="158" t="s">
        <v>149</v>
      </c>
      <c r="P838" s="158" t="s">
        <v>2693</v>
      </c>
      <c r="Q838" s="178" t="s">
        <v>149</v>
      </c>
      <c r="R838" s="160" t="s">
        <v>149</v>
      </c>
      <c r="S838" s="160" t="s">
        <v>149</v>
      </c>
      <c r="T838" s="161" t="s">
        <v>150</v>
      </c>
      <c r="U838" s="153">
        <f>IFERROR(__xludf.DUMMYFUNCTION("""COMPUTED_VALUE"""),810.0)</f>
        <v>810</v>
      </c>
      <c r="V838" s="162" t="s">
        <v>3311</v>
      </c>
      <c r="W838" s="184" t="s">
        <v>6172</v>
      </c>
      <c r="X838" s="28" t="s">
        <v>6082</v>
      </c>
      <c r="Y838" s="32" t="s">
        <v>7477</v>
      </c>
      <c r="Z838" s="158" t="s">
        <v>7695</v>
      </c>
      <c r="AA838" s="158" t="s">
        <v>7695</v>
      </c>
      <c r="AB838" s="158" t="s">
        <v>149</v>
      </c>
      <c r="AC838" s="158" t="s">
        <v>149</v>
      </c>
      <c r="AD838" s="158" t="s">
        <v>149</v>
      </c>
      <c r="AE838" s="158" t="s">
        <v>149</v>
      </c>
      <c r="AF838" s="158" t="s">
        <v>149</v>
      </c>
      <c r="AG838" s="164" t="s">
        <v>149</v>
      </c>
      <c r="AH838" s="153" t="s">
        <v>7168</v>
      </c>
      <c r="AI838" s="158" t="s">
        <v>149</v>
      </c>
      <c r="AJ838" s="158" t="s">
        <v>149</v>
      </c>
      <c r="AK838" s="158" t="s">
        <v>149</v>
      </c>
      <c r="AL838" s="155" t="s">
        <v>149</v>
      </c>
      <c r="AM838" s="155" t="s">
        <v>149</v>
      </c>
      <c r="AN838" s="155" t="s">
        <v>149</v>
      </c>
      <c r="AO838" s="156">
        <v>1.0</v>
      </c>
      <c r="AP838" s="156" t="s">
        <v>6037</v>
      </c>
      <c r="AQ838" s="158" t="s">
        <v>395</v>
      </c>
      <c r="AR838" s="153" t="s">
        <v>6060</v>
      </c>
      <c r="AS838" s="177" t="s">
        <v>541</v>
      </c>
      <c r="AT838" s="153" t="s">
        <v>398</v>
      </c>
      <c r="AU838" s="155" t="s">
        <v>149</v>
      </c>
    </row>
    <row r="839" ht="15.0" customHeight="1">
      <c r="A839" s="186">
        <v>451.0</v>
      </c>
      <c r="B839" s="152">
        <v>2023.0</v>
      </c>
      <c r="D839" s="152"/>
      <c r="E839" s="151">
        <v>419.0</v>
      </c>
      <c r="F839" s="129" t="s">
        <v>140</v>
      </c>
      <c r="G839" s="3" t="s">
        <v>6029</v>
      </c>
      <c r="H839" s="8" t="str">
        <f>IFERROR(__xludf.DUMMYFUNCTION("""COMPUTED_VALUE"""),"")</f>
        <v/>
      </c>
      <c r="I839" s="8" t="s">
        <v>7715</v>
      </c>
      <c r="J839" s="8" t="s">
        <v>642</v>
      </c>
      <c r="K839" s="8" t="s">
        <v>1217</v>
      </c>
      <c r="L839" s="8" t="s">
        <v>1218</v>
      </c>
      <c r="M839" s="8" t="s">
        <v>1219</v>
      </c>
      <c r="N839" s="8" t="s">
        <v>6062</v>
      </c>
      <c r="O839" s="8" t="s">
        <v>1174</v>
      </c>
      <c r="P839" s="3" t="s">
        <v>149</v>
      </c>
      <c r="Q839" s="3" t="s">
        <v>149</v>
      </c>
      <c r="R839" s="142" t="s">
        <v>6151</v>
      </c>
      <c r="S839" s="142" t="s">
        <v>6089</v>
      </c>
      <c r="T839" s="8"/>
      <c r="U839" s="8">
        <f>IFERROR(__xludf.DUMMYFUNCTION("""COMPUTED_VALUE"""),811.0)</f>
        <v>811</v>
      </c>
      <c r="V839" s="8"/>
      <c r="W839" s="8"/>
      <c r="X839" s="8"/>
      <c r="Y839" s="8"/>
      <c r="AA839" s="8" t="s">
        <v>320</v>
      </c>
      <c r="AB839" s="8" t="s">
        <v>204</v>
      </c>
      <c r="AC839" s="8" t="s">
        <v>321</v>
      </c>
      <c r="AG839" s="3" t="s">
        <v>149</v>
      </c>
      <c r="AH839" s="3" t="s">
        <v>149</v>
      </c>
      <c r="AI839" s="8" t="s">
        <v>7716</v>
      </c>
      <c r="AJ839" s="8" t="s">
        <v>7717</v>
      </c>
      <c r="AL839" s="3" t="s">
        <v>149</v>
      </c>
      <c r="AM839" s="3" t="s">
        <v>149</v>
      </c>
      <c r="AN839" s="3" t="s">
        <v>149</v>
      </c>
      <c r="AO839" s="8"/>
      <c r="AP839" s="8"/>
      <c r="AR839" s="8" t="s">
        <v>6069</v>
      </c>
      <c r="AS839" s="3" t="s">
        <v>149</v>
      </c>
      <c r="AT839" s="3" t="s">
        <v>149</v>
      </c>
      <c r="AU839" s="3" t="s">
        <v>149</v>
      </c>
    </row>
    <row r="840">
      <c r="A840" s="186">
        <v>452.0</v>
      </c>
      <c r="B840" s="152">
        <v>2025.0</v>
      </c>
      <c r="C840" s="153" t="str">
        <f>CONCATENATE(D840, "-", M840, "-", A840)
</f>
        <v>2023-PH184609000-452</v>
      </c>
      <c r="D840" s="152">
        <f>IF(OR(F839="Published", F839="Unpublished"), 2023, IF(F839="New", 2025, ""))
</f>
        <v>2023</v>
      </c>
      <c r="E840" s="151">
        <v>420.0</v>
      </c>
      <c r="F840" s="156" t="s">
        <v>140</v>
      </c>
      <c r="G840" s="156" t="s">
        <v>141</v>
      </c>
      <c r="H840" s="153" t="str">
        <f>IFERROR(__xludf.DUMMYFUNCTION("""COMPUTED_VALUE"""),"**Region** changed from BARMM to NIR, **Restoration_project** changed from Filipinnovation on Coral Reef Restoration to Coral Rescue Project, **Restoration_project_short** changed from Unknown to Site in Atlantis Dive Resort, **Year of establishment** cha"&amp;"nged from Unknown to 2022, **Project Start** changed from 2012 to Unknown, **Project End** changed from 2013 to Unknown, **Technique/Material Type** changed from CNU to coral nursery trees, **Restoration objective** changed from Research to Conservation; "&amp;"raising awareness; sustainability, **Funding agency** changed from DOST-PCAARRD to Atlantis Dive Resorts, **Total units** changed from 48 CNUs/14,041 COPs to Unknown, **Implementing institution** changed from Mindanao State University - Tawi-Tawi to Atlan"&amp;"tis Dive Resorts, **Partners_private** changed from Unknown to Coral Restoration Foundation; MEAD Foundation, **Reference** changed from Briefer Report to ZuBlu (2022, February 22). Roni Ben-Aharon from Atlantis Dive Resorts and Liveaboards - An Ecoventur"&amp;"e Liveaboard. https://www.zubludiving.com/articles/zublu-insights/roni-ben-aharon-from-atlantis-dive-resorts-and-liveaboards, **Website** changed from Unknown to Roni Ben-Aharon from Atlantis Dive Resorts and Liveaboards -… | ZuBlu (zubludiving.com)")</f>
        <v>**Region** changed from BARMM to NIR, **Restoration_project** changed from Filipinnovation on Coral Reef Restoration to Coral Rescue Project, **Restoration_project_short** changed from Unknown to Site in Atlantis Dive Resort, **Year of establishment** changed from Unknown to 2022, **Project Start** changed from 2012 to Unknown, **Project End** changed from 2013 to Unknown, **Technique/Material Type** changed from CNU to coral nursery trees, **Restoration objective** changed from Research to Conservation; raising awareness; sustainability, **Funding agency** changed from DOST-PCAARRD to Atlantis Dive Resorts, **Total units** changed from 48 CNUs/14,041 COPs to Unknown, **Implementing institution** changed from Mindanao State University - Tawi-Tawi to Atlantis Dive Resorts, **Partners_private** changed from Unknown to Coral Restoration Foundation; MEAD Foundation, **Reference** changed from Briefer Report to ZuBlu (2022, February 22). Roni Ben-Aharon from Atlantis Dive Resorts and Liveaboards - An Ecoventure Liveaboard. https://www.zubludiving.com/articles/zublu-insights/roni-ben-aharon-from-atlantis-dive-resorts-and-liveaboards, **Website** changed from Unknown to Roni Ben-Aharon from Atlantis Dive Resorts and Liveaboards -… | ZuBlu (zubludiving.com)</v>
      </c>
      <c r="I840" s="153" t="s">
        <v>7718</v>
      </c>
      <c r="J840" s="153" t="s">
        <v>625</v>
      </c>
      <c r="K840" s="153" t="s">
        <v>632</v>
      </c>
      <c r="L840" s="153" t="s">
        <v>847</v>
      </c>
      <c r="M840" s="181" t="s">
        <v>7167</v>
      </c>
      <c r="N840" s="153" t="s">
        <v>6062</v>
      </c>
      <c r="O840" s="158" t="s">
        <v>1097</v>
      </c>
      <c r="P840" s="158" t="s">
        <v>1098</v>
      </c>
      <c r="Q840" s="169">
        <v>2022.0</v>
      </c>
      <c r="R840" s="160" t="s">
        <v>149</v>
      </c>
      <c r="S840" s="160" t="s">
        <v>149</v>
      </c>
      <c r="T840" s="156" t="s">
        <v>177</v>
      </c>
      <c r="U840" s="153">
        <f>IFERROR(__xludf.DUMMYFUNCTION("""COMPUTED_VALUE"""),812.0)</f>
        <v>812</v>
      </c>
      <c r="V840" s="191" t="s">
        <v>1359</v>
      </c>
      <c r="W840" s="179" t="s">
        <v>6066</v>
      </c>
      <c r="X840" s="180"/>
      <c r="Y840" s="180" t="s">
        <v>154</v>
      </c>
      <c r="Z840" s="158" t="s">
        <v>7719</v>
      </c>
      <c r="AA840" s="153" t="s">
        <v>1100</v>
      </c>
      <c r="AB840" s="158" t="s">
        <v>7720</v>
      </c>
      <c r="AC840" s="158" t="s">
        <v>1103</v>
      </c>
      <c r="AD840" s="158" t="s">
        <v>160</v>
      </c>
      <c r="AE840" s="158" t="s">
        <v>184</v>
      </c>
      <c r="AF840" s="158" t="s">
        <v>159</v>
      </c>
      <c r="AG840" s="164" t="s">
        <v>149</v>
      </c>
      <c r="AH840" s="158" t="s">
        <v>149</v>
      </c>
      <c r="AI840" s="158" t="s">
        <v>149</v>
      </c>
      <c r="AJ840" s="153" t="s">
        <v>1103</v>
      </c>
      <c r="AK840" s="158" t="s">
        <v>184</v>
      </c>
      <c r="AL840" s="155" t="s">
        <v>149</v>
      </c>
      <c r="AM840" s="153" t="s">
        <v>7721</v>
      </c>
      <c r="AN840" s="155" t="s">
        <v>149</v>
      </c>
      <c r="AO840" s="156">
        <v>1.0</v>
      </c>
      <c r="AP840" s="156" t="s">
        <v>6037</v>
      </c>
      <c r="AQ840" s="158" t="s">
        <v>6517</v>
      </c>
      <c r="AR840" s="153" t="s">
        <v>1105</v>
      </c>
      <c r="AS840" s="165" t="s">
        <v>7722</v>
      </c>
      <c r="AT840" s="155" t="s">
        <v>149</v>
      </c>
      <c r="AU840" s="155" t="s">
        <v>149</v>
      </c>
    </row>
    <row r="841">
      <c r="A841" s="186">
        <v>453.0</v>
      </c>
      <c r="B841" s="152">
        <v>2023.0</v>
      </c>
      <c r="D841" s="152"/>
      <c r="E841" s="151">
        <v>420.0</v>
      </c>
      <c r="F841" s="129" t="s">
        <v>140</v>
      </c>
      <c r="G841" s="3" t="s">
        <v>6029</v>
      </c>
      <c r="H841" s="8" t="str">
        <f>IFERROR(__xludf.DUMMYFUNCTION("""COMPUTED_VALUE"""),"")</f>
        <v/>
      </c>
      <c r="I841" s="8" t="s">
        <v>7723</v>
      </c>
      <c r="J841" s="8" t="s">
        <v>642</v>
      </c>
      <c r="K841" s="8" t="s">
        <v>1217</v>
      </c>
      <c r="L841" s="8" t="s">
        <v>1218</v>
      </c>
      <c r="M841" s="8" t="s">
        <v>1219</v>
      </c>
      <c r="N841" s="8" t="s">
        <v>6221</v>
      </c>
      <c r="O841" s="8" t="s">
        <v>3413</v>
      </c>
      <c r="P841" s="3" t="s">
        <v>149</v>
      </c>
      <c r="Q841" s="142" t="s">
        <v>6063</v>
      </c>
      <c r="R841" s="142" t="s">
        <v>6063</v>
      </c>
      <c r="S841" s="142" t="s">
        <v>6152</v>
      </c>
      <c r="T841" s="8"/>
      <c r="U841" s="8">
        <f>IFERROR(__xludf.DUMMYFUNCTION("""COMPUTED_VALUE"""),813.0)</f>
        <v>813</v>
      </c>
      <c r="V841" s="8"/>
      <c r="W841" s="3"/>
      <c r="X841" s="8"/>
      <c r="Y841" s="8"/>
      <c r="AA841" s="3" t="s">
        <v>149</v>
      </c>
      <c r="AB841" s="8" t="s">
        <v>204</v>
      </c>
      <c r="AC841" s="8" t="s">
        <v>321</v>
      </c>
      <c r="AG841" s="3" t="s">
        <v>149</v>
      </c>
      <c r="AH841" s="3" t="s">
        <v>149</v>
      </c>
      <c r="AI841" s="3" t="s">
        <v>149</v>
      </c>
      <c r="AJ841" s="8" t="s">
        <v>7717</v>
      </c>
      <c r="AL841" s="8" t="s">
        <v>1833</v>
      </c>
      <c r="AM841" s="8" t="s">
        <v>885</v>
      </c>
      <c r="AN841" s="3" t="s">
        <v>149</v>
      </c>
      <c r="AO841" s="8"/>
      <c r="AP841" s="8"/>
      <c r="AR841" s="8" t="s">
        <v>6257</v>
      </c>
      <c r="AS841" s="3" t="s">
        <v>149</v>
      </c>
      <c r="AT841" s="8" t="s">
        <v>1872</v>
      </c>
      <c r="AU841" s="172" t="s">
        <v>1873</v>
      </c>
    </row>
    <row r="842">
      <c r="A842" s="186">
        <v>454.0</v>
      </c>
      <c r="B842" s="152">
        <v>2023.0</v>
      </c>
      <c r="D842" s="152"/>
      <c r="E842" s="151">
        <v>421.0</v>
      </c>
      <c r="F842" s="129" t="s">
        <v>140</v>
      </c>
      <c r="G842" s="3" t="s">
        <v>6029</v>
      </c>
      <c r="H842" s="8" t="str">
        <f>IFERROR(__xludf.DUMMYFUNCTION("""COMPUTED_VALUE"""),"")</f>
        <v/>
      </c>
      <c r="I842" s="8" t="s">
        <v>7724</v>
      </c>
      <c r="J842" s="8" t="s">
        <v>619</v>
      </c>
      <c r="K842" s="8" t="s">
        <v>7673</v>
      </c>
      <c r="L842" s="8" t="s">
        <v>7673</v>
      </c>
      <c r="M842" s="153" t="s">
        <v>7674</v>
      </c>
      <c r="N842" s="8" t="s">
        <v>151</v>
      </c>
      <c r="O842" s="8" t="s">
        <v>384</v>
      </c>
      <c r="P842" s="8" t="s">
        <v>7725</v>
      </c>
      <c r="Q842" s="181" t="s">
        <v>6169</v>
      </c>
      <c r="R842" s="142" t="s">
        <v>6052</v>
      </c>
      <c r="S842" s="142" t="s">
        <v>6053</v>
      </c>
      <c r="T842" s="8"/>
      <c r="U842" s="8">
        <f>IFERROR(__xludf.DUMMYFUNCTION("""COMPUTED_VALUE"""),814.0)</f>
        <v>814</v>
      </c>
      <c r="V842" s="8"/>
      <c r="W842" s="8"/>
      <c r="X842" s="8"/>
      <c r="Y842" s="8"/>
      <c r="AA842" s="8" t="s">
        <v>6054</v>
      </c>
      <c r="AB842" s="3" t="s">
        <v>149</v>
      </c>
      <c r="AC842" s="8" t="s">
        <v>390</v>
      </c>
      <c r="AG842" s="3" t="s">
        <v>149</v>
      </c>
      <c r="AH842" s="3" t="s">
        <v>149</v>
      </c>
      <c r="AI842" s="8" t="s">
        <v>2885</v>
      </c>
      <c r="AJ842" s="8" t="s">
        <v>390</v>
      </c>
      <c r="AL842" s="8" t="s">
        <v>6055</v>
      </c>
      <c r="AM842" s="3" t="s">
        <v>149</v>
      </c>
      <c r="AN842" s="3" t="s">
        <v>149</v>
      </c>
      <c r="AO842" s="8"/>
      <c r="AP842" s="8"/>
      <c r="AR842" s="8" t="s">
        <v>6057</v>
      </c>
      <c r="AS842" s="8" t="s">
        <v>2873</v>
      </c>
      <c r="AT842" s="8" t="s">
        <v>398</v>
      </c>
      <c r="AU842" s="3" t="s">
        <v>149</v>
      </c>
    </row>
    <row r="843">
      <c r="A843" s="186">
        <v>455.0</v>
      </c>
      <c r="B843" s="152">
        <v>2025.0</v>
      </c>
      <c r="C843" s="153" t="str">
        <f>CONCATENATE(D843, "-", M843, "-", A843)
</f>
        <v>2023-PH184609000-455</v>
      </c>
      <c r="D843" s="152">
        <f>IF(OR(F842="Published", F842="Unpublished"), 2023, IF(F842="New", 2025, ""))
</f>
        <v>2023</v>
      </c>
      <c r="E843" s="151">
        <v>421.0</v>
      </c>
      <c r="F843" s="156" t="s">
        <v>191</v>
      </c>
      <c r="G843" s="156" t="s">
        <v>191</v>
      </c>
      <c r="H843" s="153" t="str">
        <f>IFERROR(__xludf.DUMMYFUNCTION("""COMPUTED_VALUE"""),"**Region** changed from NCR to NIR, **Restoration_project** changed from Artificial Reef Development Program to Unknown, **Restoration_project_short** changed from San Nicolas Shoal to Site in Pura Vida Resort house reef, **Year of establishment** changed"&amp;" from 1981 to 2017, **Project Start** changed from 1985 to Unknown, **Project End** changed from 1987 to Unknown, **Technique/Material Type** changed from tires to Glass bottles, **Funding agency** changed from BFAR to Pura Vida Dive Resort, **Total units"&amp;"** changed from 15 TM to 300 blocks, 3600 bottles, **Implementing institution** changed from BFAR to Sea Explorers Philippines; Pura Vida Dive Resort, **Partners_public** changed from Ministry of Human Settlements to Unknown, **Reference** changed from Co"&amp;"nference Proceediing to FinnSnow (2021, October 20). Creating &amp; Installing Artificial Reefs in the Philippines - (Before/After Results) [Video]. Youtube. https://www.youtube.com/watch?v=X-dAZVSGLok, **Website** changed from http://pubs.iclarm.net/libinfo/"&amp;"Pdf/Pub%20CP6%2049.pdf to https://www.youtube.com/watch?v=X-dAZVSGLok, **Contact_name** changed from Miriam Balgos to Unknown")</f>
        <v>**Region** changed from NCR to NIR, **Restoration_project** changed from Artificial Reef Development Program to Unknown, **Restoration_project_short** changed from San Nicolas Shoal to Site in Pura Vida Resort house reef, **Year of establishment** changed from 1981 to 2017, **Project Start** changed from 1985 to Unknown, **Project End** changed from 1987 to Unknown, **Technique/Material Type** changed from tires to Glass bottles, **Funding agency** changed from BFAR to Pura Vida Dive Resort, **Total units** changed from 15 TM to 300 blocks, 3600 bottles, **Implementing institution** changed from BFAR to Sea Explorers Philippines; Pura Vida Dive Resort, **Partners_public** changed from Ministry of Human Settlements to Unknown, **Reference** changed from Conference Proceediing to FinnSnow (2021, October 20). Creating &amp; Installing Artificial Reefs in the Philippines - (Before/After Results) [Video]. Youtube. https://www.youtube.com/watch?v=X-dAZVSGLok, **Website** changed from http://pubs.iclarm.net/libinfo/Pdf/Pub%20CP6%2049.pdf to https://www.youtube.com/watch?v=X-dAZVSGLok, **Contact_name** changed from Miriam Balgos to Unknown</v>
      </c>
      <c r="I843" s="153" t="s">
        <v>7726</v>
      </c>
      <c r="J843" s="153" t="s">
        <v>625</v>
      </c>
      <c r="K843" s="153" t="s">
        <v>632</v>
      </c>
      <c r="L843" s="153" t="s">
        <v>847</v>
      </c>
      <c r="M843" s="181" t="s">
        <v>7167</v>
      </c>
      <c r="N843" s="153" t="s">
        <v>151</v>
      </c>
      <c r="O843" s="158" t="s">
        <v>149</v>
      </c>
      <c r="P843" s="153" t="s">
        <v>7727</v>
      </c>
      <c r="Q843" s="178">
        <v>2017.0</v>
      </c>
      <c r="R843" s="164" t="s">
        <v>149</v>
      </c>
      <c r="S843" s="164" t="s">
        <v>149</v>
      </c>
      <c r="T843" s="161" t="s">
        <v>150</v>
      </c>
      <c r="U843" s="153">
        <f>IFERROR(__xludf.DUMMYFUNCTION("""COMPUTED_VALUE"""),815.0)</f>
        <v>815</v>
      </c>
      <c r="V843" s="162" t="s">
        <v>3311</v>
      </c>
      <c r="W843" s="179" t="s">
        <v>6059</v>
      </c>
      <c r="X843" s="28" t="s">
        <v>6033</v>
      </c>
      <c r="Y843" s="32" t="s">
        <v>2630</v>
      </c>
      <c r="Z843" s="158" t="s">
        <v>2630</v>
      </c>
      <c r="AA843" s="153" t="s">
        <v>2630</v>
      </c>
      <c r="AB843" s="158" t="s">
        <v>149</v>
      </c>
      <c r="AC843" s="158" t="s">
        <v>3219</v>
      </c>
      <c r="AD843" s="158" t="s">
        <v>160</v>
      </c>
      <c r="AE843" s="158" t="s">
        <v>184</v>
      </c>
      <c r="AF843" s="158" t="s">
        <v>159</v>
      </c>
      <c r="AG843" s="164" t="s">
        <v>149</v>
      </c>
      <c r="AH843" s="158" t="s">
        <v>149</v>
      </c>
      <c r="AI843" s="158" t="s">
        <v>7728</v>
      </c>
      <c r="AJ843" s="158" t="s">
        <v>3221</v>
      </c>
      <c r="AK843" s="158" t="s">
        <v>184</v>
      </c>
      <c r="AL843" s="156" t="s">
        <v>149</v>
      </c>
      <c r="AM843" s="176" t="s">
        <v>149</v>
      </c>
      <c r="AN843" s="156" t="s">
        <v>149</v>
      </c>
      <c r="AO843" s="156">
        <v>1.0</v>
      </c>
      <c r="AP843" s="156" t="s">
        <v>6037</v>
      </c>
      <c r="AQ843" s="158" t="s">
        <v>6038</v>
      </c>
      <c r="AR843" s="153" t="s">
        <v>3215</v>
      </c>
      <c r="AS843" s="165" t="s">
        <v>3216</v>
      </c>
      <c r="AT843" s="156" t="s">
        <v>149</v>
      </c>
      <c r="AU843" s="156" t="s">
        <v>149</v>
      </c>
    </row>
    <row r="844">
      <c r="A844" s="186">
        <v>456.0</v>
      </c>
      <c r="B844" s="152">
        <v>2023.0</v>
      </c>
      <c r="D844" s="152"/>
      <c r="E844" s="151">
        <v>422.0</v>
      </c>
      <c r="F844" s="129" t="s">
        <v>140</v>
      </c>
      <c r="G844" s="3" t="s">
        <v>6029</v>
      </c>
      <c r="H844" s="8" t="str">
        <f>IFERROR(__xludf.DUMMYFUNCTION("""COMPUTED_VALUE"""),"")</f>
        <v/>
      </c>
      <c r="I844" s="8" t="s">
        <v>7729</v>
      </c>
      <c r="J844" s="8" t="s">
        <v>619</v>
      </c>
      <c r="K844" s="8" t="s">
        <v>7673</v>
      </c>
      <c r="L844" s="8" t="s">
        <v>7673</v>
      </c>
      <c r="M844" s="153" t="s">
        <v>7674</v>
      </c>
      <c r="N844" s="8" t="s">
        <v>151</v>
      </c>
      <c r="O844" s="8" t="s">
        <v>384</v>
      </c>
      <c r="P844" s="8" t="s">
        <v>7730</v>
      </c>
      <c r="Q844" s="142" t="s">
        <v>6052</v>
      </c>
      <c r="R844" s="142" t="s">
        <v>6052</v>
      </c>
      <c r="S844" s="142" t="s">
        <v>6053</v>
      </c>
      <c r="T844" s="8"/>
      <c r="U844" s="8">
        <f>IFERROR(__xludf.DUMMYFUNCTION("""COMPUTED_VALUE"""),816.0)</f>
        <v>816</v>
      </c>
      <c r="V844" s="8"/>
      <c r="W844" s="8"/>
      <c r="X844" s="8"/>
      <c r="Y844" s="8"/>
      <c r="AA844" s="8" t="s">
        <v>6054</v>
      </c>
      <c r="AB844" s="3" t="s">
        <v>149</v>
      </c>
      <c r="AC844" s="8" t="s">
        <v>390</v>
      </c>
      <c r="AG844" s="3" t="s">
        <v>149</v>
      </c>
      <c r="AH844" s="3" t="s">
        <v>149</v>
      </c>
      <c r="AI844" s="8" t="s">
        <v>414</v>
      </c>
      <c r="AJ844" s="8" t="s">
        <v>390</v>
      </c>
      <c r="AL844" s="8" t="s">
        <v>6055</v>
      </c>
      <c r="AM844" s="3" t="s">
        <v>149</v>
      </c>
      <c r="AN844" s="3" t="s">
        <v>149</v>
      </c>
      <c r="AO844" s="8"/>
      <c r="AP844" s="8"/>
      <c r="AR844" s="8" t="s">
        <v>6057</v>
      </c>
      <c r="AS844" s="8" t="s">
        <v>2873</v>
      </c>
      <c r="AT844" s="8" t="s">
        <v>398</v>
      </c>
      <c r="AU844" s="3" t="s">
        <v>149</v>
      </c>
    </row>
    <row r="845">
      <c r="A845" s="186">
        <v>457.0</v>
      </c>
      <c r="B845" s="152">
        <v>2025.0</v>
      </c>
      <c r="C845" s="153" t="str">
        <f t="shared" ref="C845:C882" si="99">CONCATENATE(D845, "-", M845, "-", A845)
</f>
        <v>2023-PH184610000-457</v>
      </c>
      <c r="D845" s="152">
        <f t="shared" ref="D845:D882" si="100">IF(OR(F844="Published", F844="Unpublished"), 2023, IF(F844="New", 2025, ""))
</f>
        <v>2023</v>
      </c>
      <c r="E845" s="151">
        <v>422.0</v>
      </c>
      <c r="F845" s="156" t="s">
        <v>140</v>
      </c>
      <c r="G845" s="156" t="s">
        <v>141</v>
      </c>
      <c r="H845" s="153" t="str">
        <f>IFERROR(__xludf.DUMMYFUNCTION("""COMPUTED_VALUE"""),"**Region** changed from NCR to NIR, **Restoration_project** changed from Artificial Reef Development Program to Unknown, **Restoration_project_short** changed from Site in Manila Bay Fish Sanctuary; *Coordinates taken from https://www.bfar.da.gov.ph/wp-co"&amp;"ntent/uploads/2021/04/FAO-No.-151-s.-1985.pdf; fronting Navotas and Tondo area in Manila and Orion in Bataan to Unknown, **Year of establishment** changed from 1985 to Unknown, **Project Start** changed from 1985 to Unknown, **Project End** changed from 1"&amp;"987 to Unknown, **Technique/Material Type** changed from tires to Concrete domes, **Restoration objective** changed from Unknown to Restore reef systems, **Funding agency** changed from BFAR to BPI Bayan Dumaguete, **Total units** changed from 8 TM to Unk"&amp;"nown, **Implementing institution** changed from BFAR to Rotary Club Dumaguete South, **Partners_public** changed from Ministry of Human Settlements to Unknown, **Partners_private** changed from Unknown to BPI Bayan Dumaguete, **Reference** changed from Co"&amp;"nference Proceediing to Rotary Dumaguete South (2021, September 29). Artificial Reef Dome: A Partnership with BPI Bayan and RCDS. The Spinning Wheel, Vol. 29, No. 4. https://www.rotarydistrict3860.org/wp-content/d3860/Dumaguete%20South/21_22/04_ebulletin_"&amp;"2021_09_29_2021-09-29.pdf, **Website** changed from http://pubs.iclarm.net/libinfo/Pdf/Pub%20CP6%2049.pdf to https://www.rotarydistrict3860.org/wp-content/d3860/Dumaguete%20South/21_22/04_ebulletin_2021_09_29_2021-09-29.pdf, **Contact_name** changed from "&amp;"Miriam Balgos to Unknown")</f>
        <v>**Region** changed from NCR to NIR, **Restoration_project** changed from Artificial Reef Development Program to Unknown, **Restoration_project_short** changed from Site in Manila Bay Fish Sanctuary; *Coordinates taken from https://www.bfar.da.gov.ph/wp-content/uploads/2021/04/FAO-No.-151-s.-1985.pdf; fronting Navotas and Tondo area in Manila and Orion in Bataan to Unknown, **Year of establishment** changed from 1985 to Unknown, **Project Start** changed from 1985 to Unknown, **Project End** changed from 1987 to Unknown, **Technique/Material Type** changed from tires to Concrete domes, **Restoration objective** changed from Unknown to Restore reef systems, **Funding agency** changed from BFAR to BPI Bayan Dumaguete, **Total units** changed from 8 TM to Unknown, **Implementing institution** changed from BFAR to Rotary Club Dumaguete South, **Partners_public** changed from Ministry of Human Settlements to Unknown, **Partners_private** changed from Unknown to BPI Bayan Dumaguete, **Reference** changed from Conference Proceediing to Rotary Dumaguete South (2021, September 29). Artificial Reef Dome: A Partnership with BPI Bayan and RCDS. The Spinning Wheel, Vol. 29, No. 4. https://www.rotarydistrict3860.org/wp-content/d3860/Dumaguete%20South/21_22/04_ebulletin_2021_09_29_2021-09-29.pdf, **Website** changed from http://pubs.iclarm.net/libinfo/Pdf/Pub%20CP6%2049.pdf to https://www.rotarydistrict3860.org/wp-content/d3860/Dumaguete%20South/21_22/04_ebulletin_2021_09_29_2021-09-29.pdf, **Contact_name** changed from Miriam Balgos to Unknown</v>
      </c>
      <c r="I845" s="153" t="s">
        <v>7731</v>
      </c>
      <c r="J845" s="153" t="s">
        <v>625</v>
      </c>
      <c r="K845" s="153" t="s">
        <v>632</v>
      </c>
      <c r="L845" s="153" t="s">
        <v>7175</v>
      </c>
      <c r="M845" s="181" t="s">
        <v>7176</v>
      </c>
      <c r="N845" s="153" t="s">
        <v>151</v>
      </c>
      <c r="O845" s="158" t="s">
        <v>149</v>
      </c>
      <c r="P845" s="155" t="s">
        <v>149</v>
      </c>
      <c r="Q845" s="178" t="s">
        <v>149</v>
      </c>
      <c r="R845" s="160" t="s">
        <v>149</v>
      </c>
      <c r="S845" s="160" t="s">
        <v>149</v>
      </c>
      <c r="T845" s="161" t="s">
        <v>150</v>
      </c>
      <c r="U845" s="153">
        <f>IFERROR(__xludf.DUMMYFUNCTION("""COMPUTED_VALUE"""),817.0)</f>
        <v>817</v>
      </c>
      <c r="V845" s="162" t="s">
        <v>3311</v>
      </c>
      <c r="W845" s="184" t="s">
        <v>6032</v>
      </c>
      <c r="X845" s="28" t="s">
        <v>6173</v>
      </c>
      <c r="Y845" s="32" t="s">
        <v>361</v>
      </c>
      <c r="Z845" s="158" t="s">
        <v>361</v>
      </c>
      <c r="AA845" s="158" t="s">
        <v>361</v>
      </c>
      <c r="AB845" s="158" t="s">
        <v>2341</v>
      </c>
      <c r="AC845" s="158" t="s">
        <v>2342</v>
      </c>
      <c r="AD845" s="158" t="s">
        <v>160</v>
      </c>
      <c r="AE845" s="158" t="s">
        <v>184</v>
      </c>
      <c r="AF845" s="158" t="s">
        <v>159</v>
      </c>
      <c r="AG845" s="164" t="s">
        <v>149</v>
      </c>
      <c r="AH845" s="158" t="s">
        <v>149</v>
      </c>
      <c r="AI845" s="158" t="s">
        <v>149</v>
      </c>
      <c r="AJ845" s="153" t="s">
        <v>2343</v>
      </c>
      <c r="AK845" s="153" t="s">
        <v>271</v>
      </c>
      <c r="AL845" s="155" t="s">
        <v>149</v>
      </c>
      <c r="AM845" s="153" t="s">
        <v>2342</v>
      </c>
      <c r="AN845" s="155" t="s">
        <v>149</v>
      </c>
      <c r="AO845" s="156">
        <v>1.0</v>
      </c>
      <c r="AP845" s="156" t="s">
        <v>6037</v>
      </c>
      <c r="AQ845" s="158" t="s">
        <v>166</v>
      </c>
      <c r="AR845" s="153" t="s">
        <v>2344</v>
      </c>
      <c r="AS845" s="165" t="s">
        <v>2345</v>
      </c>
      <c r="AT845" s="155" t="s">
        <v>149</v>
      </c>
      <c r="AU845" s="155" t="s">
        <v>149</v>
      </c>
    </row>
    <row r="846">
      <c r="A846" s="186">
        <v>458.0</v>
      </c>
      <c r="B846" s="152">
        <v>2025.0</v>
      </c>
      <c r="C846" s="153" t="str">
        <f t="shared" si="99"/>
        <v>2023-PH184610000-458</v>
      </c>
      <c r="D846" s="152">
        <f t="shared" si="100"/>
        <v>2023</v>
      </c>
      <c r="E846" s="151">
        <v>423.0</v>
      </c>
      <c r="F846" s="156" t="s">
        <v>140</v>
      </c>
      <c r="G846" s="156" t="s">
        <v>141</v>
      </c>
      <c r="H846" s="153" t="str">
        <f>IFERROR(__xludf.DUMMYFUNCTION("""COMPUTED_VALUE"""),"**Restoration_project_short** changed from Unknown to Site in Bantayan , **Project Start** changed from Unknown to 1977, **Project End** changed from Unknown to 1978, **Technique/Material Type** changed from Concrete domes to tires, **Restoration objectiv"&amp;"e** changed from Restore reef systems to Experimental, **Funding agency** changed from BPI Bayan Dumaguete to Silliman University, **Total units** changed from Unknown to 70 modules, **Implementing institution** changed from Rotary Club Dumaguete South to"&amp;" Silliman University, **Partners_public** changed from Unknown to BFAR; US Peace Corps, **Partners_private** changed from BPI Bayan Dumaguete to Unknown, **Reference** changed from Rotary Dumaguete South (2021, September 29). Artificial Reef Dome: A Partn"&amp;"ership with BPI Bayan and RCDS. The Spinning Wheel, Vol. 29, No. 4. https://www.rotarydistrict3860.org/wp-content/d3860/Dumaguete%20South/21_22/04_ebulletin_2021_09_29_2021-09-29.pdf to Balgos, M.C. (1995). Evaluation of artificial reef development in the"&amp;" Philippines. In Munro, J.L. &amp; Balgos, M. (eds.) Artificial reefs in the Philippines. ICLARM Conf. Proc. 49, pp. 6-22.; Alcala, A. (1979). Fish Standing Stock and Yield of an Artificial Reef off Bantayan, Dumaguete, Philippines. Silliman Journal, 26(4). 2"&amp;"53-262. http://scinet.science.ph/union/Downloads/Alcala%20AC%201979%20Fish%20Standing%20Stock%20&amp;%20Yield%20of%20an%20Artificial%20Reef%20off%20Bantayan,%20Dumaguete%20City,%20Philippines_3963.pdf, **Website** changed from https://www.rotarydistrict3860.o"&amp;"rg/wp-content/d3860/Dumaguete%20South/21_22/04_ebulletin_2021_09_29_2021-09-29.pdf to https://core.ac.uk/download/pdf/6515223.pdf, **Contact_name** changed from Unknown to Miriam Balgos")</f>
        <v>**Restoration_project_short** changed from Unknown to Site in Bantayan , **Project Start** changed from Unknown to 1977, **Project End** changed from Unknown to 1978, **Technique/Material Type** changed from Concrete domes to tires, **Restoration objective** changed from Restore reef systems to Experimental, **Funding agency** changed from BPI Bayan Dumaguete to Silliman University, **Total units** changed from Unknown to 70 modules, **Implementing institution** changed from Rotary Club Dumaguete South to Silliman University, **Partners_public** changed from Unknown to BFAR; US Peace Corps, **Partners_private** changed from BPI Bayan Dumaguete to Unknown, **Reference** changed from Rotary Dumaguete South (2021, September 29). Artificial Reef Dome: A Partnership with BPI Bayan and RCDS. The Spinning Wheel, Vol. 29, No. 4. https://www.rotarydistrict3860.org/wp-content/d3860/Dumaguete%20South/21_22/04_ebulletin_2021_09_29_2021-09-29.pdf to Balgos, M.C. (1995). Evaluation of artificial reef development in the Philippines. In Munro, J.L. &amp; Balgos, M. (eds.) Artificial reefs in the Philippines. ICLARM Conf. Proc. 49, pp. 6-22.; Alcala, A. (1979). Fish Standing Stock and Yield of an Artificial Reef off Bantayan, Dumaguete, Philippines. Silliman Journal, 26(4). 253-262. http://scinet.science.ph/union/Downloads/Alcala%20AC%201979%20Fish%20Standing%20Stock%20&amp;%20Yield%20of%20an%20Artificial%20Reef%20off%20Bantayan,%20Dumaguete%20City,%20Philippines_3963.pdf, **Website** changed from https://www.rotarydistrict3860.org/wp-content/d3860/Dumaguete%20South/21_22/04_ebulletin_2021_09_29_2021-09-29.pdf to https://core.ac.uk/download/pdf/6515223.pdf, **Contact_name** changed from Unknown to Miriam Balgos</v>
      </c>
      <c r="I846" s="153" t="s">
        <v>7732</v>
      </c>
      <c r="J846" s="153" t="s">
        <v>625</v>
      </c>
      <c r="K846" s="153" t="s">
        <v>632</v>
      </c>
      <c r="L846" s="153" t="s">
        <v>7175</v>
      </c>
      <c r="M846" s="181" t="s">
        <v>7176</v>
      </c>
      <c r="N846" s="153" t="s">
        <v>151</v>
      </c>
      <c r="O846" s="158" t="s">
        <v>149</v>
      </c>
      <c r="P846" s="153" t="s">
        <v>3035</v>
      </c>
      <c r="Q846" s="178" t="s">
        <v>149</v>
      </c>
      <c r="R846" s="175" t="s">
        <v>7180</v>
      </c>
      <c r="S846" s="175" t="s">
        <v>6347</v>
      </c>
      <c r="T846" s="161" t="s">
        <v>150</v>
      </c>
      <c r="U846" s="153">
        <f>IFERROR(__xludf.DUMMYFUNCTION("""COMPUTED_VALUE"""),818.0)</f>
        <v>818</v>
      </c>
      <c r="V846" s="162" t="s">
        <v>3311</v>
      </c>
      <c r="W846" s="170" t="s">
        <v>6059</v>
      </c>
      <c r="X846" s="28" t="s">
        <v>6033</v>
      </c>
      <c r="Y846" s="28" t="s">
        <v>386</v>
      </c>
      <c r="Z846" s="176" t="s">
        <v>386</v>
      </c>
      <c r="AA846" s="153" t="s">
        <v>6054</v>
      </c>
      <c r="AB846" s="153" t="s">
        <v>699</v>
      </c>
      <c r="AC846" s="158" t="s">
        <v>3037</v>
      </c>
      <c r="AD846" s="158" t="s">
        <v>160</v>
      </c>
      <c r="AE846" s="158" t="s">
        <v>209</v>
      </c>
      <c r="AF846" s="158" t="s">
        <v>204</v>
      </c>
      <c r="AG846" s="164" t="s">
        <v>149</v>
      </c>
      <c r="AH846" s="158" t="s">
        <v>149</v>
      </c>
      <c r="AI846" s="153" t="s">
        <v>3036</v>
      </c>
      <c r="AJ846" s="153" t="s">
        <v>3037</v>
      </c>
      <c r="AK846" s="158" t="s">
        <v>6068</v>
      </c>
      <c r="AL846" s="153" t="s">
        <v>3038</v>
      </c>
      <c r="AM846" s="155" t="s">
        <v>149</v>
      </c>
      <c r="AN846" s="155" t="s">
        <v>149</v>
      </c>
      <c r="AO846" s="156">
        <v>1.0</v>
      </c>
      <c r="AP846" s="156" t="s">
        <v>6037</v>
      </c>
      <c r="AQ846" s="158" t="s">
        <v>395</v>
      </c>
      <c r="AR846" s="153" t="s">
        <v>7733</v>
      </c>
      <c r="AS846" s="177" t="s">
        <v>541</v>
      </c>
      <c r="AT846" s="153" t="s">
        <v>398</v>
      </c>
      <c r="AU846" s="155" t="s">
        <v>149</v>
      </c>
    </row>
    <row r="847">
      <c r="A847" s="186">
        <v>459.0</v>
      </c>
      <c r="B847" s="152">
        <v>2025.0</v>
      </c>
      <c r="C847" s="153" t="str">
        <f t="shared" si="99"/>
        <v>2023-PH184610000-459</v>
      </c>
      <c r="D847" s="152">
        <f t="shared" si="100"/>
        <v>2023</v>
      </c>
      <c r="E847" s="151">
        <v>424.0</v>
      </c>
      <c r="F847" s="156" t="s">
        <v>140</v>
      </c>
      <c r="G847" s="156" t="s">
        <v>141</v>
      </c>
      <c r="H847" s="153" t="str">
        <f>IFERROR(__xludf.DUMMYFUNCTION("""COMPUTED_VALUE"""),"**Restoration_project** changed from Unknown to Coral Reef Habitat and Productivity Enhancement through Coral Transplantation and Giant Clam Restocking, **Restoration_project_short** changed from Site in Bantayan to Unknown, **Year of establishment** chan"&amp;"ged from Unknown to 2001, **Project Start** changed from 1977 to 2001, **Project End** changed from 1978 to 2005, **Restoration method** changed from Artificial Reef to Asexual Reproduction, **Technique/Material Type** changed from tires to Direct transpl"&amp;"antation, **Restoration objective** changed from Experimental to Improve biodiversity and productivity of stressed coral reef habitats in 10 selected demonstration sites, **Funding agency** changed from Silliman University to Pew Marine Conservation Fello"&amp;"wship, **Total units** changed from 70 modules to Unknown, **Implementing institution** changed from Silliman University to UP MSI, **Partners_public** changed from BFAR; US Peace Corps to Unknown, **Reference** changed from Balgos, M.C. (1995). Evaluatio"&amp;"n of artificial reef development in the Philippines. In Munro, J.L. &amp; Balgos, M. (eds.) Artificial reefs in the Philippines. ICLARM Conf. Proc. 49, pp. 6-22.; Alcala, A. (1979). Fish Standing Stock and Yield of an Artificial Reef off Bantayan, Dumaguete, "&amp;"Philippines. Silliman Journal, 26(4). 253-262. http://scinet.science.ph/union/Downloads/Alcala%20AC%201979%20Fish%20Standing%20Stock%20&amp;%20Yield%20of%20an%20Artificial%20Reef%20off%20Bantayan,%20Dumaguete%20City,%20Philippines_3963.pdf to Gomez, E., Cabai"&amp;"tan, P., &amp; Vicentuan, K. (2006). Coral culture and transplantation and restocking of giant clams in the Philippines. In J.H. Primavera, E.T. Quinitio, &amp; M. R. R. Eguia (Eds.). Proceedings of the Regional Technical Consultation on Stock Enhancement for Thr"&amp;"eatened Species of International Concern, Iloilo City, Philippines, 13-15 July 2005 (pp. 39-48). Tigbaua, Iloilo, Philippines: Aquaculture Department, Southeast Asian Fisheries Development Center. Retrieved from https://aquadocs.org/bitstream/handle/1834/"&amp;"40478/GomezED2006.pdf?sequence=1&amp;isAllowed=y, **Website** changed from https://core.ac.uk/download/pdf/6515223.pdf to https://aquadocs.org/bitstream/handle/1834/40478/GomezED2006.pdf?sequence=1&amp;isAllowed=y, **Contact_name** changed from Miriam Balgos to D"&amp;"r. Patrick Cabaitan")</f>
        <v>**Restoration_project** changed from Unknown to Coral Reef Habitat and Productivity Enhancement through Coral Transplantation and Giant Clam Restocking, **Restoration_project_short** changed from Site in Bantayan to Unknown, **Year of establishment** changed from Unknown to 2001, **Project Start** changed from 1977 to 2001, **Project End** changed from 1978 to 2005, **Restoration method** changed from Artificial Reef to Asexual Reproduction, **Technique/Material Type** changed from tires to Direct transplantation, **Restoration objective** changed from Experimental to Improve biodiversity and productivity of stressed coral reef habitats in 10 selected demonstration sites, **Funding agency** changed from Silliman University to Pew Marine Conservation Fellowship, **Total units** changed from 70 modules to Unknown, **Implementing institution** changed from Silliman University to UP MSI, **Partners_public** changed from BFAR; US Peace Corps to Unknown, **Reference** changed from Balgos, M.C. (1995). Evaluation of artificial reef development in the Philippines. In Munro, J.L. &amp; Balgos, M. (eds.) Artificial reefs in the Philippines. ICLARM Conf. Proc. 49, pp. 6-22.; Alcala, A. (1979). Fish Standing Stock and Yield of an Artificial Reef off Bantayan, Dumaguete, Philippines. Silliman Journal, 26(4). 253-262. http://scinet.science.ph/union/Downloads/Alcala%20AC%201979%20Fish%20Standing%20Stock%20&amp;%20Yield%20of%20an%20Artificial%20Reef%20off%20Bantayan,%20Dumaguete%20City,%20Philippines_3963.pdf to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**Website** changed from https://core.ac.uk/download/pdf/6515223.pdf to https://aquadocs.org/bitstream/handle/1834/40478/GomezED2006.pdf?sequence=1&amp;isAllowed=y, **Contact_name** changed from Miriam Balgos to Dr. Patrick Cabaitan</v>
      </c>
      <c r="I847" s="153" t="s">
        <v>7734</v>
      </c>
      <c r="J847" s="153" t="s">
        <v>625</v>
      </c>
      <c r="K847" s="153" t="s">
        <v>632</v>
      </c>
      <c r="L847" s="153" t="s">
        <v>7175</v>
      </c>
      <c r="M847" s="181" t="s">
        <v>7176</v>
      </c>
      <c r="N847" s="153" t="s">
        <v>6062</v>
      </c>
      <c r="O847" s="153" t="s">
        <v>934</v>
      </c>
      <c r="P847" s="155" t="s">
        <v>149</v>
      </c>
      <c r="Q847" s="169">
        <v>2001.0</v>
      </c>
      <c r="R847" s="175" t="s">
        <v>6229</v>
      </c>
      <c r="S847" s="175" t="s">
        <v>6230</v>
      </c>
      <c r="T847" s="156" t="s">
        <v>177</v>
      </c>
      <c r="U847" s="153">
        <f>IFERROR(__xludf.DUMMYFUNCTION("""COMPUTED_VALUE"""),819.0)</f>
        <v>819</v>
      </c>
      <c r="V847" s="191" t="s">
        <v>3245</v>
      </c>
      <c r="W847" s="179" t="s">
        <v>149</v>
      </c>
      <c r="X847" s="180"/>
      <c r="Y847" s="180" t="s">
        <v>154</v>
      </c>
      <c r="Z847" s="158" t="s">
        <v>179</v>
      </c>
      <c r="AA847" s="153" t="s">
        <v>3245</v>
      </c>
      <c r="AB847" s="153" t="s">
        <v>939</v>
      </c>
      <c r="AC847" s="153" t="s">
        <v>940</v>
      </c>
      <c r="AD847" s="158" t="s">
        <v>6154</v>
      </c>
      <c r="AE847" s="158" t="s">
        <v>206</v>
      </c>
      <c r="AF847" s="158" t="s">
        <v>204</v>
      </c>
      <c r="AG847" s="164" t="s">
        <v>149</v>
      </c>
      <c r="AH847" s="158" t="s">
        <v>149</v>
      </c>
      <c r="AI847" s="158" t="s">
        <v>149</v>
      </c>
      <c r="AJ847" s="153" t="s">
        <v>233</v>
      </c>
      <c r="AK847" s="158" t="s">
        <v>6068</v>
      </c>
      <c r="AL847" s="155" t="s">
        <v>149</v>
      </c>
      <c r="AM847" s="155" t="s">
        <v>149</v>
      </c>
      <c r="AN847" s="155" t="s">
        <v>149</v>
      </c>
      <c r="AO847" s="156">
        <v>1.0</v>
      </c>
      <c r="AP847" s="156" t="s">
        <v>6037</v>
      </c>
      <c r="AQ847" s="158" t="s">
        <v>6214</v>
      </c>
      <c r="AR847" s="153" t="s">
        <v>941</v>
      </c>
      <c r="AS847" s="172" t="s">
        <v>942</v>
      </c>
      <c r="AT847" s="153" t="s">
        <v>943</v>
      </c>
      <c r="AU847" s="155" t="s">
        <v>149</v>
      </c>
    </row>
    <row r="848">
      <c r="A848" s="186">
        <v>500.0</v>
      </c>
      <c r="B848" s="152">
        <v>2025.0</v>
      </c>
      <c r="C848" s="153" t="str">
        <f t="shared" si="99"/>
        <v>2023-PH184612000-500</v>
      </c>
      <c r="D848" s="152">
        <f t="shared" si="100"/>
        <v>2023</v>
      </c>
      <c r="E848" s="151">
        <v>425.0</v>
      </c>
      <c r="F848" s="156" t="s">
        <v>140</v>
      </c>
      <c r="G848" s="156" t="s">
        <v>141</v>
      </c>
      <c r="H848" s="153" t="str">
        <f>IFERROR(__xludf.DUMMYFUNCTION("""COMPUTED_VALUE"""),"**Restoration_project** changed from Coral Reef Habitat and Productivity Enhancement through Coral Transplantation and Giant Clam Restocking to Unknown, **Restoration_project_short** changed from Unknown to Site in Dayoyo, **Year of establishment** change"&amp;"d from 2001 to Unknown, **Project Start** changed from 2001 to Unknown, **Project End** changed from 2005 to Unknown, **Restoration method** changed from Asexual Reproduction to Artificial Reef, **Technique/Material Type** changed from Direct transplantat"&amp;"ion to tires; concrete base, **Restoration objective** changed from Improve biodiversity and productivity of stressed coral reef habitats in 10 selected demonstration sites to Unknown, **Funding agency** changed from Pew Marine Conservation Fellowship to "&amp;"Unknown, **Total area of restoration** changed from Unknown to 140 m2, **Implementing institution** changed from UP MSI to Unknown, **Reference** changed from Gomez, E., Cabaitan, P., &amp; Vicentuan, K. (2006). Coral culture and transplantation and restockin"&amp;"g of giant clams in the Philippines. In J.H. Primavera, E.T. Quinitio, &amp; M. R. R. Eguia (Eds.). Proceedings of the Regional Technical Consultation on Stock Enhancement for Threatened Species of International Concern, Iloilo City, Philippines, 13-15 July 2"&amp;"005 (pp. 39-48). Tigbaua, Iloilo, Philippines: Aquaculture Department, Southeast Asian Fisheries Development Center. Retrieved from https://aquadocs.org/bitstream/handle/1834/40478/GomezED2006.pdf?sequence=1&amp;isAllowed=y to Balgos, M.C. (1995). Evaluation "&amp;"of artificial reef development in the Philippines. In Munro, J.L. &amp; Balgos, M. (eds.) Artificial reefs in the Philippines. ICLARM Conf. Proc. 49, pp. 6-22., **Website** changed from https://aquadocs.org/bitstream/handle/1834/40478/GomezED2006.pdf?sequence"&amp;"=1&amp;isAllowed=y to https://core.ac.uk/download/pdf/6515223.pdf, **Contact_name** changed from Dr. Patrick Cabaitan to Miriam Balgos")</f>
        <v>**Restoration_project** changed from Coral Reef Habitat and Productivity Enhancement through Coral Transplantation and Giant Clam Restocking to Unknown, **Restoration_project_short** changed from Unknown to Site in Dayoyo, **Year of establishment** changed from 2001 to Unknown, **Project Start** changed from 2001 to Unknown, **Project End** changed from 2005 to Unknown, **Restoration method** changed from Asexual Reproduction to Artificial Reef, **Technique/Material Type** changed from Direct transplantation to tires; concrete base, **Restoration objective** changed from Improve biodiversity and productivity of stressed coral reef habitats in 10 selected demonstration sites to Unknown, **Funding agency** changed from Pew Marine Conservation Fellowship to Unknown, **Total area of restoration** changed from Unknown to 140 m2, **Implementing institution** changed from UP MSI to Unknown, **Reference** changed from Gomez, E., Cabaitan, P., &amp; Vicentuan, K. (2006). Coral culture and transplantation and restocking of giant clams in the Philippines. In J.H. Primavera, E.T. Quinitio, &amp; M. R. R. Eguia (Eds.). Proceedings of the Regional Technical Consultation on Stock Enhancement for Threatened Species of International Concern, Iloilo City, Philippines, 13-15 July 2005 (pp. 39-48). Tigbaua, Iloilo, Philippines: Aquaculture Department, Southeast Asian Fisheries Development Center. Retrieved from https://aquadocs.org/bitstream/handle/1834/40478/GomezED2006.pdf?sequence=1&amp;isAllowed=y to Balgos, M.C. (1995). Evaluation of artificial reef development in the Philippines. In Munro, J.L. &amp; Balgos, M. (eds.) Artificial reefs in the Philippines. ICLARM Conf. Proc. 49, pp. 6-22., **Website** changed from https://aquadocs.org/bitstream/handle/1834/40478/GomezED2006.pdf?sequence=1&amp;isAllowed=y to https://core.ac.uk/download/pdf/6515223.pdf, **Contact_name** changed from Dr. Patrick Cabaitan to Miriam Balgos</v>
      </c>
      <c r="I848" s="153" t="s">
        <v>7735</v>
      </c>
      <c r="J848" s="153" t="s">
        <v>625</v>
      </c>
      <c r="K848" s="153" t="s">
        <v>632</v>
      </c>
      <c r="L848" s="153" t="s">
        <v>2697</v>
      </c>
      <c r="M848" s="181" t="s">
        <v>7189</v>
      </c>
      <c r="N848" s="153" t="s">
        <v>151</v>
      </c>
      <c r="O848" s="158" t="s">
        <v>149</v>
      </c>
      <c r="P848" s="158" t="s">
        <v>2699</v>
      </c>
      <c r="Q848" s="178" t="s">
        <v>149</v>
      </c>
      <c r="R848" s="160" t="s">
        <v>149</v>
      </c>
      <c r="S848" s="160" t="s">
        <v>149</v>
      </c>
      <c r="T848" s="161" t="s">
        <v>150</v>
      </c>
      <c r="U848" s="153">
        <f>IFERROR(__xludf.DUMMYFUNCTION("""COMPUTED_VALUE"""),820.0)</f>
        <v>820</v>
      </c>
      <c r="V848" s="162" t="s">
        <v>3311</v>
      </c>
      <c r="W848" s="184" t="s">
        <v>6172</v>
      </c>
      <c r="X848" s="28" t="s">
        <v>6082</v>
      </c>
      <c r="Y848" s="32" t="s">
        <v>7477</v>
      </c>
      <c r="Z848" s="158" t="s">
        <v>7695</v>
      </c>
      <c r="AA848" s="158" t="s">
        <v>7695</v>
      </c>
      <c r="AB848" s="158" t="s">
        <v>149</v>
      </c>
      <c r="AC848" s="158" t="s">
        <v>149</v>
      </c>
      <c r="AD848" s="158" t="s">
        <v>149</v>
      </c>
      <c r="AE848" s="158" t="s">
        <v>149</v>
      </c>
      <c r="AF848" s="158" t="s">
        <v>149</v>
      </c>
      <c r="AG848" s="164" t="s">
        <v>149</v>
      </c>
      <c r="AH848" s="153" t="s">
        <v>7190</v>
      </c>
      <c r="AI848" s="158" t="s">
        <v>149</v>
      </c>
      <c r="AJ848" s="158" t="s">
        <v>149</v>
      </c>
      <c r="AK848" s="158" t="s">
        <v>149</v>
      </c>
      <c r="AL848" s="155" t="s">
        <v>149</v>
      </c>
      <c r="AM848" s="155" t="s">
        <v>149</v>
      </c>
      <c r="AN848" s="155" t="s">
        <v>149</v>
      </c>
      <c r="AO848" s="156">
        <v>1.0</v>
      </c>
      <c r="AP848" s="156" t="s">
        <v>6037</v>
      </c>
      <c r="AQ848" s="158" t="s">
        <v>395</v>
      </c>
      <c r="AR848" s="153" t="s">
        <v>6060</v>
      </c>
      <c r="AS848" s="177" t="s">
        <v>541</v>
      </c>
      <c r="AT848" s="153" t="s">
        <v>398</v>
      </c>
      <c r="AU848" s="155" t="s">
        <v>149</v>
      </c>
    </row>
    <row r="849">
      <c r="A849" s="186">
        <v>500.0</v>
      </c>
      <c r="B849" s="152">
        <v>2025.0</v>
      </c>
      <c r="C849" s="153" t="str">
        <f t="shared" si="99"/>
        <v>2023-PH184615000-500</v>
      </c>
      <c r="D849" s="152">
        <f t="shared" si="100"/>
        <v>2023</v>
      </c>
      <c r="E849" s="151">
        <v>426.0</v>
      </c>
      <c r="F849" s="156" t="s">
        <v>191</v>
      </c>
      <c r="G849" s="156" t="s">
        <v>191</v>
      </c>
      <c r="H849" s="153" t="str">
        <f>IFERROR(__xludf.DUMMYFUNCTION("""COMPUTED_VALUE"""),"**Restoration_project** changed from Unknown to SCREMP, **Restoration_project_short** changed from Site in Dayoyo to Part of 420 artificial coral houses distributed in Negros Oriental under SCREMP, **Project Start** changed from Unknown to 2012, **Techniq"&amp;"ue/Material Type** changed from tires; concrete base to Unknown, **Restoration objective** changed from Unknown to Reef recovery, **Funding agency** changed from Unknown to DENR, **Total area of restoration** changed from 140 m2 to Unknown, **Implementing"&amp;" institution** changed from Unknown to DENR 7 PAWCZMS, **Reference** changed from Balgos, M.C. (1995). Evaluation of artificial reef development in the Philippines. In Munro, J.L. &amp; Balgos, M. (eds.) Artificial reefs in the Philippines. ICLARM Conf. Proc."&amp;" 49, pp. 6-22. to JKV (2014, December 30). DENR 7 plants 1T artificial reefs. SunStar. https://www.sunstar.com.ph/article/385473/denr-7-plants-1t-artificial-reefs-, **Website** changed from https://core.ac.uk/download/pdf/6515223.pdf to https://www.sunsta"&amp;"r.com.ph/article/385473/denr-7-plants-1t-artificial-reefs-, **Contact_name** changed from Miriam Balgos to Unknown")</f>
        <v>**Restoration_project** changed from Unknown to SCREMP, **Restoration_project_short** changed from Site in Dayoyo to Part of 420 artificial coral houses distributed in Negros Oriental under SCREMP, **Project Start** changed from Unknown to 2012, **Technique/Material Type** changed from tires; concrete base to Unknown, **Restoration objective** changed from Unknown to Reef recovery, **Funding agency** changed from Unknown to DENR, **Total area of restoration** changed from 140 m2 to Unknown, **Implementing institution** changed from Unknown to DENR 7 PAWCZMS, **Reference** changed from Balgos, M.C. (1995). Evaluation of artificial reef development in the Philippines. In Munro, J.L. &amp; Balgos, M. (eds.) Artificial reefs in the Philippines. ICLARM Conf. Proc. 49, pp. 6-22. to JKV (2014, December 30). DENR 7 plants 1T artificial reefs. SunStar. https://www.sunstar.com.ph/article/385473/denr-7-plants-1t-artificial-reefs-, **Website** changed from https://core.ac.uk/download/pdf/6515223.pdf to https://www.sunstar.com.ph/article/385473/denr-7-plants-1t-artificial-reefs-, **Contact_name** changed from Miriam Balgos to Unknown</v>
      </c>
      <c r="I849" s="153" t="s">
        <v>7736</v>
      </c>
      <c r="J849" s="153" t="s">
        <v>625</v>
      </c>
      <c r="K849" s="153" t="s">
        <v>632</v>
      </c>
      <c r="L849" s="153" t="s">
        <v>2202</v>
      </c>
      <c r="M849" s="181" t="s">
        <v>7737</v>
      </c>
      <c r="N849" s="153" t="s">
        <v>151</v>
      </c>
      <c r="O849" s="153" t="s">
        <v>6587</v>
      </c>
      <c r="P849" s="153" t="s">
        <v>7700</v>
      </c>
      <c r="Q849" s="197" t="s">
        <v>149</v>
      </c>
      <c r="R849" s="175" t="s">
        <v>6151</v>
      </c>
      <c r="S849" s="164" t="s">
        <v>149</v>
      </c>
      <c r="T849" s="161" t="s">
        <v>150</v>
      </c>
      <c r="U849" s="153">
        <f>IFERROR(__xludf.DUMMYFUNCTION("""COMPUTED_VALUE"""),821.0)</f>
        <v>821</v>
      </c>
      <c r="V849" s="162" t="s">
        <v>3311</v>
      </c>
      <c r="W849" s="187" t="s">
        <v>149</v>
      </c>
      <c r="X849" s="184"/>
      <c r="Y849" s="184" t="s">
        <v>149</v>
      </c>
      <c r="Z849" s="158" t="s">
        <v>149</v>
      </c>
      <c r="AA849" s="158" t="s">
        <v>149</v>
      </c>
      <c r="AB849" s="153" t="s">
        <v>7101</v>
      </c>
      <c r="AC849" s="153" t="s">
        <v>341</v>
      </c>
      <c r="AD849" s="158" t="s">
        <v>160</v>
      </c>
      <c r="AE849" s="158" t="s">
        <v>6035</v>
      </c>
      <c r="AF849" s="158" t="s">
        <v>159</v>
      </c>
      <c r="AG849" s="164" t="s">
        <v>149</v>
      </c>
      <c r="AH849" s="158" t="s">
        <v>149</v>
      </c>
      <c r="AI849" s="158" t="s">
        <v>149</v>
      </c>
      <c r="AJ849" s="153" t="s">
        <v>2160</v>
      </c>
      <c r="AK849" s="153" t="s">
        <v>6035</v>
      </c>
      <c r="AL849" s="156" t="s">
        <v>149</v>
      </c>
      <c r="AM849" s="156" t="s">
        <v>149</v>
      </c>
      <c r="AN849" s="156" t="s">
        <v>149</v>
      </c>
      <c r="AO849" s="156">
        <v>1.0</v>
      </c>
      <c r="AP849" s="156" t="s">
        <v>6037</v>
      </c>
      <c r="AQ849" s="158" t="s">
        <v>166</v>
      </c>
      <c r="AR849" s="153" t="s">
        <v>2161</v>
      </c>
      <c r="AS849" s="165" t="s">
        <v>2162</v>
      </c>
      <c r="AT849" s="156" t="s">
        <v>149</v>
      </c>
      <c r="AU849" s="156" t="s">
        <v>149</v>
      </c>
    </row>
    <row r="850">
      <c r="A850" s="186">
        <v>500.0</v>
      </c>
      <c r="B850" s="152">
        <v>2025.0</v>
      </c>
      <c r="C850" s="153" t="str">
        <f t="shared" si="99"/>
        <v>2025-PH184617000-500</v>
      </c>
      <c r="D850" s="152">
        <f t="shared" si="100"/>
        <v>2025</v>
      </c>
      <c r="E850" s="151">
        <v>427.0</v>
      </c>
      <c r="F850" s="156" t="s">
        <v>140</v>
      </c>
      <c r="G850" s="156" t="s">
        <v>141</v>
      </c>
      <c r="H850" s="153" t="str">
        <f>IFERROR(__xludf.DUMMYFUNCTION("""COMPUTED_VALUE"""),"**Restoration_project** changed from SCREMP to Unknown, **Restoration_project_short** changed from Part of 420 artificial coral houses distributed in Negros Oriental under SCREMP to Site in Jilocon, **Project Start** changed from 2012 to Unknown, **Techni"&amp;"que/Material Type** changed from Unknown to tires; concrete base, **Restoration objective** changed from Reef recovery to Unknown, **Funding agency** changed from DENR to Unknown, **Total area of restoration** changed from Unknown to 420 m2, **Implementin"&amp;"g institution** changed from DENR 7 PAWCZMS to Unknown, **Reference** changed from JKV (2014, December 30). DENR 7 plants 1T artificial reefs. SunStar. https://www.sunstar.com.ph/article/385473/denr-7-plants-1t-artificial-reefs- to Balgos, M.C. (1995). Ev"&amp;"aluation of artificial reef development in the Philippines. In Munro, J.L. &amp; Balgos, M. (eds.) Artificial reefs in the Philippines. ICLARM Conf. Proc. 49, pp. 6-22., **Website** changed from https://www.sunstar.com.ph/article/385473/denr-7-plants-1t-artif"&amp;"icial-reefs- to https://core.ac.uk/download/pdf/6515223.pdf, **Contact_name** changed from Unknown to Miriam Balgos")</f>
        <v>**Restoration_project** changed from SCREMP to Unknown, **Restoration_project_short** changed from Part of 420 artificial coral houses distributed in Negros Oriental under SCREMP to Site in Jilocon, **Project Start** changed from 2012 to Unknown, **Technique/Material Type** changed from Unknown to tires; concrete base, **Restoration objective** changed from Reef recovery to Unknown, **Funding agency** changed from DENR to Unknown, **Total area of restoration** changed from Unknown to 420 m2, **Implementing institution** changed from DENR 7 PAWCZMS to Unknown, **Reference** changed from JKV (2014, December 30). DENR 7 plants 1T artificial reefs. SunStar. https://www.sunstar.com.ph/article/385473/denr-7-plants-1t-artificial-reefs- to Balgos, M.C. (1995). Evaluation of artificial reef development in the Philippines. In Munro, J.L. &amp; Balgos, M. (eds.) Artificial reefs in the Philippines. ICLARM Conf. Proc. 49, pp. 6-22., **Website** changed from https://www.sunstar.com.ph/article/385473/denr-7-plants-1t-artificial-reefs- to https://core.ac.uk/download/pdf/6515223.pdf, **Contact_name** changed from Unknown to Miriam Balgos</v>
      </c>
      <c r="I850" s="153" t="s">
        <v>7738</v>
      </c>
      <c r="J850" s="153" t="s">
        <v>625</v>
      </c>
      <c r="K850" s="153" t="s">
        <v>632</v>
      </c>
      <c r="L850" s="153" t="s">
        <v>1667</v>
      </c>
      <c r="M850" s="181" t="s">
        <v>7195</v>
      </c>
      <c r="N850" s="153" t="s">
        <v>151</v>
      </c>
      <c r="O850" s="158" t="s">
        <v>149</v>
      </c>
      <c r="P850" s="158" t="s">
        <v>2704</v>
      </c>
      <c r="Q850" s="178" t="s">
        <v>149</v>
      </c>
      <c r="R850" s="160" t="s">
        <v>149</v>
      </c>
      <c r="S850" s="160" t="s">
        <v>149</v>
      </c>
      <c r="T850" s="161" t="s">
        <v>150</v>
      </c>
      <c r="U850" s="153">
        <f>IFERROR(__xludf.DUMMYFUNCTION("""COMPUTED_VALUE"""),822.0)</f>
        <v>822</v>
      </c>
      <c r="V850" s="162" t="s">
        <v>3311</v>
      </c>
      <c r="W850" s="184" t="s">
        <v>6172</v>
      </c>
      <c r="X850" s="28" t="s">
        <v>6082</v>
      </c>
      <c r="Y850" s="32" t="s">
        <v>7477</v>
      </c>
      <c r="Z850" s="158" t="s">
        <v>7695</v>
      </c>
      <c r="AA850" s="158" t="s">
        <v>7695</v>
      </c>
      <c r="AB850" s="158" t="s">
        <v>149</v>
      </c>
      <c r="AC850" s="158" t="s">
        <v>149</v>
      </c>
      <c r="AD850" s="158" t="s">
        <v>149</v>
      </c>
      <c r="AE850" s="158" t="s">
        <v>149</v>
      </c>
      <c r="AF850" s="158" t="s">
        <v>149</v>
      </c>
      <c r="AG850" s="164" t="s">
        <v>149</v>
      </c>
      <c r="AH850" s="153" t="s">
        <v>7196</v>
      </c>
      <c r="AI850" s="158" t="s">
        <v>149</v>
      </c>
      <c r="AJ850" s="158" t="s">
        <v>149</v>
      </c>
      <c r="AK850" s="158" t="s">
        <v>149</v>
      </c>
      <c r="AL850" s="166" t="s">
        <v>149</v>
      </c>
      <c r="AM850" s="166" t="s">
        <v>149</v>
      </c>
      <c r="AN850" s="166" t="s">
        <v>149</v>
      </c>
      <c r="AO850" s="156">
        <v>1.0</v>
      </c>
      <c r="AP850" s="156" t="s">
        <v>6037</v>
      </c>
      <c r="AQ850" s="158" t="s">
        <v>395</v>
      </c>
      <c r="AR850" s="153" t="s">
        <v>6060</v>
      </c>
      <c r="AS850" s="177" t="s">
        <v>541</v>
      </c>
      <c r="AT850" s="153" t="s">
        <v>398</v>
      </c>
      <c r="AU850" s="166" t="s">
        <v>149</v>
      </c>
    </row>
    <row r="851">
      <c r="A851" s="186">
        <v>500.0</v>
      </c>
      <c r="B851" s="152">
        <v>2025.0</v>
      </c>
      <c r="C851" s="153" t="str">
        <f t="shared" si="99"/>
        <v>2023-PH184619000-500</v>
      </c>
      <c r="D851" s="152">
        <f t="shared" si="100"/>
        <v>2023</v>
      </c>
      <c r="E851" s="151">
        <v>428.0</v>
      </c>
      <c r="F851" s="156" t="s">
        <v>140</v>
      </c>
      <c r="G851" s="156" t="s">
        <v>141</v>
      </c>
      <c r="H851" s="153" t="str">
        <f>IFERROR(__xludf.DUMMYFUNCTION("""COMPUTED_VALUE"""),"**Restoration_project** changed from Unknown to Artificial Reef Development Program, **Restoration_project_short** changed from Site in Jilocon to Site in San Jose, **Year of establishment** changed from Unknown to 1986, **Project Start** changed from Unk"&amp;"nown to 1985, **Project End** changed from Unknown to 1987, **Technique/Material Type** changed from tires; concrete base to tires, **Funding agency** changed from Unknown to BFAR, **Total area of restoration** changed from 420 m2 to Unknown, **Total unit"&amp;"s** changed from Unknown to 45 units, **Implementing institution** changed from Unknown to BFAR, **Partners_public** changed from Unknown to Ministry of Human Settlements")</f>
        <v>**Restoration_project** changed from Unknown to Artificial Reef Development Program, **Restoration_project_short** changed from Site in Jilocon to Site in San Jose, **Year of establishment** changed from Unknown to 1986, **Project Start** changed from Unknown to 1985, **Project End** changed from Unknown to 1987, **Technique/Material Type** changed from tires; concrete base to tires, **Funding agency** changed from Unknown to BFAR, **Total area of restoration** changed from 420 m2 to Unknown, **Total units** changed from Unknown to 45 units, **Implementing institution** changed from Unknown to BFAR, **Partners_public** changed from Unknown to Ministry of Human Settlements</v>
      </c>
      <c r="I851" s="153" t="s">
        <v>7739</v>
      </c>
      <c r="J851" s="153" t="s">
        <v>625</v>
      </c>
      <c r="K851" s="153" t="s">
        <v>632</v>
      </c>
      <c r="L851" s="153" t="s">
        <v>633</v>
      </c>
      <c r="M851" s="181" t="s">
        <v>7200</v>
      </c>
      <c r="N851" s="153" t="s">
        <v>151</v>
      </c>
      <c r="O851" s="153" t="s">
        <v>384</v>
      </c>
      <c r="P851" s="153" t="s">
        <v>635</v>
      </c>
      <c r="Q851" s="169">
        <v>1986.0</v>
      </c>
      <c r="R851" s="175" t="s">
        <v>6052</v>
      </c>
      <c r="S851" s="175" t="s">
        <v>6053</v>
      </c>
      <c r="T851" s="161" t="s">
        <v>150</v>
      </c>
      <c r="U851" s="153">
        <f>IFERROR(__xludf.DUMMYFUNCTION("""COMPUTED_VALUE"""),823.0)</f>
        <v>823</v>
      </c>
      <c r="V851" s="162" t="s">
        <v>3311</v>
      </c>
      <c r="W851" s="170" t="s">
        <v>6059</v>
      </c>
      <c r="X851" s="28" t="s">
        <v>6033</v>
      </c>
      <c r="Y851" s="28" t="s">
        <v>386</v>
      </c>
      <c r="Z851" s="176" t="s">
        <v>386</v>
      </c>
      <c r="AA851" s="153" t="s">
        <v>6054</v>
      </c>
      <c r="AB851" s="158" t="s">
        <v>149</v>
      </c>
      <c r="AC851" s="153" t="s">
        <v>390</v>
      </c>
      <c r="AD851" s="158" t="s">
        <v>160</v>
      </c>
      <c r="AE851" s="158" t="s">
        <v>6035</v>
      </c>
      <c r="AF851" s="158" t="s">
        <v>159</v>
      </c>
      <c r="AG851" s="164" t="s">
        <v>149</v>
      </c>
      <c r="AH851" s="158" t="s">
        <v>149</v>
      </c>
      <c r="AI851" s="153" t="s">
        <v>162</v>
      </c>
      <c r="AJ851" s="153" t="s">
        <v>390</v>
      </c>
      <c r="AK851" s="153" t="s">
        <v>6035</v>
      </c>
      <c r="AL851" s="153" t="s">
        <v>6055</v>
      </c>
      <c r="AM851" s="166" t="s">
        <v>149</v>
      </c>
      <c r="AN851" s="166" t="s">
        <v>149</v>
      </c>
      <c r="AO851" s="156">
        <v>1.0</v>
      </c>
      <c r="AP851" s="156" t="s">
        <v>6037</v>
      </c>
      <c r="AQ851" s="158" t="s">
        <v>395</v>
      </c>
      <c r="AR851" s="153" t="s">
        <v>6060</v>
      </c>
      <c r="AS851" s="177" t="s">
        <v>541</v>
      </c>
      <c r="AT851" s="153" t="s">
        <v>398</v>
      </c>
      <c r="AU851" s="166" t="s">
        <v>149</v>
      </c>
    </row>
    <row r="852">
      <c r="A852" s="186">
        <v>500.0</v>
      </c>
      <c r="B852" s="152">
        <v>2025.0</v>
      </c>
      <c r="C852" s="153" t="str">
        <f t="shared" si="99"/>
        <v>2023-PH184619000-500</v>
      </c>
      <c r="D852" s="152">
        <f t="shared" si="100"/>
        <v>2023</v>
      </c>
      <c r="E852" s="151">
        <v>429.0</v>
      </c>
      <c r="F852" s="156" t="s">
        <v>140</v>
      </c>
      <c r="G852" s="156" t="s">
        <v>141</v>
      </c>
      <c r="H852" s="153" t="str">
        <f>IFERROR(__xludf.DUMMYFUNCTION("""COMPUTED_VALUE"""),"**Restoration_project** changed from Artificial Reef Development Program to Unknown, **Restoration_project_short** changed from Site in San Jose to Site in Inalad, **Year of establishment** changed from 1986 to Unknown, **Project Start** changed from 1985"&amp;" to Unknown, **Project End** changed from 1987 to Unknown, **Technique/Material Type** changed from tires to tires; concrete base, **Funding agency** changed from BFAR to Unknown, **Total area of restoration** changed from Unknown to 630 m2, **Total units"&amp;"** changed from 45 units to Unknown, **Implementing institution** changed from BFAR to Unknown, **Partners_public** changed from Ministry of Human Settlements to Unknown")</f>
        <v>**Restoration_project** changed from Artificial Reef Development Program to Unknown, **Restoration_project_short** changed from Site in San Jose to Site in Inalad, **Year of establishment** changed from 1986 to Unknown, **Project Start** changed from 1985 to Unknown, **Project End** changed from 1987 to Unknown, **Technique/Material Type** changed from tires to tires; concrete base, **Funding agency** changed from BFAR to Unknown, **Total area of restoration** changed from Unknown to 630 m2, **Total units** changed from 45 units to Unknown, **Implementing institution** changed from BFAR to Unknown, **Partners_public** changed from Ministry of Human Settlements to Unknown</v>
      </c>
      <c r="I852" s="153" t="s">
        <v>7740</v>
      </c>
      <c r="J852" s="153" t="s">
        <v>625</v>
      </c>
      <c r="K852" s="153" t="s">
        <v>632</v>
      </c>
      <c r="L852" s="153" t="s">
        <v>633</v>
      </c>
      <c r="M852" s="181" t="s">
        <v>7200</v>
      </c>
      <c r="N852" s="153" t="s">
        <v>151</v>
      </c>
      <c r="O852" s="158" t="s">
        <v>149</v>
      </c>
      <c r="P852" s="158" t="s">
        <v>2708</v>
      </c>
      <c r="Q852" s="178" t="s">
        <v>149</v>
      </c>
      <c r="R852" s="160" t="s">
        <v>149</v>
      </c>
      <c r="S852" s="160" t="s">
        <v>149</v>
      </c>
      <c r="T852" s="161" t="s">
        <v>150</v>
      </c>
      <c r="U852" s="153">
        <f>IFERROR(__xludf.DUMMYFUNCTION("""COMPUTED_VALUE"""),824.0)</f>
        <v>824</v>
      </c>
      <c r="V852" s="162" t="s">
        <v>3311</v>
      </c>
      <c r="W852" s="184" t="s">
        <v>6172</v>
      </c>
      <c r="X852" s="28" t="s">
        <v>6082</v>
      </c>
      <c r="Y852" s="32" t="s">
        <v>7477</v>
      </c>
      <c r="Z852" s="158" t="s">
        <v>7695</v>
      </c>
      <c r="AA852" s="158" t="s">
        <v>7695</v>
      </c>
      <c r="AB852" s="158" t="s">
        <v>149</v>
      </c>
      <c r="AC852" s="158" t="s">
        <v>149</v>
      </c>
      <c r="AD852" s="158" t="s">
        <v>149</v>
      </c>
      <c r="AE852" s="158" t="s">
        <v>149</v>
      </c>
      <c r="AF852" s="158" t="s">
        <v>149</v>
      </c>
      <c r="AG852" s="164" t="s">
        <v>149</v>
      </c>
      <c r="AH852" s="153" t="s">
        <v>7203</v>
      </c>
      <c r="AI852" s="158" t="s">
        <v>149</v>
      </c>
      <c r="AJ852" s="158" t="s">
        <v>149</v>
      </c>
      <c r="AK852" s="158" t="s">
        <v>149</v>
      </c>
      <c r="AL852" s="166" t="s">
        <v>149</v>
      </c>
      <c r="AM852" s="166" t="s">
        <v>149</v>
      </c>
      <c r="AN852" s="166" t="s">
        <v>149</v>
      </c>
      <c r="AO852" s="156">
        <v>1.0</v>
      </c>
      <c r="AP852" s="156" t="s">
        <v>6037</v>
      </c>
      <c r="AQ852" s="158" t="s">
        <v>395</v>
      </c>
      <c r="AR852" s="153" t="s">
        <v>6060</v>
      </c>
      <c r="AS852" s="172" t="s">
        <v>541</v>
      </c>
      <c r="AT852" s="153" t="s">
        <v>398</v>
      </c>
      <c r="AU852" s="166" t="s">
        <v>149</v>
      </c>
    </row>
    <row r="853">
      <c r="A853" s="186">
        <v>500.0</v>
      </c>
      <c r="B853" s="152">
        <v>2025.0</v>
      </c>
      <c r="C853" s="153" t="str">
        <f t="shared" si="99"/>
        <v>2023-PH184622000-500</v>
      </c>
      <c r="D853" s="152">
        <f t="shared" si="100"/>
        <v>2023</v>
      </c>
      <c r="E853" s="151">
        <v>430.0</v>
      </c>
      <c r="F853" s="156" t="s">
        <v>191</v>
      </c>
      <c r="G853" s="156" t="s">
        <v>191</v>
      </c>
      <c r="H853" s="153" t="str">
        <f>IFERROR(__xludf.DUMMYFUNCTION("""COMPUTED_VALUE"""),"**Restoration_project** changed from Unknown to SCREMP, **Restoration_project_short** changed from Site in Inalad to Part of 420 artificial coral houses distributed in Negros Oriental under SCREMP, **Project Start** changed from Unknown to 2012, **Techniq"&amp;"ue/Material Type** changed from tires; concrete base to Unknown, **Restoration objective** changed from Unknown to Reef recovery, **Funding agency** changed from Unknown to DENR, **Total area of restoration** changed from 630 m2 to Unknown, **Implementing"&amp;" institution** changed from Unknown to DENR 7 PAWCZMS, **Reference** changed from Balgos, M.C. (1995). Evaluation of artificial reef development in the Philippines. In Munro, J.L. &amp; Balgos, M. (eds.) Artificial reefs in the Philippines. ICLARM Conf. Proc."&amp;" 49, pp. 6-22. to JKV (2014, December 30). DENR 7 plants 1T artificial reefs. SunStar. https://www.sunstar.com.ph/article/385473/denr-7-plants-1t-artificial-reefs-, **Website** changed from https://core.ac.uk/download/pdf/6515223.pdf to https://www.sunsta"&amp;"r.com.ph/article/385473/denr-7-plants-1t-artificial-reefs-, **Contact_name** changed from Miriam Balgos to Unknown")</f>
        <v>**Restoration_project** changed from Unknown to SCREMP, **Restoration_project_short** changed from Site in Inalad to Part of 420 artificial coral houses distributed in Negros Oriental under SCREMP, **Project Start** changed from Unknown to 2012, **Technique/Material Type** changed from tires; concrete base to Unknown, **Restoration objective** changed from Unknown to Reef recovery, **Funding agency** changed from Unknown to DENR, **Total area of restoration** changed from 630 m2 to Unknown, **Implementing institution** changed from Unknown to DENR 7 PAWCZMS, **Reference** changed from Balgos, M.C. (1995). Evaluation of artificial reef development in the Philippines. In Munro, J.L. &amp; Balgos, M. (eds.) Artificial reefs in the Philippines. ICLARM Conf. Proc. 49, pp. 6-22. to JKV (2014, December 30). DENR 7 plants 1T artificial reefs. SunStar. https://www.sunstar.com.ph/article/385473/denr-7-plants-1t-artificial-reefs-, **Website** changed from https://core.ac.uk/download/pdf/6515223.pdf to https://www.sunstar.com.ph/article/385473/denr-7-plants-1t-artificial-reefs-, **Contact_name** changed from Miriam Balgos to Unknown</v>
      </c>
      <c r="I853" s="153" t="s">
        <v>7741</v>
      </c>
      <c r="J853" s="153" t="s">
        <v>625</v>
      </c>
      <c r="K853" s="153" t="s">
        <v>632</v>
      </c>
      <c r="L853" s="153" t="s">
        <v>2206</v>
      </c>
      <c r="M853" s="181" t="s">
        <v>7742</v>
      </c>
      <c r="N853" s="153" t="s">
        <v>151</v>
      </c>
      <c r="O853" s="153" t="s">
        <v>6587</v>
      </c>
      <c r="P853" s="153" t="s">
        <v>7700</v>
      </c>
      <c r="Q853" s="197" t="s">
        <v>149</v>
      </c>
      <c r="R853" s="175" t="s">
        <v>6151</v>
      </c>
      <c r="S853" s="164" t="s">
        <v>149</v>
      </c>
      <c r="T853" s="161" t="s">
        <v>150</v>
      </c>
      <c r="U853" s="153">
        <f>IFERROR(__xludf.DUMMYFUNCTION("""COMPUTED_VALUE"""),825.0)</f>
        <v>825</v>
      </c>
      <c r="V853" s="162" t="s">
        <v>3311</v>
      </c>
      <c r="W853" s="187" t="s">
        <v>149</v>
      </c>
      <c r="X853" s="184"/>
      <c r="Y853" s="184" t="s">
        <v>149</v>
      </c>
      <c r="Z853" s="158" t="s">
        <v>149</v>
      </c>
      <c r="AA853" s="158" t="s">
        <v>149</v>
      </c>
      <c r="AB853" s="153" t="s">
        <v>7101</v>
      </c>
      <c r="AC853" s="153" t="s">
        <v>341</v>
      </c>
      <c r="AD853" s="158" t="s">
        <v>160</v>
      </c>
      <c r="AE853" s="158" t="s">
        <v>6035</v>
      </c>
      <c r="AF853" s="158" t="s">
        <v>159</v>
      </c>
      <c r="AG853" s="164" t="s">
        <v>149</v>
      </c>
      <c r="AH853" s="158" t="s">
        <v>149</v>
      </c>
      <c r="AI853" s="158" t="s">
        <v>149</v>
      </c>
      <c r="AJ853" s="153" t="s">
        <v>2160</v>
      </c>
      <c r="AK853" s="153" t="s">
        <v>6035</v>
      </c>
      <c r="AL853" s="156" t="s">
        <v>149</v>
      </c>
      <c r="AM853" s="156" t="s">
        <v>149</v>
      </c>
      <c r="AN853" s="156" t="s">
        <v>149</v>
      </c>
      <c r="AO853" s="156">
        <v>1.0</v>
      </c>
      <c r="AP853" s="156" t="s">
        <v>6037</v>
      </c>
      <c r="AQ853" s="158" t="s">
        <v>166</v>
      </c>
      <c r="AR853" s="153" t="s">
        <v>2161</v>
      </c>
      <c r="AS853" s="165" t="s">
        <v>2162</v>
      </c>
      <c r="AT853" s="156" t="s">
        <v>149</v>
      </c>
      <c r="AU853" s="156" t="s">
        <v>149</v>
      </c>
    </row>
    <row r="854">
      <c r="A854" s="186">
        <v>500.0</v>
      </c>
      <c r="B854" s="152">
        <v>2025.0</v>
      </c>
      <c r="C854" s="153" t="str">
        <f t="shared" si="99"/>
        <v>2025-PH184625000-500</v>
      </c>
      <c r="D854" s="152">
        <f t="shared" si="100"/>
        <v>2025</v>
      </c>
      <c r="E854" s="151">
        <v>431.0</v>
      </c>
      <c r="F854" s="156" t="s">
        <v>140</v>
      </c>
      <c r="G854" s="156" t="s">
        <v>141</v>
      </c>
      <c r="H854" s="153" t="str">
        <f>IFERROR(__xludf.DUMMYFUNCTION("""COMPUTED_VALUE"""),"**Restoration_project** changed from SCREMP to Artificial Reef Development Program, **Restoration_project_short** changed from Part of 420 artificial coral houses distributed in Negros Oriental under SCREMP to Site in Poblacion, **Year of establishment** "&amp;"changed from Unknown to 1986, **Project Start** changed from 2012 to 1985, **Project End** changed from Unknown to 1987, **Technique/Material Type** changed from Unknown to tires, **Restoration objective** changed from Reef recovery to Unknown, **Funding "&amp;"agency** changed from DENR to BFAR, **Total units** changed from Unknown to 42 units, **Implementing institution** changed from DENR 7 PAWCZMS to BFAR, **Partners_public** changed from Unknown to Ministry of Human Settlements, **Reference** changed from J"&amp;"KV (2014, December 30). DENR 7 plants 1T artificial reefs. SunStar. https://www.sunstar.com.ph/article/385473/denr-7-plants-1t-artificial-reefs- to Balgos, M.C. (1995). Evaluation of artificial reef development in the Philippines. In Munro, J.L. &amp; Balgos,"&amp;" M. (eds.) Artificial reefs in the Philippines. ICLARM Conf. Proc. 49, pp. 6-22., **Website** changed from https://www.sunstar.com.ph/article/385473/denr-7-plants-1t-artificial-reefs- to https://core.ac.uk/download/pdf/6515223.pdf, **Contact_name** change"&amp;"d from Unknown to Miriam Balgos")</f>
        <v>**Restoration_project** changed from SCREMP to Artificial Reef Development Program, **Restoration_project_short** changed from Part of 420 artificial coral houses distributed in Negros Oriental under SCREMP to Site in Poblacion, **Year of establishment** changed from Unknown to 1986, **Project Start** changed from 2012 to 1985, **Project End** changed from Unknown to 1987, **Technique/Material Type** changed from Unknown to tires, **Restoration objective** changed from Reef recovery to Unknown, **Funding agency** changed from DENR to BFAR, **Total units** changed from Unknown to 42 units, **Implementing institution** changed from DENR 7 PAWCZMS to BFAR, **Partners_public** changed from Unknown to Ministry of Human Settlements, **Reference** changed from JKV (2014, December 30). DENR 7 plants 1T artificial reefs. SunStar. https://www.sunstar.com.ph/article/385473/denr-7-plants-1t-artificial-reefs- to Balgos, M.C. (1995). Evaluation of artificial reef development in the Philippines. In Munro, J.L. &amp; Balgos, M. (eds.) Artificial reefs in the Philippines. ICLARM Conf. Proc. 49, pp. 6-22., **Website** changed from https://www.sunstar.com.ph/article/385473/denr-7-plants-1t-artificial-reefs- to https://core.ac.uk/download/pdf/6515223.pdf, **Contact_name** changed from Unknown to Miriam Balgos</v>
      </c>
      <c r="I854" s="153" t="s">
        <v>7743</v>
      </c>
      <c r="J854" s="153" t="s">
        <v>625</v>
      </c>
      <c r="K854" s="153" t="s">
        <v>632</v>
      </c>
      <c r="L854" s="153" t="s">
        <v>637</v>
      </c>
      <c r="M854" s="181" t="s">
        <v>7206</v>
      </c>
      <c r="N854" s="153" t="s">
        <v>151</v>
      </c>
      <c r="O854" s="153" t="s">
        <v>384</v>
      </c>
      <c r="P854" s="153" t="s">
        <v>639</v>
      </c>
      <c r="Q854" s="169">
        <v>1986.0</v>
      </c>
      <c r="R854" s="175" t="s">
        <v>6052</v>
      </c>
      <c r="S854" s="175" t="s">
        <v>6053</v>
      </c>
      <c r="T854" s="161" t="s">
        <v>150</v>
      </c>
      <c r="U854" s="153">
        <f>IFERROR(__xludf.DUMMYFUNCTION("""COMPUTED_VALUE"""),826.0)</f>
        <v>826</v>
      </c>
      <c r="V854" s="162" t="s">
        <v>3311</v>
      </c>
      <c r="W854" s="170" t="s">
        <v>6059</v>
      </c>
      <c r="X854" s="28" t="s">
        <v>6033</v>
      </c>
      <c r="Y854" s="28" t="s">
        <v>386</v>
      </c>
      <c r="Z854" s="176" t="s">
        <v>386</v>
      </c>
      <c r="AA854" s="153" t="s">
        <v>6054</v>
      </c>
      <c r="AB854" s="158" t="s">
        <v>149</v>
      </c>
      <c r="AC854" s="153" t="s">
        <v>390</v>
      </c>
      <c r="AD854" s="158" t="s">
        <v>160</v>
      </c>
      <c r="AE854" s="158" t="s">
        <v>6035</v>
      </c>
      <c r="AF854" s="158" t="s">
        <v>159</v>
      </c>
      <c r="AG854" s="164" t="s">
        <v>149</v>
      </c>
      <c r="AH854" s="158" t="s">
        <v>149</v>
      </c>
      <c r="AI854" s="153" t="s">
        <v>640</v>
      </c>
      <c r="AJ854" s="153" t="s">
        <v>390</v>
      </c>
      <c r="AK854" s="153" t="s">
        <v>6035</v>
      </c>
      <c r="AL854" s="153" t="s">
        <v>6055</v>
      </c>
      <c r="AM854" s="166" t="s">
        <v>149</v>
      </c>
      <c r="AN854" s="166" t="s">
        <v>149</v>
      </c>
      <c r="AO854" s="156">
        <v>1.0</v>
      </c>
      <c r="AP854" s="156" t="s">
        <v>6037</v>
      </c>
      <c r="AQ854" s="158" t="s">
        <v>395</v>
      </c>
      <c r="AR854" s="153" t="s">
        <v>6060</v>
      </c>
      <c r="AS854" s="177" t="s">
        <v>541</v>
      </c>
      <c r="AT854" s="153" t="s">
        <v>398</v>
      </c>
      <c r="AU854" s="166" t="s">
        <v>149</v>
      </c>
    </row>
    <row r="855">
      <c r="A855" s="186">
        <v>500.0</v>
      </c>
      <c r="B855" s="152">
        <v>2025.0</v>
      </c>
      <c r="C855" s="153" t="str">
        <f t="shared" si="99"/>
        <v>2023-PH184625000-500</v>
      </c>
      <c r="D855" s="152">
        <f t="shared" si="100"/>
        <v>2023</v>
      </c>
      <c r="E855" s="151">
        <v>432.0</v>
      </c>
      <c r="F855" s="129" t="s">
        <v>140</v>
      </c>
      <c r="G855" s="156" t="s">
        <v>141</v>
      </c>
      <c r="H855" s="153" t="str">
        <f>IFERROR(__xludf.DUMMYFUNCTION("""COMPUTED_VALUE"""),"**Restoration_project** changed from Artificial Reef Development Program to Unknown, **Restoration_project_short** changed from Site in Poblacion to Site in Bangcolotan, **Year of establishment** changed from 1986 to Unknown, **Project Start** changed fro"&amp;"m 1985 to Unknown, **Project End** changed from 1987 to Unknown, **Technique/Material Type** changed from tires to tires; concrete base, **Funding agency** changed from BFAR to Unknown, **Total area of restoration** changed from Unknown to 600 m2, **Total"&amp;" units** changed from 42 units to Unknown, **Implementing institution** changed from BFAR to Unknown, **Partners_public** changed from Ministry of Human Settlements to Unknown")</f>
        <v>**Restoration_project** changed from Artificial Reef Development Program to Unknown, **Restoration_project_short** changed from Site in Poblacion to Site in Bangcolotan, **Year of establishment** changed from 1986 to Unknown, **Project Start** changed from 1985 to Unknown, **Project End** changed from 1987 to Unknown, **Technique/Material Type** changed from tires to tires; concrete base, **Funding agency** changed from BFAR to Unknown, **Total area of restoration** changed from Unknown to 600 m2, **Total units** changed from 42 units to Unknown, **Implementing institution** changed from BFAR to Unknown, **Partners_public** changed from Ministry of Human Settlements to Unknown</v>
      </c>
      <c r="I855" s="153" t="s">
        <v>7744</v>
      </c>
      <c r="J855" s="153" t="s">
        <v>625</v>
      </c>
      <c r="K855" s="153" t="s">
        <v>632</v>
      </c>
      <c r="L855" s="153" t="s">
        <v>637</v>
      </c>
      <c r="M855" s="181" t="s">
        <v>7206</v>
      </c>
      <c r="N855" s="153" t="s">
        <v>151</v>
      </c>
      <c r="O855" s="158" t="s">
        <v>149</v>
      </c>
      <c r="P855" s="158" t="s">
        <v>2712</v>
      </c>
      <c r="Q855" s="178" t="s">
        <v>149</v>
      </c>
      <c r="R855" s="160" t="s">
        <v>149</v>
      </c>
      <c r="S855" s="160" t="s">
        <v>149</v>
      </c>
      <c r="T855" s="161" t="s">
        <v>150</v>
      </c>
      <c r="U855" s="153">
        <f>IFERROR(__xludf.DUMMYFUNCTION("""COMPUTED_VALUE"""),827.0)</f>
        <v>827</v>
      </c>
      <c r="V855" s="162" t="s">
        <v>3311</v>
      </c>
      <c r="W855" s="184" t="s">
        <v>6172</v>
      </c>
      <c r="X855" s="28" t="s">
        <v>6082</v>
      </c>
      <c r="Y855" s="32" t="s">
        <v>7477</v>
      </c>
      <c r="Z855" s="158" t="s">
        <v>7695</v>
      </c>
      <c r="AA855" s="158" t="s">
        <v>7695</v>
      </c>
      <c r="AB855" s="158" t="s">
        <v>149</v>
      </c>
      <c r="AC855" s="158" t="s">
        <v>149</v>
      </c>
      <c r="AD855" s="158" t="s">
        <v>149</v>
      </c>
      <c r="AE855" s="158" t="s">
        <v>149</v>
      </c>
      <c r="AF855" s="158" t="s">
        <v>149</v>
      </c>
      <c r="AG855" s="164" t="s">
        <v>149</v>
      </c>
      <c r="AH855" s="153" t="s">
        <v>7210</v>
      </c>
      <c r="AI855" s="166" t="s">
        <v>149</v>
      </c>
      <c r="AJ855" s="158" t="s">
        <v>149</v>
      </c>
      <c r="AK855" s="158" t="s">
        <v>149</v>
      </c>
      <c r="AL855" s="166" t="s">
        <v>149</v>
      </c>
      <c r="AM855" s="166" t="s">
        <v>149</v>
      </c>
      <c r="AN855" s="166" t="s">
        <v>149</v>
      </c>
      <c r="AO855" s="156">
        <v>1.0</v>
      </c>
      <c r="AP855" s="156" t="s">
        <v>6037</v>
      </c>
      <c r="AQ855" s="158" t="s">
        <v>395</v>
      </c>
      <c r="AR855" s="153" t="s">
        <v>6060</v>
      </c>
      <c r="AS855" s="158" t="s">
        <v>541</v>
      </c>
      <c r="AT855" s="153" t="s">
        <v>398</v>
      </c>
      <c r="AU855" s="166" t="s">
        <v>149</v>
      </c>
    </row>
    <row r="856">
      <c r="A856" s="186">
        <v>500.0</v>
      </c>
      <c r="B856" s="152">
        <v>2025.0</v>
      </c>
      <c r="C856" s="153" t="str">
        <f t="shared" si="99"/>
        <v>2023-PH184625000-500</v>
      </c>
      <c r="D856" s="152">
        <f t="shared" si="100"/>
        <v>2023</v>
      </c>
      <c r="E856" s="151">
        <v>433.0</v>
      </c>
      <c r="F856" s="129" t="s">
        <v>140</v>
      </c>
      <c r="G856" s="156" t="s">
        <v>141</v>
      </c>
      <c r="H856" s="153" t="str">
        <f>IFERROR(__xludf.DUMMYFUNCTION("""COMPUTED_VALUE"""),"**Restoration_project_short** changed from Site in Bangcolotan to Site in Lutoban, **Total area of restoration** changed from 600 m2 to 140 m2")</f>
        <v>**Restoration_project_short** changed from Site in Bangcolotan to Site in Lutoban, **Total area of restoration** changed from 600 m2 to 140 m2</v>
      </c>
      <c r="I856" s="153" t="s">
        <v>7744</v>
      </c>
      <c r="J856" s="153" t="s">
        <v>625</v>
      </c>
      <c r="K856" s="153" t="s">
        <v>632</v>
      </c>
      <c r="L856" s="153" t="s">
        <v>637</v>
      </c>
      <c r="M856" s="181" t="s">
        <v>7206</v>
      </c>
      <c r="N856" s="153" t="s">
        <v>151</v>
      </c>
      <c r="O856" s="158" t="s">
        <v>149</v>
      </c>
      <c r="P856" s="158" t="s">
        <v>2716</v>
      </c>
      <c r="Q856" s="178" t="s">
        <v>149</v>
      </c>
      <c r="R856" s="160" t="s">
        <v>149</v>
      </c>
      <c r="S856" s="160" t="s">
        <v>149</v>
      </c>
      <c r="T856" s="161" t="s">
        <v>150</v>
      </c>
      <c r="U856" s="153">
        <f>IFERROR(__xludf.DUMMYFUNCTION("""COMPUTED_VALUE"""),827.0)</f>
        <v>827</v>
      </c>
      <c r="V856" s="162" t="s">
        <v>3311</v>
      </c>
      <c r="W856" s="184" t="s">
        <v>6172</v>
      </c>
      <c r="X856" s="28" t="s">
        <v>6082</v>
      </c>
      <c r="Y856" s="32" t="s">
        <v>7477</v>
      </c>
      <c r="Z856" s="158" t="s">
        <v>7695</v>
      </c>
      <c r="AA856" s="158" t="s">
        <v>7695</v>
      </c>
      <c r="AB856" s="158" t="s">
        <v>149</v>
      </c>
      <c r="AC856" s="158" t="s">
        <v>149</v>
      </c>
      <c r="AD856" s="158" t="s">
        <v>149</v>
      </c>
      <c r="AE856" s="158" t="s">
        <v>149</v>
      </c>
      <c r="AF856" s="158" t="s">
        <v>149</v>
      </c>
      <c r="AG856" s="164" t="s">
        <v>149</v>
      </c>
      <c r="AH856" s="153" t="s">
        <v>7190</v>
      </c>
      <c r="AI856" s="158" t="s">
        <v>149</v>
      </c>
      <c r="AJ856" s="158" t="s">
        <v>149</v>
      </c>
      <c r="AK856" s="158" t="s">
        <v>149</v>
      </c>
      <c r="AL856" s="166" t="s">
        <v>149</v>
      </c>
      <c r="AM856" s="166" t="s">
        <v>149</v>
      </c>
      <c r="AN856" s="166" t="s">
        <v>149</v>
      </c>
      <c r="AO856" s="156">
        <v>1.0</v>
      </c>
      <c r="AP856" s="156" t="s">
        <v>6037</v>
      </c>
      <c r="AQ856" s="158" t="s">
        <v>395</v>
      </c>
      <c r="AR856" s="153" t="s">
        <v>6060</v>
      </c>
      <c r="AS856" s="158" t="s">
        <v>541</v>
      </c>
      <c r="AT856" s="153" t="s">
        <v>398</v>
      </c>
      <c r="AU856" s="166" t="s">
        <v>149</v>
      </c>
    </row>
    <row r="857">
      <c r="A857" s="186">
        <v>500.0</v>
      </c>
      <c r="B857" s="152">
        <v>2025.0</v>
      </c>
      <c r="C857" s="153" t="str">
        <f t="shared" si="99"/>
        <v>2023-PH184625000-500</v>
      </c>
      <c r="D857" s="152">
        <f t="shared" si="100"/>
        <v>2023</v>
      </c>
      <c r="E857" s="151">
        <v>434.0</v>
      </c>
      <c r="F857" s="129" t="s">
        <v>140</v>
      </c>
      <c r="G857" s="156" t="s">
        <v>141</v>
      </c>
      <c r="H857" s="153" t="str">
        <f>IFERROR(__xludf.DUMMYFUNCTION("""COMPUTED_VALUE"""),"**Restoration_project_short** changed from Site in Lutoban to Site in Dalakit, **Total area of restoration** changed from 140 m2 to 105 m2")</f>
        <v>**Restoration_project_short** changed from Site in Lutoban to Site in Dalakit, **Total area of restoration** changed from 140 m2 to 105 m2</v>
      </c>
      <c r="I857" s="153" t="s">
        <v>7744</v>
      </c>
      <c r="J857" s="153" t="s">
        <v>625</v>
      </c>
      <c r="K857" s="153" t="s">
        <v>632</v>
      </c>
      <c r="L857" s="153" t="s">
        <v>637</v>
      </c>
      <c r="M857" s="181" t="s">
        <v>7206</v>
      </c>
      <c r="N857" s="153" t="s">
        <v>151</v>
      </c>
      <c r="O857" s="158" t="s">
        <v>149</v>
      </c>
      <c r="P857" s="158" t="s">
        <v>2719</v>
      </c>
      <c r="Q857" s="178" t="s">
        <v>149</v>
      </c>
      <c r="R857" s="160" t="s">
        <v>149</v>
      </c>
      <c r="S857" s="160" t="s">
        <v>149</v>
      </c>
      <c r="T857" s="161" t="s">
        <v>150</v>
      </c>
      <c r="U857" s="153">
        <f>IFERROR(__xludf.DUMMYFUNCTION("""COMPUTED_VALUE"""),827.0)</f>
        <v>827</v>
      </c>
      <c r="V857" s="162" t="s">
        <v>3311</v>
      </c>
      <c r="W857" s="184" t="s">
        <v>6172</v>
      </c>
      <c r="X857" s="28" t="s">
        <v>6082</v>
      </c>
      <c r="Y857" s="32" t="s">
        <v>7477</v>
      </c>
      <c r="Z857" s="158" t="s">
        <v>7695</v>
      </c>
      <c r="AA857" s="158" t="s">
        <v>7695</v>
      </c>
      <c r="AB857" s="158" t="s">
        <v>149</v>
      </c>
      <c r="AC857" s="158" t="s">
        <v>149</v>
      </c>
      <c r="AD857" s="158" t="s">
        <v>149</v>
      </c>
      <c r="AE857" s="158" t="s">
        <v>149</v>
      </c>
      <c r="AF857" s="158" t="s">
        <v>149</v>
      </c>
      <c r="AG857" s="164" t="s">
        <v>149</v>
      </c>
      <c r="AH857" s="153" t="s">
        <v>7745</v>
      </c>
      <c r="AI857" s="158" t="s">
        <v>149</v>
      </c>
      <c r="AJ857" s="158" t="s">
        <v>149</v>
      </c>
      <c r="AK857" s="158" t="s">
        <v>149</v>
      </c>
      <c r="AL857" s="166" t="s">
        <v>149</v>
      </c>
      <c r="AM857" s="166" t="s">
        <v>149</v>
      </c>
      <c r="AN857" s="166" t="s">
        <v>149</v>
      </c>
      <c r="AO857" s="156">
        <v>1.0</v>
      </c>
      <c r="AP857" s="156" t="s">
        <v>6037</v>
      </c>
      <c r="AQ857" s="158" t="s">
        <v>395</v>
      </c>
      <c r="AR857" s="153" t="s">
        <v>6060</v>
      </c>
      <c r="AS857" s="177" t="s">
        <v>541</v>
      </c>
      <c r="AT857" s="153" t="s">
        <v>398</v>
      </c>
      <c r="AU857" s="166" t="s">
        <v>149</v>
      </c>
    </row>
    <row r="858">
      <c r="A858" s="186">
        <v>500.0</v>
      </c>
      <c r="B858" s="152">
        <v>2025.0</v>
      </c>
      <c r="C858" s="153" t="str">
        <f t="shared" si="99"/>
        <v>2023-PH184625000-500</v>
      </c>
      <c r="D858" s="152">
        <f t="shared" si="100"/>
        <v>2023</v>
      </c>
      <c r="E858" s="151">
        <v>435.0</v>
      </c>
      <c r="F858" s="156" t="s">
        <v>191</v>
      </c>
      <c r="G858" s="156" t="s">
        <v>191</v>
      </c>
      <c r="H858" s="153" t="str">
        <f>IFERROR(__xludf.DUMMYFUNCTION("""COMPUTED_VALUE"""),"**Restoration_project** changed from Unknown to Build-A-Reef, **Restoration_project_short** changed from Site in Dalakit to Site in Brgy Poblacion, **Year of establishment** changed from Unknown to 2016, **Project Start** changed from Unknown to 2016, **T"&amp;"echnique/Material Type** changed from tires; concrete base to hollow blocks, **Restoration objective** changed from Unknown to Natural refuge and habitat, **Funding agency** changed from Unknown to Philippine Coast Guard, **Total area of restoration** cha"&amp;"nged from 105 m2 to Unknown, **Total units** changed from Unknown to 587 pcs, **Implementing institution** changed from Unknown to Philippine Coast Guard South District Command; PCG 1306th Squadron, **Partners_public** changed from Unknown to Municipal DR"&amp;"R Office, **Partners_private** changed from Unknown to Philippine Coast Guard Auxiliary, **Reference** changed from Balgos, M.C. (1995). Evaluation of artificial reef development in the Philippines. In Munro, J.L. &amp; Balgos, M. (eds.) Artificial reefs in t"&amp;"he Philippines. ICLARM Conf. Proc. 49, pp. 6-22. to Partlow, M. J. (2018, September 26). ""Build-a-Reef"" brings back sea life in NegOr coastal town. Philippine News Agency. https://www.pna.gov.ph/articles/1049175, **Website** changed from https://core.ac"&amp;".uk/download/pdf/6515223.pdf to https://www.pna.gov.ph/articles/1049175, **Contact_name** changed from Miriam Balgos to Unknown")</f>
        <v>**Restoration_project** changed from Unknown to Build-A-Reef, **Restoration_project_short** changed from Site in Dalakit to Site in Brgy Poblacion, **Year of establishment** changed from Unknown to 2016, **Project Start** changed from Unknown to 2016, **Technique/Material Type** changed from tires; concrete base to hollow blocks, **Restoration objective** changed from Unknown to Natural refuge and habitat, **Funding agency** changed from Unknown to Philippine Coast Guard, **Total area of restoration** changed from 105 m2 to Unknown, **Total units** changed from Unknown to 587 pcs, **Implementing institution** changed from Unknown to Philippine Coast Guard South District Command; PCG 1306th Squadron, **Partners_public** changed from Unknown to Municipal DRR Office, **Partners_private** changed from Unknown to Philippine Coast Guard Auxiliary, **Reference** changed from Balgos, M.C. (1995). Evaluation of artificial reef development in the Philippines. In Munro, J.L. &amp; Balgos, M. (eds.) Artificial reefs in the Philippines. ICLARM Conf. Proc. 49, pp. 6-22. to Partlow, M. J. (2018, September 26). "Build-a-Reef" brings back sea life in NegOr coastal town. Philippine News Agency. https://www.pna.gov.ph/articles/1049175, **Website** changed from https://core.ac.uk/download/pdf/6515223.pdf to https://www.pna.gov.ph/articles/1049175, **Contact_name** changed from Miriam Balgos to Unknown</v>
      </c>
      <c r="I858" s="153" t="s">
        <v>7746</v>
      </c>
      <c r="J858" s="153" t="s">
        <v>625</v>
      </c>
      <c r="K858" s="153" t="s">
        <v>632</v>
      </c>
      <c r="L858" s="153" t="s">
        <v>637</v>
      </c>
      <c r="M858" s="181" t="s">
        <v>7206</v>
      </c>
      <c r="N858" s="153" t="s">
        <v>151</v>
      </c>
      <c r="O858" s="153" t="s">
        <v>756</v>
      </c>
      <c r="P858" s="153" t="s">
        <v>757</v>
      </c>
      <c r="Q858" s="169">
        <v>2016.0</v>
      </c>
      <c r="R858" s="160" t="s">
        <v>6064</v>
      </c>
      <c r="S858" s="160" t="s">
        <v>149</v>
      </c>
      <c r="T858" s="161" t="s">
        <v>150</v>
      </c>
      <c r="U858" s="153">
        <f>IFERROR(__xludf.DUMMYFUNCTION("""COMPUTED_VALUE"""),828.0)</f>
        <v>828</v>
      </c>
      <c r="V858" s="162" t="s">
        <v>3311</v>
      </c>
      <c r="W858" s="179" t="s">
        <v>6032</v>
      </c>
      <c r="X858" s="28" t="s">
        <v>6173</v>
      </c>
      <c r="Y858" s="32" t="s">
        <v>265</v>
      </c>
      <c r="Z858" s="158" t="s">
        <v>7747</v>
      </c>
      <c r="AA858" s="153" t="s">
        <v>7747</v>
      </c>
      <c r="AB858" s="153" t="s">
        <v>759</v>
      </c>
      <c r="AC858" s="153" t="s">
        <v>760</v>
      </c>
      <c r="AD858" s="158" t="s">
        <v>160</v>
      </c>
      <c r="AE858" s="158" t="s">
        <v>6035</v>
      </c>
      <c r="AF858" s="158" t="s">
        <v>159</v>
      </c>
      <c r="AG858" s="164" t="s">
        <v>149</v>
      </c>
      <c r="AH858" s="158" t="s">
        <v>149</v>
      </c>
      <c r="AI858" s="153" t="s">
        <v>7748</v>
      </c>
      <c r="AJ858" s="153" t="s">
        <v>7749</v>
      </c>
      <c r="AK858" s="153" t="s">
        <v>6035</v>
      </c>
      <c r="AL858" s="158" t="s">
        <v>764</v>
      </c>
      <c r="AM858" s="153" t="s">
        <v>765</v>
      </c>
      <c r="AN858" s="156" t="s">
        <v>149</v>
      </c>
      <c r="AO858" s="156">
        <v>1.0</v>
      </c>
      <c r="AP858" s="156" t="s">
        <v>6037</v>
      </c>
      <c r="AQ858" s="158" t="s">
        <v>166</v>
      </c>
      <c r="AR858" s="153" t="s">
        <v>766</v>
      </c>
      <c r="AS858" s="172" t="s">
        <v>767</v>
      </c>
      <c r="AT858" s="166" t="s">
        <v>149</v>
      </c>
      <c r="AU858" s="166" t="s">
        <v>149</v>
      </c>
    </row>
    <row r="859">
      <c r="A859" s="186">
        <v>500.0</v>
      </c>
      <c r="B859" s="152">
        <v>2025.0</v>
      </c>
      <c r="C859" s="153" t="str">
        <f t="shared" si="99"/>
        <v>2025-PH076103000-500</v>
      </c>
      <c r="D859" s="152">
        <f t="shared" si="100"/>
        <v>2025</v>
      </c>
      <c r="E859" s="151">
        <v>436.0</v>
      </c>
      <c r="F859" s="156" t="s">
        <v>191</v>
      </c>
      <c r="G859" s="156" t="s">
        <v>191</v>
      </c>
      <c r="H859" s="153" t="str">
        <f>IFERROR(__xludf.DUMMYFUNCTION("""COMPUTED_VALUE"""),"**Restoration_project** changed from Build-A-Reef to SCREMP, **Restoration_project_short** changed from Site in Brgy Poblacion to Part of 300 artificial coral houses distributed in Bohol and Siquijor under SCREMP, **Year of establishment** changed from 20"&amp;"16 to Unknown, **Project Start** changed from 2016 to 2012, **Technique/Material Type** changed from hollow blocks to Unknown, **Restoration objective** changed from Natural refuge and habitat to Reef recovery, **Funding agency** changed from Philippine C"&amp;"oast Guard to DENR, **Total units** changed from 587 pcs to Unknown, **Implementing institution** changed from Philippine Coast Guard South District Command; PCG 1306th Squadron to DENR 7 PAWCZMS, **Partners_public** changed from Municipal DRR Office to U"&amp;"nknown, **Partners_private** changed from Philippine Coast Guard Auxiliary to Unknown, **Reference** changed from Partlow, M. J. (2018, September 26). ""Build-a-Reef"" brings back sea life in NegOr coastal town. Philippine News Agency. https://www.pna.gov"&amp;".ph/articles/1049175 to JKV (2014, December 30). DENR 7 plants 1T artificial reefs. SunStar. https://www.sunstar.com.ph/article/385473/denr-7-plants-1t-artificial-reefs-, **Website** changed from https://www.pna.gov.ph/articles/1049175 to https://www.suns"&amp;"tar.com.ph/article/385473/denr-7-plants-1t-artificial-reefs-")</f>
        <v>**Restoration_project** changed from Build-A-Reef to SCREMP, **Restoration_project_short** changed from Site in Brgy Poblacion to Part of 300 artificial coral houses distributed in Bohol and Siquijor under SCREMP, **Year of establishment** changed from 2016 to Unknown, **Project Start** changed from 2016 to 2012, **Technique/Material Type** changed from hollow blocks to Unknown, **Restoration objective** changed from Natural refuge and habitat to Reef recovery, **Funding agency** changed from Philippine Coast Guard to DENR, **Total units** changed from 587 pcs to Unknown, **Implementing institution** changed from Philippine Coast Guard South District Command; PCG 1306th Squadron to DENR 7 PAWCZMS, **Partners_public** changed from Municipal DRR Office to Unknown, **Partners_private** changed from Philippine Coast Guard Auxiliary to Unknown, **Reference** changed from Partlow, M. J. (2018, September 26). "Build-a-Reef" brings back sea life in NegOr coastal town. Philippine News Agency. https://www.pna.gov.ph/articles/1049175 to JKV (2014, December 30). DENR 7 plants 1T artificial reefs. SunStar. https://www.sunstar.com.ph/article/385473/denr-7-plants-1t-artificial-reefs-, **Website** changed from https://www.pna.gov.ph/articles/1049175 to https://www.sunstar.com.ph/article/385473/denr-7-plants-1t-artificial-reefs-</v>
      </c>
      <c r="I859" s="153" t="s">
        <v>7750</v>
      </c>
      <c r="J859" s="153" t="s">
        <v>625</v>
      </c>
      <c r="K859" s="153" t="s">
        <v>826</v>
      </c>
      <c r="L859" s="153" t="s">
        <v>2210</v>
      </c>
      <c r="M859" s="181" t="s">
        <v>2211</v>
      </c>
      <c r="N859" s="153" t="s">
        <v>151</v>
      </c>
      <c r="O859" s="153" t="s">
        <v>6587</v>
      </c>
      <c r="P859" s="153" t="s">
        <v>7100</v>
      </c>
      <c r="Q859" s="197" t="s">
        <v>149</v>
      </c>
      <c r="R859" s="175" t="s">
        <v>6151</v>
      </c>
      <c r="S859" s="164" t="s">
        <v>149</v>
      </c>
      <c r="T859" s="161" t="s">
        <v>150</v>
      </c>
      <c r="U859" s="153">
        <f>IFERROR(__xludf.DUMMYFUNCTION("""COMPUTED_VALUE"""),829.0)</f>
        <v>829</v>
      </c>
      <c r="V859" s="162" t="s">
        <v>3311</v>
      </c>
      <c r="W859" s="187" t="s">
        <v>149</v>
      </c>
      <c r="X859" s="184"/>
      <c r="Y859" s="184" t="s">
        <v>149</v>
      </c>
      <c r="Z859" s="158" t="s">
        <v>149</v>
      </c>
      <c r="AA859" s="158" t="s">
        <v>149</v>
      </c>
      <c r="AB859" s="153" t="s">
        <v>7101</v>
      </c>
      <c r="AC859" s="153" t="s">
        <v>341</v>
      </c>
      <c r="AD859" s="158" t="s">
        <v>160</v>
      </c>
      <c r="AE859" s="158" t="s">
        <v>6035</v>
      </c>
      <c r="AF859" s="158" t="s">
        <v>159</v>
      </c>
      <c r="AG859" s="164" t="s">
        <v>149</v>
      </c>
      <c r="AH859" s="158" t="s">
        <v>149</v>
      </c>
      <c r="AI859" s="158" t="s">
        <v>149</v>
      </c>
      <c r="AJ859" s="153" t="s">
        <v>2160</v>
      </c>
      <c r="AK859" s="153" t="s">
        <v>6035</v>
      </c>
      <c r="AL859" s="156" t="s">
        <v>149</v>
      </c>
      <c r="AM859" s="156" t="s">
        <v>149</v>
      </c>
      <c r="AN859" s="156" t="s">
        <v>149</v>
      </c>
      <c r="AO859" s="156">
        <v>1.0</v>
      </c>
      <c r="AP859" s="156" t="s">
        <v>6037</v>
      </c>
      <c r="AQ859" s="158" t="s">
        <v>166</v>
      </c>
      <c r="AR859" s="153" t="s">
        <v>2161</v>
      </c>
      <c r="AS859" s="165" t="s">
        <v>2162</v>
      </c>
      <c r="AT859" s="156" t="s">
        <v>149</v>
      </c>
      <c r="AU859" s="156" t="s">
        <v>149</v>
      </c>
    </row>
    <row r="860">
      <c r="A860" s="186">
        <v>500.0</v>
      </c>
      <c r="B860" s="152">
        <v>2025.0</v>
      </c>
      <c r="C860" s="153" t="str">
        <f t="shared" si="99"/>
        <v>2025-PH076104000-500</v>
      </c>
      <c r="D860" s="152">
        <f t="shared" si="100"/>
        <v>2025</v>
      </c>
      <c r="E860" s="151">
        <v>437.0</v>
      </c>
      <c r="F860" s="156" t="s">
        <v>191</v>
      </c>
      <c r="G860" s="156" t="s">
        <v>191</v>
      </c>
      <c r="H860" s="153" t="str">
        <f>IFERROR(__xludf.DUMMYFUNCTION("""COMPUTED_VALUE"""),"**Restoration_project_short** changed from Part of 300 artificial coral houses distributed in Bohol and Siquijor under SCREMP to Part of 300 artificial coral houses distributed in Bohol and Siquijor under SCREMPn")</f>
        <v>**Restoration_project_short** changed from Part of 300 artificial coral houses distributed in Bohol and Siquijor under SCREMP to Part of 300 artificial coral houses distributed in Bohol and Siquijor under SCREMPn</v>
      </c>
      <c r="I860" s="153" t="s">
        <v>7751</v>
      </c>
      <c r="J860" s="153" t="s">
        <v>625</v>
      </c>
      <c r="K860" s="153" t="s">
        <v>826</v>
      </c>
      <c r="L860" s="153" t="s">
        <v>827</v>
      </c>
      <c r="M860" s="181" t="s">
        <v>828</v>
      </c>
      <c r="N860" s="153" t="s">
        <v>151</v>
      </c>
      <c r="O860" s="153" t="s">
        <v>6587</v>
      </c>
      <c r="P860" s="153" t="s">
        <v>7752</v>
      </c>
      <c r="Q860" s="197" t="s">
        <v>149</v>
      </c>
      <c r="R860" s="175" t="s">
        <v>6151</v>
      </c>
      <c r="S860" s="164" t="s">
        <v>149</v>
      </c>
      <c r="T860" s="161" t="s">
        <v>150</v>
      </c>
      <c r="U860" s="153">
        <f>IFERROR(__xludf.DUMMYFUNCTION("""COMPUTED_VALUE"""),830.0)</f>
        <v>830</v>
      </c>
      <c r="V860" s="162" t="s">
        <v>3311</v>
      </c>
      <c r="W860" s="187" t="s">
        <v>149</v>
      </c>
      <c r="X860" s="184"/>
      <c r="Y860" s="184" t="s">
        <v>149</v>
      </c>
      <c r="Z860" s="158" t="s">
        <v>149</v>
      </c>
      <c r="AA860" s="158" t="s">
        <v>149</v>
      </c>
      <c r="AB860" s="153" t="s">
        <v>7101</v>
      </c>
      <c r="AC860" s="153" t="s">
        <v>341</v>
      </c>
      <c r="AD860" s="158" t="s">
        <v>160</v>
      </c>
      <c r="AE860" s="158" t="s">
        <v>6035</v>
      </c>
      <c r="AF860" s="158" t="s">
        <v>159</v>
      </c>
      <c r="AG860" s="164" t="s">
        <v>149</v>
      </c>
      <c r="AH860" s="158" t="s">
        <v>149</v>
      </c>
      <c r="AI860" s="158" t="s">
        <v>149</v>
      </c>
      <c r="AJ860" s="153" t="s">
        <v>2160</v>
      </c>
      <c r="AK860" s="153" t="s">
        <v>6035</v>
      </c>
      <c r="AL860" s="156" t="s">
        <v>149</v>
      </c>
      <c r="AM860" s="156" t="s">
        <v>149</v>
      </c>
      <c r="AN860" s="156" t="s">
        <v>149</v>
      </c>
      <c r="AO860" s="156">
        <v>1.0</v>
      </c>
      <c r="AP860" s="156" t="s">
        <v>6037</v>
      </c>
      <c r="AQ860" s="158" t="s">
        <v>166</v>
      </c>
      <c r="AR860" s="153" t="s">
        <v>2161</v>
      </c>
      <c r="AS860" s="165" t="s">
        <v>2162</v>
      </c>
      <c r="AT860" s="156" t="s">
        <v>149</v>
      </c>
      <c r="AU860" s="156" t="s">
        <v>149</v>
      </c>
    </row>
    <row r="861">
      <c r="A861" s="186">
        <v>500.0</v>
      </c>
      <c r="B861" s="152">
        <v>2025.0</v>
      </c>
      <c r="C861" s="153" t="str">
        <f t="shared" si="99"/>
        <v>2025-PH076104000-500</v>
      </c>
      <c r="D861" s="152">
        <f t="shared" si="100"/>
        <v>2025</v>
      </c>
      <c r="E861" s="151">
        <v>438.0</v>
      </c>
      <c r="F861" s="156" t="s">
        <v>191</v>
      </c>
      <c r="G861" s="156" t="s">
        <v>191</v>
      </c>
      <c r="H861" s="153" t="str">
        <f>IFERROR(__xludf.DUMMYFUNCTION("""COMPUTED_VALUE"""),"**Restoration_project** changed from SCREMP to Central Visayas Regional Projects - 1, **Restoration_project_short** changed from Part of 300 artificial coral houses distributed in Bohol and Siquijor under SCREMPn to Site in Candaping B MPA, **Year of esta"&amp;"blishment** changed from Unknown to 1988, **Project Start** changed from 2012 to 1984, **Project End** changed from Unknown to 1992, **Technique/Material Type** changed from Unknown to Concrete, **Restoration objective** changed from Reef recovery to Coas"&amp;"tal resource management, **Funding agency** changed from DENR to World Bank, **Implementing institution** changed from DENR 7 PAWCZMS to Central Visayas Regional Projects - I Regional Project Office (RPO), **Partners_public** changed from Unknown to NEDA,"&amp;" **Reference** changed from JKV (2014, December 30). DENR 7 plants 1T artificial reefs. SunStar. https://www.sunstar.com.ph/article/385473/denr-7-plants-1t-artificial-reefs- to LMP, FISH Project, WWF-Philippines and CI-Philippines (2009). Directory of CRM"&amp;" Learning Destinations in the Philippines, 2nd Edition. Cebu City Philippines. http://oneocean.org/download/db_files/directory_of_crm_destinations2Ed.pdf, **Website** changed from https://www.sunstar.com.ph/article/385473/denr-7-plants-1t-artificial-reefs"&amp;"- to http://oneocean.org/download/db_files/directory_of_crm_destinations2Ed.pdf")</f>
        <v>**Restoration_project** changed from SCREMP to Central Visayas Regional Projects - 1, **Restoration_project_short** changed from Part of 300 artificial coral houses distributed in Bohol and Siquijor under SCREMPn to Site in Candaping B MPA, **Year of establishment** changed from Unknown to 1988, **Project Start** changed from 2012 to 1984, **Project End** changed from Unknown to 1992, **Technique/Material Type** changed from Unknown to Concrete, **Restoration objective** changed from Reef recovery to Coastal resource management, **Funding agency** changed from DENR to World Bank, **Implementing institution** changed from DENR 7 PAWCZMS to Central Visayas Regional Projects - I Regional Project Office (RPO), **Partners_public** changed from Unknown to NEDA, **Reference** changed from JKV (2014, December 30). DENR 7 plants 1T artificial reefs. SunStar. https://www.sunstar.com.ph/article/385473/denr-7-plants-1t-artificial-reefs- to LMP, FISH Project, WWF-Philippines and CI-Philippines (2009). Directory of CRM Learning Destinations in the Philippines, 2nd Edition. Cebu City Philippines. http://oneocean.org/download/db_files/directory_of_crm_destinations2Ed.pdf, **Website** changed from https://www.sunstar.com.ph/article/385473/denr-7-plants-1t-artificial-reefs- to http://oneocean.org/download/db_files/directory_of_crm_destinations2Ed.pdf</v>
      </c>
      <c r="I861" s="153" t="s">
        <v>7753</v>
      </c>
      <c r="J861" s="153" t="s">
        <v>625</v>
      </c>
      <c r="K861" s="153" t="s">
        <v>826</v>
      </c>
      <c r="L861" s="153" t="s">
        <v>827</v>
      </c>
      <c r="M861" s="181" t="s">
        <v>828</v>
      </c>
      <c r="N861" s="153" t="s">
        <v>151</v>
      </c>
      <c r="O861" s="158" t="s">
        <v>816</v>
      </c>
      <c r="P861" s="153" t="s">
        <v>829</v>
      </c>
      <c r="Q861" s="178">
        <v>1988.0</v>
      </c>
      <c r="R861" s="160" t="s">
        <v>6352</v>
      </c>
      <c r="S861" s="160" t="s">
        <v>6896</v>
      </c>
      <c r="T861" s="161" t="s">
        <v>150</v>
      </c>
      <c r="U861" s="153">
        <f>IFERROR(__xludf.DUMMYFUNCTION("""COMPUTED_VALUE"""),831.0)</f>
        <v>831</v>
      </c>
      <c r="V861" s="162" t="s">
        <v>3311</v>
      </c>
      <c r="W861" s="184" t="s">
        <v>6032</v>
      </c>
      <c r="X861" s="28" t="s">
        <v>6173</v>
      </c>
      <c r="Y861" s="32" t="s">
        <v>6474</v>
      </c>
      <c r="Z861" s="158" t="s">
        <v>152</v>
      </c>
      <c r="AA861" s="158" t="s">
        <v>152</v>
      </c>
      <c r="AB861" s="158" t="s">
        <v>819</v>
      </c>
      <c r="AC861" s="158" t="s">
        <v>820</v>
      </c>
      <c r="AD861" s="158" t="s">
        <v>6154</v>
      </c>
      <c r="AE861" s="158" t="s">
        <v>206</v>
      </c>
      <c r="AF861" s="158" t="s">
        <v>159</v>
      </c>
      <c r="AG861" s="164" t="s">
        <v>149</v>
      </c>
      <c r="AH861" s="158" t="s">
        <v>149</v>
      </c>
      <c r="AI861" s="158" t="s">
        <v>149</v>
      </c>
      <c r="AJ861" s="158" t="s">
        <v>830</v>
      </c>
      <c r="AK861" s="158" t="s">
        <v>6035</v>
      </c>
      <c r="AL861" s="158" t="s">
        <v>822</v>
      </c>
      <c r="AM861" s="156" t="s">
        <v>149</v>
      </c>
      <c r="AN861" s="156" t="s">
        <v>149</v>
      </c>
      <c r="AO861" s="156">
        <v>1.0</v>
      </c>
      <c r="AP861" s="156" t="s">
        <v>6037</v>
      </c>
      <c r="AQ861" s="158" t="s">
        <v>6084</v>
      </c>
      <c r="AR861" s="153" t="s">
        <v>823</v>
      </c>
      <c r="AS861" s="172" t="s">
        <v>824</v>
      </c>
      <c r="AT861" s="156" t="s">
        <v>149</v>
      </c>
      <c r="AU861" s="156" t="s">
        <v>149</v>
      </c>
    </row>
    <row r="862">
      <c r="A862" s="186">
        <v>500.0</v>
      </c>
      <c r="B862" s="152">
        <v>2025.0</v>
      </c>
      <c r="C862" s="153" t="str">
        <f t="shared" si="99"/>
        <v>2025-PH150712000-500</v>
      </c>
      <c r="D862" s="152">
        <f t="shared" si="100"/>
        <v>2025</v>
      </c>
      <c r="E862" s="151">
        <v>439.0</v>
      </c>
      <c r="F862" s="129" t="s">
        <v>140</v>
      </c>
      <c r="G862" s="156" t="s">
        <v>141</v>
      </c>
      <c r="H862" s="153" t="str">
        <f>IFERROR(__xludf.DUMMYFUNCTION("""COMPUTED_VALUE"""),"**Region** changed from NIR to BARMM, **Restoration_project** changed from Central Visayas Regional Projects - 1 to FishCORAL, **Restoration_project_short** changed from Site in Candaping B MPA to Unknown, **Year of establishment** changed from 1988 to 20"&amp;"20, **Project Start** changed from 1984 to 2016, **Project End** changed from 1992 to 2020, **Technique/Material Type** changed from Concrete to Unknown, **Restoration objective** changed from Coastal resource management to Habitat for coral reef fishes; "&amp;"fisheries productivity, **Funding agency** changed from World Bank to International Fund for Agricultural Development, **Total units** changed from Unknown to 40 units, **Implementing institution** changed from Central Visayas Regional Projects - I Region"&amp;"al Project Office (RPO) to BFAR, **Partners_public** changed from NEDA to MLGU, **Reference** changed from LMP, FISH Project, WWF-Philippines and CI-Philippines (2009). Directory of CRM Learning Destinations in the Philippines, 2nd Edition. Cebu City Phil"&amp;"ippines. http://oneocean.org/download/db_files/directory_of_crm_destinations2Ed.pdf to BFAR (2020). Fisheries, Coastal Resources and Livelihood Project (FishCORAL) Annual Progress Report Year 2020. https://www.bfar.da.gov.ph/wp-content/uploads/2022/05/Fis"&amp;"hCORAL-Project-Annual-Report-2020.pdf, **Website** changed from http://oneocean.org/download/db_files/directory_of_crm_destinations2Ed.pdf to https://www.bfar.da.gov.ph/wp-content/uploads/2022/05/FishCORAL-Project-Annual-Report-2020.pdf")</f>
        <v>**Region** changed from NIR to BARMM, **Restoration_project** changed from Central Visayas Regional Projects - 1 to FishCORAL, **Restoration_project_short** changed from Site in Candaping B MPA to Unknown, **Year of establishment** changed from 1988 to 2020, **Project Start** changed from 1984 to 2016, **Project End** changed from 1992 to 2020, **Technique/Material Type** changed from Concrete to Unknown, **Restoration objective** changed from Coastal resource management to Habitat for coral reef fishes; fisheries productivity, **Funding agency** changed from World Bank to International Fund for Agricultural Development, **Total units** changed from Unknown to 40 units, **Implementing institution** changed from Central Visayas Regional Projects - I Regional Project Office (RPO) to BFAR, **Partners_public** changed from NEDA to MLGU, **Reference** changed from LMP, FISH Project, WWF-Philippines and CI-Philippines (2009). Directory of CRM Learning Destinations in the Philippines, 2nd Edition. Cebu City Philippines. http://oneocean.org/download/db_files/directory_of_crm_destinations2Ed.pdf to BFAR (2020). Fisheries, Coastal Resources and Livelihood Project (FishCORAL) Annual Progress Report Year 2020. https://www.bfar.da.gov.ph/wp-content/uploads/2022/05/FishCORAL-Project-Annual-Report-2020.pdf, **Website** changed from http://oneocean.org/download/db_files/directory_of_crm_destinations2Ed.pdf to https://www.bfar.da.gov.ph/wp-content/uploads/2022/05/FishCORAL-Project-Annual-Report-2020.pdf</v>
      </c>
      <c r="I862" s="153" t="s">
        <v>7754</v>
      </c>
      <c r="J862" s="153" t="s">
        <v>642</v>
      </c>
      <c r="K862" s="153" t="s">
        <v>1333</v>
      </c>
      <c r="L862" s="153" t="s">
        <v>1334</v>
      </c>
      <c r="M862" s="181" t="s">
        <v>1335</v>
      </c>
      <c r="N862" s="153" t="s">
        <v>151</v>
      </c>
      <c r="O862" s="153" t="s">
        <v>1309</v>
      </c>
      <c r="P862" s="3" t="s">
        <v>149</v>
      </c>
      <c r="Q862" s="169">
        <v>2020.0</v>
      </c>
      <c r="R862" s="160" t="s">
        <v>6064</v>
      </c>
      <c r="S862" s="160" t="s">
        <v>6906</v>
      </c>
      <c r="T862" s="161" t="s">
        <v>150</v>
      </c>
      <c r="U862" s="153">
        <f>IFERROR(__xludf.DUMMYFUNCTION("""COMPUTED_VALUE"""),832.0)</f>
        <v>832</v>
      </c>
      <c r="V862" s="162" t="s">
        <v>3311</v>
      </c>
      <c r="W862" s="187" t="s">
        <v>149</v>
      </c>
      <c r="X862" s="184"/>
      <c r="Y862" s="184" t="s">
        <v>149</v>
      </c>
      <c r="Z862" s="158" t="s">
        <v>149</v>
      </c>
      <c r="AA862" s="158" t="s">
        <v>149</v>
      </c>
      <c r="AB862" s="158" t="s">
        <v>6910</v>
      </c>
      <c r="AC862" s="158" t="s">
        <v>1327</v>
      </c>
      <c r="AD862" s="158" t="s">
        <v>6154</v>
      </c>
      <c r="AE862" s="158" t="s">
        <v>206</v>
      </c>
      <c r="AF862" s="158" t="s">
        <v>159</v>
      </c>
      <c r="AG862" s="164" t="s">
        <v>149</v>
      </c>
      <c r="AH862" s="158" t="s">
        <v>149</v>
      </c>
      <c r="AI862" s="153" t="s">
        <v>1336</v>
      </c>
      <c r="AJ862" s="153" t="s">
        <v>390</v>
      </c>
      <c r="AK862" s="153" t="s">
        <v>6035</v>
      </c>
      <c r="AL862" s="153" t="s">
        <v>369</v>
      </c>
      <c r="AM862" s="3" t="s">
        <v>149</v>
      </c>
      <c r="AN862" s="3" t="s">
        <v>149</v>
      </c>
      <c r="AO862" s="156">
        <v>1.0</v>
      </c>
      <c r="AP862" s="156" t="s">
        <v>6037</v>
      </c>
      <c r="AQ862" s="153" t="s">
        <v>6084</v>
      </c>
      <c r="AR862" s="153" t="s">
        <v>1330</v>
      </c>
      <c r="AS862" s="165" t="s">
        <v>1331</v>
      </c>
      <c r="AT862" s="3" t="s">
        <v>149</v>
      </c>
      <c r="AU862" s="3" t="s">
        <v>149</v>
      </c>
    </row>
    <row r="863">
      <c r="A863" s="186">
        <v>500.0</v>
      </c>
      <c r="B863" s="152">
        <v>2025.0</v>
      </c>
      <c r="C863" s="153" t="str">
        <f t="shared" si="99"/>
        <v>2023-PH150703000-500</v>
      </c>
      <c r="D863" s="152">
        <f t="shared" si="100"/>
        <v>2023</v>
      </c>
      <c r="E863" s="151">
        <v>440.0</v>
      </c>
      <c r="F863" s="129" t="s">
        <v>140</v>
      </c>
      <c r="G863" s="156" t="s">
        <v>141</v>
      </c>
      <c r="H863" s="153" t="str">
        <f>IFERROR(__xludf.DUMMYFUNCTION("""COMPUTED_VALUE"""),"**Restoration_project_short** changed from Unknown to Site in Brgy Paniongan, **Total units** changed from 40 units to 160 units")</f>
        <v>**Restoration_project_short** changed from Unknown to Site in Brgy Paniongan, **Total units** changed from 40 units to 160 units</v>
      </c>
      <c r="I863" s="153" t="s">
        <v>7755</v>
      </c>
      <c r="J863" s="153" t="s">
        <v>642</v>
      </c>
      <c r="K863" s="153" t="s">
        <v>1333</v>
      </c>
      <c r="L863" s="153" t="s">
        <v>1338</v>
      </c>
      <c r="M863" s="181" t="s">
        <v>1339</v>
      </c>
      <c r="N863" s="153" t="s">
        <v>151</v>
      </c>
      <c r="O863" s="153" t="s">
        <v>1309</v>
      </c>
      <c r="P863" s="153" t="s">
        <v>1340</v>
      </c>
      <c r="Q863" s="169">
        <v>2020.0</v>
      </c>
      <c r="R863" s="160" t="s">
        <v>6064</v>
      </c>
      <c r="S863" s="160" t="s">
        <v>6906</v>
      </c>
      <c r="T863" s="161" t="s">
        <v>150</v>
      </c>
      <c r="U863" s="153">
        <f>IFERROR(__xludf.DUMMYFUNCTION("""COMPUTED_VALUE"""),833.0)</f>
        <v>833</v>
      </c>
      <c r="V863" s="162" t="s">
        <v>3311</v>
      </c>
      <c r="W863" s="187" t="s">
        <v>149</v>
      </c>
      <c r="X863" s="184"/>
      <c r="Y863" s="184" t="s">
        <v>149</v>
      </c>
      <c r="Z863" s="158" t="s">
        <v>149</v>
      </c>
      <c r="AA863" s="158" t="s">
        <v>149</v>
      </c>
      <c r="AB863" s="158" t="s">
        <v>6910</v>
      </c>
      <c r="AC863" s="158" t="s">
        <v>1327</v>
      </c>
      <c r="AD863" s="158" t="s">
        <v>6154</v>
      </c>
      <c r="AE863" s="158" t="s">
        <v>206</v>
      </c>
      <c r="AF863" s="158" t="s">
        <v>159</v>
      </c>
      <c r="AG863" s="164" t="s">
        <v>149</v>
      </c>
      <c r="AH863" s="158" t="s">
        <v>149</v>
      </c>
      <c r="AI863" s="153" t="s">
        <v>1341</v>
      </c>
      <c r="AJ863" s="153" t="s">
        <v>390</v>
      </c>
      <c r="AK863" s="153" t="s">
        <v>6035</v>
      </c>
      <c r="AL863" s="153" t="s">
        <v>369</v>
      </c>
      <c r="AM863" s="3" t="s">
        <v>149</v>
      </c>
      <c r="AN863" s="3" t="s">
        <v>149</v>
      </c>
      <c r="AO863" s="156">
        <v>1.0</v>
      </c>
      <c r="AP863" s="156" t="s">
        <v>6037</v>
      </c>
      <c r="AQ863" s="153" t="s">
        <v>6084</v>
      </c>
      <c r="AR863" s="153" t="s">
        <v>1330</v>
      </c>
      <c r="AS863" s="172" t="s">
        <v>1331</v>
      </c>
      <c r="AT863" s="3" t="s">
        <v>149</v>
      </c>
      <c r="AU863" s="3" t="s">
        <v>149</v>
      </c>
    </row>
    <row r="864">
      <c r="A864" s="186">
        <v>500.0</v>
      </c>
      <c r="B864" s="152">
        <v>2025.0</v>
      </c>
      <c r="C864" s="153" t="str">
        <f t="shared" si="99"/>
        <v>2023-PH150703000-500</v>
      </c>
      <c r="D864" s="152">
        <f t="shared" si="100"/>
        <v>2023</v>
      </c>
      <c r="E864" s="151">
        <v>441.0</v>
      </c>
      <c r="F864" s="176" t="s">
        <v>191</v>
      </c>
      <c r="G864" s="176" t="s">
        <v>191</v>
      </c>
      <c r="H864" s="158" t="str">
        <f>IFERROR(__xludf.DUMMYFUNCTION("""COMPUTED_VALUE"""),"**Restoration_project_short** changed from Site in Brgy Paniongan to Site in Brgy Calayan, **Total units** changed from 160 units to 68 units")</f>
        <v>**Restoration_project_short** changed from Site in Brgy Paniongan to Site in Brgy Calayan, **Total units** changed from 160 units to 68 units</v>
      </c>
      <c r="I864" s="158" t="s">
        <v>7755</v>
      </c>
      <c r="J864" s="158" t="s">
        <v>642</v>
      </c>
      <c r="K864" s="158" t="s">
        <v>1333</v>
      </c>
      <c r="L864" s="158" t="s">
        <v>1338</v>
      </c>
      <c r="M864" s="164" t="s">
        <v>1339</v>
      </c>
      <c r="N864" s="158" t="s">
        <v>151</v>
      </c>
      <c r="O864" s="158" t="s">
        <v>1309</v>
      </c>
      <c r="P864" s="158" t="s">
        <v>1344</v>
      </c>
      <c r="Q864" s="178">
        <v>2020.0</v>
      </c>
      <c r="R864" s="160" t="s">
        <v>6064</v>
      </c>
      <c r="S864" s="160" t="s">
        <v>6906</v>
      </c>
      <c r="T864" s="206" t="s">
        <v>150</v>
      </c>
      <c r="U864" s="158">
        <f>IFERROR(__xludf.DUMMYFUNCTION("""COMPUTED_VALUE"""),833.0)</f>
        <v>833</v>
      </c>
      <c r="V864" s="162" t="s">
        <v>3311</v>
      </c>
      <c r="W864" s="187" t="s">
        <v>149</v>
      </c>
      <c r="X864" s="184"/>
      <c r="Y864" s="184" t="s">
        <v>149</v>
      </c>
      <c r="Z864" s="158" t="s">
        <v>149</v>
      </c>
      <c r="AA864" s="158" t="s">
        <v>149</v>
      </c>
      <c r="AB864" s="158" t="s">
        <v>6910</v>
      </c>
      <c r="AC864" s="158" t="s">
        <v>1327</v>
      </c>
      <c r="AD864" s="158" t="s">
        <v>6154</v>
      </c>
      <c r="AE864" s="158" t="s">
        <v>206</v>
      </c>
      <c r="AF864" s="158" t="s">
        <v>159</v>
      </c>
      <c r="AG864" s="164" t="s">
        <v>149</v>
      </c>
      <c r="AH864" s="158" t="s">
        <v>149</v>
      </c>
      <c r="AI864" s="158" t="s">
        <v>1345</v>
      </c>
      <c r="AJ864" s="158" t="s">
        <v>390</v>
      </c>
      <c r="AK864" s="158" t="s">
        <v>6035</v>
      </c>
      <c r="AL864" s="158" t="s">
        <v>369</v>
      </c>
      <c r="AM864" s="176" t="s">
        <v>149</v>
      </c>
      <c r="AN864" s="176" t="s">
        <v>149</v>
      </c>
      <c r="AO864" s="156">
        <v>1.0</v>
      </c>
      <c r="AP864" s="156" t="s">
        <v>6037</v>
      </c>
      <c r="AQ864" s="158" t="s">
        <v>6084</v>
      </c>
      <c r="AR864" s="158" t="s">
        <v>1330</v>
      </c>
      <c r="AS864" s="177" t="s">
        <v>1331</v>
      </c>
      <c r="AT864" s="176" t="s">
        <v>149</v>
      </c>
      <c r="AU864" s="176" t="s">
        <v>149</v>
      </c>
    </row>
    <row r="865">
      <c r="A865" s="186">
        <v>500.0</v>
      </c>
      <c r="B865" s="152">
        <v>2025.0</v>
      </c>
      <c r="C865" s="153" t="str">
        <f t="shared" si="99"/>
        <v>2025-PH150713000-500</v>
      </c>
      <c r="D865" s="152">
        <f t="shared" si="100"/>
        <v>2025</v>
      </c>
      <c r="E865" s="151">
        <v>442.0</v>
      </c>
      <c r="F865" s="129" t="s">
        <v>140</v>
      </c>
      <c r="G865" s="156" t="s">
        <v>141</v>
      </c>
      <c r="H865" s="153" t="str">
        <f>IFERROR(__xludf.DUMMYFUNCTION("""COMPUTED_VALUE"""),"**Restoration_project_short** changed from Site in Brgy Calayan to Site in Brgy Lanawan Proper, **Year of establishment** changed from 2020 to 2020, **Total units** changed from 68 units to 80 units")</f>
        <v>**Restoration_project_short** changed from Site in Brgy Calayan to Site in Brgy Lanawan Proper, **Year of establishment** changed from 2020 to 2020, **Total units** changed from 68 units to 80 units</v>
      </c>
      <c r="I865" s="153" t="s">
        <v>7756</v>
      </c>
      <c r="J865" s="153" t="s">
        <v>642</v>
      </c>
      <c r="K865" s="153" t="s">
        <v>1333</v>
      </c>
      <c r="L865" s="153" t="s">
        <v>1347</v>
      </c>
      <c r="M865" s="181" t="s">
        <v>1348</v>
      </c>
      <c r="N865" s="153" t="s">
        <v>151</v>
      </c>
      <c r="O865" s="153" t="s">
        <v>1309</v>
      </c>
      <c r="P865" s="153" t="s">
        <v>1349</v>
      </c>
      <c r="Q865" s="142" t="s">
        <v>6906</v>
      </c>
      <c r="R865" s="160" t="s">
        <v>6064</v>
      </c>
      <c r="S865" s="160" t="s">
        <v>6906</v>
      </c>
      <c r="T865" s="161" t="s">
        <v>150</v>
      </c>
      <c r="U865" s="153">
        <f>IFERROR(__xludf.DUMMYFUNCTION("""COMPUTED_VALUE"""),834.0)</f>
        <v>834</v>
      </c>
      <c r="V865" s="162" t="s">
        <v>3311</v>
      </c>
      <c r="W865" s="187" t="s">
        <v>149</v>
      </c>
      <c r="X865" s="184"/>
      <c r="Y865" s="184" t="s">
        <v>149</v>
      </c>
      <c r="Z865" s="158" t="s">
        <v>149</v>
      </c>
      <c r="AA865" s="158" t="s">
        <v>149</v>
      </c>
      <c r="AB865" s="158" t="s">
        <v>6910</v>
      </c>
      <c r="AC865" s="158" t="s">
        <v>1327</v>
      </c>
      <c r="AD865" s="158" t="s">
        <v>6154</v>
      </c>
      <c r="AE865" s="158" t="s">
        <v>206</v>
      </c>
      <c r="AF865" s="158" t="s">
        <v>159</v>
      </c>
      <c r="AG865" s="164" t="s">
        <v>149</v>
      </c>
      <c r="AH865" s="158" t="s">
        <v>149</v>
      </c>
      <c r="AI865" s="153" t="s">
        <v>1350</v>
      </c>
      <c r="AJ865" s="153" t="s">
        <v>390</v>
      </c>
      <c r="AK865" s="153" t="s">
        <v>6035</v>
      </c>
      <c r="AL865" s="153" t="s">
        <v>369</v>
      </c>
      <c r="AM865" s="3" t="s">
        <v>149</v>
      </c>
      <c r="AN865" s="3" t="s">
        <v>149</v>
      </c>
      <c r="AO865" s="156">
        <v>1.0</v>
      </c>
      <c r="AP865" s="156" t="s">
        <v>6037</v>
      </c>
      <c r="AQ865" s="153" t="s">
        <v>6084</v>
      </c>
      <c r="AR865" s="153" t="s">
        <v>1330</v>
      </c>
      <c r="AS865" s="153" t="s">
        <v>1331</v>
      </c>
      <c r="AT865" s="3" t="s">
        <v>149</v>
      </c>
      <c r="AU865" s="3" t="s">
        <v>149</v>
      </c>
    </row>
    <row r="866">
      <c r="A866" s="186">
        <v>500.0</v>
      </c>
      <c r="B866" s="152">
        <v>2025.0</v>
      </c>
      <c r="C866" s="153" t="str">
        <f t="shared" si="99"/>
        <v>2023-PH153602000-500</v>
      </c>
      <c r="D866" s="152">
        <f t="shared" si="100"/>
        <v>2023</v>
      </c>
      <c r="E866" s="151">
        <v>443.0</v>
      </c>
      <c r="F866" s="129" t="s">
        <v>140</v>
      </c>
      <c r="G866" s="156" t="s">
        <v>141</v>
      </c>
      <c r="H866" s="153" t="str">
        <f>IFERROR(__xludf.DUMMYFUNCTION("""COMPUTED_VALUE"""),"**Restoration_project_short** changed from Site in Brgy Lanawan Proper to Site in Brgy Banago, **Year of establishment** changed from 2020 to 2022, **Project Start** changed from 2016 to Unknown, **Project End** changed from 2020 to Unknown, **Restoration"&amp;" method** changed from Artificial Reef to Asexual Reproduction, **Technique/Material Type** changed from Unknown to CNU, **Restoration objective** changed from Habitat for coral reef fishes; fisheries productivity to Restore degraded coral reefs; Enhance "&amp;"density and abundance of fish, **Funding agency** changed from International Fund for Agricultural Development to Unknown, **Total units** changed from 80 units to 11 CNUs, **Implementing institution** changed from BFAR to Ministry of Agriculture, Fisheri"&amp;"es and Agrarian Reform, **Partners_public** changed from MLGU to MAFAR Provincial Office, MLGU, **Reference** changed from BFAR (2020). Fisheries, Coastal Resources and Livelihood Project (FishCORAL) Annual Progress Report Year 2020. https://www.bfar.da.g"&amp;"ov.ph/wp-content/uploads/2022/05/FishCORAL-Project-Annual-Report-2020.pdf to Bagumbaran, A. (n.d.). MAFAR deploys coral nursery units in Lanao del Sur. https://philmuslimtoday.com/2022/06/08/mafar-deploys-coral-nursery-units-in-lanao-del-sur/, **Website**"&amp;" changed from https://www.bfar.da.gov.ph/wp-content/uploads/2022/05/FishCORAL-Project-Annual-Report-2020.pdf to https://philmuslimtoday.com/2022/06/08/mafar-deploys-coral-nursery-units-in-lanao-del-sur/")</f>
        <v>**Restoration_project_short** changed from Site in Brgy Lanawan Proper to Site in Brgy Banago, **Year of establishment** changed from 2020 to 2022, **Project Start** changed from 2016 to Unknown, **Project End** changed from 2020 to Unknown, **Restoration method** changed from Artificial Reef to Asexual Reproduction, **Technique/Material Type** changed from Unknown to CNU, **Restoration objective** changed from Habitat for coral reef fishes; fisheries productivity to Restore degraded coral reefs; Enhance density and abundance of fish, **Funding agency** changed from International Fund for Agricultural Development to Unknown, **Total units** changed from 80 units to 11 CNUs, **Implementing institution** changed from BFAR to Ministry of Agriculture, Fisheries and Agrarian Reform, **Partners_public** changed from MLGU to MAFAR Provincial Office, MLGU, **Reference** changed from BFAR (2020). Fisheries, Coastal Resources and Livelihood Project (FishCORAL) Annual Progress Report Year 2020. https://www.bfar.da.gov.ph/wp-content/uploads/2022/05/FishCORAL-Project-Annual-Report-2020.pdf to Bagumbaran, A. (n.d.). MAFAR deploys coral nursery units in Lanao del Sur. https://philmuslimtoday.com/2022/06/08/mafar-deploys-coral-nursery-units-in-lanao-del-sur/, **Website** changed from https://www.bfar.da.gov.ph/wp-content/uploads/2022/05/FishCORAL-Project-Annual-Report-2020.pdf to https://philmuslimtoday.com/2022/06/08/mafar-deploys-coral-nursery-units-in-lanao-del-sur/</v>
      </c>
      <c r="I866" s="153" t="s">
        <v>7757</v>
      </c>
      <c r="J866" s="153" t="s">
        <v>642</v>
      </c>
      <c r="K866" s="153" t="s">
        <v>2528</v>
      </c>
      <c r="L866" s="153" t="s">
        <v>2529</v>
      </c>
      <c r="M866" s="181" t="s">
        <v>2530</v>
      </c>
      <c r="N866" s="153" t="s">
        <v>6062</v>
      </c>
      <c r="O866" s="158" t="s">
        <v>1309</v>
      </c>
      <c r="P866" s="153" t="s">
        <v>2531</v>
      </c>
      <c r="Q866" s="178">
        <v>2022.0</v>
      </c>
      <c r="R866" s="160" t="s">
        <v>149</v>
      </c>
      <c r="S866" s="160" t="s">
        <v>149</v>
      </c>
      <c r="T866" s="156" t="s">
        <v>177</v>
      </c>
      <c r="U866" s="153">
        <f>IFERROR(__xludf.DUMMYFUNCTION("""COMPUTED_VALUE"""),835.0)</f>
        <v>835</v>
      </c>
      <c r="V866" s="191" t="s">
        <v>1359</v>
      </c>
      <c r="W866" s="179" t="s">
        <v>6066</v>
      </c>
      <c r="X866" s="180"/>
      <c r="Y866" s="180" t="s">
        <v>154</v>
      </c>
      <c r="Z866" s="158" t="s">
        <v>179</v>
      </c>
      <c r="AA866" s="153" t="s">
        <v>320</v>
      </c>
      <c r="AB866" s="158" t="s">
        <v>1311</v>
      </c>
      <c r="AC866" s="158" t="s">
        <v>149</v>
      </c>
      <c r="AD866" s="158" t="s">
        <v>149</v>
      </c>
      <c r="AE866" s="158" t="s">
        <v>149</v>
      </c>
      <c r="AF866" s="158" t="s">
        <v>159</v>
      </c>
      <c r="AG866" s="164" t="s">
        <v>149</v>
      </c>
      <c r="AH866" s="158" t="s">
        <v>149</v>
      </c>
      <c r="AI866" s="158" t="s">
        <v>1360</v>
      </c>
      <c r="AJ866" s="158" t="s">
        <v>1314</v>
      </c>
      <c r="AK866" s="153" t="s">
        <v>6035</v>
      </c>
      <c r="AL866" s="158" t="s">
        <v>7758</v>
      </c>
      <c r="AM866" s="3" t="s">
        <v>149</v>
      </c>
      <c r="AN866" s="3" t="s">
        <v>149</v>
      </c>
      <c r="AO866" s="156">
        <v>1.0</v>
      </c>
      <c r="AP866" s="156" t="s">
        <v>6037</v>
      </c>
      <c r="AQ866" s="158" t="s">
        <v>166</v>
      </c>
      <c r="AR866" s="158" t="s">
        <v>7759</v>
      </c>
      <c r="AS866" s="177" t="s">
        <v>2535</v>
      </c>
      <c r="AT866" s="3" t="s">
        <v>149</v>
      </c>
      <c r="AU866" s="3" t="s">
        <v>149</v>
      </c>
    </row>
    <row r="867">
      <c r="A867" s="186">
        <v>500.0</v>
      </c>
      <c r="B867" s="152">
        <v>2025.0</v>
      </c>
      <c r="C867" s="153" t="str">
        <f t="shared" si="99"/>
        <v>2023-PH153830000-500</v>
      </c>
      <c r="D867" s="152">
        <f t="shared" si="100"/>
        <v>2023</v>
      </c>
      <c r="E867" s="151">
        <v>444.0</v>
      </c>
      <c r="F867" s="176" t="s">
        <v>191</v>
      </c>
      <c r="G867" s="176" t="s">
        <v>191</v>
      </c>
      <c r="H867" s="158" t="str">
        <f>IFERROR(__xludf.DUMMYFUNCTION("""COMPUTED_VALUE"""),"**Restoration_project_short** changed from Site in Brgy Banago to Sites in Brgy Matuber, **Year of establishment** changed from 2022 to 2021, **Total units** changed from 11 CNUs to Unknown, **Reference** changed from Bagumbaran, A. (n.d.). MAFAR deploys "&amp;"coral nursery units in Lanao del Sur. https://philmuslimtoday.com/2022/06/08/mafar-deploys-coral-nursery-units-in-lanao-del-sur/ to Ministry of Agriculture, Fisheries and Agrarian Reform - BARMM (2021, Jul. 11). Monitoring of deployed coral nursery units "&amp;"(CNU) of FishCORAL MAFAR in Maguindanao. https://www.facebook.com/mafar.bangsamoro/posts/monitoring-of-deployed-coral-nursery-units-cnu-of-fishcoral-mafar-in-maguindanao/1003835920443233/, **Website** changed from https://philmuslimtoday.com/2022/06/08/ma"&amp;"far-deploys-coral-nursery-units-in-lanao-del-sur/ to https://www.facebook.com/mafar.bangsamoro/posts/monitoring-of-deployed-coral-nursery-units-cnu-of-fishcoral-mafar-in-maguindanao/1003835920443233/")</f>
        <v>**Restoration_project_short** changed from Site in Brgy Banago to Sites in Brgy Matuber, **Year of establishment** changed from 2022 to 2021, **Total units** changed from 11 CNUs to Unknown, **Reference** changed from Bagumbaran, A. (n.d.). MAFAR deploys coral nursery units in Lanao del Sur. https://philmuslimtoday.com/2022/06/08/mafar-deploys-coral-nursery-units-in-lanao-del-sur/ to Ministry of Agriculture, Fisheries and Agrarian Reform - BARMM (2021, Jul. 11). Monitoring of deployed coral nursery units (CNU) of FishCORAL MAFAR in Maguindanao. https://www.facebook.com/mafar.bangsamoro/posts/monitoring-of-deployed-coral-nursery-units-cnu-of-fishcoral-mafar-in-maguindanao/1003835920443233/, **Website** changed from https://philmuslimtoday.com/2022/06/08/mafar-deploys-coral-nursery-units-in-lanao-del-sur/ to https://www.facebook.com/mafar.bangsamoro/posts/monitoring-of-deployed-coral-nursery-units-cnu-of-fishcoral-mafar-in-maguindanao/1003835920443233/</v>
      </c>
      <c r="I867" s="158" t="s">
        <v>7760</v>
      </c>
      <c r="J867" s="158" t="s">
        <v>642</v>
      </c>
      <c r="K867" s="158" t="s">
        <v>643</v>
      </c>
      <c r="L867" s="158" t="s">
        <v>7691</v>
      </c>
      <c r="M867" s="164" t="s">
        <v>1308</v>
      </c>
      <c r="N867" s="158" t="s">
        <v>6062</v>
      </c>
      <c r="O867" s="158" t="s">
        <v>1309</v>
      </c>
      <c r="P867" s="158" t="s">
        <v>1310</v>
      </c>
      <c r="Q867" s="178">
        <v>2021.0</v>
      </c>
      <c r="R867" s="160" t="s">
        <v>149</v>
      </c>
      <c r="S867" s="160" t="s">
        <v>149</v>
      </c>
      <c r="T867" s="176" t="s">
        <v>177</v>
      </c>
      <c r="U867" s="158">
        <f>IFERROR(__xludf.DUMMYFUNCTION("""COMPUTED_VALUE"""),836.0)</f>
        <v>836</v>
      </c>
      <c r="V867" s="191" t="s">
        <v>1359</v>
      </c>
      <c r="W867" s="179" t="s">
        <v>6066</v>
      </c>
      <c r="X867" s="180"/>
      <c r="Y867" s="180" t="s">
        <v>154</v>
      </c>
      <c r="Z867" s="158" t="s">
        <v>179</v>
      </c>
      <c r="AA867" s="158" t="s">
        <v>320</v>
      </c>
      <c r="AB867" s="158" t="s">
        <v>1311</v>
      </c>
      <c r="AC867" s="158" t="s">
        <v>149</v>
      </c>
      <c r="AD867" s="158" t="s">
        <v>149</v>
      </c>
      <c r="AE867" s="158" t="s">
        <v>149</v>
      </c>
      <c r="AF867" s="158" t="s">
        <v>159</v>
      </c>
      <c r="AG867" s="164" t="s">
        <v>149</v>
      </c>
      <c r="AH867" s="158" t="s">
        <v>149</v>
      </c>
      <c r="AI867" s="158" t="s">
        <v>149</v>
      </c>
      <c r="AJ867" s="158" t="s">
        <v>1314</v>
      </c>
      <c r="AK867" s="158" t="s">
        <v>6035</v>
      </c>
      <c r="AL867" s="158" t="s">
        <v>7758</v>
      </c>
      <c r="AM867" s="176" t="s">
        <v>149</v>
      </c>
      <c r="AN867" s="176" t="s">
        <v>149</v>
      </c>
      <c r="AO867" s="156">
        <v>1.0</v>
      </c>
      <c r="AP867" s="156" t="s">
        <v>6037</v>
      </c>
      <c r="AQ867" s="158" t="s">
        <v>6038</v>
      </c>
      <c r="AR867" s="158" t="s">
        <v>1316</v>
      </c>
      <c r="AS867" s="172" t="s">
        <v>1317</v>
      </c>
      <c r="AT867" s="176" t="s">
        <v>149</v>
      </c>
      <c r="AU867" s="176" t="s">
        <v>149</v>
      </c>
    </row>
    <row r="868">
      <c r="A868" s="186">
        <v>500.0</v>
      </c>
      <c r="B868" s="152">
        <v>2025.0</v>
      </c>
      <c r="C868" s="153" t="str">
        <f t="shared" si="99"/>
        <v>2025-PH153830000-500</v>
      </c>
      <c r="D868" s="152">
        <f t="shared" si="100"/>
        <v>2025</v>
      </c>
      <c r="E868" s="151">
        <v>445.0</v>
      </c>
      <c r="F868" s="176" t="s">
        <v>191</v>
      </c>
      <c r="G868" s="176" t="s">
        <v>191</v>
      </c>
      <c r="H868" s="158" t="str">
        <f>IFERROR(__xludf.DUMMYFUNCTION("""COMPUTED_VALUE"""),"**Restoration_project_short** changed from Sites in Brgy Matuber to Site in Brgy Pura")</f>
        <v>**Restoration_project_short** changed from Sites in Brgy Matuber to Site in Brgy Pura</v>
      </c>
      <c r="I868" s="158" t="s">
        <v>7760</v>
      </c>
      <c r="J868" s="158" t="s">
        <v>642</v>
      </c>
      <c r="K868" s="158" t="s">
        <v>643</v>
      </c>
      <c r="L868" s="158" t="s">
        <v>7691</v>
      </c>
      <c r="M868" s="164" t="s">
        <v>1308</v>
      </c>
      <c r="N868" s="158" t="s">
        <v>6062</v>
      </c>
      <c r="O868" s="158" t="s">
        <v>1309</v>
      </c>
      <c r="P868" s="158" t="s">
        <v>1319</v>
      </c>
      <c r="Q868" s="178">
        <v>2021.0</v>
      </c>
      <c r="R868" s="160" t="s">
        <v>149</v>
      </c>
      <c r="S868" s="160" t="s">
        <v>149</v>
      </c>
      <c r="T868" s="176" t="s">
        <v>177</v>
      </c>
      <c r="U868" s="158">
        <f>IFERROR(__xludf.DUMMYFUNCTION("""COMPUTED_VALUE"""),836.0)</f>
        <v>836</v>
      </c>
      <c r="V868" s="191" t="s">
        <v>1359</v>
      </c>
      <c r="W868" s="179" t="s">
        <v>6066</v>
      </c>
      <c r="X868" s="180"/>
      <c r="Y868" s="180" t="s">
        <v>154</v>
      </c>
      <c r="Z868" s="158" t="s">
        <v>179</v>
      </c>
      <c r="AA868" s="158" t="s">
        <v>320</v>
      </c>
      <c r="AB868" s="158" t="s">
        <v>1311</v>
      </c>
      <c r="AC868" s="158" t="s">
        <v>149</v>
      </c>
      <c r="AD868" s="158" t="s">
        <v>149</v>
      </c>
      <c r="AE868" s="158" t="s">
        <v>149</v>
      </c>
      <c r="AF868" s="158" t="s">
        <v>159</v>
      </c>
      <c r="AG868" s="164" t="s">
        <v>149</v>
      </c>
      <c r="AH868" s="158" t="s">
        <v>149</v>
      </c>
      <c r="AI868" s="158" t="s">
        <v>149</v>
      </c>
      <c r="AJ868" s="158" t="s">
        <v>1314</v>
      </c>
      <c r="AK868" s="158" t="s">
        <v>6035</v>
      </c>
      <c r="AL868" s="158" t="s">
        <v>7758</v>
      </c>
      <c r="AM868" s="176" t="s">
        <v>149</v>
      </c>
      <c r="AN868" s="176" t="s">
        <v>149</v>
      </c>
      <c r="AO868" s="156">
        <v>1.0</v>
      </c>
      <c r="AP868" s="156" t="s">
        <v>6037</v>
      </c>
      <c r="AQ868" s="158" t="s">
        <v>6038</v>
      </c>
      <c r="AR868" s="158" t="s">
        <v>1316</v>
      </c>
      <c r="AS868" s="177" t="s">
        <v>1317</v>
      </c>
      <c r="AT868" s="176" t="s">
        <v>149</v>
      </c>
      <c r="AU868" s="176" t="s">
        <v>149</v>
      </c>
    </row>
    <row r="869">
      <c r="A869" s="186">
        <v>500.0</v>
      </c>
      <c r="B869" s="152">
        <v>2025.0</v>
      </c>
      <c r="C869" s="153" t="str">
        <f t="shared" si="99"/>
        <v>2025-PH153830000-500</v>
      </c>
      <c r="D869" s="152">
        <f t="shared" si="100"/>
        <v>2025</v>
      </c>
      <c r="E869" s="151">
        <v>446.0</v>
      </c>
      <c r="F869" s="176" t="s">
        <v>191</v>
      </c>
      <c r="G869" s="176" t="s">
        <v>191</v>
      </c>
      <c r="H869" s="158" t="str">
        <f>IFERROR(__xludf.DUMMYFUNCTION("""COMPUTED_VALUE"""),"**Restoration_project_short** changed from Site in Brgy Pura to Site in Brgy Lapaken")</f>
        <v>**Restoration_project_short** changed from Site in Brgy Pura to Site in Brgy Lapaken</v>
      </c>
      <c r="I869" s="158" t="s">
        <v>7760</v>
      </c>
      <c r="J869" s="158" t="s">
        <v>642</v>
      </c>
      <c r="K869" s="158" t="s">
        <v>643</v>
      </c>
      <c r="L869" s="158" t="s">
        <v>7691</v>
      </c>
      <c r="M869" s="164" t="s">
        <v>1308</v>
      </c>
      <c r="N869" s="158" t="s">
        <v>6062</v>
      </c>
      <c r="O869" s="158" t="s">
        <v>1309</v>
      </c>
      <c r="P869" s="158" t="s">
        <v>1321</v>
      </c>
      <c r="Q869" s="178">
        <v>2021.0</v>
      </c>
      <c r="R869" s="160" t="s">
        <v>149</v>
      </c>
      <c r="S869" s="160" t="s">
        <v>149</v>
      </c>
      <c r="T869" s="176" t="s">
        <v>177</v>
      </c>
      <c r="U869" s="158">
        <f>IFERROR(__xludf.DUMMYFUNCTION("""COMPUTED_VALUE"""),836.0)</f>
        <v>836</v>
      </c>
      <c r="V869" s="191" t="s">
        <v>1359</v>
      </c>
      <c r="W869" s="179" t="s">
        <v>6066</v>
      </c>
      <c r="X869" s="180"/>
      <c r="Y869" s="180" t="s">
        <v>154</v>
      </c>
      <c r="Z869" s="158" t="s">
        <v>179</v>
      </c>
      <c r="AA869" s="158" t="s">
        <v>320</v>
      </c>
      <c r="AB869" s="158" t="s">
        <v>1311</v>
      </c>
      <c r="AC869" s="158" t="s">
        <v>149</v>
      </c>
      <c r="AD869" s="158" t="s">
        <v>149</v>
      </c>
      <c r="AE869" s="158" t="s">
        <v>149</v>
      </c>
      <c r="AF869" s="158" t="s">
        <v>159</v>
      </c>
      <c r="AG869" s="164" t="s">
        <v>149</v>
      </c>
      <c r="AH869" s="158" t="s">
        <v>149</v>
      </c>
      <c r="AI869" s="158" t="s">
        <v>149</v>
      </c>
      <c r="AJ869" s="158" t="s">
        <v>1314</v>
      </c>
      <c r="AK869" s="158" t="s">
        <v>6035</v>
      </c>
      <c r="AL869" s="158" t="s">
        <v>7758</v>
      </c>
      <c r="AM869" s="176" t="s">
        <v>149</v>
      </c>
      <c r="AN869" s="176" t="s">
        <v>149</v>
      </c>
      <c r="AO869" s="156">
        <v>1.0</v>
      </c>
      <c r="AP869" s="156" t="s">
        <v>6037</v>
      </c>
      <c r="AQ869" s="158" t="s">
        <v>6038</v>
      </c>
      <c r="AR869" s="158" t="s">
        <v>1316</v>
      </c>
      <c r="AS869" s="177" t="s">
        <v>1317</v>
      </c>
      <c r="AT869" s="176" t="s">
        <v>149</v>
      </c>
      <c r="AU869" s="176" t="s">
        <v>149</v>
      </c>
    </row>
    <row r="870">
      <c r="A870" s="186">
        <v>500.0</v>
      </c>
      <c r="B870" s="152">
        <v>2025.0</v>
      </c>
      <c r="C870" s="153" t="str">
        <f t="shared" si="99"/>
        <v>2025-PH153830000-500</v>
      </c>
      <c r="D870" s="152">
        <f t="shared" si="100"/>
        <v>2025</v>
      </c>
      <c r="E870" s="151">
        <v>447.0</v>
      </c>
      <c r="F870" s="176" t="s">
        <v>191</v>
      </c>
      <c r="G870" s="176" t="s">
        <v>191</v>
      </c>
      <c r="H870" s="158" t="str">
        <f>IFERROR(__xludf.DUMMYFUNCTION("""COMPUTED_VALUE"""),"**Restoration_project** changed from FishCORAL to Unknown, **Restoration_project_short** changed from Site in Brgy Lapaken to Site in Brgy Linao, **Year of establishment** changed from 2021 to 2024, **Technique/Material Type** changed from CNU to CNU; win"&amp;"d-vane type, **Restoration objective** changed from Restore degraded coral reefs; Enhance density and abundance of fish to Address coral reef degradation, **Reference** changed from Ministry of Agriculture, Fisheries and Agrarian Reform - BARMM (2021, Jul"&amp;". 11). Monitoring of deployed coral nursery units (CNU) of FishCORAL MAFAR in Maguindanao. https://www.facebook.com/mafar.bangsamoro/posts/monitoring-of-deployed-coral-nursery-units-cnu-of-fishcoral-mafar-in-maguindanao/1003835920443233/ to Admin (2024, D"&amp;"ec. 9). Coastal rehabilitation takes center stage in Datu Blah Sinsuat. https://mafar.bangsamoro.gov.ph/coastal-rehabilitation-takes-center-stage-in-datu-blah-sinsuat/, **Website** changed from https://www.facebook.com/mafar.bangsamoro/posts/monitoring-of"&amp;"-deployed-coral-nursery-units-cnu-of-fishcoral-mafar-in-maguindanao/1003835920443233/ to https://mafar.bangsamoro.gov.ph/coastal-rehabilitation-takes-center-stage-in-datu-blah-sinsuat/")</f>
        <v>**Restoration_project** changed from FishCORAL to Unknown, **Restoration_project_short** changed from Site in Brgy Lapaken to Site in Brgy Linao, **Year of establishment** changed from 2021 to 2024, **Technique/Material Type** changed from CNU to CNU; wind-vane type, **Restoration objective** changed from Restore degraded coral reefs; Enhance density and abundance of fish to Address coral reef degradation, **Reference** changed from Ministry of Agriculture, Fisheries and Agrarian Reform - BARMM (2021, Jul. 11). Monitoring of deployed coral nursery units (CNU) of FishCORAL MAFAR in Maguindanao. https://www.facebook.com/mafar.bangsamoro/posts/monitoring-of-deployed-coral-nursery-units-cnu-of-fishcoral-mafar-in-maguindanao/1003835920443233/ to Admin (2024, Dec. 9). Coastal rehabilitation takes center stage in Datu Blah Sinsuat. https://mafar.bangsamoro.gov.ph/coastal-rehabilitation-takes-center-stage-in-datu-blah-sinsuat/, **Website** changed from https://www.facebook.com/mafar.bangsamoro/posts/monitoring-of-deployed-coral-nursery-units-cnu-of-fishcoral-mafar-in-maguindanao/1003835920443233/ to https://mafar.bangsamoro.gov.ph/coastal-rehabilitation-takes-center-stage-in-datu-blah-sinsuat/</v>
      </c>
      <c r="I870" s="158" t="s">
        <v>7761</v>
      </c>
      <c r="J870" s="158" t="s">
        <v>642</v>
      </c>
      <c r="K870" s="158" t="s">
        <v>643</v>
      </c>
      <c r="L870" s="158" t="s">
        <v>7691</v>
      </c>
      <c r="M870" s="164" t="s">
        <v>1308</v>
      </c>
      <c r="N870" s="158" t="s">
        <v>6062</v>
      </c>
      <c r="O870" s="158" t="s">
        <v>149</v>
      </c>
      <c r="P870" s="158" t="s">
        <v>2323</v>
      </c>
      <c r="Q870" s="178">
        <v>2024.0</v>
      </c>
      <c r="R870" s="160" t="s">
        <v>149</v>
      </c>
      <c r="S870" s="160" t="s">
        <v>149</v>
      </c>
      <c r="T870" s="176" t="s">
        <v>177</v>
      </c>
      <c r="U870" s="158">
        <f>IFERROR(__xludf.DUMMYFUNCTION("""COMPUTED_VALUE"""),837.0)</f>
        <v>837</v>
      </c>
      <c r="V870" s="180" t="s">
        <v>1359</v>
      </c>
      <c r="W870" s="184" t="s">
        <v>6066</v>
      </c>
      <c r="X870" s="180"/>
      <c r="Y870" s="180" t="s">
        <v>154</v>
      </c>
      <c r="Z870" s="158" t="s">
        <v>179</v>
      </c>
      <c r="AA870" s="158" t="s">
        <v>7762</v>
      </c>
      <c r="AB870" s="158" t="s">
        <v>7763</v>
      </c>
      <c r="AC870" s="158" t="s">
        <v>149</v>
      </c>
      <c r="AD870" s="158" t="s">
        <v>149</v>
      </c>
      <c r="AE870" s="158" t="s">
        <v>149</v>
      </c>
      <c r="AF870" s="158" t="s">
        <v>159</v>
      </c>
      <c r="AG870" s="164" t="s">
        <v>149</v>
      </c>
      <c r="AH870" s="158" t="s">
        <v>149</v>
      </c>
      <c r="AI870" s="158" t="s">
        <v>149</v>
      </c>
      <c r="AJ870" s="158" t="s">
        <v>1314</v>
      </c>
      <c r="AK870" s="158" t="s">
        <v>6035</v>
      </c>
      <c r="AL870" s="158" t="s">
        <v>7758</v>
      </c>
      <c r="AM870" s="176" t="s">
        <v>149</v>
      </c>
      <c r="AN870" s="176" t="s">
        <v>149</v>
      </c>
      <c r="AO870" s="156">
        <v>1.0</v>
      </c>
      <c r="AP870" s="156" t="s">
        <v>6037</v>
      </c>
      <c r="AQ870" s="158" t="s">
        <v>166</v>
      </c>
      <c r="AR870" s="158" t="s">
        <v>7764</v>
      </c>
      <c r="AS870" s="177" t="s">
        <v>2328</v>
      </c>
      <c r="AT870" s="176" t="s">
        <v>149</v>
      </c>
      <c r="AU870" s="176" t="s">
        <v>149</v>
      </c>
    </row>
    <row r="871">
      <c r="A871" s="186">
        <v>500.0</v>
      </c>
      <c r="B871" s="152">
        <v>2025.0</v>
      </c>
      <c r="C871" s="153" t="str">
        <f t="shared" si="99"/>
        <v>2025-PH153809000-500</v>
      </c>
      <c r="D871" s="152">
        <f t="shared" si="100"/>
        <v>2025</v>
      </c>
      <c r="E871" s="151">
        <v>448.0</v>
      </c>
      <c r="F871" s="129" t="s">
        <v>140</v>
      </c>
      <c r="G871" s="156" t="s">
        <v>141</v>
      </c>
      <c r="H871" s="153" t="str">
        <f>IFERROR(__xludf.DUMMYFUNCTION("""COMPUTED_VALUE"""),"**Restoration_project** changed from Unknown to Artificial Reef Development Program, **Restoration_project_short** changed from Site in Brgy Linao to Site in Sugod Bay, **Year of establishment** changed from 2024 to 1986, **Project Start** changed from Un"&amp;"known to 1985, **Project End** changed from Unknown to 1987, **Restoration method** changed from Asexual Reproduction to Artificial Reef, **Technique/Material Type** changed from CNU; wind-vane type to tires, **Restoration objective** changed from Address"&amp;" coral reef degradation to Unknown, **Funding agency** changed from Unknown to BFAR, **Implementing institution** changed from Ministry of Agriculture, Fisheries and Agrarian Reform to BFAR, **Partners_public** changed from MAFAR Provincial Office, MLGU t"&amp;"o Ministry of Human Settlements, **Reference** changed from Admin (2024, Dec. 9). Coastal rehabilitation takes center stage in Datu Blah Sinsuat. https://mafar.bangsamoro.gov.ph/coastal-rehabilitation-takes-center-stage-in-datu-blah-sinsuat/ to Balgos, M."&amp;"C. (1995). Evaluation of artificial reef development in the Philippines. In Munro, J.L. &amp; Balgos, M. (eds.) Artificial reefs in the Philippines. ICLARM Conf. Proc. 49, pp. 6-22., **Website** changed from https://mafar.bangsamoro.gov.ph/coastal-rehabilitat"&amp;"ion-takes-center-stage-in-datu-blah-sinsuat/ to https://core.ac.uk/download/pdf/6515223.pdf, **Contact_name** changed from Unknown to Miriam Balgos")</f>
        <v>**Restoration_project** changed from Unknown to Artificial Reef Development Program, **Restoration_project_short** changed from Site in Brgy Linao to Site in Sugod Bay, **Year of establishment** changed from 2024 to 1986, **Project Start** changed from Unknown to 1985, **Project End** changed from Unknown to 1987, **Restoration method** changed from Asexual Reproduction to Artificial Reef, **Technique/Material Type** changed from CNU; wind-vane type to tires, **Restoration objective** changed from Address coral reef degradation to Unknown, **Funding agency** changed from Unknown to BFAR, **Implementing institution** changed from Ministry of Agriculture, Fisheries and Agrarian Reform to BFAR, **Partners_public** changed from MAFAR Provincial Office, MLGU to Ministry of Human Settlements, **Reference** changed from Admin (2024, Dec. 9). Coastal rehabilitation takes center stage in Datu Blah Sinsuat. https://mafar.bangsamoro.gov.ph/coastal-rehabilitation-takes-center-stage-in-datu-blah-sinsuat/ to Balgos, M.C. (1995). Evaluation of artificial reef development in the Philippines. In Munro, J.L. &amp; Balgos, M. (eds.) Artificial reefs in the Philippines. ICLARM Conf. Proc. 49, pp. 6-22., **Website** changed from https://mafar.bangsamoro.gov.ph/coastal-rehabilitation-takes-center-stage-in-datu-blah-sinsuat/ to https://core.ac.uk/download/pdf/6515223.pdf, **Contact_name** changed from Unknown to Miriam Balgos</v>
      </c>
      <c r="I871" s="153" t="s">
        <v>7765</v>
      </c>
      <c r="J871" s="153" t="s">
        <v>642</v>
      </c>
      <c r="K871" s="153" t="s">
        <v>643</v>
      </c>
      <c r="L871" s="153" t="s">
        <v>644</v>
      </c>
      <c r="M871" s="181" t="s">
        <v>645</v>
      </c>
      <c r="N871" s="153" t="s">
        <v>151</v>
      </c>
      <c r="O871" s="153" t="s">
        <v>384</v>
      </c>
      <c r="P871" s="153" t="s">
        <v>646</v>
      </c>
      <c r="Q871" s="169">
        <v>1986.0</v>
      </c>
      <c r="R871" s="175" t="s">
        <v>6052</v>
      </c>
      <c r="S871" s="175" t="s">
        <v>6053</v>
      </c>
      <c r="T871" s="161" t="s">
        <v>150</v>
      </c>
      <c r="U871" s="153">
        <f>IFERROR(__xludf.DUMMYFUNCTION("""COMPUTED_VALUE"""),838.0)</f>
        <v>838</v>
      </c>
      <c r="V871" s="162" t="s">
        <v>3311</v>
      </c>
      <c r="W871" s="170" t="s">
        <v>6059</v>
      </c>
      <c r="X871" s="28" t="s">
        <v>6033</v>
      </c>
      <c r="Y871" s="28" t="s">
        <v>386</v>
      </c>
      <c r="Z871" s="176" t="s">
        <v>386</v>
      </c>
      <c r="AA871" s="153" t="s">
        <v>6054</v>
      </c>
      <c r="AB871" s="158" t="s">
        <v>149</v>
      </c>
      <c r="AC871" s="153" t="s">
        <v>390</v>
      </c>
      <c r="AD871" s="158" t="s">
        <v>160</v>
      </c>
      <c r="AE871" s="158" t="s">
        <v>6035</v>
      </c>
      <c r="AF871" s="158" t="s">
        <v>159</v>
      </c>
      <c r="AG871" s="164" t="s">
        <v>149</v>
      </c>
      <c r="AH871" s="158" t="s">
        <v>149</v>
      </c>
      <c r="AI871" s="158" t="s">
        <v>149</v>
      </c>
      <c r="AJ871" s="153" t="s">
        <v>390</v>
      </c>
      <c r="AK871" s="153" t="s">
        <v>6035</v>
      </c>
      <c r="AL871" s="153" t="s">
        <v>6055</v>
      </c>
      <c r="AM871" s="3" t="s">
        <v>149</v>
      </c>
      <c r="AN871" s="3" t="s">
        <v>149</v>
      </c>
      <c r="AO871" s="156">
        <v>1.0</v>
      </c>
      <c r="AP871" s="156" t="s">
        <v>6037</v>
      </c>
      <c r="AQ871" s="158" t="s">
        <v>395</v>
      </c>
      <c r="AR871" s="153" t="s">
        <v>6060</v>
      </c>
      <c r="AS871" s="172" t="s">
        <v>541</v>
      </c>
      <c r="AT871" s="153" t="s">
        <v>398</v>
      </c>
      <c r="AU871" s="3" t="s">
        <v>149</v>
      </c>
    </row>
    <row r="872">
      <c r="A872" s="186">
        <v>500.0</v>
      </c>
      <c r="B872" s="152">
        <v>2025.0</v>
      </c>
      <c r="C872" s="153" t="str">
        <f t="shared" si="99"/>
        <v>2023-PH153809000-500</v>
      </c>
      <c r="D872" s="152">
        <f t="shared" si="100"/>
        <v>2023</v>
      </c>
      <c r="E872" s="151">
        <v>449.0</v>
      </c>
      <c r="F872" s="129" t="s">
        <v>140</v>
      </c>
      <c r="G872" s="156" t="s">
        <v>141</v>
      </c>
      <c r="H872" s="153" t="str">
        <f>IFERROR(__xludf.DUMMYFUNCTION("""COMPUTED_VALUE"""),"**Restoration_project** changed from Artificial Reef Development Program to FishCORAL, **Restoration_project_short** changed from Site in Sugod Bay to Site in Brgy Kidama, **Year of establishment** changed from 1986 to 2020, **Project Start** changed from"&amp;" 1985 to 2016, **Project End** changed from 1987 to 2020, **Technique/Material Type** changed from tires to Unknown, **Restoration objective** changed from Unknown to Habitat for coral reef fishes; fisheries productivity, **Funding agency** changed from B"&amp;"FAR to International Fund for Agricultural Development, **Total units** changed from Unknown to 187 units, **Partners_public** changed from Ministry of Human Settlements to MLGU, **Reference** changed from Balgos, M.C. (1995). Evaluation of artificial ree"&amp;"f development in the Philippines. In Munro, J.L. &amp; Balgos, M. (eds.) Artificial reefs in the Philippines. ICLARM Conf. Proc. 49, pp. 6-22. to BFAR (2020). Fisheries, Coastal Resources and Livelihood Project (FishCORAL) Annual Progress Report Year 2020. ht"&amp;"tps://www.bfar.da.gov.ph/wp-content/uploads/2022/05/FishCORAL-Project-Annual-Report-2020.pdf, **Website** changed from https://core.ac.uk/download/pdf/6515223.pdf to https://www.bfar.da.gov.ph/wp-content/uploads/2022/05/FishCORAL-Project-Annual-Report-202"&amp;"0.pdf, **Contact_name** changed from Miriam Balgos to Unknown")</f>
        <v>**Restoration_project** changed from Artificial Reef Development Program to FishCORAL, **Restoration_project_short** changed from Site in Sugod Bay to Site in Brgy Kidama, **Year of establishment** changed from 1986 to 2020, **Project Start** changed from 1985 to 2016, **Project End** changed from 1987 to 2020, **Technique/Material Type** changed from tires to Unknown, **Restoration objective** changed from Unknown to Habitat for coral reef fishes; fisheries productivity, **Funding agency** changed from BFAR to International Fund for Agricultural Development, **Total units** changed from Unknown to 187 units, **Partners_public** changed from Ministry of Human Settlements to MLGU, **Reference** changed from Balgos, M.C. (1995). Evaluation of artificial reef development in the Philippines. In Munro, J.L. &amp; Balgos, M. (eds.) Artificial reefs in the Philippines. ICLARM Conf. Proc. 49, pp. 6-22. to BFAR (2020). Fisheries, Coastal Resources and Livelihood Project (FishCORAL) Annual Progress Report Year 2020. https://www.bfar.da.gov.ph/wp-content/uploads/2022/05/FishCORAL-Project-Annual-Report-2020.pdf, **Website** changed from https://core.ac.uk/download/pdf/6515223.pdf to https://www.bfar.da.gov.ph/wp-content/uploads/2022/05/FishCORAL-Project-Annual-Report-2020.pdf, **Contact_name** changed from Miriam Balgos to Unknown</v>
      </c>
      <c r="I872" s="153" t="s">
        <v>7766</v>
      </c>
      <c r="J872" s="153" t="s">
        <v>642</v>
      </c>
      <c r="K872" s="153" t="s">
        <v>643</v>
      </c>
      <c r="L872" s="153" t="s">
        <v>644</v>
      </c>
      <c r="M872" s="181" t="s">
        <v>645</v>
      </c>
      <c r="N872" s="153" t="s">
        <v>151</v>
      </c>
      <c r="O872" s="153" t="s">
        <v>1309</v>
      </c>
      <c r="P872" s="153" t="s">
        <v>1352</v>
      </c>
      <c r="Q872" s="169">
        <v>2020.0</v>
      </c>
      <c r="R872" s="160" t="s">
        <v>6064</v>
      </c>
      <c r="S872" s="160" t="s">
        <v>6906</v>
      </c>
      <c r="T872" s="161" t="s">
        <v>150</v>
      </c>
      <c r="U872" s="153">
        <f>IFERROR(__xludf.DUMMYFUNCTION("""COMPUTED_VALUE"""),839.0)</f>
        <v>839</v>
      </c>
      <c r="V872" s="162" t="s">
        <v>3311</v>
      </c>
      <c r="W872" s="187" t="s">
        <v>149</v>
      </c>
      <c r="X872" s="184"/>
      <c r="Y872" s="184" t="s">
        <v>149</v>
      </c>
      <c r="Z872" s="158" t="s">
        <v>149</v>
      </c>
      <c r="AA872" s="158" t="s">
        <v>149</v>
      </c>
      <c r="AB872" s="158" t="s">
        <v>6910</v>
      </c>
      <c r="AC872" s="158" t="s">
        <v>1327</v>
      </c>
      <c r="AD872" s="158" t="s">
        <v>6154</v>
      </c>
      <c r="AE872" s="158" t="s">
        <v>206</v>
      </c>
      <c r="AF872" s="158" t="s">
        <v>159</v>
      </c>
      <c r="AG872" s="164" t="s">
        <v>149</v>
      </c>
      <c r="AH872" s="158" t="s">
        <v>149</v>
      </c>
      <c r="AI872" s="153" t="s">
        <v>1353</v>
      </c>
      <c r="AJ872" s="153" t="s">
        <v>390</v>
      </c>
      <c r="AK872" s="153" t="s">
        <v>6035</v>
      </c>
      <c r="AL872" s="158" t="s">
        <v>369</v>
      </c>
      <c r="AM872" s="3" t="s">
        <v>149</v>
      </c>
      <c r="AN872" s="3" t="s">
        <v>149</v>
      </c>
      <c r="AO872" s="156">
        <v>1.0</v>
      </c>
      <c r="AP872" s="156" t="s">
        <v>6037</v>
      </c>
      <c r="AQ872" s="153" t="s">
        <v>6084</v>
      </c>
      <c r="AR872" s="153" t="s">
        <v>1330</v>
      </c>
      <c r="AS872" s="177" t="s">
        <v>1331</v>
      </c>
      <c r="AT872" s="3" t="s">
        <v>149</v>
      </c>
      <c r="AU872" s="3" t="s">
        <v>149</v>
      </c>
    </row>
    <row r="873">
      <c r="A873" s="186">
        <v>500.0</v>
      </c>
      <c r="B873" s="152">
        <v>2025.0</v>
      </c>
      <c r="C873" s="153" t="str">
        <f t="shared" si="99"/>
        <v>2023-PH153811000-500</v>
      </c>
      <c r="D873" s="152">
        <f t="shared" si="100"/>
        <v>2023</v>
      </c>
      <c r="E873" s="151">
        <v>450.0</v>
      </c>
      <c r="F873" s="129" t="s">
        <v>140</v>
      </c>
      <c r="G873" s="156" t="s">
        <v>141</v>
      </c>
      <c r="H873" s="158" t="str">
        <f>IFERROR(__xludf.DUMMYFUNCTION("""COMPUTED_VALUE"""),"**Restoration_project_short** changed from Site in Brgy Kidama to Site in Brgy Magsaysay, **Restoration method** changed from Artificial Reef to Asexual Reproduction, **Technique/Material Type** changed from Unknown to CNU, **Restoration objective** chang"&amp;"ed from Habitat for coral reef fishes; fisheries productivity to Unknown, **Total units** changed from 187 units to 11 CNUs, **Partners_public** changed from MLGU to Unknown")</f>
        <v>**Restoration_project_short** changed from Site in Brgy Kidama to Site in Brgy Magsaysay, **Restoration method** changed from Artificial Reef to Asexual Reproduction, **Technique/Material Type** changed from Unknown to CNU, **Restoration objective** changed from Habitat for coral reef fishes; fisheries productivity to Unknown, **Total units** changed from 187 units to 11 CNUs, **Partners_public** changed from MLGU to Unknown</v>
      </c>
      <c r="I873" s="158" t="s">
        <v>7767</v>
      </c>
      <c r="J873" s="158" t="s">
        <v>642</v>
      </c>
      <c r="K873" s="158" t="s">
        <v>643</v>
      </c>
      <c r="L873" s="158" t="s">
        <v>1355</v>
      </c>
      <c r="M873" s="164" t="s">
        <v>1356</v>
      </c>
      <c r="N873" s="158" t="s">
        <v>6062</v>
      </c>
      <c r="O873" s="158" t="s">
        <v>1309</v>
      </c>
      <c r="P873" s="158" t="s">
        <v>1357</v>
      </c>
      <c r="Q873" s="178">
        <v>2020.0</v>
      </c>
      <c r="R873" s="160" t="s">
        <v>6064</v>
      </c>
      <c r="S873" s="160" t="s">
        <v>6906</v>
      </c>
      <c r="T873" s="176" t="s">
        <v>177</v>
      </c>
      <c r="U873" s="158">
        <f>IFERROR(__xludf.DUMMYFUNCTION("""COMPUTED_VALUE"""),840.0)</f>
        <v>840</v>
      </c>
      <c r="V873" s="191" t="s">
        <v>1359</v>
      </c>
      <c r="W873" s="179" t="s">
        <v>6066</v>
      </c>
      <c r="X873" s="180"/>
      <c r="Y873" s="180" t="s">
        <v>154</v>
      </c>
      <c r="Z873" s="158" t="s">
        <v>179</v>
      </c>
      <c r="AA873" s="158" t="s">
        <v>320</v>
      </c>
      <c r="AB873" s="158" t="s">
        <v>149</v>
      </c>
      <c r="AC873" s="158" t="s">
        <v>1327</v>
      </c>
      <c r="AD873" s="158" t="s">
        <v>6154</v>
      </c>
      <c r="AE873" s="158" t="s">
        <v>206</v>
      </c>
      <c r="AF873" s="158" t="s">
        <v>159</v>
      </c>
      <c r="AG873" s="164" t="s">
        <v>149</v>
      </c>
      <c r="AH873" s="158" t="s">
        <v>149</v>
      </c>
      <c r="AI873" s="158" t="s">
        <v>1360</v>
      </c>
      <c r="AJ873" s="158" t="s">
        <v>390</v>
      </c>
      <c r="AK873" s="158" t="s">
        <v>6035</v>
      </c>
      <c r="AL873" s="3" t="s">
        <v>149</v>
      </c>
      <c r="AM873" s="3" t="s">
        <v>149</v>
      </c>
      <c r="AN873" s="3" t="s">
        <v>149</v>
      </c>
      <c r="AO873" s="156">
        <v>1.0</v>
      </c>
      <c r="AP873" s="156" t="s">
        <v>6037</v>
      </c>
      <c r="AQ873" s="158" t="s">
        <v>6084</v>
      </c>
      <c r="AR873" s="158" t="s">
        <v>1330</v>
      </c>
      <c r="AS873" s="172" t="s">
        <v>1331</v>
      </c>
      <c r="AT873" s="3" t="s">
        <v>149</v>
      </c>
      <c r="AU873" s="3" t="s">
        <v>149</v>
      </c>
    </row>
    <row r="874">
      <c r="A874" s="186">
        <v>500.0</v>
      </c>
      <c r="B874" s="152">
        <v>2025.0</v>
      </c>
      <c r="C874" s="153" t="str">
        <f t="shared" si="99"/>
        <v>2023-PH156607000-500</v>
      </c>
      <c r="D874" s="152">
        <f t="shared" si="100"/>
        <v>2023</v>
      </c>
      <c r="E874" s="151">
        <v>451.0</v>
      </c>
      <c r="F874" s="129" t="s">
        <v>140</v>
      </c>
      <c r="G874" s="156" t="s">
        <v>141</v>
      </c>
      <c r="H874" s="153" t="str">
        <f>IFERROR(__xludf.DUMMYFUNCTION("""COMPUTED_VALUE"""),"**Restoration_project** changed from FishCORAL to Unknown, **Restoration_project_short** changed from Site in Brgy Magsaysay to Site in Barangay Kansipat, **Year of establishment** changed from 2020 to 2019, **Project Start** changed from 2016 to Unknown,"&amp;" **Project End** changed from 2020 to Unknown, **Restoration method** changed from Asexual Reproduction to Artificial Reef, **Technique/Material Type** changed from CNU to Unknown, **Restoration objective** changed from Unknown to Livelihood for fishermen"&amp;", **Funding agency** changed from International Fund for Agricultural Development to Philippine Marines, **Total units** changed from 11 CNUs to Unknown, **Implementing institution** changed from BFAR to Philippine Marines Western Mindanao Command Marine "&amp;"Battallion Landing Team-3, **Partners_public** changed from Unknown to BFAR, **Reference** changed from BFAR (2020). Fisheries, Coastal Resources and Livelihood Project (FishCORAL) Annual Progress Report Year 2020. https://www.bfar.da.gov.ph/wp-content/up"&amp;"loads/2022/05/FishCORAL-Project-Annual-Report-2020.pdf to Jr Garcia, T. (2019, April 17). Marines, BFAR install artificial reefs in Sulu. Philippine News Agency. https://www.pna.gov.ph/articles/1067574, **Website** changed from https://www.bfar.da.gov.ph/"&amp;"wp-content/uploads/2022/05/FishCORAL-Project-Annual-Report-2020.pdf to https://www.pna.gov.ph/articles/1067574")</f>
        <v>**Restoration_project** changed from FishCORAL to Unknown, **Restoration_project_short** changed from Site in Brgy Magsaysay to Site in Barangay Kansipat, **Year of establishment** changed from 2020 to 2019, **Project Start** changed from 2016 to Unknown, **Project End** changed from 2020 to Unknown, **Restoration method** changed from Asexual Reproduction to Artificial Reef, **Technique/Material Type** changed from CNU to Unknown, **Restoration objective** changed from Unknown to Livelihood for fishermen, **Funding agency** changed from International Fund for Agricultural Development to Philippine Marines, **Total units** changed from 11 CNUs to Unknown, **Implementing institution** changed from BFAR to Philippine Marines Western Mindanao Command Marine Battallion Landing Team-3, **Partners_public** changed from Unknown to BFAR, **Reference** changed from BFAR (2020). Fisheries, Coastal Resources and Livelihood Project (FishCORAL) Annual Progress Report Year 2020. https://www.bfar.da.gov.ph/wp-content/uploads/2022/05/FishCORAL-Project-Annual-Report-2020.pdf to Jr Garcia, T. (2019, April 17). Marines, BFAR install artificial reefs in Sulu. Philippine News Agency. https://www.pna.gov.ph/articles/1067574, **Website** changed from https://www.bfar.da.gov.ph/wp-content/uploads/2022/05/FishCORAL-Project-Annual-Report-2020.pdf to https://www.pna.gov.ph/articles/1067574</v>
      </c>
      <c r="I874" s="153" t="s">
        <v>7768</v>
      </c>
      <c r="J874" s="153" t="s">
        <v>642</v>
      </c>
      <c r="K874" s="153" t="s">
        <v>2769</v>
      </c>
      <c r="L874" s="153" t="s">
        <v>2770</v>
      </c>
      <c r="M874" s="181" t="s">
        <v>2771</v>
      </c>
      <c r="N874" s="153" t="s">
        <v>151</v>
      </c>
      <c r="O874" s="158" t="s">
        <v>149</v>
      </c>
      <c r="P874" s="153" t="s">
        <v>7769</v>
      </c>
      <c r="Q874" s="169">
        <v>2019.0</v>
      </c>
      <c r="R874" s="160" t="s">
        <v>149</v>
      </c>
      <c r="S874" s="160" t="s">
        <v>149</v>
      </c>
      <c r="T874" s="161" t="s">
        <v>150</v>
      </c>
      <c r="U874" s="153">
        <f>IFERROR(__xludf.DUMMYFUNCTION("""COMPUTED_VALUE"""),841.0)</f>
        <v>841</v>
      </c>
      <c r="V874" s="162" t="s">
        <v>3311</v>
      </c>
      <c r="W874" s="187" t="s">
        <v>149</v>
      </c>
      <c r="X874" s="184"/>
      <c r="Y874" s="184" t="s">
        <v>149</v>
      </c>
      <c r="Z874" s="158" t="s">
        <v>149</v>
      </c>
      <c r="AA874" s="158" t="s">
        <v>149</v>
      </c>
      <c r="AB874" s="158" t="s">
        <v>7770</v>
      </c>
      <c r="AC874" s="153" t="s">
        <v>2776</v>
      </c>
      <c r="AD874" s="158" t="s">
        <v>160</v>
      </c>
      <c r="AE874" s="158" t="s">
        <v>6035</v>
      </c>
      <c r="AF874" s="158" t="s">
        <v>159</v>
      </c>
      <c r="AG874" s="164" t="s">
        <v>149</v>
      </c>
      <c r="AH874" s="158" t="s">
        <v>149</v>
      </c>
      <c r="AI874" s="158" t="s">
        <v>149</v>
      </c>
      <c r="AJ874" s="153" t="s">
        <v>7771</v>
      </c>
      <c r="AK874" s="153" t="s">
        <v>6035</v>
      </c>
      <c r="AL874" s="153" t="s">
        <v>390</v>
      </c>
      <c r="AM874" s="3" t="s">
        <v>149</v>
      </c>
      <c r="AN874" s="3" t="s">
        <v>149</v>
      </c>
      <c r="AO874" s="156">
        <v>1.0</v>
      </c>
      <c r="AP874" s="156" t="s">
        <v>6037</v>
      </c>
      <c r="AQ874" s="158" t="s">
        <v>166</v>
      </c>
      <c r="AR874" s="153" t="s">
        <v>7772</v>
      </c>
      <c r="AS874" s="172" t="s">
        <v>2779</v>
      </c>
      <c r="AT874" s="3" t="s">
        <v>149</v>
      </c>
      <c r="AU874" s="3" t="s">
        <v>149</v>
      </c>
    </row>
    <row r="875">
      <c r="A875" s="186">
        <v>500.0</v>
      </c>
      <c r="B875" s="152">
        <v>2025.0</v>
      </c>
      <c r="C875" s="153" t="str">
        <f t="shared" si="99"/>
        <v>2023-PH156607000-500</v>
      </c>
      <c r="D875" s="152">
        <f t="shared" si="100"/>
        <v>2023</v>
      </c>
      <c r="E875" s="151">
        <v>452.0</v>
      </c>
      <c r="F875" s="176" t="s">
        <v>191</v>
      </c>
      <c r="G875" s="176" t="s">
        <v>191</v>
      </c>
      <c r="H875" s="158" t="str">
        <f>IFERROR(__xludf.DUMMYFUNCTION("""COMPUTED_VALUE"""),"**Restoration_project_short** changed from Site in Barangay Kansipat to Site in Brgy Seit Higad")</f>
        <v>**Restoration_project_short** changed from Site in Barangay Kansipat to Site in Brgy Seit Higad</v>
      </c>
      <c r="I875" s="158" t="s">
        <v>7768</v>
      </c>
      <c r="J875" s="158" t="s">
        <v>642</v>
      </c>
      <c r="K875" s="158" t="s">
        <v>2769</v>
      </c>
      <c r="L875" s="158" t="s">
        <v>2770</v>
      </c>
      <c r="M875" s="164" t="s">
        <v>2771</v>
      </c>
      <c r="N875" s="158" t="s">
        <v>151</v>
      </c>
      <c r="O875" s="158" t="s">
        <v>149</v>
      </c>
      <c r="P875" s="158" t="s">
        <v>2782</v>
      </c>
      <c r="Q875" s="178">
        <v>2019.0</v>
      </c>
      <c r="R875" s="160" t="s">
        <v>149</v>
      </c>
      <c r="S875" s="160" t="s">
        <v>149</v>
      </c>
      <c r="T875" s="206" t="s">
        <v>150</v>
      </c>
      <c r="U875" s="158">
        <f>IFERROR(__xludf.DUMMYFUNCTION("""COMPUTED_VALUE"""),841.0)</f>
        <v>841</v>
      </c>
      <c r="V875" s="162" t="s">
        <v>3311</v>
      </c>
      <c r="W875" s="187" t="s">
        <v>149</v>
      </c>
      <c r="X875" s="184"/>
      <c r="Y875" s="184" t="s">
        <v>149</v>
      </c>
      <c r="Z875" s="158" t="s">
        <v>149</v>
      </c>
      <c r="AA875" s="158" t="s">
        <v>149</v>
      </c>
      <c r="AB875" s="158" t="s">
        <v>7770</v>
      </c>
      <c r="AC875" s="158" t="s">
        <v>2776</v>
      </c>
      <c r="AD875" s="158" t="s">
        <v>160</v>
      </c>
      <c r="AE875" s="158" t="s">
        <v>6035</v>
      </c>
      <c r="AF875" s="158" t="s">
        <v>159</v>
      </c>
      <c r="AG875" s="164" t="s">
        <v>149</v>
      </c>
      <c r="AH875" s="158" t="s">
        <v>149</v>
      </c>
      <c r="AI875" s="158" t="s">
        <v>149</v>
      </c>
      <c r="AJ875" s="158" t="s">
        <v>2783</v>
      </c>
      <c r="AK875" s="158" t="s">
        <v>6035</v>
      </c>
      <c r="AL875" s="158" t="s">
        <v>390</v>
      </c>
      <c r="AM875" s="176" t="s">
        <v>149</v>
      </c>
      <c r="AN875" s="176" t="s">
        <v>149</v>
      </c>
      <c r="AO875" s="156">
        <v>1.0</v>
      </c>
      <c r="AP875" s="156" t="s">
        <v>6037</v>
      </c>
      <c r="AQ875" s="158" t="s">
        <v>166</v>
      </c>
      <c r="AR875" s="158" t="s">
        <v>7772</v>
      </c>
      <c r="AS875" s="177" t="s">
        <v>2779</v>
      </c>
      <c r="AT875" s="176" t="s">
        <v>149</v>
      </c>
      <c r="AU875" s="176" t="s">
        <v>149</v>
      </c>
    </row>
    <row r="876">
      <c r="A876" s="186">
        <v>500.0</v>
      </c>
      <c r="B876" s="152">
        <v>2025.0</v>
      </c>
      <c r="C876" s="153" t="str">
        <f t="shared" si="99"/>
        <v>2025-PH157002000-500</v>
      </c>
      <c r="D876" s="152">
        <f t="shared" si="100"/>
        <v>2025</v>
      </c>
      <c r="E876" s="151">
        <v>453.0</v>
      </c>
      <c r="F876" s="129" t="s">
        <v>140</v>
      </c>
      <c r="G876" s="156" t="s">
        <v>141</v>
      </c>
      <c r="H876" s="153" t="str">
        <f>IFERROR(__xludf.DUMMYFUNCTION("""COMPUTED_VALUE"""),"**Restoration_project_short** changed from Site in Brgy Seit Higad to Site in Pasiagan, **Year of establishment** changed from 2019 to 2012, **Technique/Material Type** changed from Unknown to Steel cabinet, **Restoration objective** changed from Liveliho"&amp;"od for fishermen to Unknown, **Funding agency** changed from Philippine Marines to Mindanao State University, **Implementing institution** changed from Philippine Marines Western Mindanao Command Marine Battallion Landing Team-3 to Mindanao State Universi"&amp;"ty, **Partners_public** changed from BFAR to Unknown, **Partners_private** changed from Unknown to WWF; Tawi-Tawi Diver's Club, **Reference** changed from Jr Garcia, T. (2019, April 17). Marines, BFAR install artificial reefs in Sulu. Philippine News Agen"&amp;"cy. https://www.pna.gov.ph/articles/1067574 to PIA-9 ZBST (2012, May 3). SCUBA diving training enhances MSU Tawi-Tawi's students' skills in marine, environmental science. Philippine Information Agency. https://piazampenpics.blogspot.com/2012/05/scuba-divi"&amp;"ng-training-enhances-msu-tawi.html?m=1, **Website** changed from https://www.pna.gov.ph/articles/1067574 to https://piazampenpics.blogspot.com/2012/05/scuba-diving-training-enhances-msu-tawi.html?m=1")</f>
        <v>**Restoration_project_short** changed from Site in Brgy Seit Higad to Site in Pasiagan, **Year of establishment** changed from 2019 to 2012, **Technique/Material Type** changed from Unknown to Steel cabinet, **Restoration objective** changed from Livelihood for fishermen to Unknown, **Funding agency** changed from Philippine Marines to Mindanao State University, **Implementing institution** changed from Philippine Marines Western Mindanao Command Marine Battallion Landing Team-3 to Mindanao State University, **Partners_public** changed from BFAR to Unknown, **Partners_private** changed from Unknown to WWF; Tawi-Tawi Diver's Club, **Reference** changed from Jr Garcia, T. (2019, April 17). Marines, BFAR install artificial reefs in Sulu. Philippine News Agency. https://www.pna.gov.ph/articles/1067574 to PIA-9 ZBST (2012, May 3). SCUBA diving training enhances MSU Tawi-Tawi's students' skills in marine, environmental science. Philippine Information Agency. https://piazampenpics.blogspot.com/2012/05/scuba-diving-training-enhances-msu-tawi.html?m=1, **Website** changed from https://www.pna.gov.ph/articles/1067574 to https://piazampenpics.blogspot.com/2012/05/scuba-diving-training-enhances-msu-tawi.html?m=1</v>
      </c>
      <c r="I876" s="153" t="s">
        <v>7773</v>
      </c>
      <c r="J876" s="153" t="s">
        <v>642</v>
      </c>
      <c r="K876" s="153" t="s">
        <v>1217</v>
      </c>
      <c r="L876" s="153" t="s">
        <v>1218</v>
      </c>
      <c r="M876" s="181" t="s">
        <v>1219</v>
      </c>
      <c r="N876" s="153" t="s">
        <v>151</v>
      </c>
      <c r="O876" s="158" t="s">
        <v>149</v>
      </c>
      <c r="P876" s="153" t="s">
        <v>3223</v>
      </c>
      <c r="Q876" s="169">
        <v>2012.0</v>
      </c>
      <c r="R876" s="160" t="s">
        <v>149</v>
      </c>
      <c r="S876" s="160" t="s">
        <v>149</v>
      </c>
      <c r="T876" s="161" t="s">
        <v>150</v>
      </c>
      <c r="U876" s="153">
        <f>IFERROR(__xludf.DUMMYFUNCTION("""COMPUTED_VALUE"""),842.0)</f>
        <v>842</v>
      </c>
      <c r="V876" s="162" t="s">
        <v>3311</v>
      </c>
      <c r="W876" s="179" t="s">
        <v>6626</v>
      </c>
      <c r="Y876" s="32" t="s">
        <v>3399</v>
      </c>
      <c r="Z876" s="158" t="s">
        <v>3399</v>
      </c>
      <c r="AA876" s="153" t="s">
        <v>3399</v>
      </c>
      <c r="AB876" s="158" t="s">
        <v>149</v>
      </c>
      <c r="AC876" s="158" t="s">
        <v>3227</v>
      </c>
      <c r="AD876" s="158" t="s">
        <v>160</v>
      </c>
      <c r="AE876" s="158" t="s">
        <v>209</v>
      </c>
      <c r="AF876" s="158" t="s">
        <v>149</v>
      </c>
      <c r="AG876" s="164" t="s">
        <v>149</v>
      </c>
      <c r="AH876" s="158" t="s">
        <v>149</v>
      </c>
      <c r="AI876" s="158" t="s">
        <v>149</v>
      </c>
      <c r="AJ876" s="153" t="s">
        <v>3227</v>
      </c>
      <c r="AK876" s="158" t="s">
        <v>6068</v>
      </c>
      <c r="AL876" s="3" t="s">
        <v>149</v>
      </c>
      <c r="AM876" s="153" t="s">
        <v>3228</v>
      </c>
      <c r="AN876" s="3" t="s">
        <v>149</v>
      </c>
      <c r="AO876" s="156">
        <v>1.0</v>
      </c>
      <c r="AP876" s="156" t="s">
        <v>6037</v>
      </c>
      <c r="AQ876" s="158" t="s">
        <v>6091</v>
      </c>
      <c r="AR876" s="153" t="s">
        <v>3229</v>
      </c>
      <c r="AS876" s="172" t="s">
        <v>3230</v>
      </c>
      <c r="AT876" s="3" t="s">
        <v>149</v>
      </c>
      <c r="AU876" s="3" t="s">
        <v>149</v>
      </c>
    </row>
    <row r="877">
      <c r="A877" s="186">
        <v>500.0</v>
      </c>
      <c r="B877" s="152">
        <v>2025.0</v>
      </c>
      <c r="C877" s="153" t="str">
        <f t="shared" si="99"/>
        <v>2023-PH157002000-500</v>
      </c>
      <c r="D877" s="152">
        <f t="shared" si="100"/>
        <v>2023</v>
      </c>
      <c r="E877" s="151">
        <v>454.0</v>
      </c>
      <c r="F877" s="129" t="s">
        <v>140</v>
      </c>
      <c r="G877" s="156" t="s">
        <v>141</v>
      </c>
      <c r="H877" s="158" t="str">
        <f>IFERROR(__xludf.DUMMYFUNCTION("""COMPUTED_VALUE"""),"**Restoration_project** changed from Unknown to Project 2B. Sexual Reproduction of Selected Reef Coral Species Across the Philippine Archipelago (Tawi-Tawi), **Restoration_project_short** changed from Site in Pasiagan to Site in Mussah Reef; MSU College o"&amp;"f Fisheries and Brgy Pasiagan, **Year of establishment** changed from 2012 to 2014, **Project Start** changed from Unknown to 2014, **Project End** changed from Unknown to 2017, **Restoration method** changed from Artificial Reef to Sexual Reproduction, *"&amp;"*Technique/Material Type** changed from Steel cabinet to Hatchery CNU, **Restoration objective** changed from Unknown to Monitoring the reproductive schedule of selected coral species, **Funding agency** changed from Mindanao State University to DOST-PCAA"&amp;"RRD, **Implementing institution** changed from Mindanao State University to Mindanao State University - Tawi-Tawi College of Technology and Oceanography, **Partners_public** changed from Unknown to UP MSI, **Partners_private** changed from WWF; Tawi-Tawi "&amp;"Diver's Club to USC, **Reference** changed from PIA-9 ZBST (2012, May 3). SCUBA diving training enhances MSU Tawi-Tawi's students' skills in marine, environmental science. Philippine Information Agency. https://piazampenpics.blogspot.com/2012/05/scuba-div"&amp;"ing-training-enhances-msu-tawi.html?m=1 to Halun, S.Z. &amp; Romero, F. (n.d.). Project 2B. Sexual Reproduction of Selected Reef Coral Species Across the Philippine Archipelago (Tawi-Tawi), **Website** changed from https://piazampenpics.blogspot.com/2012/05/s"&amp;"cuba-diving-training-enhances-msu-tawi.html?m=1 to Report uploaded in the Google Drive; https://savethephilippinecoralreefs.wordpress.com/2013/03/24/government-and-army-assist-with-coral-farming-on-nogas-coral-reefs/, **Contact_name** changed from Unknown"&amp;" to Dr. Sitti Zayda Halun / Dr. Filemon Romero, **Contact_details** changed from Unknown to shalu002@fiu.edu")</f>
        <v>**Restoration_project** changed from Unknown to Project 2B. Sexual Reproduction of Selected Reef Coral Species Across the Philippine Archipelago (Tawi-Tawi), **Restoration_project_short** changed from Site in Pasiagan to Site in Mussah Reef; MSU College of Fisheries and Brgy Pasiagan, **Year of establishment** changed from 2012 to 2014, **Project Start** changed from Unknown to 2014, **Project End** changed from Unknown to 2017, **Restoration method** changed from Artificial Reef to Sexual Reproduction, **Technique/Material Type** changed from Steel cabinet to Hatchery CNU, **Restoration objective** changed from Unknown to Monitoring the reproductive schedule of selected coral species, **Funding agency** changed from Mindanao State University to DOST-PCAARRD, **Implementing institution** changed from Mindanao State University to Mindanao State University - Tawi-Tawi College of Technology and Oceanography, **Partners_public** changed from Unknown to UP MSI, **Partners_private** changed from WWF; Tawi-Tawi Diver's Club to USC, **Reference** changed from PIA-9 ZBST (2012, May 3). SCUBA diving training enhances MSU Tawi-Tawi's students' skills in marine, environmental science. Philippine Information Agency. https://piazampenpics.blogspot.com/2012/05/scuba-diving-training-enhances-msu-tawi.html?m=1 to Halun, S.Z. &amp; Romero, F. (n.d.). Project 2B. Sexual Reproduction of Selected Reef Coral Species Across the Philippine Archipelago (Tawi-Tawi), **Website** changed from https://piazampenpics.blogspot.com/2012/05/scuba-diving-training-enhances-msu-tawi.html?m=1 to Report uploaded in the Google Drive; https://savethephilippinecoralreefs.wordpress.com/2013/03/24/government-and-army-assist-with-coral-farming-on-nogas-coral-reefs/, **Contact_name** changed from Unknown to Dr. Sitti Zayda Halun / Dr. Filemon Romero, **Contact_details** changed from Unknown to shalu002@fiu.edu</v>
      </c>
      <c r="I877" s="158" t="s">
        <v>7774</v>
      </c>
      <c r="J877" s="158" t="s">
        <v>642</v>
      </c>
      <c r="K877" s="158" t="s">
        <v>1217</v>
      </c>
      <c r="L877" s="158" t="s">
        <v>1218</v>
      </c>
      <c r="M877" s="164" t="s">
        <v>1219</v>
      </c>
      <c r="N877" s="158" t="s">
        <v>6221</v>
      </c>
      <c r="O877" s="158" t="s">
        <v>3413</v>
      </c>
      <c r="P877" s="158" t="s">
        <v>7775</v>
      </c>
      <c r="Q877" s="178">
        <v>2014.0</v>
      </c>
      <c r="R877" s="160" t="s">
        <v>6063</v>
      </c>
      <c r="S877" s="160" t="s">
        <v>6152</v>
      </c>
      <c r="T877" s="176" t="s">
        <v>199</v>
      </c>
      <c r="U877" s="158">
        <f>IFERROR(__xludf.DUMMYFUNCTION("""COMPUTED_VALUE"""),843.0)</f>
        <v>843</v>
      </c>
      <c r="V877" s="191" t="s">
        <v>3299</v>
      </c>
      <c r="W877" s="184" t="s">
        <v>154</v>
      </c>
      <c r="X877" s="180"/>
      <c r="Y877" s="180" t="s">
        <v>154</v>
      </c>
      <c r="Z877" s="158" t="s">
        <v>1867</v>
      </c>
      <c r="AA877" s="158" t="s">
        <v>1867</v>
      </c>
      <c r="AB877" s="158" t="s">
        <v>1868</v>
      </c>
      <c r="AC877" s="158" t="s">
        <v>321</v>
      </c>
      <c r="AD877" s="158" t="s">
        <v>160</v>
      </c>
      <c r="AE877" s="158" t="s">
        <v>6035</v>
      </c>
      <c r="AF877" s="158" t="s">
        <v>204</v>
      </c>
      <c r="AG877" s="164" t="s">
        <v>149</v>
      </c>
      <c r="AH877" s="158" t="s">
        <v>149</v>
      </c>
      <c r="AI877" s="158" t="s">
        <v>149</v>
      </c>
      <c r="AJ877" s="158" t="s">
        <v>1224</v>
      </c>
      <c r="AK877" s="158" t="s">
        <v>6068</v>
      </c>
      <c r="AL877" s="158" t="s">
        <v>233</v>
      </c>
      <c r="AM877" s="158" t="s">
        <v>1869</v>
      </c>
      <c r="AN877" s="3" t="s">
        <v>149</v>
      </c>
      <c r="AO877" s="156">
        <v>1.0</v>
      </c>
      <c r="AP877" s="156" t="s">
        <v>6037</v>
      </c>
      <c r="AQ877" s="158" t="s">
        <v>6069</v>
      </c>
      <c r="AR877" s="158" t="s">
        <v>1870</v>
      </c>
      <c r="AS877" s="158" t="s">
        <v>7029</v>
      </c>
      <c r="AT877" s="158" t="s">
        <v>1872</v>
      </c>
      <c r="AU877" s="177" t="s">
        <v>1873</v>
      </c>
    </row>
    <row r="878">
      <c r="A878" s="186">
        <v>500.0</v>
      </c>
      <c r="B878" s="152">
        <v>2025.0</v>
      </c>
      <c r="C878" s="153" t="str">
        <f t="shared" si="99"/>
        <v>2023-PH157002000-500</v>
      </c>
      <c r="D878" s="152">
        <f t="shared" si="100"/>
        <v>2023</v>
      </c>
      <c r="E878" s="151">
        <v>455.0</v>
      </c>
      <c r="F878" s="129" t="s">
        <v>140</v>
      </c>
      <c r="G878" s="156" t="s">
        <v>141</v>
      </c>
      <c r="H878" s="153" t="str">
        <f>IFERROR(__xludf.DUMMYFUNCTION("""COMPUTED_VALUE"""),"**Restoration_project** changed from Project 2B. Sexual Reproduction of Selected Reef Coral Species Across the Philippine Archipelago (Tawi-Tawi) to Filipinnovation on Coral Reef Restoration, **Restoration_project_short** changed from Site in Mussah Reef;"&amp;" MSU College of Fisheries and Brgy Pasiagan to Site in Bongao Channel, **Year of establishment** changed from 2014 to 2012, **Project Start** changed from 2014 to 2012, **Project End** changed from 2017 to 2013, **Restoration method** changed from Sexual "&amp;"Reproduction to Asexual Reproduction, **Technique/Material Type** changed from Hatchery CNU to CNU, **Restoration objective** changed from Monitoring the reproductive schedule of selected coral species to Establish technology pilot demonstration sites for"&amp;" coral nurseries, **Total units** changed from Unknown to 35 CNUs/24,373 COPs, **Partners_public** changed from UP MSI to MLGU; PGO Tawi Tawi; Philippine Coast Guard; , **Partners_private** changed from USC to University of San Carlos; Tawi-Tawi Divers Cl"&amp;"ub; Tawi-Tawi Marine Research and Development Foundation, **Reference** changed from Halun, S.Z. &amp; Romero, F. (n.d.). Project 2B. Sexual Reproduction of Selected Reef Coral Species Across the Philippine Archipelago (Tawi-Tawi) to DOST-PCAARRD (2013i). Pro"&amp;"ject 8: Pilot Technology Demonstration on Coral Reef Restoration in Tawi-Tawi. , **Contact_name** changed from Dr. Sitti Zayda Halun / Dr. Filemon Romero to Unknown, **Contact_details** changed from shalu002@fiu.edu to Unknown")</f>
        <v>**Restoration_project** changed from Project 2B. Sexual Reproduction of Selected Reef Coral Species Across the Philippine Archipelago (Tawi-Tawi) to Filipinnovation on Coral Reef Restoration, **Restoration_project_short** changed from Site in Mussah Reef; MSU College of Fisheries and Brgy Pasiagan to Site in Bongao Channel, **Year of establishment** changed from 2014 to 2012, **Project Start** changed from 2014 to 2012, **Project End** changed from 2017 to 2013, **Restoration method** changed from Sexual Reproduction to Asexual Reproduction, **Technique/Material Type** changed from Hatchery CNU to CNU, **Restoration objective** changed from Monitoring the reproductive schedule of selected coral species to Establish technology pilot demonstration sites for coral nurseries, **Total units** changed from Unknown to 35 CNUs/24,373 COPs, **Partners_public** changed from UP MSI to MLGU; PGO Tawi Tawi; Philippine Coast Guard; , **Partners_private** changed from USC to University of San Carlos; Tawi-Tawi Divers Club; Tawi-Tawi Marine Research and Development Foundation, **Reference** changed from Halun, S.Z. &amp; Romero, F. (n.d.). Project 2B. Sexual Reproduction of Selected Reef Coral Species Across the Philippine Archipelago (Tawi-Tawi) to DOST-PCAARRD (2013i). Project 8: Pilot Technology Demonstration on Coral Reef Restoration in Tawi-Tawi. , **Contact_name** changed from Dr. Sitti Zayda Halun / Dr. Filemon Romero to Unknown, **Contact_details** changed from shalu002@fiu.edu to Unknown</v>
      </c>
      <c r="I878" s="153" t="s">
        <v>7776</v>
      </c>
      <c r="J878" s="153" t="s">
        <v>642</v>
      </c>
      <c r="K878" s="153" t="s">
        <v>1217</v>
      </c>
      <c r="L878" s="153" t="s">
        <v>1218</v>
      </c>
      <c r="M878" s="181" t="s">
        <v>1219</v>
      </c>
      <c r="N878" s="153" t="s">
        <v>6062</v>
      </c>
      <c r="O878" s="153" t="s">
        <v>1174</v>
      </c>
      <c r="P878" s="158" t="s">
        <v>1220</v>
      </c>
      <c r="Q878" s="178">
        <v>2012.0</v>
      </c>
      <c r="R878" s="160" t="s">
        <v>6151</v>
      </c>
      <c r="S878" s="160" t="s">
        <v>6089</v>
      </c>
      <c r="T878" s="156" t="s">
        <v>177</v>
      </c>
      <c r="U878" s="153">
        <f>IFERROR(__xludf.DUMMYFUNCTION("""COMPUTED_VALUE"""),844.0)</f>
        <v>844</v>
      </c>
      <c r="V878" s="191" t="s">
        <v>1359</v>
      </c>
      <c r="W878" s="179" t="s">
        <v>6066</v>
      </c>
      <c r="X878" s="180"/>
      <c r="Y878" s="180" t="s">
        <v>154</v>
      </c>
      <c r="Z878" s="158" t="s">
        <v>179</v>
      </c>
      <c r="AA878" s="158" t="s">
        <v>320</v>
      </c>
      <c r="AB878" s="158" t="s">
        <v>1222</v>
      </c>
      <c r="AC878" s="153" t="s">
        <v>321</v>
      </c>
      <c r="AD878" s="158" t="s">
        <v>160</v>
      </c>
      <c r="AE878" s="158" t="s">
        <v>6035</v>
      </c>
      <c r="AF878" s="158" t="s">
        <v>159</v>
      </c>
      <c r="AG878" s="164" t="s">
        <v>149</v>
      </c>
      <c r="AH878" s="158" t="s">
        <v>149</v>
      </c>
      <c r="AI878" s="158" t="s">
        <v>1223</v>
      </c>
      <c r="AJ878" s="158" t="s">
        <v>1224</v>
      </c>
      <c r="AK878" s="158" t="s">
        <v>6068</v>
      </c>
      <c r="AL878" s="158" t="s">
        <v>1225</v>
      </c>
      <c r="AM878" s="158" t="s">
        <v>1226</v>
      </c>
      <c r="AN878" s="3" t="s">
        <v>149</v>
      </c>
      <c r="AO878" s="156">
        <v>1.0</v>
      </c>
      <c r="AP878" s="156" t="s">
        <v>6037</v>
      </c>
      <c r="AQ878" s="153" t="s">
        <v>6069</v>
      </c>
      <c r="AR878" s="158" t="s">
        <v>1227</v>
      </c>
      <c r="AS878" s="153" t="s">
        <v>7029</v>
      </c>
      <c r="AT878" s="3" t="s">
        <v>149</v>
      </c>
      <c r="AU878" s="3" t="s">
        <v>149</v>
      </c>
    </row>
    <row r="879">
      <c r="A879" s="186">
        <v>501.0</v>
      </c>
      <c r="B879" s="152">
        <v>2025.0</v>
      </c>
      <c r="C879" s="153" t="str">
        <f t="shared" si="99"/>
        <v>2023-PH157001000-501</v>
      </c>
      <c r="D879" s="152">
        <f t="shared" si="100"/>
        <v>2023</v>
      </c>
      <c r="E879" s="151">
        <v>456.0</v>
      </c>
      <c r="F879" s="176" t="s">
        <v>191</v>
      </c>
      <c r="G879" s="176" t="s">
        <v>191</v>
      </c>
      <c r="H879" s="158" t="str">
        <f>IFERROR(__xludf.DUMMYFUNCTION("""COMPUTED_VALUE"""),"**Restoration_project_short** changed from Site in Bongao Channel to Site in Kulape MPA and Brgy Boan MPA, **Total units** changed from 35 CNUs/24,373 COPs to 4 CNUs/2,625 COPs, **Website** changed from Report uploaded in the Google Drive; https://savethe"&amp;"philippinecoralreefs.wordpress.com/2013/03/24/government-and-army-assist-with-coral-farming-on-nogas-coral-reefs/ to Report uploaded in the Google Drive")</f>
        <v>**Restoration_project_short** changed from Site in Bongao Channel to Site in Kulape MPA and Brgy Boan MPA, **Total units** changed from 35 CNUs/24,373 COPs to 4 CNUs/2,625 COPs, **Website** changed from Report uploaded in the Google Drive; https://savethephilippinecoralreefs.wordpress.com/2013/03/24/government-and-army-assist-with-coral-farming-on-nogas-coral-reefs/ to Report uploaded in the Google Drive</v>
      </c>
      <c r="I879" s="158" t="s">
        <v>7777</v>
      </c>
      <c r="J879" s="158" t="s">
        <v>642</v>
      </c>
      <c r="K879" s="158" t="s">
        <v>1217</v>
      </c>
      <c r="L879" s="158" t="s">
        <v>1230</v>
      </c>
      <c r="M879" s="164" t="s">
        <v>1231</v>
      </c>
      <c r="N879" s="158" t="s">
        <v>6062</v>
      </c>
      <c r="O879" s="153" t="s">
        <v>1174</v>
      </c>
      <c r="P879" s="158" t="s">
        <v>1232</v>
      </c>
      <c r="Q879" s="178">
        <v>2012.0</v>
      </c>
      <c r="R879" s="160" t="s">
        <v>6151</v>
      </c>
      <c r="S879" s="160" t="s">
        <v>6089</v>
      </c>
      <c r="T879" s="176" t="s">
        <v>177</v>
      </c>
      <c r="U879" s="158">
        <f>IFERROR(__xludf.DUMMYFUNCTION("""COMPUTED_VALUE"""),845.0)</f>
        <v>845</v>
      </c>
      <c r="V879" s="191" t="s">
        <v>1359</v>
      </c>
      <c r="W879" s="179" t="s">
        <v>6066</v>
      </c>
      <c r="X879" s="180"/>
      <c r="Y879" s="180" t="s">
        <v>154</v>
      </c>
      <c r="Z879" s="158" t="s">
        <v>179</v>
      </c>
      <c r="AA879" s="158" t="s">
        <v>320</v>
      </c>
      <c r="AB879" s="158" t="s">
        <v>1222</v>
      </c>
      <c r="AC879" s="153" t="s">
        <v>321</v>
      </c>
      <c r="AD879" s="158" t="s">
        <v>160</v>
      </c>
      <c r="AE879" s="158" t="s">
        <v>6035</v>
      </c>
      <c r="AF879" s="158" t="s">
        <v>159</v>
      </c>
      <c r="AG879" s="164" t="s">
        <v>149</v>
      </c>
      <c r="AH879" s="158" t="s">
        <v>149</v>
      </c>
      <c r="AI879" s="158" t="s">
        <v>1233</v>
      </c>
      <c r="AJ879" s="158" t="s">
        <v>1224</v>
      </c>
      <c r="AK879" s="158" t="s">
        <v>6068</v>
      </c>
      <c r="AL879" s="158" t="s">
        <v>1225</v>
      </c>
      <c r="AM879" s="158" t="s">
        <v>1226</v>
      </c>
      <c r="AN879" s="176" t="s">
        <v>149</v>
      </c>
      <c r="AO879" s="156">
        <v>1.0</v>
      </c>
      <c r="AP879" s="156" t="s">
        <v>6037</v>
      </c>
      <c r="AQ879" s="158" t="s">
        <v>6069</v>
      </c>
      <c r="AR879" s="158" t="s">
        <v>1227</v>
      </c>
      <c r="AS879" s="158" t="s">
        <v>6070</v>
      </c>
      <c r="AT879" s="176" t="s">
        <v>149</v>
      </c>
      <c r="AU879" s="231" t="s">
        <v>149</v>
      </c>
    </row>
    <row r="880">
      <c r="A880" s="186">
        <v>503.0</v>
      </c>
      <c r="B880" s="152">
        <v>2025.0</v>
      </c>
      <c r="C880" s="153" t="str">
        <f t="shared" si="99"/>
        <v>2025-PH157011000-503</v>
      </c>
      <c r="D880" s="152">
        <f t="shared" si="100"/>
        <v>2025</v>
      </c>
      <c r="E880" s="151">
        <v>457.0</v>
      </c>
      <c r="F880" s="176" t="s">
        <v>191</v>
      </c>
      <c r="G880" s="176" t="s">
        <v>191</v>
      </c>
      <c r="H880" s="158" t="str">
        <f>IFERROR(__xludf.DUMMYFUNCTION("""COMPUTED_VALUE"""),"**Restoration_project_short** changed from Site in Kulape MPA and Brgy Boan MPA to Site near pier and Tando Owak, **Total units** changed from 4 CNUs/2,625 COPs to 4 CNUs/3,264 COPs")</f>
        <v>**Restoration_project_short** changed from Site in Kulape MPA and Brgy Boan MPA to Site near pier and Tando Owak, **Total units** changed from 4 CNUs/2,625 COPs to 4 CNUs/3,264 COPs</v>
      </c>
      <c r="I880" s="158" t="s">
        <v>7778</v>
      </c>
      <c r="J880" s="158" t="s">
        <v>642</v>
      </c>
      <c r="K880" s="158" t="s">
        <v>1217</v>
      </c>
      <c r="L880" s="158" t="s">
        <v>1236</v>
      </c>
      <c r="M880" s="164" t="s">
        <v>1237</v>
      </c>
      <c r="N880" s="158" t="s">
        <v>6062</v>
      </c>
      <c r="O880" s="153" t="s">
        <v>1174</v>
      </c>
      <c r="P880" s="158" t="s">
        <v>1238</v>
      </c>
      <c r="Q880" s="178">
        <v>2012.0</v>
      </c>
      <c r="R880" s="160" t="s">
        <v>6151</v>
      </c>
      <c r="S880" s="160" t="s">
        <v>6089</v>
      </c>
      <c r="T880" s="176" t="s">
        <v>177</v>
      </c>
      <c r="U880" s="158">
        <f>IFERROR(__xludf.DUMMYFUNCTION("""COMPUTED_VALUE"""),846.0)</f>
        <v>846</v>
      </c>
      <c r="V880" s="191" t="s">
        <v>1359</v>
      </c>
      <c r="W880" s="179" t="s">
        <v>6066</v>
      </c>
      <c r="X880" s="180"/>
      <c r="Y880" s="180" t="s">
        <v>154</v>
      </c>
      <c r="Z880" s="158" t="s">
        <v>179</v>
      </c>
      <c r="AA880" s="158" t="s">
        <v>320</v>
      </c>
      <c r="AB880" s="158" t="s">
        <v>1222</v>
      </c>
      <c r="AC880" s="153" t="s">
        <v>321</v>
      </c>
      <c r="AD880" s="158" t="s">
        <v>160</v>
      </c>
      <c r="AE880" s="158" t="s">
        <v>6035</v>
      </c>
      <c r="AF880" s="158" t="s">
        <v>159</v>
      </c>
      <c r="AG880" s="164" t="s">
        <v>149</v>
      </c>
      <c r="AH880" s="158" t="s">
        <v>149</v>
      </c>
      <c r="AI880" s="158" t="s">
        <v>1239</v>
      </c>
      <c r="AJ880" s="158" t="s">
        <v>1224</v>
      </c>
      <c r="AK880" s="158" t="s">
        <v>6068</v>
      </c>
      <c r="AL880" s="158" t="s">
        <v>1225</v>
      </c>
      <c r="AM880" s="158" t="s">
        <v>1226</v>
      </c>
      <c r="AN880" s="176" t="s">
        <v>149</v>
      </c>
      <c r="AO880" s="156">
        <v>1.0</v>
      </c>
      <c r="AP880" s="156" t="s">
        <v>6037</v>
      </c>
      <c r="AQ880" s="158" t="s">
        <v>6069</v>
      </c>
      <c r="AR880" s="158" t="s">
        <v>1227</v>
      </c>
      <c r="AS880" s="158" t="s">
        <v>6070</v>
      </c>
      <c r="AT880" s="176" t="s">
        <v>149</v>
      </c>
      <c r="AU880" s="231" t="s">
        <v>149</v>
      </c>
    </row>
    <row r="881">
      <c r="A881" s="186">
        <v>504.0</v>
      </c>
      <c r="B881" s="152">
        <v>2025.0</v>
      </c>
      <c r="C881" s="153" t="str">
        <f t="shared" si="99"/>
        <v>2025-PH157004000-504</v>
      </c>
      <c r="D881" s="152">
        <f t="shared" si="100"/>
        <v>2025</v>
      </c>
      <c r="E881" s="151">
        <v>458.0</v>
      </c>
      <c r="F881" s="176" t="s">
        <v>191</v>
      </c>
      <c r="G881" s="176" t="s">
        <v>191</v>
      </c>
      <c r="H881" s="158" t="str">
        <f>IFERROR(__xludf.DUMMYFUNCTION("""COMPUTED_VALUE"""),"**Restoration_project_short** changed from Site near pier and Tando Owak to Site in Tunggosong MPA, **Total units** changed from 4 CNUs/3,264 COPs to 4 CNUs/2,432 COPs")</f>
        <v>**Restoration_project_short** changed from Site near pier and Tando Owak to Site in Tunggosong MPA, **Total units** changed from 4 CNUs/3,264 COPs to 4 CNUs/2,432 COPs</v>
      </c>
      <c r="I881" s="158" t="s">
        <v>7779</v>
      </c>
      <c r="J881" s="158" t="s">
        <v>642</v>
      </c>
      <c r="K881" s="158" t="s">
        <v>1217</v>
      </c>
      <c r="L881" s="158" t="s">
        <v>1242</v>
      </c>
      <c r="M881" s="164" t="s">
        <v>1243</v>
      </c>
      <c r="N881" s="158" t="s">
        <v>6062</v>
      </c>
      <c r="O881" s="153" t="s">
        <v>1174</v>
      </c>
      <c r="P881" s="158" t="s">
        <v>1244</v>
      </c>
      <c r="Q881" s="178">
        <v>2012.0</v>
      </c>
      <c r="R881" s="160" t="s">
        <v>6151</v>
      </c>
      <c r="S881" s="160" t="s">
        <v>6089</v>
      </c>
      <c r="T881" s="176" t="s">
        <v>177</v>
      </c>
      <c r="U881" s="158">
        <f>IFERROR(__xludf.DUMMYFUNCTION("""COMPUTED_VALUE"""),847.0)</f>
        <v>847</v>
      </c>
      <c r="V881" s="191" t="s">
        <v>1359</v>
      </c>
      <c r="W881" s="179" t="s">
        <v>6066</v>
      </c>
      <c r="X881" s="180"/>
      <c r="Y881" s="180" t="s">
        <v>154</v>
      </c>
      <c r="Z881" s="158" t="s">
        <v>179</v>
      </c>
      <c r="AA881" s="158" t="s">
        <v>320</v>
      </c>
      <c r="AB881" s="158" t="s">
        <v>1222</v>
      </c>
      <c r="AC881" s="153" t="s">
        <v>321</v>
      </c>
      <c r="AD881" s="158" t="s">
        <v>160</v>
      </c>
      <c r="AE881" s="158" t="s">
        <v>6035</v>
      </c>
      <c r="AF881" s="158" t="s">
        <v>159</v>
      </c>
      <c r="AG881" s="164" t="s">
        <v>149</v>
      </c>
      <c r="AH881" s="158" t="s">
        <v>149</v>
      </c>
      <c r="AI881" s="158" t="s">
        <v>1245</v>
      </c>
      <c r="AJ881" s="158" t="s">
        <v>1224</v>
      </c>
      <c r="AK881" s="158" t="s">
        <v>6068</v>
      </c>
      <c r="AL881" s="158" t="s">
        <v>1225</v>
      </c>
      <c r="AM881" s="158" t="s">
        <v>1226</v>
      </c>
      <c r="AN881" s="176" t="s">
        <v>149</v>
      </c>
      <c r="AO881" s="156">
        <v>1.0</v>
      </c>
      <c r="AP881" s="156" t="s">
        <v>6037</v>
      </c>
      <c r="AQ881" s="158" t="s">
        <v>6069</v>
      </c>
      <c r="AR881" s="158" t="s">
        <v>1227</v>
      </c>
      <c r="AS881" s="158" t="s">
        <v>6070</v>
      </c>
      <c r="AT881" s="176" t="s">
        <v>149</v>
      </c>
      <c r="AU881" s="231" t="s">
        <v>149</v>
      </c>
    </row>
    <row r="882">
      <c r="A882" s="186" t="s">
        <v>7780</v>
      </c>
      <c r="B882" s="152">
        <v>2025.0</v>
      </c>
      <c r="C882" s="153" t="str">
        <f t="shared" si="99"/>
        <v>2025-PH157005000-NA</v>
      </c>
      <c r="D882" s="152">
        <f t="shared" si="100"/>
        <v>2025</v>
      </c>
      <c r="E882" s="151">
        <v>459.0</v>
      </c>
      <c r="F882" s="176" t="s">
        <v>191</v>
      </c>
      <c r="G882" s="176" t="s">
        <v>191</v>
      </c>
      <c r="H882" s="158" t="str">
        <f>IFERROR(__xludf.DUMMYFUNCTION("""COMPUTED_VALUE"""),"**Restoration_project_short** changed from Site in Tunggosong MPA to Site in the buffer zone of North Lagoon MPA, **Total units** changed from 4 CNUs/2,432 COPs to 1 CNU/1,480 COPs")</f>
        <v>**Restoration_project_short** changed from Site in Tunggosong MPA to Site in the buffer zone of North Lagoon MPA, **Total units** changed from 4 CNUs/2,432 COPs to 1 CNU/1,480 COPs</v>
      </c>
      <c r="I882" s="158" t="s">
        <v>7781</v>
      </c>
      <c r="J882" s="158" t="s">
        <v>642</v>
      </c>
      <c r="K882" s="158" t="s">
        <v>1217</v>
      </c>
      <c r="L882" s="158" t="s">
        <v>1248</v>
      </c>
      <c r="M882" s="164" t="s">
        <v>1249</v>
      </c>
      <c r="N882" s="158" t="s">
        <v>6062</v>
      </c>
      <c r="O882" s="153" t="s">
        <v>1174</v>
      </c>
      <c r="P882" s="158" t="s">
        <v>1250</v>
      </c>
      <c r="Q882" s="178">
        <v>2012.0</v>
      </c>
      <c r="R882" s="160" t="s">
        <v>6151</v>
      </c>
      <c r="S882" s="160" t="s">
        <v>6089</v>
      </c>
      <c r="T882" s="176" t="s">
        <v>177</v>
      </c>
      <c r="U882" s="158">
        <f>IFERROR(__xludf.DUMMYFUNCTION("""COMPUTED_VALUE"""),848.0)</f>
        <v>848</v>
      </c>
      <c r="V882" s="191" t="s">
        <v>1359</v>
      </c>
      <c r="W882" s="179" t="s">
        <v>6066</v>
      </c>
      <c r="X882" s="180"/>
      <c r="Y882" s="180" t="s">
        <v>154</v>
      </c>
      <c r="Z882" s="158" t="s">
        <v>179</v>
      </c>
      <c r="AA882" s="158" t="s">
        <v>320</v>
      </c>
      <c r="AB882" s="158" t="s">
        <v>1222</v>
      </c>
      <c r="AC882" s="153" t="s">
        <v>321</v>
      </c>
      <c r="AD882" s="158" t="s">
        <v>160</v>
      </c>
      <c r="AE882" s="158" t="s">
        <v>6035</v>
      </c>
      <c r="AF882" s="158" t="s">
        <v>159</v>
      </c>
      <c r="AG882" s="164" t="s">
        <v>149</v>
      </c>
      <c r="AH882" s="158" t="s">
        <v>149</v>
      </c>
      <c r="AI882" s="158" t="s">
        <v>1252</v>
      </c>
      <c r="AJ882" s="158" t="s">
        <v>1224</v>
      </c>
      <c r="AK882" s="158" t="s">
        <v>6068</v>
      </c>
      <c r="AL882" s="158" t="s">
        <v>1225</v>
      </c>
      <c r="AM882" s="158" t="s">
        <v>1226</v>
      </c>
      <c r="AN882" s="176" t="s">
        <v>149</v>
      </c>
      <c r="AO882" s="156">
        <v>1.0</v>
      </c>
      <c r="AP882" s="156" t="s">
        <v>6037</v>
      </c>
      <c r="AQ882" s="158" t="s">
        <v>6069</v>
      </c>
      <c r="AR882" s="158" t="s">
        <v>1227</v>
      </c>
      <c r="AS882" s="158" t="s">
        <v>6070</v>
      </c>
      <c r="AT882" s="176" t="s">
        <v>149</v>
      </c>
      <c r="AU882" s="176" t="s">
        <v>149</v>
      </c>
    </row>
  </sheetData>
  <dataValidations>
    <dataValidation type="list" allowBlank="1" showErrorMessage="1" sqref="F2:F882">
      <formula1>'Data Validation 2'!$A$2:$A$4</formula1>
    </dataValidation>
    <dataValidation type="list" allowBlank="1" showErrorMessage="1" sqref="G2:G882">
      <formula1>'Data Validation 2'!$A$7:$A$11</formula1>
    </dataValidation>
    <dataValidation type="list" allowBlank="1" showErrorMessage="1" sqref="AO2:AO882">
      <formula1>"0,1,2,3"</formula1>
    </dataValidation>
    <dataValidation type="list" allowBlank="1" showErrorMessage="1" sqref="V2:V882">
      <formula1>"Direct transplantation,Coral gardening,Micro-fragmentation,Artificial reef,Mineral accretion,Larval enhancement,Substrate stabilisation,Unknown"</formula1>
    </dataValidation>
    <dataValidation type="list" allowBlank="1" showErrorMessage="1" sqref="AP2:AP882">
      <formula1>"-,Asexual Propagation; Sexual Propagation ,Substrate Enhancement; Sexual Propagation,Asexual Propagation; Substrate Enhancement,Asexual Propagation; Sexual Propagation; Substrate Enhancement "</formula1>
    </dataValidation>
    <dataValidation type="list" allowBlank="1" showErrorMessage="1" sqref="K2:K882">
      <formula1>"Agusan del Norte,Aklan,Albay,Antique,Aurora,Basilan,Bataan,Batangas,Bohol,Cagayan,Camarines Norte,Camarines Sur,Camiguin,Capiz,Catanduanes,Cavite,Cebu,Davao de Oro,Davao del Norte,Davao del Sur,Davao Oriental,Dinagat Islands,Eastern Samar,Ilocos Norte,Ilo"&amp;"cos Sur,Iloilo,La Union,Lanao del Norte,Lanao del Sur,Leyte,Maguindanao del Norte,Manila,Marinduque,Masbate,Metro Manila,Misamis Occidental,Misamis Oriental,Negros Occidental,Negros Oriental,Northern Samar,Occidental Mindoro,Oriental Mindoro,Palawan,Panga"&amp;"sinan,Quezon,Romblon,Sarangani,Siquijor,Sorsogon,South Cotabato,Southern Leyte,Sultan Kudarat,Sulu,Surigao del Norte,Surigao del Sur,Tawi-Tawi,Zambales,Zamboanga del Norte,Zamboanga del Sur"</formula1>
    </dataValidation>
    <dataValidation type="list" allowBlank="1" showErrorMessage="1" sqref="W2:W882">
      <formula1>"Concrete structure,Metal structure,Natural material,Synthetic material,Coral nursery unit (CNU),Rope nursery,Microsolar panel implant,Electrochemical mineral accretion,Unknown,Not applicable"</formula1>
    </dataValidation>
    <dataValidation type="list" allowBlank="1" showErrorMessage="1" sqref="J2:J882">
      <formula1>"BARMM,I,II,III,IV-A,IV-B,IX,NCR,NIR,V,VI,VII,VIII,X,XI,XII,XIII"</formula1>
    </dataValidation>
    <dataValidation type="list" allowBlank="1" showErrorMessage="1" sqref="T2:T38 T40:T64 T66 T68:T70 T72 T74:T126 T128:T130 T132:T181 T183:T204 T206:T216 T218:T248 T250:T252 T254:T318 T320:T414 T416:T502 T504:T506 T508:T604 T606:T647 T649:T670 T672:T676 T678:T690 T692:T710 T712:T718 T720 T722 T724:T730 T732:T760 T762 T764 T766:T770 T772:T774 T776:T796 T798:T802 T804:T824 T826:T836 T838:T882">
      <formula1>"-,Asexual Propagation,Sexual Propagation,Substrate Enhancement,Unknown"</formula1>
    </dataValidation>
    <dataValidation type="list" allowBlank="1" showErrorMessage="1" sqref="X2:Y2 Y3 X4:Y4 Y5 X6:Y6 Y7 X8:Y8 Y9 X10:Y10 Y11 X12:Y12 Y13 X14:Y14 Y15 X16:Y16 Y17 X18:Y18 Y19 X20:Y20 Y21 X22:Y22 Y23 X24:Y24 Y25 X26:Y26 Y27 X28:Y28 Y29 X30:Y30 Y31 X32:Y32 Y33 X34:Y34 Y35 X36:Y36 Y37 X38:Y38 X40:Y40 Y41 X42:Y42 Y43 X44:Y44 Y45 X46:Y46 Y47 X48:Y48 Y49 X50:Y50 Y51 X52:Y52 Y53 X54:Y54 Y55 X56:Y56 Y57 X58:Y58 Y59 X60:Y60 Y61 X62:Y62 Y63:Y64 X66:Y66 Y68:Y70 Y72 X74:Y74 Y75 X76:Y76 Y77 X78:Y78 Y79:Y81 X82:Y82 Y83 X84:Y84 Y85 X86:Y86 Y87 X88:Y88 Y89 X90:Y90 Y91 X92:Y92 Y93 X94:Y94 Y95 X96:Y96 Y97 X98:Y98 Y99 X100:Y100 Y101 X102:Y102 Y103 X104:Y104 Y105 X106:Y106 Y107 X108:Y108 Y109 X110:Y110 Y111 X112:Y112 Y113 X114:Y114 Y115 X116:Y116 Y117 X118:Y118 Y119 X120:Y120 Y121 X122:Y122 Y123 X124:Y124 Y125:Y126 X128:Y128 Y129:Y130 X132:Y132 Y133 X134:Y134 Y135 X136:Y136 Y137 X138:Y138 Y139 X140:Y140 Y141 X142:Y142 Y143 X144:Y144 Y145 X146:Y146 Y147 X148:Y148 Y149 X150:Y150 Y151 X152:Y152 Y153 X154:Y154 Y155 X156:Y156 Y157 X158:Y158 Y159 X160:Y160 Y161 X162:Y162 Y163 X164:Y164 Y165 X166:Y166 Y167 X168:Y168 Y169 X170:Y170 Y171 X172:Y172 Y173 X174:Y174 Y175 X176:Y176 Y177 X178:Y178 Y179 X180:Y180 Y181 Y183 X184:Y184 Y185 X186:Y186 Y187 X188:Y188 Y189 X190:Y190 Y191 X192:Y192 Y193 X194:Y194 Y195 X196:Y196 Y197:Y198 X199:Y199 Y200 X201:Y201 Y202 X203:Y203 Y204 Y206 X207:Y208 Y209 X210:Y210 Y211 X212:Y212 Y213 X214:Y214 Y215:Y216 X218:Y218 Y219:Y220 X221:Y222 Y223 X224:Y224 Y225 X226:Y226 Y227 X228:Y228 Y229 X230:Y230 Y231 X232:Y232 Y233:Y234 X235:Y235 Y236 X237:Y238 Y239 X240:Y240 Y241 X242:Y242 Y243 X244:Y244 Y245:Y246 X247:Y247 Y248 X250:Y250 Y251:Y252 X254:Y254 Y255 X256:Y256 Y257 X258:Y258 Y259 X260:Y260 Y261 X262:Y262 Y263 X264:Y264 Y265 X266:Y266 Y267 X268:Y268 Y269 X270:Y270 Y271 X272:Y272 Y273 X274:Y274 Y275:Y276 X277:Y277 Y278 X279:Y279 Y280 X281:Y281 Y282 X283:Y283 Y284 X285:Y285 Y286 X287:Y287 Y288 X289:Y290 Y291 X292:Y292 Y293 X294:Y294 Y295 X296:Y296 Y297 X298:Y298 Y299 X300:Y300 Y301 X302:Y302 Y303 X304:Y304 Y305 X306:Y306 Y307 X308:Y308 Y309 X310:Y310 Y311 X312:Y312 Y313 X314:Y314 Y315 X316:Y316 Y317:Y318 X320:Y320 Y321 X322:Y322 Y323 X324:Y324 Y325 X326:Y326 Y327 X328:Y328 Y329 X330:Y330 Y331 X332:Y332 Y333 X334:Y334 Y335 X336:Y336 Y337 X338:Y338 Y339 X340:Y340 Y341 X342:Y342 Y343 X344:Y344 Y345 X346:Y346 Y347 X348:Y348 Y349:Y350 X351:Y351 Y352 X353:Y353 Y354 X355:Y355 Y356 X357:Y358 Y359:Y360 X361:Y362 Y363:Y364 X365:Y365 Y366 X367:Y368 Y369 X370:Y370 Y371:Y372 X373:Y373 Y374 X375:Y376 Y377 X378:Y378 Y379 X381:Y382 Y383 X384:Y384 Y385 X386:Y386 Y387 X388:Y388 Y389 X390:Y390 Y391:Y392 X393:Y394 Y395:Y396 X397:Y398 Y399 X400:Y400 Y401 X402:Y402 Y403 X404:Y404 Y405 X406:Y406 Y407:Y408 X409:Y410 Y411:Y412 X413:Y413 Y414 Y416 X417:Y417 Y418 X419:Y420 Y421 X422:Y422 Y423:Y424 X425:Y426 Y427 X428:Y428 Y429 X430:Y430 Y431 X432:Y432 Y433 X434:Y434 Y435 X436:Y436 Y437:Y438 X439:Y439 Y440 X441:Y441 Y442 X443:Y443 Y444 X445:Y445 Y446 X447:Y447 Y448 X449:Y450 Y451 X452:Y452 Y453 X454:Y454 Y455 X456:Y456 Y457:Y458 X459:Y459 Y460 X461:Y462 Y463 X464:Y464 Y465:Y466 X467:Y467 Y468 X469:Y469 Y470 X471:Y471 Y472 X473:Y474 Y475 X476:Y476 Y477:Y478 X479:Y479 Y480 X481:Y481 Y482 X483:Y483 Y484 X485:Y485 Y486 X487:Y488 Y489:Y490 X491:Y491 Y492 X493:Y493 Y494 X495:Y495 Y496 X497:Y497 Y498 X499:Y499 Y500 X501:Y501 Y502 Y504 X505:Y505 Y506 Y508 X509:Y509 Y510 X511:Y511 Y512 X513:Y513 Y514 X515:Y515 Y516 X517:Y517 Y518:Y520 X521:Y521 Y522 X523:Y523 Y524 X525:Y525 Y526 X527:Y527 Y528 X529:Y530 Y531:Y532 X533:Y533 Y534 X535:Y536 Y537 X538:Y538 Y539:Y540 X541:Y541 Y542 X543:Y543 Y544 X545:Y545 Y546 X547:Y547 Y548 X549:Y549 Y550 X551:Y551 Y552 X553:Y553 Y554 X555:Y556 Y557:Y558 X559:Y559 Y560 X561:Y562 Y563 X564:Y564 Y565 X566:Y566 Y567 X568:Y568 Y569 X570:Y570 Y571:Y572 X573:Y573 Y574 X575:Y575 Y576 X577:Y577 Y578 X579:Y579 Y580 X581:Y581 Y582 X583:Y583 Y584 X585:Y585 Y586 X587:Y587 Y588 X589:Y589 Y590:Y599 X600:Y600 Y601 X602:Y602 Y603:Y604 X606:Y606 Y607 X608:Y608 Y609:Y610 X611:Y612 Y613:Y614 X615:Y615 Y616 X617:Y617 Y618 X619:Y619 Y620:Y641 X642:Y642 Y643 X644:Y644 Y645 X646:Y646 Y647 Y649 X650:Y650 Y651 X652:Y652 Y653 X654:Y654 Y655 X656:Y656 Y657:Y658 X659:Y659 Y660 X661:Y661 Y662 X663:Y663 Y664 X665:Y665 Y666 X667:Y667 Y668 X669:Y669 Y670 Y672 X673:Y673 Y674 X675:Y675 Y676 Y678 X679:Y680 Y681 X682:Y682 Y683 X684:Y684 Y685 X686:Y686 Y687:Y688 X689:Y689 Y690 Y692 X693:Y693 Y694 X695:Y695 Y696 X697:Y698 Y699:Y700 X701:Y702 Y703 X704:Y704 Y705:Y706 X707:Y707 Y708 X709:Y709 Y710 Y712 X713:Y713 Y714 X715:Y715 Y716 X717:Y717 Y718 Y720 Y722 Y724 X725:Y725 Y726 X727:Y727 Y728 X729:Y729 Y730 X732:Y732 Y733 X734:Y734 Y735 X736:Y736 Y737 X738:Y738 Y739 X740:Y740 Y741 X742:Y742 Y743:Y744 X745:Y745 Y746 X747:Y748 Y749 X750:Y750 Y751 X752:Y752 Y753 X754:Y754 Y755:Y756 X757:Y757 Y758 X759:Y759 Y760 Y762 Y764 Y766 X767:Y768 Y769:Y770 X772:Y772 Y773:Y774 X776:Y776 Y777:Y778 X779:Y779 Y780 X781:Y782 Y783:Y784 X785:Y785 Y786 X787:Y788 Y789:Y790 X791:Y791 Y792 X793:Y793 Y794 X795:Y795 Y796 Y798 X799:Y799 Y800 X801:Y801 Y802 X804:Y804 Y805 X806:Y806 Y807 X808:Y808 Y809 X810:Y810 Y811 X812:Y812 Y813 X814:Y814 Y815:Y816 X817:Y818 Y819:Y820 X821:Y821 Y822 X823:Y823 Y824 Y826 X827:Y827 Y828 X829:Y829 Y830 X831:Y831 Y832 X833:Y833 Y834 X835:Y835 Y836 Y838 X839:Y839 Y840 X841:Y842 Y843 X844:Y844 Y845:Y882">
      <formula1>"Bamboo,Bamboo pyramidal,Beams and cylinders,Concrete general,Concrete cube,Concrete domes,Concrete jackstone,Concrete pyramid,Concrete sculpture,Concrete slabs,Concrete tent-like,Concrete triangle,Concrete tripod,Eco-MER,Glass bottles,PVC pipe,Rebars,Reef"&amp;" ball,Reefbuds,Steel cabinet,Steel frame,Tires,Steel pipe,3D-printed clay brick,Eco-Reefs (ceramic-based),Dead coral,Sand,Mesh,Concrete roundtable,Cement with silica,Rubber ,Concrete block,Unknown,Dome table,Wreck structure (plane, boat),Not applicable"</formula1>
    </dataValidation>
  </dataValidations>
  <hyperlinks>
    <hyperlink r:id="rId1" ref="AS3"/>
    <hyperlink r:id="rId2" ref="AS5"/>
    <hyperlink r:id="rId3" ref="AS7"/>
    <hyperlink r:id="rId4" ref="AS11"/>
    <hyperlink r:id="rId5" ref="AS13"/>
    <hyperlink r:id="rId6" ref="AS14"/>
    <hyperlink r:id="rId7" ref="AS15"/>
    <hyperlink r:id="rId8" ref="AS17"/>
    <hyperlink r:id="rId9" ref="AS19"/>
    <hyperlink r:id="rId10" ref="AS21"/>
    <hyperlink r:id="rId11" ref="AS23"/>
    <hyperlink r:id="rId12" ref="AS25"/>
    <hyperlink r:id="rId13" ref="AS27"/>
    <hyperlink r:id="rId14" ref="AS29"/>
    <hyperlink r:id="rId15" ref="AS33"/>
    <hyperlink r:id="rId16" ref="AS35"/>
    <hyperlink r:id="rId17" ref="AS37"/>
    <hyperlink r:id="rId18" ref="AS41"/>
    <hyperlink r:id="rId19" ref="AS43"/>
    <hyperlink r:id="rId20" ref="AS45"/>
    <hyperlink r:id="rId21" ref="AS47"/>
    <hyperlink r:id="rId22" ref="AS50"/>
    <hyperlink r:id="rId23" ref="AS51"/>
    <hyperlink r:id="rId24" ref="AS53"/>
    <hyperlink r:id="rId25" ref="AS57"/>
    <hyperlink r:id="rId26" ref="AS59"/>
    <hyperlink r:id="rId27" ref="AS61"/>
    <hyperlink r:id="rId28" ref="AS63"/>
    <hyperlink r:id="rId29" ref="AS64"/>
    <hyperlink r:id="rId30" ref="AS68"/>
    <hyperlink r:id="rId31" ref="AS69"/>
    <hyperlink r:id="rId32" ref="AS70"/>
    <hyperlink r:id="rId33" ref="AS72"/>
    <hyperlink r:id="rId34" ref="AS74"/>
    <hyperlink r:id="rId35" ref="AS75"/>
    <hyperlink r:id="rId36" ref="AS77"/>
    <hyperlink r:id="rId37" ref="AS79"/>
    <hyperlink r:id="rId38" ref="AS80"/>
    <hyperlink r:id="rId39" ref="AS86"/>
    <hyperlink r:id="rId40" ref="AS87"/>
    <hyperlink r:id="rId41" ref="AS89"/>
    <hyperlink r:id="rId42" ref="AS91"/>
    <hyperlink r:id="rId43" ref="AS99"/>
    <hyperlink r:id="rId44" ref="AS101"/>
    <hyperlink r:id="rId45" ref="AS103"/>
    <hyperlink r:id="rId46" ref="AS105"/>
    <hyperlink r:id="rId47" ref="AS109"/>
    <hyperlink r:id="rId48" ref="AS111"/>
    <hyperlink r:id="rId49" ref="AS112"/>
    <hyperlink r:id="rId50" ref="AS113"/>
    <hyperlink r:id="rId51" ref="AS121"/>
    <hyperlink r:id="rId52" ref="AS125"/>
    <hyperlink r:id="rId53" ref="AS126"/>
    <hyperlink r:id="rId54" ref="AS128"/>
    <hyperlink r:id="rId55" ref="AS129"/>
    <hyperlink r:id="rId56" ref="AS130"/>
    <hyperlink r:id="rId57" ref="AS131"/>
    <hyperlink r:id="rId58" ref="AS132"/>
    <hyperlink r:id="rId59" ref="AS133"/>
    <hyperlink r:id="rId60" ref="AS136"/>
    <hyperlink r:id="rId61" ref="AS138"/>
    <hyperlink r:id="rId62" ref="AS139"/>
    <hyperlink r:id="rId63" ref="AS140"/>
    <hyperlink r:id="rId64" ref="AS141"/>
    <hyperlink r:id="rId65" ref="AS142"/>
    <hyperlink r:id="rId66" ref="AS143"/>
    <hyperlink r:id="rId67" ref="AS144"/>
    <hyperlink r:id="rId68" ref="AS145"/>
    <hyperlink r:id="rId69" ref="AU145"/>
    <hyperlink r:id="rId70" ref="AS147"/>
    <hyperlink r:id="rId71" ref="AU147"/>
    <hyperlink r:id="rId72" ref="AS149"/>
    <hyperlink r:id="rId73" ref="AS150"/>
    <hyperlink r:id="rId74" ref="AS151"/>
    <hyperlink r:id="rId75" ref="AU151"/>
    <hyperlink r:id="rId76" ref="AS153"/>
    <hyperlink r:id="rId77" ref="AS155"/>
    <hyperlink r:id="rId78" ref="AU155"/>
    <hyperlink r:id="rId79" ref="AU156"/>
    <hyperlink r:id="rId80" ref="AS157"/>
    <hyperlink r:id="rId81" ref="AS158"/>
    <hyperlink r:id="rId82" ref="AU158"/>
    <hyperlink r:id="rId83" ref="AS159"/>
    <hyperlink r:id="rId84" ref="AS160"/>
    <hyperlink r:id="rId85" ref="AS161"/>
    <hyperlink r:id="rId86" ref="AU161"/>
    <hyperlink r:id="rId87" ref="AU162"/>
    <hyperlink r:id="rId88" ref="AS163"/>
    <hyperlink r:id="rId89" ref="AS164"/>
    <hyperlink r:id="rId90" ref="AS165"/>
    <hyperlink r:id="rId91" ref="AU166"/>
    <hyperlink r:id="rId92" ref="AS171"/>
    <hyperlink r:id="rId93" ref="AU172"/>
    <hyperlink r:id="rId94" ref="AS173"/>
    <hyperlink r:id="rId95" ref="AS184"/>
    <hyperlink r:id="rId96" ref="AS189"/>
    <hyperlink r:id="rId97" ref="AS191"/>
    <hyperlink r:id="rId98" ref="AS193"/>
    <hyperlink r:id="rId99" ref="AS195"/>
    <hyperlink r:id="rId100" ref="AS197"/>
    <hyperlink r:id="rId101" ref="AS198"/>
    <hyperlink r:id="rId102" ref="AS200"/>
    <hyperlink r:id="rId103" ref="AS203"/>
    <hyperlink r:id="rId104" ref="AS210"/>
    <hyperlink r:id="rId105" ref="AS216"/>
    <hyperlink r:id="rId106" ref="AU217"/>
    <hyperlink r:id="rId107" ref="AS219"/>
    <hyperlink r:id="rId108" ref="AS220"/>
    <hyperlink r:id="rId109" ref="AS223"/>
    <hyperlink r:id="rId110" ref="AS225"/>
    <hyperlink r:id="rId111" ref="AS227"/>
    <hyperlink r:id="rId112" ref="AS229"/>
    <hyperlink r:id="rId113" ref="AS230"/>
    <hyperlink r:id="rId114" ref="AS233"/>
    <hyperlink r:id="rId115" ref="AS234"/>
    <hyperlink r:id="rId116" ref="AS236"/>
    <hyperlink r:id="rId117" ref="AS238"/>
    <hyperlink r:id="rId118" ref="AS239"/>
    <hyperlink r:id="rId119" ref="AS241"/>
    <hyperlink r:id="rId120" ref="AS248"/>
    <hyperlink r:id="rId121" ref="AS251"/>
    <hyperlink r:id="rId122" ref="AS254"/>
    <hyperlink r:id="rId123" ref="AS255"/>
    <hyperlink r:id="rId124" ref="AS257"/>
    <hyperlink r:id="rId125" ref="AS259"/>
    <hyperlink r:id="rId126" ref="AS262"/>
    <hyperlink r:id="rId127" ref="AS263"/>
    <hyperlink r:id="rId128" ref="AS269"/>
    <hyperlink r:id="rId129" ref="AS270"/>
    <hyperlink r:id="rId130" ref="AS275"/>
    <hyperlink r:id="rId131" ref="AS276"/>
    <hyperlink r:id="rId132" ref="AS278"/>
    <hyperlink r:id="rId133" ref="AS282"/>
    <hyperlink r:id="rId134" ref="AS287"/>
    <hyperlink r:id="rId135" ref="AS288"/>
    <hyperlink r:id="rId136" ref="AS289"/>
    <hyperlink r:id="rId137" ref="AS298"/>
    <hyperlink r:id="rId138" ref="AS305"/>
    <hyperlink r:id="rId139" ref="AS317"/>
    <hyperlink r:id="rId140" ref="AS339"/>
    <hyperlink r:id="rId141" ref="AS347"/>
    <hyperlink r:id="rId142" ref="AS349"/>
    <hyperlink r:id="rId143" ref="AS350"/>
    <hyperlink r:id="rId144" ref="AS359"/>
    <hyperlink r:id="rId145" ref="AS363"/>
    <hyperlink r:id="rId146" ref="AU363"/>
    <hyperlink r:id="rId147" ref="AS366"/>
    <hyperlink r:id="rId148" ref="AS369"/>
    <hyperlink r:id="rId149" ref="AS370"/>
    <hyperlink r:id="rId150" ref="AU370"/>
    <hyperlink r:id="rId151" ref="AS371"/>
    <hyperlink r:id="rId152" ref="AS372"/>
    <hyperlink r:id="rId153" ref="AS374"/>
    <hyperlink r:id="rId154" ref="AS377"/>
    <hyperlink r:id="rId155" location="ixzz5IKRlKWsE" ref="AS380"/>
    <hyperlink r:id="rId156" ref="AS383"/>
    <hyperlink r:id="rId157" ref="AS389"/>
    <hyperlink r:id="rId158" ref="AS392"/>
    <hyperlink r:id="rId159" ref="AS394"/>
    <hyperlink r:id="rId160" ref="AS395"/>
    <hyperlink r:id="rId161" ref="AS396"/>
    <hyperlink r:id="rId162" ref="AS404"/>
    <hyperlink r:id="rId163" ref="AS405"/>
    <hyperlink r:id="rId164" ref="AS412"/>
    <hyperlink r:id="rId165" ref="AS415"/>
    <hyperlink r:id="rId166" ref="AS417"/>
    <hyperlink r:id="rId167" ref="AS418"/>
    <hyperlink r:id="rId168" ref="AS423"/>
    <hyperlink r:id="rId169" ref="AS439"/>
    <hyperlink r:id="rId170" ref="AS440"/>
    <hyperlink r:id="rId171" ref="AS442"/>
    <hyperlink r:id="rId172" ref="AS443"/>
    <hyperlink r:id="rId173" ref="AS444"/>
    <hyperlink r:id="rId174" ref="AS447"/>
    <hyperlink r:id="rId175" ref="AS448"/>
    <hyperlink r:id="rId176" ref="AS451"/>
    <hyperlink r:id="rId177" ref="AS452"/>
    <hyperlink r:id="rId178" ref="AS453"/>
    <hyperlink r:id="rId179" ref="AS455"/>
    <hyperlink r:id="rId180" ref="AS457"/>
    <hyperlink r:id="rId181" ref="AS458"/>
    <hyperlink r:id="rId182" ref="AS460"/>
    <hyperlink r:id="rId183" ref="AS466"/>
    <hyperlink r:id="rId184" ref="AS468"/>
    <hyperlink r:id="rId185" ref="AS469"/>
    <hyperlink r:id="rId186" ref="AS470"/>
    <hyperlink r:id="rId187" ref="AS471"/>
    <hyperlink r:id="rId188" ref="AS472"/>
    <hyperlink r:id="rId189" ref="AS473"/>
    <hyperlink r:id="rId190" ref="AS474"/>
    <hyperlink r:id="rId191" ref="AS476"/>
    <hyperlink r:id="rId192" ref="AS479"/>
    <hyperlink r:id="rId193" ref="AS480"/>
    <hyperlink r:id="rId194" ref="AS482"/>
    <hyperlink r:id="rId195" ref="AS484"/>
    <hyperlink r:id="rId196" ref="AS485"/>
    <hyperlink r:id="rId197" ref="AS489"/>
    <hyperlink r:id="rId198" ref="AS490"/>
    <hyperlink r:id="rId199" ref="AS492"/>
    <hyperlink r:id="rId200" ref="AS493"/>
    <hyperlink r:id="rId201" ref="AU493"/>
    <hyperlink r:id="rId202" ref="AS494"/>
    <hyperlink r:id="rId203" ref="AS496"/>
    <hyperlink r:id="rId204" ref="AS498"/>
    <hyperlink r:id="rId205" ref="AS500"/>
    <hyperlink r:id="rId206" ref="AS502"/>
    <hyperlink r:id="rId207" ref="AU505"/>
    <hyperlink r:id="rId208" ref="AS506"/>
    <hyperlink r:id="rId209" ref="AU507"/>
    <hyperlink r:id="rId210" ref="AS508"/>
    <hyperlink r:id="rId211" ref="AS510"/>
    <hyperlink r:id="rId212" ref="AU513"/>
    <hyperlink r:id="rId213" ref="AS514"/>
    <hyperlink r:id="rId214" ref="AS515"/>
    <hyperlink r:id="rId215" ref="AS516"/>
    <hyperlink r:id="rId216" ref="AU516"/>
    <hyperlink r:id="rId217" ref="AS520"/>
    <hyperlink r:id="rId218" ref="AU522"/>
    <hyperlink r:id="rId219" ref="AS527"/>
    <hyperlink r:id="rId220" ref="AU527"/>
    <hyperlink r:id="rId221" ref="AS528"/>
    <hyperlink r:id="rId222" ref="AU531"/>
    <hyperlink r:id="rId223" ref="AS532"/>
    <hyperlink r:id="rId224" ref="AS534"/>
    <hyperlink r:id="rId225" ref="AS537"/>
    <hyperlink r:id="rId226" ref="AS540"/>
    <hyperlink r:id="rId227" ref="AS544"/>
    <hyperlink r:id="rId228" ref="AS546"/>
    <hyperlink r:id="rId229" ref="AS548"/>
    <hyperlink r:id="rId230" ref="AS550"/>
    <hyperlink r:id="rId231" ref="AS551"/>
    <hyperlink r:id="rId232" ref="AS552"/>
    <hyperlink r:id="rId233" ref="AS560"/>
    <hyperlink r:id="rId234" ref="AU560"/>
    <hyperlink r:id="rId235" ref="AS562"/>
    <hyperlink r:id="rId236" ref="AS564"/>
    <hyperlink r:id="rId237" ref="AS567"/>
    <hyperlink r:id="rId238" ref="AS569"/>
    <hyperlink r:id="rId239" ref="AS571"/>
    <hyperlink r:id="rId240" ref="AS572"/>
    <hyperlink r:id="rId241" ref="AS574"/>
    <hyperlink r:id="rId242" ref="AS586"/>
    <hyperlink r:id="rId243" ref="AS588"/>
    <hyperlink r:id="rId244" ref="AS590"/>
    <hyperlink r:id="rId245" ref="AS596"/>
    <hyperlink r:id="rId246" ref="AS597"/>
    <hyperlink r:id="rId247" ref="AS602"/>
    <hyperlink r:id="rId248" ref="AS604"/>
    <hyperlink r:id="rId249" ref="AS609"/>
    <hyperlink r:id="rId250" ref="AS610"/>
    <hyperlink r:id="rId251" ref="AS620"/>
    <hyperlink r:id="rId252" ref="AU629"/>
    <hyperlink r:id="rId253" ref="AS631"/>
    <hyperlink r:id="rId254" ref="AS638"/>
    <hyperlink r:id="rId255" ref="AS640"/>
    <hyperlink r:id="rId256" ref="AS643"/>
    <hyperlink r:id="rId257" ref="AS645"/>
    <hyperlink r:id="rId258" ref="AU647"/>
    <hyperlink r:id="rId259" ref="AS649"/>
    <hyperlink r:id="rId260" ref="AS651"/>
    <hyperlink r:id="rId261" ref="AU654"/>
    <hyperlink r:id="rId262" ref="AS655"/>
    <hyperlink r:id="rId263" ref="AS657"/>
    <hyperlink r:id="rId264" ref="AU659"/>
    <hyperlink r:id="rId265" ref="AS660"/>
    <hyperlink r:id="rId266" ref="AS663"/>
    <hyperlink r:id="rId267" ref="AS668"/>
    <hyperlink r:id="rId268" ref="AS670"/>
    <hyperlink r:id="rId269" ref="AU672"/>
    <hyperlink r:id="rId270" ref="AS674"/>
    <hyperlink r:id="rId271" ref="AU676"/>
    <hyperlink r:id="rId272" ref="AS678"/>
    <hyperlink r:id="rId273" ref="AS681"/>
    <hyperlink r:id="rId274" ref="AS683"/>
    <hyperlink r:id="rId275" ref="AS685"/>
    <hyperlink r:id="rId276" ref="AS689"/>
    <hyperlink r:id="rId277" ref="AS690"/>
    <hyperlink r:id="rId278" ref="AU693"/>
    <hyperlink r:id="rId279" ref="AU695"/>
    <hyperlink r:id="rId280" ref="AU698"/>
    <hyperlink r:id="rId281" ref="AS700"/>
    <hyperlink r:id="rId282" ref="AS701"/>
    <hyperlink r:id="rId283" ref="AU701"/>
    <hyperlink r:id="rId284" ref="AS702"/>
    <hyperlink r:id="rId285" ref="AS704"/>
    <hyperlink r:id="rId286" ref="AS705"/>
    <hyperlink r:id="rId287" ref="AS706"/>
    <hyperlink r:id="rId288" ref="AS708"/>
    <hyperlink r:id="rId289" ref="AS713"/>
    <hyperlink r:id="rId290" ref="AS714"/>
    <hyperlink r:id="rId291" ref="AS716"/>
    <hyperlink r:id="rId292" ref="AS718"/>
    <hyperlink r:id="rId293" ref="AU718"/>
    <hyperlink r:id="rId294" ref="AS719"/>
    <hyperlink r:id="rId295" ref="AU720"/>
    <hyperlink r:id="rId296" ref="AS722"/>
    <hyperlink r:id="rId297" ref="AS724"/>
    <hyperlink r:id="rId298" ref="AU724"/>
    <hyperlink r:id="rId299" ref="AS725"/>
    <hyperlink r:id="rId300" ref="AS726"/>
    <hyperlink r:id="rId301" ref="AU726"/>
    <hyperlink r:id="rId302" ref="AS728"/>
    <hyperlink r:id="rId303" ref="AS729"/>
    <hyperlink r:id="rId304" ref="AS730"/>
    <hyperlink r:id="rId305" ref="AS734"/>
    <hyperlink r:id="rId306" ref="AS735"/>
    <hyperlink r:id="rId307" ref="AS737"/>
    <hyperlink r:id="rId308" ref="AS738"/>
    <hyperlink r:id="rId309" ref="AS739"/>
    <hyperlink r:id="rId310" ref="AS741"/>
    <hyperlink r:id="rId311" ref="AS743"/>
    <hyperlink r:id="rId312" ref="AS751"/>
    <hyperlink r:id="rId313" ref="AS755"/>
    <hyperlink r:id="rId314" ref="AS758"/>
    <hyperlink r:id="rId315" ref="AS759"/>
    <hyperlink r:id="rId316" ref="AS760"/>
    <hyperlink r:id="rId317" ref="AS764"/>
    <hyperlink r:id="rId318" ref="AS766"/>
    <hyperlink r:id="rId319" ref="AU768"/>
    <hyperlink r:id="rId320" ref="AS769"/>
    <hyperlink r:id="rId321" ref="AS770"/>
    <hyperlink r:id="rId322" ref="AU770"/>
    <hyperlink r:id="rId323" ref="AS772"/>
    <hyperlink r:id="rId324" ref="AS773"/>
    <hyperlink r:id="rId325" ref="AS774"/>
    <hyperlink r:id="rId326" ref="AS776"/>
    <hyperlink r:id="rId327" ref="AS778"/>
    <hyperlink r:id="rId328" location=":~:text=This%20is%20sought%20as%20one%20of%20the,but%20throughout%20Sarangani%20Bay.%20The%20preparation%20of." ref="AS780"/>
    <hyperlink r:id="rId329" ref="AS783"/>
    <hyperlink r:id="rId330" ref="AS786"/>
    <hyperlink r:id="rId331" ref="AS789"/>
    <hyperlink r:id="rId332" ref="AS790"/>
    <hyperlink r:id="rId333" ref="AS792"/>
    <hyperlink r:id="rId334" ref="AS794"/>
    <hyperlink r:id="rId335" ref="AS796"/>
    <hyperlink r:id="rId336" ref="AS797"/>
    <hyperlink r:id="rId337" ref="AS798"/>
    <hyperlink r:id="rId338" ref="AS799"/>
    <hyperlink r:id="rId339" ref="AS800"/>
    <hyperlink r:id="rId340" ref="AS801"/>
    <hyperlink r:id="rId341" ref="AS802"/>
    <hyperlink r:id="rId342" ref="AS805"/>
    <hyperlink r:id="rId343" ref="AS808"/>
    <hyperlink r:id="rId344" ref="AS809"/>
    <hyperlink r:id="rId345" ref="AS811"/>
    <hyperlink r:id="rId346" ref="AS812"/>
    <hyperlink r:id="rId347" ref="AS813"/>
    <hyperlink r:id="rId348" ref="AS815"/>
    <hyperlink r:id="rId349" ref="AS816"/>
    <hyperlink r:id="rId350" ref="AS819"/>
    <hyperlink r:id="rId351" ref="AS820"/>
    <hyperlink r:id="rId352" ref="AS822"/>
    <hyperlink r:id="rId353" ref="AS825"/>
    <hyperlink r:id="rId354" ref="AS826"/>
    <hyperlink r:id="rId355" ref="AS828"/>
    <hyperlink r:id="rId356" ref="AS830"/>
    <hyperlink r:id="rId357" ref="AS832"/>
    <hyperlink r:id="rId358" ref="AS834"/>
    <hyperlink r:id="rId359" ref="AS836"/>
    <hyperlink r:id="rId360" ref="AS837"/>
    <hyperlink r:id="rId361" ref="AS838"/>
    <hyperlink r:id="rId362" ref="AS840"/>
    <hyperlink r:id="rId363" ref="AU841"/>
    <hyperlink r:id="rId364" ref="AS843"/>
    <hyperlink r:id="rId365" ref="AS845"/>
    <hyperlink r:id="rId366" ref="AS846"/>
    <hyperlink r:id="rId367" ref="AS847"/>
    <hyperlink r:id="rId368" ref="AS848"/>
    <hyperlink r:id="rId369" ref="AS849"/>
    <hyperlink r:id="rId370" ref="AS850"/>
    <hyperlink r:id="rId371" ref="AS851"/>
    <hyperlink r:id="rId372" ref="AS852"/>
    <hyperlink r:id="rId373" ref="AS853"/>
    <hyperlink r:id="rId374" ref="AS854"/>
    <hyperlink r:id="rId375" ref="AS857"/>
    <hyperlink r:id="rId376" ref="AS858"/>
    <hyperlink r:id="rId377" ref="AS859"/>
    <hyperlink r:id="rId378" ref="AS860"/>
    <hyperlink r:id="rId379" ref="AS861"/>
    <hyperlink r:id="rId380" ref="AS862"/>
    <hyperlink r:id="rId381" ref="AS863"/>
    <hyperlink r:id="rId382" ref="AS864"/>
    <hyperlink r:id="rId383" ref="AS866"/>
    <hyperlink r:id="rId384" ref="AS867"/>
    <hyperlink r:id="rId385" ref="AS870"/>
    <hyperlink r:id="rId386" ref="AS871"/>
    <hyperlink r:id="rId387" ref="AS872"/>
    <hyperlink r:id="rId388" ref="AS873"/>
    <hyperlink r:id="rId389" ref="AS874"/>
    <hyperlink r:id="rId390" ref="AS875"/>
    <hyperlink r:id="rId391" ref="AS876"/>
    <hyperlink r:id="rId392" ref="AU877"/>
  </hyperlinks>
  <drawing r:id="rId39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1.22" defaultRowHeight="15.0"/>
  <cols>
    <col customWidth="1" min="1" max="2" width="5.78"/>
    <col customWidth="1" min="3" max="3" width="14.78"/>
    <col customWidth="1" min="4" max="4" width="23.78"/>
    <col customWidth="1" min="5" max="5" width="15.44"/>
    <col customWidth="1" min="6" max="6" width="16.0"/>
    <col customWidth="1" min="7" max="7" width="42.67"/>
    <col customWidth="1" min="8" max="8" width="50.33"/>
    <col customWidth="1" min="9" max="9" width="17.11"/>
    <col customWidth="1" min="10" max="11" width="11.11"/>
    <col customWidth="1" min="12" max="12" width="34.44"/>
    <col customWidth="1" min="13" max="13" width="28.0"/>
    <col customWidth="1" min="14" max="14" width="17.0"/>
    <col customWidth="1" min="15" max="15" width="26.78"/>
    <col customWidth="1" min="16" max="18" width="17.11"/>
    <col customWidth="1" min="19" max="19" width="20.11"/>
    <col customWidth="1" min="20" max="20" width="15.78"/>
    <col customWidth="1" min="21" max="21" width="11.11"/>
    <col customWidth="1" min="22" max="22" width="18.11"/>
    <col customWidth="1" min="23" max="23" width="22.78"/>
    <col customWidth="1" min="24" max="24" width="19.11"/>
    <col customWidth="1" min="25" max="25" width="23.44"/>
    <col customWidth="1" min="26" max="26" width="11.11"/>
    <col customWidth="1" min="27" max="28" width="27.0"/>
    <col customWidth="1" min="29" max="29" width="170.11"/>
    <col customWidth="1" min="30" max="30" width="63.0"/>
    <col customWidth="1" min="31" max="31" width="37.78"/>
    <col customWidth="1" min="32" max="32" width="16.44"/>
    <col customWidth="1" min="33" max="33" width="11.11"/>
  </cols>
  <sheetData>
    <row r="1" ht="38.25" customHeight="1">
      <c r="A1" s="232" t="s">
        <v>3233</v>
      </c>
      <c r="B1" s="233" t="s">
        <v>38</v>
      </c>
      <c r="C1" s="234" t="s">
        <v>51</v>
      </c>
      <c r="D1" s="234" t="s">
        <v>53</v>
      </c>
      <c r="E1" s="234" t="s">
        <v>10</v>
      </c>
      <c r="F1" s="235" t="s">
        <v>56</v>
      </c>
      <c r="G1" s="234" t="s">
        <v>6002</v>
      </c>
      <c r="H1" s="234" t="s">
        <v>7782</v>
      </c>
      <c r="I1" s="236" t="s">
        <v>6004</v>
      </c>
      <c r="J1" s="236" t="s">
        <v>6005</v>
      </c>
      <c r="K1" s="236" t="s">
        <v>6006</v>
      </c>
      <c r="L1" s="234" t="s">
        <v>6001</v>
      </c>
      <c r="M1" s="234" t="s">
        <v>7783</v>
      </c>
      <c r="N1" s="234"/>
      <c r="O1" s="234" t="s">
        <v>7784</v>
      </c>
      <c r="P1" s="234" t="s">
        <v>6016</v>
      </c>
      <c r="Q1" s="237" t="s">
        <v>6017</v>
      </c>
      <c r="R1" s="237" t="s">
        <v>6018</v>
      </c>
      <c r="S1" s="237" t="s">
        <v>6018</v>
      </c>
      <c r="T1" s="234" t="s">
        <v>6019</v>
      </c>
      <c r="U1" s="234" t="s">
        <v>6020</v>
      </c>
      <c r="V1" s="234" t="s">
        <v>6021</v>
      </c>
      <c r="W1" s="234" t="s">
        <v>6022</v>
      </c>
      <c r="X1" s="234" t="s">
        <v>6023</v>
      </c>
      <c r="Y1" s="234" t="s">
        <v>114</v>
      </c>
      <c r="Z1" s="234" t="s">
        <v>116</v>
      </c>
      <c r="AA1" s="234" t="s">
        <v>118</v>
      </c>
      <c r="AB1" s="234" t="s">
        <v>6026</v>
      </c>
      <c r="AC1" s="234" t="s">
        <v>125</v>
      </c>
      <c r="AD1" s="234" t="s">
        <v>6027</v>
      </c>
      <c r="AE1" s="234" t="s">
        <v>129</v>
      </c>
      <c r="AF1" s="234" t="s">
        <v>131</v>
      </c>
      <c r="AG1" s="234"/>
    </row>
    <row r="2">
      <c r="A2" s="238">
        <v>2025.0</v>
      </c>
      <c r="B2" s="230">
        <v>1.0</v>
      </c>
      <c r="C2" s="153" t="s">
        <v>143</v>
      </c>
      <c r="D2" s="153" t="s">
        <v>381</v>
      </c>
      <c r="E2" s="153" t="s">
        <v>2585</v>
      </c>
      <c r="F2" s="153" t="s">
        <v>2586</v>
      </c>
      <c r="G2" s="158" t="s">
        <v>149</v>
      </c>
      <c r="H2" s="158" t="s">
        <v>2587</v>
      </c>
      <c r="I2" s="230">
        <v>2021.0</v>
      </c>
      <c r="J2" s="192" t="s">
        <v>149</v>
      </c>
      <c r="K2" s="192" t="s">
        <v>149</v>
      </c>
      <c r="L2" s="153" t="s">
        <v>151</v>
      </c>
      <c r="M2" s="158" t="s">
        <v>789</v>
      </c>
      <c r="N2" s="158" t="s">
        <v>789</v>
      </c>
      <c r="O2" s="158" t="s">
        <v>6034</v>
      </c>
      <c r="P2" s="158" t="s">
        <v>149</v>
      </c>
      <c r="Q2" s="158" t="s">
        <v>149</v>
      </c>
      <c r="R2" s="158" t="s">
        <v>149</v>
      </c>
      <c r="S2" s="158" t="s">
        <v>149</v>
      </c>
      <c r="T2" s="158" t="s">
        <v>149</v>
      </c>
      <c r="U2" s="158" t="s">
        <v>149</v>
      </c>
      <c r="V2" s="158" t="s">
        <v>149</v>
      </c>
      <c r="W2" s="153" t="s">
        <v>390</v>
      </c>
      <c r="X2" s="153" t="s">
        <v>6035</v>
      </c>
      <c r="Y2" s="158" t="s">
        <v>6036</v>
      </c>
      <c r="Z2" s="153"/>
      <c r="AA2" s="158" t="s">
        <v>2590</v>
      </c>
      <c r="AB2" s="153" t="s">
        <v>6038</v>
      </c>
      <c r="AC2" s="153" t="s">
        <v>6039</v>
      </c>
      <c r="AD2" s="165" t="s">
        <v>2592</v>
      </c>
      <c r="AE2" s="153"/>
      <c r="AF2" s="153"/>
      <c r="AG2" s="153"/>
    </row>
    <row r="3">
      <c r="A3" s="238">
        <v>2025.0</v>
      </c>
      <c r="B3" s="230">
        <v>2.0</v>
      </c>
      <c r="C3" s="153" t="s">
        <v>143</v>
      </c>
      <c r="D3" s="153" t="s">
        <v>381</v>
      </c>
      <c r="E3" s="153" t="s">
        <v>2363</v>
      </c>
      <c r="F3" s="153" t="s">
        <v>2364</v>
      </c>
      <c r="G3" s="158" t="s">
        <v>149</v>
      </c>
      <c r="H3" s="153" t="s">
        <v>2365</v>
      </c>
      <c r="I3" s="230">
        <v>2023.0</v>
      </c>
      <c r="J3" s="192" t="s">
        <v>149</v>
      </c>
      <c r="K3" s="192" t="s">
        <v>149</v>
      </c>
      <c r="L3" s="153" t="s">
        <v>151</v>
      </c>
      <c r="M3" s="153" t="s">
        <v>7785</v>
      </c>
      <c r="N3" s="153" t="s">
        <v>7786</v>
      </c>
      <c r="O3" s="158" t="s">
        <v>6046</v>
      </c>
      <c r="P3" s="153" t="s">
        <v>2367</v>
      </c>
      <c r="Q3" s="158" t="s">
        <v>160</v>
      </c>
      <c r="R3" s="158" t="s">
        <v>184</v>
      </c>
      <c r="S3" s="158" t="s">
        <v>159</v>
      </c>
      <c r="T3" s="158" t="s">
        <v>149</v>
      </c>
      <c r="U3" s="171" t="s">
        <v>149</v>
      </c>
      <c r="V3" s="171" t="s">
        <v>149</v>
      </c>
      <c r="W3" s="153" t="s">
        <v>7787</v>
      </c>
      <c r="X3" s="153" t="s">
        <v>184</v>
      </c>
      <c r="Y3" s="153" t="s">
        <v>6048</v>
      </c>
      <c r="Z3" s="153" t="s">
        <v>2371</v>
      </c>
      <c r="AA3" s="153"/>
      <c r="AB3" s="158" t="s">
        <v>166</v>
      </c>
      <c r="AC3" s="153" t="s">
        <v>2372</v>
      </c>
      <c r="AD3" s="172" t="s">
        <v>2373</v>
      </c>
      <c r="AE3" s="153"/>
      <c r="AF3" s="239"/>
      <c r="AG3" s="153"/>
    </row>
    <row r="4">
      <c r="A4" s="238">
        <v>2025.0</v>
      </c>
      <c r="B4" s="230">
        <v>3.0</v>
      </c>
      <c r="C4" s="153" t="s">
        <v>143</v>
      </c>
      <c r="D4" s="153" t="s">
        <v>381</v>
      </c>
      <c r="E4" s="153" t="s">
        <v>7788</v>
      </c>
      <c r="F4" s="153" t="s">
        <v>383</v>
      </c>
      <c r="G4" s="153" t="s">
        <v>384</v>
      </c>
      <c r="H4" s="153" t="s">
        <v>385</v>
      </c>
      <c r="I4" s="230">
        <v>1986.0</v>
      </c>
      <c r="J4" s="230">
        <v>1985.0</v>
      </c>
      <c r="K4" s="192">
        <v>1987.0</v>
      </c>
      <c r="L4" s="153" t="s">
        <v>151</v>
      </c>
      <c r="M4" s="153" t="s">
        <v>6054</v>
      </c>
      <c r="N4" s="158" t="s">
        <v>6054</v>
      </c>
      <c r="O4" s="158" t="s">
        <v>149</v>
      </c>
      <c r="P4" s="153" t="s">
        <v>390</v>
      </c>
      <c r="Q4" s="158" t="s">
        <v>160</v>
      </c>
      <c r="R4" s="158" t="s">
        <v>6035</v>
      </c>
      <c r="S4" s="158" t="s">
        <v>159</v>
      </c>
      <c r="T4" s="158" t="s">
        <v>149</v>
      </c>
      <c r="U4" s="158" t="s">
        <v>149</v>
      </c>
      <c r="V4" s="153" t="s">
        <v>391</v>
      </c>
      <c r="W4" s="153" t="s">
        <v>390</v>
      </c>
      <c r="X4" s="153" t="s">
        <v>6035</v>
      </c>
      <c r="Y4" s="153" t="s">
        <v>6055</v>
      </c>
      <c r="Z4" s="153"/>
      <c r="AA4" s="153" t="s">
        <v>6056</v>
      </c>
      <c r="AB4" s="158" t="s">
        <v>395</v>
      </c>
      <c r="AC4" s="153" t="s">
        <v>6060</v>
      </c>
      <c r="AD4" s="177" t="s">
        <v>397</v>
      </c>
      <c r="AE4" s="153" t="s">
        <v>398</v>
      </c>
      <c r="AF4" s="153"/>
      <c r="AG4" s="153"/>
    </row>
    <row r="5">
      <c r="A5" s="238">
        <v>2025.0</v>
      </c>
      <c r="B5" s="230">
        <v>4.0</v>
      </c>
      <c r="C5" s="153" t="s">
        <v>143</v>
      </c>
      <c r="D5" s="153" t="s">
        <v>381</v>
      </c>
      <c r="E5" s="153" t="s">
        <v>1681</v>
      </c>
      <c r="F5" s="153" t="s">
        <v>1682</v>
      </c>
      <c r="G5" s="153" t="s">
        <v>1683</v>
      </c>
      <c r="H5" s="153"/>
      <c r="I5" s="192">
        <v>2015.0</v>
      </c>
      <c r="J5" s="230">
        <v>2014.0</v>
      </c>
      <c r="K5" s="230">
        <v>2016.0</v>
      </c>
      <c r="L5" s="153" t="s">
        <v>6062</v>
      </c>
      <c r="M5" s="153" t="s">
        <v>320</v>
      </c>
      <c r="N5" s="158" t="s">
        <v>179</v>
      </c>
      <c r="O5" s="158" t="s">
        <v>6067</v>
      </c>
      <c r="P5" s="153" t="s">
        <v>321</v>
      </c>
      <c r="Q5" s="158" t="s">
        <v>160</v>
      </c>
      <c r="R5" s="158" t="s">
        <v>6035</v>
      </c>
      <c r="S5" s="158" t="s">
        <v>159</v>
      </c>
      <c r="T5" s="158" t="s">
        <v>149</v>
      </c>
      <c r="U5" s="158" t="s">
        <v>149</v>
      </c>
      <c r="V5" s="153" t="s">
        <v>1685</v>
      </c>
      <c r="W5" s="153" t="s">
        <v>1686</v>
      </c>
      <c r="X5" s="158" t="s">
        <v>6068</v>
      </c>
      <c r="Y5" s="153"/>
      <c r="Z5" s="153"/>
      <c r="AA5" s="153"/>
      <c r="AB5" s="158" t="s">
        <v>6069</v>
      </c>
      <c r="AC5" s="153" t="s">
        <v>1300</v>
      </c>
      <c r="AD5" s="153" t="s">
        <v>6070</v>
      </c>
      <c r="AE5" s="153"/>
      <c r="AF5" s="153"/>
      <c r="AG5" s="153"/>
    </row>
    <row r="6">
      <c r="A6" s="238">
        <v>2025.0</v>
      </c>
      <c r="B6" s="230">
        <v>5.0</v>
      </c>
      <c r="C6" s="153" t="s">
        <v>143</v>
      </c>
      <c r="D6" s="153" t="s">
        <v>381</v>
      </c>
      <c r="E6" s="153" t="s">
        <v>400</v>
      </c>
      <c r="F6" s="153" t="s">
        <v>401</v>
      </c>
      <c r="G6" s="153" t="s">
        <v>384</v>
      </c>
      <c r="H6" s="153" t="s">
        <v>7789</v>
      </c>
      <c r="I6" s="230">
        <v>1986.0</v>
      </c>
      <c r="J6" s="230">
        <v>1985.0</v>
      </c>
      <c r="K6" s="230">
        <v>1987.0</v>
      </c>
      <c r="L6" s="153" t="s">
        <v>151</v>
      </c>
      <c r="M6" s="153" t="s">
        <v>6054</v>
      </c>
      <c r="N6" s="158" t="s">
        <v>6054</v>
      </c>
      <c r="O6" s="158" t="s">
        <v>149</v>
      </c>
      <c r="P6" s="153" t="s">
        <v>390</v>
      </c>
      <c r="Q6" s="158" t="s">
        <v>160</v>
      </c>
      <c r="R6" s="158" t="s">
        <v>6035</v>
      </c>
      <c r="S6" s="158" t="s">
        <v>159</v>
      </c>
      <c r="T6" s="158" t="s">
        <v>149</v>
      </c>
      <c r="U6" s="158" t="s">
        <v>149</v>
      </c>
      <c r="V6" s="153" t="s">
        <v>391</v>
      </c>
      <c r="W6" s="153" t="s">
        <v>390</v>
      </c>
      <c r="X6" s="153" t="s">
        <v>6035</v>
      </c>
      <c r="Y6" s="153" t="s">
        <v>6055</v>
      </c>
      <c r="Z6" s="153"/>
      <c r="AA6" s="153"/>
      <c r="AB6" s="158" t="s">
        <v>395</v>
      </c>
      <c r="AC6" s="153" t="s">
        <v>6060</v>
      </c>
      <c r="AD6" s="177" t="s">
        <v>397</v>
      </c>
      <c r="AE6" s="153" t="s">
        <v>398</v>
      </c>
      <c r="AF6" s="153"/>
      <c r="AG6" s="153"/>
    </row>
    <row r="7">
      <c r="A7" s="238">
        <v>2025.0</v>
      </c>
      <c r="B7" s="230">
        <v>6.0</v>
      </c>
      <c r="C7" s="153" t="s">
        <v>143</v>
      </c>
      <c r="D7" s="153" t="s">
        <v>404</v>
      </c>
      <c r="E7" s="153" t="s">
        <v>405</v>
      </c>
      <c r="F7" s="153" t="s">
        <v>406</v>
      </c>
      <c r="G7" s="153" t="s">
        <v>384</v>
      </c>
      <c r="H7" s="153" t="s">
        <v>2836</v>
      </c>
      <c r="I7" s="230">
        <v>1982.0</v>
      </c>
      <c r="J7" s="230">
        <v>1985.0</v>
      </c>
      <c r="K7" s="230">
        <v>1987.0</v>
      </c>
      <c r="L7" s="153" t="s">
        <v>151</v>
      </c>
      <c r="M7" s="153" t="s">
        <v>6076</v>
      </c>
      <c r="N7" s="158" t="s">
        <v>6076</v>
      </c>
      <c r="O7" s="158" t="s">
        <v>149</v>
      </c>
      <c r="P7" s="153" t="s">
        <v>390</v>
      </c>
      <c r="Q7" s="158" t="s">
        <v>160</v>
      </c>
      <c r="R7" s="158" t="s">
        <v>6035</v>
      </c>
      <c r="S7" s="158" t="s">
        <v>159</v>
      </c>
      <c r="T7" s="158" t="s">
        <v>149</v>
      </c>
      <c r="U7" s="158" t="s">
        <v>149</v>
      </c>
      <c r="V7" s="153" t="s">
        <v>7790</v>
      </c>
      <c r="W7" s="153" t="s">
        <v>390</v>
      </c>
      <c r="X7" s="153" t="s">
        <v>6035</v>
      </c>
      <c r="Y7" s="153" t="s">
        <v>6055</v>
      </c>
      <c r="Z7" s="153"/>
      <c r="AA7" s="153"/>
      <c r="AB7" s="158" t="s">
        <v>395</v>
      </c>
      <c r="AC7" s="153" t="s">
        <v>6060</v>
      </c>
      <c r="AD7" s="177" t="s">
        <v>397</v>
      </c>
      <c r="AE7" s="153" t="s">
        <v>398</v>
      </c>
      <c r="AF7" s="153"/>
      <c r="AG7" s="153"/>
    </row>
    <row r="8">
      <c r="A8" s="238">
        <v>2025.0</v>
      </c>
      <c r="B8" s="230">
        <v>7.0</v>
      </c>
      <c r="C8" s="153" t="s">
        <v>143</v>
      </c>
      <c r="D8" s="153" t="s">
        <v>404</v>
      </c>
      <c r="E8" s="153" t="s">
        <v>405</v>
      </c>
      <c r="F8" s="153" t="s">
        <v>406</v>
      </c>
      <c r="G8" s="153" t="s">
        <v>384</v>
      </c>
      <c r="H8" s="153" t="s">
        <v>2836</v>
      </c>
      <c r="I8" s="230">
        <v>1983.0</v>
      </c>
      <c r="J8" s="192">
        <v>1985.0</v>
      </c>
      <c r="K8" s="192">
        <v>1987.0</v>
      </c>
      <c r="L8" s="153" t="s">
        <v>151</v>
      </c>
      <c r="M8" s="153" t="s">
        <v>6079</v>
      </c>
      <c r="N8" s="158" t="s">
        <v>6079</v>
      </c>
      <c r="O8" s="158" t="s">
        <v>149</v>
      </c>
      <c r="P8" s="153" t="s">
        <v>390</v>
      </c>
      <c r="Q8" s="158" t="s">
        <v>160</v>
      </c>
      <c r="R8" s="158" t="s">
        <v>6035</v>
      </c>
      <c r="S8" s="158" t="s">
        <v>159</v>
      </c>
      <c r="T8" s="158" t="s">
        <v>149</v>
      </c>
      <c r="U8" s="158" t="s">
        <v>149</v>
      </c>
      <c r="V8" s="158" t="s">
        <v>2843</v>
      </c>
      <c r="W8" s="153" t="s">
        <v>390</v>
      </c>
      <c r="X8" s="153" t="s">
        <v>6035</v>
      </c>
      <c r="Y8" s="153" t="s">
        <v>6055</v>
      </c>
      <c r="Z8" s="153"/>
      <c r="AA8" s="153"/>
      <c r="AB8" s="153" t="s">
        <v>6084</v>
      </c>
      <c r="AC8" s="153" t="s">
        <v>7791</v>
      </c>
      <c r="AD8" s="165" t="s">
        <v>6080</v>
      </c>
      <c r="AE8" s="153"/>
      <c r="AF8" s="153"/>
      <c r="AG8" s="153"/>
    </row>
    <row r="9">
      <c r="A9" s="238">
        <v>2025.0</v>
      </c>
      <c r="B9" s="230">
        <v>8.0</v>
      </c>
      <c r="C9" s="153" t="s">
        <v>143</v>
      </c>
      <c r="D9" s="153" t="s">
        <v>404</v>
      </c>
      <c r="E9" s="153" t="s">
        <v>405</v>
      </c>
      <c r="F9" s="153" t="s">
        <v>406</v>
      </c>
      <c r="G9" s="153" t="s">
        <v>384</v>
      </c>
      <c r="H9" s="153" t="s">
        <v>407</v>
      </c>
      <c r="I9" s="230">
        <v>1986.0</v>
      </c>
      <c r="J9" s="230">
        <v>1985.0</v>
      </c>
      <c r="K9" s="230">
        <v>1987.0</v>
      </c>
      <c r="L9" s="153" t="s">
        <v>151</v>
      </c>
      <c r="M9" s="153" t="s">
        <v>6054</v>
      </c>
      <c r="N9" s="158" t="s">
        <v>6054</v>
      </c>
      <c r="O9" s="158" t="s">
        <v>149</v>
      </c>
      <c r="P9" s="153" t="s">
        <v>390</v>
      </c>
      <c r="Q9" s="158" t="s">
        <v>160</v>
      </c>
      <c r="R9" s="158" t="s">
        <v>6035</v>
      </c>
      <c r="S9" s="158" t="s">
        <v>159</v>
      </c>
      <c r="T9" s="158" t="s">
        <v>149</v>
      </c>
      <c r="U9" s="158" t="s">
        <v>149</v>
      </c>
      <c r="V9" s="153" t="s">
        <v>391</v>
      </c>
      <c r="W9" s="153" t="s">
        <v>390</v>
      </c>
      <c r="X9" s="153" t="s">
        <v>6035</v>
      </c>
      <c r="Y9" s="153" t="s">
        <v>6055</v>
      </c>
      <c r="Z9" s="153"/>
      <c r="AA9" s="153"/>
      <c r="AB9" s="158" t="s">
        <v>395</v>
      </c>
      <c r="AC9" s="153" t="s">
        <v>6060</v>
      </c>
      <c r="AD9" s="177" t="s">
        <v>397</v>
      </c>
      <c r="AE9" s="153" t="s">
        <v>398</v>
      </c>
      <c r="AF9" s="153"/>
      <c r="AG9" s="153"/>
    </row>
    <row r="10">
      <c r="A10" s="238">
        <v>2025.0</v>
      </c>
      <c r="B10" s="230">
        <v>9.0</v>
      </c>
      <c r="C10" s="153" t="s">
        <v>143</v>
      </c>
      <c r="D10" s="153" t="s">
        <v>404</v>
      </c>
      <c r="E10" s="153" t="s">
        <v>405</v>
      </c>
      <c r="F10" s="153" t="s">
        <v>406</v>
      </c>
      <c r="G10" s="153" t="s">
        <v>384</v>
      </c>
      <c r="H10" s="153" t="s">
        <v>409</v>
      </c>
      <c r="I10" s="230">
        <v>1986.0</v>
      </c>
      <c r="J10" s="230">
        <v>1985.0</v>
      </c>
      <c r="K10" s="230">
        <v>1987.0</v>
      </c>
      <c r="L10" s="153" t="s">
        <v>151</v>
      </c>
      <c r="M10" s="153" t="s">
        <v>6054</v>
      </c>
      <c r="N10" s="158" t="s">
        <v>6054</v>
      </c>
      <c r="O10" s="158" t="s">
        <v>149</v>
      </c>
      <c r="P10" s="153" t="s">
        <v>390</v>
      </c>
      <c r="Q10" s="158" t="s">
        <v>160</v>
      </c>
      <c r="R10" s="158" t="s">
        <v>6035</v>
      </c>
      <c r="S10" s="158" t="s">
        <v>159</v>
      </c>
      <c r="T10" s="158" t="s">
        <v>149</v>
      </c>
      <c r="U10" s="158" t="s">
        <v>149</v>
      </c>
      <c r="V10" s="153" t="s">
        <v>391</v>
      </c>
      <c r="W10" s="153" t="s">
        <v>390</v>
      </c>
      <c r="X10" s="153" t="s">
        <v>6035</v>
      </c>
      <c r="Y10" s="153" t="s">
        <v>6055</v>
      </c>
      <c r="Z10" s="153"/>
      <c r="AA10" s="153" t="s">
        <v>6056</v>
      </c>
      <c r="AB10" s="158" t="s">
        <v>395</v>
      </c>
      <c r="AC10" s="153" t="s">
        <v>6060</v>
      </c>
      <c r="AD10" s="177" t="s">
        <v>397</v>
      </c>
      <c r="AE10" s="153" t="s">
        <v>398</v>
      </c>
      <c r="AF10" s="153"/>
      <c r="AG10" s="153"/>
    </row>
    <row r="11">
      <c r="A11" s="238">
        <v>2025.0</v>
      </c>
      <c r="B11" s="230">
        <v>10.0</v>
      </c>
      <c r="C11" s="153" t="s">
        <v>143</v>
      </c>
      <c r="D11" s="153" t="s">
        <v>404</v>
      </c>
      <c r="E11" s="153" t="s">
        <v>405</v>
      </c>
      <c r="F11" s="153" t="s">
        <v>406</v>
      </c>
      <c r="G11" s="183" t="s">
        <v>149</v>
      </c>
      <c r="H11" s="153" t="s">
        <v>6090</v>
      </c>
      <c r="I11" s="230">
        <v>2013.0</v>
      </c>
      <c r="J11" s="192" t="s">
        <v>149</v>
      </c>
      <c r="K11" s="192" t="s">
        <v>149</v>
      </c>
      <c r="L11" s="153" t="s">
        <v>151</v>
      </c>
      <c r="M11" s="158" t="s">
        <v>153</v>
      </c>
      <c r="N11" s="158" t="s">
        <v>153</v>
      </c>
      <c r="O11" s="158" t="s">
        <v>149</v>
      </c>
      <c r="P11" s="158" t="s">
        <v>390</v>
      </c>
      <c r="Q11" s="158" t="s">
        <v>160</v>
      </c>
      <c r="R11" s="158" t="s">
        <v>6035</v>
      </c>
      <c r="S11" s="158" t="s">
        <v>159</v>
      </c>
      <c r="T11" s="158" t="s">
        <v>149</v>
      </c>
      <c r="U11" s="158" t="s">
        <v>149</v>
      </c>
      <c r="V11" s="158" t="s">
        <v>149</v>
      </c>
      <c r="W11" s="158" t="s">
        <v>390</v>
      </c>
      <c r="X11" s="153" t="s">
        <v>6035</v>
      </c>
      <c r="Y11" s="158" t="s">
        <v>369</v>
      </c>
      <c r="Z11" s="153"/>
      <c r="AA11" s="153"/>
      <c r="AB11" s="158" t="s">
        <v>6091</v>
      </c>
      <c r="AC11" s="153" t="s">
        <v>6092</v>
      </c>
      <c r="AD11" s="172" t="s">
        <v>2599</v>
      </c>
      <c r="AE11" s="153"/>
      <c r="AF11" s="153"/>
      <c r="AG11" s="153"/>
    </row>
    <row r="12">
      <c r="A12" s="238">
        <v>2025.0</v>
      </c>
      <c r="B12" s="230">
        <v>11.0</v>
      </c>
      <c r="C12" s="153" t="s">
        <v>143</v>
      </c>
      <c r="D12" s="153" t="s">
        <v>404</v>
      </c>
      <c r="E12" s="153" t="s">
        <v>7792</v>
      </c>
      <c r="F12" s="153" t="s">
        <v>412</v>
      </c>
      <c r="G12" s="153" t="s">
        <v>384</v>
      </c>
      <c r="H12" s="153" t="s">
        <v>413</v>
      </c>
      <c r="I12" s="230">
        <v>1986.0</v>
      </c>
      <c r="J12" s="230">
        <v>1985.0</v>
      </c>
      <c r="K12" s="230">
        <v>1987.0</v>
      </c>
      <c r="L12" s="153" t="s">
        <v>151</v>
      </c>
      <c r="M12" s="153" t="s">
        <v>6054</v>
      </c>
      <c r="N12" s="158" t="s">
        <v>6054</v>
      </c>
      <c r="O12" s="158" t="s">
        <v>149</v>
      </c>
      <c r="P12" s="153" t="s">
        <v>390</v>
      </c>
      <c r="Q12" s="158" t="s">
        <v>160</v>
      </c>
      <c r="R12" s="158" t="s">
        <v>6035</v>
      </c>
      <c r="S12" s="158" t="s">
        <v>159</v>
      </c>
      <c r="T12" s="158" t="s">
        <v>149</v>
      </c>
      <c r="U12" s="158" t="s">
        <v>149</v>
      </c>
      <c r="V12" s="153" t="s">
        <v>414</v>
      </c>
      <c r="W12" s="153" t="s">
        <v>390</v>
      </c>
      <c r="X12" s="153" t="s">
        <v>6035</v>
      </c>
      <c r="Y12" s="153" t="s">
        <v>6055</v>
      </c>
      <c r="Z12" s="153"/>
      <c r="AA12" s="153" t="s">
        <v>6056</v>
      </c>
      <c r="AB12" s="158" t="s">
        <v>395</v>
      </c>
      <c r="AC12" s="153" t="s">
        <v>6060</v>
      </c>
      <c r="AD12" s="177" t="s">
        <v>397</v>
      </c>
      <c r="AE12" s="153" t="s">
        <v>398</v>
      </c>
      <c r="AF12" s="153"/>
      <c r="AG12" s="153"/>
    </row>
    <row r="13">
      <c r="A13" s="238">
        <v>2025.0</v>
      </c>
      <c r="B13" s="230">
        <v>12.0</v>
      </c>
      <c r="C13" s="153" t="s">
        <v>143</v>
      </c>
      <c r="D13" s="153" t="s">
        <v>404</v>
      </c>
      <c r="E13" s="153" t="s">
        <v>7793</v>
      </c>
      <c r="F13" s="153" t="s">
        <v>412</v>
      </c>
      <c r="G13" s="158" t="s">
        <v>149</v>
      </c>
      <c r="H13" s="158" t="s">
        <v>3047</v>
      </c>
      <c r="I13" s="230">
        <v>2018.0</v>
      </c>
      <c r="J13" s="192" t="s">
        <v>149</v>
      </c>
      <c r="K13" s="192" t="s">
        <v>149</v>
      </c>
      <c r="L13" s="153" t="s">
        <v>151</v>
      </c>
      <c r="M13" s="158" t="s">
        <v>153</v>
      </c>
      <c r="N13" s="158" t="s">
        <v>153</v>
      </c>
      <c r="O13" s="158" t="s">
        <v>149</v>
      </c>
      <c r="P13" s="153" t="s">
        <v>390</v>
      </c>
      <c r="Q13" s="158" t="s">
        <v>160</v>
      </c>
      <c r="R13" s="158" t="s">
        <v>6035</v>
      </c>
      <c r="S13" s="158" t="s">
        <v>159</v>
      </c>
      <c r="T13" s="158" t="s">
        <v>149</v>
      </c>
      <c r="U13" s="158" t="s">
        <v>149</v>
      </c>
      <c r="V13" s="158" t="s">
        <v>149</v>
      </c>
      <c r="W13" s="158" t="s">
        <v>390</v>
      </c>
      <c r="X13" s="153" t="s">
        <v>6035</v>
      </c>
      <c r="Y13" s="158" t="s">
        <v>3048</v>
      </c>
      <c r="Z13" s="153"/>
      <c r="AA13" s="153"/>
      <c r="AB13" s="158" t="s">
        <v>6038</v>
      </c>
      <c r="AC13" s="158" t="s">
        <v>6100</v>
      </c>
      <c r="AD13" s="177" t="s">
        <v>3050</v>
      </c>
      <c r="AE13" s="153"/>
      <c r="AF13" s="153"/>
      <c r="AG13" s="153"/>
    </row>
    <row r="14">
      <c r="A14" s="238">
        <v>2025.0</v>
      </c>
      <c r="B14" s="230">
        <v>13.0</v>
      </c>
      <c r="C14" s="153" t="s">
        <v>143</v>
      </c>
      <c r="D14" s="153" t="s">
        <v>404</v>
      </c>
      <c r="E14" s="153" t="s">
        <v>416</v>
      </c>
      <c r="F14" s="153" t="s">
        <v>417</v>
      </c>
      <c r="G14" s="153" t="s">
        <v>384</v>
      </c>
      <c r="H14" s="153" t="s">
        <v>418</v>
      </c>
      <c r="I14" s="230">
        <v>1986.0</v>
      </c>
      <c r="J14" s="230">
        <v>1985.0</v>
      </c>
      <c r="K14" s="230">
        <v>1987.0</v>
      </c>
      <c r="L14" s="153" t="s">
        <v>151</v>
      </c>
      <c r="M14" s="153" t="s">
        <v>6054</v>
      </c>
      <c r="N14" s="158" t="s">
        <v>6054</v>
      </c>
      <c r="O14" s="158" t="s">
        <v>149</v>
      </c>
      <c r="P14" s="153" t="s">
        <v>390</v>
      </c>
      <c r="Q14" s="158" t="s">
        <v>160</v>
      </c>
      <c r="R14" s="158" t="s">
        <v>6035</v>
      </c>
      <c r="S14" s="158" t="s">
        <v>159</v>
      </c>
      <c r="T14" s="158" t="s">
        <v>149</v>
      </c>
      <c r="U14" s="158" t="s">
        <v>149</v>
      </c>
      <c r="V14" s="153" t="s">
        <v>414</v>
      </c>
      <c r="W14" s="153" t="s">
        <v>390</v>
      </c>
      <c r="X14" s="153" t="s">
        <v>6035</v>
      </c>
      <c r="Y14" s="153" t="s">
        <v>6055</v>
      </c>
      <c r="Z14" s="153"/>
      <c r="AA14" s="153" t="s">
        <v>6056</v>
      </c>
      <c r="AB14" s="158" t="s">
        <v>395</v>
      </c>
      <c r="AC14" s="153" t="s">
        <v>6060</v>
      </c>
      <c r="AD14" s="177" t="s">
        <v>397</v>
      </c>
      <c r="AE14" s="153" t="s">
        <v>398</v>
      </c>
      <c r="AF14" s="153"/>
      <c r="AG14" s="153"/>
    </row>
    <row r="15">
      <c r="A15" s="238">
        <v>2025.0</v>
      </c>
      <c r="B15" s="230">
        <v>14.0</v>
      </c>
      <c r="C15" s="153" t="s">
        <v>143</v>
      </c>
      <c r="D15" s="153" t="s">
        <v>404</v>
      </c>
      <c r="E15" s="153" t="s">
        <v>420</v>
      </c>
      <c r="F15" s="153" t="s">
        <v>421</v>
      </c>
      <c r="G15" s="153" t="s">
        <v>384</v>
      </c>
      <c r="H15" s="153" t="s">
        <v>422</v>
      </c>
      <c r="I15" s="230">
        <v>1986.0</v>
      </c>
      <c r="J15" s="230">
        <v>1985.0</v>
      </c>
      <c r="K15" s="230">
        <v>1987.0</v>
      </c>
      <c r="L15" s="153" t="s">
        <v>151</v>
      </c>
      <c r="M15" s="153" t="s">
        <v>6054</v>
      </c>
      <c r="N15" s="158" t="s">
        <v>6054</v>
      </c>
      <c r="O15" s="158" t="s">
        <v>149</v>
      </c>
      <c r="P15" s="153" t="s">
        <v>390</v>
      </c>
      <c r="Q15" s="158" t="s">
        <v>160</v>
      </c>
      <c r="R15" s="158" t="s">
        <v>6035</v>
      </c>
      <c r="S15" s="158" t="s">
        <v>159</v>
      </c>
      <c r="T15" s="158" t="s">
        <v>149</v>
      </c>
      <c r="U15" s="158" t="s">
        <v>149</v>
      </c>
      <c r="V15" s="153" t="s">
        <v>414</v>
      </c>
      <c r="W15" s="153" t="s">
        <v>390</v>
      </c>
      <c r="X15" s="153" t="s">
        <v>6035</v>
      </c>
      <c r="Y15" s="153" t="s">
        <v>6055</v>
      </c>
      <c r="Z15" s="153"/>
      <c r="AA15" s="153" t="s">
        <v>6056</v>
      </c>
      <c r="AB15" s="158" t="s">
        <v>395</v>
      </c>
      <c r="AC15" s="153" t="s">
        <v>6060</v>
      </c>
      <c r="AD15" s="177" t="s">
        <v>397</v>
      </c>
      <c r="AE15" s="153" t="s">
        <v>398</v>
      </c>
      <c r="AF15" s="153"/>
      <c r="AG15" s="153"/>
    </row>
    <row r="16">
      <c r="A16" s="238">
        <v>2025.0</v>
      </c>
      <c r="B16" s="230">
        <v>15.0</v>
      </c>
      <c r="C16" s="153" t="s">
        <v>143</v>
      </c>
      <c r="D16" s="153" t="s">
        <v>404</v>
      </c>
      <c r="E16" s="153" t="s">
        <v>3052</v>
      </c>
      <c r="F16" s="153" t="s">
        <v>3053</v>
      </c>
      <c r="G16" s="185" t="s">
        <v>149</v>
      </c>
      <c r="H16" s="158" t="s">
        <v>3054</v>
      </c>
      <c r="I16" s="192" t="s">
        <v>149</v>
      </c>
      <c r="J16" s="192" t="s">
        <v>149</v>
      </c>
      <c r="K16" s="192" t="s">
        <v>149</v>
      </c>
      <c r="L16" s="153" t="s">
        <v>151</v>
      </c>
      <c r="M16" s="158" t="s">
        <v>2049</v>
      </c>
      <c r="N16" s="158" t="s">
        <v>2049</v>
      </c>
      <c r="O16" s="158" t="s">
        <v>149</v>
      </c>
      <c r="P16" s="158" t="s">
        <v>3055</v>
      </c>
      <c r="Q16" s="158" t="s">
        <v>160</v>
      </c>
      <c r="R16" s="158" t="s">
        <v>184</v>
      </c>
      <c r="S16" s="158" t="s">
        <v>159</v>
      </c>
      <c r="T16" s="158" t="s">
        <v>149</v>
      </c>
      <c r="U16" s="158" t="s">
        <v>149</v>
      </c>
      <c r="V16" s="158" t="s">
        <v>149</v>
      </c>
      <c r="W16" s="153" t="s">
        <v>3055</v>
      </c>
      <c r="X16" s="158" t="s">
        <v>184</v>
      </c>
      <c r="Y16" s="153"/>
      <c r="Z16" s="153"/>
      <c r="AA16" s="153"/>
      <c r="AB16" s="153" t="s">
        <v>6038</v>
      </c>
      <c r="AC16" s="153" t="s">
        <v>6105</v>
      </c>
      <c r="AD16" s="153"/>
      <c r="AE16" s="153"/>
      <c r="AF16" s="153"/>
      <c r="AG16" s="153"/>
    </row>
    <row r="17">
      <c r="A17" s="238">
        <v>2025.0</v>
      </c>
      <c r="B17" s="230">
        <v>16.0</v>
      </c>
      <c r="C17" s="153" t="s">
        <v>143</v>
      </c>
      <c r="D17" s="153" t="s">
        <v>404</v>
      </c>
      <c r="E17" s="153" t="s">
        <v>424</v>
      </c>
      <c r="F17" s="153" t="s">
        <v>425</v>
      </c>
      <c r="G17" s="153" t="s">
        <v>384</v>
      </c>
      <c r="H17" s="153" t="s">
        <v>426</v>
      </c>
      <c r="I17" s="230">
        <v>1986.0</v>
      </c>
      <c r="J17" s="230">
        <v>1985.0</v>
      </c>
      <c r="K17" s="230">
        <v>1987.0</v>
      </c>
      <c r="L17" s="153" t="s">
        <v>151</v>
      </c>
      <c r="M17" s="153" t="s">
        <v>6054</v>
      </c>
      <c r="N17" s="158" t="s">
        <v>6054</v>
      </c>
      <c r="O17" s="158" t="s">
        <v>149</v>
      </c>
      <c r="P17" s="153" t="s">
        <v>390</v>
      </c>
      <c r="Q17" s="158" t="s">
        <v>160</v>
      </c>
      <c r="R17" s="158" t="s">
        <v>6035</v>
      </c>
      <c r="S17" s="158" t="s">
        <v>159</v>
      </c>
      <c r="T17" s="158" t="s">
        <v>149</v>
      </c>
      <c r="U17" s="158" t="s">
        <v>149</v>
      </c>
      <c r="V17" s="153" t="s">
        <v>391</v>
      </c>
      <c r="W17" s="153" t="s">
        <v>390</v>
      </c>
      <c r="X17" s="153" t="s">
        <v>6035</v>
      </c>
      <c r="Y17" s="153" t="s">
        <v>6055</v>
      </c>
      <c r="Z17" s="153"/>
      <c r="AA17" s="153" t="s">
        <v>6056</v>
      </c>
      <c r="AB17" s="158" t="s">
        <v>395</v>
      </c>
      <c r="AC17" s="153" t="s">
        <v>6060</v>
      </c>
      <c r="AD17" s="177" t="s">
        <v>397</v>
      </c>
      <c r="AE17" s="153" t="s">
        <v>398</v>
      </c>
      <c r="AF17" s="153"/>
      <c r="AG17" s="153"/>
    </row>
    <row r="18">
      <c r="A18" s="238">
        <v>2025.0</v>
      </c>
      <c r="B18" s="230">
        <v>17.0</v>
      </c>
      <c r="C18" s="153" t="s">
        <v>143</v>
      </c>
      <c r="D18" s="153" t="s">
        <v>404</v>
      </c>
      <c r="E18" s="153" t="s">
        <v>428</v>
      </c>
      <c r="F18" s="153" t="s">
        <v>429</v>
      </c>
      <c r="G18" s="153" t="s">
        <v>384</v>
      </c>
      <c r="H18" s="153" t="s">
        <v>6108</v>
      </c>
      <c r="I18" s="230">
        <v>1986.0</v>
      </c>
      <c r="J18" s="230">
        <v>1985.0</v>
      </c>
      <c r="K18" s="230">
        <v>1987.0</v>
      </c>
      <c r="L18" s="153" t="s">
        <v>151</v>
      </c>
      <c r="M18" s="153" t="s">
        <v>6054</v>
      </c>
      <c r="N18" s="158" t="s">
        <v>6054</v>
      </c>
      <c r="O18" s="158" t="s">
        <v>149</v>
      </c>
      <c r="P18" s="153" t="s">
        <v>390</v>
      </c>
      <c r="Q18" s="158" t="s">
        <v>160</v>
      </c>
      <c r="R18" s="158" t="s">
        <v>6035</v>
      </c>
      <c r="S18" s="158" t="s">
        <v>159</v>
      </c>
      <c r="T18" s="158" t="s">
        <v>149</v>
      </c>
      <c r="U18" s="158" t="s">
        <v>149</v>
      </c>
      <c r="V18" s="153" t="s">
        <v>431</v>
      </c>
      <c r="W18" s="153" t="s">
        <v>390</v>
      </c>
      <c r="X18" s="153" t="s">
        <v>6035</v>
      </c>
      <c r="Y18" s="153" t="s">
        <v>6055</v>
      </c>
      <c r="Z18" s="153"/>
      <c r="AA18" s="153"/>
      <c r="AB18" s="158" t="s">
        <v>395</v>
      </c>
      <c r="AC18" s="153" t="s">
        <v>6060</v>
      </c>
      <c r="AD18" s="177" t="s">
        <v>397</v>
      </c>
      <c r="AE18" s="153" t="s">
        <v>398</v>
      </c>
      <c r="AF18" s="153"/>
      <c r="AG18" s="153"/>
    </row>
    <row r="19">
      <c r="A19" s="238">
        <v>2025.0</v>
      </c>
      <c r="B19" s="230">
        <v>18.0</v>
      </c>
      <c r="C19" s="153" t="s">
        <v>143</v>
      </c>
      <c r="D19" s="153" t="s">
        <v>404</v>
      </c>
      <c r="E19" s="158" t="s">
        <v>433</v>
      </c>
      <c r="F19" s="153" t="s">
        <v>434</v>
      </c>
      <c r="G19" s="153" t="s">
        <v>384</v>
      </c>
      <c r="H19" s="153" t="s">
        <v>435</v>
      </c>
      <c r="I19" s="230">
        <v>1986.0</v>
      </c>
      <c r="J19" s="230">
        <v>1985.0</v>
      </c>
      <c r="K19" s="230">
        <v>1987.0</v>
      </c>
      <c r="L19" s="153" t="s">
        <v>151</v>
      </c>
      <c r="M19" s="153" t="s">
        <v>6054</v>
      </c>
      <c r="N19" s="158" t="s">
        <v>6054</v>
      </c>
      <c r="O19" s="158" t="s">
        <v>149</v>
      </c>
      <c r="P19" s="153" t="s">
        <v>390</v>
      </c>
      <c r="Q19" s="158" t="s">
        <v>160</v>
      </c>
      <c r="R19" s="158" t="s">
        <v>6035</v>
      </c>
      <c r="S19" s="158" t="s">
        <v>159</v>
      </c>
      <c r="T19" s="158" t="s">
        <v>149</v>
      </c>
      <c r="U19" s="158" t="s">
        <v>149</v>
      </c>
      <c r="V19" s="153" t="s">
        <v>436</v>
      </c>
      <c r="W19" s="153" t="s">
        <v>390</v>
      </c>
      <c r="X19" s="153" t="s">
        <v>6035</v>
      </c>
      <c r="Y19" s="153" t="s">
        <v>6055</v>
      </c>
      <c r="Z19" s="153"/>
      <c r="AA19" s="153" t="s">
        <v>6056</v>
      </c>
      <c r="AB19" s="158" t="s">
        <v>395</v>
      </c>
      <c r="AC19" s="153" t="s">
        <v>6060</v>
      </c>
      <c r="AD19" s="177" t="s">
        <v>397</v>
      </c>
      <c r="AE19" s="153" t="s">
        <v>398</v>
      </c>
      <c r="AF19" s="153"/>
      <c r="AG19" s="153"/>
    </row>
    <row r="20">
      <c r="A20" s="238">
        <v>2025.0</v>
      </c>
      <c r="B20" s="230">
        <v>19.0</v>
      </c>
      <c r="C20" s="153" t="s">
        <v>143</v>
      </c>
      <c r="D20" s="153" t="s">
        <v>438</v>
      </c>
      <c r="E20" s="153" t="s">
        <v>2845</v>
      </c>
      <c r="F20" s="153" t="s">
        <v>2846</v>
      </c>
      <c r="G20" s="153" t="s">
        <v>384</v>
      </c>
      <c r="H20" s="153" t="s">
        <v>2847</v>
      </c>
      <c r="I20" s="230">
        <v>1982.0</v>
      </c>
      <c r="J20" s="230">
        <v>1985.0</v>
      </c>
      <c r="K20" s="230">
        <v>1987.0</v>
      </c>
      <c r="L20" s="153" t="s">
        <v>151</v>
      </c>
      <c r="M20" s="158" t="s">
        <v>6054</v>
      </c>
      <c r="N20" s="158" t="s">
        <v>6054</v>
      </c>
      <c r="O20" s="158" t="s">
        <v>149</v>
      </c>
      <c r="P20" s="153" t="s">
        <v>390</v>
      </c>
      <c r="Q20" s="158" t="s">
        <v>160</v>
      </c>
      <c r="R20" s="158" t="s">
        <v>6035</v>
      </c>
      <c r="S20" s="158" t="s">
        <v>159</v>
      </c>
      <c r="T20" s="158" t="s">
        <v>149</v>
      </c>
      <c r="U20" s="158" t="s">
        <v>149</v>
      </c>
      <c r="V20" s="153" t="s">
        <v>2848</v>
      </c>
      <c r="W20" s="153" t="s">
        <v>390</v>
      </c>
      <c r="X20" s="153" t="s">
        <v>6035</v>
      </c>
      <c r="Y20" s="153" t="s">
        <v>6055</v>
      </c>
      <c r="Z20" s="153"/>
      <c r="AA20" s="153"/>
      <c r="AB20" s="158" t="s">
        <v>395</v>
      </c>
      <c r="AC20" s="153" t="s">
        <v>6060</v>
      </c>
      <c r="AD20" s="177" t="s">
        <v>397</v>
      </c>
      <c r="AE20" s="153" t="s">
        <v>398</v>
      </c>
      <c r="AF20" s="153"/>
      <c r="AG20" s="153"/>
    </row>
    <row r="21" ht="15.75" customHeight="1">
      <c r="A21" s="238">
        <v>2025.0</v>
      </c>
      <c r="B21" s="230">
        <v>20.0</v>
      </c>
      <c r="C21" s="153" t="s">
        <v>143</v>
      </c>
      <c r="D21" s="153" t="s">
        <v>438</v>
      </c>
      <c r="E21" s="153" t="s">
        <v>439</v>
      </c>
      <c r="F21" s="153" t="s">
        <v>440</v>
      </c>
      <c r="G21" s="153" t="s">
        <v>384</v>
      </c>
      <c r="H21" s="153" t="s">
        <v>441</v>
      </c>
      <c r="I21" s="230">
        <v>1986.0</v>
      </c>
      <c r="J21" s="230">
        <v>1985.0</v>
      </c>
      <c r="K21" s="230">
        <v>1987.0</v>
      </c>
      <c r="L21" s="153" t="s">
        <v>151</v>
      </c>
      <c r="M21" s="153" t="s">
        <v>6054</v>
      </c>
      <c r="N21" s="158" t="s">
        <v>6054</v>
      </c>
      <c r="O21" s="158" t="s">
        <v>149</v>
      </c>
      <c r="P21" s="153" t="s">
        <v>390</v>
      </c>
      <c r="Q21" s="158" t="s">
        <v>160</v>
      </c>
      <c r="R21" s="158" t="s">
        <v>6035</v>
      </c>
      <c r="S21" s="158" t="s">
        <v>159</v>
      </c>
      <c r="T21" s="158" t="s">
        <v>149</v>
      </c>
      <c r="U21" s="158" t="s">
        <v>149</v>
      </c>
      <c r="V21" s="153" t="s">
        <v>391</v>
      </c>
      <c r="W21" s="153" t="s">
        <v>390</v>
      </c>
      <c r="X21" s="153" t="s">
        <v>6035</v>
      </c>
      <c r="Y21" s="153" t="s">
        <v>6055</v>
      </c>
      <c r="Z21" s="153"/>
      <c r="AA21" s="153"/>
      <c r="AB21" s="158" t="s">
        <v>395</v>
      </c>
      <c r="AC21" s="153" t="s">
        <v>6060</v>
      </c>
      <c r="AD21" s="177" t="s">
        <v>397</v>
      </c>
      <c r="AE21" s="153" t="s">
        <v>398</v>
      </c>
      <c r="AF21" s="153"/>
      <c r="AG21" s="153"/>
    </row>
    <row r="22" ht="15.75" customHeight="1">
      <c r="A22" s="238">
        <v>2025.0</v>
      </c>
      <c r="B22" s="230">
        <v>21.0</v>
      </c>
      <c r="C22" s="153" t="s">
        <v>143</v>
      </c>
      <c r="D22" s="153" t="s">
        <v>438</v>
      </c>
      <c r="E22" s="153" t="s">
        <v>1633</v>
      </c>
      <c r="F22" s="153" t="s">
        <v>1634</v>
      </c>
      <c r="G22" s="153" t="s">
        <v>1635</v>
      </c>
      <c r="H22" s="153"/>
      <c r="I22" s="230">
        <v>2021.0</v>
      </c>
      <c r="J22" s="192" t="s">
        <v>149</v>
      </c>
      <c r="K22" s="192" t="s">
        <v>149</v>
      </c>
      <c r="L22" s="153" t="s">
        <v>151</v>
      </c>
      <c r="M22" s="158" t="s">
        <v>153</v>
      </c>
      <c r="N22" s="158" t="s">
        <v>153</v>
      </c>
      <c r="O22" s="158" t="s">
        <v>1647</v>
      </c>
      <c r="P22" s="158" t="s">
        <v>158</v>
      </c>
      <c r="Q22" s="158" t="s">
        <v>160</v>
      </c>
      <c r="R22" s="158" t="s">
        <v>6035</v>
      </c>
      <c r="S22" s="158" t="s">
        <v>159</v>
      </c>
      <c r="T22" s="158" t="s">
        <v>149</v>
      </c>
      <c r="U22" s="158" t="s">
        <v>149</v>
      </c>
      <c r="V22" s="158" t="s">
        <v>6127</v>
      </c>
      <c r="W22" s="153" t="s">
        <v>158</v>
      </c>
      <c r="X22" s="153" t="s">
        <v>6035</v>
      </c>
      <c r="Y22" s="158" t="s">
        <v>6128</v>
      </c>
      <c r="Z22" s="158"/>
      <c r="AA22" s="158"/>
      <c r="AB22" s="158" t="s">
        <v>166</v>
      </c>
      <c r="AC22" s="153" t="s">
        <v>1640</v>
      </c>
      <c r="AD22" s="172" t="s">
        <v>1641</v>
      </c>
      <c r="AE22" s="153"/>
      <c r="AF22" s="153"/>
      <c r="AG22" s="153"/>
    </row>
    <row r="23" ht="15.75" customHeight="1">
      <c r="A23" s="238">
        <v>2025.0</v>
      </c>
      <c r="B23" s="230">
        <v>22.0</v>
      </c>
      <c r="C23" s="153" t="s">
        <v>143</v>
      </c>
      <c r="D23" s="153" t="s">
        <v>438</v>
      </c>
      <c r="E23" s="153" t="s">
        <v>6121</v>
      </c>
      <c r="F23" s="153" t="s">
        <v>1565</v>
      </c>
      <c r="G23" s="153" t="s">
        <v>6122</v>
      </c>
      <c r="H23" s="153"/>
      <c r="I23" s="230">
        <v>2021.0</v>
      </c>
      <c r="J23" s="192" t="s">
        <v>149</v>
      </c>
      <c r="K23" s="192" t="s">
        <v>149</v>
      </c>
      <c r="L23" s="153" t="s">
        <v>151</v>
      </c>
      <c r="M23" s="158" t="s">
        <v>149</v>
      </c>
      <c r="N23" s="158" t="s">
        <v>149</v>
      </c>
      <c r="O23" s="158" t="s">
        <v>6130</v>
      </c>
      <c r="P23" s="153" t="s">
        <v>6124</v>
      </c>
      <c r="Q23" s="158" t="s">
        <v>160</v>
      </c>
      <c r="R23" s="158" t="s">
        <v>271</v>
      </c>
      <c r="S23" s="158" t="s">
        <v>159</v>
      </c>
      <c r="T23" s="158" t="s">
        <v>149</v>
      </c>
      <c r="U23" s="158" t="s">
        <v>149</v>
      </c>
      <c r="V23" s="153" t="s">
        <v>1536</v>
      </c>
      <c r="W23" s="158" t="s">
        <v>6125</v>
      </c>
      <c r="X23" s="153" t="s">
        <v>6035</v>
      </c>
      <c r="Y23" s="158" t="s">
        <v>369</v>
      </c>
      <c r="Z23" s="158" t="s">
        <v>6131</v>
      </c>
      <c r="AA23" s="158"/>
      <c r="AB23" s="158" t="s">
        <v>166</v>
      </c>
      <c r="AC23" s="153" t="s">
        <v>1574</v>
      </c>
      <c r="AD23" s="165" t="s">
        <v>1575</v>
      </c>
      <c r="AE23" s="153"/>
      <c r="AF23" s="153" t="s">
        <v>1577</v>
      </c>
      <c r="AG23" s="153"/>
    </row>
    <row r="24" ht="15.75" customHeight="1">
      <c r="A24" s="238">
        <v>2025.0</v>
      </c>
      <c r="B24" s="230">
        <v>23.0</v>
      </c>
      <c r="C24" s="153" t="s">
        <v>143</v>
      </c>
      <c r="D24" s="153" t="s">
        <v>438</v>
      </c>
      <c r="E24" s="153" t="s">
        <v>6121</v>
      </c>
      <c r="F24" s="153" t="s">
        <v>1565</v>
      </c>
      <c r="G24" s="153" t="s">
        <v>1635</v>
      </c>
      <c r="H24" s="153"/>
      <c r="I24" s="230">
        <v>2021.0</v>
      </c>
      <c r="J24" s="192" t="s">
        <v>149</v>
      </c>
      <c r="K24" s="192" t="s">
        <v>149</v>
      </c>
      <c r="L24" s="153" t="s">
        <v>151</v>
      </c>
      <c r="M24" s="158" t="s">
        <v>153</v>
      </c>
      <c r="N24" s="158" t="s">
        <v>153</v>
      </c>
      <c r="O24" s="158" t="s">
        <v>1647</v>
      </c>
      <c r="P24" s="158" t="s">
        <v>158</v>
      </c>
      <c r="Q24" s="158" t="s">
        <v>160</v>
      </c>
      <c r="R24" s="158" t="s">
        <v>6035</v>
      </c>
      <c r="S24" s="158" t="s">
        <v>159</v>
      </c>
      <c r="T24" s="158" t="s">
        <v>149</v>
      </c>
      <c r="U24" s="158" t="s">
        <v>149</v>
      </c>
      <c r="V24" s="158" t="s">
        <v>6127</v>
      </c>
      <c r="W24" s="158" t="s">
        <v>158</v>
      </c>
      <c r="X24" s="153" t="s">
        <v>6035</v>
      </c>
      <c r="Y24" s="158" t="s">
        <v>6128</v>
      </c>
      <c r="Z24" s="158"/>
      <c r="AA24" s="153"/>
      <c r="AB24" s="158" t="s">
        <v>166</v>
      </c>
      <c r="AC24" s="153" t="s">
        <v>1640</v>
      </c>
      <c r="AD24" s="153" t="s">
        <v>1641</v>
      </c>
      <c r="AE24" s="153"/>
      <c r="AF24" s="153"/>
      <c r="AG24" s="153"/>
    </row>
    <row r="25" ht="15.75" customHeight="1">
      <c r="A25" s="238">
        <v>2025.0</v>
      </c>
      <c r="B25" s="230">
        <v>24.0</v>
      </c>
      <c r="C25" s="153" t="s">
        <v>143</v>
      </c>
      <c r="D25" s="153" t="s">
        <v>438</v>
      </c>
      <c r="E25" s="153" t="s">
        <v>443</v>
      </c>
      <c r="F25" s="153" t="s">
        <v>444</v>
      </c>
      <c r="G25" s="153" t="s">
        <v>384</v>
      </c>
      <c r="H25" s="153" t="s">
        <v>445</v>
      </c>
      <c r="I25" s="230">
        <v>1986.0</v>
      </c>
      <c r="J25" s="230">
        <v>1985.0</v>
      </c>
      <c r="K25" s="230">
        <v>1987.0</v>
      </c>
      <c r="L25" s="153" t="s">
        <v>151</v>
      </c>
      <c r="M25" s="158" t="s">
        <v>149</v>
      </c>
      <c r="N25" s="158" t="s">
        <v>149</v>
      </c>
      <c r="O25" s="158" t="s">
        <v>149</v>
      </c>
      <c r="P25" s="153" t="s">
        <v>390</v>
      </c>
      <c r="Q25" s="158" t="s">
        <v>160</v>
      </c>
      <c r="R25" s="158" t="s">
        <v>6035</v>
      </c>
      <c r="S25" s="158" t="s">
        <v>159</v>
      </c>
      <c r="T25" s="158" t="s">
        <v>149</v>
      </c>
      <c r="U25" s="158" t="s">
        <v>149</v>
      </c>
      <c r="V25" s="158" t="s">
        <v>149</v>
      </c>
      <c r="W25" s="153" t="s">
        <v>390</v>
      </c>
      <c r="X25" s="153" t="s">
        <v>6035</v>
      </c>
      <c r="Y25" s="153" t="s">
        <v>6055</v>
      </c>
      <c r="Z25" s="153"/>
      <c r="AA25" s="153"/>
      <c r="AB25" s="158" t="s">
        <v>395</v>
      </c>
      <c r="AC25" s="153" t="s">
        <v>6060</v>
      </c>
      <c r="AD25" s="177" t="s">
        <v>397</v>
      </c>
      <c r="AE25" s="153" t="s">
        <v>398</v>
      </c>
      <c r="AF25" s="153"/>
      <c r="AG25" s="153"/>
    </row>
    <row r="26" ht="15.75" customHeight="1">
      <c r="A26" s="238">
        <v>2025.0</v>
      </c>
      <c r="B26" s="230">
        <v>25.0</v>
      </c>
      <c r="C26" s="153" t="s">
        <v>143</v>
      </c>
      <c r="D26" s="153" t="s">
        <v>438</v>
      </c>
      <c r="E26" s="153" t="s">
        <v>2723</v>
      </c>
      <c r="F26" s="153" t="s">
        <v>2724</v>
      </c>
      <c r="G26" s="158" t="s">
        <v>149</v>
      </c>
      <c r="H26" s="153"/>
      <c r="I26" s="230">
        <v>2021.0</v>
      </c>
      <c r="J26" s="192" t="s">
        <v>149</v>
      </c>
      <c r="K26" s="192" t="s">
        <v>149</v>
      </c>
      <c r="L26" s="153" t="s">
        <v>151</v>
      </c>
      <c r="M26" s="158" t="s">
        <v>153</v>
      </c>
      <c r="N26" s="158" t="s">
        <v>153</v>
      </c>
      <c r="O26" s="153" t="s">
        <v>6135</v>
      </c>
      <c r="P26" s="158" t="s">
        <v>369</v>
      </c>
      <c r="Q26" s="158" t="s">
        <v>160</v>
      </c>
      <c r="R26" s="158" t="s">
        <v>6035</v>
      </c>
      <c r="S26" s="158" t="s">
        <v>159</v>
      </c>
      <c r="T26" s="158" t="s">
        <v>149</v>
      </c>
      <c r="U26" s="158" t="s">
        <v>149</v>
      </c>
      <c r="V26" s="171" t="s">
        <v>2728</v>
      </c>
      <c r="W26" s="153" t="s">
        <v>369</v>
      </c>
      <c r="X26" s="153" t="s">
        <v>6035</v>
      </c>
      <c r="Y26" s="153"/>
      <c r="Z26" s="153"/>
      <c r="AA26" s="153"/>
      <c r="AB26" s="153" t="s">
        <v>6038</v>
      </c>
      <c r="AC26" s="158" t="s">
        <v>2729</v>
      </c>
      <c r="AD26" s="165" t="s">
        <v>2730</v>
      </c>
      <c r="AE26" s="153" t="s">
        <v>2731</v>
      </c>
      <c r="AF26" s="153"/>
      <c r="AG26" s="153"/>
    </row>
    <row r="27" ht="15.75" customHeight="1">
      <c r="A27" s="238">
        <v>2025.0</v>
      </c>
      <c r="B27" s="230">
        <v>26.0</v>
      </c>
      <c r="C27" s="153" t="s">
        <v>143</v>
      </c>
      <c r="D27" s="153" t="s">
        <v>438</v>
      </c>
      <c r="E27" s="153" t="s">
        <v>1142</v>
      </c>
      <c r="F27" s="153" t="s">
        <v>1143</v>
      </c>
      <c r="G27" s="153" t="s">
        <v>1144</v>
      </c>
      <c r="H27" s="153"/>
      <c r="I27" s="230">
        <v>2014.0</v>
      </c>
      <c r="J27" s="192">
        <v>2012.0</v>
      </c>
      <c r="K27" s="192">
        <v>2017.0</v>
      </c>
      <c r="L27" s="153" t="s">
        <v>151</v>
      </c>
      <c r="M27" s="158" t="s">
        <v>149</v>
      </c>
      <c r="N27" s="158" t="s">
        <v>149</v>
      </c>
      <c r="O27" s="158" t="s">
        <v>6153</v>
      </c>
      <c r="P27" s="153" t="s">
        <v>1146</v>
      </c>
      <c r="Q27" s="158" t="s">
        <v>6154</v>
      </c>
      <c r="R27" s="158" t="s">
        <v>206</v>
      </c>
      <c r="S27" s="158" t="s">
        <v>159</v>
      </c>
      <c r="T27" s="158" t="s">
        <v>149</v>
      </c>
      <c r="U27" s="158" t="s">
        <v>149</v>
      </c>
      <c r="V27" s="158" t="s">
        <v>149</v>
      </c>
      <c r="W27" s="158" t="s">
        <v>369</v>
      </c>
      <c r="X27" s="153" t="s">
        <v>6035</v>
      </c>
      <c r="Y27" s="153"/>
      <c r="Z27" s="153"/>
      <c r="AA27" s="153"/>
      <c r="AB27" s="153" t="s">
        <v>6084</v>
      </c>
      <c r="AC27" s="153" t="s">
        <v>1148</v>
      </c>
      <c r="AD27" s="153" t="s">
        <v>1149</v>
      </c>
      <c r="AE27" s="153"/>
      <c r="AF27" s="153"/>
      <c r="AG27" s="153"/>
    </row>
    <row r="28" ht="15.75" customHeight="1">
      <c r="A28" s="238">
        <v>2025.0</v>
      </c>
      <c r="B28" s="230">
        <v>27.0</v>
      </c>
      <c r="C28" s="153" t="s">
        <v>143</v>
      </c>
      <c r="D28" s="153" t="s">
        <v>438</v>
      </c>
      <c r="E28" s="153" t="s">
        <v>2538</v>
      </c>
      <c r="F28" s="153" t="s">
        <v>2539</v>
      </c>
      <c r="G28" s="158" t="s">
        <v>149</v>
      </c>
      <c r="H28" s="153" t="s">
        <v>2540</v>
      </c>
      <c r="I28" s="230">
        <v>2023.0</v>
      </c>
      <c r="J28" s="192" t="s">
        <v>149</v>
      </c>
      <c r="K28" s="192" t="s">
        <v>149</v>
      </c>
      <c r="L28" s="153" t="s">
        <v>151</v>
      </c>
      <c r="M28" s="158" t="s">
        <v>153</v>
      </c>
      <c r="N28" s="158" t="s">
        <v>153</v>
      </c>
      <c r="O28" s="158" t="s">
        <v>6192</v>
      </c>
      <c r="P28" s="153" t="s">
        <v>158</v>
      </c>
      <c r="Q28" s="158" t="s">
        <v>160</v>
      </c>
      <c r="R28" s="158" t="s">
        <v>6035</v>
      </c>
      <c r="S28" s="158" t="s">
        <v>159</v>
      </c>
      <c r="T28" s="158" t="s">
        <v>149</v>
      </c>
      <c r="U28" s="158" t="s">
        <v>149</v>
      </c>
      <c r="V28" s="158" t="s">
        <v>149</v>
      </c>
      <c r="W28" s="153" t="s">
        <v>158</v>
      </c>
      <c r="X28" s="153" t="s">
        <v>6035</v>
      </c>
      <c r="Y28" s="153" t="s">
        <v>369</v>
      </c>
      <c r="Z28" s="153"/>
      <c r="AA28" s="153"/>
      <c r="AB28" s="158" t="s">
        <v>166</v>
      </c>
      <c r="AC28" s="153" t="s">
        <v>2542</v>
      </c>
      <c r="AD28" s="165" t="s">
        <v>2543</v>
      </c>
      <c r="AE28" s="239"/>
      <c r="AF28" s="153"/>
      <c r="AG28" s="153"/>
    </row>
    <row r="29" ht="15.75" customHeight="1">
      <c r="A29" s="238">
        <v>2025.0</v>
      </c>
      <c r="B29" s="230">
        <v>28.0</v>
      </c>
      <c r="C29" s="153" t="s">
        <v>143</v>
      </c>
      <c r="D29" s="153" t="s">
        <v>438</v>
      </c>
      <c r="E29" s="153" t="s">
        <v>447</v>
      </c>
      <c r="F29" s="153" t="s">
        <v>448</v>
      </c>
      <c r="G29" s="153" t="s">
        <v>384</v>
      </c>
      <c r="H29" s="153" t="s">
        <v>449</v>
      </c>
      <c r="I29" s="230">
        <v>1985.0</v>
      </c>
      <c r="J29" s="230">
        <v>1985.0</v>
      </c>
      <c r="K29" s="230">
        <v>1987.0</v>
      </c>
      <c r="L29" s="153" t="s">
        <v>151</v>
      </c>
      <c r="M29" s="153" t="s">
        <v>6054</v>
      </c>
      <c r="N29" s="158" t="s">
        <v>6054</v>
      </c>
      <c r="O29" s="158" t="s">
        <v>149</v>
      </c>
      <c r="P29" s="153" t="s">
        <v>390</v>
      </c>
      <c r="Q29" s="158" t="s">
        <v>160</v>
      </c>
      <c r="R29" s="158" t="s">
        <v>6035</v>
      </c>
      <c r="S29" s="158" t="s">
        <v>159</v>
      </c>
      <c r="T29" s="158" t="s">
        <v>149</v>
      </c>
      <c r="U29" s="158" t="s">
        <v>149</v>
      </c>
      <c r="V29" s="153" t="s">
        <v>450</v>
      </c>
      <c r="W29" s="153" t="s">
        <v>390</v>
      </c>
      <c r="X29" s="153" t="s">
        <v>6035</v>
      </c>
      <c r="Y29" s="153" t="s">
        <v>6055</v>
      </c>
      <c r="Z29" s="153"/>
      <c r="AA29" s="153"/>
      <c r="AB29" s="158" t="s">
        <v>395</v>
      </c>
      <c r="AC29" s="153" t="s">
        <v>6060</v>
      </c>
      <c r="AD29" s="177" t="s">
        <v>397</v>
      </c>
      <c r="AE29" s="153" t="s">
        <v>398</v>
      </c>
      <c r="AF29" s="153"/>
      <c r="AG29" s="153"/>
    </row>
    <row r="30" ht="15.75" customHeight="1">
      <c r="A30" s="238">
        <v>2025.0</v>
      </c>
      <c r="B30" s="230">
        <v>29.0</v>
      </c>
      <c r="C30" s="153" t="s">
        <v>143</v>
      </c>
      <c r="D30" s="153" t="s">
        <v>438</v>
      </c>
      <c r="E30" s="153" t="s">
        <v>7794</v>
      </c>
      <c r="F30" s="153" t="s">
        <v>2034</v>
      </c>
      <c r="G30" s="158" t="s">
        <v>149</v>
      </c>
      <c r="H30" s="158" t="s">
        <v>2416</v>
      </c>
      <c r="I30" s="230">
        <v>2014.0</v>
      </c>
      <c r="J30" s="192" t="s">
        <v>149</v>
      </c>
      <c r="K30" s="192" t="s">
        <v>149</v>
      </c>
      <c r="L30" s="153" t="s">
        <v>151</v>
      </c>
      <c r="M30" s="158" t="s">
        <v>6175</v>
      </c>
      <c r="N30" s="158" t="s">
        <v>6175</v>
      </c>
      <c r="O30" s="158" t="s">
        <v>6176</v>
      </c>
      <c r="P30" s="153" t="s">
        <v>1882</v>
      </c>
      <c r="Q30" s="158" t="s">
        <v>160</v>
      </c>
      <c r="R30" s="158" t="s">
        <v>6035</v>
      </c>
      <c r="S30" s="158" t="s">
        <v>159</v>
      </c>
      <c r="T30" s="158" t="s">
        <v>149</v>
      </c>
      <c r="U30" s="158" t="s">
        <v>149</v>
      </c>
      <c r="V30" s="158" t="s">
        <v>2419</v>
      </c>
      <c r="W30" s="153" t="s">
        <v>1882</v>
      </c>
      <c r="X30" s="153" t="s">
        <v>6035</v>
      </c>
      <c r="Y30" s="158" t="s">
        <v>6177</v>
      </c>
      <c r="Z30" s="153"/>
      <c r="AA30" s="153"/>
      <c r="AB30" s="153" t="s">
        <v>6038</v>
      </c>
      <c r="AC30" s="153" t="s">
        <v>6178</v>
      </c>
      <c r="AD30" s="172" t="s">
        <v>2422</v>
      </c>
      <c r="AE30" s="153"/>
      <c r="AF30" s="153"/>
      <c r="AG30" s="153"/>
    </row>
    <row r="31" ht="15.75" customHeight="1">
      <c r="A31" s="238">
        <v>2025.0</v>
      </c>
      <c r="B31" s="230">
        <v>30.0</v>
      </c>
      <c r="C31" s="153" t="s">
        <v>143</v>
      </c>
      <c r="D31" s="153" t="s">
        <v>438</v>
      </c>
      <c r="E31" s="153" t="s">
        <v>7795</v>
      </c>
      <c r="F31" s="153" t="s">
        <v>2034</v>
      </c>
      <c r="G31" s="153" t="s">
        <v>6144</v>
      </c>
      <c r="H31" s="153" t="s">
        <v>6160</v>
      </c>
      <c r="I31" s="230">
        <v>2022.0</v>
      </c>
      <c r="J31" s="192">
        <v>2011.0</v>
      </c>
      <c r="K31" s="192" t="s">
        <v>149</v>
      </c>
      <c r="L31" s="153" t="s">
        <v>151</v>
      </c>
      <c r="M31" s="153" t="s">
        <v>7796</v>
      </c>
      <c r="N31" s="158" t="s">
        <v>6162</v>
      </c>
      <c r="O31" s="153" t="s">
        <v>6147</v>
      </c>
      <c r="P31" s="153" t="s">
        <v>2038</v>
      </c>
      <c r="Q31" s="158" t="s">
        <v>160</v>
      </c>
      <c r="R31" s="158" t="s">
        <v>271</v>
      </c>
      <c r="S31" s="158" t="s">
        <v>159</v>
      </c>
      <c r="T31" s="158" t="s">
        <v>149</v>
      </c>
      <c r="U31" s="158" t="s">
        <v>149</v>
      </c>
      <c r="V31" s="153" t="s">
        <v>2039</v>
      </c>
      <c r="W31" s="153" t="s">
        <v>7797</v>
      </c>
      <c r="X31" s="158" t="s">
        <v>271</v>
      </c>
      <c r="Y31" s="153" t="s">
        <v>6165</v>
      </c>
      <c r="Z31" s="153"/>
      <c r="AA31" s="153" t="s">
        <v>6166</v>
      </c>
      <c r="AB31" s="158" t="s">
        <v>166</v>
      </c>
      <c r="AC31" s="153" t="s">
        <v>2043</v>
      </c>
      <c r="AD31" s="172" t="s">
        <v>6149</v>
      </c>
      <c r="AE31" s="153" t="s">
        <v>2045</v>
      </c>
      <c r="AF31" s="153"/>
      <c r="AG31" s="153"/>
    </row>
    <row r="32" ht="15.75" customHeight="1">
      <c r="A32" s="238">
        <v>2025.0</v>
      </c>
      <c r="B32" s="230">
        <v>31.0</v>
      </c>
      <c r="C32" s="153" t="s">
        <v>143</v>
      </c>
      <c r="D32" s="153" t="s">
        <v>438</v>
      </c>
      <c r="E32" s="153" t="s">
        <v>491</v>
      </c>
      <c r="F32" s="153" t="s">
        <v>1646</v>
      </c>
      <c r="G32" s="153" t="s">
        <v>1635</v>
      </c>
      <c r="H32" s="153"/>
      <c r="I32" s="230">
        <v>2021.0</v>
      </c>
      <c r="J32" s="192" t="s">
        <v>149</v>
      </c>
      <c r="K32" s="192" t="s">
        <v>149</v>
      </c>
      <c r="L32" s="153" t="s">
        <v>151</v>
      </c>
      <c r="M32" s="158" t="s">
        <v>153</v>
      </c>
      <c r="N32" s="158" t="s">
        <v>153</v>
      </c>
      <c r="O32" s="158" t="s">
        <v>1647</v>
      </c>
      <c r="P32" s="158" t="s">
        <v>158</v>
      </c>
      <c r="Q32" s="158" t="s">
        <v>160</v>
      </c>
      <c r="R32" s="158" t="s">
        <v>6035</v>
      </c>
      <c r="S32" s="158" t="s">
        <v>159</v>
      </c>
      <c r="T32" s="158" t="s">
        <v>149</v>
      </c>
      <c r="U32" s="158" t="s">
        <v>149</v>
      </c>
      <c r="V32" s="158" t="s">
        <v>6127</v>
      </c>
      <c r="W32" s="158" t="s">
        <v>158</v>
      </c>
      <c r="X32" s="153" t="s">
        <v>6035</v>
      </c>
      <c r="Y32" s="158" t="s">
        <v>6128</v>
      </c>
      <c r="Z32" s="153"/>
      <c r="AA32" s="153"/>
      <c r="AB32" s="158" t="s">
        <v>166</v>
      </c>
      <c r="AC32" s="153" t="s">
        <v>1640</v>
      </c>
      <c r="AD32" s="172" t="s">
        <v>1641</v>
      </c>
      <c r="AE32" s="153"/>
      <c r="AF32" s="153"/>
      <c r="AG32" s="153"/>
    </row>
    <row r="33" ht="15.75" customHeight="1">
      <c r="A33" s="238">
        <v>2025.0</v>
      </c>
      <c r="B33" s="230">
        <v>32.0</v>
      </c>
      <c r="C33" s="153" t="s">
        <v>143</v>
      </c>
      <c r="D33" s="153" t="s">
        <v>438</v>
      </c>
      <c r="E33" s="153" t="s">
        <v>2850</v>
      </c>
      <c r="F33" s="153" t="s">
        <v>2851</v>
      </c>
      <c r="G33" s="153" t="s">
        <v>384</v>
      </c>
      <c r="H33" s="153" t="s">
        <v>6181</v>
      </c>
      <c r="I33" s="230">
        <v>1981.0</v>
      </c>
      <c r="J33" s="230">
        <v>1985.0</v>
      </c>
      <c r="K33" s="230">
        <v>1987.0</v>
      </c>
      <c r="L33" s="153" t="s">
        <v>151</v>
      </c>
      <c r="M33" s="158" t="s">
        <v>149</v>
      </c>
      <c r="N33" s="158" t="s">
        <v>149</v>
      </c>
      <c r="O33" s="158" t="s">
        <v>149</v>
      </c>
      <c r="P33" s="153" t="s">
        <v>390</v>
      </c>
      <c r="Q33" s="158" t="s">
        <v>160</v>
      </c>
      <c r="R33" s="158" t="s">
        <v>6035</v>
      </c>
      <c r="S33" s="158" t="s">
        <v>159</v>
      </c>
      <c r="T33" s="158" t="s">
        <v>149</v>
      </c>
      <c r="U33" s="158" t="s">
        <v>149</v>
      </c>
      <c r="V33" s="153" t="s">
        <v>2853</v>
      </c>
      <c r="W33" s="153" t="s">
        <v>390</v>
      </c>
      <c r="X33" s="153" t="s">
        <v>6035</v>
      </c>
      <c r="Y33" s="153" t="s">
        <v>6055</v>
      </c>
      <c r="Z33" s="153"/>
      <c r="AA33" s="153"/>
      <c r="AB33" s="158" t="s">
        <v>395</v>
      </c>
      <c r="AC33" s="153" t="s">
        <v>6060</v>
      </c>
      <c r="AD33" s="177" t="s">
        <v>397</v>
      </c>
      <c r="AE33" s="153" t="s">
        <v>398</v>
      </c>
      <c r="AF33" s="239"/>
      <c r="AG33" s="153" t="s">
        <v>6109</v>
      </c>
    </row>
    <row r="34" ht="15.75" customHeight="1">
      <c r="A34" s="238">
        <v>2025.0</v>
      </c>
      <c r="B34" s="230">
        <v>33.0</v>
      </c>
      <c r="C34" s="153" t="s">
        <v>143</v>
      </c>
      <c r="D34" s="153" t="s">
        <v>144</v>
      </c>
      <c r="E34" s="153" t="s">
        <v>145</v>
      </c>
      <c r="F34" s="153" t="s">
        <v>146</v>
      </c>
      <c r="G34" s="158" t="s">
        <v>6217</v>
      </c>
      <c r="H34" s="153"/>
      <c r="I34" s="192" t="s">
        <v>149</v>
      </c>
      <c r="J34" s="230">
        <v>1982.0</v>
      </c>
      <c r="K34" s="230">
        <v>1990.0</v>
      </c>
      <c r="L34" s="153" t="s">
        <v>151</v>
      </c>
      <c r="M34" s="158" t="s">
        <v>149</v>
      </c>
      <c r="N34" s="158" t="s">
        <v>149</v>
      </c>
      <c r="O34" s="153" t="s">
        <v>6204</v>
      </c>
      <c r="P34" s="153" t="s">
        <v>2111</v>
      </c>
      <c r="Q34" s="158" t="s">
        <v>6154</v>
      </c>
      <c r="R34" s="158" t="s">
        <v>206</v>
      </c>
      <c r="S34" s="158" t="s">
        <v>159</v>
      </c>
      <c r="T34" s="158" t="s">
        <v>149</v>
      </c>
      <c r="U34" s="158" t="s">
        <v>149</v>
      </c>
      <c r="V34" s="158" t="s">
        <v>149</v>
      </c>
      <c r="W34" s="153" t="s">
        <v>2111</v>
      </c>
      <c r="X34" s="158" t="s">
        <v>206</v>
      </c>
      <c r="Y34" s="153"/>
      <c r="Z34" s="153"/>
      <c r="AA34" s="153"/>
      <c r="AB34" s="158" t="s">
        <v>395</v>
      </c>
      <c r="AC34" s="153" t="s">
        <v>6060</v>
      </c>
      <c r="AD34" s="177" t="s">
        <v>397</v>
      </c>
      <c r="AE34" s="153"/>
      <c r="AF34" s="153"/>
      <c r="AG34" s="153"/>
    </row>
    <row r="35" ht="15.75" customHeight="1">
      <c r="A35" s="238">
        <v>2025.0</v>
      </c>
      <c r="B35" s="230">
        <v>34.0</v>
      </c>
      <c r="C35" s="153" t="s">
        <v>143</v>
      </c>
      <c r="D35" s="153" t="s">
        <v>144</v>
      </c>
      <c r="E35" s="153" t="s">
        <v>145</v>
      </c>
      <c r="F35" s="153" t="s">
        <v>146</v>
      </c>
      <c r="G35" s="153" t="s">
        <v>384</v>
      </c>
      <c r="H35" s="153" t="s">
        <v>452</v>
      </c>
      <c r="I35" s="230">
        <v>1985.0</v>
      </c>
      <c r="J35" s="230">
        <v>1985.0</v>
      </c>
      <c r="K35" s="230">
        <v>1987.0</v>
      </c>
      <c r="L35" s="153" t="s">
        <v>151</v>
      </c>
      <c r="M35" s="153" t="s">
        <v>6054</v>
      </c>
      <c r="N35" s="158" t="s">
        <v>6054</v>
      </c>
      <c r="O35" s="158" t="s">
        <v>149</v>
      </c>
      <c r="P35" s="153" t="s">
        <v>390</v>
      </c>
      <c r="Q35" s="158" t="s">
        <v>160</v>
      </c>
      <c r="R35" s="158" t="s">
        <v>6035</v>
      </c>
      <c r="S35" s="158" t="s">
        <v>159</v>
      </c>
      <c r="T35" s="158" t="s">
        <v>149</v>
      </c>
      <c r="U35" s="158" t="s">
        <v>149</v>
      </c>
      <c r="V35" s="153" t="s">
        <v>453</v>
      </c>
      <c r="W35" s="153" t="s">
        <v>390</v>
      </c>
      <c r="X35" s="153" t="s">
        <v>6035</v>
      </c>
      <c r="Y35" s="153" t="s">
        <v>6055</v>
      </c>
      <c r="Z35" s="153"/>
      <c r="AA35" s="153" t="s">
        <v>6056</v>
      </c>
      <c r="AB35" s="158" t="s">
        <v>395</v>
      </c>
      <c r="AC35" s="153" t="s">
        <v>6060</v>
      </c>
      <c r="AD35" s="177" t="s">
        <v>397</v>
      </c>
      <c r="AE35" s="153" t="s">
        <v>398</v>
      </c>
      <c r="AF35" s="153"/>
      <c r="AG35" s="153"/>
    </row>
    <row r="36" ht="15.75" customHeight="1">
      <c r="A36" s="238">
        <v>2025.0</v>
      </c>
      <c r="B36" s="230">
        <v>35.0</v>
      </c>
      <c r="C36" s="153" t="s">
        <v>143</v>
      </c>
      <c r="D36" s="153" t="s">
        <v>144</v>
      </c>
      <c r="E36" s="153" t="s">
        <v>145</v>
      </c>
      <c r="F36" s="153" t="s">
        <v>146</v>
      </c>
      <c r="G36" s="153" t="s">
        <v>147</v>
      </c>
      <c r="H36" s="158" t="s">
        <v>452</v>
      </c>
      <c r="I36" s="230">
        <v>2021.0</v>
      </c>
      <c r="J36" s="192" t="s">
        <v>149</v>
      </c>
      <c r="K36" s="192" t="s">
        <v>149</v>
      </c>
      <c r="L36" s="153" t="s">
        <v>151</v>
      </c>
      <c r="M36" s="158" t="s">
        <v>153</v>
      </c>
      <c r="N36" s="158" t="s">
        <v>153</v>
      </c>
      <c r="O36" s="158" t="s">
        <v>6195</v>
      </c>
      <c r="P36" s="158" t="s">
        <v>158</v>
      </c>
      <c r="Q36" s="158" t="s">
        <v>160</v>
      </c>
      <c r="R36" s="158" t="s">
        <v>6035</v>
      </c>
      <c r="S36" s="158" t="s">
        <v>159</v>
      </c>
      <c r="T36" s="158" t="s">
        <v>149</v>
      </c>
      <c r="U36" s="158" t="s">
        <v>149</v>
      </c>
      <c r="V36" s="158" t="s">
        <v>162</v>
      </c>
      <c r="W36" s="153" t="s">
        <v>158</v>
      </c>
      <c r="X36" s="153" t="s">
        <v>6035</v>
      </c>
      <c r="Y36" s="153" t="s">
        <v>7798</v>
      </c>
      <c r="Z36" s="153"/>
      <c r="AA36" s="153"/>
      <c r="AB36" s="158" t="s">
        <v>166</v>
      </c>
      <c r="AC36" s="153" t="s">
        <v>167</v>
      </c>
      <c r="AD36" s="165" t="s">
        <v>168</v>
      </c>
      <c r="AE36" s="153"/>
      <c r="AF36" s="153"/>
      <c r="AG36" s="153"/>
    </row>
    <row r="37" ht="15.75" customHeight="1">
      <c r="A37" s="238">
        <v>2025.0</v>
      </c>
      <c r="B37" s="230">
        <v>36.0</v>
      </c>
      <c r="C37" s="153" t="s">
        <v>143</v>
      </c>
      <c r="D37" s="153" t="s">
        <v>144</v>
      </c>
      <c r="E37" s="153" t="s">
        <v>4284</v>
      </c>
      <c r="F37" s="153" t="s">
        <v>222</v>
      </c>
      <c r="G37" s="153" t="s">
        <v>384</v>
      </c>
      <c r="H37" s="153" t="s">
        <v>2855</v>
      </c>
      <c r="I37" s="230">
        <v>1981.0</v>
      </c>
      <c r="J37" s="230">
        <v>1985.0</v>
      </c>
      <c r="K37" s="230">
        <v>1987.0</v>
      </c>
      <c r="L37" s="153" t="s">
        <v>151</v>
      </c>
      <c r="M37" s="158" t="s">
        <v>6054</v>
      </c>
      <c r="N37" s="158" t="s">
        <v>6054</v>
      </c>
      <c r="O37" s="158" t="s">
        <v>149</v>
      </c>
      <c r="P37" s="153" t="s">
        <v>390</v>
      </c>
      <c r="Q37" s="158" t="s">
        <v>160</v>
      </c>
      <c r="R37" s="158" t="s">
        <v>6035</v>
      </c>
      <c r="S37" s="158" t="s">
        <v>159</v>
      </c>
      <c r="T37" s="158" t="s">
        <v>149</v>
      </c>
      <c r="U37" s="158" t="s">
        <v>149</v>
      </c>
      <c r="V37" s="153" t="s">
        <v>2853</v>
      </c>
      <c r="W37" s="153" t="s">
        <v>390</v>
      </c>
      <c r="X37" s="153" t="s">
        <v>6035</v>
      </c>
      <c r="Y37" s="153" t="s">
        <v>6055</v>
      </c>
      <c r="Z37" s="153" t="s">
        <v>6201</v>
      </c>
      <c r="AA37" s="153"/>
      <c r="AB37" s="158" t="s">
        <v>395</v>
      </c>
      <c r="AC37" s="153" t="s">
        <v>6060</v>
      </c>
      <c r="AD37" s="165" t="s">
        <v>397</v>
      </c>
      <c r="AE37" s="153" t="s">
        <v>398</v>
      </c>
      <c r="AF37" s="153"/>
      <c r="AG37" s="153" t="s">
        <v>6109</v>
      </c>
    </row>
    <row r="38" ht="15.75" customHeight="1">
      <c r="A38" s="238">
        <v>2025.0</v>
      </c>
      <c r="B38" s="230">
        <v>37.0</v>
      </c>
      <c r="C38" s="153" t="s">
        <v>143</v>
      </c>
      <c r="D38" s="153" t="s">
        <v>144</v>
      </c>
      <c r="E38" s="153" t="s">
        <v>4284</v>
      </c>
      <c r="F38" s="153" t="s">
        <v>222</v>
      </c>
      <c r="G38" s="153" t="s">
        <v>384</v>
      </c>
      <c r="H38" s="153" t="s">
        <v>455</v>
      </c>
      <c r="I38" s="230">
        <v>1985.0</v>
      </c>
      <c r="J38" s="230">
        <v>1985.0</v>
      </c>
      <c r="K38" s="230">
        <v>1987.0</v>
      </c>
      <c r="L38" s="153" t="s">
        <v>151</v>
      </c>
      <c r="M38" s="153" t="s">
        <v>6054</v>
      </c>
      <c r="N38" s="158" t="s">
        <v>6054</v>
      </c>
      <c r="O38" s="158" t="s">
        <v>149</v>
      </c>
      <c r="P38" s="153" t="s">
        <v>390</v>
      </c>
      <c r="Q38" s="158" t="s">
        <v>160</v>
      </c>
      <c r="R38" s="158" t="s">
        <v>6035</v>
      </c>
      <c r="S38" s="158" t="s">
        <v>159</v>
      </c>
      <c r="T38" s="158" t="s">
        <v>149</v>
      </c>
      <c r="U38" s="158" t="s">
        <v>149</v>
      </c>
      <c r="V38" s="153" t="s">
        <v>453</v>
      </c>
      <c r="W38" s="153" t="s">
        <v>390</v>
      </c>
      <c r="X38" s="153" t="s">
        <v>6035</v>
      </c>
      <c r="Y38" s="153" t="s">
        <v>6055</v>
      </c>
      <c r="Z38" s="153"/>
      <c r="AA38" s="153"/>
      <c r="AB38" s="158" t="s">
        <v>395</v>
      </c>
      <c r="AC38" s="153" t="s">
        <v>6060</v>
      </c>
      <c r="AD38" s="165" t="s">
        <v>397</v>
      </c>
      <c r="AE38" s="153" t="s">
        <v>398</v>
      </c>
      <c r="AF38" s="153"/>
      <c r="AG38" s="153"/>
    </row>
    <row r="39" ht="15.75" customHeight="1">
      <c r="A39" s="238">
        <v>2025.0</v>
      </c>
      <c r="B39" s="230">
        <v>38.0</v>
      </c>
      <c r="C39" s="153" t="s">
        <v>143</v>
      </c>
      <c r="D39" s="153" t="s">
        <v>144</v>
      </c>
      <c r="E39" s="153" t="s">
        <v>4284</v>
      </c>
      <c r="F39" s="153" t="s">
        <v>222</v>
      </c>
      <c r="G39" s="153" t="s">
        <v>384</v>
      </c>
      <c r="H39" s="153" t="s">
        <v>457</v>
      </c>
      <c r="I39" s="230">
        <v>1987.0</v>
      </c>
      <c r="J39" s="230">
        <v>1985.0</v>
      </c>
      <c r="K39" s="230">
        <v>1987.0</v>
      </c>
      <c r="L39" s="153" t="s">
        <v>151</v>
      </c>
      <c r="M39" s="153" t="s">
        <v>6054</v>
      </c>
      <c r="N39" s="158" t="s">
        <v>6054</v>
      </c>
      <c r="O39" s="158" t="s">
        <v>149</v>
      </c>
      <c r="P39" s="153" t="s">
        <v>390</v>
      </c>
      <c r="Q39" s="158" t="s">
        <v>160</v>
      </c>
      <c r="R39" s="158" t="s">
        <v>6035</v>
      </c>
      <c r="S39" s="158" t="s">
        <v>159</v>
      </c>
      <c r="T39" s="158" t="s">
        <v>149</v>
      </c>
      <c r="U39" s="158" t="s">
        <v>149</v>
      </c>
      <c r="V39" s="153" t="s">
        <v>391</v>
      </c>
      <c r="W39" s="153" t="s">
        <v>390</v>
      </c>
      <c r="X39" s="153" t="s">
        <v>6035</v>
      </c>
      <c r="Y39" s="153" t="s">
        <v>6055</v>
      </c>
      <c r="Z39" s="153"/>
      <c r="AA39" s="153"/>
      <c r="AB39" s="158" t="s">
        <v>395</v>
      </c>
      <c r="AC39" s="153" t="s">
        <v>6060</v>
      </c>
      <c r="AD39" s="165" t="s">
        <v>397</v>
      </c>
      <c r="AE39" s="153" t="s">
        <v>398</v>
      </c>
      <c r="AF39" s="153"/>
      <c r="AG39" s="153"/>
    </row>
    <row r="40" ht="15.75" customHeight="1">
      <c r="A40" s="238">
        <v>2025.0</v>
      </c>
      <c r="B40" s="230">
        <v>39.0</v>
      </c>
      <c r="C40" s="153" t="s">
        <v>143</v>
      </c>
      <c r="D40" s="153" t="s">
        <v>144</v>
      </c>
      <c r="E40" s="153" t="s">
        <v>4284</v>
      </c>
      <c r="F40" s="153" t="s">
        <v>222</v>
      </c>
      <c r="G40" s="158" t="s">
        <v>149</v>
      </c>
      <c r="H40" s="153" t="s">
        <v>2897</v>
      </c>
      <c r="I40" s="230">
        <v>1999.0</v>
      </c>
      <c r="J40" s="230">
        <v>1999.0</v>
      </c>
      <c r="K40" s="230">
        <v>2000.0</v>
      </c>
      <c r="L40" s="153" t="s">
        <v>3324</v>
      </c>
      <c r="M40" s="158" t="s">
        <v>2899</v>
      </c>
      <c r="N40" s="158" t="s">
        <v>2899</v>
      </c>
      <c r="O40" s="153" t="s">
        <v>7799</v>
      </c>
      <c r="P40" s="153" t="s">
        <v>2833</v>
      </c>
      <c r="Q40" s="158" t="s">
        <v>160</v>
      </c>
      <c r="R40" s="158" t="s">
        <v>6035</v>
      </c>
      <c r="S40" s="158" t="s">
        <v>204</v>
      </c>
      <c r="T40" s="158" t="s">
        <v>149</v>
      </c>
      <c r="U40" s="158" t="s">
        <v>149</v>
      </c>
      <c r="V40" s="158" t="s">
        <v>149</v>
      </c>
      <c r="W40" s="153" t="s">
        <v>233</v>
      </c>
      <c r="X40" s="158" t="s">
        <v>6068</v>
      </c>
      <c r="Y40" s="153" t="s">
        <v>2901</v>
      </c>
      <c r="Z40" s="153"/>
      <c r="AA40" s="153"/>
      <c r="AB40" s="158" t="s">
        <v>6214</v>
      </c>
      <c r="AC40" s="153" t="s">
        <v>2902</v>
      </c>
      <c r="AD40" s="165" t="s">
        <v>6215</v>
      </c>
      <c r="AE40" s="153" t="s">
        <v>2904</v>
      </c>
      <c r="AF40" s="153"/>
      <c r="AG40" s="153"/>
    </row>
    <row r="41" ht="15.75" customHeight="1">
      <c r="A41" s="238">
        <v>2025.0</v>
      </c>
      <c r="B41" s="230">
        <v>40.0</v>
      </c>
      <c r="C41" s="153" t="s">
        <v>143</v>
      </c>
      <c r="D41" s="153" t="s">
        <v>144</v>
      </c>
      <c r="E41" s="153" t="s">
        <v>4284</v>
      </c>
      <c r="F41" s="153" t="s">
        <v>222</v>
      </c>
      <c r="G41" s="153" t="s">
        <v>1683</v>
      </c>
      <c r="H41" s="153" t="s">
        <v>223</v>
      </c>
      <c r="I41" s="192">
        <v>2015.0</v>
      </c>
      <c r="J41" s="230">
        <v>2014.0</v>
      </c>
      <c r="K41" s="230">
        <v>2016.0</v>
      </c>
      <c r="L41" s="153" t="s">
        <v>6062</v>
      </c>
      <c r="M41" s="153" t="s">
        <v>320</v>
      </c>
      <c r="N41" s="158" t="s">
        <v>179</v>
      </c>
      <c r="O41" s="158" t="s">
        <v>149</v>
      </c>
      <c r="P41" s="153" t="s">
        <v>321</v>
      </c>
      <c r="Q41" s="158" t="s">
        <v>160</v>
      </c>
      <c r="R41" s="158" t="s">
        <v>6035</v>
      </c>
      <c r="S41" s="158" t="s">
        <v>159</v>
      </c>
      <c r="T41" s="158" t="s">
        <v>149</v>
      </c>
      <c r="U41" s="158" t="s">
        <v>149</v>
      </c>
      <c r="V41" s="153" t="s">
        <v>1698</v>
      </c>
      <c r="W41" s="153" t="s">
        <v>1699</v>
      </c>
      <c r="X41" s="158" t="s">
        <v>6068</v>
      </c>
      <c r="Y41" s="153" t="s">
        <v>1700</v>
      </c>
      <c r="Z41" s="153"/>
      <c r="AA41" s="153"/>
      <c r="AB41" s="158" t="s">
        <v>6069</v>
      </c>
      <c r="AC41" s="153" t="s">
        <v>1300</v>
      </c>
      <c r="AD41" s="153" t="s">
        <v>6070</v>
      </c>
      <c r="AE41" s="153"/>
      <c r="AF41" s="153"/>
      <c r="AG41" s="165" t="s">
        <v>7800</v>
      </c>
    </row>
    <row r="42" ht="15.75" customHeight="1">
      <c r="A42" s="238">
        <v>2025.0</v>
      </c>
      <c r="B42" s="230">
        <v>41.0</v>
      </c>
      <c r="C42" s="153" t="s">
        <v>143</v>
      </c>
      <c r="D42" s="153" t="s">
        <v>144</v>
      </c>
      <c r="E42" s="153" t="s">
        <v>4284</v>
      </c>
      <c r="F42" s="153" t="s">
        <v>222</v>
      </c>
      <c r="G42" s="153" t="s">
        <v>6235</v>
      </c>
      <c r="H42" s="153" t="s">
        <v>223</v>
      </c>
      <c r="I42" s="230">
        <v>2018.0</v>
      </c>
      <c r="J42" s="192" t="s">
        <v>149</v>
      </c>
      <c r="K42" s="192" t="s">
        <v>149</v>
      </c>
      <c r="L42" s="153" t="s">
        <v>6221</v>
      </c>
      <c r="M42" s="158" t="s">
        <v>200</v>
      </c>
      <c r="N42" s="158" t="s">
        <v>224</v>
      </c>
      <c r="O42" s="158" t="s">
        <v>225</v>
      </c>
      <c r="P42" s="153" t="s">
        <v>203</v>
      </c>
      <c r="Q42" s="158" t="s">
        <v>6154</v>
      </c>
      <c r="R42" s="158" t="s">
        <v>206</v>
      </c>
      <c r="S42" s="158" t="s">
        <v>159</v>
      </c>
      <c r="T42" s="158" t="s">
        <v>149</v>
      </c>
      <c r="U42" s="158" t="s">
        <v>149</v>
      </c>
      <c r="V42" s="158" t="s">
        <v>149</v>
      </c>
      <c r="W42" s="153" t="s">
        <v>226</v>
      </c>
      <c r="X42" s="158" t="s">
        <v>6068</v>
      </c>
      <c r="Y42" s="153" t="s">
        <v>228</v>
      </c>
      <c r="Z42" s="153"/>
      <c r="AA42" s="153" t="s">
        <v>208</v>
      </c>
      <c r="AB42" s="153" t="s">
        <v>214</v>
      </c>
      <c r="AC42" s="153" t="s">
        <v>214</v>
      </c>
      <c r="AD42" s="153"/>
      <c r="AE42" s="153"/>
      <c r="AF42" s="153"/>
      <c r="AG42" s="153"/>
    </row>
    <row r="43" ht="15.75" customHeight="1">
      <c r="A43" s="238">
        <v>2025.0</v>
      </c>
      <c r="B43" s="230">
        <v>42.0</v>
      </c>
      <c r="C43" s="153" t="s">
        <v>143</v>
      </c>
      <c r="D43" s="153" t="s">
        <v>144</v>
      </c>
      <c r="E43" s="153" t="s">
        <v>4284</v>
      </c>
      <c r="F43" s="153" t="s">
        <v>222</v>
      </c>
      <c r="G43" s="158" t="s">
        <v>1776</v>
      </c>
      <c r="H43" s="158" t="s">
        <v>223</v>
      </c>
      <c r="I43" s="192">
        <v>2017.0</v>
      </c>
      <c r="J43" s="192" t="s">
        <v>149</v>
      </c>
      <c r="K43" s="192" t="s">
        <v>149</v>
      </c>
      <c r="L43" s="153" t="s">
        <v>6062</v>
      </c>
      <c r="M43" s="158" t="s">
        <v>320</v>
      </c>
      <c r="N43" s="158" t="s">
        <v>179</v>
      </c>
      <c r="O43" s="158" t="s">
        <v>149</v>
      </c>
      <c r="P43" s="158" t="s">
        <v>1777</v>
      </c>
      <c r="Q43" s="158" t="s">
        <v>160</v>
      </c>
      <c r="R43" s="158" t="s">
        <v>184</v>
      </c>
      <c r="S43" s="158" t="s">
        <v>159</v>
      </c>
      <c r="T43" s="158" t="s">
        <v>149</v>
      </c>
      <c r="U43" s="158" t="s">
        <v>149</v>
      </c>
      <c r="V43" s="158" t="s">
        <v>6224</v>
      </c>
      <c r="W43" s="153" t="s">
        <v>228</v>
      </c>
      <c r="X43" s="153" t="s">
        <v>6035</v>
      </c>
      <c r="Y43" s="153" t="s">
        <v>7801</v>
      </c>
      <c r="Z43" s="153" t="s">
        <v>7802</v>
      </c>
      <c r="AA43" s="153"/>
      <c r="AB43" s="158" t="s">
        <v>6069</v>
      </c>
      <c r="AC43" s="153" t="s">
        <v>1300</v>
      </c>
      <c r="AD43" s="153" t="s">
        <v>6070</v>
      </c>
      <c r="AE43" s="153"/>
      <c r="AF43" s="153"/>
      <c r="AG43" s="153"/>
    </row>
    <row r="44" ht="15.75" customHeight="1">
      <c r="A44" s="238">
        <v>2025.0</v>
      </c>
      <c r="B44" s="230">
        <v>43.0</v>
      </c>
      <c r="C44" s="153" t="s">
        <v>143</v>
      </c>
      <c r="D44" s="153" t="s">
        <v>144</v>
      </c>
      <c r="E44" s="153" t="s">
        <v>4284</v>
      </c>
      <c r="F44" s="153" t="s">
        <v>222</v>
      </c>
      <c r="G44" s="153" t="s">
        <v>934</v>
      </c>
      <c r="H44" s="153"/>
      <c r="I44" s="230">
        <v>2001.0</v>
      </c>
      <c r="J44" s="230">
        <v>2001.0</v>
      </c>
      <c r="K44" s="230">
        <v>2005.0</v>
      </c>
      <c r="L44" s="153" t="s">
        <v>6062</v>
      </c>
      <c r="M44" s="153" t="s">
        <v>3245</v>
      </c>
      <c r="N44" s="158" t="s">
        <v>179</v>
      </c>
      <c r="O44" s="153" t="s">
        <v>939</v>
      </c>
      <c r="P44" s="153" t="s">
        <v>940</v>
      </c>
      <c r="Q44" s="158" t="s">
        <v>160</v>
      </c>
      <c r="R44" s="158" t="s">
        <v>206</v>
      </c>
      <c r="S44" s="158" t="s">
        <v>159</v>
      </c>
      <c r="T44" s="158" t="s">
        <v>149</v>
      </c>
      <c r="U44" s="158" t="s">
        <v>149</v>
      </c>
      <c r="V44" s="158" t="s">
        <v>149</v>
      </c>
      <c r="W44" s="153" t="s">
        <v>233</v>
      </c>
      <c r="X44" s="158" t="s">
        <v>6068</v>
      </c>
      <c r="Y44" s="153"/>
      <c r="Z44" s="153"/>
      <c r="AA44" s="153"/>
      <c r="AB44" s="158" t="s">
        <v>6214</v>
      </c>
      <c r="AC44" s="153" t="s">
        <v>941</v>
      </c>
      <c r="AD44" s="165" t="s">
        <v>942</v>
      </c>
      <c r="AE44" s="153" t="s">
        <v>943</v>
      </c>
      <c r="AF44" s="153"/>
      <c r="AG44" s="153"/>
    </row>
    <row r="45" ht="15.75" customHeight="1">
      <c r="A45" s="238">
        <v>2025.0</v>
      </c>
      <c r="B45" s="230">
        <v>44.0</v>
      </c>
      <c r="C45" s="153" t="s">
        <v>143</v>
      </c>
      <c r="D45" s="153" t="s">
        <v>144</v>
      </c>
      <c r="E45" s="153" t="s">
        <v>230</v>
      </c>
      <c r="F45" s="153" t="s">
        <v>231</v>
      </c>
      <c r="G45" s="153" t="s">
        <v>384</v>
      </c>
      <c r="H45" s="153" t="s">
        <v>459</v>
      </c>
      <c r="I45" s="230">
        <v>1986.0</v>
      </c>
      <c r="J45" s="230">
        <v>1985.0</v>
      </c>
      <c r="K45" s="230">
        <v>1987.0</v>
      </c>
      <c r="L45" s="153" t="s">
        <v>151</v>
      </c>
      <c r="M45" s="153" t="s">
        <v>6054</v>
      </c>
      <c r="N45" s="158" t="s">
        <v>6054</v>
      </c>
      <c r="O45" s="158" t="s">
        <v>149</v>
      </c>
      <c r="P45" s="153" t="s">
        <v>390</v>
      </c>
      <c r="Q45" s="158" t="s">
        <v>160</v>
      </c>
      <c r="R45" s="158" t="s">
        <v>6035</v>
      </c>
      <c r="S45" s="158" t="s">
        <v>159</v>
      </c>
      <c r="T45" s="158" t="s">
        <v>149</v>
      </c>
      <c r="U45" s="158" t="s">
        <v>149</v>
      </c>
      <c r="V45" s="153" t="s">
        <v>391</v>
      </c>
      <c r="W45" s="153" t="s">
        <v>390</v>
      </c>
      <c r="X45" s="153" t="s">
        <v>6035</v>
      </c>
      <c r="Y45" s="153" t="s">
        <v>6055</v>
      </c>
      <c r="Z45" s="153"/>
      <c r="AA45" s="153" t="s">
        <v>6056</v>
      </c>
      <c r="AB45" s="158" t="s">
        <v>395</v>
      </c>
      <c r="AC45" s="153" t="s">
        <v>6060</v>
      </c>
      <c r="AD45" s="177" t="s">
        <v>397</v>
      </c>
      <c r="AE45" s="153" t="s">
        <v>398</v>
      </c>
      <c r="AF45" s="153"/>
      <c r="AG45" s="153"/>
    </row>
    <row r="46" ht="15.75" customHeight="1">
      <c r="A46" s="238">
        <v>2025.0</v>
      </c>
      <c r="B46" s="230">
        <v>45.0</v>
      </c>
      <c r="C46" s="153" t="s">
        <v>143</v>
      </c>
      <c r="D46" s="153" t="s">
        <v>144</v>
      </c>
      <c r="E46" s="153" t="s">
        <v>230</v>
      </c>
      <c r="F46" s="153" t="s">
        <v>231</v>
      </c>
      <c r="G46" s="153" t="s">
        <v>384</v>
      </c>
      <c r="H46" s="153" t="s">
        <v>461</v>
      </c>
      <c r="I46" s="230">
        <v>1986.0</v>
      </c>
      <c r="J46" s="230">
        <v>1985.0</v>
      </c>
      <c r="K46" s="230">
        <v>1987.0</v>
      </c>
      <c r="L46" s="153" t="s">
        <v>151</v>
      </c>
      <c r="M46" s="153" t="s">
        <v>6054</v>
      </c>
      <c r="N46" s="158" t="s">
        <v>6054</v>
      </c>
      <c r="O46" s="158" t="s">
        <v>149</v>
      </c>
      <c r="P46" s="153" t="s">
        <v>390</v>
      </c>
      <c r="Q46" s="158" t="s">
        <v>160</v>
      </c>
      <c r="R46" s="158" t="s">
        <v>6035</v>
      </c>
      <c r="S46" s="158" t="s">
        <v>159</v>
      </c>
      <c r="T46" s="158" t="s">
        <v>149</v>
      </c>
      <c r="U46" s="158" t="s">
        <v>149</v>
      </c>
      <c r="V46" s="153" t="s">
        <v>391</v>
      </c>
      <c r="W46" s="153" t="s">
        <v>390</v>
      </c>
      <c r="X46" s="153" t="s">
        <v>6035</v>
      </c>
      <c r="Y46" s="153" t="s">
        <v>6055</v>
      </c>
      <c r="Z46" s="153"/>
      <c r="AA46" s="153"/>
      <c r="AB46" s="158" t="s">
        <v>395</v>
      </c>
      <c r="AC46" s="153" t="s">
        <v>6060</v>
      </c>
      <c r="AD46" s="177" t="s">
        <v>397</v>
      </c>
      <c r="AE46" s="153" t="s">
        <v>398</v>
      </c>
      <c r="AF46" s="153"/>
      <c r="AG46" s="153"/>
    </row>
    <row r="47" ht="15.75" customHeight="1">
      <c r="A47" s="238">
        <v>2025.0</v>
      </c>
      <c r="B47" s="230">
        <v>46.0</v>
      </c>
      <c r="C47" s="153" t="s">
        <v>143</v>
      </c>
      <c r="D47" s="153" t="s">
        <v>144</v>
      </c>
      <c r="E47" s="153" t="s">
        <v>230</v>
      </c>
      <c r="F47" s="153" t="s">
        <v>231</v>
      </c>
      <c r="G47" s="153" t="s">
        <v>1828</v>
      </c>
      <c r="H47" s="153" t="s">
        <v>6242</v>
      </c>
      <c r="I47" s="230">
        <v>2014.0</v>
      </c>
      <c r="J47" s="230">
        <v>2014.0</v>
      </c>
      <c r="K47" s="230">
        <v>2017.0</v>
      </c>
      <c r="L47" s="153" t="s">
        <v>6221</v>
      </c>
      <c r="M47" s="158" t="s">
        <v>1830</v>
      </c>
      <c r="N47" s="192" t="s">
        <v>1830</v>
      </c>
      <c r="O47" s="153" t="s">
        <v>1831</v>
      </c>
      <c r="P47" s="153" t="s">
        <v>321</v>
      </c>
      <c r="Q47" s="158" t="s">
        <v>160</v>
      </c>
      <c r="R47" s="158" t="s">
        <v>6035</v>
      </c>
      <c r="S47" s="158" t="s">
        <v>204</v>
      </c>
      <c r="T47" s="240">
        <v>2803661.28</v>
      </c>
      <c r="U47" s="158" t="s">
        <v>149</v>
      </c>
      <c r="V47" s="158" t="s">
        <v>149</v>
      </c>
      <c r="W47" s="153" t="s">
        <v>233</v>
      </c>
      <c r="X47" s="158" t="s">
        <v>6068</v>
      </c>
      <c r="Y47" s="153" t="s">
        <v>1833</v>
      </c>
      <c r="Z47" s="153"/>
      <c r="AA47" s="153"/>
      <c r="AB47" s="153" t="s">
        <v>6084</v>
      </c>
      <c r="AC47" s="153" t="s">
        <v>1834</v>
      </c>
      <c r="AD47" s="153" t="s">
        <v>6070</v>
      </c>
      <c r="AE47" s="153" t="s">
        <v>943</v>
      </c>
      <c r="AF47" s="153"/>
      <c r="AG47" s="153"/>
    </row>
    <row r="48" ht="15.75" customHeight="1">
      <c r="A48" s="238">
        <v>2025.0</v>
      </c>
      <c r="B48" s="230">
        <v>47.0</v>
      </c>
      <c r="C48" s="153" t="s">
        <v>143</v>
      </c>
      <c r="D48" s="153" t="s">
        <v>144</v>
      </c>
      <c r="E48" s="153" t="s">
        <v>230</v>
      </c>
      <c r="F48" s="153" t="s">
        <v>231</v>
      </c>
      <c r="G48" s="153" t="s">
        <v>1846</v>
      </c>
      <c r="H48" s="153"/>
      <c r="I48" s="230">
        <v>2014.0</v>
      </c>
      <c r="J48" s="230">
        <v>2014.0</v>
      </c>
      <c r="K48" s="230">
        <v>2017.0</v>
      </c>
      <c r="L48" s="153" t="s">
        <v>6221</v>
      </c>
      <c r="M48" s="158" t="s">
        <v>1847</v>
      </c>
      <c r="N48" s="158" t="s">
        <v>1847</v>
      </c>
      <c r="O48" s="153" t="s">
        <v>1848</v>
      </c>
      <c r="P48" s="153" t="s">
        <v>321</v>
      </c>
      <c r="Q48" s="158" t="s">
        <v>160</v>
      </c>
      <c r="R48" s="158" t="s">
        <v>6035</v>
      </c>
      <c r="S48" s="158" t="s">
        <v>204</v>
      </c>
      <c r="T48" s="240">
        <v>2682661.5</v>
      </c>
      <c r="U48" s="158" t="s">
        <v>149</v>
      </c>
      <c r="V48" s="158" t="s">
        <v>149</v>
      </c>
      <c r="W48" s="153" t="s">
        <v>233</v>
      </c>
      <c r="X48" s="158" t="s">
        <v>6068</v>
      </c>
      <c r="Y48" s="153" t="s">
        <v>1850</v>
      </c>
      <c r="Z48" s="153" t="s">
        <v>885</v>
      </c>
      <c r="AA48" s="153"/>
      <c r="AB48" s="153" t="s">
        <v>6084</v>
      </c>
      <c r="AC48" s="153" t="s">
        <v>1851</v>
      </c>
      <c r="AD48" s="153" t="s">
        <v>6070</v>
      </c>
      <c r="AE48" s="153" t="s">
        <v>943</v>
      </c>
      <c r="AF48" s="153"/>
      <c r="AG48" s="153"/>
    </row>
    <row r="49" ht="15.75" customHeight="1">
      <c r="A49" s="238">
        <v>2025.0</v>
      </c>
      <c r="B49" s="230">
        <v>48.0</v>
      </c>
      <c r="C49" s="153" t="s">
        <v>143</v>
      </c>
      <c r="D49" s="153" t="s">
        <v>144</v>
      </c>
      <c r="E49" s="153" t="s">
        <v>230</v>
      </c>
      <c r="F49" s="153" t="s">
        <v>231</v>
      </c>
      <c r="G49" s="153" t="s">
        <v>6235</v>
      </c>
      <c r="H49" s="158" t="s">
        <v>232</v>
      </c>
      <c r="I49" s="230">
        <v>2018.0</v>
      </c>
      <c r="J49" s="230"/>
      <c r="K49" s="230"/>
      <c r="L49" s="153" t="s">
        <v>6221</v>
      </c>
      <c r="M49" s="158" t="s">
        <v>200</v>
      </c>
      <c r="N49" s="158" t="s">
        <v>224</v>
      </c>
      <c r="O49" s="158" t="s">
        <v>225</v>
      </c>
      <c r="P49" s="153" t="s">
        <v>203</v>
      </c>
      <c r="Q49" s="158" t="s">
        <v>6154</v>
      </c>
      <c r="R49" s="158" t="s">
        <v>206</v>
      </c>
      <c r="S49" s="158" t="s">
        <v>159</v>
      </c>
      <c r="T49" s="158" t="s">
        <v>149</v>
      </c>
      <c r="U49" s="158" t="s">
        <v>149</v>
      </c>
      <c r="V49" s="158" t="s">
        <v>149</v>
      </c>
      <c r="W49" s="153" t="s">
        <v>233</v>
      </c>
      <c r="X49" s="158" t="s">
        <v>6068</v>
      </c>
      <c r="Y49" s="153"/>
      <c r="Z49" s="153"/>
      <c r="AA49" s="153" t="s">
        <v>208</v>
      </c>
      <c r="AB49" s="153" t="s">
        <v>214</v>
      </c>
      <c r="AC49" s="153" t="s">
        <v>214</v>
      </c>
      <c r="AD49" s="153"/>
      <c r="AE49" s="153"/>
      <c r="AF49" s="153"/>
      <c r="AG49" s="153"/>
    </row>
    <row r="50" ht="15.75" customHeight="1">
      <c r="A50" s="238">
        <v>2025.0</v>
      </c>
      <c r="B50" s="230">
        <v>49.0</v>
      </c>
      <c r="C50" s="153" t="s">
        <v>143</v>
      </c>
      <c r="D50" s="153" t="s">
        <v>144</v>
      </c>
      <c r="E50" s="153" t="s">
        <v>230</v>
      </c>
      <c r="F50" s="153" t="s">
        <v>231</v>
      </c>
      <c r="G50" s="153" t="s">
        <v>7803</v>
      </c>
      <c r="H50" s="158" t="s">
        <v>6252</v>
      </c>
      <c r="I50" s="230">
        <v>2001.0</v>
      </c>
      <c r="J50" s="230">
        <v>2001.0</v>
      </c>
      <c r="K50" s="230">
        <v>2005.0</v>
      </c>
      <c r="L50" s="153" t="s">
        <v>6062</v>
      </c>
      <c r="M50" s="153" t="s">
        <v>7804</v>
      </c>
      <c r="N50" s="153" t="s">
        <v>7805</v>
      </c>
      <c r="O50" s="153" t="s">
        <v>939</v>
      </c>
      <c r="P50" s="153" t="s">
        <v>940</v>
      </c>
      <c r="Q50" s="158" t="s">
        <v>6154</v>
      </c>
      <c r="R50" s="158" t="s">
        <v>206</v>
      </c>
      <c r="S50" s="158" t="s">
        <v>159</v>
      </c>
      <c r="T50" s="158" t="s">
        <v>149</v>
      </c>
      <c r="U50" s="158" t="s">
        <v>149</v>
      </c>
      <c r="V50" s="158" t="s">
        <v>149</v>
      </c>
      <c r="W50" s="153" t="s">
        <v>233</v>
      </c>
      <c r="X50" s="158" t="s">
        <v>6068</v>
      </c>
      <c r="Y50" s="153"/>
      <c r="Z50" s="153"/>
      <c r="AA50" s="153"/>
      <c r="AB50" s="158" t="s">
        <v>6214</v>
      </c>
      <c r="AC50" s="153" t="s">
        <v>941</v>
      </c>
      <c r="AD50" s="172" t="s">
        <v>948</v>
      </c>
      <c r="AE50" s="153" t="s">
        <v>943</v>
      </c>
      <c r="AF50" s="153"/>
      <c r="AG50" s="153"/>
    </row>
    <row r="51" ht="15.75" customHeight="1">
      <c r="A51" s="238">
        <v>2025.0</v>
      </c>
      <c r="B51" s="230">
        <v>50.0</v>
      </c>
      <c r="C51" s="153" t="s">
        <v>143</v>
      </c>
      <c r="D51" s="153" t="s">
        <v>144</v>
      </c>
      <c r="E51" s="153" t="s">
        <v>230</v>
      </c>
      <c r="F51" s="153" t="s">
        <v>231</v>
      </c>
      <c r="G51" s="158" t="s">
        <v>149</v>
      </c>
      <c r="H51" s="158" t="s">
        <v>6260</v>
      </c>
      <c r="I51" s="192">
        <v>2011.0</v>
      </c>
      <c r="J51" s="192">
        <v>2010.0</v>
      </c>
      <c r="K51" s="192" t="s">
        <v>149</v>
      </c>
      <c r="L51" s="153" t="s">
        <v>6259</v>
      </c>
      <c r="M51" s="158" t="s">
        <v>6262</v>
      </c>
      <c r="N51" s="158" t="s">
        <v>2907</v>
      </c>
      <c r="O51" s="153" t="s">
        <v>7806</v>
      </c>
      <c r="P51" s="153" t="s">
        <v>2909</v>
      </c>
      <c r="Q51" s="158" t="s">
        <v>160</v>
      </c>
      <c r="R51" s="158" t="s">
        <v>209</v>
      </c>
      <c r="S51" s="158" t="s">
        <v>204</v>
      </c>
      <c r="T51" s="158" t="s">
        <v>149</v>
      </c>
      <c r="U51" s="158" t="s">
        <v>149</v>
      </c>
      <c r="V51" s="158" t="s">
        <v>149</v>
      </c>
      <c r="W51" s="153" t="s">
        <v>233</v>
      </c>
      <c r="X51" s="158" t="s">
        <v>6068</v>
      </c>
      <c r="Y51" s="153" t="s">
        <v>321</v>
      </c>
      <c r="Z51" s="153"/>
      <c r="AA51" s="153"/>
      <c r="AB51" s="158" t="s">
        <v>6214</v>
      </c>
      <c r="AC51" s="153" t="s">
        <v>2910</v>
      </c>
      <c r="AD51" s="165" t="s">
        <v>2911</v>
      </c>
      <c r="AE51" s="153" t="s">
        <v>1061</v>
      </c>
      <c r="AF51" s="153"/>
      <c r="AG51" s="153"/>
    </row>
    <row r="52" ht="15.75" customHeight="1">
      <c r="A52" s="238">
        <v>2025.0</v>
      </c>
      <c r="B52" s="230">
        <v>51.0</v>
      </c>
      <c r="C52" s="153" t="s">
        <v>143</v>
      </c>
      <c r="D52" s="153" t="s">
        <v>144</v>
      </c>
      <c r="E52" s="153" t="s">
        <v>230</v>
      </c>
      <c r="F52" s="153" t="s">
        <v>231</v>
      </c>
      <c r="G52" s="153" t="s">
        <v>197</v>
      </c>
      <c r="H52" s="158" t="s">
        <v>6267</v>
      </c>
      <c r="I52" s="230">
        <v>2013.0</v>
      </c>
      <c r="J52" s="230">
        <v>2013.0</v>
      </c>
      <c r="K52" s="230">
        <v>2015.0</v>
      </c>
      <c r="L52" s="153" t="s">
        <v>6221</v>
      </c>
      <c r="M52" s="158" t="s">
        <v>200</v>
      </c>
      <c r="N52" s="158" t="s">
        <v>224</v>
      </c>
      <c r="O52" s="153" t="s">
        <v>6269</v>
      </c>
      <c r="P52" s="153" t="s">
        <v>203</v>
      </c>
      <c r="Q52" s="158" t="s">
        <v>6154</v>
      </c>
      <c r="R52" s="158" t="s">
        <v>206</v>
      </c>
      <c r="S52" s="158" t="s">
        <v>159</v>
      </c>
      <c r="T52" s="158" t="s">
        <v>149</v>
      </c>
      <c r="U52" s="158" t="s">
        <v>149</v>
      </c>
      <c r="V52" s="158" t="s">
        <v>149</v>
      </c>
      <c r="W52" s="153" t="s">
        <v>208</v>
      </c>
      <c r="X52" s="158" t="s">
        <v>6068</v>
      </c>
      <c r="Y52" s="153" t="s">
        <v>7807</v>
      </c>
      <c r="Z52" s="153"/>
      <c r="AA52" s="153"/>
      <c r="AB52" s="158" t="s">
        <v>6214</v>
      </c>
      <c r="AC52" s="153" t="s">
        <v>243</v>
      </c>
      <c r="AD52" s="165" t="s">
        <v>244</v>
      </c>
      <c r="AE52" s="153" t="s">
        <v>245</v>
      </c>
      <c r="AF52" s="153"/>
      <c r="AG52" s="153"/>
    </row>
    <row r="53" ht="15.75" customHeight="1">
      <c r="A53" s="238">
        <v>2025.0</v>
      </c>
      <c r="B53" s="230">
        <v>52.0</v>
      </c>
      <c r="C53" s="153" t="s">
        <v>143</v>
      </c>
      <c r="D53" s="153" t="s">
        <v>144</v>
      </c>
      <c r="E53" s="153" t="s">
        <v>230</v>
      </c>
      <c r="F53" s="153" t="s">
        <v>231</v>
      </c>
      <c r="G53" s="153" t="s">
        <v>6305</v>
      </c>
      <c r="H53" s="153" t="s">
        <v>247</v>
      </c>
      <c r="I53" s="230">
        <v>2016.0</v>
      </c>
      <c r="J53" s="230">
        <v>2016.0</v>
      </c>
      <c r="K53" s="230">
        <v>2019.0</v>
      </c>
      <c r="L53" s="153" t="s">
        <v>6221</v>
      </c>
      <c r="M53" s="158" t="s">
        <v>200</v>
      </c>
      <c r="N53" s="158" t="s">
        <v>224</v>
      </c>
      <c r="O53" s="153" t="s">
        <v>248</v>
      </c>
      <c r="P53" s="153" t="s">
        <v>203</v>
      </c>
      <c r="Q53" s="158" t="s">
        <v>6154</v>
      </c>
      <c r="R53" s="158" t="s">
        <v>206</v>
      </c>
      <c r="S53" s="158" t="s">
        <v>159</v>
      </c>
      <c r="T53" s="158" t="s">
        <v>149</v>
      </c>
      <c r="U53" s="158" t="s">
        <v>149</v>
      </c>
      <c r="V53" s="158" t="s">
        <v>149</v>
      </c>
      <c r="W53" s="153" t="s">
        <v>208</v>
      </c>
      <c r="X53" s="158" t="s">
        <v>6068</v>
      </c>
      <c r="Y53" s="153" t="s">
        <v>7808</v>
      </c>
      <c r="Z53" s="153"/>
      <c r="AA53" s="153"/>
      <c r="AB53" s="158" t="s">
        <v>6214</v>
      </c>
      <c r="AC53" s="153" t="s">
        <v>250</v>
      </c>
      <c r="AD53" s="165" t="s">
        <v>251</v>
      </c>
      <c r="AE53" s="153" t="s">
        <v>252</v>
      </c>
      <c r="AF53" s="153"/>
      <c r="AG53" s="153"/>
    </row>
    <row r="54" ht="15.75" customHeight="1">
      <c r="A54" s="238">
        <v>2025.0</v>
      </c>
      <c r="B54" s="230">
        <v>53.0</v>
      </c>
      <c r="C54" s="158" t="s">
        <v>143</v>
      </c>
      <c r="D54" s="158" t="s">
        <v>144</v>
      </c>
      <c r="E54" s="158" t="s">
        <v>230</v>
      </c>
      <c r="F54" s="158" t="s">
        <v>231</v>
      </c>
      <c r="G54" s="153" t="s">
        <v>7809</v>
      </c>
      <c r="H54" s="158"/>
      <c r="I54" s="192"/>
      <c r="J54" s="192">
        <v>2021.0</v>
      </c>
      <c r="K54" s="192">
        <v>2025.0</v>
      </c>
      <c r="L54" s="158" t="s">
        <v>6221</v>
      </c>
      <c r="M54" s="158" t="s">
        <v>200</v>
      </c>
      <c r="N54" s="158" t="s">
        <v>224</v>
      </c>
      <c r="O54" s="158" t="s">
        <v>149</v>
      </c>
      <c r="P54" s="158" t="s">
        <v>203</v>
      </c>
      <c r="Q54" s="158" t="s">
        <v>6154</v>
      </c>
      <c r="R54" s="158" t="s">
        <v>206</v>
      </c>
      <c r="S54" s="158" t="s">
        <v>159</v>
      </c>
      <c r="T54" s="158" t="s">
        <v>149</v>
      </c>
      <c r="U54" s="158" t="s">
        <v>149</v>
      </c>
      <c r="V54" s="158" t="s">
        <v>149</v>
      </c>
      <c r="W54" s="158" t="s">
        <v>208</v>
      </c>
      <c r="X54" s="158" t="s">
        <v>6068</v>
      </c>
      <c r="Y54" s="158" t="s">
        <v>255</v>
      </c>
      <c r="Z54" s="153"/>
      <c r="AA54" s="153"/>
      <c r="AB54" s="158" t="s">
        <v>214</v>
      </c>
      <c r="AC54" s="158"/>
      <c r="AD54" s="165"/>
      <c r="AE54" s="153"/>
      <c r="AF54" s="153"/>
      <c r="AG54" s="153"/>
    </row>
    <row r="55" ht="15.75" customHeight="1">
      <c r="A55" s="238">
        <v>2025.0</v>
      </c>
      <c r="B55" s="230">
        <v>54.0</v>
      </c>
      <c r="C55" s="153" t="s">
        <v>143</v>
      </c>
      <c r="D55" s="153" t="s">
        <v>144</v>
      </c>
      <c r="E55" s="153" t="s">
        <v>230</v>
      </c>
      <c r="F55" s="153" t="s">
        <v>231</v>
      </c>
      <c r="G55" s="158" t="s">
        <v>149</v>
      </c>
      <c r="H55" s="158" t="s">
        <v>6283</v>
      </c>
      <c r="I55" s="230">
        <v>2016.0</v>
      </c>
      <c r="J55" s="192" t="s">
        <v>149</v>
      </c>
      <c r="K55" s="192" t="s">
        <v>149</v>
      </c>
      <c r="L55" s="153" t="s">
        <v>7810</v>
      </c>
      <c r="M55" s="153" t="s">
        <v>2913</v>
      </c>
      <c r="N55" s="158" t="s">
        <v>2913</v>
      </c>
      <c r="O55" s="153" t="s">
        <v>7811</v>
      </c>
      <c r="P55" s="153" t="s">
        <v>321</v>
      </c>
      <c r="Q55" s="158" t="s">
        <v>160</v>
      </c>
      <c r="R55" s="158" t="s">
        <v>6035</v>
      </c>
      <c r="S55" s="158" t="s">
        <v>204</v>
      </c>
      <c r="T55" s="158" t="s">
        <v>149</v>
      </c>
      <c r="U55" s="158" t="s">
        <v>149</v>
      </c>
      <c r="V55" s="153" t="s">
        <v>2915</v>
      </c>
      <c r="W55" s="153" t="s">
        <v>233</v>
      </c>
      <c r="X55" s="158" t="s">
        <v>6068</v>
      </c>
      <c r="Y55" s="153"/>
      <c r="Z55" s="153"/>
      <c r="AA55" s="153"/>
      <c r="AB55" s="158" t="s">
        <v>6214</v>
      </c>
      <c r="AC55" s="153" t="s">
        <v>2916</v>
      </c>
      <c r="AD55" s="165" t="s">
        <v>2917</v>
      </c>
      <c r="AE55" s="153" t="s">
        <v>2918</v>
      </c>
      <c r="AF55" s="153"/>
      <c r="AG55" s="153"/>
    </row>
    <row r="56" ht="15.75" customHeight="1">
      <c r="A56" s="238">
        <v>2025.0</v>
      </c>
      <c r="B56" s="230">
        <v>55.0</v>
      </c>
      <c r="C56" s="153" t="s">
        <v>143</v>
      </c>
      <c r="D56" s="153" t="s">
        <v>144</v>
      </c>
      <c r="E56" s="153" t="s">
        <v>230</v>
      </c>
      <c r="F56" s="153" t="s">
        <v>231</v>
      </c>
      <c r="G56" s="158" t="s">
        <v>149</v>
      </c>
      <c r="H56" s="153" t="s">
        <v>6291</v>
      </c>
      <c r="I56" s="230">
        <v>2011.0</v>
      </c>
      <c r="J56" s="230">
        <v>2010.0</v>
      </c>
      <c r="K56" s="230">
        <v>2012.0</v>
      </c>
      <c r="L56" s="153" t="s">
        <v>6259</v>
      </c>
      <c r="M56" s="153" t="s">
        <v>7812</v>
      </c>
      <c r="N56" s="158" t="s">
        <v>2922</v>
      </c>
      <c r="O56" s="153" t="s">
        <v>7813</v>
      </c>
      <c r="P56" s="153" t="s">
        <v>321</v>
      </c>
      <c r="Q56" s="158" t="s">
        <v>160</v>
      </c>
      <c r="R56" s="158" t="s">
        <v>6035</v>
      </c>
      <c r="S56" s="158" t="s">
        <v>204</v>
      </c>
      <c r="T56" s="158" t="s">
        <v>149</v>
      </c>
      <c r="U56" s="158" t="s">
        <v>149</v>
      </c>
      <c r="V56" s="153" t="s">
        <v>2924</v>
      </c>
      <c r="W56" s="153" t="s">
        <v>233</v>
      </c>
      <c r="X56" s="158" t="s">
        <v>6068</v>
      </c>
      <c r="Y56" s="153"/>
      <c r="Z56" s="153"/>
      <c r="AA56" s="153"/>
      <c r="AB56" s="158" t="s">
        <v>6214</v>
      </c>
      <c r="AC56" s="153" t="s">
        <v>2925</v>
      </c>
      <c r="AD56" s="165" t="s">
        <v>2926</v>
      </c>
      <c r="AE56" s="153" t="s">
        <v>2927</v>
      </c>
      <c r="AF56" s="239"/>
      <c r="AG56" s="153"/>
    </row>
    <row r="57" ht="15.75" customHeight="1">
      <c r="A57" s="238">
        <v>2025.0</v>
      </c>
      <c r="B57" s="230">
        <v>56.0</v>
      </c>
      <c r="C57" s="153" t="s">
        <v>143</v>
      </c>
      <c r="D57" s="153" t="s">
        <v>144</v>
      </c>
      <c r="E57" s="153" t="s">
        <v>230</v>
      </c>
      <c r="F57" s="153" t="s">
        <v>231</v>
      </c>
      <c r="G57" s="158" t="s">
        <v>149</v>
      </c>
      <c r="H57" s="153" t="s">
        <v>2929</v>
      </c>
      <c r="I57" s="230">
        <v>2015.0</v>
      </c>
      <c r="J57" s="192" t="s">
        <v>149</v>
      </c>
      <c r="K57" s="192" t="s">
        <v>149</v>
      </c>
      <c r="L57" s="153" t="s">
        <v>6221</v>
      </c>
      <c r="M57" s="158" t="s">
        <v>6300</v>
      </c>
      <c r="N57" s="153" t="s">
        <v>7814</v>
      </c>
      <c r="O57" s="153" t="s">
        <v>7815</v>
      </c>
      <c r="P57" s="158" t="s">
        <v>149</v>
      </c>
      <c r="Q57" s="158" t="s">
        <v>149</v>
      </c>
      <c r="R57" s="158" t="s">
        <v>149</v>
      </c>
      <c r="S57" s="158" t="s">
        <v>149</v>
      </c>
      <c r="T57" s="158" t="s">
        <v>149</v>
      </c>
      <c r="U57" s="158" t="s">
        <v>149</v>
      </c>
      <c r="V57" s="153" t="s">
        <v>7816</v>
      </c>
      <c r="W57" s="153" t="s">
        <v>233</v>
      </c>
      <c r="X57" s="158" t="s">
        <v>6068</v>
      </c>
      <c r="Y57" s="153"/>
      <c r="Z57" s="153"/>
      <c r="AA57" s="153"/>
      <c r="AB57" s="158" t="s">
        <v>6214</v>
      </c>
      <c r="AC57" s="153" t="s">
        <v>7817</v>
      </c>
      <c r="AD57" s="177" t="s">
        <v>2934</v>
      </c>
      <c r="AE57" s="153" t="s">
        <v>2935</v>
      </c>
      <c r="AF57" s="239"/>
      <c r="AG57" s="153"/>
    </row>
    <row r="58" ht="15.75" customHeight="1">
      <c r="A58" s="238">
        <v>2025.0</v>
      </c>
      <c r="B58" s="230">
        <v>57.0</v>
      </c>
      <c r="C58" s="153" t="s">
        <v>143</v>
      </c>
      <c r="D58" s="153" t="s">
        <v>144</v>
      </c>
      <c r="E58" s="153" t="s">
        <v>463</v>
      </c>
      <c r="F58" s="153" t="s">
        <v>464</v>
      </c>
      <c r="G58" s="153" t="s">
        <v>384</v>
      </c>
      <c r="H58" s="153" t="s">
        <v>465</v>
      </c>
      <c r="I58" s="230">
        <v>1985.0</v>
      </c>
      <c r="J58" s="230">
        <v>1985.0</v>
      </c>
      <c r="K58" s="230">
        <v>1987.0</v>
      </c>
      <c r="L58" s="153" t="s">
        <v>151</v>
      </c>
      <c r="M58" s="153" t="s">
        <v>6054</v>
      </c>
      <c r="N58" s="158" t="s">
        <v>6054</v>
      </c>
      <c r="O58" s="158" t="s">
        <v>149</v>
      </c>
      <c r="P58" s="153" t="s">
        <v>390</v>
      </c>
      <c r="Q58" s="158" t="s">
        <v>160</v>
      </c>
      <c r="R58" s="158" t="s">
        <v>6035</v>
      </c>
      <c r="S58" s="158" t="s">
        <v>159</v>
      </c>
      <c r="T58" s="158" t="s">
        <v>149</v>
      </c>
      <c r="U58" s="158" t="s">
        <v>149</v>
      </c>
      <c r="V58" s="153" t="s">
        <v>450</v>
      </c>
      <c r="W58" s="153" t="s">
        <v>390</v>
      </c>
      <c r="X58" s="153" t="s">
        <v>6035</v>
      </c>
      <c r="Y58" s="153" t="s">
        <v>6055</v>
      </c>
      <c r="Z58" s="153"/>
      <c r="AA58" s="153" t="s">
        <v>6056</v>
      </c>
      <c r="AB58" s="158" t="s">
        <v>395</v>
      </c>
      <c r="AC58" s="153" t="s">
        <v>6060</v>
      </c>
      <c r="AD58" s="158" t="s">
        <v>397</v>
      </c>
      <c r="AE58" s="153" t="s">
        <v>398</v>
      </c>
      <c r="AF58" s="153"/>
      <c r="AG58" s="153"/>
    </row>
    <row r="59" ht="15.75" customHeight="1">
      <c r="A59" s="238">
        <v>2025.0</v>
      </c>
      <c r="B59" s="230">
        <v>58.0</v>
      </c>
      <c r="C59" s="153" t="s">
        <v>143</v>
      </c>
      <c r="D59" s="153" t="s">
        <v>144</v>
      </c>
      <c r="E59" s="153" t="s">
        <v>463</v>
      </c>
      <c r="F59" s="153" t="s">
        <v>464</v>
      </c>
      <c r="G59" s="153" t="s">
        <v>384</v>
      </c>
      <c r="H59" s="153" t="s">
        <v>7818</v>
      </c>
      <c r="I59" s="230">
        <v>1985.0</v>
      </c>
      <c r="J59" s="230">
        <v>1985.0</v>
      </c>
      <c r="K59" s="230">
        <v>1987.0</v>
      </c>
      <c r="L59" s="153" t="s">
        <v>151</v>
      </c>
      <c r="M59" s="153" t="s">
        <v>469</v>
      </c>
      <c r="N59" s="158" t="s">
        <v>469</v>
      </c>
      <c r="O59" s="158" t="s">
        <v>149</v>
      </c>
      <c r="P59" s="153" t="s">
        <v>390</v>
      </c>
      <c r="Q59" s="158" t="s">
        <v>160</v>
      </c>
      <c r="R59" s="158" t="s">
        <v>6035</v>
      </c>
      <c r="S59" s="158" t="s">
        <v>159</v>
      </c>
      <c r="T59" s="158" t="s">
        <v>149</v>
      </c>
      <c r="U59" s="158" t="s">
        <v>149</v>
      </c>
      <c r="V59" s="153" t="s">
        <v>6314</v>
      </c>
      <c r="W59" s="153" t="s">
        <v>390</v>
      </c>
      <c r="X59" s="153" t="s">
        <v>6035</v>
      </c>
      <c r="Y59" s="153" t="s">
        <v>6055</v>
      </c>
      <c r="Z59" s="153"/>
      <c r="AA59" s="153"/>
      <c r="AB59" s="158" t="s">
        <v>395</v>
      </c>
      <c r="AC59" s="153" t="s">
        <v>6060</v>
      </c>
      <c r="AD59" s="158" t="s">
        <v>397</v>
      </c>
      <c r="AE59" s="153" t="s">
        <v>398</v>
      </c>
      <c r="AF59" s="153"/>
      <c r="AG59" s="153"/>
    </row>
    <row r="60" ht="15.75" customHeight="1">
      <c r="A60" s="238">
        <v>2025.0</v>
      </c>
      <c r="B60" s="230">
        <v>59.0</v>
      </c>
      <c r="C60" s="153" t="s">
        <v>143</v>
      </c>
      <c r="D60" s="153" t="s">
        <v>144</v>
      </c>
      <c r="E60" s="153" t="s">
        <v>693</v>
      </c>
      <c r="F60" s="153" t="s">
        <v>694</v>
      </c>
      <c r="G60" s="158" t="s">
        <v>149</v>
      </c>
      <c r="H60" s="158"/>
      <c r="I60" s="230">
        <v>1978.0</v>
      </c>
      <c r="J60" s="192" t="s">
        <v>149</v>
      </c>
      <c r="K60" s="192" t="s">
        <v>149</v>
      </c>
      <c r="L60" s="153" t="s">
        <v>151</v>
      </c>
      <c r="M60" s="158" t="s">
        <v>6054</v>
      </c>
      <c r="N60" s="158" t="s">
        <v>6054</v>
      </c>
      <c r="O60" s="153" t="s">
        <v>699</v>
      </c>
      <c r="P60" s="153" t="s">
        <v>2111</v>
      </c>
      <c r="Q60" s="158" t="s">
        <v>6154</v>
      </c>
      <c r="R60" s="158" t="s">
        <v>206</v>
      </c>
      <c r="S60" s="158" t="s">
        <v>159</v>
      </c>
      <c r="T60" s="158" t="s">
        <v>149</v>
      </c>
      <c r="U60" s="158" t="s">
        <v>149</v>
      </c>
      <c r="V60" s="153" t="s">
        <v>2938</v>
      </c>
      <c r="W60" s="158" t="s">
        <v>233</v>
      </c>
      <c r="X60" s="158" t="s">
        <v>6068</v>
      </c>
      <c r="Y60" s="158" t="s">
        <v>6320</v>
      </c>
      <c r="Z60" s="158" t="s">
        <v>6321</v>
      </c>
      <c r="AA60" s="158"/>
      <c r="AB60" s="158" t="s">
        <v>395</v>
      </c>
      <c r="AC60" s="153" t="s">
        <v>6060</v>
      </c>
      <c r="AD60" s="158" t="s">
        <v>397</v>
      </c>
      <c r="AE60" s="153" t="s">
        <v>398</v>
      </c>
      <c r="AF60" s="153"/>
      <c r="AG60" s="153"/>
    </row>
    <row r="61" ht="15.75" customHeight="1">
      <c r="A61" s="238">
        <v>2025.0</v>
      </c>
      <c r="B61" s="230">
        <v>60.0</v>
      </c>
      <c r="C61" s="153" t="s">
        <v>143</v>
      </c>
      <c r="D61" s="153" t="s">
        <v>144</v>
      </c>
      <c r="E61" s="153" t="s">
        <v>693</v>
      </c>
      <c r="F61" s="153" t="s">
        <v>694</v>
      </c>
      <c r="G61" s="153" t="s">
        <v>729</v>
      </c>
      <c r="H61" s="153"/>
      <c r="I61" s="230">
        <v>2004.0</v>
      </c>
      <c r="J61" s="230">
        <v>2004.0</v>
      </c>
      <c r="K61" s="230">
        <v>2009.0</v>
      </c>
      <c r="L61" s="153" t="s">
        <v>6062</v>
      </c>
      <c r="M61" s="153" t="s">
        <v>730</v>
      </c>
      <c r="N61" s="158" t="s">
        <v>730</v>
      </c>
      <c r="O61" s="158" t="s">
        <v>149</v>
      </c>
      <c r="P61" s="158" t="s">
        <v>149</v>
      </c>
      <c r="Q61" s="158" t="s">
        <v>149</v>
      </c>
      <c r="R61" s="158" t="s">
        <v>149</v>
      </c>
      <c r="S61" s="158" t="s">
        <v>149</v>
      </c>
      <c r="T61" s="158" t="s">
        <v>149</v>
      </c>
      <c r="U61" s="158" t="s">
        <v>149</v>
      </c>
      <c r="V61" s="158" t="s">
        <v>149</v>
      </c>
      <c r="W61" s="158" t="s">
        <v>149</v>
      </c>
      <c r="X61" s="158" t="s">
        <v>149</v>
      </c>
      <c r="Y61" s="153"/>
      <c r="Z61" s="153"/>
      <c r="AA61" s="153"/>
      <c r="AB61" s="153" t="s">
        <v>6084</v>
      </c>
      <c r="AC61" s="153" t="s">
        <v>732</v>
      </c>
      <c r="AD61" s="165" t="s">
        <v>733</v>
      </c>
      <c r="AE61" s="153" t="s">
        <v>734</v>
      </c>
      <c r="AF61" s="153"/>
      <c r="AG61" s="153"/>
    </row>
    <row r="62" ht="15.75" customHeight="1">
      <c r="A62" s="238">
        <v>2025.0</v>
      </c>
      <c r="B62" s="230">
        <v>61.0</v>
      </c>
      <c r="C62" s="153" t="s">
        <v>143</v>
      </c>
      <c r="D62" s="153" t="s">
        <v>144</v>
      </c>
      <c r="E62" s="153" t="s">
        <v>693</v>
      </c>
      <c r="F62" s="153" t="s">
        <v>694</v>
      </c>
      <c r="G62" s="153" t="s">
        <v>695</v>
      </c>
      <c r="H62" s="153" t="s">
        <v>7819</v>
      </c>
      <c r="I62" s="230">
        <v>1991.0</v>
      </c>
      <c r="J62" s="192">
        <v>1991.0</v>
      </c>
      <c r="K62" s="192">
        <v>1991.0</v>
      </c>
      <c r="L62" s="153" t="s">
        <v>151</v>
      </c>
      <c r="M62" s="153" t="s">
        <v>697</v>
      </c>
      <c r="N62" s="158" t="s">
        <v>697</v>
      </c>
      <c r="O62" s="153" t="s">
        <v>699</v>
      </c>
      <c r="P62" s="158" t="s">
        <v>695</v>
      </c>
      <c r="Q62" s="158" t="s">
        <v>6154</v>
      </c>
      <c r="R62" s="158" t="s">
        <v>206</v>
      </c>
      <c r="S62" s="158" t="s">
        <v>204</v>
      </c>
      <c r="T62" s="158" t="s">
        <v>149</v>
      </c>
      <c r="U62" s="158" t="s">
        <v>149</v>
      </c>
      <c r="V62" s="158" t="s">
        <v>700</v>
      </c>
      <c r="W62" s="153" t="s">
        <v>233</v>
      </c>
      <c r="X62" s="158" t="s">
        <v>6068</v>
      </c>
      <c r="Y62" s="153"/>
      <c r="Z62" s="153"/>
      <c r="AA62" s="153"/>
      <c r="AB62" s="158" t="s">
        <v>6214</v>
      </c>
      <c r="AC62" s="153" t="s">
        <v>701</v>
      </c>
      <c r="AD62" s="153" t="s">
        <v>6334</v>
      </c>
      <c r="AE62" s="153" t="s">
        <v>703</v>
      </c>
      <c r="AF62" s="153"/>
      <c r="AG62" s="153"/>
    </row>
    <row r="63" ht="15.75" customHeight="1">
      <c r="A63" s="238">
        <v>2025.0</v>
      </c>
      <c r="B63" s="230">
        <v>62.0</v>
      </c>
      <c r="C63" s="153" t="s">
        <v>143</v>
      </c>
      <c r="D63" s="153" t="s">
        <v>144</v>
      </c>
      <c r="E63" s="153" t="s">
        <v>693</v>
      </c>
      <c r="F63" s="153" t="s">
        <v>694</v>
      </c>
      <c r="G63" s="153" t="s">
        <v>1377</v>
      </c>
      <c r="H63" s="153" t="s">
        <v>7820</v>
      </c>
      <c r="I63" s="230">
        <v>1994.0</v>
      </c>
      <c r="J63" s="230">
        <v>1994.0</v>
      </c>
      <c r="K63" s="230">
        <v>1995.0</v>
      </c>
      <c r="L63" s="153" t="s">
        <v>6062</v>
      </c>
      <c r="M63" s="153" t="s">
        <v>179</v>
      </c>
      <c r="N63" s="158" t="s">
        <v>179</v>
      </c>
      <c r="O63" s="153" t="s">
        <v>7821</v>
      </c>
      <c r="P63" s="153" t="s">
        <v>1381</v>
      </c>
      <c r="Q63" s="158" t="s">
        <v>6154</v>
      </c>
      <c r="R63" s="158" t="s">
        <v>206</v>
      </c>
      <c r="S63" s="158" t="s">
        <v>204</v>
      </c>
      <c r="T63" s="158" t="s">
        <v>149</v>
      </c>
      <c r="U63" s="158" t="s">
        <v>149</v>
      </c>
      <c r="V63" s="158" t="s">
        <v>149</v>
      </c>
      <c r="W63" s="153" t="s">
        <v>233</v>
      </c>
      <c r="X63" s="158" t="s">
        <v>6068</v>
      </c>
      <c r="Y63" s="153" t="s">
        <v>660</v>
      </c>
      <c r="Z63" s="153"/>
      <c r="AA63" s="153"/>
      <c r="AB63" s="158" t="s">
        <v>6214</v>
      </c>
      <c r="AC63" s="153" t="s">
        <v>1513</v>
      </c>
      <c r="AD63" s="165" t="s">
        <v>6341</v>
      </c>
      <c r="AE63" s="153" t="s">
        <v>1068</v>
      </c>
      <c r="AF63" s="153"/>
      <c r="AG63" s="153"/>
    </row>
    <row r="64" ht="15.75" customHeight="1">
      <c r="A64" s="238">
        <v>2025.0</v>
      </c>
      <c r="B64" s="230">
        <v>63.0</v>
      </c>
      <c r="C64" s="153" t="s">
        <v>143</v>
      </c>
      <c r="D64" s="153" t="s">
        <v>144</v>
      </c>
      <c r="E64" s="153" t="s">
        <v>693</v>
      </c>
      <c r="F64" s="153" t="s">
        <v>694</v>
      </c>
      <c r="G64" s="158" t="s">
        <v>149</v>
      </c>
      <c r="H64" s="158" t="s">
        <v>2941</v>
      </c>
      <c r="I64" s="192">
        <v>1980.0</v>
      </c>
      <c r="J64" s="230">
        <v>1980.0</v>
      </c>
      <c r="K64" s="230">
        <v>1982.0</v>
      </c>
      <c r="L64" s="153" t="s">
        <v>6062</v>
      </c>
      <c r="M64" s="153" t="s">
        <v>179</v>
      </c>
      <c r="N64" s="158" t="s">
        <v>179</v>
      </c>
      <c r="O64" s="153" t="s">
        <v>7822</v>
      </c>
      <c r="P64" s="158" t="s">
        <v>149</v>
      </c>
      <c r="Q64" s="158" t="s">
        <v>149</v>
      </c>
      <c r="R64" s="158" t="s">
        <v>149</v>
      </c>
      <c r="S64" s="158" t="s">
        <v>204</v>
      </c>
      <c r="T64" s="158" t="s">
        <v>149</v>
      </c>
      <c r="U64" s="158" t="s">
        <v>149</v>
      </c>
      <c r="V64" s="158" t="s">
        <v>149</v>
      </c>
      <c r="W64" s="153" t="s">
        <v>233</v>
      </c>
      <c r="X64" s="158" t="s">
        <v>6068</v>
      </c>
      <c r="Y64" s="153"/>
      <c r="Z64" s="153"/>
      <c r="AA64" s="153"/>
      <c r="AB64" s="158" t="s">
        <v>6214</v>
      </c>
      <c r="AC64" s="153" t="s">
        <v>2943</v>
      </c>
      <c r="AD64" s="177" t="s">
        <v>2944</v>
      </c>
      <c r="AE64" s="153" t="s">
        <v>1068</v>
      </c>
      <c r="AF64" s="153"/>
      <c r="AG64" s="153"/>
    </row>
    <row r="65" ht="15.75" customHeight="1">
      <c r="A65" s="238">
        <v>2025.0</v>
      </c>
      <c r="B65" s="230">
        <v>64.0</v>
      </c>
      <c r="C65" s="153" t="s">
        <v>143</v>
      </c>
      <c r="D65" s="153" t="s">
        <v>144</v>
      </c>
      <c r="E65" s="153" t="s">
        <v>693</v>
      </c>
      <c r="F65" s="153" t="s">
        <v>694</v>
      </c>
      <c r="G65" s="158" t="s">
        <v>149</v>
      </c>
      <c r="H65" s="153" t="s">
        <v>7823</v>
      </c>
      <c r="I65" s="230">
        <v>1983.0</v>
      </c>
      <c r="J65" s="192">
        <v>1983.0</v>
      </c>
      <c r="K65" s="192">
        <v>1984.0</v>
      </c>
      <c r="L65" s="153" t="s">
        <v>6062</v>
      </c>
      <c r="M65" s="153" t="s">
        <v>179</v>
      </c>
      <c r="N65" s="158" t="s">
        <v>179</v>
      </c>
      <c r="O65" s="158" t="s">
        <v>2947</v>
      </c>
      <c r="P65" s="158" t="s">
        <v>321</v>
      </c>
      <c r="Q65" s="158" t="s">
        <v>160</v>
      </c>
      <c r="R65" s="158" t="s">
        <v>6035</v>
      </c>
      <c r="S65" s="158" t="s">
        <v>204</v>
      </c>
      <c r="T65" s="158" t="s">
        <v>149</v>
      </c>
      <c r="U65" s="158" t="s">
        <v>149</v>
      </c>
      <c r="V65" s="158" t="s">
        <v>149</v>
      </c>
      <c r="W65" s="153" t="s">
        <v>233</v>
      </c>
      <c r="X65" s="158" t="s">
        <v>6068</v>
      </c>
      <c r="Y65" s="153"/>
      <c r="Z65" s="153"/>
      <c r="AA65" s="153"/>
      <c r="AB65" s="158" t="s">
        <v>6214</v>
      </c>
      <c r="AC65" s="153" t="s">
        <v>2948</v>
      </c>
      <c r="AD65" s="177" t="s">
        <v>2949</v>
      </c>
      <c r="AE65" s="153" t="s">
        <v>1068</v>
      </c>
      <c r="AF65" s="153"/>
      <c r="AG65" s="153"/>
    </row>
    <row r="66" ht="15.75" customHeight="1">
      <c r="A66" s="238">
        <v>2025.0</v>
      </c>
      <c r="B66" s="230">
        <v>65.0</v>
      </c>
      <c r="C66" s="153" t="s">
        <v>143</v>
      </c>
      <c r="D66" s="153" t="s">
        <v>144</v>
      </c>
      <c r="E66" s="153" t="s">
        <v>693</v>
      </c>
      <c r="F66" s="153" t="s">
        <v>694</v>
      </c>
      <c r="G66" s="158" t="s">
        <v>149</v>
      </c>
      <c r="H66" s="153" t="s">
        <v>7824</v>
      </c>
      <c r="I66" s="192">
        <v>1996.0</v>
      </c>
      <c r="J66" s="192">
        <v>1996.0</v>
      </c>
      <c r="K66" s="192">
        <v>1998.0</v>
      </c>
      <c r="L66" s="153" t="s">
        <v>6062</v>
      </c>
      <c r="M66" s="153" t="s">
        <v>6357</v>
      </c>
      <c r="N66" s="158" t="s">
        <v>179</v>
      </c>
      <c r="O66" s="153" t="s">
        <v>7825</v>
      </c>
      <c r="P66" s="158" t="s">
        <v>2953</v>
      </c>
      <c r="Q66" s="158" t="s">
        <v>6154</v>
      </c>
      <c r="R66" s="158" t="s">
        <v>206</v>
      </c>
      <c r="S66" s="158" t="s">
        <v>204</v>
      </c>
      <c r="T66" s="158" t="s">
        <v>149</v>
      </c>
      <c r="U66" s="158" t="s">
        <v>149</v>
      </c>
      <c r="V66" s="158" t="s">
        <v>149</v>
      </c>
      <c r="W66" s="153" t="s">
        <v>233</v>
      </c>
      <c r="X66" s="158" t="s">
        <v>6068</v>
      </c>
      <c r="Y66" s="153"/>
      <c r="Z66" s="153"/>
      <c r="AA66" s="153"/>
      <c r="AB66" s="158" t="s">
        <v>6214</v>
      </c>
      <c r="AC66" s="153" t="s">
        <v>2954</v>
      </c>
      <c r="AD66" s="165" t="s">
        <v>6359</v>
      </c>
      <c r="AE66" s="153" t="s">
        <v>1068</v>
      </c>
      <c r="AF66" s="153"/>
      <c r="AG66" s="153"/>
    </row>
    <row r="67" ht="15.75" customHeight="1">
      <c r="A67" s="238">
        <v>2025.0</v>
      </c>
      <c r="B67" s="230">
        <v>66.0</v>
      </c>
      <c r="C67" s="153" t="s">
        <v>143</v>
      </c>
      <c r="D67" s="153" t="s">
        <v>144</v>
      </c>
      <c r="E67" s="153" t="s">
        <v>693</v>
      </c>
      <c r="F67" s="153" t="s">
        <v>694</v>
      </c>
      <c r="G67" s="158" t="s">
        <v>149</v>
      </c>
      <c r="H67" s="153" t="s">
        <v>7826</v>
      </c>
      <c r="I67" s="192">
        <v>1998.0</v>
      </c>
      <c r="J67" s="192">
        <v>1998.0</v>
      </c>
      <c r="K67" s="192">
        <v>1998.0</v>
      </c>
      <c r="L67" s="153" t="s">
        <v>6062</v>
      </c>
      <c r="M67" s="153" t="s">
        <v>7827</v>
      </c>
      <c r="N67" s="158" t="s">
        <v>2958</v>
      </c>
      <c r="O67" s="153" t="s">
        <v>7828</v>
      </c>
      <c r="P67" s="158" t="s">
        <v>149</v>
      </c>
      <c r="Q67" s="158" t="s">
        <v>149</v>
      </c>
      <c r="R67" s="158" t="s">
        <v>149</v>
      </c>
      <c r="S67" s="158" t="s">
        <v>149</v>
      </c>
      <c r="T67" s="158" t="s">
        <v>149</v>
      </c>
      <c r="U67" s="158" t="s">
        <v>149</v>
      </c>
      <c r="V67" s="158" t="s">
        <v>149</v>
      </c>
      <c r="W67" s="153" t="s">
        <v>233</v>
      </c>
      <c r="X67" s="158" t="s">
        <v>6068</v>
      </c>
      <c r="Y67" s="153"/>
      <c r="Z67" s="153"/>
      <c r="AA67" s="153"/>
      <c r="AB67" s="158" t="s">
        <v>6214</v>
      </c>
      <c r="AC67" s="153" t="s">
        <v>2960</v>
      </c>
      <c r="AD67" s="165" t="s">
        <v>6366</v>
      </c>
      <c r="AE67" s="153" t="s">
        <v>1068</v>
      </c>
      <c r="AF67" s="153"/>
      <c r="AG67" s="153"/>
    </row>
    <row r="68" ht="15.75" customHeight="1">
      <c r="A68" s="238">
        <v>2025.0</v>
      </c>
      <c r="B68" s="230">
        <v>67.0</v>
      </c>
      <c r="C68" s="153" t="s">
        <v>143</v>
      </c>
      <c r="D68" s="153" t="s">
        <v>144</v>
      </c>
      <c r="E68" s="153" t="s">
        <v>693</v>
      </c>
      <c r="F68" s="153" t="s">
        <v>694</v>
      </c>
      <c r="G68" s="153" t="s">
        <v>1846</v>
      </c>
      <c r="H68" s="158"/>
      <c r="I68" s="230">
        <v>2014.0</v>
      </c>
      <c r="J68" s="230">
        <v>2014.0</v>
      </c>
      <c r="K68" s="230">
        <v>2017.0</v>
      </c>
      <c r="L68" s="153" t="s">
        <v>6221</v>
      </c>
      <c r="M68" s="158" t="s">
        <v>1847</v>
      </c>
      <c r="N68" s="158" t="s">
        <v>1847</v>
      </c>
      <c r="O68" s="153" t="s">
        <v>1848</v>
      </c>
      <c r="P68" s="153" t="s">
        <v>321</v>
      </c>
      <c r="Q68" s="158" t="s">
        <v>160</v>
      </c>
      <c r="R68" s="158" t="s">
        <v>6035</v>
      </c>
      <c r="S68" s="158" t="s">
        <v>204</v>
      </c>
      <c r="T68" s="240">
        <v>2682661.5</v>
      </c>
      <c r="U68" s="158" t="s">
        <v>149</v>
      </c>
      <c r="V68" s="158" t="s">
        <v>149</v>
      </c>
      <c r="W68" s="153" t="s">
        <v>233</v>
      </c>
      <c r="X68" s="158" t="s">
        <v>6068</v>
      </c>
      <c r="Y68" s="153" t="s">
        <v>1854</v>
      </c>
      <c r="Z68" s="153" t="s">
        <v>885</v>
      </c>
      <c r="AA68" s="153"/>
      <c r="AB68" s="153" t="s">
        <v>6084</v>
      </c>
      <c r="AC68" s="153" t="s">
        <v>1851</v>
      </c>
      <c r="AD68" s="153" t="s">
        <v>6070</v>
      </c>
      <c r="AE68" s="153" t="s">
        <v>943</v>
      </c>
      <c r="AF68" s="153"/>
      <c r="AG68" s="153"/>
    </row>
    <row r="69" ht="15.75" customHeight="1">
      <c r="A69" s="238">
        <v>2025.0</v>
      </c>
      <c r="B69" s="230">
        <v>68.0</v>
      </c>
      <c r="C69" s="153" t="s">
        <v>143</v>
      </c>
      <c r="D69" s="153" t="s">
        <v>144</v>
      </c>
      <c r="E69" s="153" t="s">
        <v>693</v>
      </c>
      <c r="F69" s="153" t="s">
        <v>694</v>
      </c>
      <c r="G69" s="153" t="s">
        <v>1828</v>
      </c>
      <c r="H69" s="153" t="s">
        <v>6256</v>
      </c>
      <c r="I69" s="230">
        <v>2014.0</v>
      </c>
      <c r="J69" s="230">
        <v>2014.0</v>
      </c>
      <c r="K69" s="230">
        <v>2017.0</v>
      </c>
      <c r="L69" s="153" t="s">
        <v>6221</v>
      </c>
      <c r="M69" s="158" t="s">
        <v>1830</v>
      </c>
      <c r="N69" s="158" t="s">
        <v>1830</v>
      </c>
      <c r="O69" s="153" t="s">
        <v>1831</v>
      </c>
      <c r="P69" s="153" t="s">
        <v>321</v>
      </c>
      <c r="Q69" s="158" t="s">
        <v>160</v>
      </c>
      <c r="R69" s="158" t="s">
        <v>6035</v>
      </c>
      <c r="S69" s="158" t="s">
        <v>204</v>
      </c>
      <c r="T69" s="240">
        <v>2803661.28</v>
      </c>
      <c r="U69" s="158" t="s">
        <v>149</v>
      </c>
      <c r="V69" s="158" t="s">
        <v>149</v>
      </c>
      <c r="W69" s="153" t="s">
        <v>233</v>
      </c>
      <c r="X69" s="158" t="s">
        <v>6068</v>
      </c>
      <c r="Y69" s="153" t="s">
        <v>1837</v>
      </c>
      <c r="Z69" s="153"/>
      <c r="AA69" s="153"/>
      <c r="AB69" s="153" t="s">
        <v>6084</v>
      </c>
      <c r="AC69" s="153" t="s">
        <v>1834</v>
      </c>
      <c r="AD69" s="153" t="s">
        <v>6070</v>
      </c>
      <c r="AE69" s="153" t="s">
        <v>943</v>
      </c>
      <c r="AF69" s="153"/>
      <c r="AG69" s="153"/>
    </row>
    <row r="70" ht="15.75" customHeight="1">
      <c r="A70" s="238">
        <v>2025.0</v>
      </c>
      <c r="B70" s="230">
        <v>69.0</v>
      </c>
      <c r="C70" s="153" t="s">
        <v>143</v>
      </c>
      <c r="D70" s="153" t="s">
        <v>144</v>
      </c>
      <c r="E70" s="153" t="s">
        <v>693</v>
      </c>
      <c r="F70" s="153" t="s">
        <v>694</v>
      </c>
      <c r="G70" s="158" t="s">
        <v>149</v>
      </c>
      <c r="H70" s="153" t="s">
        <v>7829</v>
      </c>
      <c r="I70" s="192">
        <v>2004.0</v>
      </c>
      <c r="J70" s="192">
        <v>2004.0</v>
      </c>
      <c r="K70" s="192">
        <v>2004.0</v>
      </c>
      <c r="L70" s="158" t="s">
        <v>6259</v>
      </c>
      <c r="M70" s="158" t="s">
        <v>2964</v>
      </c>
      <c r="N70" s="158" t="s">
        <v>2964</v>
      </c>
      <c r="O70" s="153" t="s">
        <v>2965</v>
      </c>
      <c r="P70" s="158" t="s">
        <v>2966</v>
      </c>
      <c r="Q70" s="158" t="s">
        <v>160</v>
      </c>
      <c r="R70" s="158" t="s">
        <v>184</v>
      </c>
      <c r="S70" s="158" t="s">
        <v>204</v>
      </c>
      <c r="T70" s="241" t="s">
        <v>149</v>
      </c>
      <c r="U70" s="158" t="s">
        <v>149</v>
      </c>
      <c r="V70" s="158" t="s">
        <v>2967</v>
      </c>
      <c r="W70" s="153" t="s">
        <v>233</v>
      </c>
      <c r="X70" s="158" t="s">
        <v>6068</v>
      </c>
      <c r="Y70" s="153"/>
      <c r="Z70" s="153"/>
      <c r="AA70" s="153"/>
      <c r="AB70" s="158" t="s">
        <v>6214</v>
      </c>
      <c r="AC70" s="153" t="s">
        <v>2968</v>
      </c>
      <c r="AD70" s="165" t="s">
        <v>2969</v>
      </c>
      <c r="AE70" s="153" t="s">
        <v>2970</v>
      </c>
      <c r="AF70" s="153"/>
      <c r="AG70" s="153"/>
    </row>
    <row r="71" ht="15.75" customHeight="1">
      <c r="A71" s="238">
        <v>2025.0</v>
      </c>
      <c r="B71" s="230">
        <v>70.0</v>
      </c>
      <c r="C71" s="153" t="s">
        <v>143</v>
      </c>
      <c r="D71" s="153" t="s">
        <v>144</v>
      </c>
      <c r="E71" s="153" t="s">
        <v>693</v>
      </c>
      <c r="F71" s="153" t="s">
        <v>694</v>
      </c>
      <c r="G71" s="158" t="s">
        <v>149</v>
      </c>
      <c r="H71" s="153" t="s">
        <v>7830</v>
      </c>
      <c r="I71" s="192">
        <v>2018.0</v>
      </c>
      <c r="J71" s="192">
        <v>2018.0</v>
      </c>
      <c r="K71" s="192">
        <v>2018.0</v>
      </c>
      <c r="L71" s="158" t="s">
        <v>6259</v>
      </c>
      <c r="M71" s="153" t="s">
        <v>7831</v>
      </c>
      <c r="N71" s="153"/>
      <c r="O71" s="153" t="s">
        <v>2973</v>
      </c>
      <c r="P71" s="158" t="s">
        <v>2974</v>
      </c>
      <c r="Q71" s="158" t="s">
        <v>160</v>
      </c>
      <c r="R71" s="158" t="s">
        <v>209</v>
      </c>
      <c r="S71" s="158" t="s">
        <v>204</v>
      </c>
      <c r="T71" s="241" t="s">
        <v>149</v>
      </c>
      <c r="U71" s="158" t="s">
        <v>149</v>
      </c>
      <c r="V71" s="158" t="s">
        <v>149</v>
      </c>
      <c r="W71" s="158" t="s">
        <v>233</v>
      </c>
      <c r="X71" s="158" t="s">
        <v>6068</v>
      </c>
      <c r="Y71" s="153" t="s">
        <v>321</v>
      </c>
      <c r="Z71" s="153"/>
      <c r="AA71" s="153"/>
      <c r="AB71" s="158" t="s">
        <v>6214</v>
      </c>
      <c r="AC71" s="153" t="s">
        <v>2975</v>
      </c>
      <c r="AD71" s="165" t="s">
        <v>2976</v>
      </c>
      <c r="AE71" s="153" t="s">
        <v>2977</v>
      </c>
      <c r="AF71" s="153"/>
      <c r="AG71" s="153"/>
    </row>
    <row r="72" ht="15.75" customHeight="1">
      <c r="A72" s="238">
        <v>2025.0</v>
      </c>
      <c r="B72" s="230">
        <v>71.0</v>
      </c>
      <c r="C72" s="153" t="s">
        <v>143</v>
      </c>
      <c r="D72" s="153" t="s">
        <v>144</v>
      </c>
      <c r="E72" s="153" t="s">
        <v>693</v>
      </c>
      <c r="F72" s="153" t="s">
        <v>694</v>
      </c>
      <c r="G72" s="158" t="s">
        <v>149</v>
      </c>
      <c r="H72" s="153" t="s">
        <v>7832</v>
      </c>
      <c r="I72" s="192">
        <v>2005.0</v>
      </c>
      <c r="J72" s="192">
        <v>2005.0</v>
      </c>
      <c r="K72" s="192">
        <v>2006.0</v>
      </c>
      <c r="L72" s="153" t="s">
        <v>6062</v>
      </c>
      <c r="M72" s="158" t="s">
        <v>2980</v>
      </c>
      <c r="N72" s="158" t="s">
        <v>2980</v>
      </c>
      <c r="O72" s="153" t="s">
        <v>7833</v>
      </c>
      <c r="P72" s="158" t="s">
        <v>2982</v>
      </c>
      <c r="Q72" s="158" t="s">
        <v>6154</v>
      </c>
      <c r="R72" s="158" t="s">
        <v>206</v>
      </c>
      <c r="S72" s="158" t="s">
        <v>204</v>
      </c>
      <c r="T72" s="241" t="s">
        <v>149</v>
      </c>
      <c r="U72" s="158" t="s">
        <v>149</v>
      </c>
      <c r="V72" s="158" t="s">
        <v>2983</v>
      </c>
      <c r="W72" s="158" t="s">
        <v>233</v>
      </c>
      <c r="X72" s="158" t="s">
        <v>6068</v>
      </c>
      <c r="Y72" s="153"/>
      <c r="Z72" s="153"/>
      <c r="AA72" s="153"/>
      <c r="AB72" s="158" t="s">
        <v>6214</v>
      </c>
      <c r="AC72" s="153" t="s">
        <v>2984</v>
      </c>
      <c r="AD72" s="172" t="s">
        <v>2985</v>
      </c>
      <c r="AE72" s="153" t="s">
        <v>2986</v>
      </c>
      <c r="AF72" s="153"/>
      <c r="AG72" s="153"/>
    </row>
    <row r="73" ht="15.75" customHeight="1">
      <c r="A73" s="238">
        <v>2025.0</v>
      </c>
      <c r="B73" s="230">
        <v>72.0</v>
      </c>
      <c r="C73" s="153" t="s">
        <v>143</v>
      </c>
      <c r="D73" s="153" t="s">
        <v>144</v>
      </c>
      <c r="E73" s="153" t="s">
        <v>693</v>
      </c>
      <c r="F73" s="153" t="s">
        <v>694</v>
      </c>
      <c r="G73" s="158" t="s">
        <v>6397</v>
      </c>
      <c r="H73" s="153" t="s">
        <v>7834</v>
      </c>
      <c r="I73" s="230">
        <v>2005.0</v>
      </c>
      <c r="J73" s="230">
        <v>2005.0</v>
      </c>
      <c r="K73" s="192" t="s">
        <v>149</v>
      </c>
      <c r="L73" s="153" t="s">
        <v>6062</v>
      </c>
      <c r="M73" s="153" t="s">
        <v>7835</v>
      </c>
      <c r="N73" s="153" t="s">
        <v>7836</v>
      </c>
      <c r="O73" s="153" t="s">
        <v>1019</v>
      </c>
      <c r="P73" s="153" t="s">
        <v>1020</v>
      </c>
      <c r="Q73" s="158" t="s">
        <v>6154</v>
      </c>
      <c r="R73" s="158" t="s">
        <v>206</v>
      </c>
      <c r="S73" s="158" t="s">
        <v>204</v>
      </c>
      <c r="T73" s="241" t="s">
        <v>149</v>
      </c>
      <c r="U73" s="158" t="s">
        <v>149</v>
      </c>
      <c r="V73" s="158" t="s">
        <v>1021</v>
      </c>
      <c r="W73" s="158" t="s">
        <v>233</v>
      </c>
      <c r="X73" s="158" t="s">
        <v>6068</v>
      </c>
      <c r="Y73" s="153"/>
      <c r="Z73" s="153" t="s">
        <v>1022</v>
      </c>
      <c r="AA73" s="153"/>
      <c r="AB73" s="158" t="s">
        <v>6214</v>
      </c>
      <c r="AC73" s="153" t="s">
        <v>1023</v>
      </c>
      <c r="AD73" s="172" t="s">
        <v>1024</v>
      </c>
      <c r="AE73" s="153" t="s">
        <v>1025</v>
      </c>
      <c r="AF73" s="165" t="s">
        <v>1026</v>
      </c>
      <c r="AG73" s="153"/>
    </row>
    <row r="74" ht="15.75" customHeight="1">
      <c r="A74" s="238">
        <v>2025.0</v>
      </c>
      <c r="B74" s="230">
        <v>73.0</v>
      </c>
      <c r="C74" s="153" t="s">
        <v>143</v>
      </c>
      <c r="D74" s="153" t="s">
        <v>144</v>
      </c>
      <c r="E74" s="153" t="s">
        <v>693</v>
      </c>
      <c r="F74" s="153" t="s">
        <v>694</v>
      </c>
      <c r="G74" s="158" t="s">
        <v>6397</v>
      </c>
      <c r="H74" s="153" t="s">
        <v>7837</v>
      </c>
      <c r="I74" s="230">
        <v>2005.0</v>
      </c>
      <c r="J74" s="192">
        <v>2005.0</v>
      </c>
      <c r="K74" s="192">
        <v>2007.0</v>
      </c>
      <c r="L74" s="153" t="s">
        <v>6062</v>
      </c>
      <c r="M74" s="153" t="s">
        <v>1029</v>
      </c>
      <c r="N74" s="158" t="s">
        <v>1029</v>
      </c>
      <c r="O74" s="153" t="s">
        <v>1030</v>
      </c>
      <c r="P74" s="158" t="s">
        <v>1020</v>
      </c>
      <c r="Q74" s="158" t="s">
        <v>6154</v>
      </c>
      <c r="R74" s="158" t="s">
        <v>206</v>
      </c>
      <c r="S74" s="158" t="s">
        <v>204</v>
      </c>
      <c r="T74" s="241" t="s">
        <v>149</v>
      </c>
      <c r="U74" s="158" t="s">
        <v>149</v>
      </c>
      <c r="V74" s="153" t="s">
        <v>1031</v>
      </c>
      <c r="W74" s="158" t="s">
        <v>1032</v>
      </c>
      <c r="X74" s="158" t="s">
        <v>6068</v>
      </c>
      <c r="Y74" s="158" t="s">
        <v>233</v>
      </c>
      <c r="Z74" s="153" t="s">
        <v>1022</v>
      </c>
      <c r="AA74" s="153"/>
      <c r="AB74" s="158" t="s">
        <v>6214</v>
      </c>
      <c r="AC74" s="153" t="s">
        <v>1033</v>
      </c>
      <c r="AD74" s="165" t="s">
        <v>1034</v>
      </c>
      <c r="AE74" s="153" t="s">
        <v>1025</v>
      </c>
      <c r="AF74" s="165" t="s">
        <v>1026</v>
      </c>
      <c r="AG74" s="153"/>
    </row>
    <row r="75" ht="15.75" customHeight="1">
      <c r="A75" s="238">
        <v>2025.0</v>
      </c>
      <c r="B75" s="230">
        <v>74.0</v>
      </c>
      <c r="C75" s="153" t="s">
        <v>143</v>
      </c>
      <c r="D75" s="153" t="s">
        <v>144</v>
      </c>
      <c r="E75" s="153" t="s">
        <v>693</v>
      </c>
      <c r="F75" s="153" t="s">
        <v>694</v>
      </c>
      <c r="G75" s="158" t="s">
        <v>6397</v>
      </c>
      <c r="H75" s="153" t="s">
        <v>6408</v>
      </c>
      <c r="I75" s="230">
        <v>2007.0</v>
      </c>
      <c r="J75" s="192">
        <v>2007.0</v>
      </c>
      <c r="K75" s="230">
        <v>2007.0</v>
      </c>
      <c r="L75" s="153" t="s">
        <v>7838</v>
      </c>
      <c r="M75" s="158" t="s">
        <v>1055</v>
      </c>
      <c r="N75" s="158" t="s">
        <v>1055</v>
      </c>
      <c r="O75" s="153" t="s">
        <v>1056</v>
      </c>
      <c r="P75" s="153" t="s">
        <v>1020</v>
      </c>
      <c r="Q75" s="158" t="s">
        <v>6154</v>
      </c>
      <c r="R75" s="158" t="s">
        <v>206</v>
      </c>
      <c r="S75" s="158" t="s">
        <v>204</v>
      </c>
      <c r="T75" s="241" t="s">
        <v>149</v>
      </c>
      <c r="U75" s="158" t="s">
        <v>149</v>
      </c>
      <c r="V75" s="158" t="s">
        <v>1057</v>
      </c>
      <c r="W75" s="153" t="s">
        <v>233</v>
      </c>
      <c r="X75" s="158" t="s">
        <v>6068</v>
      </c>
      <c r="Y75" s="153"/>
      <c r="Z75" s="153" t="s">
        <v>7839</v>
      </c>
      <c r="AA75" s="153"/>
      <c r="AB75" s="158" t="s">
        <v>6214</v>
      </c>
      <c r="AC75" s="153" t="s">
        <v>1059</v>
      </c>
      <c r="AD75" s="172" t="s">
        <v>1060</v>
      </c>
      <c r="AE75" s="153" t="s">
        <v>1061</v>
      </c>
      <c r="AF75" s="239"/>
      <c r="AG75" s="153"/>
    </row>
    <row r="76" ht="15.75" customHeight="1">
      <c r="A76" s="238">
        <v>2025.0</v>
      </c>
      <c r="B76" s="230">
        <v>75.0</v>
      </c>
      <c r="C76" s="153" t="s">
        <v>143</v>
      </c>
      <c r="D76" s="153" t="s">
        <v>144</v>
      </c>
      <c r="E76" s="153" t="s">
        <v>693</v>
      </c>
      <c r="F76" s="153" t="s">
        <v>694</v>
      </c>
      <c r="G76" s="158" t="s">
        <v>6397</v>
      </c>
      <c r="H76" s="153" t="s">
        <v>7840</v>
      </c>
      <c r="I76" s="192">
        <v>2007.0</v>
      </c>
      <c r="J76" s="192">
        <v>2007.0</v>
      </c>
      <c r="K76" s="192">
        <v>2008.0</v>
      </c>
      <c r="L76" s="153" t="s">
        <v>6062</v>
      </c>
      <c r="M76" s="158" t="s">
        <v>1038</v>
      </c>
      <c r="N76" s="158" t="s">
        <v>1038</v>
      </c>
      <c r="O76" s="153" t="s">
        <v>1039</v>
      </c>
      <c r="P76" s="153" t="s">
        <v>1020</v>
      </c>
      <c r="Q76" s="158" t="s">
        <v>6154</v>
      </c>
      <c r="R76" s="158" t="s">
        <v>206</v>
      </c>
      <c r="S76" s="158" t="s">
        <v>204</v>
      </c>
      <c r="T76" s="241" t="s">
        <v>149</v>
      </c>
      <c r="U76" s="158" t="s">
        <v>149</v>
      </c>
      <c r="V76" s="158" t="s">
        <v>6416</v>
      </c>
      <c r="W76" s="158" t="s">
        <v>1032</v>
      </c>
      <c r="X76" s="158" t="s">
        <v>6068</v>
      </c>
      <c r="Y76" s="158" t="s">
        <v>233</v>
      </c>
      <c r="Z76" s="153" t="s">
        <v>1022</v>
      </c>
      <c r="AA76" s="153"/>
      <c r="AB76" s="158" t="s">
        <v>6214</v>
      </c>
      <c r="AC76" s="153" t="s">
        <v>1041</v>
      </c>
      <c r="AD76" s="172" t="s">
        <v>1042</v>
      </c>
      <c r="AE76" s="153" t="s">
        <v>1043</v>
      </c>
      <c r="AF76" s="165" t="s">
        <v>1044</v>
      </c>
      <c r="AG76" s="153"/>
    </row>
    <row r="77" ht="15.75" customHeight="1">
      <c r="A77" s="238">
        <v>2025.0</v>
      </c>
      <c r="B77" s="230">
        <v>76.0</v>
      </c>
      <c r="C77" s="153" t="s">
        <v>143</v>
      </c>
      <c r="D77" s="153" t="s">
        <v>144</v>
      </c>
      <c r="E77" s="153" t="s">
        <v>693</v>
      </c>
      <c r="F77" s="153" t="s">
        <v>694</v>
      </c>
      <c r="G77" s="153" t="s">
        <v>6397</v>
      </c>
      <c r="H77" s="153" t="s">
        <v>6421</v>
      </c>
      <c r="I77" s="192">
        <v>2006.0</v>
      </c>
      <c r="J77" s="192">
        <v>2007.0</v>
      </c>
      <c r="K77" s="192">
        <v>2007.0</v>
      </c>
      <c r="L77" s="153" t="s">
        <v>6062</v>
      </c>
      <c r="M77" s="158" t="s">
        <v>1064</v>
      </c>
      <c r="N77" s="158" t="s">
        <v>1064</v>
      </c>
      <c r="O77" s="153" t="s">
        <v>7841</v>
      </c>
      <c r="P77" s="153" t="s">
        <v>1020</v>
      </c>
      <c r="Q77" s="158" t="s">
        <v>6154</v>
      </c>
      <c r="R77" s="158" t="s">
        <v>206</v>
      </c>
      <c r="S77" s="158" t="s">
        <v>204</v>
      </c>
      <c r="T77" s="241" t="s">
        <v>149</v>
      </c>
      <c r="U77" s="158" t="s">
        <v>149</v>
      </c>
      <c r="V77" s="158" t="s">
        <v>149</v>
      </c>
      <c r="W77" s="153" t="s">
        <v>233</v>
      </c>
      <c r="X77" s="158" t="s">
        <v>6068</v>
      </c>
      <c r="Y77" s="153"/>
      <c r="Z77" s="153"/>
      <c r="AA77" s="153"/>
      <c r="AB77" s="158" t="s">
        <v>6214</v>
      </c>
      <c r="AC77" s="153" t="s">
        <v>1066</v>
      </c>
      <c r="AD77" s="172" t="s">
        <v>1067</v>
      </c>
      <c r="AE77" s="153" t="s">
        <v>1068</v>
      </c>
      <c r="AF77" s="239"/>
      <c r="AG77" s="153"/>
    </row>
    <row r="78" ht="15.75" customHeight="1">
      <c r="A78" s="238">
        <v>2025.0</v>
      </c>
      <c r="B78" s="230">
        <v>77.0</v>
      </c>
      <c r="C78" s="153" t="s">
        <v>143</v>
      </c>
      <c r="D78" s="153" t="s">
        <v>144</v>
      </c>
      <c r="E78" s="153" t="s">
        <v>693</v>
      </c>
      <c r="F78" s="153" t="s">
        <v>694</v>
      </c>
      <c r="G78" s="153" t="s">
        <v>1022</v>
      </c>
      <c r="H78" s="153" t="s">
        <v>7842</v>
      </c>
      <c r="I78" s="192">
        <v>2005.0</v>
      </c>
      <c r="J78" s="192">
        <v>2005.0</v>
      </c>
      <c r="K78" s="192">
        <v>2007.0</v>
      </c>
      <c r="L78" s="153" t="s">
        <v>6062</v>
      </c>
      <c r="M78" s="153" t="s">
        <v>7843</v>
      </c>
      <c r="N78" s="153" t="s">
        <v>7844</v>
      </c>
      <c r="O78" s="153" t="s">
        <v>7845</v>
      </c>
      <c r="P78" s="153" t="s">
        <v>1022</v>
      </c>
      <c r="Q78" s="158" t="s">
        <v>6154</v>
      </c>
      <c r="R78" s="158" t="s">
        <v>206</v>
      </c>
      <c r="S78" s="158" t="s">
        <v>204</v>
      </c>
      <c r="T78" s="241" t="s">
        <v>149</v>
      </c>
      <c r="U78" s="158" t="s">
        <v>149</v>
      </c>
      <c r="V78" s="158" t="s">
        <v>149</v>
      </c>
      <c r="W78" s="158" t="s">
        <v>1166</v>
      </c>
      <c r="X78" s="158" t="s">
        <v>6068</v>
      </c>
      <c r="Y78" s="158" t="s">
        <v>233</v>
      </c>
      <c r="Z78" s="153" t="s">
        <v>1167</v>
      </c>
      <c r="AA78" s="153"/>
      <c r="AB78" s="158" t="s">
        <v>6214</v>
      </c>
      <c r="AC78" s="153" t="s">
        <v>1168</v>
      </c>
      <c r="AD78" s="172" t="s">
        <v>1169</v>
      </c>
      <c r="AE78" s="153" t="s">
        <v>1077</v>
      </c>
      <c r="AF78" s="165" t="s">
        <v>1170</v>
      </c>
      <c r="AG78" s="153"/>
    </row>
    <row r="79" ht="15.75" customHeight="1">
      <c r="A79" s="238">
        <v>2025.0</v>
      </c>
      <c r="B79" s="230">
        <v>78.0</v>
      </c>
      <c r="C79" s="153" t="s">
        <v>143</v>
      </c>
      <c r="D79" s="153" t="s">
        <v>144</v>
      </c>
      <c r="E79" s="153" t="s">
        <v>693</v>
      </c>
      <c r="F79" s="153" t="s">
        <v>694</v>
      </c>
      <c r="G79" s="158" t="s">
        <v>149</v>
      </c>
      <c r="H79" s="153" t="s">
        <v>7846</v>
      </c>
      <c r="I79" s="230">
        <v>2010.0</v>
      </c>
      <c r="J79" s="192">
        <v>2010.0</v>
      </c>
      <c r="K79" s="192">
        <v>2010.0</v>
      </c>
      <c r="L79" s="153" t="s">
        <v>7847</v>
      </c>
      <c r="M79" s="158" t="s">
        <v>6439</v>
      </c>
      <c r="N79" s="158" t="s">
        <v>6439</v>
      </c>
      <c r="O79" s="153" t="s">
        <v>2992</v>
      </c>
      <c r="P79" s="153" t="s">
        <v>321</v>
      </c>
      <c r="Q79" s="158" t="s">
        <v>160</v>
      </c>
      <c r="R79" s="158" t="s">
        <v>6035</v>
      </c>
      <c r="S79" s="158" t="s">
        <v>204</v>
      </c>
      <c r="T79" s="241" t="s">
        <v>149</v>
      </c>
      <c r="U79" s="158" t="s">
        <v>149</v>
      </c>
      <c r="V79" s="158" t="s">
        <v>149</v>
      </c>
      <c r="W79" s="158" t="s">
        <v>233</v>
      </c>
      <c r="X79" s="158" t="s">
        <v>6068</v>
      </c>
      <c r="Y79" s="153"/>
      <c r="Z79" s="153"/>
      <c r="AA79" s="153"/>
      <c r="AB79" s="158" t="s">
        <v>6214</v>
      </c>
      <c r="AC79" s="153" t="s">
        <v>2993</v>
      </c>
      <c r="AD79" s="165" t="s">
        <v>2994</v>
      </c>
      <c r="AE79" s="153" t="s">
        <v>1061</v>
      </c>
      <c r="AF79" s="239"/>
      <c r="AG79" s="153"/>
    </row>
    <row r="80" ht="15.75" customHeight="1">
      <c r="A80" s="238">
        <v>2025.0</v>
      </c>
      <c r="B80" s="230">
        <v>79.0</v>
      </c>
      <c r="C80" s="153" t="s">
        <v>143</v>
      </c>
      <c r="D80" s="153" t="s">
        <v>144</v>
      </c>
      <c r="E80" s="153" t="s">
        <v>693</v>
      </c>
      <c r="F80" s="153" t="s">
        <v>694</v>
      </c>
      <c r="G80" s="158" t="s">
        <v>149</v>
      </c>
      <c r="H80" s="153" t="s">
        <v>7848</v>
      </c>
      <c r="I80" s="230">
        <v>2010.0</v>
      </c>
      <c r="J80" s="230">
        <v>2010.0</v>
      </c>
      <c r="K80" s="230">
        <v>2012.0</v>
      </c>
      <c r="L80" s="153" t="s">
        <v>6062</v>
      </c>
      <c r="M80" s="153" t="s">
        <v>179</v>
      </c>
      <c r="N80" s="153" t="s">
        <v>179</v>
      </c>
      <c r="O80" s="153" t="s">
        <v>7849</v>
      </c>
      <c r="P80" s="153" t="s">
        <v>321</v>
      </c>
      <c r="Q80" s="158" t="s">
        <v>160</v>
      </c>
      <c r="R80" s="158" t="s">
        <v>6035</v>
      </c>
      <c r="S80" s="158" t="s">
        <v>204</v>
      </c>
      <c r="T80" s="241" t="s">
        <v>149</v>
      </c>
      <c r="U80" s="158" t="s">
        <v>149</v>
      </c>
      <c r="V80" s="153" t="s">
        <v>2998</v>
      </c>
      <c r="W80" s="153" t="s">
        <v>233</v>
      </c>
      <c r="X80" s="158" t="s">
        <v>6068</v>
      </c>
      <c r="Y80" s="153" t="s">
        <v>2999</v>
      </c>
      <c r="Z80" s="153"/>
      <c r="AA80" s="153"/>
      <c r="AB80" s="158" t="s">
        <v>6214</v>
      </c>
      <c r="AC80" s="153" t="s">
        <v>3000</v>
      </c>
      <c r="AD80" s="165" t="s">
        <v>3001</v>
      </c>
      <c r="AE80" s="153" t="s">
        <v>245</v>
      </c>
      <c r="AF80" s="239"/>
      <c r="AG80" s="153"/>
    </row>
    <row r="81" ht="15.75" customHeight="1">
      <c r="A81" s="238">
        <v>2025.0</v>
      </c>
      <c r="B81" s="230">
        <v>80.0</v>
      </c>
      <c r="C81" s="153" t="s">
        <v>143</v>
      </c>
      <c r="D81" s="153" t="s">
        <v>144</v>
      </c>
      <c r="E81" s="153" t="s">
        <v>693</v>
      </c>
      <c r="F81" s="153" t="s">
        <v>694</v>
      </c>
      <c r="G81" s="158" t="s">
        <v>6397</v>
      </c>
      <c r="H81" s="153" t="s">
        <v>7850</v>
      </c>
      <c r="I81" s="230">
        <v>2008.0</v>
      </c>
      <c r="J81" s="230">
        <v>2008.0</v>
      </c>
      <c r="K81" s="230">
        <v>2010.0</v>
      </c>
      <c r="L81" s="153" t="s">
        <v>6259</v>
      </c>
      <c r="M81" s="153" t="s">
        <v>7851</v>
      </c>
      <c r="N81" s="153" t="s">
        <v>7852</v>
      </c>
      <c r="O81" s="153" t="s">
        <v>1073</v>
      </c>
      <c r="P81" s="153" t="s">
        <v>1020</v>
      </c>
      <c r="Q81" s="158" t="s">
        <v>6154</v>
      </c>
      <c r="R81" s="158" t="s">
        <v>206</v>
      </c>
      <c r="S81" s="158" t="s">
        <v>204</v>
      </c>
      <c r="T81" s="241" t="s">
        <v>149</v>
      </c>
      <c r="U81" s="158" t="s">
        <v>149</v>
      </c>
      <c r="V81" s="153" t="s">
        <v>1074</v>
      </c>
      <c r="W81" s="153" t="s">
        <v>233</v>
      </c>
      <c r="X81" s="158" t="s">
        <v>6068</v>
      </c>
      <c r="Y81" s="153"/>
      <c r="Z81" s="153"/>
      <c r="AA81" s="153"/>
      <c r="AB81" s="158" t="s">
        <v>6214</v>
      </c>
      <c r="AC81" s="153" t="s">
        <v>1075</v>
      </c>
      <c r="AD81" s="172" t="s">
        <v>1076</v>
      </c>
      <c r="AE81" s="153" t="s">
        <v>1077</v>
      </c>
      <c r="AF81" s="165" t="s">
        <v>1078</v>
      </c>
      <c r="AG81" s="153"/>
    </row>
    <row r="82" ht="15.75" customHeight="1">
      <c r="A82" s="238">
        <v>2025.0</v>
      </c>
      <c r="B82" s="230">
        <v>81.0</v>
      </c>
      <c r="C82" s="153" t="s">
        <v>143</v>
      </c>
      <c r="D82" s="153" t="s">
        <v>144</v>
      </c>
      <c r="E82" s="153" t="s">
        <v>693</v>
      </c>
      <c r="F82" s="153" t="s">
        <v>694</v>
      </c>
      <c r="G82" s="158" t="s">
        <v>6397</v>
      </c>
      <c r="H82" s="153" t="s">
        <v>6454</v>
      </c>
      <c r="I82" s="230">
        <v>2006.0</v>
      </c>
      <c r="J82" s="230">
        <v>2006.0</v>
      </c>
      <c r="K82" s="230">
        <v>2007.0</v>
      </c>
      <c r="L82" s="153" t="s">
        <v>6062</v>
      </c>
      <c r="M82" s="158" t="s">
        <v>1048</v>
      </c>
      <c r="N82" s="158" t="s">
        <v>1048</v>
      </c>
      <c r="O82" s="153" t="s">
        <v>1049</v>
      </c>
      <c r="P82" s="153" t="s">
        <v>1020</v>
      </c>
      <c r="Q82" s="158" t="s">
        <v>6154</v>
      </c>
      <c r="R82" s="158" t="s">
        <v>206</v>
      </c>
      <c r="S82" s="158" t="s">
        <v>204</v>
      </c>
      <c r="T82" s="241" t="s">
        <v>149</v>
      </c>
      <c r="U82" s="158" t="s">
        <v>149</v>
      </c>
      <c r="V82" s="153" t="s">
        <v>1050</v>
      </c>
      <c r="W82" s="153" t="s">
        <v>233</v>
      </c>
      <c r="X82" s="158" t="s">
        <v>6068</v>
      </c>
      <c r="Y82" s="153"/>
      <c r="Z82" s="153" t="s">
        <v>1022</v>
      </c>
      <c r="AA82" s="153"/>
      <c r="AB82" s="158" t="s">
        <v>6214</v>
      </c>
      <c r="AC82" s="153" t="s">
        <v>1051</v>
      </c>
      <c r="AD82" s="172" t="s">
        <v>1052</v>
      </c>
      <c r="AE82" s="153" t="s">
        <v>245</v>
      </c>
      <c r="AF82" s="239"/>
      <c r="AG82" s="153"/>
    </row>
    <row r="83" ht="15.75" customHeight="1">
      <c r="A83" s="238">
        <v>2025.0</v>
      </c>
      <c r="B83" s="230">
        <v>82.0</v>
      </c>
      <c r="C83" s="153" t="s">
        <v>143</v>
      </c>
      <c r="D83" s="153" t="s">
        <v>144</v>
      </c>
      <c r="E83" s="153" t="s">
        <v>693</v>
      </c>
      <c r="F83" s="153" t="s">
        <v>694</v>
      </c>
      <c r="G83" s="158" t="s">
        <v>149</v>
      </c>
      <c r="H83" s="153" t="s">
        <v>7853</v>
      </c>
      <c r="I83" s="230">
        <v>2015.0</v>
      </c>
      <c r="J83" s="192">
        <v>2015.0</v>
      </c>
      <c r="K83" s="192">
        <v>2015.0</v>
      </c>
      <c r="L83" s="153" t="s">
        <v>6221</v>
      </c>
      <c r="M83" s="158" t="s">
        <v>3004</v>
      </c>
      <c r="N83" s="158" t="s">
        <v>3004</v>
      </c>
      <c r="O83" s="153" t="s">
        <v>3005</v>
      </c>
      <c r="P83" s="158" t="s">
        <v>233</v>
      </c>
      <c r="Q83" s="158" t="s">
        <v>160</v>
      </c>
      <c r="R83" s="158" t="s">
        <v>209</v>
      </c>
      <c r="S83" s="158" t="s">
        <v>204</v>
      </c>
      <c r="T83" s="241" t="s">
        <v>149</v>
      </c>
      <c r="U83" s="158" t="s">
        <v>149</v>
      </c>
      <c r="V83" s="158" t="s">
        <v>149</v>
      </c>
      <c r="W83" s="158" t="s">
        <v>233</v>
      </c>
      <c r="X83" s="158" t="s">
        <v>6068</v>
      </c>
      <c r="Y83" s="153"/>
      <c r="Z83" s="153"/>
      <c r="AA83" s="153"/>
      <c r="AB83" s="158" t="s">
        <v>6214</v>
      </c>
      <c r="AC83" s="153" t="s">
        <v>3006</v>
      </c>
      <c r="AD83" s="165" t="s">
        <v>3007</v>
      </c>
      <c r="AE83" s="153" t="s">
        <v>3008</v>
      </c>
      <c r="AF83" s="239"/>
      <c r="AG83" s="153"/>
    </row>
    <row r="84" ht="15.75" customHeight="1">
      <c r="A84" s="238">
        <v>2025.0</v>
      </c>
      <c r="B84" s="230">
        <v>83.0</v>
      </c>
      <c r="C84" s="153" t="s">
        <v>143</v>
      </c>
      <c r="D84" s="153" t="s">
        <v>144</v>
      </c>
      <c r="E84" s="153" t="s">
        <v>472</v>
      </c>
      <c r="F84" s="153" t="s">
        <v>473</v>
      </c>
      <c r="G84" s="153" t="s">
        <v>384</v>
      </c>
      <c r="H84" s="153" t="s">
        <v>474</v>
      </c>
      <c r="I84" s="230">
        <v>1986.0</v>
      </c>
      <c r="J84" s="230">
        <v>1985.0</v>
      </c>
      <c r="K84" s="230">
        <v>1987.0</v>
      </c>
      <c r="L84" s="153" t="s">
        <v>151</v>
      </c>
      <c r="M84" s="153" t="s">
        <v>6054</v>
      </c>
      <c r="N84" s="158" t="s">
        <v>6054</v>
      </c>
      <c r="O84" s="158" t="s">
        <v>149</v>
      </c>
      <c r="P84" s="153" t="s">
        <v>390</v>
      </c>
      <c r="Q84" s="158" t="s">
        <v>160</v>
      </c>
      <c r="R84" s="158" t="s">
        <v>6035</v>
      </c>
      <c r="S84" s="158" t="s">
        <v>159</v>
      </c>
      <c r="T84" s="158" t="s">
        <v>149</v>
      </c>
      <c r="U84" s="158" t="s">
        <v>149</v>
      </c>
      <c r="V84" s="153" t="s">
        <v>475</v>
      </c>
      <c r="W84" s="153" t="s">
        <v>390</v>
      </c>
      <c r="X84" s="153" t="s">
        <v>6035</v>
      </c>
      <c r="Y84" s="153" t="s">
        <v>6055</v>
      </c>
      <c r="Z84" s="153"/>
      <c r="AA84" s="153" t="s">
        <v>6056</v>
      </c>
      <c r="AB84" s="158" t="s">
        <v>395</v>
      </c>
      <c r="AC84" s="153" t="s">
        <v>6060</v>
      </c>
      <c r="AD84" s="158" t="s">
        <v>397</v>
      </c>
      <c r="AE84" s="153" t="s">
        <v>398</v>
      </c>
      <c r="AF84" s="153"/>
      <c r="AG84" s="153"/>
    </row>
    <row r="85" ht="15.75" customHeight="1">
      <c r="A85" s="238">
        <v>2025.0</v>
      </c>
      <c r="B85" s="230">
        <v>84.0</v>
      </c>
      <c r="C85" s="153" t="s">
        <v>143</v>
      </c>
      <c r="D85" s="153" t="s">
        <v>144</v>
      </c>
      <c r="E85" s="153" t="s">
        <v>2857</v>
      </c>
      <c r="F85" s="153" t="s">
        <v>2858</v>
      </c>
      <c r="G85" s="153" t="s">
        <v>384</v>
      </c>
      <c r="H85" s="153" t="s">
        <v>6469</v>
      </c>
      <c r="I85" s="230">
        <v>1981.0</v>
      </c>
      <c r="J85" s="230">
        <v>1985.0</v>
      </c>
      <c r="K85" s="230">
        <v>1987.0</v>
      </c>
      <c r="L85" s="153" t="s">
        <v>151</v>
      </c>
      <c r="M85" s="153" t="s">
        <v>6054</v>
      </c>
      <c r="N85" s="158" t="s">
        <v>6054</v>
      </c>
      <c r="O85" s="158" t="s">
        <v>149</v>
      </c>
      <c r="P85" s="153" t="s">
        <v>390</v>
      </c>
      <c r="Q85" s="158" t="s">
        <v>160</v>
      </c>
      <c r="R85" s="158" t="s">
        <v>6035</v>
      </c>
      <c r="S85" s="158" t="s">
        <v>159</v>
      </c>
      <c r="T85" s="158" t="s">
        <v>149</v>
      </c>
      <c r="U85" s="158" t="s">
        <v>149</v>
      </c>
      <c r="V85" s="153" t="s">
        <v>2860</v>
      </c>
      <c r="W85" s="153" t="s">
        <v>390</v>
      </c>
      <c r="X85" s="153" t="s">
        <v>6035</v>
      </c>
      <c r="Y85" s="153" t="s">
        <v>6055</v>
      </c>
      <c r="Z85" s="153"/>
      <c r="AA85" s="153"/>
      <c r="AB85" s="158" t="s">
        <v>395</v>
      </c>
      <c r="AC85" s="153" t="s">
        <v>6060</v>
      </c>
      <c r="AD85" s="158" t="s">
        <v>397</v>
      </c>
      <c r="AE85" s="153" t="s">
        <v>398</v>
      </c>
      <c r="AF85" s="153"/>
      <c r="AG85" s="153" t="s">
        <v>6109</v>
      </c>
    </row>
    <row r="86" ht="15.75" customHeight="1">
      <c r="A86" s="238">
        <v>2025.0</v>
      </c>
      <c r="B86" s="230">
        <v>85.0</v>
      </c>
      <c r="C86" s="153" t="s">
        <v>143</v>
      </c>
      <c r="D86" s="153" t="s">
        <v>144</v>
      </c>
      <c r="E86" s="153" t="s">
        <v>1649</v>
      </c>
      <c r="F86" s="153" t="s">
        <v>1650</v>
      </c>
      <c r="G86" s="153" t="s">
        <v>1651</v>
      </c>
      <c r="H86" s="158" t="s">
        <v>1652</v>
      </c>
      <c r="I86" s="230">
        <v>2022.0</v>
      </c>
      <c r="J86" s="192" t="s">
        <v>149</v>
      </c>
      <c r="K86" s="192" t="s">
        <v>149</v>
      </c>
      <c r="L86" s="153" t="s">
        <v>151</v>
      </c>
      <c r="M86" s="158" t="s">
        <v>152</v>
      </c>
      <c r="N86" s="158" t="s">
        <v>152</v>
      </c>
      <c r="O86" s="153" t="s">
        <v>7854</v>
      </c>
      <c r="P86" s="153" t="s">
        <v>369</v>
      </c>
      <c r="Q86" s="158" t="s">
        <v>160</v>
      </c>
      <c r="R86" s="158" t="s">
        <v>6035</v>
      </c>
      <c r="S86" s="158" t="s">
        <v>159</v>
      </c>
      <c r="T86" s="158" t="s">
        <v>149</v>
      </c>
      <c r="U86" s="158" t="s">
        <v>149</v>
      </c>
      <c r="V86" s="158" t="s">
        <v>162</v>
      </c>
      <c r="W86" s="153" t="s">
        <v>369</v>
      </c>
      <c r="X86" s="153" t="s">
        <v>6035</v>
      </c>
      <c r="Y86" s="153" t="s">
        <v>6476</v>
      </c>
      <c r="Z86" s="153"/>
      <c r="AA86" s="153"/>
      <c r="AB86" s="158" t="s">
        <v>166</v>
      </c>
      <c r="AC86" s="153" t="s">
        <v>7855</v>
      </c>
      <c r="AD86" s="165" t="s">
        <v>1657</v>
      </c>
      <c r="AE86" s="153"/>
      <c r="AF86" s="153"/>
      <c r="AG86" s="153"/>
    </row>
    <row r="87" ht="15.75" customHeight="1">
      <c r="A87" s="238">
        <v>2025.0</v>
      </c>
      <c r="B87" s="230">
        <v>86.0</v>
      </c>
      <c r="C87" s="153" t="s">
        <v>143</v>
      </c>
      <c r="D87" s="153" t="s">
        <v>144</v>
      </c>
      <c r="E87" s="153" t="s">
        <v>2545</v>
      </c>
      <c r="F87" s="153" t="s">
        <v>2546</v>
      </c>
      <c r="G87" s="158" t="s">
        <v>149</v>
      </c>
      <c r="H87" s="153"/>
      <c r="I87" s="230">
        <v>2018.0</v>
      </c>
      <c r="J87" s="192" t="s">
        <v>149</v>
      </c>
      <c r="K87" s="192" t="s">
        <v>149</v>
      </c>
      <c r="L87" s="153" t="s">
        <v>151</v>
      </c>
      <c r="M87" s="158" t="s">
        <v>153</v>
      </c>
      <c r="N87" s="158" t="s">
        <v>153</v>
      </c>
      <c r="O87" s="158" t="s">
        <v>6482</v>
      </c>
      <c r="P87" s="158" t="s">
        <v>149</v>
      </c>
      <c r="Q87" s="158" t="s">
        <v>149</v>
      </c>
      <c r="R87" s="158" t="s">
        <v>149</v>
      </c>
      <c r="S87" s="158" t="s">
        <v>159</v>
      </c>
      <c r="T87" s="158" t="s">
        <v>149</v>
      </c>
      <c r="U87" s="158" t="s">
        <v>149</v>
      </c>
      <c r="V87" s="158" t="s">
        <v>2548</v>
      </c>
      <c r="W87" s="158" t="s">
        <v>149</v>
      </c>
      <c r="X87" s="158" t="s">
        <v>149</v>
      </c>
      <c r="Y87" s="153" t="s">
        <v>7856</v>
      </c>
      <c r="Z87" s="153"/>
      <c r="AA87" s="153"/>
      <c r="AB87" s="158" t="s">
        <v>166</v>
      </c>
      <c r="AC87" s="153" t="s">
        <v>6484</v>
      </c>
      <c r="AD87" s="177" t="s">
        <v>6485</v>
      </c>
      <c r="AE87" s="153"/>
      <c r="AF87" s="153"/>
      <c r="AG87" s="153"/>
    </row>
    <row r="88" ht="15.75" customHeight="1">
      <c r="A88" s="238">
        <v>2025.0</v>
      </c>
      <c r="B88" s="230">
        <v>87.0</v>
      </c>
      <c r="C88" s="153" t="s">
        <v>143</v>
      </c>
      <c r="D88" s="153" t="s">
        <v>144</v>
      </c>
      <c r="E88" s="153" t="s">
        <v>477</v>
      </c>
      <c r="F88" s="153" t="s">
        <v>478</v>
      </c>
      <c r="G88" s="153" t="s">
        <v>384</v>
      </c>
      <c r="H88" s="153" t="s">
        <v>479</v>
      </c>
      <c r="I88" s="230">
        <v>1985.0</v>
      </c>
      <c r="J88" s="230">
        <v>1985.0</v>
      </c>
      <c r="K88" s="230">
        <v>1987.0</v>
      </c>
      <c r="L88" s="153" t="s">
        <v>151</v>
      </c>
      <c r="M88" s="153" t="s">
        <v>6054</v>
      </c>
      <c r="N88" s="158" t="s">
        <v>6054</v>
      </c>
      <c r="O88" s="158" t="s">
        <v>149</v>
      </c>
      <c r="P88" s="153" t="s">
        <v>390</v>
      </c>
      <c r="Q88" s="158" t="s">
        <v>160</v>
      </c>
      <c r="R88" s="158" t="s">
        <v>6035</v>
      </c>
      <c r="S88" s="158" t="s">
        <v>159</v>
      </c>
      <c r="T88" s="158" t="s">
        <v>149</v>
      </c>
      <c r="U88" s="158" t="s">
        <v>149</v>
      </c>
      <c r="V88" s="153" t="s">
        <v>391</v>
      </c>
      <c r="W88" s="153" t="s">
        <v>390</v>
      </c>
      <c r="X88" s="153" t="s">
        <v>6035</v>
      </c>
      <c r="Y88" s="153" t="s">
        <v>6055</v>
      </c>
      <c r="Z88" s="153"/>
      <c r="AA88" s="153" t="s">
        <v>6056</v>
      </c>
      <c r="AB88" s="158" t="s">
        <v>395</v>
      </c>
      <c r="AC88" s="153" t="s">
        <v>6060</v>
      </c>
      <c r="AD88" s="158" t="s">
        <v>397</v>
      </c>
      <c r="AE88" s="153" t="s">
        <v>398</v>
      </c>
      <c r="AF88" s="153"/>
      <c r="AG88" s="153"/>
    </row>
    <row r="89" ht="15.75" customHeight="1">
      <c r="A89" s="238">
        <v>2025.0</v>
      </c>
      <c r="B89" s="230">
        <v>88.0</v>
      </c>
      <c r="C89" s="153" t="s">
        <v>481</v>
      </c>
      <c r="D89" s="153" t="s">
        <v>482</v>
      </c>
      <c r="E89" s="153" t="s">
        <v>483</v>
      </c>
      <c r="F89" s="153" t="s">
        <v>484</v>
      </c>
      <c r="G89" s="153" t="s">
        <v>384</v>
      </c>
      <c r="H89" s="153" t="s">
        <v>6493</v>
      </c>
      <c r="I89" s="230">
        <v>1986.0</v>
      </c>
      <c r="J89" s="230">
        <v>1985.0</v>
      </c>
      <c r="K89" s="230">
        <v>1987.0</v>
      </c>
      <c r="L89" s="153" t="s">
        <v>151</v>
      </c>
      <c r="M89" s="153" t="s">
        <v>6054</v>
      </c>
      <c r="N89" s="153" t="s">
        <v>6054</v>
      </c>
      <c r="O89" s="158" t="s">
        <v>149</v>
      </c>
      <c r="P89" s="153" t="s">
        <v>390</v>
      </c>
      <c r="Q89" s="158" t="s">
        <v>160</v>
      </c>
      <c r="R89" s="158" t="s">
        <v>6035</v>
      </c>
      <c r="S89" s="158" t="s">
        <v>159</v>
      </c>
      <c r="T89" s="158" t="s">
        <v>149</v>
      </c>
      <c r="U89" s="158" t="s">
        <v>149</v>
      </c>
      <c r="V89" s="153" t="s">
        <v>391</v>
      </c>
      <c r="W89" s="153" t="s">
        <v>390</v>
      </c>
      <c r="X89" s="153" t="s">
        <v>6035</v>
      </c>
      <c r="Y89" s="153" t="s">
        <v>6055</v>
      </c>
      <c r="Z89" s="153"/>
      <c r="AA89" s="153"/>
      <c r="AB89" s="158" t="s">
        <v>395</v>
      </c>
      <c r="AC89" s="153" t="s">
        <v>6060</v>
      </c>
      <c r="AD89" s="158" t="s">
        <v>397</v>
      </c>
      <c r="AE89" s="153" t="s">
        <v>398</v>
      </c>
      <c r="AF89" s="153"/>
      <c r="AG89" s="153"/>
    </row>
    <row r="90" ht="15.75" customHeight="1">
      <c r="A90" s="238">
        <v>2025.0</v>
      </c>
      <c r="B90" s="230">
        <v>89.0</v>
      </c>
      <c r="C90" s="153" t="s">
        <v>293</v>
      </c>
      <c r="D90" s="153" t="s">
        <v>1208</v>
      </c>
      <c r="E90" s="153" t="s">
        <v>1209</v>
      </c>
      <c r="F90" s="153" t="s">
        <v>1210</v>
      </c>
      <c r="G90" s="153" t="s">
        <v>6515</v>
      </c>
      <c r="H90" s="153"/>
      <c r="I90" s="192">
        <v>2013.0</v>
      </c>
      <c r="J90" s="230">
        <v>2012.0</v>
      </c>
      <c r="K90" s="230">
        <v>2013.0</v>
      </c>
      <c r="L90" s="153" t="s">
        <v>6062</v>
      </c>
      <c r="M90" s="153" t="s">
        <v>320</v>
      </c>
      <c r="N90" s="153" t="s">
        <v>179</v>
      </c>
      <c r="O90" s="153" t="s">
        <v>1211</v>
      </c>
      <c r="P90" s="153" t="s">
        <v>321</v>
      </c>
      <c r="Q90" s="158" t="s">
        <v>160</v>
      </c>
      <c r="R90" s="158" t="s">
        <v>6035</v>
      </c>
      <c r="S90" s="158" t="s">
        <v>159</v>
      </c>
      <c r="T90" s="158" t="s">
        <v>149</v>
      </c>
      <c r="U90" s="158" t="s">
        <v>149</v>
      </c>
      <c r="V90" s="153" t="s">
        <v>6496</v>
      </c>
      <c r="W90" s="153" t="s">
        <v>885</v>
      </c>
      <c r="X90" s="158" t="s">
        <v>6068</v>
      </c>
      <c r="Y90" s="153" t="s">
        <v>1213</v>
      </c>
      <c r="Z90" s="153"/>
      <c r="AA90" s="153"/>
      <c r="AB90" s="158" t="s">
        <v>6069</v>
      </c>
      <c r="AC90" s="153" t="s">
        <v>1214</v>
      </c>
      <c r="AD90" s="153" t="s">
        <v>6070</v>
      </c>
      <c r="AE90" s="153"/>
      <c r="AF90" s="153"/>
      <c r="AG90" s="153"/>
    </row>
    <row r="91" ht="15.75" customHeight="1">
      <c r="A91" s="238">
        <v>2025.0</v>
      </c>
      <c r="B91" s="230">
        <v>90.0</v>
      </c>
      <c r="C91" s="153" t="s">
        <v>293</v>
      </c>
      <c r="D91" s="153" t="s">
        <v>1283</v>
      </c>
      <c r="E91" s="153" t="s">
        <v>1284</v>
      </c>
      <c r="F91" s="153" t="s">
        <v>1285</v>
      </c>
      <c r="G91" s="153" t="s">
        <v>1174</v>
      </c>
      <c r="H91" s="153"/>
      <c r="I91" s="192">
        <v>2013.0</v>
      </c>
      <c r="J91" s="230">
        <v>2012.0</v>
      </c>
      <c r="K91" s="230">
        <v>2013.0</v>
      </c>
      <c r="L91" s="153" t="s">
        <v>6062</v>
      </c>
      <c r="M91" s="153" t="s">
        <v>320</v>
      </c>
      <c r="N91" s="153" t="s">
        <v>179</v>
      </c>
      <c r="O91" s="158" t="s">
        <v>149</v>
      </c>
      <c r="P91" s="153" t="s">
        <v>321</v>
      </c>
      <c r="Q91" s="158" t="s">
        <v>160</v>
      </c>
      <c r="R91" s="158" t="s">
        <v>6035</v>
      </c>
      <c r="S91" s="158" t="s">
        <v>159</v>
      </c>
      <c r="T91" s="158" t="s">
        <v>149</v>
      </c>
      <c r="U91" s="158" t="s">
        <v>149</v>
      </c>
      <c r="V91" s="153" t="s">
        <v>6499</v>
      </c>
      <c r="W91" s="153" t="s">
        <v>885</v>
      </c>
      <c r="X91" s="158" t="s">
        <v>6068</v>
      </c>
      <c r="Y91" s="153" t="s">
        <v>1287</v>
      </c>
      <c r="Z91" s="153"/>
      <c r="AA91" s="153"/>
      <c r="AB91" s="158" t="s">
        <v>6069</v>
      </c>
      <c r="AC91" s="153" t="s">
        <v>1288</v>
      </c>
      <c r="AD91" s="153" t="s">
        <v>6070</v>
      </c>
      <c r="AE91" s="153"/>
      <c r="AF91" s="153"/>
      <c r="AG91" s="153"/>
    </row>
    <row r="92" ht="15.0" customHeight="1">
      <c r="A92" s="238">
        <v>2025.0</v>
      </c>
      <c r="B92" s="230">
        <v>91.0</v>
      </c>
      <c r="C92" s="153" t="s">
        <v>293</v>
      </c>
      <c r="D92" s="153" t="s">
        <v>1283</v>
      </c>
      <c r="E92" s="153" t="s">
        <v>1284</v>
      </c>
      <c r="F92" s="153" t="s">
        <v>1285</v>
      </c>
      <c r="G92" s="153" t="s">
        <v>1683</v>
      </c>
      <c r="H92" s="153"/>
      <c r="I92" s="192">
        <v>2015.0</v>
      </c>
      <c r="J92" s="230">
        <v>2014.0</v>
      </c>
      <c r="K92" s="230">
        <v>2016.0</v>
      </c>
      <c r="L92" s="153" t="s">
        <v>6062</v>
      </c>
      <c r="M92" s="153" t="s">
        <v>320</v>
      </c>
      <c r="N92" s="158" t="s">
        <v>179</v>
      </c>
      <c r="O92" s="158" t="s">
        <v>149</v>
      </c>
      <c r="P92" s="153" t="s">
        <v>321</v>
      </c>
      <c r="Q92" s="158" t="s">
        <v>160</v>
      </c>
      <c r="R92" s="158" t="s">
        <v>6035</v>
      </c>
      <c r="S92" s="158" t="s">
        <v>159</v>
      </c>
      <c r="T92" s="158" t="s">
        <v>149</v>
      </c>
      <c r="U92" s="158" t="s">
        <v>149</v>
      </c>
      <c r="V92" s="158" t="s">
        <v>149</v>
      </c>
      <c r="W92" s="153" t="s">
        <v>1703</v>
      </c>
      <c r="X92" s="153" t="s">
        <v>306</v>
      </c>
      <c r="Y92" s="153" t="s">
        <v>1287</v>
      </c>
      <c r="Z92" s="153"/>
      <c r="AA92" s="153"/>
      <c r="AB92" s="153" t="s">
        <v>6069</v>
      </c>
      <c r="AC92" s="153" t="s">
        <v>1300</v>
      </c>
      <c r="AD92" s="153" t="s">
        <v>6070</v>
      </c>
      <c r="AE92" s="153"/>
      <c r="AF92" s="153"/>
      <c r="AG92" s="153"/>
    </row>
    <row r="93" ht="15.0" customHeight="1">
      <c r="A93" s="238">
        <v>2025.0</v>
      </c>
      <c r="B93" s="230">
        <v>92.0</v>
      </c>
      <c r="C93" s="153" t="s">
        <v>293</v>
      </c>
      <c r="D93" s="153" t="s">
        <v>1283</v>
      </c>
      <c r="E93" s="153" t="s">
        <v>2300</v>
      </c>
      <c r="F93" s="153" t="s">
        <v>2301</v>
      </c>
      <c r="G93" s="158" t="s">
        <v>149</v>
      </c>
      <c r="H93" s="153"/>
      <c r="I93" s="230">
        <v>1990.0</v>
      </c>
      <c r="J93" s="192" t="s">
        <v>149</v>
      </c>
      <c r="K93" s="192" t="s">
        <v>149</v>
      </c>
      <c r="L93" s="153" t="s">
        <v>151</v>
      </c>
      <c r="M93" s="158" t="s">
        <v>6054</v>
      </c>
      <c r="N93" s="158" t="s">
        <v>6054</v>
      </c>
      <c r="O93" s="153" t="s">
        <v>6506</v>
      </c>
      <c r="P93" s="158" t="s">
        <v>149</v>
      </c>
      <c r="Q93" s="158" t="s">
        <v>149</v>
      </c>
      <c r="R93" s="158" t="s">
        <v>149</v>
      </c>
      <c r="S93" s="158" t="s">
        <v>149</v>
      </c>
      <c r="T93" s="158" t="s">
        <v>149</v>
      </c>
      <c r="U93" s="158" t="s">
        <v>149</v>
      </c>
      <c r="V93" s="158" t="s">
        <v>149</v>
      </c>
      <c r="W93" s="153" t="s">
        <v>2304</v>
      </c>
      <c r="X93" s="158" t="s">
        <v>184</v>
      </c>
      <c r="Y93" s="153" t="s">
        <v>6507</v>
      </c>
      <c r="Z93" s="153"/>
      <c r="AA93" s="153"/>
      <c r="AB93" s="158" t="s">
        <v>395</v>
      </c>
      <c r="AC93" s="153" t="s">
        <v>6060</v>
      </c>
      <c r="AD93" s="158" t="s">
        <v>397</v>
      </c>
      <c r="AE93" s="153"/>
      <c r="AF93" s="153"/>
      <c r="AG93" s="153"/>
    </row>
    <row r="94" ht="15.0" customHeight="1">
      <c r="A94" s="238">
        <v>2025.0</v>
      </c>
      <c r="B94" s="230">
        <v>93.0</v>
      </c>
      <c r="C94" s="153" t="s">
        <v>293</v>
      </c>
      <c r="D94" s="153" t="s">
        <v>1283</v>
      </c>
      <c r="E94" s="153" t="s">
        <v>1375</v>
      </c>
      <c r="F94" s="153" t="s">
        <v>1376</v>
      </c>
      <c r="G94" s="153" t="s">
        <v>1377</v>
      </c>
      <c r="H94" s="153"/>
      <c r="I94" s="192">
        <v>1992.0</v>
      </c>
      <c r="J94" s="230">
        <v>1990.0</v>
      </c>
      <c r="K94" s="230">
        <v>1994.0</v>
      </c>
      <c r="L94" s="153" t="s">
        <v>151</v>
      </c>
      <c r="M94" s="158" t="s">
        <v>149</v>
      </c>
      <c r="N94" s="158" t="s">
        <v>149</v>
      </c>
      <c r="O94" s="158" t="s">
        <v>149</v>
      </c>
      <c r="P94" s="153" t="s">
        <v>1381</v>
      </c>
      <c r="Q94" s="158" t="s">
        <v>6154</v>
      </c>
      <c r="R94" s="158" t="s">
        <v>206</v>
      </c>
      <c r="S94" s="158" t="s">
        <v>159</v>
      </c>
      <c r="T94" s="158" t="s">
        <v>149</v>
      </c>
      <c r="U94" s="158" t="s">
        <v>149</v>
      </c>
      <c r="V94" s="158" t="s">
        <v>149</v>
      </c>
      <c r="W94" s="153" t="s">
        <v>660</v>
      </c>
      <c r="X94" s="153" t="s">
        <v>6035</v>
      </c>
      <c r="Y94" s="153" t="s">
        <v>369</v>
      </c>
      <c r="Z94" s="153"/>
      <c r="AA94" s="153"/>
      <c r="AB94" s="158" t="s">
        <v>395</v>
      </c>
      <c r="AC94" s="153" t="s">
        <v>6060</v>
      </c>
      <c r="AD94" s="158" t="s">
        <v>397</v>
      </c>
      <c r="AE94" s="153" t="s">
        <v>398</v>
      </c>
      <c r="AF94" s="153"/>
      <c r="AG94" s="153"/>
    </row>
    <row r="95" ht="15.0" customHeight="1">
      <c r="A95" s="238">
        <v>2025.0</v>
      </c>
      <c r="B95" s="230">
        <v>94.0</v>
      </c>
      <c r="C95" s="153" t="s">
        <v>293</v>
      </c>
      <c r="D95" s="153" t="s">
        <v>1283</v>
      </c>
      <c r="E95" s="153" t="s">
        <v>1375</v>
      </c>
      <c r="F95" s="153" t="s">
        <v>1376</v>
      </c>
      <c r="G95" s="158" t="s">
        <v>149</v>
      </c>
      <c r="H95" s="153" t="s">
        <v>3059</v>
      </c>
      <c r="I95" s="158" t="s">
        <v>149</v>
      </c>
      <c r="J95" s="192" t="s">
        <v>149</v>
      </c>
      <c r="K95" s="192" t="s">
        <v>149</v>
      </c>
      <c r="L95" s="153" t="s">
        <v>6062</v>
      </c>
      <c r="M95" s="153" t="s">
        <v>320</v>
      </c>
      <c r="N95" s="158" t="s">
        <v>179</v>
      </c>
      <c r="O95" s="158" t="s">
        <v>149</v>
      </c>
      <c r="P95" s="153" t="s">
        <v>3060</v>
      </c>
      <c r="Q95" s="158" t="s">
        <v>160</v>
      </c>
      <c r="R95" s="158" t="s">
        <v>184</v>
      </c>
      <c r="S95" s="158" t="s">
        <v>159</v>
      </c>
      <c r="T95" s="158" t="s">
        <v>149</v>
      </c>
      <c r="U95" s="158" t="s">
        <v>149</v>
      </c>
      <c r="V95" s="158" t="s">
        <v>149</v>
      </c>
      <c r="W95" s="153" t="s">
        <v>3061</v>
      </c>
      <c r="X95" s="153" t="s">
        <v>6035</v>
      </c>
      <c r="Y95" s="153"/>
      <c r="Z95" s="153"/>
      <c r="AA95" s="153"/>
      <c r="AB95" s="153" t="s">
        <v>6084</v>
      </c>
      <c r="AC95" s="153" t="s">
        <v>3062</v>
      </c>
      <c r="AD95" s="165" t="s">
        <v>3063</v>
      </c>
      <c r="AE95" s="153"/>
      <c r="AF95" s="153"/>
      <c r="AG95" s="153"/>
    </row>
    <row r="96" ht="15.0" customHeight="1">
      <c r="A96" s="238">
        <v>2025.0</v>
      </c>
      <c r="B96" s="230">
        <v>95.0</v>
      </c>
      <c r="C96" s="153" t="s">
        <v>293</v>
      </c>
      <c r="D96" s="153" t="s">
        <v>1283</v>
      </c>
      <c r="E96" s="153" t="s">
        <v>1795</v>
      </c>
      <c r="F96" s="153" t="s">
        <v>1796</v>
      </c>
      <c r="G96" s="158" t="s">
        <v>149</v>
      </c>
      <c r="H96" s="153"/>
      <c r="I96" s="230">
        <v>2011.0</v>
      </c>
      <c r="J96" s="192" t="s">
        <v>149</v>
      </c>
      <c r="K96" s="192" t="s">
        <v>149</v>
      </c>
      <c r="L96" s="153" t="s">
        <v>151</v>
      </c>
      <c r="M96" s="158" t="s">
        <v>149</v>
      </c>
      <c r="N96" s="158" t="s">
        <v>149</v>
      </c>
      <c r="O96" s="153" t="s">
        <v>2735</v>
      </c>
      <c r="P96" s="158" t="s">
        <v>149</v>
      </c>
      <c r="Q96" s="158" t="s">
        <v>149</v>
      </c>
      <c r="R96" s="158" t="s">
        <v>149</v>
      </c>
      <c r="S96" s="158" t="s">
        <v>149</v>
      </c>
      <c r="T96" s="158" t="s">
        <v>149</v>
      </c>
      <c r="U96" s="158" t="s">
        <v>149</v>
      </c>
      <c r="V96" s="158" t="s">
        <v>149</v>
      </c>
      <c r="W96" s="153" t="s">
        <v>228</v>
      </c>
      <c r="X96" s="153" t="s">
        <v>6035</v>
      </c>
      <c r="Y96" s="153" t="s">
        <v>390</v>
      </c>
      <c r="Z96" s="153"/>
      <c r="AA96" s="153"/>
      <c r="AB96" s="158" t="s">
        <v>166</v>
      </c>
      <c r="AC96" s="153" t="s">
        <v>2736</v>
      </c>
      <c r="AD96" s="165" t="s">
        <v>2737</v>
      </c>
      <c r="AE96" s="153"/>
      <c r="AF96" s="153"/>
      <c r="AG96" s="153"/>
    </row>
    <row r="97" ht="15.0" customHeight="1">
      <c r="A97" s="238">
        <v>2025.0</v>
      </c>
      <c r="B97" s="230">
        <v>96.0</v>
      </c>
      <c r="C97" s="153" t="s">
        <v>293</v>
      </c>
      <c r="D97" s="153" t="s">
        <v>1283</v>
      </c>
      <c r="E97" s="153" t="s">
        <v>1795</v>
      </c>
      <c r="F97" s="153" t="s">
        <v>1796</v>
      </c>
      <c r="G97" s="158" t="s">
        <v>149</v>
      </c>
      <c r="H97" s="153" t="s">
        <v>507</v>
      </c>
      <c r="I97" s="230">
        <v>2015.0</v>
      </c>
      <c r="J97" s="192" t="s">
        <v>149</v>
      </c>
      <c r="K97" s="192" t="s">
        <v>149</v>
      </c>
      <c r="L97" s="153" t="s">
        <v>151</v>
      </c>
      <c r="M97" s="158" t="s">
        <v>149</v>
      </c>
      <c r="N97" s="158" t="s">
        <v>149</v>
      </c>
      <c r="O97" s="158" t="s">
        <v>149</v>
      </c>
      <c r="P97" s="153" t="s">
        <v>158</v>
      </c>
      <c r="Q97" s="158" t="s">
        <v>160</v>
      </c>
      <c r="R97" s="158" t="s">
        <v>6035</v>
      </c>
      <c r="S97" s="158" t="s">
        <v>159</v>
      </c>
      <c r="T97" s="158" t="s">
        <v>149</v>
      </c>
      <c r="U97" s="158" t="s">
        <v>149</v>
      </c>
      <c r="V97" s="158" t="s">
        <v>149</v>
      </c>
      <c r="W97" s="153" t="s">
        <v>158</v>
      </c>
      <c r="X97" s="153" t="s">
        <v>6035</v>
      </c>
      <c r="Y97" s="153"/>
      <c r="Z97" s="153"/>
      <c r="AA97" s="153"/>
      <c r="AB97" s="158" t="s">
        <v>6517</v>
      </c>
      <c r="AC97" s="153" t="s">
        <v>3065</v>
      </c>
      <c r="AD97" s="165" t="s">
        <v>3066</v>
      </c>
      <c r="AE97" s="153"/>
      <c r="AF97" s="153"/>
      <c r="AG97" s="153"/>
    </row>
    <row r="98" ht="15.0" customHeight="1">
      <c r="A98" s="238">
        <v>2025.0</v>
      </c>
      <c r="B98" s="230">
        <v>97.0</v>
      </c>
      <c r="C98" s="153" t="s">
        <v>293</v>
      </c>
      <c r="D98" s="153" t="s">
        <v>1283</v>
      </c>
      <c r="E98" s="153" t="s">
        <v>1795</v>
      </c>
      <c r="F98" s="153" t="s">
        <v>1796</v>
      </c>
      <c r="G98" s="158" t="s">
        <v>149</v>
      </c>
      <c r="H98" s="153" t="s">
        <v>3068</v>
      </c>
      <c r="I98" s="230">
        <v>2017.0</v>
      </c>
      <c r="J98" s="192" t="s">
        <v>149</v>
      </c>
      <c r="K98" s="192" t="s">
        <v>149</v>
      </c>
      <c r="L98" s="153" t="s">
        <v>151</v>
      </c>
      <c r="M98" s="158" t="s">
        <v>149</v>
      </c>
      <c r="N98" s="158" t="s">
        <v>149</v>
      </c>
      <c r="O98" s="158" t="s">
        <v>149</v>
      </c>
      <c r="P98" s="153" t="s">
        <v>158</v>
      </c>
      <c r="Q98" s="158" t="s">
        <v>160</v>
      </c>
      <c r="R98" s="158" t="s">
        <v>6035</v>
      </c>
      <c r="S98" s="158" t="s">
        <v>159</v>
      </c>
      <c r="T98" s="158" t="s">
        <v>149</v>
      </c>
      <c r="U98" s="158" t="s">
        <v>149</v>
      </c>
      <c r="V98" s="158" t="s">
        <v>149</v>
      </c>
      <c r="W98" s="153" t="s">
        <v>158</v>
      </c>
      <c r="X98" s="153" t="s">
        <v>6035</v>
      </c>
      <c r="Y98" s="153"/>
      <c r="Z98" s="153"/>
      <c r="AA98" s="153"/>
      <c r="AB98" s="158" t="s">
        <v>6517</v>
      </c>
      <c r="AC98" s="153" t="s">
        <v>3065</v>
      </c>
      <c r="AD98" s="165" t="s">
        <v>3066</v>
      </c>
      <c r="AE98" s="153"/>
      <c r="AF98" s="153"/>
      <c r="AG98" s="153"/>
    </row>
    <row r="99" ht="15.0" customHeight="1">
      <c r="A99" s="238">
        <v>2025.0</v>
      </c>
      <c r="B99" s="230">
        <v>98.0</v>
      </c>
      <c r="C99" s="153" t="s">
        <v>293</v>
      </c>
      <c r="D99" s="153" t="s">
        <v>1283</v>
      </c>
      <c r="E99" s="153" t="s">
        <v>1795</v>
      </c>
      <c r="F99" s="153" t="s">
        <v>1796</v>
      </c>
      <c r="G99" s="153" t="s">
        <v>1797</v>
      </c>
      <c r="H99" s="153" t="s">
        <v>6522</v>
      </c>
      <c r="I99" s="230">
        <v>2022.0</v>
      </c>
      <c r="J99" s="192" t="s">
        <v>149</v>
      </c>
      <c r="K99" s="192" t="s">
        <v>149</v>
      </c>
      <c r="L99" s="153" t="s">
        <v>151</v>
      </c>
      <c r="M99" s="158" t="s">
        <v>149</v>
      </c>
      <c r="N99" s="158" t="s">
        <v>149</v>
      </c>
      <c r="O99" s="153" t="s">
        <v>6523</v>
      </c>
      <c r="P99" s="153" t="s">
        <v>1802</v>
      </c>
      <c r="Q99" s="158" t="s">
        <v>160</v>
      </c>
      <c r="R99" s="158" t="s">
        <v>184</v>
      </c>
      <c r="S99" s="158" t="s">
        <v>159</v>
      </c>
      <c r="T99" s="158" t="s">
        <v>149</v>
      </c>
      <c r="U99" s="158" t="s">
        <v>149</v>
      </c>
      <c r="V99" s="158" t="s">
        <v>149</v>
      </c>
      <c r="W99" s="153" t="s">
        <v>1802</v>
      </c>
      <c r="X99" s="158" t="s">
        <v>184</v>
      </c>
      <c r="Y99" s="153"/>
      <c r="Z99" s="153"/>
      <c r="AA99" s="153"/>
      <c r="AB99" s="153" t="s">
        <v>6038</v>
      </c>
      <c r="AC99" s="153" t="s">
        <v>1803</v>
      </c>
      <c r="AD99" s="165" t="s">
        <v>1804</v>
      </c>
      <c r="AE99" s="153"/>
      <c r="AF99" s="153"/>
      <c r="AG99" s="153"/>
    </row>
    <row r="100" ht="15.0" customHeight="1">
      <c r="A100" s="238">
        <v>2025.0</v>
      </c>
      <c r="B100" s="230">
        <v>99.0</v>
      </c>
      <c r="C100" s="153" t="s">
        <v>293</v>
      </c>
      <c r="D100" s="153" t="s">
        <v>1283</v>
      </c>
      <c r="E100" s="153" t="s">
        <v>1979</v>
      </c>
      <c r="F100" s="153" t="s">
        <v>1980</v>
      </c>
      <c r="G100" s="153" t="s">
        <v>1981</v>
      </c>
      <c r="H100" s="153" t="s">
        <v>1982</v>
      </c>
      <c r="I100" s="158" t="s">
        <v>149</v>
      </c>
      <c r="J100" s="192" t="s">
        <v>149</v>
      </c>
      <c r="K100" s="192" t="s">
        <v>149</v>
      </c>
      <c r="L100" s="153" t="s">
        <v>151</v>
      </c>
      <c r="M100" s="158" t="s">
        <v>149</v>
      </c>
      <c r="N100" s="158" t="s">
        <v>149</v>
      </c>
      <c r="O100" s="153" t="s">
        <v>819</v>
      </c>
      <c r="P100" s="158" t="s">
        <v>369</v>
      </c>
      <c r="Q100" s="158" t="s">
        <v>160</v>
      </c>
      <c r="R100" s="158" t="s">
        <v>6035</v>
      </c>
      <c r="S100" s="158" t="s">
        <v>159</v>
      </c>
      <c r="T100" s="158" t="s">
        <v>149</v>
      </c>
      <c r="U100" s="158" t="s">
        <v>149</v>
      </c>
      <c r="V100" s="153" t="s">
        <v>1984</v>
      </c>
      <c r="W100" s="153" t="s">
        <v>369</v>
      </c>
      <c r="X100" s="153" t="s">
        <v>6035</v>
      </c>
      <c r="Y100" s="153"/>
      <c r="Z100" s="153"/>
      <c r="AA100" s="153"/>
      <c r="AB100" s="153" t="s">
        <v>6084</v>
      </c>
      <c r="AC100" s="153" t="s">
        <v>823</v>
      </c>
      <c r="AD100" s="172" t="s">
        <v>824</v>
      </c>
      <c r="AE100" s="153"/>
      <c r="AF100" s="153"/>
      <c r="AG100" s="153"/>
    </row>
    <row r="101" ht="15.0" customHeight="1">
      <c r="A101" s="238">
        <v>2025.0</v>
      </c>
      <c r="B101" s="230">
        <v>100.0</v>
      </c>
      <c r="C101" s="153" t="s">
        <v>293</v>
      </c>
      <c r="D101" s="153" t="s">
        <v>294</v>
      </c>
      <c r="E101" s="153" t="s">
        <v>2602</v>
      </c>
      <c r="F101" s="153" t="s">
        <v>2603</v>
      </c>
      <c r="G101" s="158" t="s">
        <v>149</v>
      </c>
      <c r="H101" s="153" t="s">
        <v>2604</v>
      </c>
      <c r="I101" s="158" t="s">
        <v>149</v>
      </c>
      <c r="J101" s="158" t="s">
        <v>149</v>
      </c>
      <c r="K101" s="158" t="s">
        <v>149</v>
      </c>
      <c r="L101" s="153" t="s">
        <v>151</v>
      </c>
      <c r="M101" s="153" t="s">
        <v>152</v>
      </c>
      <c r="N101" s="158" t="s">
        <v>152</v>
      </c>
      <c r="O101" s="153" t="s">
        <v>2605</v>
      </c>
      <c r="P101" s="158" t="s">
        <v>369</v>
      </c>
      <c r="Q101" s="158" t="s">
        <v>160</v>
      </c>
      <c r="R101" s="158" t="s">
        <v>6035</v>
      </c>
      <c r="S101" s="158" t="s">
        <v>159</v>
      </c>
      <c r="T101" s="158" t="s">
        <v>149</v>
      </c>
      <c r="U101" s="158" t="s">
        <v>149</v>
      </c>
      <c r="V101" s="158" t="s">
        <v>149</v>
      </c>
      <c r="W101" s="153" t="s">
        <v>369</v>
      </c>
      <c r="X101" s="153" t="s">
        <v>6035</v>
      </c>
      <c r="Y101" s="153"/>
      <c r="Z101" s="153"/>
      <c r="AA101" s="153"/>
      <c r="AB101" s="158" t="s">
        <v>166</v>
      </c>
      <c r="AC101" s="153" t="s">
        <v>2606</v>
      </c>
      <c r="AD101" s="172" t="s">
        <v>2607</v>
      </c>
      <c r="AE101" s="153"/>
      <c r="AF101" s="153"/>
      <c r="AG101" s="153"/>
    </row>
    <row r="102" ht="15.0" customHeight="1">
      <c r="A102" s="238">
        <v>2025.0</v>
      </c>
      <c r="B102" s="230">
        <v>101.0</v>
      </c>
      <c r="C102" s="153" t="s">
        <v>293</v>
      </c>
      <c r="D102" s="153" t="s">
        <v>294</v>
      </c>
      <c r="E102" s="153" t="s">
        <v>486</v>
      </c>
      <c r="F102" s="153" t="s">
        <v>487</v>
      </c>
      <c r="G102" s="153" t="s">
        <v>384</v>
      </c>
      <c r="H102" s="153" t="s">
        <v>488</v>
      </c>
      <c r="I102" s="230">
        <v>1985.0</v>
      </c>
      <c r="J102" s="230">
        <v>1985.0</v>
      </c>
      <c r="K102" s="230">
        <v>1987.0</v>
      </c>
      <c r="L102" s="153" t="s">
        <v>151</v>
      </c>
      <c r="M102" s="153" t="s">
        <v>6054</v>
      </c>
      <c r="N102" s="153" t="s">
        <v>6054</v>
      </c>
      <c r="O102" s="158" t="s">
        <v>149</v>
      </c>
      <c r="P102" s="153" t="s">
        <v>390</v>
      </c>
      <c r="Q102" s="158" t="s">
        <v>160</v>
      </c>
      <c r="R102" s="158" t="s">
        <v>6035</v>
      </c>
      <c r="S102" s="158" t="s">
        <v>159</v>
      </c>
      <c r="T102" s="158" t="s">
        <v>149</v>
      </c>
      <c r="U102" s="158" t="s">
        <v>149</v>
      </c>
      <c r="V102" s="153" t="s">
        <v>489</v>
      </c>
      <c r="W102" s="153" t="s">
        <v>390</v>
      </c>
      <c r="X102" s="153" t="s">
        <v>6035</v>
      </c>
      <c r="Y102" s="153" t="s">
        <v>6055</v>
      </c>
      <c r="Z102" s="153"/>
      <c r="AA102" s="153"/>
      <c r="AB102" s="158" t="s">
        <v>395</v>
      </c>
      <c r="AC102" s="153" t="s">
        <v>6060</v>
      </c>
      <c r="AD102" s="158" t="s">
        <v>397</v>
      </c>
      <c r="AE102" s="153" t="s">
        <v>398</v>
      </c>
      <c r="AF102" s="153"/>
      <c r="AG102" s="153"/>
    </row>
    <row r="103" ht="15.0" customHeight="1">
      <c r="A103" s="238">
        <v>2025.0</v>
      </c>
      <c r="B103" s="230">
        <v>102.0</v>
      </c>
      <c r="C103" s="153" t="s">
        <v>293</v>
      </c>
      <c r="D103" s="153" t="s">
        <v>294</v>
      </c>
      <c r="E103" s="153" t="s">
        <v>295</v>
      </c>
      <c r="F103" s="153" t="s">
        <v>296</v>
      </c>
      <c r="G103" s="153" t="s">
        <v>6553</v>
      </c>
      <c r="H103" s="153"/>
      <c r="I103" s="230">
        <v>2022.0</v>
      </c>
      <c r="J103" s="230">
        <v>2022.0</v>
      </c>
      <c r="K103" s="230">
        <v>2024.0</v>
      </c>
      <c r="L103" s="153" t="s">
        <v>6259</v>
      </c>
      <c r="M103" s="158" t="s">
        <v>301</v>
      </c>
      <c r="N103" s="158" t="s">
        <v>301</v>
      </c>
      <c r="O103" s="153" t="s">
        <v>304</v>
      </c>
      <c r="P103" s="158" t="s">
        <v>305</v>
      </c>
      <c r="Q103" s="158" t="s">
        <v>6154</v>
      </c>
      <c r="R103" s="158" t="s">
        <v>306</v>
      </c>
      <c r="S103" s="158" t="s">
        <v>159</v>
      </c>
      <c r="T103" s="158" t="s">
        <v>149</v>
      </c>
      <c r="U103" s="158" t="s">
        <v>149</v>
      </c>
      <c r="V103" s="158" t="s">
        <v>149</v>
      </c>
      <c r="W103" s="153" t="s">
        <v>6531</v>
      </c>
      <c r="X103" s="153" t="s">
        <v>306</v>
      </c>
      <c r="Y103" s="153" t="s">
        <v>6532</v>
      </c>
      <c r="Z103" s="153" t="s">
        <v>6533</v>
      </c>
      <c r="AA103" s="153"/>
      <c r="AB103" s="153" t="s">
        <v>213</v>
      </c>
      <c r="AC103" s="153" t="s">
        <v>213</v>
      </c>
      <c r="AD103" s="153"/>
      <c r="AE103" s="153" t="s">
        <v>311</v>
      </c>
      <c r="AF103" s="153" t="s">
        <v>312</v>
      </c>
      <c r="AG103" s="153"/>
    </row>
    <row r="104" ht="15.0" customHeight="1">
      <c r="A104" s="238">
        <v>2025.0</v>
      </c>
      <c r="B104" s="230">
        <v>103.0</v>
      </c>
      <c r="C104" s="153" t="s">
        <v>293</v>
      </c>
      <c r="D104" s="153" t="s">
        <v>294</v>
      </c>
      <c r="E104" s="153" t="s">
        <v>950</v>
      </c>
      <c r="F104" s="153" t="s">
        <v>951</v>
      </c>
      <c r="G104" s="153" t="s">
        <v>934</v>
      </c>
      <c r="H104" s="153"/>
      <c r="I104" s="230">
        <v>2001.0</v>
      </c>
      <c r="J104" s="230">
        <v>2001.0</v>
      </c>
      <c r="K104" s="230">
        <v>2005.0</v>
      </c>
      <c r="L104" s="153" t="s">
        <v>6062</v>
      </c>
      <c r="M104" s="153" t="s">
        <v>3245</v>
      </c>
      <c r="N104" s="158" t="s">
        <v>179</v>
      </c>
      <c r="O104" s="153" t="s">
        <v>939</v>
      </c>
      <c r="P104" s="153" t="s">
        <v>940</v>
      </c>
      <c r="Q104" s="158" t="s">
        <v>6154</v>
      </c>
      <c r="R104" s="158" t="s">
        <v>206</v>
      </c>
      <c r="S104" s="158" t="s">
        <v>204</v>
      </c>
      <c r="T104" s="158" t="s">
        <v>149</v>
      </c>
      <c r="U104" s="158" t="s">
        <v>149</v>
      </c>
      <c r="V104" s="158" t="s">
        <v>149</v>
      </c>
      <c r="W104" s="153" t="s">
        <v>233</v>
      </c>
      <c r="X104" s="158" t="s">
        <v>6068</v>
      </c>
      <c r="Y104" s="153"/>
      <c r="Z104" s="153"/>
      <c r="AA104" s="153"/>
      <c r="AB104" s="158" t="s">
        <v>6214</v>
      </c>
      <c r="AC104" s="153" t="s">
        <v>941</v>
      </c>
      <c r="AD104" s="153" t="s">
        <v>942</v>
      </c>
      <c r="AE104" s="153" t="s">
        <v>943</v>
      </c>
      <c r="AF104" s="153"/>
      <c r="AG104" s="153"/>
    </row>
    <row r="105" ht="15.0" customHeight="1">
      <c r="A105" s="238">
        <v>2025.0</v>
      </c>
      <c r="B105" s="230">
        <v>104.0</v>
      </c>
      <c r="C105" s="153" t="s">
        <v>293</v>
      </c>
      <c r="D105" s="153" t="s">
        <v>294</v>
      </c>
      <c r="E105" s="153" t="s">
        <v>3070</v>
      </c>
      <c r="F105" s="153" t="s">
        <v>3071</v>
      </c>
      <c r="G105" s="158" t="s">
        <v>149</v>
      </c>
      <c r="H105" s="153"/>
      <c r="I105" s="158" t="s">
        <v>149</v>
      </c>
      <c r="J105" s="192" t="s">
        <v>149</v>
      </c>
      <c r="K105" s="192" t="s">
        <v>149</v>
      </c>
      <c r="L105" s="153" t="s">
        <v>151</v>
      </c>
      <c r="M105" s="158" t="s">
        <v>149</v>
      </c>
      <c r="N105" s="158" t="s">
        <v>149</v>
      </c>
      <c r="O105" s="158" t="s">
        <v>149</v>
      </c>
      <c r="P105" s="158" t="s">
        <v>228</v>
      </c>
      <c r="Q105" s="158" t="s">
        <v>160</v>
      </c>
      <c r="R105" s="158" t="s">
        <v>6035</v>
      </c>
      <c r="S105" s="158" t="s">
        <v>159</v>
      </c>
      <c r="T105" s="158" t="s">
        <v>149</v>
      </c>
      <c r="U105" s="158" t="s">
        <v>149</v>
      </c>
      <c r="V105" s="153" t="s">
        <v>3072</v>
      </c>
      <c r="W105" s="153" t="s">
        <v>228</v>
      </c>
      <c r="X105" s="153" t="s">
        <v>6035</v>
      </c>
      <c r="Y105" s="153" t="s">
        <v>390</v>
      </c>
      <c r="Z105" s="153"/>
      <c r="AA105" s="153"/>
      <c r="AB105" s="158" t="s">
        <v>166</v>
      </c>
      <c r="AC105" s="153" t="s">
        <v>2736</v>
      </c>
      <c r="AD105" s="153" t="s">
        <v>2737</v>
      </c>
      <c r="AE105" s="153"/>
      <c r="AF105" s="153"/>
      <c r="AG105" s="153"/>
    </row>
    <row r="106" ht="15.0" customHeight="1">
      <c r="A106" s="238">
        <v>2025.0</v>
      </c>
      <c r="B106" s="230">
        <v>105.0</v>
      </c>
      <c r="C106" s="153" t="s">
        <v>293</v>
      </c>
      <c r="D106" s="153" t="s">
        <v>294</v>
      </c>
      <c r="E106" s="153" t="s">
        <v>420</v>
      </c>
      <c r="F106" s="153" t="s">
        <v>708</v>
      </c>
      <c r="G106" s="153" t="s">
        <v>709</v>
      </c>
      <c r="H106" s="153"/>
      <c r="I106" s="230">
        <v>2012.0</v>
      </c>
      <c r="J106" s="192" t="s">
        <v>149</v>
      </c>
      <c r="K106" s="192" t="s">
        <v>149</v>
      </c>
      <c r="L106" s="153" t="s">
        <v>151</v>
      </c>
      <c r="M106" s="158" t="s">
        <v>149</v>
      </c>
      <c r="N106" s="158" t="s">
        <v>149</v>
      </c>
      <c r="O106" s="153" t="s">
        <v>710</v>
      </c>
      <c r="P106" s="153" t="s">
        <v>369</v>
      </c>
      <c r="Q106" s="158" t="s">
        <v>160</v>
      </c>
      <c r="R106" s="158" t="s">
        <v>6035</v>
      </c>
      <c r="S106" s="158" t="s">
        <v>159</v>
      </c>
      <c r="T106" s="158" t="s">
        <v>149</v>
      </c>
      <c r="U106" s="158" t="s">
        <v>149</v>
      </c>
      <c r="V106" s="158" t="s">
        <v>149</v>
      </c>
      <c r="W106" s="153" t="s">
        <v>369</v>
      </c>
      <c r="X106" s="153" t="s">
        <v>6035</v>
      </c>
      <c r="Y106" s="153" t="s">
        <v>711</v>
      </c>
      <c r="Z106" s="153"/>
      <c r="AA106" s="153"/>
      <c r="AB106" s="153" t="s">
        <v>213</v>
      </c>
      <c r="AC106" s="153" t="s">
        <v>213</v>
      </c>
      <c r="AD106" s="153"/>
      <c r="AE106" s="153" t="s">
        <v>712</v>
      </c>
      <c r="AF106" s="242" t="s">
        <v>7857</v>
      </c>
      <c r="AG106" s="153"/>
    </row>
    <row r="107" ht="15.75" customHeight="1">
      <c r="A107" s="238">
        <v>2025.0</v>
      </c>
      <c r="B107" s="230">
        <v>106.0</v>
      </c>
      <c r="C107" s="153" t="s">
        <v>293</v>
      </c>
      <c r="D107" s="153" t="s">
        <v>294</v>
      </c>
      <c r="E107" s="153" t="s">
        <v>1291</v>
      </c>
      <c r="F107" s="153" t="s">
        <v>1292</v>
      </c>
      <c r="G107" s="153" t="s">
        <v>1174</v>
      </c>
      <c r="H107" s="153"/>
      <c r="I107" s="192">
        <v>2013.0</v>
      </c>
      <c r="J107" s="230">
        <v>2012.0</v>
      </c>
      <c r="K107" s="230">
        <v>2013.0</v>
      </c>
      <c r="L107" s="153" t="s">
        <v>6062</v>
      </c>
      <c r="M107" s="153" t="s">
        <v>320</v>
      </c>
      <c r="N107" s="158" t="s">
        <v>179</v>
      </c>
      <c r="O107" s="158" t="s">
        <v>149</v>
      </c>
      <c r="P107" s="153" t="s">
        <v>321</v>
      </c>
      <c r="Q107" s="158" t="s">
        <v>160</v>
      </c>
      <c r="R107" s="158" t="s">
        <v>6035</v>
      </c>
      <c r="S107" s="158" t="s">
        <v>159</v>
      </c>
      <c r="T107" s="158" t="s">
        <v>149</v>
      </c>
      <c r="U107" s="158" t="s">
        <v>149</v>
      </c>
      <c r="V107" s="158" t="s">
        <v>149</v>
      </c>
      <c r="W107" s="153" t="s">
        <v>885</v>
      </c>
      <c r="X107" s="158" t="s">
        <v>6068</v>
      </c>
      <c r="Y107" s="153" t="s">
        <v>1287</v>
      </c>
      <c r="Z107" s="153"/>
      <c r="AA107" s="153"/>
      <c r="AB107" s="158" t="s">
        <v>6069</v>
      </c>
      <c r="AC107" s="200" t="s">
        <v>7858</v>
      </c>
      <c r="AD107" s="153" t="s">
        <v>6070</v>
      </c>
      <c r="AE107" s="153"/>
      <c r="AF107" s="153"/>
      <c r="AG107" s="153"/>
    </row>
    <row r="108" ht="15.75" customHeight="1">
      <c r="A108" s="238">
        <v>2025.0</v>
      </c>
      <c r="B108" s="230">
        <v>107.0</v>
      </c>
      <c r="C108" s="153" t="s">
        <v>293</v>
      </c>
      <c r="D108" s="153" t="s">
        <v>294</v>
      </c>
      <c r="E108" s="153" t="s">
        <v>1291</v>
      </c>
      <c r="F108" s="153" t="s">
        <v>1292</v>
      </c>
      <c r="G108" s="153" t="s">
        <v>1683</v>
      </c>
      <c r="H108" s="153"/>
      <c r="I108" s="192">
        <v>2015.0</v>
      </c>
      <c r="J108" s="230">
        <v>2014.0</v>
      </c>
      <c r="K108" s="230">
        <v>2016.0</v>
      </c>
      <c r="L108" s="153" t="s">
        <v>6062</v>
      </c>
      <c r="M108" s="153" t="s">
        <v>320</v>
      </c>
      <c r="N108" s="158" t="s">
        <v>179</v>
      </c>
      <c r="O108" s="158" t="s">
        <v>149</v>
      </c>
      <c r="P108" s="153" t="s">
        <v>321</v>
      </c>
      <c r="Q108" s="158" t="s">
        <v>160</v>
      </c>
      <c r="R108" s="158" t="s">
        <v>6035</v>
      </c>
      <c r="S108" s="158" t="s">
        <v>159</v>
      </c>
      <c r="T108" s="158" t="s">
        <v>149</v>
      </c>
      <c r="U108" s="158" t="s">
        <v>149</v>
      </c>
      <c r="V108" s="153" t="s">
        <v>1706</v>
      </c>
      <c r="W108" s="153" t="s">
        <v>1703</v>
      </c>
      <c r="X108" s="153" t="s">
        <v>306</v>
      </c>
      <c r="Y108" s="153" t="s">
        <v>1287</v>
      </c>
      <c r="Z108" s="153"/>
      <c r="AA108" s="153"/>
      <c r="AB108" s="158" t="s">
        <v>6069</v>
      </c>
      <c r="AC108" s="153" t="s">
        <v>1300</v>
      </c>
      <c r="AD108" s="153" t="s">
        <v>6070</v>
      </c>
      <c r="AE108" s="153"/>
      <c r="AF108" s="153"/>
      <c r="AG108" s="153"/>
    </row>
    <row r="109" ht="15.75" customHeight="1">
      <c r="A109" s="238">
        <v>2025.0</v>
      </c>
      <c r="B109" s="230">
        <v>108.0</v>
      </c>
      <c r="C109" s="153" t="s">
        <v>293</v>
      </c>
      <c r="D109" s="153" t="s">
        <v>294</v>
      </c>
      <c r="E109" s="153" t="s">
        <v>1291</v>
      </c>
      <c r="F109" s="153" t="s">
        <v>1292</v>
      </c>
      <c r="G109" s="158" t="s">
        <v>149</v>
      </c>
      <c r="H109" s="153"/>
      <c r="I109" s="230">
        <v>2012.0</v>
      </c>
      <c r="J109" s="192" t="s">
        <v>149</v>
      </c>
      <c r="K109" s="192" t="s">
        <v>149</v>
      </c>
      <c r="L109" s="153" t="s">
        <v>151</v>
      </c>
      <c r="M109" s="158" t="s">
        <v>149</v>
      </c>
      <c r="N109" s="158" t="s">
        <v>149</v>
      </c>
      <c r="O109" s="153" t="s">
        <v>6551</v>
      </c>
      <c r="P109" s="153" t="s">
        <v>228</v>
      </c>
      <c r="Q109" s="158" t="s">
        <v>160</v>
      </c>
      <c r="R109" s="158" t="s">
        <v>6035</v>
      </c>
      <c r="S109" s="158" t="s">
        <v>159</v>
      </c>
      <c r="T109" s="158" t="s">
        <v>149</v>
      </c>
      <c r="U109" s="158" t="s">
        <v>149</v>
      </c>
      <c r="V109" s="158" t="s">
        <v>149</v>
      </c>
      <c r="W109" s="153" t="s">
        <v>228</v>
      </c>
      <c r="X109" s="153" t="s">
        <v>6035</v>
      </c>
      <c r="Y109" s="153" t="s">
        <v>1628</v>
      </c>
      <c r="Z109" s="153"/>
      <c r="AA109" s="153"/>
      <c r="AB109" s="158" t="s">
        <v>166</v>
      </c>
      <c r="AC109" s="153" t="s">
        <v>2736</v>
      </c>
      <c r="AD109" s="165" t="s">
        <v>2737</v>
      </c>
      <c r="AE109" s="153"/>
      <c r="AF109" s="153"/>
      <c r="AG109" s="153"/>
    </row>
    <row r="110" ht="15.75" customHeight="1">
      <c r="A110" s="238">
        <v>2025.0</v>
      </c>
      <c r="B110" s="230">
        <v>109.0</v>
      </c>
      <c r="C110" s="153" t="s">
        <v>293</v>
      </c>
      <c r="D110" s="153" t="s">
        <v>294</v>
      </c>
      <c r="E110" s="153" t="s">
        <v>1291</v>
      </c>
      <c r="F110" s="153" t="s">
        <v>1292</v>
      </c>
      <c r="G110" s="158" t="s">
        <v>149</v>
      </c>
      <c r="H110" s="153"/>
      <c r="I110" s="230">
        <v>2021.0</v>
      </c>
      <c r="J110" s="192" t="s">
        <v>149</v>
      </c>
      <c r="K110" s="192" t="s">
        <v>149</v>
      </c>
      <c r="L110" s="153" t="s">
        <v>151</v>
      </c>
      <c r="M110" s="153" t="s">
        <v>851</v>
      </c>
      <c r="N110" s="158" t="s">
        <v>851</v>
      </c>
      <c r="O110" s="153" t="s">
        <v>6556</v>
      </c>
      <c r="P110" s="153" t="s">
        <v>1941</v>
      </c>
      <c r="Q110" s="158" t="s">
        <v>160</v>
      </c>
      <c r="R110" s="158" t="s">
        <v>184</v>
      </c>
      <c r="S110" s="158" t="s">
        <v>159</v>
      </c>
      <c r="T110" s="158" t="s">
        <v>149</v>
      </c>
      <c r="U110" s="158" t="s">
        <v>149</v>
      </c>
      <c r="V110" s="153" t="s">
        <v>6557</v>
      </c>
      <c r="W110" s="153" t="s">
        <v>1941</v>
      </c>
      <c r="X110" s="158" t="s">
        <v>184</v>
      </c>
      <c r="Y110" s="153"/>
      <c r="Z110" s="153" t="s">
        <v>1703</v>
      </c>
      <c r="AA110" s="153"/>
      <c r="AB110" s="158" t="s">
        <v>166</v>
      </c>
      <c r="AC110" s="153" t="s">
        <v>6558</v>
      </c>
      <c r="AD110" s="165" t="s">
        <v>1945</v>
      </c>
      <c r="AE110" s="153"/>
      <c r="AF110" s="153"/>
      <c r="AG110" s="153"/>
    </row>
    <row r="111" ht="15.75" customHeight="1">
      <c r="A111" s="238">
        <v>2025.0</v>
      </c>
      <c r="B111" s="230">
        <v>110.0</v>
      </c>
      <c r="C111" s="153" t="s">
        <v>257</v>
      </c>
      <c r="D111" s="153" t="s">
        <v>258</v>
      </c>
      <c r="E111" s="153" t="s">
        <v>3075</v>
      </c>
      <c r="F111" s="153" t="s">
        <v>3076</v>
      </c>
      <c r="G111" s="158" t="s">
        <v>149</v>
      </c>
      <c r="H111" s="153" t="s">
        <v>6560</v>
      </c>
      <c r="I111" s="230">
        <v>2022.0</v>
      </c>
      <c r="J111" s="192" t="s">
        <v>149</v>
      </c>
      <c r="K111" s="192" t="s">
        <v>149</v>
      </c>
      <c r="L111" s="153" t="s">
        <v>151</v>
      </c>
      <c r="M111" s="158" t="s">
        <v>149</v>
      </c>
      <c r="N111" s="158" t="s">
        <v>149</v>
      </c>
      <c r="O111" s="158" t="s">
        <v>149</v>
      </c>
      <c r="P111" s="153" t="s">
        <v>2664</v>
      </c>
      <c r="Q111" s="158" t="s">
        <v>160</v>
      </c>
      <c r="R111" s="158" t="s">
        <v>184</v>
      </c>
      <c r="S111" s="158" t="s">
        <v>159</v>
      </c>
      <c r="T111" s="158" t="s">
        <v>149</v>
      </c>
      <c r="U111" s="158" t="s">
        <v>149</v>
      </c>
      <c r="V111" s="153" t="s">
        <v>795</v>
      </c>
      <c r="W111" s="153" t="s">
        <v>3078</v>
      </c>
      <c r="X111" s="153" t="s">
        <v>184</v>
      </c>
      <c r="Y111" s="153" t="s">
        <v>3079</v>
      </c>
      <c r="Z111" s="153"/>
      <c r="AA111" s="153"/>
      <c r="AB111" s="158" t="s">
        <v>166</v>
      </c>
      <c r="AC111" s="153" t="s">
        <v>2665</v>
      </c>
      <c r="AD111" s="172" t="s">
        <v>2666</v>
      </c>
      <c r="AE111" s="153"/>
      <c r="AF111" s="153"/>
      <c r="AG111" s="153"/>
    </row>
    <row r="112" ht="15.75" customHeight="1">
      <c r="A112" s="238">
        <v>2025.0</v>
      </c>
      <c r="B112" s="230">
        <v>111.0</v>
      </c>
      <c r="C112" s="153" t="s">
        <v>257</v>
      </c>
      <c r="D112" s="153" t="s">
        <v>258</v>
      </c>
      <c r="E112" s="153" t="s">
        <v>2424</v>
      </c>
      <c r="F112" s="153" t="s">
        <v>2425</v>
      </c>
      <c r="G112" s="158" t="s">
        <v>149</v>
      </c>
      <c r="H112" s="158" t="s">
        <v>2426</v>
      </c>
      <c r="I112" s="230">
        <v>2002.0</v>
      </c>
      <c r="J112" s="158" t="s">
        <v>149</v>
      </c>
      <c r="K112" s="158" t="s">
        <v>149</v>
      </c>
      <c r="L112" s="153" t="s">
        <v>151</v>
      </c>
      <c r="M112" s="158" t="s">
        <v>2427</v>
      </c>
      <c r="N112" s="158" t="s">
        <v>2427</v>
      </c>
      <c r="O112" s="158" t="s">
        <v>2428</v>
      </c>
      <c r="P112" s="153" t="s">
        <v>2429</v>
      </c>
      <c r="Q112" s="153" t="s">
        <v>160</v>
      </c>
      <c r="R112" s="153" t="s">
        <v>184</v>
      </c>
      <c r="S112" s="153" t="s">
        <v>159</v>
      </c>
      <c r="T112" s="158" t="s">
        <v>149</v>
      </c>
      <c r="U112" s="158" t="s">
        <v>6564</v>
      </c>
      <c r="V112" s="153" t="s">
        <v>2431</v>
      </c>
      <c r="W112" s="153" t="s">
        <v>2429</v>
      </c>
      <c r="X112" s="158" t="s">
        <v>184</v>
      </c>
      <c r="Y112" s="153"/>
      <c r="Z112" s="153"/>
      <c r="AA112" s="153"/>
      <c r="AB112" s="158" t="s">
        <v>6027</v>
      </c>
      <c r="AC112" s="153" t="s">
        <v>2432</v>
      </c>
      <c r="AD112" s="165" t="s">
        <v>2433</v>
      </c>
      <c r="AE112" s="153"/>
      <c r="AF112" s="153"/>
      <c r="AG112" s="153"/>
    </row>
    <row r="113" ht="15.75" customHeight="1">
      <c r="A113" s="238">
        <v>2025.0</v>
      </c>
      <c r="B113" s="230">
        <v>112.0</v>
      </c>
      <c r="C113" s="153" t="s">
        <v>257</v>
      </c>
      <c r="D113" s="153" t="s">
        <v>258</v>
      </c>
      <c r="E113" s="153" t="s">
        <v>2424</v>
      </c>
      <c r="F113" s="153" t="s">
        <v>2425</v>
      </c>
      <c r="G113" s="158" t="s">
        <v>149</v>
      </c>
      <c r="H113" s="158" t="s">
        <v>2426</v>
      </c>
      <c r="I113" s="230">
        <v>2015.0</v>
      </c>
      <c r="J113" s="192" t="s">
        <v>149</v>
      </c>
      <c r="K113" s="192" t="s">
        <v>149</v>
      </c>
      <c r="L113" s="153" t="s">
        <v>151</v>
      </c>
      <c r="M113" s="158" t="s">
        <v>2427</v>
      </c>
      <c r="N113" s="158" t="s">
        <v>2427</v>
      </c>
      <c r="O113" s="158" t="s">
        <v>2428</v>
      </c>
      <c r="P113" s="153" t="s">
        <v>2429</v>
      </c>
      <c r="Q113" s="158" t="s">
        <v>160</v>
      </c>
      <c r="R113" s="158" t="s">
        <v>184</v>
      </c>
      <c r="S113" s="158" t="s">
        <v>159</v>
      </c>
      <c r="T113" s="158" t="s">
        <v>149</v>
      </c>
      <c r="U113" s="158" t="s">
        <v>6567</v>
      </c>
      <c r="V113" s="153" t="s">
        <v>2435</v>
      </c>
      <c r="W113" s="153" t="s">
        <v>2429</v>
      </c>
      <c r="X113" s="158" t="s">
        <v>184</v>
      </c>
      <c r="Y113" s="153"/>
      <c r="Z113" s="153"/>
      <c r="AA113" s="153"/>
      <c r="AB113" s="158" t="s">
        <v>6027</v>
      </c>
      <c r="AC113" s="153" t="s">
        <v>2432</v>
      </c>
      <c r="AD113" s="165" t="s">
        <v>2433</v>
      </c>
      <c r="AE113" s="153"/>
      <c r="AF113" s="153"/>
      <c r="AG113" s="153"/>
    </row>
    <row r="114" ht="15.75" customHeight="1">
      <c r="A114" s="238">
        <v>2025.0</v>
      </c>
      <c r="B114" s="230">
        <v>113.0</v>
      </c>
      <c r="C114" s="153" t="s">
        <v>257</v>
      </c>
      <c r="D114" s="153" t="s">
        <v>258</v>
      </c>
      <c r="E114" s="153" t="s">
        <v>2609</v>
      </c>
      <c r="F114" s="153" t="s">
        <v>2610</v>
      </c>
      <c r="G114" s="158" t="s">
        <v>149</v>
      </c>
      <c r="H114" s="153" t="s">
        <v>6570</v>
      </c>
      <c r="I114" s="192" t="s">
        <v>149</v>
      </c>
      <c r="J114" s="192" t="s">
        <v>149</v>
      </c>
      <c r="K114" s="192" t="s">
        <v>149</v>
      </c>
      <c r="L114" s="153" t="s">
        <v>151</v>
      </c>
      <c r="M114" s="153" t="s">
        <v>2612</v>
      </c>
      <c r="N114" s="158" t="s">
        <v>2612</v>
      </c>
      <c r="O114" s="153" t="s">
        <v>7859</v>
      </c>
      <c r="P114" s="153" t="s">
        <v>2614</v>
      </c>
      <c r="Q114" s="158" t="s">
        <v>160</v>
      </c>
      <c r="R114" s="158" t="s">
        <v>184</v>
      </c>
      <c r="S114" s="158" t="s">
        <v>159</v>
      </c>
      <c r="T114" s="158" t="s">
        <v>149</v>
      </c>
      <c r="U114" s="158" t="s">
        <v>149</v>
      </c>
      <c r="V114" s="158" t="s">
        <v>149</v>
      </c>
      <c r="W114" s="153" t="s">
        <v>2614</v>
      </c>
      <c r="X114" s="158" t="s">
        <v>184</v>
      </c>
      <c r="Y114" s="153"/>
      <c r="Z114" s="153"/>
      <c r="AA114" s="153"/>
      <c r="AB114" s="158" t="s">
        <v>6027</v>
      </c>
      <c r="AC114" s="153" t="s">
        <v>2615</v>
      </c>
      <c r="AD114" s="165" t="s">
        <v>2616</v>
      </c>
      <c r="AE114" s="153"/>
      <c r="AF114" s="153"/>
      <c r="AG114" s="153"/>
    </row>
    <row r="115" ht="15.75" customHeight="1">
      <c r="A115" s="238">
        <v>2025.0</v>
      </c>
      <c r="B115" s="230">
        <v>114.0</v>
      </c>
      <c r="C115" s="153" t="s">
        <v>257</v>
      </c>
      <c r="D115" s="153" t="s">
        <v>258</v>
      </c>
      <c r="E115" s="153" t="s">
        <v>6577</v>
      </c>
      <c r="F115" s="153" t="s">
        <v>2310</v>
      </c>
      <c r="G115" s="158" t="s">
        <v>149</v>
      </c>
      <c r="H115" s="153"/>
      <c r="I115" s="230">
        <v>1990.0</v>
      </c>
      <c r="J115" s="192">
        <v>1990.0</v>
      </c>
      <c r="K115" s="192">
        <v>1990.0</v>
      </c>
      <c r="L115" s="153" t="s">
        <v>151</v>
      </c>
      <c r="M115" s="158" t="s">
        <v>149</v>
      </c>
      <c r="N115" s="158" t="s">
        <v>149</v>
      </c>
      <c r="O115" s="153" t="s">
        <v>6506</v>
      </c>
      <c r="P115" s="158" t="s">
        <v>149</v>
      </c>
      <c r="Q115" s="158" t="s">
        <v>149</v>
      </c>
      <c r="R115" s="158" t="s">
        <v>149</v>
      </c>
      <c r="S115" s="158" t="s">
        <v>149</v>
      </c>
      <c r="T115" s="158" t="s">
        <v>149</v>
      </c>
      <c r="U115" s="158" t="s">
        <v>149</v>
      </c>
      <c r="V115" s="158" t="s">
        <v>149</v>
      </c>
      <c r="W115" s="153" t="s">
        <v>2304</v>
      </c>
      <c r="X115" s="158" t="s">
        <v>6035</v>
      </c>
      <c r="Y115" s="153" t="s">
        <v>6578</v>
      </c>
      <c r="Z115" s="153"/>
      <c r="AA115" s="153"/>
      <c r="AB115" s="158" t="s">
        <v>395</v>
      </c>
      <c r="AC115" s="153" t="s">
        <v>6060</v>
      </c>
      <c r="AD115" s="177" t="s">
        <v>397</v>
      </c>
      <c r="AE115" s="153"/>
      <c r="AF115" s="153"/>
      <c r="AG115" s="153"/>
    </row>
    <row r="116" ht="15.75" customHeight="1">
      <c r="A116" s="238">
        <v>2025.0</v>
      </c>
      <c r="B116" s="230">
        <v>115.0</v>
      </c>
      <c r="C116" s="153" t="s">
        <v>257</v>
      </c>
      <c r="D116" s="153" t="s">
        <v>258</v>
      </c>
      <c r="E116" s="153" t="s">
        <v>1752</v>
      </c>
      <c r="F116" s="153" t="s">
        <v>1753</v>
      </c>
      <c r="G116" s="153" t="s">
        <v>1754</v>
      </c>
      <c r="H116" s="158" t="s">
        <v>1755</v>
      </c>
      <c r="I116" s="230">
        <v>2019.0</v>
      </c>
      <c r="J116" s="192" t="s">
        <v>149</v>
      </c>
      <c r="K116" s="192" t="s">
        <v>149</v>
      </c>
      <c r="L116" s="153" t="s">
        <v>151</v>
      </c>
      <c r="M116" s="153" t="s">
        <v>789</v>
      </c>
      <c r="N116" s="158" t="s">
        <v>789</v>
      </c>
      <c r="O116" s="158" t="s">
        <v>6581</v>
      </c>
      <c r="P116" s="153" t="s">
        <v>1757</v>
      </c>
      <c r="Q116" s="158" t="s">
        <v>160</v>
      </c>
      <c r="R116" s="158" t="s">
        <v>6035</v>
      </c>
      <c r="S116" s="158" t="s">
        <v>159</v>
      </c>
      <c r="T116" s="158" t="s">
        <v>149</v>
      </c>
      <c r="U116" s="158" t="s">
        <v>149</v>
      </c>
      <c r="V116" s="158" t="s">
        <v>782</v>
      </c>
      <c r="W116" s="153" t="s">
        <v>1757</v>
      </c>
      <c r="X116" s="153" t="s">
        <v>6035</v>
      </c>
      <c r="Y116" s="153" t="s">
        <v>6582</v>
      </c>
      <c r="Z116" s="153" t="s">
        <v>1759</v>
      </c>
      <c r="AA116" s="153"/>
      <c r="AB116" s="158" t="s">
        <v>166</v>
      </c>
      <c r="AC116" s="153" t="s">
        <v>1760</v>
      </c>
      <c r="AD116" s="153" t="s">
        <v>6583</v>
      </c>
      <c r="AE116" s="153"/>
      <c r="AF116" s="153"/>
      <c r="AG116" s="153"/>
    </row>
    <row r="117" ht="15.75" customHeight="1">
      <c r="A117" s="238">
        <v>2025.0</v>
      </c>
      <c r="B117" s="230">
        <v>116.0</v>
      </c>
      <c r="C117" s="153" t="s">
        <v>257</v>
      </c>
      <c r="D117" s="153" t="s">
        <v>258</v>
      </c>
      <c r="E117" s="153" t="s">
        <v>1752</v>
      </c>
      <c r="F117" s="153" t="s">
        <v>1753</v>
      </c>
      <c r="G117" s="158" t="s">
        <v>1770</v>
      </c>
      <c r="H117" s="158" t="s">
        <v>1771</v>
      </c>
      <c r="I117" s="192">
        <v>2022.0</v>
      </c>
      <c r="J117" s="192">
        <v>2022.0</v>
      </c>
      <c r="K117" s="192" t="s">
        <v>149</v>
      </c>
      <c r="L117" s="153" t="s">
        <v>151</v>
      </c>
      <c r="M117" s="158" t="s">
        <v>654</v>
      </c>
      <c r="N117" s="158" t="s">
        <v>654</v>
      </c>
      <c r="O117" s="158" t="s">
        <v>149</v>
      </c>
      <c r="P117" s="153" t="s">
        <v>872</v>
      </c>
      <c r="Q117" s="158" t="s">
        <v>160</v>
      </c>
      <c r="R117" s="158" t="s">
        <v>306</v>
      </c>
      <c r="S117" s="158" t="s">
        <v>159</v>
      </c>
      <c r="T117" s="158" t="s">
        <v>149</v>
      </c>
      <c r="U117" s="158" t="s">
        <v>149</v>
      </c>
      <c r="V117" s="158" t="s">
        <v>149</v>
      </c>
      <c r="W117" s="153" t="s">
        <v>872</v>
      </c>
      <c r="X117" s="153" t="s">
        <v>306</v>
      </c>
      <c r="Y117" s="158" t="s">
        <v>760</v>
      </c>
      <c r="Z117" s="158" t="s">
        <v>1772</v>
      </c>
      <c r="AA117" s="153"/>
      <c r="AB117" s="158" t="s">
        <v>6027</v>
      </c>
      <c r="AC117" s="153" t="s">
        <v>1773</v>
      </c>
      <c r="AD117" s="165" t="s">
        <v>1774</v>
      </c>
      <c r="AE117" s="153"/>
      <c r="AF117" s="153"/>
      <c r="AG117" s="153"/>
    </row>
    <row r="118" ht="15.75" customHeight="1">
      <c r="A118" s="238">
        <v>2025.0</v>
      </c>
      <c r="B118" s="230">
        <v>117.0</v>
      </c>
      <c r="C118" s="153" t="s">
        <v>257</v>
      </c>
      <c r="D118" s="153" t="s">
        <v>258</v>
      </c>
      <c r="E118" s="153" t="s">
        <v>1752</v>
      </c>
      <c r="F118" s="153" t="s">
        <v>1753</v>
      </c>
      <c r="G118" s="153" t="s">
        <v>6587</v>
      </c>
      <c r="H118" s="158" t="s">
        <v>6588</v>
      </c>
      <c r="I118" s="192">
        <v>2018.0</v>
      </c>
      <c r="J118" s="192" t="s">
        <v>149</v>
      </c>
      <c r="K118" s="192" t="s">
        <v>149</v>
      </c>
      <c r="L118" s="158" t="s">
        <v>151</v>
      </c>
      <c r="M118" s="158" t="s">
        <v>1880</v>
      </c>
      <c r="N118" s="158" t="s">
        <v>1880</v>
      </c>
      <c r="O118" s="158" t="s">
        <v>2139</v>
      </c>
      <c r="P118" s="153" t="s">
        <v>341</v>
      </c>
      <c r="Q118" s="158" t="s">
        <v>160</v>
      </c>
      <c r="R118" s="158" t="s">
        <v>6035</v>
      </c>
      <c r="S118" s="158" t="s">
        <v>159</v>
      </c>
      <c r="T118" s="158" t="s">
        <v>6590</v>
      </c>
      <c r="U118" s="158" t="s">
        <v>149</v>
      </c>
      <c r="V118" s="158" t="s">
        <v>2141</v>
      </c>
      <c r="W118" s="153" t="s">
        <v>341</v>
      </c>
      <c r="X118" s="153" t="s">
        <v>6035</v>
      </c>
      <c r="Y118" s="158" t="s">
        <v>369</v>
      </c>
      <c r="Z118" s="158" t="s">
        <v>6591</v>
      </c>
      <c r="AA118" s="158" t="s">
        <v>6592</v>
      </c>
      <c r="AB118" s="153" t="s">
        <v>6038</v>
      </c>
      <c r="AC118" s="153" t="s">
        <v>2144</v>
      </c>
      <c r="AD118" s="172" t="s">
        <v>2145</v>
      </c>
      <c r="AE118" s="153"/>
      <c r="AF118" s="153"/>
      <c r="AG118" s="153"/>
    </row>
    <row r="119" ht="15.75" customHeight="1">
      <c r="A119" s="238">
        <v>2025.0</v>
      </c>
      <c r="B119" s="230">
        <v>118.0</v>
      </c>
      <c r="C119" s="153" t="s">
        <v>257</v>
      </c>
      <c r="D119" s="153" t="s">
        <v>258</v>
      </c>
      <c r="E119" s="153" t="s">
        <v>1752</v>
      </c>
      <c r="F119" s="153" t="s">
        <v>1753</v>
      </c>
      <c r="G119" s="153" t="s">
        <v>2098</v>
      </c>
      <c r="H119" s="153" t="s">
        <v>2099</v>
      </c>
      <c r="I119" s="158" t="s">
        <v>149</v>
      </c>
      <c r="J119" s="192" t="s">
        <v>149</v>
      </c>
      <c r="K119" s="192" t="s">
        <v>149</v>
      </c>
      <c r="L119" s="153" t="s">
        <v>151</v>
      </c>
      <c r="M119" s="158" t="s">
        <v>149</v>
      </c>
      <c r="N119" s="158" t="s">
        <v>149</v>
      </c>
      <c r="O119" s="158" t="s">
        <v>149</v>
      </c>
      <c r="P119" s="158" t="s">
        <v>149</v>
      </c>
      <c r="Q119" s="158" t="s">
        <v>149</v>
      </c>
      <c r="R119" s="158" t="s">
        <v>149</v>
      </c>
      <c r="S119" s="158" t="s">
        <v>149</v>
      </c>
      <c r="T119" s="158" t="s">
        <v>149</v>
      </c>
      <c r="U119" s="158" t="s">
        <v>149</v>
      </c>
      <c r="V119" s="158" t="s">
        <v>149</v>
      </c>
      <c r="W119" s="153" t="s">
        <v>369</v>
      </c>
      <c r="X119" s="153" t="s">
        <v>6035</v>
      </c>
      <c r="Y119" s="153"/>
      <c r="Z119" s="153"/>
      <c r="AA119" s="153"/>
      <c r="AB119" s="153" t="s">
        <v>6084</v>
      </c>
      <c r="AC119" s="153" t="s">
        <v>823</v>
      </c>
      <c r="AD119" s="172" t="s">
        <v>824</v>
      </c>
      <c r="AE119" s="153"/>
      <c r="AF119" s="153"/>
      <c r="AG119" s="153"/>
    </row>
    <row r="120" ht="15.75" customHeight="1">
      <c r="A120" s="238">
        <v>2025.0</v>
      </c>
      <c r="B120" s="230">
        <v>119.0</v>
      </c>
      <c r="C120" s="153" t="s">
        <v>257</v>
      </c>
      <c r="D120" s="153" t="s">
        <v>258</v>
      </c>
      <c r="E120" s="153" t="s">
        <v>1890</v>
      </c>
      <c r="F120" s="153" t="s">
        <v>1891</v>
      </c>
      <c r="G120" s="153" t="s">
        <v>1892</v>
      </c>
      <c r="H120" s="153" t="s">
        <v>1893</v>
      </c>
      <c r="I120" s="230">
        <v>2017.0</v>
      </c>
      <c r="J120" s="192" t="s">
        <v>149</v>
      </c>
      <c r="K120" s="192" t="s">
        <v>149</v>
      </c>
      <c r="L120" s="153" t="s">
        <v>151</v>
      </c>
      <c r="M120" s="158" t="s">
        <v>1895</v>
      </c>
      <c r="N120" s="158" t="s">
        <v>1895</v>
      </c>
      <c r="O120" s="158" t="s">
        <v>149</v>
      </c>
      <c r="P120" s="158" t="s">
        <v>341</v>
      </c>
      <c r="Q120" s="158" t="s">
        <v>160</v>
      </c>
      <c r="R120" s="158" t="s">
        <v>6035</v>
      </c>
      <c r="S120" s="158" t="s">
        <v>159</v>
      </c>
      <c r="T120" s="158" t="s">
        <v>149</v>
      </c>
      <c r="U120" s="158" t="s">
        <v>149</v>
      </c>
      <c r="V120" s="158" t="s">
        <v>149</v>
      </c>
      <c r="W120" s="158" t="s">
        <v>1896</v>
      </c>
      <c r="X120" s="158" t="s">
        <v>306</v>
      </c>
      <c r="Y120" s="153" t="s">
        <v>341</v>
      </c>
      <c r="Z120" s="158"/>
      <c r="AA120" s="158" t="s">
        <v>1897</v>
      </c>
      <c r="AB120" s="158" t="s">
        <v>6027</v>
      </c>
      <c r="AC120" s="153" t="s">
        <v>1898</v>
      </c>
      <c r="AD120" s="172" t="s">
        <v>1899</v>
      </c>
      <c r="AE120" s="153"/>
      <c r="AF120" s="153"/>
      <c r="AG120" s="153"/>
    </row>
    <row r="121" ht="15.75" customHeight="1">
      <c r="A121" s="238">
        <v>2025.0</v>
      </c>
      <c r="B121" s="230">
        <v>120.0</v>
      </c>
      <c r="C121" s="153" t="s">
        <v>257</v>
      </c>
      <c r="D121" s="153" t="s">
        <v>258</v>
      </c>
      <c r="E121" s="153" t="s">
        <v>1958</v>
      </c>
      <c r="F121" s="153" t="s">
        <v>1959</v>
      </c>
      <c r="G121" s="158" t="s">
        <v>149</v>
      </c>
      <c r="H121" s="158" t="s">
        <v>6604</v>
      </c>
      <c r="I121" s="230">
        <v>2014.0</v>
      </c>
      <c r="J121" s="192" t="s">
        <v>149</v>
      </c>
      <c r="K121" s="192" t="s">
        <v>149</v>
      </c>
      <c r="L121" s="153" t="s">
        <v>151</v>
      </c>
      <c r="M121" s="158" t="s">
        <v>152</v>
      </c>
      <c r="N121" s="158" t="s">
        <v>152</v>
      </c>
      <c r="O121" s="158" t="s">
        <v>2439</v>
      </c>
      <c r="P121" s="153" t="s">
        <v>369</v>
      </c>
      <c r="Q121" s="158" t="s">
        <v>160</v>
      </c>
      <c r="R121" s="158" t="s">
        <v>6035</v>
      </c>
      <c r="S121" s="158" t="s">
        <v>159</v>
      </c>
      <c r="T121" s="158" t="s">
        <v>149</v>
      </c>
      <c r="U121" s="158" t="s">
        <v>149</v>
      </c>
      <c r="V121" s="158" t="s">
        <v>149</v>
      </c>
      <c r="W121" s="153" t="s">
        <v>369</v>
      </c>
      <c r="X121" s="153" t="s">
        <v>6035</v>
      </c>
      <c r="Y121" s="153" t="s">
        <v>390</v>
      </c>
      <c r="Z121" s="153"/>
      <c r="AA121" s="153"/>
      <c r="AB121" s="158" t="s">
        <v>166</v>
      </c>
      <c r="AC121" s="153" t="s">
        <v>2445</v>
      </c>
      <c r="AD121" s="165" t="s">
        <v>2442</v>
      </c>
      <c r="AE121" s="153"/>
      <c r="AF121" s="153"/>
      <c r="AG121" s="153"/>
    </row>
    <row r="122" ht="15.75" customHeight="1">
      <c r="A122" s="238">
        <v>2025.0</v>
      </c>
      <c r="B122" s="230">
        <v>121.0</v>
      </c>
      <c r="C122" s="153" t="s">
        <v>257</v>
      </c>
      <c r="D122" s="153" t="s">
        <v>258</v>
      </c>
      <c r="E122" s="153" t="s">
        <v>1958</v>
      </c>
      <c r="F122" s="153" t="s">
        <v>1959</v>
      </c>
      <c r="G122" s="158" t="s">
        <v>149</v>
      </c>
      <c r="H122" s="158" t="s">
        <v>6607</v>
      </c>
      <c r="I122" s="230">
        <v>2015.0</v>
      </c>
      <c r="J122" s="192" t="s">
        <v>149</v>
      </c>
      <c r="K122" s="192" t="s">
        <v>149</v>
      </c>
      <c r="L122" s="153" t="s">
        <v>151</v>
      </c>
      <c r="M122" s="158" t="s">
        <v>152</v>
      </c>
      <c r="N122" s="158" t="s">
        <v>152</v>
      </c>
      <c r="O122" s="158" t="s">
        <v>2439</v>
      </c>
      <c r="P122" s="153" t="s">
        <v>369</v>
      </c>
      <c r="Q122" s="158" t="s">
        <v>160</v>
      </c>
      <c r="R122" s="158" t="s">
        <v>6035</v>
      </c>
      <c r="S122" s="158" t="s">
        <v>159</v>
      </c>
      <c r="T122" s="158" t="s">
        <v>149</v>
      </c>
      <c r="U122" s="158" t="s">
        <v>149</v>
      </c>
      <c r="V122" s="158" t="s">
        <v>149</v>
      </c>
      <c r="W122" s="153" t="s">
        <v>369</v>
      </c>
      <c r="X122" s="153" t="s">
        <v>6035</v>
      </c>
      <c r="Y122" s="153" t="s">
        <v>390</v>
      </c>
      <c r="Z122" s="153"/>
      <c r="AA122" s="153"/>
      <c r="AB122" s="158" t="s">
        <v>166</v>
      </c>
      <c r="AC122" s="153" t="s">
        <v>2445</v>
      </c>
      <c r="AD122" s="153" t="s">
        <v>2446</v>
      </c>
      <c r="AE122" s="153"/>
      <c r="AF122" s="153"/>
      <c r="AG122" s="153"/>
    </row>
    <row r="123" ht="15.75" customHeight="1">
      <c r="A123" s="238">
        <v>2025.0</v>
      </c>
      <c r="B123" s="230">
        <v>122.0</v>
      </c>
      <c r="C123" s="153" t="s">
        <v>257</v>
      </c>
      <c r="D123" s="153" t="s">
        <v>258</v>
      </c>
      <c r="E123" s="153" t="s">
        <v>1958</v>
      </c>
      <c r="F123" s="153" t="s">
        <v>1959</v>
      </c>
      <c r="G123" s="158" t="s">
        <v>149</v>
      </c>
      <c r="H123" s="158" t="s">
        <v>2448</v>
      </c>
      <c r="I123" s="230">
        <v>2016.0</v>
      </c>
      <c r="J123" s="192" t="s">
        <v>149</v>
      </c>
      <c r="K123" s="192" t="s">
        <v>149</v>
      </c>
      <c r="L123" s="153" t="s">
        <v>151</v>
      </c>
      <c r="M123" s="158" t="s">
        <v>152</v>
      </c>
      <c r="N123" s="158" t="s">
        <v>152</v>
      </c>
      <c r="O123" s="158" t="s">
        <v>2439</v>
      </c>
      <c r="P123" s="153" t="s">
        <v>369</v>
      </c>
      <c r="Q123" s="158" t="s">
        <v>160</v>
      </c>
      <c r="R123" s="158" t="s">
        <v>6035</v>
      </c>
      <c r="S123" s="158" t="s">
        <v>159</v>
      </c>
      <c r="T123" s="158" t="s">
        <v>149</v>
      </c>
      <c r="U123" s="158" t="s">
        <v>149</v>
      </c>
      <c r="V123" s="158" t="s">
        <v>149</v>
      </c>
      <c r="W123" s="153" t="s">
        <v>369</v>
      </c>
      <c r="X123" s="153" t="s">
        <v>6035</v>
      </c>
      <c r="Y123" s="153" t="s">
        <v>390</v>
      </c>
      <c r="Z123" s="153"/>
      <c r="AA123" s="153"/>
      <c r="AB123" s="158" t="s">
        <v>166</v>
      </c>
      <c r="AC123" s="153" t="s">
        <v>2445</v>
      </c>
      <c r="AD123" s="153" t="s">
        <v>2446</v>
      </c>
      <c r="AE123" s="153"/>
      <c r="AF123" s="153"/>
      <c r="AG123" s="153"/>
    </row>
    <row r="124" ht="15.75" customHeight="1">
      <c r="A124" s="238">
        <v>2025.0</v>
      </c>
      <c r="B124" s="230">
        <v>123.0</v>
      </c>
      <c r="C124" s="153" t="s">
        <v>257</v>
      </c>
      <c r="D124" s="153" t="s">
        <v>258</v>
      </c>
      <c r="E124" s="153" t="s">
        <v>1958</v>
      </c>
      <c r="F124" s="153" t="s">
        <v>1959</v>
      </c>
      <c r="G124" s="153" t="s">
        <v>7860</v>
      </c>
      <c r="H124" s="158" t="s">
        <v>1961</v>
      </c>
      <c r="I124" s="230">
        <v>2023.0</v>
      </c>
      <c r="J124" s="192">
        <v>2021.0</v>
      </c>
      <c r="K124" s="192">
        <v>2025.0</v>
      </c>
      <c r="L124" s="153" t="s">
        <v>6259</v>
      </c>
      <c r="M124" s="153" t="s">
        <v>7861</v>
      </c>
      <c r="N124" s="158" t="s">
        <v>1962</v>
      </c>
      <c r="O124" s="158" t="s">
        <v>149</v>
      </c>
      <c r="P124" s="153" t="s">
        <v>203</v>
      </c>
      <c r="Q124" s="158" t="s">
        <v>6154</v>
      </c>
      <c r="R124" s="158" t="s">
        <v>206</v>
      </c>
      <c r="S124" s="158" t="s">
        <v>159</v>
      </c>
      <c r="T124" s="158" t="s">
        <v>149</v>
      </c>
      <c r="U124" s="158" t="s">
        <v>149</v>
      </c>
      <c r="V124" s="158" t="s">
        <v>149</v>
      </c>
      <c r="W124" s="153" t="s">
        <v>208</v>
      </c>
      <c r="X124" s="158" t="s">
        <v>6068</v>
      </c>
      <c r="Y124" s="153" t="s">
        <v>6614</v>
      </c>
      <c r="Z124" s="153"/>
      <c r="AA124" s="153"/>
      <c r="AB124" s="153" t="s">
        <v>214</v>
      </c>
      <c r="AC124" s="153" t="s">
        <v>214</v>
      </c>
      <c r="AD124" s="153"/>
      <c r="AE124" s="153"/>
      <c r="AF124" s="153"/>
      <c r="AG124" s="153"/>
    </row>
    <row r="125" ht="15.75" customHeight="1">
      <c r="A125" s="238">
        <v>2025.0</v>
      </c>
      <c r="B125" s="230">
        <v>124.0</v>
      </c>
      <c r="C125" s="153" t="s">
        <v>257</v>
      </c>
      <c r="D125" s="153" t="s">
        <v>258</v>
      </c>
      <c r="E125" s="153" t="s">
        <v>1255</v>
      </c>
      <c r="F125" s="153" t="s">
        <v>1256</v>
      </c>
      <c r="G125" s="153" t="s">
        <v>1921</v>
      </c>
      <c r="H125" s="153" t="s">
        <v>6617</v>
      </c>
      <c r="I125" s="230">
        <v>2007.0</v>
      </c>
      <c r="J125" s="192">
        <v>2007.0</v>
      </c>
      <c r="K125" s="192">
        <v>2010.0</v>
      </c>
      <c r="L125" s="153" t="s">
        <v>151</v>
      </c>
      <c r="M125" s="153" t="s">
        <v>851</v>
      </c>
      <c r="N125" s="158" t="s">
        <v>851</v>
      </c>
      <c r="O125" s="153" t="s">
        <v>1923</v>
      </c>
      <c r="P125" s="153" t="s">
        <v>1924</v>
      </c>
      <c r="Q125" s="158" t="s">
        <v>6154</v>
      </c>
      <c r="R125" s="158" t="s">
        <v>206</v>
      </c>
      <c r="S125" s="158" t="s">
        <v>159</v>
      </c>
      <c r="T125" s="158" t="s">
        <v>149</v>
      </c>
      <c r="U125" s="158" t="s">
        <v>149</v>
      </c>
      <c r="V125" s="153" t="s">
        <v>1925</v>
      </c>
      <c r="W125" s="153" t="s">
        <v>1926</v>
      </c>
      <c r="X125" s="153" t="s">
        <v>271</v>
      </c>
      <c r="Y125" s="153"/>
      <c r="Z125" s="153" t="s">
        <v>724</v>
      </c>
      <c r="AA125" s="153"/>
      <c r="AB125" s="158" t="s">
        <v>6517</v>
      </c>
      <c r="AC125" s="153" t="s">
        <v>1927</v>
      </c>
      <c r="AD125" s="165" t="s">
        <v>1928</v>
      </c>
      <c r="AE125" s="153"/>
      <c r="AF125" s="153"/>
      <c r="AG125" s="153"/>
    </row>
    <row r="126" ht="15.75" customHeight="1">
      <c r="A126" s="238">
        <v>2025.0</v>
      </c>
      <c r="B126" s="230">
        <v>125.0</v>
      </c>
      <c r="C126" s="153" t="s">
        <v>257</v>
      </c>
      <c r="D126" s="153" t="s">
        <v>258</v>
      </c>
      <c r="E126" s="153" t="s">
        <v>1255</v>
      </c>
      <c r="F126" s="153" t="s">
        <v>1256</v>
      </c>
      <c r="G126" s="153" t="s">
        <v>1901</v>
      </c>
      <c r="H126" s="158" t="s">
        <v>1902</v>
      </c>
      <c r="I126" s="230">
        <v>2017.0</v>
      </c>
      <c r="J126" s="192" t="s">
        <v>149</v>
      </c>
      <c r="K126" s="192" t="s">
        <v>149</v>
      </c>
      <c r="L126" s="153" t="s">
        <v>6624</v>
      </c>
      <c r="M126" s="153" t="s">
        <v>7862</v>
      </c>
      <c r="N126" s="158" t="s">
        <v>1903</v>
      </c>
      <c r="O126" s="153" t="s">
        <v>1904</v>
      </c>
      <c r="P126" s="158" t="s">
        <v>1905</v>
      </c>
      <c r="Q126" s="158" t="s">
        <v>160</v>
      </c>
      <c r="R126" s="158" t="s">
        <v>184</v>
      </c>
      <c r="S126" s="158" t="s">
        <v>159</v>
      </c>
      <c r="T126" s="158" t="s">
        <v>149</v>
      </c>
      <c r="U126" s="158" t="s">
        <v>149</v>
      </c>
      <c r="V126" s="158" t="s">
        <v>149</v>
      </c>
      <c r="W126" s="153" t="s">
        <v>1906</v>
      </c>
      <c r="X126" s="158" t="s">
        <v>184</v>
      </c>
      <c r="Y126" s="153"/>
      <c r="Z126" s="153"/>
      <c r="AA126" s="153"/>
      <c r="AB126" s="158" t="s">
        <v>6091</v>
      </c>
      <c r="AC126" s="153" t="s">
        <v>1907</v>
      </c>
      <c r="AD126" s="165" t="s">
        <v>1908</v>
      </c>
      <c r="AE126" s="153"/>
      <c r="AF126" s="153"/>
      <c r="AG126" s="153"/>
    </row>
    <row r="127" ht="15.75" customHeight="1">
      <c r="A127" s="238">
        <v>2025.0</v>
      </c>
      <c r="B127" s="230">
        <v>126.0</v>
      </c>
      <c r="C127" s="153" t="s">
        <v>257</v>
      </c>
      <c r="D127" s="153" t="s">
        <v>258</v>
      </c>
      <c r="E127" s="153" t="s">
        <v>1255</v>
      </c>
      <c r="F127" s="153" t="s">
        <v>1256</v>
      </c>
      <c r="G127" s="153" t="s">
        <v>1174</v>
      </c>
      <c r="H127" s="158" t="s">
        <v>1257</v>
      </c>
      <c r="I127" s="192">
        <v>2012.0</v>
      </c>
      <c r="J127" s="230">
        <v>2012.0</v>
      </c>
      <c r="K127" s="230">
        <v>2013.0</v>
      </c>
      <c r="L127" s="153" t="s">
        <v>6062</v>
      </c>
      <c r="M127" s="153" t="s">
        <v>320</v>
      </c>
      <c r="N127" s="158" t="s">
        <v>179</v>
      </c>
      <c r="O127" s="158" t="s">
        <v>1222</v>
      </c>
      <c r="P127" s="153" t="s">
        <v>321</v>
      </c>
      <c r="Q127" s="158" t="s">
        <v>160</v>
      </c>
      <c r="R127" s="158" t="s">
        <v>6035</v>
      </c>
      <c r="S127" s="158" t="s">
        <v>159</v>
      </c>
      <c r="T127" s="158" t="s">
        <v>149</v>
      </c>
      <c r="U127" s="158" t="s">
        <v>149</v>
      </c>
      <c r="V127" s="158" t="s">
        <v>1258</v>
      </c>
      <c r="W127" s="153" t="s">
        <v>885</v>
      </c>
      <c r="X127" s="158" t="s">
        <v>6068</v>
      </c>
      <c r="Y127" s="153" t="s">
        <v>1259</v>
      </c>
      <c r="Z127" s="153"/>
      <c r="AA127" s="153"/>
      <c r="AB127" s="158" t="s">
        <v>6069</v>
      </c>
      <c r="AC127" s="153" t="s">
        <v>1260</v>
      </c>
      <c r="AD127" s="153" t="s">
        <v>6070</v>
      </c>
      <c r="AE127" s="153"/>
      <c r="AF127" s="153"/>
      <c r="AG127" s="153"/>
    </row>
    <row r="128" ht="15.75" customHeight="1">
      <c r="A128" s="238">
        <v>2025.0</v>
      </c>
      <c r="B128" s="230">
        <v>127.0</v>
      </c>
      <c r="C128" s="153" t="s">
        <v>257</v>
      </c>
      <c r="D128" s="153" t="s">
        <v>258</v>
      </c>
      <c r="E128" s="153" t="s">
        <v>1255</v>
      </c>
      <c r="F128" s="153" t="s">
        <v>1256</v>
      </c>
      <c r="G128" s="158" t="s">
        <v>2081</v>
      </c>
      <c r="H128" s="153" t="s">
        <v>7863</v>
      </c>
      <c r="I128" s="230">
        <v>2016.0</v>
      </c>
      <c r="J128" s="192" t="s">
        <v>149</v>
      </c>
      <c r="K128" s="192" t="s">
        <v>149</v>
      </c>
      <c r="L128" s="153" t="s">
        <v>151</v>
      </c>
      <c r="M128" s="153" t="s">
        <v>2082</v>
      </c>
      <c r="N128" s="158" t="s">
        <v>2082</v>
      </c>
      <c r="O128" s="153" t="s">
        <v>7864</v>
      </c>
      <c r="P128" s="153" t="s">
        <v>2084</v>
      </c>
      <c r="Q128" s="158" t="s">
        <v>160</v>
      </c>
      <c r="R128" s="158" t="s">
        <v>184</v>
      </c>
      <c r="S128" s="158" t="s">
        <v>159</v>
      </c>
      <c r="T128" s="158" t="s">
        <v>149</v>
      </c>
      <c r="U128" s="158" t="s">
        <v>149</v>
      </c>
      <c r="V128" s="153" t="s">
        <v>6637</v>
      </c>
      <c r="W128" s="153" t="s">
        <v>2086</v>
      </c>
      <c r="X128" s="158" t="s">
        <v>184</v>
      </c>
      <c r="Y128" s="153" t="s">
        <v>2087</v>
      </c>
      <c r="Z128" s="158" t="s">
        <v>2088</v>
      </c>
      <c r="AA128" s="153"/>
      <c r="AB128" s="158" t="s">
        <v>166</v>
      </c>
      <c r="AC128" s="153" t="s">
        <v>7865</v>
      </c>
      <c r="AD128" s="172" t="s">
        <v>2090</v>
      </c>
      <c r="AE128" s="153"/>
      <c r="AF128" s="153"/>
      <c r="AG128" s="153"/>
    </row>
    <row r="129" ht="15.75" customHeight="1">
      <c r="A129" s="238">
        <v>2025.0</v>
      </c>
      <c r="B129" s="230">
        <v>128.0</v>
      </c>
      <c r="C129" s="153" t="s">
        <v>257</v>
      </c>
      <c r="D129" s="153" t="s">
        <v>258</v>
      </c>
      <c r="E129" s="153" t="s">
        <v>259</v>
      </c>
      <c r="F129" s="153" t="s">
        <v>260</v>
      </c>
      <c r="G129" s="153" t="s">
        <v>261</v>
      </c>
      <c r="H129" s="158" t="s">
        <v>262</v>
      </c>
      <c r="I129" s="230">
        <v>2012.0</v>
      </c>
      <c r="J129" s="192" t="s">
        <v>149</v>
      </c>
      <c r="K129" s="192" t="s">
        <v>149</v>
      </c>
      <c r="L129" s="153" t="s">
        <v>6624</v>
      </c>
      <c r="M129" s="158" t="s">
        <v>6641</v>
      </c>
      <c r="N129" s="158" t="s">
        <v>266</v>
      </c>
      <c r="O129" s="158" t="s">
        <v>6642</v>
      </c>
      <c r="P129" s="153" t="s">
        <v>270</v>
      </c>
      <c r="Q129" s="158" t="s">
        <v>160</v>
      </c>
      <c r="R129" s="158" t="s">
        <v>271</v>
      </c>
      <c r="S129" s="158" t="s">
        <v>159</v>
      </c>
      <c r="T129" s="158" t="s">
        <v>149</v>
      </c>
      <c r="U129" s="158" t="s">
        <v>149</v>
      </c>
      <c r="V129" s="158" t="s">
        <v>149</v>
      </c>
      <c r="W129" s="158" t="s">
        <v>270</v>
      </c>
      <c r="X129" s="158" t="s">
        <v>271</v>
      </c>
      <c r="Y129" s="153"/>
      <c r="Z129" s="158" t="s">
        <v>6643</v>
      </c>
      <c r="AA129" s="153"/>
      <c r="AB129" s="158" t="s">
        <v>6091</v>
      </c>
      <c r="AC129" s="153" t="s">
        <v>274</v>
      </c>
      <c r="AD129" s="172" t="s">
        <v>7866</v>
      </c>
      <c r="AE129" s="153"/>
      <c r="AF129" s="153"/>
      <c r="AG129" s="153"/>
    </row>
    <row r="130" ht="15.75" customHeight="1">
      <c r="A130" s="238">
        <v>2025.0</v>
      </c>
      <c r="B130" s="230">
        <v>129.0</v>
      </c>
      <c r="C130" s="153" t="s">
        <v>257</v>
      </c>
      <c r="D130" s="153" t="s">
        <v>258</v>
      </c>
      <c r="E130" s="153" t="s">
        <v>259</v>
      </c>
      <c r="F130" s="153" t="s">
        <v>260</v>
      </c>
      <c r="G130" s="158" t="s">
        <v>149</v>
      </c>
      <c r="H130" s="158" t="s">
        <v>3040</v>
      </c>
      <c r="I130" s="230">
        <v>2018.0</v>
      </c>
      <c r="J130" s="192" t="s">
        <v>149</v>
      </c>
      <c r="K130" s="192" t="s">
        <v>149</v>
      </c>
      <c r="L130" s="153" t="s">
        <v>151</v>
      </c>
      <c r="M130" s="158" t="s">
        <v>152</v>
      </c>
      <c r="N130" s="158" t="s">
        <v>152</v>
      </c>
      <c r="O130" s="158" t="s">
        <v>149</v>
      </c>
      <c r="P130" s="153" t="s">
        <v>341</v>
      </c>
      <c r="Q130" s="158" t="s">
        <v>160</v>
      </c>
      <c r="R130" s="158" t="s">
        <v>6035</v>
      </c>
      <c r="S130" s="158" t="s">
        <v>159</v>
      </c>
      <c r="T130" s="158" t="s">
        <v>149</v>
      </c>
      <c r="U130" s="158" t="s">
        <v>149</v>
      </c>
      <c r="V130" s="158" t="s">
        <v>149</v>
      </c>
      <c r="W130" s="153" t="s">
        <v>369</v>
      </c>
      <c r="X130" s="153" t="s">
        <v>6035</v>
      </c>
      <c r="Y130" s="153" t="s">
        <v>341</v>
      </c>
      <c r="Z130" s="153" t="s">
        <v>7867</v>
      </c>
      <c r="AA130" s="153" t="s">
        <v>3042</v>
      </c>
      <c r="AB130" s="158" t="s">
        <v>6027</v>
      </c>
      <c r="AC130" s="153" t="s">
        <v>3043</v>
      </c>
      <c r="AD130" s="165" t="s">
        <v>3044</v>
      </c>
      <c r="AE130" s="153"/>
      <c r="AF130" s="153"/>
      <c r="AG130" s="153"/>
    </row>
    <row r="131" ht="15.75" customHeight="1">
      <c r="A131" s="238">
        <v>2025.0</v>
      </c>
      <c r="B131" s="230">
        <v>130.0</v>
      </c>
      <c r="C131" s="153" t="s">
        <v>257</v>
      </c>
      <c r="D131" s="153" t="s">
        <v>258</v>
      </c>
      <c r="E131" s="153" t="s">
        <v>1667</v>
      </c>
      <c r="F131" s="153" t="s">
        <v>3010</v>
      </c>
      <c r="G131" s="158" t="s">
        <v>149</v>
      </c>
      <c r="H131" s="153"/>
      <c r="I131" s="230">
        <v>1984.0</v>
      </c>
      <c r="J131" s="192" t="s">
        <v>149</v>
      </c>
      <c r="K131" s="192" t="s">
        <v>149</v>
      </c>
      <c r="L131" s="153" t="s">
        <v>151</v>
      </c>
      <c r="M131" s="158" t="s">
        <v>3011</v>
      </c>
      <c r="N131" s="158" t="s">
        <v>3011</v>
      </c>
      <c r="O131" s="158" t="s">
        <v>149</v>
      </c>
      <c r="P131" s="158" t="s">
        <v>149</v>
      </c>
      <c r="Q131" s="158" t="s">
        <v>149</v>
      </c>
      <c r="R131" s="158" t="s">
        <v>149</v>
      </c>
      <c r="S131" s="158" t="s">
        <v>149</v>
      </c>
      <c r="T131" s="158" t="s">
        <v>149</v>
      </c>
      <c r="U131" s="158" t="s">
        <v>149</v>
      </c>
      <c r="V131" s="158" t="s">
        <v>149</v>
      </c>
      <c r="W131" s="158" t="s">
        <v>149</v>
      </c>
      <c r="X131" s="158" t="s">
        <v>149</v>
      </c>
      <c r="Y131" s="153"/>
      <c r="Z131" s="153"/>
      <c r="AA131" s="153"/>
      <c r="AB131" s="158" t="s">
        <v>395</v>
      </c>
      <c r="AC131" s="153" t="s">
        <v>6060</v>
      </c>
      <c r="AD131" s="158" t="s">
        <v>397</v>
      </c>
      <c r="AE131" s="153" t="s">
        <v>398</v>
      </c>
      <c r="AF131" s="153"/>
      <c r="AG131" s="153"/>
    </row>
    <row r="132" ht="15.75" customHeight="1">
      <c r="A132" s="238">
        <v>2025.0</v>
      </c>
      <c r="B132" s="230">
        <v>131.0</v>
      </c>
      <c r="C132" s="153" t="s">
        <v>257</v>
      </c>
      <c r="D132" s="153" t="s">
        <v>258</v>
      </c>
      <c r="E132" s="153" t="s">
        <v>491</v>
      </c>
      <c r="F132" s="153" t="s">
        <v>492</v>
      </c>
      <c r="G132" s="153" t="s">
        <v>384</v>
      </c>
      <c r="H132" s="158" t="s">
        <v>493</v>
      </c>
      <c r="I132" s="230">
        <v>1982.0</v>
      </c>
      <c r="J132" s="192" t="s">
        <v>149</v>
      </c>
      <c r="K132" s="192" t="s">
        <v>149</v>
      </c>
      <c r="L132" s="153" t="s">
        <v>151</v>
      </c>
      <c r="M132" s="153" t="s">
        <v>6076</v>
      </c>
      <c r="N132" s="158" t="s">
        <v>6076</v>
      </c>
      <c r="O132" s="158" t="s">
        <v>149</v>
      </c>
      <c r="P132" s="153" t="s">
        <v>390</v>
      </c>
      <c r="Q132" s="158" t="s">
        <v>160</v>
      </c>
      <c r="R132" s="158" t="s">
        <v>6035</v>
      </c>
      <c r="S132" s="158" t="s">
        <v>159</v>
      </c>
      <c r="T132" s="158" t="s">
        <v>149</v>
      </c>
      <c r="U132" s="158" t="s">
        <v>149</v>
      </c>
      <c r="V132" s="153" t="s">
        <v>2862</v>
      </c>
      <c r="W132" s="153" t="s">
        <v>390</v>
      </c>
      <c r="X132" s="153" t="s">
        <v>6035</v>
      </c>
      <c r="Y132" s="153" t="s">
        <v>6055</v>
      </c>
      <c r="Z132" s="153"/>
      <c r="AA132" s="153"/>
      <c r="AB132" s="158" t="s">
        <v>6257</v>
      </c>
      <c r="AC132" s="153" t="s">
        <v>7868</v>
      </c>
      <c r="AD132" s="172" t="s">
        <v>6080</v>
      </c>
      <c r="AE132" s="153"/>
      <c r="AF132" s="153"/>
      <c r="AG132" s="153"/>
    </row>
    <row r="133" ht="15.75" customHeight="1">
      <c r="A133" s="238">
        <v>2025.0</v>
      </c>
      <c r="B133" s="230">
        <v>132.0</v>
      </c>
      <c r="C133" s="153" t="s">
        <v>257</v>
      </c>
      <c r="D133" s="153" t="s">
        <v>258</v>
      </c>
      <c r="E133" s="153" t="s">
        <v>491</v>
      </c>
      <c r="F133" s="153" t="s">
        <v>492</v>
      </c>
      <c r="G133" s="153" t="s">
        <v>384</v>
      </c>
      <c r="H133" s="158" t="s">
        <v>493</v>
      </c>
      <c r="I133" s="230">
        <v>1984.0</v>
      </c>
      <c r="J133" s="192" t="s">
        <v>149</v>
      </c>
      <c r="K133" s="192" t="s">
        <v>149</v>
      </c>
      <c r="L133" s="153" t="s">
        <v>151</v>
      </c>
      <c r="M133" s="153" t="s">
        <v>6054</v>
      </c>
      <c r="N133" s="158" t="s">
        <v>6054</v>
      </c>
      <c r="O133" s="158" t="s">
        <v>149</v>
      </c>
      <c r="P133" s="153" t="s">
        <v>390</v>
      </c>
      <c r="Q133" s="158" t="s">
        <v>160</v>
      </c>
      <c r="R133" s="158" t="s">
        <v>6035</v>
      </c>
      <c r="S133" s="158" t="s">
        <v>159</v>
      </c>
      <c r="T133" s="158" t="s">
        <v>149</v>
      </c>
      <c r="U133" s="158" t="s">
        <v>149</v>
      </c>
      <c r="V133" s="153" t="s">
        <v>450</v>
      </c>
      <c r="W133" s="153" t="s">
        <v>390</v>
      </c>
      <c r="X133" s="153" t="s">
        <v>6035</v>
      </c>
      <c r="Y133" s="153" t="s">
        <v>6055</v>
      </c>
      <c r="Z133" s="153"/>
      <c r="AA133" s="153"/>
      <c r="AB133" s="158" t="s">
        <v>6257</v>
      </c>
      <c r="AC133" s="153" t="s">
        <v>7869</v>
      </c>
      <c r="AD133" s="153" t="s">
        <v>6080</v>
      </c>
      <c r="AE133" s="153"/>
      <c r="AF133" s="153"/>
      <c r="AG133" s="153"/>
    </row>
    <row r="134" ht="15.75" customHeight="1">
      <c r="A134" s="238">
        <v>2025.0</v>
      </c>
      <c r="B134" s="230">
        <v>133.0</v>
      </c>
      <c r="C134" s="153" t="s">
        <v>257</v>
      </c>
      <c r="D134" s="153" t="s">
        <v>258</v>
      </c>
      <c r="E134" s="153" t="s">
        <v>491</v>
      </c>
      <c r="F134" s="153" t="s">
        <v>492</v>
      </c>
      <c r="G134" s="153" t="s">
        <v>384</v>
      </c>
      <c r="H134" s="158" t="s">
        <v>493</v>
      </c>
      <c r="I134" s="230">
        <v>1984.0</v>
      </c>
      <c r="J134" s="192" t="s">
        <v>149</v>
      </c>
      <c r="K134" s="192" t="s">
        <v>149</v>
      </c>
      <c r="L134" s="153" t="s">
        <v>151</v>
      </c>
      <c r="M134" s="153" t="s">
        <v>6054</v>
      </c>
      <c r="N134" s="158" t="s">
        <v>6054</v>
      </c>
      <c r="O134" s="158" t="s">
        <v>149</v>
      </c>
      <c r="P134" s="153" t="s">
        <v>390</v>
      </c>
      <c r="Q134" s="158" t="s">
        <v>160</v>
      </c>
      <c r="R134" s="158" t="s">
        <v>6035</v>
      </c>
      <c r="S134" s="158" t="s">
        <v>159</v>
      </c>
      <c r="T134" s="158" t="s">
        <v>149</v>
      </c>
      <c r="U134" s="158" t="s">
        <v>149</v>
      </c>
      <c r="V134" s="153" t="s">
        <v>6663</v>
      </c>
      <c r="W134" s="153" t="s">
        <v>390</v>
      </c>
      <c r="X134" s="153" t="s">
        <v>6035</v>
      </c>
      <c r="Y134" s="153" t="s">
        <v>6055</v>
      </c>
      <c r="Z134" s="153"/>
      <c r="AA134" s="153"/>
      <c r="AB134" s="158" t="s">
        <v>6257</v>
      </c>
      <c r="AC134" s="153" t="s">
        <v>7870</v>
      </c>
      <c r="AD134" s="153" t="s">
        <v>6080</v>
      </c>
      <c r="AE134" s="153"/>
      <c r="AF134" s="153"/>
      <c r="AG134" s="153"/>
    </row>
    <row r="135" ht="15.75" customHeight="1">
      <c r="A135" s="238">
        <v>2025.0</v>
      </c>
      <c r="B135" s="230">
        <v>134.0</v>
      </c>
      <c r="C135" s="153" t="s">
        <v>257</v>
      </c>
      <c r="D135" s="153" t="s">
        <v>258</v>
      </c>
      <c r="E135" s="153" t="s">
        <v>491</v>
      </c>
      <c r="F135" s="153" t="s">
        <v>492</v>
      </c>
      <c r="G135" s="153" t="s">
        <v>384</v>
      </c>
      <c r="H135" s="158" t="s">
        <v>493</v>
      </c>
      <c r="I135" s="230">
        <v>1985.0</v>
      </c>
      <c r="J135" s="230">
        <v>1985.0</v>
      </c>
      <c r="K135" s="230">
        <v>1987.0</v>
      </c>
      <c r="L135" s="153" t="s">
        <v>151</v>
      </c>
      <c r="M135" s="153" t="s">
        <v>6054</v>
      </c>
      <c r="N135" s="158" t="s">
        <v>6054</v>
      </c>
      <c r="O135" s="158" t="s">
        <v>149</v>
      </c>
      <c r="P135" s="153" t="s">
        <v>390</v>
      </c>
      <c r="Q135" s="158" t="s">
        <v>160</v>
      </c>
      <c r="R135" s="158" t="s">
        <v>6035</v>
      </c>
      <c r="S135" s="158" t="s">
        <v>159</v>
      </c>
      <c r="T135" s="158" t="s">
        <v>149</v>
      </c>
      <c r="U135" s="158" t="s">
        <v>149</v>
      </c>
      <c r="V135" s="153" t="s">
        <v>495</v>
      </c>
      <c r="W135" s="153" t="s">
        <v>390</v>
      </c>
      <c r="X135" s="153" t="s">
        <v>6035</v>
      </c>
      <c r="Y135" s="153" t="s">
        <v>6055</v>
      </c>
      <c r="Z135" s="153"/>
      <c r="AA135" s="153"/>
      <c r="AB135" s="158" t="s">
        <v>6257</v>
      </c>
      <c r="AC135" s="158" t="s">
        <v>6669</v>
      </c>
      <c r="AD135" s="177" t="s">
        <v>6080</v>
      </c>
      <c r="AE135" s="153" t="s">
        <v>398</v>
      </c>
      <c r="AF135" s="153"/>
      <c r="AG135" s="153"/>
    </row>
    <row r="136" ht="15.75" customHeight="1">
      <c r="A136" s="238">
        <v>2025.0</v>
      </c>
      <c r="B136" s="230">
        <v>135.0</v>
      </c>
      <c r="C136" s="153" t="s">
        <v>257</v>
      </c>
      <c r="D136" s="153" t="s">
        <v>258</v>
      </c>
      <c r="E136" s="153" t="s">
        <v>491</v>
      </c>
      <c r="F136" s="153" t="s">
        <v>492</v>
      </c>
      <c r="G136" s="153" t="s">
        <v>1377</v>
      </c>
      <c r="H136" s="153"/>
      <c r="I136" s="192">
        <v>1992.0</v>
      </c>
      <c r="J136" s="230">
        <v>1990.0</v>
      </c>
      <c r="K136" s="230">
        <v>1994.0</v>
      </c>
      <c r="L136" s="153" t="s">
        <v>151</v>
      </c>
      <c r="M136" s="158" t="s">
        <v>149</v>
      </c>
      <c r="N136" s="158" t="s">
        <v>149</v>
      </c>
      <c r="O136" s="158" t="s">
        <v>149</v>
      </c>
      <c r="P136" s="153" t="s">
        <v>1381</v>
      </c>
      <c r="Q136" s="158" t="s">
        <v>6154</v>
      </c>
      <c r="R136" s="158" t="s">
        <v>206</v>
      </c>
      <c r="S136" s="158" t="s">
        <v>159</v>
      </c>
      <c r="T136" s="158" t="s">
        <v>149</v>
      </c>
      <c r="U136" s="158" t="s">
        <v>149</v>
      </c>
      <c r="V136" s="158" t="s">
        <v>149</v>
      </c>
      <c r="W136" s="153" t="s">
        <v>660</v>
      </c>
      <c r="X136" s="153" t="s">
        <v>6035</v>
      </c>
      <c r="Y136" s="153" t="s">
        <v>369</v>
      </c>
      <c r="Z136" s="153"/>
      <c r="AA136" s="153"/>
      <c r="AB136" s="158" t="s">
        <v>395</v>
      </c>
      <c r="AC136" s="153" t="s">
        <v>6060</v>
      </c>
      <c r="AD136" s="158" t="s">
        <v>397</v>
      </c>
      <c r="AE136" s="153" t="s">
        <v>398</v>
      </c>
      <c r="AF136" s="153"/>
      <c r="AG136" s="153"/>
    </row>
    <row r="137" ht="15.75" customHeight="1">
      <c r="A137" s="238">
        <v>2025.0</v>
      </c>
      <c r="B137" s="230">
        <v>136.0</v>
      </c>
      <c r="C137" s="153" t="s">
        <v>257</v>
      </c>
      <c r="D137" s="153" t="s">
        <v>258</v>
      </c>
      <c r="E137" s="153" t="s">
        <v>491</v>
      </c>
      <c r="F137" s="153" t="s">
        <v>492</v>
      </c>
      <c r="G137" s="153" t="s">
        <v>1174</v>
      </c>
      <c r="H137" s="158" t="s">
        <v>1263</v>
      </c>
      <c r="I137" s="192">
        <v>2012.0</v>
      </c>
      <c r="J137" s="230">
        <v>2012.0</v>
      </c>
      <c r="K137" s="230">
        <v>2013.0</v>
      </c>
      <c r="L137" s="153" t="s">
        <v>6062</v>
      </c>
      <c r="M137" s="153" t="s">
        <v>320</v>
      </c>
      <c r="N137" s="158" t="s">
        <v>179</v>
      </c>
      <c r="O137" s="158" t="s">
        <v>1222</v>
      </c>
      <c r="P137" s="153" t="s">
        <v>321</v>
      </c>
      <c r="Q137" s="158" t="s">
        <v>160</v>
      </c>
      <c r="R137" s="158" t="s">
        <v>6035</v>
      </c>
      <c r="S137" s="158" t="s">
        <v>159</v>
      </c>
      <c r="T137" s="158" t="s">
        <v>149</v>
      </c>
      <c r="U137" s="158" t="s">
        <v>149</v>
      </c>
      <c r="V137" s="158" t="s">
        <v>1264</v>
      </c>
      <c r="W137" s="153" t="s">
        <v>885</v>
      </c>
      <c r="X137" s="158" t="s">
        <v>6068</v>
      </c>
      <c r="Y137" s="153" t="s">
        <v>1259</v>
      </c>
      <c r="Z137" s="153"/>
      <c r="AA137" s="153"/>
      <c r="AB137" s="158" t="s">
        <v>6069</v>
      </c>
      <c r="AC137" s="153" t="s">
        <v>1260</v>
      </c>
      <c r="AD137" s="153" t="s">
        <v>6070</v>
      </c>
      <c r="AE137" s="153"/>
      <c r="AF137" s="153"/>
      <c r="AG137" s="153"/>
    </row>
    <row r="138" ht="15.75" customHeight="1">
      <c r="A138" s="238">
        <v>2025.0</v>
      </c>
      <c r="B138" s="230">
        <v>137.0</v>
      </c>
      <c r="C138" s="153" t="s">
        <v>257</v>
      </c>
      <c r="D138" s="153" t="s">
        <v>258</v>
      </c>
      <c r="E138" s="153" t="s">
        <v>2047</v>
      </c>
      <c r="F138" s="153" t="s">
        <v>2048</v>
      </c>
      <c r="G138" s="153" t="s">
        <v>6144</v>
      </c>
      <c r="H138" s="153"/>
      <c r="I138" s="230">
        <v>2018.0</v>
      </c>
      <c r="J138" s="192">
        <v>2011.0</v>
      </c>
      <c r="K138" s="192" t="s">
        <v>149</v>
      </c>
      <c r="L138" s="153" t="s">
        <v>151</v>
      </c>
      <c r="M138" s="158" t="s">
        <v>6680</v>
      </c>
      <c r="N138" s="158" t="s">
        <v>6680</v>
      </c>
      <c r="O138" s="153" t="s">
        <v>6681</v>
      </c>
      <c r="P138" s="153" t="s">
        <v>2038</v>
      </c>
      <c r="Q138" s="158" t="s">
        <v>160</v>
      </c>
      <c r="R138" s="158" t="s">
        <v>271</v>
      </c>
      <c r="S138" s="158" t="s">
        <v>159</v>
      </c>
      <c r="T138" s="158" t="s">
        <v>149</v>
      </c>
      <c r="U138" s="158" t="s">
        <v>149</v>
      </c>
      <c r="V138" s="158" t="s">
        <v>149</v>
      </c>
      <c r="W138" s="158" t="s">
        <v>2038</v>
      </c>
      <c r="X138" s="158" t="s">
        <v>271</v>
      </c>
      <c r="Y138" s="153" t="s">
        <v>6682</v>
      </c>
      <c r="Z138" s="153" t="s">
        <v>2054</v>
      </c>
      <c r="AA138" s="153"/>
      <c r="AB138" s="158" t="s">
        <v>6091</v>
      </c>
      <c r="AC138" s="153" t="s">
        <v>2055</v>
      </c>
      <c r="AD138" s="165" t="s">
        <v>2056</v>
      </c>
      <c r="AE138" s="153"/>
      <c r="AF138" s="153"/>
      <c r="AG138" s="153"/>
    </row>
    <row r="139" ht="15.75" customHeight="1">
      <c r="A139" s="238">
        <v>2025.0</v>
      </c>
      <c r="B139" s="230">
        <v>138.0</v>
      </c>
      <c r="C139" s="153" t="s">
        <v>257</v>
      </c>
      <c r="D139" s="153" t="s">
        <v>1387</v>
      </c>
      <c r="E139" s="153" t="s">
        <v>1388</v>
      </c>
      <c r="F139" s="153" t="s">
        <v>1389</v>
      </c>
      <c r="G139" s="153" t="s">
        <v>1377</v>
      </c>
      <c r="H139" s="153"/>
      <c r="I139" s="192">
        <v>1992.0</v>
      </c>
      <c r="J139" s="230">
        <v>1990.0</v>
      </c>
      <c r="K139" s="230">
        <v>1994.0</v>
      </c>
      <c r="L139" s="153" t="s">
        <v>151</v>
      </c>
      <c r="M139" s="158" t="s">
        <v>149</v>
      </c>
      <c r="N139" s="158" t="s">
        <v>149</v>
      </c>
      <c r="O139" s="158" t="s">
        <v>149</v>
      </c>
      <c r="P139" s="153" t="s">
        <v>1381</v>
      </c>
      <c r="Q139" s="158" t="s">
        <v>6154</v>
      </c>
      <c r="R139" s="158" t="s">
        <v>206</v>
      </c>
      <c r="S139" s="158" t="s">
        <v>159</v>
      </c>
      <c r="T139" s="158" t="s">
        <v>149</v>
      </c>
      <c r="U139" s="158" t="s">
        <v>149</v>
      </c>
      <c r="V139" s="158" t="s">
        <v>149</v>
      </c>
      <c r="W139" s="153" t="s">
        <v>660</v>
      </c>
      <c r="X139" s="153" t="s">
        <v>6035</v>
      </c>
      <c r="Y139" s="153" t="s">
        <v>369</v>
      </c>
      <c r="Z139" s="153"/>
      <c r="AA139" s="153"/>
      <c r="AB139" s="158" t="s">
        <v>395</v>
      </c>
      <c r="AC139" s="153" t="s">
        <v>6060</v>
      </c>
      <c r="AD139" s="177" t="s">
        <v>397</v>
      </c>
      <c r="AE139" s="153" t="s">
        <v>398</v>
      </c>
      <c r="AF139" s="153"/>
      <c r="AG139" s="153"/>
    </row>
    <row r="140" ht="15.75" customHeight="1">
      <c r="A140" s="238">
        <v>2025.0</v>
      </c>
      <c r="B140" s="230">
        <v>139.0</v>
      </c>
      <c r="C140" s="153" t="s">
        <v>257</v>
      </c>
      <c r="D140" s="153" t="s">
        <v>1387</v>
      </c>
      <c r="E140" s="153" t="s">
        <v>447</v>
      </c>
      <c r="F140" s="153" t="s">
        <v>1930</v>
      </c>
      <c r="G140" s="153" t="s">
        <v>1921</v>
      </c>
      <c r="H140" s="153"/>
      <c r="I140" s="230">
        <v>2007.0</v>
      </c>
      <c r="J140" s="192">
        <v>2007.0</v>
      </c>
      <c r="K140" s="192">
        <v>2012.0</v>
      </c>
      <c r="L140" s="153" t="s">
        <v>151</v>
      </c>
      <c r="M140" s="153" t="s">
        <v>851</v>
      </c>
      <c r="N140" s="158" t="s">
        <v>851</v>
      </c>
      <c r="O140" s="158" t="s">
        <v>6686</v>
      </c>
      <c r="P140" s="153" t="s">
        <v>1932</v>
      </c>
      <c r="Q140" s="158" t="s">
        <v>160</v>
      </c>
      <c r="R140" s="158" t="s">
        <v>184</v>
      </c>
      <c r="S140" s="158" t="s">
        <v>159</v>
      </c>
      <c r="T140" s="158" t="s">
        <v>149</v>
      </c>
      <c r="U140" s="158" t="s">
        <v>149</v>
      </c>
      <c r="V140" s="153" t="s">
        <v>1933</v>
      </c>
      <c r="W140" s="158" t="s">
        <v>1926</v>
      </c>
      <c r="X140" s="158" t="s">
        <v>271</v>
      </c>
      <c r="Y140" s="158"/>
      <c r="Z140" s="158" t="s">
        <v>1934</v>
      </c>
      <c r="AA140" s="158"/>
      <c r="AB140" s="158" t="s">
        <v>6091</v>
      </c>
      <c r="AC140" s="153" t="s">
        <v>1927</v>
      </c>
      <c r="AD140" s="172" t="s">
        <v>7871</v>
      </c>
      <c r="AE140" s="153"/>
      <c r="AF140" s="153"/>
      <c r="AG140" s="153"/>
    </row>
    <row r="141" ht="15.75" customHeight="1">
      <c r="A141" s="238">
        <v>2025.0</v>
      </c>
      <c r="B141" s="230">
        <v>140.0</v>
      </c>
      <c r="C141" s="153" t="s">
        <v>257</v>
      </c>
      <c r="D141" s="153" t="s">
        <v>497</v>
      </c>
      <c r="E141" s="153" t="s">
        <v>1391</v>
      </c>
      <c r="F141" s="153" t="s">
        <v>1392</v>
      </c>
      <c r="G141" s="153" t="s">
        <v>1377</v>
      </c>
      <c r="H141" s="153"/>
      <c r="I141" s="192">
        <v>1992.0</v>
      </c>
      <c r="J141" s="230">
        <v>1990.0</v>
      </c>
      <c r="K141" s="230">
        <v>1994.0</v>
      </c>
      <c r="L141" s="153" t="s">
        <v>151</v>
      </c>
      <c r="M141" s="158" t="s">
        <v>149</v>
      </c>
      <c r="N141" s="158" t="s">
        <v>149</v>
      </c>
      <c r="O141" s="158" t="s">
        <v>149</v>
      </c>
      <c r="P141" s="153" t="s">
        <v>1381</v>
      </c>
      <c r="Q141" s="158" t="s">
        <v>6154</v>
      </c>
      <c r="R141" s="158" t="s">
        <v>206</v>
      </c>
      <c r="S141" s="158" t="s">
        <v>159</v>
      </c>
      <c r="T141" s="158" t="s">
        <v>149</v>
      </c>
      <c r="U141" s="158" t="s">
        <v>149</v>
      </c>
      <c r="V141" s="158" t="s">
        <v>149</v>
      </c>
      <c r="W141" s="153" t="s">
        <v>660</v>
      </c>
      <c r="X141" s="153" t="s">
        <v>6035</v>
      </c>
      <c r="Y141" s="153" t="s">
        <v>369</v>
      </c>
      <c r="Z141" s="153"/>
      <c r="AA141" s="153"/>
      <c r="AB141" s="158" t="s">
        <v>395</v>
      </c>
      <c r="AC141" s="153" t="s">
        <v>6060</v>
      </c>
      <c r="AD141" s="158" t="s">
        <v>397</v>
      </c>
      <c r="AE141" s="153" t="s">
        <v>398</v>
      </c>
      <c r="AF141" s="153"/>
      <c r="AG141" s="153"/>
    </row>
    <row r="142" ht="15.75" customHeight="1">
      <c r="A142" s="238">
        <v>2025.0</v>
      </c>
      <c r="B142" s="230">
        <v>141.0</v>
      </c>
      <c r="C142" s="153" t="s">
        <v>257</v>
      </c>
      <c r="D142" s="153" t="s">
        <v>497</v>
      </c>
      <c r="E142" s="153" t="s">
        <v>953</v>
      </c>
      <c r="F142" s="153" t="s">
        <v>954</v>
      </c>
      <c r="G142" s="153" t="s">
        <v>934</v>
      </c>
      <c r="H142" s="153"/>
      <c r="I142" s="230">
        <v>2001.0</v>
      </c>
      <c r="J142" s="230">
        <v>2001.0</v>
      </c>
      <c r="K142" s="230">
        <v>2005.0</v>
      </c>
      <c r="L142" s="153" t="s">
        <v>6062</v>
      </c>
      <c r="M142" s="153" t="s">
        <v>3245</v>
      </c>
      <c r="N142" s="158" t="s">
        <v>179</v>
      </c>
      <c r="O142" s="153" t="s">
        <v>939</v>
      </c>
      <c r="P142" s="153" t="s">
        <v>940</v>
      </c>
      <c r="Q142" s="158" t="s">
        <v>6154</v>
      </c>
      <c r="R142" s="158" t="s">
        <v>206</v>
      </c>
      <c r="S142" s="158" t="s">
        <v>204</v>
      </c>
      <c r="T142" s="158" t="s">
        <v>149</v>
      </c>
      <c r="U142" s="158" t="s">
        <v>149</v>
      </c>
      <c r="V142" s="158" t="s">
        <v>149</v>
      </c>
      <c r="W142" s="153" t="s">
        <v>233</v>
      </c>
      <c r="X142" s="158" t="s">
        <v>6068</v>
      </c>
      <c r="Y142" s="153"/>
      <c r="Z142" s="153"/>
      <c r="AA142" s="153"/>
      <c r="AB142" s="158" t="s">
        <v>6214</v>
      </c>
      <c r="AC142" s="153" t="s">
        <v>941</v>
      </c>
      <c r="AD142" s="172" t="s">
        <v>942</v>
      </c>
      <c r="AE142" s="153" t="s">
        <v>943</v>
      </c>
      <c r="AF142" s="153"/>
      <c r="AG142" s="153"/>
    </row>
    <row r="143" ht="15.75" customHeight="1">
      <c r="A143" s="238">
        <v>2025.0</v>
      </c>
      <c r="B143" s="230">
        <v>142.0</v>
      </c>
      <c r="C143" s="153" t="s">
        <v>257</v>
      </c>
      <c r="D143" s="153" t="s">
        <v>497</v>
      </c>
      <c r="E143" s="153" t="s">
        <v>498</v>
      </c>
      <c r="F143" s="153" t="s">
        <v>499</v>
      </c>
      <c r="G143" s="153" t="s">
        <v>384</v>
      </c>
      <c r="H143" s="153" t="s">
        <v>500</v>
      </c>
      <c r="I143" s="230">
        <v>1986.0</v>
      </c>
      <c r="J143" s="230">
        <v>1985.0</v>
      </c>
      <c r="K143" s="230">
        <v>1987.0</v>
      </c>
      <c r="L143" s="153" t="s">
        <v>151</v>
      </c>
      <c r="M143" s="153" t="s">
        <v>6054</v>
      </c>
      <c r="N143" s="158" t="s">
        <v>6054</v>
      </c>
      <c r="O143" s="158" t="s">
        <v>149</v>
      </c>
      <c r="P143" s="153" t="s">
        <v>390</v>
      </c>
      <c r="Q143" s="158" t="s">
        <v>160</v>
      </c>
      <c r="R143" s="158" t="s">
        <v>6035</v>
      </c>
      <c r="S143" s="158" t="s">
        <v>159</v>
      </c>
      <c r="T143" s="158" t="s">
        <v>149</v>
      </c>
      <c r="U143" s="158" t="s">
        <v>149</v>
      </c>
      <c r="V143" s="153" t="s">
        <v>391</v>
      </c>
      <c r="W143" s="153" t="s">
        <v>390</v>
      </c>
      <c r="X143" s="153" t="s">
        <v>6035</v>
      </c>
      <c r="Y143" s="153" t="s">
        <v>6055</v>
      </c>
      <c r="Z143" s="153"/>
      <c r="AA143" s="153"/>
      <c r="AB143" s="158" t="s">
        <v>395</v>
      </c>
      <c r="AC143" s="153" t="s">
        <v>6060</v>
      </c>
      <c r="AD143" s="158" t="s">
        <v>397</v>
      </c>
      <c r="AE143" s="153" t="s">
        <v>398</v>
      </c>
      <c r="AF143" s="153"/>
      <c r="AG143" s="153"/>
    </row>
    <row r="144" ht="15.75" customHeight="1">
      <c r="A144" s="238">
        <v>2025.0</v>
      </c>
      <c r="B144" s="230">
        <v>143.0</v>
      </c>
      <c r="C144" s="153" t="s">
        <v>257</v>
      </c>
      <c r="D144" s="153" t="s">
        <v>497</v>
      </c>
      <c r="E144" s="153" t="s">
        <v>498</v>
      </c>
      <c r="F144" s="153" t="s">
        <v>499</v>
      </c>
      <c r="G144" s="153" t="s">
        <v>384</v>
      </c>
      <c r="H144" s="153" t="s">
        <v>502</v>
      </c>
      <c r="I144" s="230">
        <v>1986.0</v>
      </c>
      <c r="J144" s="230">
        <v>1985.0</v>
      </c>
      <c r="K144" s="230">
        <v>1987.0</v>
      </c>
      <c r="L144" s="153" t="s">
        <v>151</v>
      </c>
      <c r="M144" s="153" t="s">
        <v>6054</v>
      </c>
      <c r="N144" s="158" t="s">
        <v>6054</v>
      </c>
      <c r="O144" s="158" t="s">
        <v>149</v>
      </c>
      <c r="P144" s="153" t="s">
        <v>390</v>
      </c>
      <c r="Q144" s="158" t="s">
        <v>160</v>
      </c>
      <c r="R144" s="158" t="s">
        <v>6035</v>
      </c>
      <c r="S144" s="158" t="s">
        <v>159</v>
      </c>
      <c r="T144" s="158" t="s">
        <v>149</v>
      </c>
      <c r="U144" s="158" t="s">
        <v>149</v>
      </c>
      <c r="V144" s="153" t="s">
        <v>503</v>
      </c>
      <c r="W144" s="153" t="s">
        <v>390</v>
      </c>
      <c r="X144" s="153" t="s">
        <v>6035</v>
      </c>
      <c r="Y144" s="153" t="s">
        <v>6055</v>
      </c>
      <c r="Z144" s="153"/>
      <c r="AA144" s="153"/>
      <c r="AB144" s="158" t="s">
        <v>395</v>
      </c>
      <c r="AC144" s="153" t="s">
        <v>6060</v>
      </c>
      <c r="AD144" s="158" t="s">
        <v>397</v>
      </c>
      <c r="AE144" s="153" t="s">
        <v>398</v>
      </c>
      <c r="AF144" s="153"/>
      <c r="AG144" s="153"/>
    </row>
    <row r="145" ht="15.75" customHeight="1">
      <c r="A145" s="238">
        <v>2025.0</v>
      </c>
      <c r="B145" s="230">
        <v>144.0</v>
      </c>
      <c r="C145" s="153" t="s">
        <v>257</v>
      </c>
      <c r="D145" s="153" t="s">
        <v>497</v>
      </c>
      <c r="E145" s="153" t="s">
        <v>498</v>
      </c>
      <c r="F145" s="153" t="s">
        <v>499</v>
      </c>
      <c r="G145" s="158" t="s">
        <v>149</v>
      </c>
      <c r="H145" s="153"/>
      <c r="I145" s="230">
        <v>2005.0</v>
      </c>
      <c r="J145" s="192" t="s">
        <v>149</v>
      </c>
      <c r="K145" s="192" t="s">
        <v>149</v>
      </c>
      <c r="L145" s="153" t="s">
        <v>151</v>
      </c>
      <c r="M145" s="158" t="s">
        <v>2386</v>
      </c>
      <c r="N145" s="158" t="s">
        <v>2386</v>
      </c>
      <c r="O145" s="153" t="s">
        <v>7872</v>
      </c>
      <c r="P145" s="158" t="s">
        <v>2388</v>
      </c>
      <c r="Q145" s="158" t="s">
        <v>6154</v>
      </c>
      <c r="R145" s="158" t="s">
        <v>306</v>
      </c>
      <c r="S145" s="158" t="s">
        <v>159</v>
      </c>
      <c r="T145" s="158" t="s">
        <v>149</v>
      </c>
      <c r="U145" s="158" t="s">
        <v>6701</v>
      </c>
      <c r="V145" s="158" t="s">
        <v>2390</v>
      </c>
      <c r="W145" s="153" t="s">
        <v>2391</v>
      </c>
      <c r="X145" s="153" t="s">
        <v>271</v>
      </c>
      <c r="Y145" s="158"/>
      <c r="Z145" s="158" t="s">
        <v>6702</v>
      </c>
      <c r="AA145" s="158"/>
      <c r="AB145" s="158" t="s">
        <v>6027</v>
      </c>
      <c r="AC145" s="153" t="s">
        <v>2393</v>
      </c>
      <c r="AD145" s="165" t="s">
        <v>2394</v>
      </c>
      <c r="AE145" s="153"/>
      <c r="AF145" s="153"/>
      <c r="AG145" s="153"/>
    </row>
    <row r="146" ht="15.75" customHeight="1">
      <c r="A146" s="238">
        <v>2025.0</v>
      </c>
      <c r="B146" s="230">
        <v>145.0</v>
      </c>
      <c r="C146" s="153" t="s">
        <v>257</v>
      </c>
      <c r="D146" s="153" t="s">
        <v>497</v>
      </c>
      <c r="E146" s="153" t="s">
        <v>505</v>
      </c>
      <c r="F146" s="153" t="s">
        <v>506</v>
      </c>
      <c r="G146" s="153" t="s">
        <v>384</v>
      </c>
      <c r="H146" s="153" t="s">
        <v>507</v>
      </c>
      <c r="I146" s="230">
        <v>1986.0</v>
      </c>
      <c r="J146" s="230">
        <v>1985.0</v>
      </c>
      <c r="K146" s="230">
        <v>1987.0</v>
      </c>
      <c r="L146" s="153" t="s">
        <v>151</v>
      </c>
      <c r="M146" s="153" t="s">
        <v>6054</v>
      </c>
      <c r="N146" s="158" t="s">
        <v>6054</v>
      </c>
      <c r="O146" s="158" t="s">
        <v>149</v>
      </c>
      <c r="P146" s="153" t="s">
        <v>390</v>
      </c>
      <c r="Q146" s="158" t="s">
        <v>160</v>
      </c>
      <c r="R146" s="158" t="s">
        <v>6035</v>
      </c>
      <c r="S146" s="158" t="s">
        <v>159</v>
      </c>
      <c r="T146" s="158" t="s">
        <v>149</v>
      </c>
      <c r="U146" s="158" t="s">
        <v>149</v>
      </c>
      <c r="V146" s="153" t="s">
        <v>508</v>
      </c>
      <c r="W146" s="153" t="s">
        <v>390</v>
      </c>
      <c r="X146" s="153" t="s">
        <v>6035</v>
      </c>
      <c r="Y146" s="153" t="s">
        <v>6055</v>
      </c>
      <c r="Z146" s="153"/>
      <c r="AA146" s="153"/>
      <c r="AB146" s="158" t="s">
        <v>395</v>
      </c>
      <c r="AC146" s="153" t="s">
        <v>6060</v>
      </c>
      <c r="AD146" s="158" t="s">
        <v>397</v>
      </c>
      <c r="AE146" s="153" t="s">
        <v>398</v>
      </c>
      <c r="AF146" s="153"/>
      <c r="AG146" s="153"/>
    </row>
    <row r="147" ht="15.75" customHeight="1">
      <c r="A147" s="238">
        <v>2025.0</v>
      </c>
      <c r="B147" s="230">
        <v>146.0</v>
      </c>
      <c r="C147" s="153" t="s">
        <v>257</v>
      </c>
      <c r="D147" s="153" t="s">
        <v>497</v>
      </c>
      <c r="E147" s="153" t="s">
        <v>505</v>
      </c>
      <c r="F147" s="153" t="s">
        <v>506</v>
      </c>
      <c r="G147" s="153" t="s">
        <v>1377</v>
      </c>
      <c r="H147" s="153" t="s">
        <v>1394</v>
      </c>
      <c r="I147" s="192">
        <v>1992.0</v>
      </c>
      <c r="J147" s="230">
        <v>1990.0</v>
      </c>
      <c r="K147" s="230">
        <v>1994.0</v>
      </c>
      <c r="L147" s="153" t="s">
        <v>151</v>
      </c>
      <c r="M147" s="158" t="s">
        <v>149</v>
      </c>
      <c r="N147" s="158" t="s">
        <v>149</v>
      </c>
      <c r="O147" s="158" t="s">
        <v>149</v>
      </c>
      <c r="P147" s="153" t="s">
        <v>1381</v>
      </c>
      <c r="Q147" s="158" t="s">
        <v>6154</v>
      </c>
      <c r="R147" s="158" t="s">
        <v>206</v>
      </c>
      <c r="S147" s="158" t="s">
        <v>159</v>
      </c>
      <c r="T147" s="158" t="s">
        <v>149</v>
      </c>
      <c r="U147" s="158" t="s">
        <v>149</v>
      </c>
      <c r="V147" s="158" t="s">
        <v>149</v>
      </c>
      <c r="W147" s="153" t="s">
        <v>660</v>
      </c>
      <c r="X147" s="153" t="s">
        <v>6035</v>
      </c>
      <c r="Y147" s="153" t="s">
        <v>369</v>
      </c>
      <c r="Z147" s="153"/>
      <c r="AA147" s="153"/>
      <c r="AB147" s="158" t="s">
        <v>395</v>
      </c>
      <c r="AC147" s="153" t="s">
        <v>6060</v>
      </c>
      <c r="AD147" s="158" t="s">
        <v>6711</v>
      </c>
      <c r="AE147" s="153" t="s">
        <v>398</v>
      </c>
      <c r="AF147" s="153"/>
      <c r="AG147" s="153"/>
    </row>
    <row r="148" ht="15.75" customHeight="1">
      <c r="A148" s="238">
        <v>2025.0</v>
      </c>
      <c r="B148" s="230">
        <v>147.0</v>
      </c>
      <c r="C148" s="153" t="s">
        <v>257</v>
      </c>
      <c r="D148" s="153" t="s">
        <v>497</v>
      </c>
      <c r="E148" s="153" t="s">
        <v>505</v>
      </c>
      <c r="F148" s="153" t="s">
        <v>506</v>
      </c>
      <c r="G148" s="153" t="s">
        <v>1377</v>
      </c>
      <c r="H148" s="153" t="s">
        <v>1396</v>
      </c>
      <c r="I148" s="192">
        <v>1992.0</v>
      </c>
      <c r="J148" s="230">
        <v>1990.0</v>
      </c>
      <c r="K148" s="230">
        <v>1994.0</v>
      </c>
      <c r="L148" s="153" t="s">
        <v>151</v>
      </c>
      <c r="M148" s="158" t="s">
        <v>149</v>
      </c>
      <c r="N148" s="158" t="s">
        <v>149</v>
      </c>
      <c r="O148" s="158" t="s">
        <v>149</v>
      </c>
      <c r="P148" s="153" t="s">
        <v>1381</v>
      </c>
      <c r="Q148" s="158" t="s">
        <v>6154</v>
      </c>
      <c r="R148" s="158" t="s">
        <v>206</v>
      </c>
      <c r="S148" s="158" t="s">
        <v>159</v>
      </c>
      <c r="T148" s="158" t="s">
        <v>149</v>
      </c>
      <c r="U148" s="158" t="s">
        <v>149</v>
      </c>
      <c r="V148" s="158" t="s">
        <v>149</v>
      </c>
      <c r="W148" s="153" t="s">
        <v>660</v>
      </c>
      <c r="X148" s="153" t="s">
        <v>6035</v>
      </c>
      <c r="Y148" s="153" t="s">
        <v>369</v>
      </c>
      <c r="Z148" s="153"/>
      <c r="AA148" s="153"/>
      <c r="AB148" s="158" t="s">
        <v>395</v>
      </c>
      <c r="AC148" s="153" t="s">
        <v>6060</v>
      </c>
      <c r="AD148" s="158" t="s">
        <v>6711</v>
      </c>
      <c r="AE148" s="153" t="s">
        <v>398</v>
      </c>
      <c r="AF148" s="153"/>
      <c r="AG148" s="153"/>
    </row>
    <row r="149" ht="15.75" customHeight="1">
      <c r="A149" s="238">
        <v>2025.0</v>
      </c>
      <c r="B149" s="230">
        <v>148.0</v>
      </c>
      <c r="C149" s="153" t="s">
        <v>257</v>
      </c>
      <c r="D149" s="153" t="s">
        <v>497</v>
      </c>
      <c r="E149" s="153" t="s">
        <v>505</v>
      </c>
      <c r="F149" s="153" t="s">
        <v>506</v>
      </c>
      <c r="G149" s="153" t="s">
        <v>1377</v>
      </c>
      <c r="H149" s="153" t="s">
        <v>1398</v>
      </c>
      <c r="I149" s="192">
        <v>1992.0</v>
      </c>
      <c r="J149" s="230">
        <v>1990.0</v>
      </c>
      <c r="K149" s="230">
        <v>1994.0</v>
      </c>
      <c r="L149" s="153" t="s">
        <v>151</v>
      </c>
      <c r="M149" s="158" t="s">
        <v>149</v>
      </c>
      <c r="N149" s="158" t="s">
        <v>149</v>
      </c>
      <c r="O149" s="158" t="s">
        <v>149</v>
      </c>
      <c r="P149" s="153" t="s">
        <v>1381</v>
      </c>
      <c r="Q149" s="158" t="s">
        <v>6154</v>
      </c>
      <c r="R149" s="158" t="s">
        <v>206</v>
      </c>
      <c r="S149" s="158" t="s">
        <v>159</v>
      </c>
      <c r="T149" s="158" t="s">
        <v>149</v>
      </c>
      <c r="U149" s="158" t="s">
        <v>149</v>
      </c>
      <c r="V149" s="158" t="s">
        <v>149</v>
      </c>
      <c r="W149" s="153" t="s">
        <v>660</v>
      </c>
      <c r="X149" s="153" t="s">
        <v>6035</v>
      </c>
      <c r="Y149" s="153" t="s">
        <v>369</v>
      </c>
      <c r="Z149" s="153"/>
      <c r="AA149" s="153"/>
      <c r="AB149" s="158" t="s">
        <v>395</v>
      </c>
      <c r="AC149" s="153" t="s">
        <v>6060</v>
      </c>
      <c r="AD149" s="158" t="s">
        <v>6711</v>
      </c>
      <c r="AE149" s="153" t="s">
        <v>398</v>
      </c>
      <c r="AF149" s="153"/>
      <c r="AG149" s="153"/>
    </row>
    <row r="150" ht="15.75" customHeight="1">
      <c r="A150" s="238">
        <v>2025.0</v>
      </c>
      <c r="B150" s="230">
        <v>149.0</v>
      </c>
      <c r="C150" s="153" t="s">
        <v>257</v>
      </c>
      <c r="D150" s="153" t="s">
        <v>497</v>
      </c>
      <c r="E150" s="153" t="s">
        <v>505</v>
      </c>
      <c r="F150" s="153" t="s">
        <v>506</v>
      </c>
      <c r="G150" s="153" t="s">
        <v>1377</v>
      </c>
      <c r="H150" s="153" t="s">
        <v>1400</v>
      </c>
      <c r="I150" s="192">
        <v>1992.0</v>
      </c>
      <c r="J150" s="230">
        <v>1990.0</v>
      </c>
      <c r="K150" s="230">
        <v>1994.0</v>
      </c>
      <c r="L150" s="153" t="s">
        <v>151</v>
      </c>
      <c r="M150" s="158" t="s">
        <v>149</v>
      </c>
      <c r="N150" s="158" t="s">
        <v>149</v>
      </c>
      <c r="O150" s="158" t="s">
        <v>149</v>
      </c>
      <c r="P150" s="153" t="s">
        <v>1381</v>
      </c>
      <c r="Q150" s="158" t="s">
        <v>6154</v>
      </c>
      <c r="R150" s="158" t="s">
        <v>206</v>
      </c>
      <c r="S150" s="158" t="s">
        <v>159</v>
      </c>
      <c r="T150" s="158" t="s">
        <v>149</v>
      </c>
      <c r="U150" s="158" t="s">
        <v>149</v>
      </c>
      <c r="V150" s="158" t="s">
        <v>149</v>
      </c>
      <c r="W150" s="153" t="s">
        <v>660</v>
      </c>
      <c r="X150" s="153" t="s">
        <v>6035</v>
      </c>
      <c r="Y150" s="153" t="s">
        <v>369</v>
      </c>
      <c r="Z150" s="153"/>
      <c r="AA150" s="153"/>
      <c r="AB150" s="158" t="s">
        <v>395</v>
      </c>
      <c r="AC150" s="153" t="s">
        <v>6060</v>
      </c>
      <c r="AD150" s="158" t="s">
        <v>6711</v>
      </c>
      <c r="AE150" s="153" t="s">
        <v>398</v>
      </c>
      <c r="AF150" s="153"/>
      <c r="AG150" s="153"/>
    </row>
    <row r="151" ht="15.75" customHeight="1">
      <c r="A151" s="238">
        <v>2025.0</v>
      </c>
      <c r="B151" s="230">
        <v>150.0</v>
      </c>
      <c r="C151" s="153" t="s">
        <v>257</v>
      </c>
      <c r="D151" s="153" t="s">
        <v>497</v>
      </c>
      <c r="E151" s="153" t="s">
        <v>505</v>
      </c>
      <c r="F151" s="153" t="s">
        <v>506</v>
      </c>
      <c r="G151" s="153" t="s">
        <v>1377</v>
      </c>
      <c r="H151" s="153" t="s">
        <v>1402</v>
      </c>
      <c r="I151" s="192">
        <v>1992.0</v>
      </c>
      <c r="J151" s="230">
        <v>1990.0</v>
      </c>
      <c r="K151" s="230">
        <v>1994.0</v>
      </c>
      <c r="L151" s="153" t="s">
        <v>151</v>
      </c>
      <c r="M151" s="158" t="s">
        <v>149</v>
      </c>
      <c r="N151" s="158" t="s">
        <v>149</v>
      </c>
      <c r="O151" s="158" t="s">
        <v>149</v>
      </c>
      <c r="P151" s="153" t="s">
        <v>1381</v>
      </c>
      <c r="Q151" s="158" t="s">
        <v>6154</v>
      </c>
      <c r="R151" s="158" t="s">
        <v>206</v>
      </c>
      <c r="S151" s="158" t="s">
        <v>159</v>
      </c>
      <c r="T151" s="158" t="s">
        <v>149</v>
      </c>
      <c r="U151" s="158" t="s">
        <v>149</v>
      </c>
      <c r="V151" s="158" t="s">
        <v>149</v>
      </c>
      <c r="W151" s="153" t="s">
        <v>660</v>
      </c>
      <c r="X151" s="153" t="s">
        <v>6035</v>
      </c>
      <c r="Y151" s="153" t="s">
        <v>369</v>
      </c>
      <c r="Z151" s="153"/>
      <c r="AA151" s="153"/>
      <c r="AB151" s="158" t="s">
        <v>395</v>
      </c>
      <c r="AC151" s="153" t="s">
        <v>6060</v>
      </c>
      <c r="AD151" s="158" t="s">
        <v>6711</v>
      </c>
      <c r="AE151" s="153" t="s">
        <v>398</v>
      </c>
      <c r="AF151" s="153"/>
      <c r="AG151" s="153"/>
    </row>
    <row r="152" ht="15.75" customHeight="1">
      <c r="A152" s="238">
        <v>2025.0</v>
      </c>
      <c r="B152" s="230">
        <v>151.0</v>
      </c>
      <c r="C152" s="153" t="s">
        <v>257</v>
      </c>
      <c r="D152" s="153" t="s">
        <v>497</v>
      </c>
      <c r="E152" s="153" t="s">
        <v>505</v>
      </c>
      <c r="F152" s="153" t="s">
        <v>506</v>
      </c>
      <c r="G152" s="153" t="s">
        <v>1377</v>
      </c>
      <c r="H152" s="153" t="s">
        <v>1404</v>
      </c>
      <c r="I152" s="192">
        <v>1992.0</v>
      </c>
      <c r="J152" s="230">
        <v>1990.0</v>
      </c>
      <c r="K152" s="230">
        <v>1994.0</v>
      </c>
      <c r="L152" s="153" t="s">
        <v>151</v>
      </c>
      <c r="M152" s="158" t="s">
        <v>149</v>
      </c>
      <c r="N152" s="158" t="s">
        <v>149</v>
      </c>
      <c r="O152" s="158" t="s">
        <v>149</v>
      </c>
      <c r="P152" s="153" t="s">
        <v>1381</v>
      </c>
      <c r="Q152" s="158" t="s">
        <v>6154</v>
      </c>
      <c r="R152" s="158" t="s">
        <v>206</v>
      </c>
      <c r="S152" s="158" t="s">
        <v>159</v>
      </c>
      <c r="T152" s="158" t="s">
        <v>149</v>
      </c>
      <c r="U152" s="158" t="s">
        <v>149</v>
      </c>
      <c r="V152" s="158" t="s">
        <v>149</v>
      </c>
      <c r="W152" s="153" t="s">
        <v>660</v>
      </c>
      <c r="X152" s="153" t="s">
        <v>6035</v>
      </c>
      <c r="Y152" s="153" t="s">
        <v>369</v>
      </c>
      <c r="Z152" s="153"/>
      <c r="AA152" s="153"/>
      <c r="AB152" s="158" t="s">
        <v>395</v>
      </c>
      <c r="AC152" s="153" t="s">
        <v>6060</v>
      </c>
      <c r="AD152" s="158" t="s">
        <v>6711</v>
      </c>
      <c r="AE152" s="153" t="s">
        <v>398</v>
      </c>
      <c r="AF152" s="153"/>
      <c r="AG152" s="153"/>
    </row>
    <row r="153" ht="15.75" customHeight="1">
      <c r="A153" s="238">
        <v>2025.0</v>
      </c>
      <c r="B153" s="230">
        <v>152.0</v>
      </c>
      <c r="C153" s="153" t="s">
        <v>257</v>
      </c>
      <c r="D153" s="153" t="s">
        <v>497</v>
      </c>
      <c r="E153" s="153" t="s">
        <v>1406</v>
      </c>
      <c r="F153" s="153" t="s">
        <v>1407</v>
      </c>
      <c r="G153" s="153" t="s">
        <v>1377</v>
      </c>
      <c r="H153" s="153"/>
      <c r="I153" s="192">
        <v>1992.0</v>
      </c>
      <c r="J153" s="230">
        <v>1990.0</v>
      </c>
      <c r="K153" s="230">
        <v>1994.0</v>
      </c>
      <c r="L153" s="153" t="s">
        <v>151</v>
      </c>
      <c r="M153" s="158" t="s">
        <v>149</v>
      </c>
      <c r="N153" s="158" t="s">
        <v>149</v>
      </c>
      <c r="O153" s="158" t="s">
        <v>149</v>
      </c>
      <c r="P153" s="153" t="s">
        <v>1381</v>
      </c>
      <c r="Q153" s="158" t="s">
        <v>6154</v>
      </c>
      <c r="R153" s="158" t="s">
        <v>206</v>
      </c>
      <c r="S153" s="158" t="s">
        <v>159</v>
      </c>
      <c r="T153" s="158" t="s">
        <v>149</v>
      </c>
      <c r="U153" s="158" t="s">
        <v>149</v>
      </c>
      <c r="V153" s="158" t="s">
        <v>149</v>
      </c>
      <c r="W153" s="153" t="s">
        <v>660</v>
      </c>
      <c r="X153" s="153" t="s">
        <v>6035</v>
      </c>
      <c r="Y153" s="153" t="s">
        <v>369</v>
      </c>
      <c r="Z153" s="153"/>
      <c r="AA153" s="153"/>
      <c r="AB153" s="158" t="s">
        <v>395</v>
      </c>
      <c r="AC153" s="153" t="s">
        <v>6060</v>
      </c>
      <c r="AD153" s="172" t="s">
        <v>6711</v>
      </c>
      <c r="AE153" s="153" t="s">
        <v>398</v>
      </c>
      <c r="AF153" s="153"/>
      <c r="AG153" s="153"/>
    </row>
    <row r="154" ht="15.75" customHeight="1">
      <c r="A154" s="238">
        <v>2025.0</v>
      </c>
      <c r="B154" s="230">
        <v>153.0</v>
      </c>
      <c r="C154" s="153" t="s">
        <v>257</v>
      </c>
      <c r="D154" s="153" t="s">
        <v>497</v>
      </c>
      <c r="E154" s="153" t="s">
        <v>510</v>
      </c>
      <c r="F154" s="153" t="s">
        <v>511</v>
      </c>
      <c r="G154" s="153" t="s">
        <v>384</v>
      </c>
      <c r="H154" s="153" t="s">
        <v>512</v>
      </c>
      <c r="I154" s="230">
        <v>1986.0</v>
      </c>
      <c r="J154" s="230">
        <v>1985.0</v>
      </c>
      <c r="K154" s="230">
        <v>1987.0</v>
      </c>
      <c r="L154" s="153" t="s">
        <v>151</v>
      </c>
      <c r="M154" s="153" t="s">
        <v>6054</v>
      </c>
      <c r="N154" s="158" t="s">
        <v>6054</v>
      </c>
      <c r="O154" s="158" t="s">
        <v>149</v>
      </c>
      <c r="P154" s="153" t="s">
        <v>390</v>
      </c>
      <c r="Q154" s="158" t="s">
        <v>160</v>
      </c>
      <c r="R154" s="158" t="s">
        <v>6035</v>
      </c>
      <c r="S154" s="158" t="s">
        <v>159</v>
      </c>
      <c r="T154" s="158" t="s">
        <v>149</v>
      </c>
      <c r="U154" s="158" t="s">
        <v>149</v>
      </c>
      <c r="V154" s="153" t="s">
        <v>503</v>
      </c>
      <c r="W154" s="153" t="s">
        <v>390</v>
      </c>
      <c r="X154" s="153" t="s">
        <v>6035</v>
      </c>
      <c r="Y154" s="153" t="s">
        <v>6055</v>
      </c>
      <c r="Z154" s="153"/>
      <c r="AA154" s="153"/>
      <c r="AB154" s="158" t="s">
        <v>395</v>
      </c>
      <c r="AC154" s="153" t="s">
        <v>6060</v>
      </c>
      <c r="AD154" s="158" t="s">
        <v>397</v>
      </c>
      <c r="AE154" s="153" t="s">
        <v>398</v>
      </c>
      <c r="AF154" s="153"/>
      <c r="AG154" s="153"/>
    </row>
    <row r="155" ht="15.75" customHeight="1">
      <c r="A155" s="238">
        <v>2025.0</v>
      </c>
      <c r="B155" s="230">
        <v>154.0</v>
      </c>
      <c r="C155" s="153" t="s">
        <v>257</v>
      </c>
      <c r="D155" s="153" t="s">
        <v>497</v>
      </c>
      <c r="E155" s="153" t="s">
        <v>472</v>
      </c>
      <c r="F155" s="153" t="s">
        <v>956</v>
      </c>
      <c r="G155" s="153" t="s">
        <v>934</v>
      </c>
      <c r="H155" s="153"/>
      <c r="I155" s="230">
        <v>2001.0</v>
      </c>
      <c r="J155" s="230">
        <v>2001.0</v>
      </c>
      <c r="K155" s="230">
        <v>2005.0</v>
      </c>
      <c r="L155" s="153" t="s">
        <v>6062</v>
      </c>
      <c r="M155" s="153" t="s">
        <v>3245</v>
      </c>
      <c r="N155" s="158" t="s">
        <v>179</v>
      </c>
      <c r="O155" s="153" t="s">
        <v>939</v>
      </c>
      <c r="P155" s="153" t="s">
        <v>940</v>
      </c>
      <c r="Q155" s="158" t="s">
        <v>6154</v>
      </c>
      <c r="R155" s="158" t="s">
        <v>206</v>
      </c>
      <c r="S155" s="158" t="s">
        <v>204</v>
      </c>
      <c r="T155" s="158" t="s">
        <v>149</v>
      </c>
      <c r="U155" s="158" t="s">
        <v>149</v>
      </c>
      <c r="V155" s="158" t="s">
        <v>149</v>
      </c>
      <c r="W155" s="153" t="s">
        <v>233</v>
      </c>
      <c r="X155" s="158" t="s">
        <v>6068</v>
      </c>
      <c r="Y155" s="153"/>
      <c r="Z155" s="153"/>
      <c r="AA155" s="153"/>
      <c r="AB155" s="158" t="s">
        <v>6214</v>
      </c>
      <c r="AC155" s="153" t="s">
        <v>941</v>
      </c>
      <c r="AD155" s="153" t="s">
        <v>942</v>
      </c>
      <c r="AE155" s="153" t="s">
        <v>943</v>
      </c>
      <c r="AF155" s="153"/>
      <c r="AG155" s="153"/>
    </row>
    <row r="156" ht="15.75" customHeight="1">
      <c r="A156" s="238">
        <v>2025.0</v>
      </c>
      <c r="B156" s="230">
        <v>155.0</v>
      </c>
      <c r="C156" s="153" t="s">
        <v>257</v>
      </c>
      <c r="D156" s="153" t="s">
        <v>497</v>
      </c>
      <c r="E156" s="153" t="s">
        <v>514</v>
      </c>
      <c r="F156" s="153" t="s">
        <v>515</v>
      </c>
      <c r="G156" s="153" t="s">
        <v>384</v>
      </c>
      <c r="H156" s="153" t="s">
        <v>516</v>
      </c>
      <c r="I156" s="230">
        <v>1986.0</v>
      </c>
      <c r="J156" s="230">
        <v>1985.0</v>
      </c>
      <c r="K156" s="230">
        <v>1987.0</v>
      </c>
      <c r="L156" s="153" t="s">
        <v>151</v>
      </c>
      <c r="M156" s="153" t="s">
        <v>6054</v>
      </c>
      <c r="N156" s="158" t="s">
        <v>6054</v>
      </c>
      <c r="O156" s="158" t="s">
        <v>149</v>
      </c>
      <c r="P156" s="153" t="s">
        <v>390</v>
      </c>
      <c r="Q156" s="158" t="s">
        <v>160</v>
      </c>
      <c r="R156" s="158" t="s">
        <v>6035</v>
      </c>
      <c r="S156" s="158" t="s">
        <v>159</v>
      </c>
      <c r="T156" s="158" t="s">
        <v>149</v>
      </c>
      <c r="U156" s="158" t="s">
        <v>149</v>
      </c>
      <c r="V156" s="153" t="s">
        <v>453</v>
      </c>
      <c r="W156" s="153" t="s">
        <v>390</v>
      </c>
      <c r="X156" s="153" t="s">
        <v>6035</v>
      </c>
      <c r="Y156" s="153" t="s">
        <v>6055</v>
      </c>
      <c r="Z156" s="153"/>
      <c r="AA156" s="153"/>
      <c r="AB156" s="158" t="s">
        <v>395</v>
      </c>
      <c r="AC156" s="153" t="s">
        <v>6060</v>
      </c>
      <c r="AD156" s="158" t="s">
        <v>397</v>
      </c>
      <c r="AE156" s="153" t="s">
        <v>398</v>
      </c>
      <c r="AF156" s="153"/>
      <c r="AG156" s="153"/>
    </row>
    <row r="157" ht="15.75" customHeight="1">
      <c r="A157" s="238">
        <v>2025.0</v>
      </c>
      <c r="B157" s="230">
        <v>156.0</v>
      </c>
      <c r="C157" s="153" t="s">
        <v>257</v>
      </c>
      <c r="D157" s="153" t="s">
        <v>497</v>
      </c>
      <c r="E157" s="153" t="s">
        <v>7873</v>
      </c>
      <c r="F157" s="153" t="s">
        <v>1410</v>
      </c>
      <c r="G157" s="153" t="s">
        <v>1377</v>
      </c>
      <c r="H157" s="153" t="s">
        <v>6734</v>
      </c>
      <c r="I157" s="192">
        <v>1992.0</v>
      </c>
      <c r="J157" s="230">
        <v>1990.0</v>
      </c>
      <c r="K157" s="230">
        <v>1994.0</v>
      </c>
      <c r="L157" s="153" t="s">
        <v>151</v>
      </c>
      <c r="M157" s="158" t="s">
        <v>149</v>
      </c>
      <c r="N157" s="158" t="s">
        <v>149</v>
      </c>
      <c r="O157" s="158" t="s">
        <v>149</v>
      </c>
      <c r="P157" s="153" t="s">
        <v>1381</v>
      </c>
      <c r="Q157" s="158" t="s">
        <v>6154</v>
      </c>
      <c r="R157" s="158" t="s">
        <v>206</v>
      </c>
      <c r="S157" s="158" t="s">
        <v>159</v>
      </c>
      <c r="T157" s="158" t="s">
        <v>149</v>
      </c>
      <c r="U157" s="158" t="s">
        <v>149</v>
      </c>
      <c r="V157" s="158" t="s">
        <v>149</v>
      </c>
      <c r="W157" s="153" t="s">
        <v>660</v>
      </c>
      <c r="X157" s="153" t="s">
        <v>6035</v>
      </c>
      <c r="Y157" s="153" t="s">
        <v>369</v>
      </c>
      <c r="Z157" s="153"/>
      <c r="AA157" s="153"/>
      <c r="AB157" s="158" t="s">
        <v>395</v>
      </c>
      <c r="AC157" s="153" t="s">
        <v>6060</v>
      </c>
      <c r="AD157" s="158" t="s">
        <v>6711</v>
      </c>
      <c r="AE157" s="153" t="s">
        <v>398</v>
      </c>
      <c r="AF157" s="153"/>
      <c r="AG157" s="153"/>
    </row>
    <row r="158" ht="15.75" customHeight="1">
      <c r="A158" s="238">
        <v>2025.0</v>
      </c>
      <c r="B158" s="230">
        <v>157.0</v>
      </c>
      <c r="C158" s="153" t="s">
        <v>257</v>
      </c>
      <c r="D158" s="153" t="s">
        <v>497</v>
      </c>
      <c r="E158" s="153" t="s">
        <v>7874</v>
      </c>
      <c r="F158" s="153" t="s">
        <v>1410</v>
      </c>
      <c r="G158" s="153" t="s">
        <v>1377</v>
      </c>
      <c r="H158" s="153" t="s">
        <v>1413</v>
      </c>
      <c r="I158" s="192">
        <v>1992.0</v>
      </c>
      <c r="J158" s="230">
        <v>1990.0</v>
      </c>
      <c r="K158" s="230">
        <v>1994.0</v>
      </c>
      <c r="L158" s="153" t="s">
        <v>151</v>
      </c>
      <c r="M158" s="158" t="s">
        <v>149</v>
      </c>
      <c r="N158" s="158" t="s">
        <v>149</v>
      </c>
      <c r="O158" s="158" t="s">
        <v>149</v>
      </c>
      <c r="P158" s="153" t="s">
        <v>1381</v>
      </c>
      <c r="Q158" s="158" t="s">
        <v>6154</v>
      </c>
      <c r="R158" s="158" t="s">
        <v>206</v>
      </c>
      <c r="S158" s="158" t="s">
        <v>159</v>
      </c>
      <c r="T158" s="158" t="s">
        <v>149</v>
      </c>
      <c r="U158" s="158" t="s">
        <v>149</v>
      </c>
      <c r="V158" s="158" t="s">
        <v>149</v>
      </c>
      <c r="W158" s="153" t="s">
        <v>660</v>
      </c>
      <c r="X158" s="153" t="s">
        <v>6035</v>
      </c>
      <c r="Y158" s="153" t="s">
        <v>369</v>
      </c>
      <c r="Z158" s="153"/>
      <c r="AA158" s="153"/>
      <c r="AB158" s="158" t="s">
        <v>395</v>
      </c>
      <c r="AC158" s="153" t="s">
        <v>6060</v>
      </c>
      <c r="AD158" s="158" t="s">
        <v>6711</v>
      </c>
      <c r="AE158" s="153" t="s">
        <v>398</v>
      </c>
      <c r="AF158" s="153"/>
      <c r="AG158" s="153"/>
    </row>
    <row r="159" ht="15.75" customHeight="1">
      <c r="A159" s="238">
        <v>2025.0</v>
      </c>
      <c r="B159" s="230">
        <v>158.0</v>
      </c>
      <c r="C159" s="153" t="s">
        <v>257</v>
      </c>
      <c r="D159" s="153" t="s">
        <v>497</v>
      </c>
      <c r="E159" s="153" t="s">
        <v>1415</v>
      </c>
      <c r="F159" s="153" t="s">
        <v>1416</v>
      </c>
      <c r="G159" s="153" t="s">
        <v>1377</v>
      </c>
      <c r="H159" s="153"/>
      <c r="I159" s="192">
        <v>1992.0</v>
      </c>
      <c r="J159" s="230">
        <v>1990.0</v>
      </c>
      <c r="K159" s="230">
        <v>1994.0</v>
      </c>
      <c r="L159" s="153" t="s">
        <v>151</v>
      </c>
      <c r="M159" s="158" t="s">
        <v>149</v>
      </c>
      <c r="N159" s="158" t="s">
        <v>149</v>
      </c>
      <c r="O159" s="158" t="s">
        <v>149</v>
      </c>
      <c r="P159" s="153" t="s">
        <v>1381</v>
      </c>
      <c r="Q159" s="158" t="s">
        <v>6154</v>
      </c>
      <c r="R159" s="158" t="s">
        <v>206</v>
      </c>
      <c r="S159" s="158" t="s">
        <v>159</v>
      </c>
      <c r="T159" s="158" t="s">
        <v>149</v>
      </c>
      <c r="U159" s="158" t="s">
        <v>149</v>
      </c>
      <c r="V159" s="158" t="s">
        <v>149</v>
      </c>
      <c r="W159" s="153" t="s">
        <v>660</v>
      </c>
      <c r="X159" s="153" t="s">
        <v>6035</v>
      </c>
      <c r="Y159" s="153" t="s">
        <v>369</v>
      </c>
      <c r="Z159" s="153"/>
      <c r="AA159" s="153"/>
      <c r="AB159" s="158" t="s">
        <v>395</v>
      </c>
      <c r="AC159" s="153" t="s">
        <v>6060</v>
      </c>
      <c r="AD159" s="177" t="s">
        <v>6711</v>
      </c>
      <c r="AE159" s="153" t="s">
        <v>398</v>
      </c>
      <c r="AF159" s="153"/>
      <c r="AG159" s="153"/>
    </row>
    <row r="160" ht="15.75" customHeight="1">
      <c r="A160" s="238">
        <v>2025.0</v>
      </c>
      <c r="B160" s="230">
        <v>159.0</v>
      </c>
      <c r="C160" s="153" t="s">
        <v>257</v>
      </c>
      <c r="D160" s="153" t="s">
        <v>497</v>
      </c>
      <c r="E160" s="153" t="s">
        <v>1418</v>
      </c>
      <c r="F160" s="153" t="s">
        <v>1419</v>
      </c>
      <c r="G160" s="153" t="s">
        <v>1377</v>
      </c>
      <c r="H160" s="153" t="s">
        <v>1420</v>
      </c>
      <c r="I160" s="192">
        <v>1992.0</v>
      </c>
      <c r="J160" s="230">
        <v>1990.0</v>
      </c>
      <c r="K160" s="230">
        <v>1994.0</v>
      </c>
      <c r="L160" s="153" t="s">
        <v>151</v>
      </c>
      <c r="M160" s="158" t="s">
        <v>149</v>
      </c>
      <c r="N160" s="158" t="s">
        <v>149</v>
      </c>
      <c r="O160" s="158" t="s">
        <v>149</v>
      </c>
      <c r="P160" s="153" t="s">
        <v>1381</v>
      </c>
      <c r="Q160" s="158" t="s">
        <v>6154</v>
      </c>
      <c r="R160" s="158" t="s">
        <v>206</v>
      </c>
      <c r="S160" s="158" t="s">
        <v>159</v>
      </c>
      <c r="T160" s="158" t="s">
        <v>149</v>
      </c>
      <c r="U160" s="158" t="s">
        <v>149</v>
      </c>
      <c r="V160" s="158" t="s">
        <v>149</v>
      </c>
      <c r="W160" s="153" t="s">
        <v>660</v>
      </c>
      <c r="X160" s="153" t="s">
        <v>6035</v>
      </c>
      <c r="Y160" s="153" t="s">
        <v>369</v>
      </c>
      <c r="Z160" s="153"/>
      <c r="AA160" s="153"/>
      <c r="AB160" s="158" t="s">
        <v>395</v>
      </c>
      <c r="AC160" s="153" t="s">
        <v>6060</v>
      </c>
      <c r="AD160" s="158" t="s">
        <v>6711</v>
      </c>
      <c r="AE160" s="153" t="s">
        <v>398</v>
      </c>
      <c r="AF160" s="153"/>
      <c r="AG160" s="153"/>
    </row>
    <row r="161" ht="15.75" customHeight="1">
      <c r="A161" s="238">
        <v>2025.0</v>
      </c>
      <c r="B161" s="230">
        <v>160.0</v>
      </c>
      <c r="C161" s="153" t="s">
        <v>257</v>
      </c>
      <c r="D161" s="153" t="s">
        <v>497</v>
      </c>
      <c r="E161" s="153" t="s">
        <v>1418</v>
      </c>
      <c r="F161" s="153" t="s">
        <v>1419</v>
      </c>
      <c r="G161" s="153" t="s">
        <v>1377</v>
      </c>
      <c r="H161" s="153" t="s">
        <v>1422</v>
      </c>
      <c r="I161" s="192">
        <v>1992.0</v>
      </c>
      <c r="J161" s="230">
        <v>1990.0</v>
      </c>
      <c r="K161" s="230">
        <v>1994.0</v>
      </c>
      <c r="L161" s="153" t="s">
        <v>151</v>
      </c>
      <c r="M161" s="158" t="s">
        <v>149</v>
      </c>
      <c r="N161" s="158" t="s">
        <v>149</v>
      </c>
      <c r="O161" s="158" t="s">
        <v>149</v>
      </c>
      <c r="P161" s="153" t="s">
        <v>1381</v>
      </c>
      <c r="Q161" s="158" t="s">
        <v>6154</v>
      </c>
      <c r="R161" s="158" t="s">
        <v>206</v>
      </c>
      <c r="S161" s="158" t="s">
        <v>159</v>
      </c>
      <c r="T161" s="158" t="s">
        <v>149</v>
      </c>
      <c r="U161" s="158" t="s">
        <v>149</v>
      </c>
      <c r="V161" s="158" t="s">
        <v>149</v>
      </c>
      <c r="W161" s="153" t="s">
        <v>660</v>
      </c>
      <c r="X161" s="153" t="s">
        <v>6035</v>
      </c>
      <c r="Y161" s="153" t="s">
        <v>369</v>
      </c>
      <c r="Z161" s="153"/>
      <c r="AA161" s="153"/>
      <c r="AB161" s="158" t="s">
        <v>395</v>
      </c>
      <c r="AC161" s="153" t="s">
        <v>6060</v>
      </c>
      <c r="AD161" s="158" t="s">
        <v>6711</v>
      </c>
      <c r="AE161" s="153" t="s">
        <v>398</v>
      </c>
      <c r="AF161" s="153"/>
      <c r="AG161" s="153"/>
    </row>
    <row r="162" ht="15.75" customHeight="1">
      <c r="A162" s="238">
        <v>2025.0</v>
      </c>
      <c r="B162" s="230">
        <v>161.0</v>
      </c>
      <c r="C162" s="153" t="s">
        <v>257</v>
      </c>
      <c r="D162" s="153" t="s">
        <v>497</v>
      </c>
      <c r="E162" s="153" t="s">
        <v>1418</v>
      </c>
      <c r="F162" s="153" t="s">
        <v>1419</v>
      </c>
      <c r="G162" s="153" t="s">
        <v>1377</v>
      </c>
      <c r="H162" s="153" t="s">
        <v>1424</v>
      </c>
      <c r="I162" s="192">
        <v>1992.0</v>
      </c>
      <c r="J162" s="230">
        <v>1990.0</v>
      </c>
      <c r="K162" s="230">
        <v>1994.0</v>
      </c>
      <c r="L162" s="153" t="s">
        <v>151</v>
      </c>
      <c r="M162" s="158" t="s">
        <v>149</v>
      </c>
      <c r="N162" s="158" t="s">
        <v>149</v>
      </c>
      <c r="O162" s="158" t="s">
        <v>149</v>
      </c>
      <c r="P162" s="153" t="s">
        <v>1381</v>
      </c>
      <c r="Q162" s="158" t="s">
        <v>6154</v>
      </c>
      <c r="R162" s="158" t="s">
        <v>206</v>
      </c>
      <c r="S162" s="158" t="s">
        <v>159</v>
      </c>
      <c r="T162" s="158" t="s">
        <v>149</v>
      </c>
      <c r="U162" s="158" t="s">
        <v>149</v>
      </c>
      <c r="V162" s="158" t="s">
        <v>149</v>
      </c>
      <c r="W162" s="153" t="s">
        <v>660</v>
      </c>
      <c r="X162" s="153" t="s">
        <v>6035</v>
      </c>
      <c r="Y162" s="153" t="s">
        <v>369</v>
      </c>
      <c r="Z162" s="153"/>
      <c r="AA162" s="153"/>
      <c r="AB162" s="158" t="s">
        <v>395</v>
      </c>
      <c r="AC162" s="153" t="s">
        <v>6060</v>
      </c>
      <c r="AD162" s="158" t="s">
        <v>6711</v>
      </c>
      <c r="AE162" s="153" t="s">
        <v>398</v>
      </c>
      <c r="AF162" s="153"/>
      <c r="AG162" s="153"/>
    </row>
    <row r="163" ht="15.75" customHeight="1">
      <c r="A163" s="238">
        <v>2025.0</v>
      </c>
      <c r="B163" s="230">
        <v>162.0</v>
      </c>
      <c r="C163" s="153" t="s">
        <v>257</v>
      </c>
      <c r="D163" s="153" t="s">
        <v>497</v>
      </c>
      <c r="E163" s="153" t="s">
        <v>1418</v>
      </c>
      <c r="F163" s="153" t="s">
        <v>1419</v>
      </c>
      <c r="G163" s="153" t="s">
        <v>1377</v>
      </c>
      <c r="H163" s="153" t="s">
        <v>1426</v>
      </c>
      <c r="I163" s="192">
        <v>1992.0</v>
      </c>
      <c r="J163" s="230">
        <v>1990.0</v>
      </c>
      <c r="K163" s="230">
        <v>1994.0</v>
      </c>
      <c r="L163" s="153" t="s">
        <v>151</v>
      </c>
      <c r="M163" s="158" t="s">
        <v>149</v>
      </c>
      <c r="N163" s="158" t="s">
        <v>149</v>
      </c>
      <c r="O163" s="158" t="s">
        <v>149</v>
      </c>
      <c r="P163" s="153" t="s">
        <v>1381</v>
      </c>
      <c r="Q163" s="158" t="s">
        <v>6154</v>
      </c>
      <c r="R163" s="158" t="s">
        <v>206</v>
      </c>
      <c r="S163" s="158" t="s">
        <v>159</v>
      </c>
      <c r="T163" s="158" t="s">
        <v>149</v>
      </c>
      <c r="U163" s="158" t="s">
        <v>149</v>
      </c>
      <c r="V163" s="158" t="s">
        <v>149</v>
      </c>
      <c r="W163" s="153" t="s">
        <v>660</v>
      </c>
      <c r="X163" s="153" t="s">
        <v>6035</v>
      </c>
      <c r="Y163" s="153" t="s">
        <v>369</v>
      </c>
      <c r="Z163" s="153"/>
      <c r="AA163" s="153"/>
      <c r="AB163" s="158" t="s">
        <v>395</v>
      </c>
      <c r="AC163" s="153" t="s">
        <v>6060</v>
      </c>
      <c r="AD163" s="158" t="s">
        <v>6711</v>
      </c>
      <c r="AE163" s="153" t="s">
        <v>398</v>
      </c>
      <c r="AF163" s="153"/>
      <c r="AG163" s="153"/>
    </row>
    <row r="164" ht="15.75" customHeight="1">
      <c r="A164" s="238">
        <v>2025.0</v>
      </c>
      <c r="B164" s="230">
        <v>163.0</v>
      </c>
      <c r="C164" s="153" t="s">
        <v>257</v>
      </c>
      <c r="D164" s="153" t="s">
        <v>497</v>
      </c>
      <c r="E164" s="153" t="s">
        <v>1428</v>
      </c>
      <c r="F164" s="153" t="s">
        <v>1429</v>
      </c>
      <c r="G164" s="153" t="s">
        <v>1377</v>
      </c>
      <c r="H164" s="153"/>
      <c r="I164" s="192">
        <v>1992.0</v>
      </c>
      <c r="J164" s="230">
        <v>1990.0</v>
      </c>
      <c r="K164" s="230">
        <v>1994.0</v>
      </c>
      <c r="L164" s="153" t="s">
        <v>151</v>
      </c>
      <c r="M164" s="158" t="s">
        <v>149</v>
      </c>
      <c r="N164" s="158" t="s">
        <v>149</v>
      </c>
      <c r="O164" s="158" t="s">
        <v>149</v>
      </c>
      <c r="P164" s="153" t="s">
        <v>1381</v>
      </c>
      <c r="Q164" s="158" t="s">
        <v>6154</v>
      </c>
      <c r="R164" s="158" t="s">
        <v>206</v>
      </c>
      <c r="S164" s="158" t="s">
        <v>159</v>
      </c>
      <c r="T164" s="158" t="s">
        <v>149</v>
      </c>
      <c r="U164" s="158" t="s">
        <v>149</v>
      </c>
      <c r="V164" s="158" t="s">
        <v>149</v>
      </c>
      <c r="W164" s="153" t="s">
        <v>660</v>
      </c>
      <c r="X164" s="153" t="s">
        <v>6035</v>
      </c>
      <c r="Y164" s="153" t="s">
        <v>369</v>
      </c>
      <c r="Z164" s="153"/>
      <c r="AA164" s="153"/>
      <c r="AB164" s="158" t="s">
        <v>395</v>
      </c>
      <c r="AC164" s="153" t="s">
        <v>6060</v>
      </c>
      <c r="AD164" s="158" t="s">
        <v>6711</v>
      </c>
      <c r="AE164" s="153" t="s">
        <v>398</v>
      </c>
      <c r="AF164" s="153"/>
      <c r="AG164" s="153"/>
    </row>
    <row r="165" ht="15.75" customHeight="1">
      <c r="A165" s="238">
        <v>2025.0</v>
      </c>
      <c r="B165" s="230">
        <v>164.0</v>
      </c>
      <c r="C165" s="153" t="s">
        <v>257</v>
      </c>
      <c r="D165" s="153" t="s">
        <v>497</v>
      </c>
      <c r="E165" s="153" t="s">
        <v>518</v>
      </c>
      <c r="F165" s="153" t="s">
        <v>519</v>
      </c>
      <c r="G165" s="153" t="s">
        <v>384</v>
      </c>
      <c r="H165" s="153" t="s">
        <v>520</v>
      </c>
      <c r="I165" s="230">
        <v>1986.0</v>
      </c>
      <c r="J165" s="230">
        <v>1985.0</v>
      </c>
      <c r="K165" s="230">
        <v>1987.0</v>
      </c>
      <c r="L165" s="153" t="s">
        <v>151</v>
      </c>
      <c r="M165" s="153" t="s">
        <v>6054</v>
      </c>
      <c r="N165" s="158" t="s">
        <v>6054</v>
      </c>
      <c r="O165" s="158" t="s">
        <v>149</v>
      </c>
      <c r="P165" s="153" t="s">
        <v>390</v>
      </c>
      <c r="Q165" s="158" t="s">
        <v>160</v>
      </c>
      <c r="R165" s="158" t="s">
        <v>6035</v>
      </c>
      <c r="S165" s="158" t="s">
        <v>159</v>
      </c>
      <c r="T165" s="158" t="s">
        <v>149</v>
      </c>
      <c r="U165" s="158" t="s">
        <v>149</v>
      </c>
      <c r="V165" s="153" t="s">
        <v>503</v>
      </c>
      <c r="W165" s="153" t="s">
        <v>390</v>
      </c>
      <c r="X165" s="153" t="s">
        <v>6035</v>
      </c>
      <c r="Y165" s="153" t="s">
        <v>6055</v>
      </c>
      <c r="Z165" s="153"/>
      <c r="AA165" s="153"/>
      <c r="AB165" s="158" t="s">
        <v>395</v>
      </c>
      <c r="AC165" s="153" t="s">
        <v>6060</v>
      </c>
      <c r="AD165" s="158" t="s">
        <v>397</v>
      </c>
      <c r="AE165" s="153" t="s">
        <v>398</v>
      </c>
      <c r="AF165" s="153"/>
      <c r="AG165" s="153"/>
    </row>
    <row r="166" ht="15.75" customHeight="1">
      <c r="A166" s="238">
        <v>2025.0</v>
      </c>
      <c r="B166" s="230">
        <v>165.0</v>
      </c>
      <c r="C166" s="153" t="s">
        <v>257</v>
      </c>
      <c r="D166" s="153" t="s">
        <v>497</v>
      </c>
      <c r="E166" s="153" t="s">
        <v>497</v>
      </c>
      <c r="F166" s="153" t="s">
        <v>1431</v>
      </c>
      <c r="G166" s="153" t="s">
        <v>1377</v>
      </c>
      <c r="H166" s="153" t="s">
        <v>1432</v>
      </c>
      <c r="I166" s="192">
        <v>1992.0</v>
      </c>
      <c r="J166" s="230">
        <v>1990.0</v>
      </c>
      <c r="K166" s="230">
        <v>1994.0</v>
      </c>
      <c r="L166" s="153" t="s">
        <v>151</v>
      </c>
      <c r="M166" s="158" t="s">
        <v>149</v>
      </c>
      <c r="N166" s="158" t="s">
        <v>149</v>
      </c>
      <c r="O166" s="158" t="s">
        <v>149</v>
      </c>
      <c r="P166" s="153" t="s">
        <v>1381</v>
      </c>
      <c r="Q166" s="158" t="s">
        <v>6154</v>
      </c>
      <c r="R166" s="158" t="s">
        <v>206</v>
      </c>
      <c r="S166" s="158" t="s">
        <v>159</v>
      </c>
      <c r="T166" s="158" t="s">
        <v>149</v>
      </c>
      <c r="U166" s="158" t="s">
        <v>149</v>
      </c>
      <c r="V166" s="158" t="s">
        <v>149</v>
      </c>
      <c r="W166" s="153" t="s">
        <v>660</v>
      </c>
      <c r="X166" s="153" t="s">
        <v>6035</v>
      </c>
      <c r="Y166" s="153" t="s">
        <v>369</v>
      </c>
      <c r="Z166" s="153"/>
      <c r="AA166" s="153"/>
      <c r="AB166" s="158" t="s">
        <v>395</v>
      </c>
      <c r="AC166" s="153" t="s">
        <v>6060</v>
      </c>
      <c r="AD166" s="158" t="s">
        <v>6711</v>
      </c>
      <c r="AE166" s="153" t="s">
        <v>398</v>
      </c>
      <c r="AF166" s="153"/>
      <c r="AG166" s="153"/>
    </row>
    <row r="167" ht="15.75" customHeight="1">
      <c r="A167" s="238">
        <v>2025.0</v>
      </c>
      <c r="B167" s="230">
        <v>166.0</v>
      </c>
      <c r="C167" s="153" t="s">
        <v>257</v>
      </c>
      <c r="D167" s="153" t="s">
        <v>497</v>
      </c>
      <c r="E167" s="153" t="s">
        <v>497</v>
      </c>
      <c r="F167" s="153" t="s">
        <v>1431</v>
      </c>
      <c r="G167" s="153" t="s">
        <v>1377</v>
      </c>
      <c r="H167" s="153" t="s">
        <v>1434</v>
      </c>
      <c r="I167" s="192">
        <v>1992.0</v>
      </c>
      <c r="J167" s="230">
        <v>1990.0</v>
      </c>
      <c r="K167" s="230">
        <v>1994.0</v>
      </c>
      <c r="L167" s="153" t="s">
        <v>151</v>
      </c>
      <c r="M167" s="158" t="s">
        <v>149</v>
      </c>
      <c r="N167" s="158" t="s">
        <v>149</v>
      </c>
      <c r="O167" s="158" t="s">
        <v>149</v>
      </c>
      <c r="P167" s="153" t="s">
        <v>1381</v>
      </c>
      <c r="Q167" s="158" t="s">
        <v>6154</v>
      </c>
      <c r="R167" s="158" t="s">
        <v>206</v>
      </c>
      <c r="S167" s="158" t="s">
        <v>159</v>
      </c>
      <c r="T167" s="158" t="s">
        <v>149</v>
      </c>
      <c r="U167" s="158" t="s">
        <v>149</v>
      </c>
      <c r="V167" s="158" t="s">
        <v>149</v>
      </c>
      <c r="W167" s="153" t="s">
        <v>660</v>
      </c>
      <c r="X167" s="153" t="s">
        <v>6035</v>
      </c>
      <c r="Y167" s="153" t="s">
        <v>369</v>
      </c>
      <c r="Z167" s="153"/>
      <c r="AA167" s="153"/>
      <c r="AB167" s="158" t="s">
        <v>395</v>
      </c>
      <c r="AC167" s="153" t="s">
        <v>6060</v>
      </c>
      <c r="AD167" s="158" t="s">
        <v>6711</v>
      </c>
      <c r="AE167" s="153" t="s">
        <v>398</v>
      </c>
      <c r="AF167" s="153"/>
      <c r="AG167" s="153"/>
    </row>
    <row r="168" ht="15.75" customHeight="1">
      <c r="A168" s="238">
        <v>2025.0</v>
      </c>
      <c r="B168" s="230">
        <v>167.0</v>
      </c>
      <c r="C168" s="153" t="s">
        <v>257</v>
      </c>
      <c r="D168" s="153" t="s">
        <v>497</v>
      </c>
      <c r="E168" s="153" t="s">
        <v>1436</v>
      </c>
      <c r="F168" s="153" t="s">
        <v>1437</v>
      </c>
      <c r="G168" s="153" t="s">
        <v>1377</v>
      </c>
      <c r="H168" s="153"/>
      <c r="I168" s="192">
        <v>1992.0</v>
      </c>
      <c r="J168" s="230">
        <v>1990.0</v>
      </c>
      <c r="K168" s="230">
        <v>1994.0</v>
      </c>
      <c r="L168" s="153" t="s">
        <v>151</v>
      </c>
      <c r="M168" s="158" t="s">
        <v>149</v>
      </c>
      <c r="N168" s="158" t="s">
        <v>149</v>
      </c>
      <c r="O168" s="158" t="s">
        <v>149</v>
      </c>
      <c r="P168" s="153" t="s">
        <v>1381</v>
      </c>
      <c r="Q168" s="158" t="s">
        <v>6154</v>
      </c>
      <c r="R168" s="158" t="s">
        <v>206</v>
      </c>
      <c r="S168" s="158" t="s">
        <v>159</v>
      </c>
      <c r="T168" s="158" t="s">
        <v>149</v>
      </c>
      <c r="U168" s="158" t="s">
        <v>149</v>
      </c>
      <c r="V168" s="158" t="s">
        <v>149</v>
      </c>
      <c r="W168" s="153" t="s">
        <v>660</v>
      </c>
      <c r="X168" s="153" t="s">
        <v>6035</v>
      </c>
      <c r="Y168" s="153" t="s">
        <v>369</v>
      </c>
      <c r="Z168" s="153"/>
      <c r="AA168" s="153"/>
      <c r="AB168" s="158" t="s">
        <v>395</v>
      </c>
      <c r="AC168" s="153" t="s">
        <v>6060</v>
      </c>
      <c r="AD168" s="158" t="s">
        <v>6711</v>
      </c>
      <c r="AE168" s="153" t="s">
        <v>398</v>
      </c>
      <c r="AF168" s="153"/>
      <c r="AG168" s="153"/>
    </row>
    <row r="169" ht="15.75" customHeight="1">
      <c r="A169" s="238">
        <v>2025.0</v>
      </c>
      <c r="B169" s="230">
        <v>168.0</v>
      </c>
      <c r="C169" s="153" t="s">
        <v>257</v>
      </c>
      <c r="D169" s="153" t="s">
        <v>497</v>
      </c>
      <c r="E169" s="153" t="s">
        <v>1439</v>
      </c>
      <c r="F169" s="153" t="s">
        <v>1440</v>
      </c>
      <c r="G169" s="153" t="s">
        <v>1377</v>
      </c>
      <c r="H169" s="153"/>
      <c r="I169" s="192">
        <v>1992.0</v>
      </c>
      <c r="J169" s="230">
        <v>1990.0</v>
      </c>
      <c r="K169" s="230">
        <v>1994.0</v>
      </c>
      <c r="L169" s="153" t="s">
        <v>151</v>
      </c>
      <c r="M169" s="158" t="s">
        <v>149</v>
      </c>
      <c r="N169" s="158" t="s">
        <v>149</v>
      </c>
      <c r="O169" s="158" t="s">
        <v>149</v>
      </c>
      <c r="P169" s="153" t="s">
        <v>1381</v>
      </c>
      <c r="Q169" s="158" t="s">
        <v>6154</v>
      </c>
      <c r="R169" s="158" t="s">
        <v>206</v>
      </c>
      <c r="S169" s="158" t="s">
        <v>159</v>
      </c>
      <c r="T169" s="158" t="s">
        <v>149</v>
      </c>
      <c r="U169" s="158" t="s">
        <v>149</v>
      </c>
      <c r="V169" s="158" t="s">
        <v>149</v>
      </c>
      <c r="W169" s="153" t="s">
        <v>660</v>
      </c>
      <c r="X169" s="153" t="s">
        <v>6035</v>
      </c>
      <c r="Y169" s="153" t="s">
        <v>369</v>
      </c>
      <c r="Z169" s="153"/>
      <c r="AA169" s="153"/>
      <c r="AB169" s="158" t="s">
        <v>395</v>
      </c>
      <c r="AC169" s="153" t="s">
        <v>6060</v>
      </c>
      <c r="AD169" s="158" t="s">
        <v>6711</v>
      </c>
      <c r="AE169" s="153" t="s">
        <v>398</v>
      </c>
      <c r="AF169" s="153"/>
      <c r="AG169" s="153"/>
    </row>
    <row r="170" ht="15.75" customHeight="1">
      <c r="A170" s="238">
        <v>2025.0</v>
      </c>
      <c r="B170" s="230">
        <v>169.0</v>
      </c>
      <c r="C170" s="153" t="s">
        <v>522</v>
      </c>
      <c r="D170" s="153" t="s">
        <v>802</v>
      </c>
      <c r="E170" s="153" t="s">
        <v>1172</v>
      </c>
      <c r="F170" s="153" t="s">
        <v>1173</v>
      </c>
      <c r="G170" s="158" t="s">
        <v>149</v>
      </c>
      <c r="H170" s="158" t="s">
        <v>1175</v>
      </c>
      <c r="I170" s="230">
        <v>2021.0</v>
      </c>
      <c r="J170" s="192" t="s">
        <v>149</v>
      </c>
      <c r="K170" s="192" t="s">
        <v>149</v>
      </c>
      <c r="L170" s="153" t="s">
        <v>6062</v>
      </c>
      <c r="M170" s="158" t="s">
        <v>1201</v>
      </c>
      <c r="N170" s="158" t="s">
        <v>1201</v>
      </c>
      <c r="O170" s="158" t="s">
        <v>6768</v>
      </c>
      <c r="P170" s="158" t="s">
        <v>1180</v>
      </c>
      <c r="Q170" s="158" t="s">
        <v>160</v>
      </c>
      <c r="R170" s="158" t="s">
        <v>6035</v>
      </c>
      <c r="S170" s="158" t="s">
        <v>159</v>
      </c>
      <c r="T170" s="158" t="s">
        <v>149</v>
      </c>
      <c r="U170" s="158" t="s">
        <v>149</v>
      </c>
      <c r="V170" s="158" t="s">
        <v>1181</v>
      </c>
      <c r="W170" s="158" t="s">
        <v>1180</v>
      </c>
      <c r="X170" s="153" t="s">
        <v>6035</v>
      </c>
      <c r="Y170" s="153" t="s">
        <v>1182</v>
      </c>
      <c r="Z170" s="153"/>
      <c r="AA170" s="153"/>
      <c r="AB170" s="158" t="s">
        <v>166</v>
      </c>
      <c r="AC170" s="153" t="s">
        <v>1184</v>
      </c>
      <c r="AD170" s="172" t="s">
        <v>1185</v>
      </c>
      <c r="AE170" s="153"/>
      <c r="AF170" s="153"/>
      <c r="AG170" s="153"/>
    </row>
    <row r="171" ht="15.75" customHeight="1">
      <c r="A171" s="238">
        <v>2025.0</v>
      </c>
      <c r="B171" s="230">
        <v>170.0</v>
      </c>
      <c r="C171" s="153" t="s">
        <v>522</v>
      </c>
      <c r="D171" s="153" t="s">
        <v>802</v>
      </c>
      <c r="E171" s="153" t="s">
        <v>6771</v>
      </c>
      <c r="F171" s="153" t="s">
        <v>803</v>
      </c>
      <c r="G171" s="153" t="s">
        <v>2107</v>
      </c>
      <c r="H171" s="158" t="s">
        <v>6772</v>
      </c>
      <c r="I171" s="192" t="s">
        <v>149</v>
      </c>
      <c r="J171" s="192" t="s">
        <v>149</v>
      </c>
      <c r="K171" s="192" t="s">
        <v>149</v>
      </c>
      <c r="L171" s="153" t="s">
        <v>151</v>
      </c>
      <c r="M171" s="153" t="s">
        <v>152</v>
      </c>
      <c r="N171" s="158" t="s">
        <v>152</v>
      </c>
      <c r="O171" s="153" t="s">
        <v>6506</v>
      </c>
      <c r="P171" s="158" t="s">
        <v>2111</v>
      </c>
      <c r="Q171" s="158" t="s">
        <v>6154</v>
      </c>
      <c r="R171" s="158" t="s">
        <v>206</v>
      </c>
      <c r="S171" s="158" t="s">
        <v>159</v>
      </c>
      <c r="T171" s="158" t="s">
        <v>149</v>
      </c>
      <c r="U171" s="158" t="s">
        <v>149</v>
      </c>
      <c r="V171" s="158" t="s">
        <v>149</v>
      </c>
      <c r="W171" s="153" t="s">
        <v>2111</v>
      </c>
      <c r="X171" s="158" t="s">
        <v>206</v>
      </c>
      <c r="Y171" s="153" t="s">
        <v>660</v>
      </c>
      <c r="Z171" s="153" t="s">
        <v>2112</v>
      </c>
      <c r="AA171" s="153"/>
      <c r="AB171" s="158" t="s">
        <v>395</v>
      </c>
      <c r="AC171" s="153" t="s">
        <v>6060</v>
      </c>
      <c r="AD171" s="158" t="s">
        <v>6711</v>
      </c>
      <c r="AE171" s="153" t="s">
        <v>398</v>
      </c>
      <c r="AF171" s="153"/>
      <c r="AG171" s="153"/>
    </row>
    <row r="172" ht="15.75" customHeight="1">
      <c r="A172" s="238">
        <v>2025.0</v>
      </c>
      <c r="B172" s="230">
        <v>171.0</v>
      </c>
      <c r="C172" s="153" t="s">
        <v>522</v>
      </c>
      <c r="D172" s="153" t="s">
        <v>802</v>
      </c>
      <c r="E172" s="153" t="s">
        <v>6771</v>
      </c>
      <c r="F172" s="153" t="s">
        <v>803</v>
      </c>
      <c r="G172" s="153" t="s">
        <v>804</v>
      </c>
      <c r="H172" s="158" t="s">
        <v>6775</v>
      </c>
      <c r="I172" s="192" t="s">
        <v>149</v>
      </c>
      <c r="J172" s="230">
        <v>1989.0</v>
      </c>
      <c r="K172" s="230">
        <v>1994.0</v>
      </c>
      <c r="L172" s="153" t="s">
        <v>151</v>
      </c>
      <c r="M172" s="153" t="s">
        <v>6779</v>
      </c>
      <c r="N172" s="158" t="s">
        <v>6779</v>
      </c>
      <c r="O172" s="158" t="s">
        <v>810</v>
      </c>
      <c r="P172" s="158" t="s">
        <v>149</v>
      </c>
      <c r="Q172" s="158" t="s">
        <v>149</v>
      </c>
      <c r="R172" s="158" t="s">
        <v>149</v>
      </c>
      <c r="S172" s="158" t="s">
        <v>149</v>
      </c>
      <c r="T172" s="158" t="s">
        <v>149</v>
      </c>
      <c r="U172" s="158" t="s">
        <v>149</v>
      </c>
      <c r="V172" s="153" t="s">
        <v>6780</v>
      </c>
      <c r="W172" s="153" t="s">
        <v>341</v>
      </c>
      <c r="X172" s="153" t="s">
        <v>6035</v>
      </c>
      <c r="Y172" s="153"/>
      <c r="Z172" s="153"/>
      <c r="AA172" s="153"/>
      <c r="AB172" s="158" t="s">
        <v>395</v>
      </c>
      <c r="AC172" s="153" t="s">
        <v>6060</v>
      </c>
      <c r="AD172" s="158" t="s">
        <v>6711</v>
      </c>
      <c r="AE172" s="153" t="s">
        <v>398</v>
      </c>
      <c r="AF172" s="153"/>
      <c r="AG172" s="153"/>
    </row>
    <row r="173" ht="15.75" customHeight="1">
      <c r="A173" s="238">
        <v>2025.0</v>
      </c>
      <c r="B173" s="230">
        <v>172.0</v>
      </c>
      <c r="C173" s="153" t="s">
        <v>522</v>
      </c>
      <c r="D173" s="153" t="s">
        <v>802</v>
      </c>
      <c r="E173" s="153" t="s">
        <v>1187</v>
      </c>
      <c r="F173" s="153" t="s">
        <v>1188</v>
      </c>
      <c r="G173" s="158" t="s">
        <v>149</v>
      </c>
      <c r="H173" s="158" t="s">
        <v>1189</v>
      </c>
      <c r="I173" s="230">
        <v>2021.0</v>
      </c>
      <c r="J173" s="192" t="s">
        <v>149</v>
      </c>
      <c r="K173" s="192" t="s">
        <v>149</v>
      </c>
      <c r="L173" s="153" t="s">
        <v>6062</v>
      </c>
      <c r="M173" s="158" t="s">
        <v>1201</v>
      </c>
      <c r="N173" s="158" t="s">
        <v>1201</v>
      </c>
      <c r="O173" s="158" t="s">
        <v>6768</v>
      </c>
      <c r="P173" s="158" t="s">
        <v>1180</v>
      </c>
      <c r="Q173" s="158" t="s">
        <v>160</v>
      </c>
      <c r="R173" s="158" t="s">
        <v>6035</v>
      </c>
      <c r="S173" s="158" t="s">
        <v>159</v>
      </c>
      <c r="T173" s="158" t="s">
        <v>149</v>
      </c>
      <c r="U173" s="158" t="s">
        <v>149</v>
      </c>
      <c r="V173" s="158" t="s">
        <v>1181</v>
      </c>
      <c r="W173" s="158" t="s">
        <v>1180</v>
      </c>
      <c r="X173" s="153" t="s">
        <v>6035</v>
      </c>
      <c r="Y173" s="153" t="s">
        <v>1182</v>
      </c>
      <c r="Z173" s="153"/>
      <c r="AA173" s="153"/>
      <c r="AB173" s="158" t="s">
        <v>166</v>
      </c>
      <c r="AC173" s="153" t="s">
        <v>1184</v>
      </c>
      <c r="AD173" s="153" t="s">
        <v>1185</v>
      </c>
      <c r="AE173" s="153"/>
      <c r="AF173" s="153"/>
      <c r="AG173" s="153"/>
    </row>
    <row r="174" ht="15.75" customHeight="1">
      <c r="A174" s="238">
        <v>2025.0</v>
      </c>
      <c r="B174" s="230">
        <v>173.0</v>
      </c>
      <c r="C174" s="153" t="s">
        <v>522</v>
      </c>
      <c r="D174" s="153" t="s">
        <v>2618</v>
      </c>
      <c r="E174" s="153" t="s">
        <v>2619</v>
      </c>
      <c r="F174" s="153" t="s">
        <v>2620</v>
      </c>
      <c r="G174" s="158" t="s">
        <v>149</v>
      </c>
      <c r="H174" s="158" t="s">
        <v>2621</v>
      </c>
      <c r="I174" s="192" t="s">
        <v>149</v>
      </c>
      <c r="J174" s="192" t="s">
        <v>149</v>
      </c>
      <c r="K174" s="192" t="s">
        <v>149</v>
      </c>
      <c r="L174" s="153" t="s">
        <v>6062</v>
      </c>
      <c r="M174" s="153" t="s">
        <v>2622</v>
      </c>
      <c r="N174" s="158" t="s">
        <v>179</v>
      </c>
      <c r="O174" s="158" t="s">
        <v>2623</v>
      </c>
      <c r="P174" s="153" t="s">
        <v>2624</v>
      </c>
      <c r="Q174" s="158" t="s">
        <v>160</v>
      </c>
      <c r="R174" s="158" t="s">
        <v>184</v>
      </c>
      <c r="S174" s="158" t="s">
        <v>2625</v>
      </c>
      <c r="T174" s="158" t="s">
        <v>149</v>
      </c>
      <c r="U174" s="158" t="s">
        <v>149</v>
      </c>
      <c r="V174" s="158" t="s">
        <v>149</v>
      </c>
      <c r="W174" s="153" t="s">
        <v>2624</v>
      </c>
      <c r="X174" s="158" t="s">
        <v>184</v>
      </c>
      <c r="Y174" s="153"/>
      <c r="Z174" s="153"/>
      <c r="AA174" s="153"/>
      <c r="AB174" s="158" t="s">
        <v>6091</v>
      </c>
      <c r="AC174" s="153" t="s">
        <v>2626</v>
      </c>
      <c r="AD174" s="165" t="s">
        <v>2627</v>
      </c>
      <c r="AE174" s="153"/>
      <c r="AF174" s="153"/>
      <c r="AG174" s="153"/>
    </row>
    <row r="175" ht="15.75" customHeight="1">
      <c r="A175" s="238">
        <v>2025.0</v>
      </c>
      <c r="B175" s="230">
        <v>174.0</v>
      </c>
      <c r="C175" s="153" t="s">
        <v>522</v>
      </c>
      <c r="D175" s="153" t="s">
        <v>1947</v>
      </c>
      <c r="E175" s="153" t="s">
        <v>1948</v>
      </c>
      <c r="F175" s="153" t="s">
        <v>1949</v>
      </c>
      <c r="G175" s="153" t="s">
        <v>1950</v>
      </c>
      <c r="H175" s="158" t="s">
        <v>1951</v>
      </c>
      <c r="I175" s="230">
        <v>2013.0</v>
      </c>
      <c r="J175" s="192" t="s">
        <v>149</v>
      </c>
      <c r="K175" s="192" t="s">
        <v>149</v>
      </c>
      <c r="L175" s="153" t="s">
        <v>151</v>
      </c>
      <c r="M175" s="153" t="s">
        <v>851</v>
      </c>
      <c r="N175" s="158" t="s">
        <v>851</v>
      </c>
      <c r="O175" s="158" t="s">
        <v>6787</v>
      </c>
      <c r="P175" s="158" t="s">
        <v>724</v>
      </c>
      <c r="Q175" s="158" t="s">
        <v>160</v>
      </c>
      <c r="R175" s="158" t="s">
        <v>184</v>
      </c>
      <c r="S175" s="158" t="s">
        <v>159</v>
      </c>
      <c r="T175" s="158" t="s">
        <v>149</v>
      </c>
      <c r="U175" s="158" t="s">
        <v>149</v>
      </c>
      <c r="V175" s="153" t="s">
        <v>571</v>
      </c>
      <c r="W175" s="153" t="s">
        <v>724</v>
      </c>
      <c r="X175" s="158" t="s">
        <v>184</v>
      </c>
      <c r="Y175" s="153"/>
      <c r="Z175" s="158" t="s">
        <v>1955</v>
      </c>
      <c r="AA175" s="153"/>
      <c r="AB175" s="158" t="s">
        <v>6517</v>
      </c>
      <c r="AC175" s="153" t="s">
        <v>726</v>
      </c>
      <c r="AD175" s="165" t="s">
        <v>7875</v>
      </c>
      <c r="AE175" s="153"/>
      <c r="AF175" s="153"/>
      <c r="AG175" s="153"/>
    </row>
    <row r="176" ht="15.75" customHeight="1">
      <c r="A176" s="238">
        <v>2025.0</v>
      </c>
      <c r="B176" s="230">
        <v>175.0</v>
      </c>
      <c r="C176" s="153" t="s">
        <v>522</v>
      </c>
      <c r="D176" s="153" t="s">
        <v>523</v>
      </c>
      <c r="E176" s="153" t="s">
        <v>922</v>
      </c>
      <c r="F176" s="154" t="s">
        <v>923</v>
      </c>
      <c r="G176" s="153" t="s">
        <v>924</v>
      </c>
      <c r="H176" s="153" t="s">
        <v>925</v>
      </c>
      <c r="I176" s="230">
        <v>2023.0</v>
      </c>
      <c r="J176" s="230">
        <v>2023.0</v>
      </c>
      <c r="K176" s="192" t="s">
        <v>149</v>
      </c>
      <c r="L176" s="153" t="s">
        <v>6624</v>
      </c>
      <c r="M176" s="153" t="s">
        <v>927</v>
      </c>
      <c r="N176" s="158" t="s">
        <v>179</v>
      </c>
      <c r="O176" s="158" t="s">
        <v>149</v>
      </c>
      <c r="P176" s="153" t="s">
        <v>928</v>
      </c>
      <c r="Q176" s="158" t="s">
        <v>160</v>
      </c>
      <c r="R176" s="158" t="s">
        <v>184</v>
      </c>
      <c r="S176" s="158" t="s">
        <v>159</v>
      </c>
      <c r="T176" s="158" t="s">
        <v>149</v>
      </c>
      <c r="U176" s="158" t="s">
        <v>149</v>
      </c>
      <c r="V176" s="158" t="s">
        <v>149</v>
      </c>
      <c r="W176" s="153" t="s">
        <v>928</v>
      </c>
      <c r="X176" s="158" t="s">
        <v>184</v>
      </c>
      <c r="Y176" s="153" t="s">
        <v>369</v>
      </c>
      <c r="Z176" s="153" t="s">
        <v>930</v>
      </c>
      <c r="AA176" s="153"/>
      <c r="AB176" s="153" t="s">
        <v>6038</v>
      </c>
      <c r="AC176" s="153" t="s">
        <v>6791</v>
      </c>
      <c r="AD176" s="172" t="s">
        <v>932</v>
      </c>
      <c r="AE176" s="153"/>
      <c r="AF176" s="153"/>
      <c r="AG176" s="153"/>
    </row>
    <row r="177" ht="15.75" customHeight="1">
      <c r="A177" s="238">
        <v>2025.0</v>
      </c>
      <c r="B177" s="230">
        <v>176.0</v>
      </c>
      <c r="C177" s="153" t="s">
        <v>522</v>
      </c>
      <c r="D177" s="153" t="s">
        <v>523</v>
      </c>
      <c r="E177" s="153" t="s">
        <v>2278</v>
      </c>
      <c r="F177" s="153" t="s">
        <v>2279</v>
      </c>
      <c r="G177" s="153" t="s">
        <v>6795</v>
      </c>
      <c r="H177" s="158" t="s">
        <v>6796</v>
      </c>
      <c r="I177" s="230">
        <v>2006.0</v>
      </c>
      <c r="J177" s="192" t="s">
        <v>149</v>
      </c>
      <c r="K177" s="192" t="s">
        <v>149</v>
      </c>
      <c r="L177" s="153" t="s">
        <v>151</v>
      </c>
      <c r="M177" s="153" t="s">
        <v>7876</v>
      </c>
      <c r="N177" s="158" t="s">
        <v>6798</v>
      </c>
      <c r="O177" s="153" t="s">
        <v>7877</v>
      </c>
      <c r="P177" s="158" t="s">
        <v>2285</v>
      </c>
      <c r="Q177" s="158" t="s">
        <v>6154</v>
      </c>
      <c r="R177" s="158" t="s">
        <v>306</v>
      </c>
      <c r="S177" s="158" t="s">
        <v>159</v>
      </c>
      <c r="T177" s="158" t="s">
        <v>149</v>
      </c>
      <c r="U177" s="158" t="s">
        <v>149</v>
      </c>
      <c r="V177" s="158" t="s">
        <v>1748</v>
      </c>
      <c r="W177" s="153" t="s">
        <v>2286</v>
      </c>
      <c r="X177" s="158" t="s">
        <v>306</v>
      </c>
      <c r="Y177" s="153"/>
      <c r="Z177" s="153" t="s">
        <v>2287</v>
      </c>
      <c r="AA177" s="153"/>
      <c r="AB177" s="158" t="s">
        <v>6517</v>
      </c>
      <c r="AC177" s="153" t="s">
        <v>2288</v>
      </c>
      <c r="AD177" s="153" t="s">
        <v>6801</v>
      </c>
      <c r="AE177" s="153"/>
      <c r="AF177" s="153"/>
      <c r="AG177" s="153"/>
    </row>
    <row r="178" ht="15.75" customHeight="1">
      <c r="A178" s="238">
        <v>2025.0</v>
      </c>
      <c r="B178" s="230">
        <v>177.0</v>
      </c>
      <c r="C178" s="153" t="s">
        <v>522</v>
      </c>
      <c r="D178" s="153" t="s">
        <v>523</v>
      </c>
      <c r="E178" s="153" t="s">
        <v>6804</v>
      </c>
      <c r="F178" s="153" t="s">
        <v>525</v>
      </c>
      <c r="G178" s="153" t="s">
        <v>384</v>
      </c>
      <c r="H178" s="153" t="s">
        <v>526</v>
      </c>
      <c r="I178" s="192">
        <v>1985.0</v>
      </c>
      <c r="J178" s="230">
        <v>1985.0</v>
      </c>
      <c r="K178" s="230">
        <v>1987.0</v>
      </c>
      <c r="L178" s="153" t="s">
        <v>151</v>
      </c>
      <c r="M178" s="153" t="s">
        <v>6054</v>
      </c>
      <c r="N178" s="158" t="s">
        <v>6054</v>
      </c>
      <c r="O178" s="158" t="s">
        <v>149</v>
      </c>
      <c r="P178" s="153" t="s">
        <v>390</v>
      </c>
      <c r="Q178" s="158" t="s">
        <v>160</v>
      </c>
      <c r="R178" s="158" t="s">
        <v>6035</v>
      </c>
      <c r="S178" s="158" t="s">
        <v>159</v>
      </c>
      <c r="T178" s="158" t="s">
        <v>149</v>
      </c>
      <c r="U178" s="158" t="s">
        <v>149</v>
      </c>
      <c r="V178" s="158" t="s">
        <v>149</v>
      </c>
      <c r="W178" s="153" t="s">
        <v>390</v>
      </c>
      <c r="X178" s="153" t="s">
        <v>6035</v>
      </c>
      <c r="Y178" s="153" t="s">
        <v>6055</v>
      </c>
      <c r="Z178" s="153"/>
      <c r="AA178" s="153"/>
      <c r="AB178" s="158" t="s">
        <v>395</v>
      </c>
      <c r="AC178" s="153" t="s">
        <v>6060</v>
      </c>
      <c r="AD178" s="158" t="s">
        <v>397</v>
      </c>
      <c r="AE178" s="153" t="s">
        <v>398</v>
      </c>
      <c r="AF178" s="153"/>
      <c r="AG178" s="153"/>
    </row>
    <row r="179" ht="15.75" customHeight="1">
      <c r="A179" s="238">
        <v>2025.0</v>
      </c>
      <c r="B179" s="230">
        <v>178.0</v>
      </c>
      <c r="C179" s="153" t="s">
        <v>522</v>
      </c>
      <c r="D179" s="153" t="s">
        <v>523</v>
      </c>
      <c r="E179" s="153" t="s">
        <v>6804</v>
      </c>
      <c r="F179" s="153" t="s">
        <v>525</v>
      </c>
      <c r="G179" s="153" t="s">
        <v>1683</v>
      </c>
      <c r="H179" s="153"/>
      <c r="I179" s="230">
        <v>2014.0</v>
      </c>
      <c r="J179" s="230">
        <v>2014.0</v>
      </c>
      <c r="K179" s="230">
        <v>2016.0</v>
      </c>
      <c r="L179" s="153" t="s">
        <v>6062</v>
      </c>
      <c r="M179" s="153" t="s">
        <v>1201</v>
      </c>
      <c r="N179" s="158" t="s">
        <v>179</v>
      </c>
      <c r="O179" s="158" t="s">
        <v>149</v>
      </c>
      <c r="P179" s="153" t="s">
        <v>321</v>
      </c>
      <c r="Q179" s="158" t="s">
        <v>160</v>
      </c>
      <c r="R179" s="158" t="s">
        <v>6035</v>
      </c>
      <c r="S179" s="158" t="s">
        <v>159</v>
      </c>
      <c r="T179" s="158" t="s">
        <v>149</v>
      </c>
      <c r="U179" s="158" t="s">
        <v>149</v>
      </c>
      <c r="V179" s="153" t="s">
        <v>1709</v>
      </c>
      <c r="W179" s="153" t="s">
        <v>326</v>
      </c>
      <c r="X179" s="153" t="s">
        <v>306</v>
      </c>
      <c r="Y179" s="158" t="s">
        <v>1710</v>
      </c>
      <c r="Z179" s="153"/>
      <c r="AA179" s="153"/>
      <c r="AB179" s="158" t="s">
        <v>6069</v>
      </c>
      <c r="AC179" s="153" t="s">
        <v>1300</v>
      </c>
      <c r="AD179" s="153" t="s">
        <v>6070</v>
      </c>
      <c r="AE179" s="153"/>
      <c r="AF179" s="153"/>
      <c r="AG179" s="153"/>
    </row>
    <row r="180" ht="15.75" customHeight="1">
      <c r="A180" s="238">
        <v>2025.0</v>
      </c>
      <c r="B180" s="230">
        <v>179.0</v>
      </c>
      <c r="C180" s="153" t="s">
        <v>522</v>
      </c>
      <c r="D180" s="153" t="s">
        <v>523</v>
      </c>
      <c r="E180" s="153" t="s">
        <v>1964</v>
      </c>
      <c r="F180" s="153" t="s">
        <v>1965</v>
      </c>
      <c r="G180" s="158" t="s">
        <v>149</v>
      </c>
      <c r="H180" s="158" t="s">
        <v>2565</v>
      </c>
      <c r="I180" s="230">
        <v>2011.0</v>
      </c>
      <c r="J180" s="192">
        <v>2011.0</v>
      </c>
      <c r="K180" s="192" t="s">
        <v>149</v>
      </c>
      <c r="L180" s="153" t="s">
        <v>6814</v>
      </c>
      <c r="M180" s="153" t="s">
        <v>7878</v>
      </c>
      <c r="N180" s="153" t="s">
        <v>7879</v>
      </c>
      <c r="O180" s="153" t="s">
        <v>7880</v>
      </c>
      <c r="P180" s="153" t="s">
        <v>2571</v>
      </c>
      <c r="Q180" s="158" t="s">
        <v>160</v>
      </c>
      <c r="R180" s="158" t="s">
        <v>184</v>
      </c>
      <c r="S180" s="158" t="s">
        <v>6820</v>
      </c>
      <c r="T180" s="158" t="s">
        <v>149</v>
      </c>
      <c r="U180" s="158" t="s">
        <v>149</v>
      </c>
      <c r="V180" s="153" t="s">
        <v>2573</v>
      </c>
      <c r="W180" s="153" t="s">
        <v>2574</v>
      </c>
      <c r="X180" s="158" t="s">
        <v>184</v>
      </c>
      <c r="Y180" s="153"/>
      <c r="Z180" s="158" t="s">
        <v>2575</v>
      </c>
      <c r="AA180" s="153"/>
      <c r="AB180" s="153" t="s">
        <v>6084</v>
      </c>
      <c r="AC180" s="153" t="s">
        <v>2576</v>
      </c>
      <c r="AD180" s="165" t="s">
        <v>2577</v>
      </c>
      <c r="AE180" s="153"/>
      <c r="AF180" s="153"/>
      <c r="AG180" s="153"/>
    </row>
    <row r="181" ht="15.75" customHeight="1">
      <c r="A181" s="238">
        <v>2025.0</v>
      </c>
      <c r="B181" s="230">
        <v>180.0</v>
      </c>
      <c r="C181" s="153" t="s">
        <v>522</v>
      </c>
      <c r="D181" s="153" t="s">
        <v>523</v>
      </c>
      <c r="E181" s="153" t="s">
        <v>1964</v>
      </c>
      <c r="F181" s="153" t="s">
        <v>1965</v>
      </c>
      <c r="G181" s="158" t="s">
        <v>3414</v>
      </c>
      <c r="H181" s="158" t="s">
        <v>1966</v>
      </c>
      <c r="I181" s="230">
        <v>2024.0</v>
      </c>
      <c r="J181" s="192">
        <v>2021.0</v>
      </c>
      <c r="K181" s="192">
        <v>2025.0</v>
      </c>
      <c r="L181" s="153" t="s">
        <v>6221</v>
      </c>
      <c r="M181" s="153" t="s">
        <v>7881</v>
      </c>
      <c r="N181" s="158" t="s">
        <v>1962</v>
      </c>
      <c r="O181" s="158" t="s">
        <v>149</v>
      </c>
      <c r="P181" s="153" t="s">
        <v>203</v>
      </c>
      <c r="Q181" s="158" t="s">
        <v>6154</v>
      </c>
      <c r="R181" s="158" t="s">
        <v>206</v>
      </c>
      <c r="S181" s="158" t="s">
        <v>159</v>
      </c>
      <c r="T181" s="158" t="s">
        <v>149</v>
      </c>
      <c r="U181" s="158" t="s">
        <v>149</v>
      </c>
      <c r="V181" s="158" t="s">
        <v>149</v>
      </c>
      <c r="W181" s="153" t="s">
        <v>208</v>
      </c>
      <c r="X181" s="158" t="s">
        <v>6068</v>
      </c>
      <c r="Y181" s="153" t="s">
        <v>6614</v>
      </c>
      <c r="Z181" s="153"/>
      <c r="AA181" s="153"/>
      <c r="AB181" s="153" t="s">
        <v>214</v>
      </c>
      <c r="AC181" s="153" t="s">
        <v>214</v>
      </c>
      <c r="AD181" s="239"/>
      <c r="AE181" s="153"/>
      <c r="AF181" s="153"/>
      <c r="AG181" s="153"/>
    </row>
    <row r="182" ht="15.75" customHeight="1">
      <c r="A182" s="238">
        <v>2025.0</v>
      </c>
      <c r="B182" s="230">
        <v>181.0</v>
      </c>
      <c r="C182" s="153" t="s">
        <v>522</v>
      </c>
      <c r="D182" s="153" t="s">
        <v>523</v>
      </c>
      <c r="E182" s="153" t="s">
        <v>2114</v>
      </c>
      <c r="F182" s="153" t="s">
        <v>2115</v>
      </c>
      <c r="G182" s="153" t="s">
        <v>2116</v>
      </c>
      <c r="H182" s="158" t="s">
        <v>2117</v>
      </c>
      <c r="I182" s="192">
        <v>2017.0</v>
      </c>
      <c r="J182" s="192" t="s">
        <v>149</v>
      </c>
      <c r="K182" s="192" t="s">
        <v>149</v>
      </c>
      <c r="L182" s="153" t="s">
        <v>6624</v>
      </c>
      <c r="M182" s="153" t="s">
        <v>7882</v>
      </c>
      <c r="N182" s="153" t="s">
        <v>7883</v>
      </c>
      <c r="O182" s="153" t="s">
        <v>7884</v>
      </c>
      <c r="P182" s="153" t="s">
        <v>2120</v>
      </c>
      <c r="Q182" s="158" t="s">
        <v>160</v>
      </c>
      <c r="R182" s="158" t="s">
        <v>306</v>
      </c>
      <c r="S182" s="158" t="s">
        <v>159</v>
      </c>
      <c r="T182" s="158" t="s">
        <v>149</v>
      </c>
      <c r="U182" s="158" t="s">
        <v>6834</v>
      </c>
      <c r="V182" s="158" t="s">
        <v>2122</v>
      </c>
      <c r="W182" s="153" t="s">
        <v>2120</v>
      </c>
      <c r="X182" s="153" t="s">
        <v>306</v>
      </c>
      <c r="Y182" s="153" t="s">
        <v>369</v>
      </c>
      <c r="Z182" s="153"/>
      <c r="AA182" s="153"/>
      <c r="AB182" s="158" t="s">
        <v>1159</v>
      </c>
      <c r="AC182" s="153" t="s">
        <v>6835</v>
      </c>
      <c r="AD182" s="165" t="s">
        <v>2124</v>
      </c>
      <c r="AE182" s="153" t="s">
        <v>2125</v>
      </c>
      <c r="AF182" s="165" t="s">
        <v>2126</v>
      </c>
      <c r="AG182" s="153"/>
    </row>
    <row r="183" ht="15.75" customHeight="1">
      <c r="A183" s="238">
        <v>2025.0</v>
      </c>
      <c r="B183" s="230">
        <v>182.0</v>
      </c>
      <c r="C183" s="153" t="s">
        <v>522</v>
      </c>
      <c r="D183" s="153" t="s">
        <v>529</v>
      </c>
      <c r="E183" s="153" t="s">
        <v>530</v>
      </c>
      <c r="F183" s="153" t="s">
        <v>531</v>
      </c>
      <c r="G183" s="153" t="s">
        <v>384</v>
      </c>
      <c r="H183" s="153" t="s">
        <v>532</v>
      </c>
      <c r="I183" s="230">
        <v>1985.0</v>
      </c>
      <c r="J183" s="230">
        <v>1985.0</v>
      </c>
      <c r="K183" s="230">
        <v>1987.0</v>
      </c>
      <c r="L183" s="153" t="s">
        <v>151</v>
      </c>
      <c r="M183" s="153" t="s">
        <v>469</v>
      </c>
      <c r="N183" s="158" t="s">
        <v>469</v>
      </c>
      <c r="O183" s="158" t="s">
        <v>149</v>
      </c>
      <c r="P183" s="153" t="s">
        <v>390</v>
      </c>
      <c r="Q183" s="158" t="s">
        <v>160</v>
      </c>
      <c r="R183" s="158" t="s">
        <v>6035</v>
      </c>
      <c r="S183" s="158" t="s">
        <v>159</v>
      </c>
      <c r="T183" s="158" t="s">
        <v>149</v>
      </c>
      <c r="U183" s="158" t="s">
        <v>149</v>
      </c>
      <c r="V183" s="153" t="s">
        <v>533</v>
      </c>
      <c r="W183" s="153" t="s">
        <v>390</v>
      </c>
      <c r="X183" s="153" t="s">
        <v>6035</v>
      </c>
      <c r="Y183" s="153" t="s">
        <v>6055</v>
      </c>
      <c r="Z183" s="153"/>
      <c r="AA183" s="153"/>
      <c r="AB183" s="158" t="s">
        <v>395</v>
      </c>
      <c r="AC183" s="153" t="s">
        <v>6060</v>
      </c>
      <c r="AD183" s="158" t="s">
        <v>397</v>
      </c>
      <c r="AE183" s="153" t="s">
        <v>398</v>
      </c>
      <c r="AF183" s="239"/>
      <c r="AG183" s="153"/>
    </row>
    <row r="184" ht="15.75" customHeight="1">
      <c r="A184" s="238">
        <v>2025.0</v>
      </c>
      <c r="B184" s="230">
        <v>183.0</v>
      </c>
      <c r="C184" s="153" t="s">
        <v>522</v>
      </c>
      <c r="D184" s="153" t="s">
        <v>529</v>
      </c>
      <c r="E184" s="153" t="s">
        <v>1120</v>
      </c>
      <c r="F184" s="153" t="s">
        <v>1121</v>
      </c>
      <c r="G184" s="153" t="s">
        <v>1122</v>
      </c>
      <c r="H184" s="153"/>
      <c r="I184" s="230">
        <v>2013.0</v>
      </c>
      <c r="J184" s="192" t="s">
        <v>149</v>
      </c>
      <c r="K184" s="192" t="s">
        <v>149</v>
      </c>
      <c r="L184" s="153" t="s">
        <v>151</v>
      </c>
      <c r="M184" s="153" t="s">
        <v>6076</v>
      </c>
      <c r="N184" s="158" t="s">
        <v>6076</v>
      </c>
      <c r="O184" s="158" t="s">
        <v>6839</v>
      </c>
      <c r="P184" s="158" t="s">
        <v>369</v>
      </c>
      <c r="Q184" s="158" t="s">
        <v>160</v>
      </c>
      <c r="R184" s="158" t="s">
        <v>6035</v>
      </c>
      <c r="S184" s="158" t="s">
        <v>159</v>
      </c>
      <c r="T184" s="243" t="s">
        <v>6840</v>
      </c>
      <c r="U184" s="158" t="s">
        <v>149</v>
      </c>
      <c r="V184" s="153" t="s">
        <v>795</v>
      </c>
      <c r="W184" s="158" t="s">
        <v>1127</v>
      </c>
      <c r="X184" s="153" t="s">
        <v>306</v>
      </c>
      <c r="Y184" s="153" t="s">
        <v>369</v>
      </c>
      <c r="Z184" s="153"/>
      <c r="AA184" s="153"/>
      <c r="AB184" s="158" t="s">
        <v>166</v>
      </c>
      <c r="AC184" s="153" t="s">
        <v>1128</v>
      </c>
      <c r="AD184" s="172" t="s">
        <v>1129</v>
      </c>
      <c r="AE184" s="153"/>
      <c r="AF184" s="239"/>
      <c r="AG184" s="153"/>
    </row>
    <row r="185" ht="15.75" customHeight="1">
      <c r="A185" s="238">
        <v>2025.0</v>
      </c>
      <c r="B185" s="230">
        <v>184.0</v>
      </c>
      <c r="C185" s="153" t="s">
        <v>7885</v>
      </c>
      <c r="D185" s="153" t="s">
        <v>893</v>
      </c>
      <c r="E185" s="153" t="s">
        <v>1622</v>
      </c>
      <c r="F185" s="153" t="s">
        <v>1623</v>
      </c>
      <c r="G185" s="158" t="s">
        <v>1624</v>
      </c>
      <c r="H185" s="158" t="s">
        <v>1625</v>
      </c>
      <c r="I185" s="230">
        <v>2022.0</v>
      </c>
      <c r="J185" s="192" t="s">
        <v>149</v>
      </c>
      <c r="K185" s="192" t="s">
        <v>149</v>
      </c>
      <c r="L185" s="153" t="s">
        <v>6062</v>
      </c>
      <c r="M185" s="153" t="s">
        <v>7886</v>
      </c>
      <c r="N185" s="158" t="s">
        <v>179</v>
      </c>
      <c r="O185" s="153" t="s">
        <v>7887</v>
      </c>
      <c r="P185" s="153" t="s">
        <v>1627</v>
      </c>
      <c r="Q185" s="158" t="s">
        <v>160</v>
      </c>
      <c r="R185" s="158" t="s">
        <v>6035</v>
      </c>
      <c r="S185" s="158" t="s">
        <v>159</v>
      </c>
      <c r="T185" s="158" t="s">
        <v>149</v>
      </c>
      <c r="U185" s="158" t="s">
        <v>149</v>
      </c>
      <c r="V185" s="158" t="s">
        <v>1629</v>
      </c>
      <c r="W185" s="153" t="s">
        <v>1627</v>
      </c>
      <c r="X185" s="153" t="s">
        <v>6035</v>
      </c>
      <c r="Y185" s="153"/>
      <c r="Z185" s="153"/>
      <c r="AA185" s="153"/>
      <c r="AB185" s="158" t="s">
        <v>166</v>
      </c>
      <c r="AC185" s="153" t="s">
        <v>1630</v>
      </c>
      <c r="AD185" s="172" t="s">
        <v>1631</v>
      </c>
      <c r="AE185" s="153"/>
      <c r="AF185" s="153"/>
      <c r="AG185" s="153"/>
    </row>
    <row r="186" ht="15.75" customHeight="1">
      <c r="A186" s="238">
        <v>2025.0</v>
      </c>
      <c r="B186" s="230">
        <v>185.0</v>
      </c>
      <c r="C186" s="153" t="s">
        <v>7885</v>
      </c>
      <c r="D186" s="153" t="s">
        <v>893</v>
      </c>
      <c r="E186" s="153" t="s">
        <v>6851</v>
      </c>
      <c r="F186" s="153" t="s">
        <v>1876</v>
      </c>
      <c r="G186" s="158" t="s">
        <v>149</v>
      </c>
      <c r="H186" s="153"/>
      <c r="I186" s="192" t="s">
        <v>149</v>
      </c>
      <c r="J186" s="192" t="s">
        <v>149</v>
      </c>
      <c r="K186" s="192" t="s">
        <v>149</v>
      </c>
      <c r="L186" s="153" t="s">
        <v>6062</v>
      </c>
      <c r="M186" s="153" t="s">
        <v>7888</v>
      </c>
      <c r="N186" s="158" t="s">
        <v>179</v>
      </c>
      <c r="O186" s="158" t="s">
        <v>2357</v>
      </c>
      <c r="P186" s="153" t="s">
        <v>369</v>
      </c>
      <c r="Q186" s="158" t="s">
        <v>160</v>
      </c>
      <c r="R186" s="158" t="s">
        <v>6035</v>
      </c>
      <c r="S186" s="158" t="s">
        <v>159</v>
      </c>
      <c r="T186" s="158" t="s">
        <v>149</v>
      </c>
      <c r="U186" s="158" t="s">
        <v>149</v>
      </c>
      <c r="V186" s="158" t="s">
        <v>149</v>
      </c>
      <c r="W186" s="153" t="s">
        <v>369</v>
      </c>
      <c r="X186" s="153" t="s">
        <v>6035</v>
      </c>
      <c r="Y186" s="153" t="s">
        <v>6853</v>
      </c>
      <c r="Z186" s="153" t="s">
        <v>2359</v>
      </c>
      <c r="AA186" s="153"/>
      <c r="AB186" s="158" t="s">
        <v>6091</v>
      </c>
      <c r="AC186" s="153" t="s">
        <v>2360</v>
      </c>
      <c r="AD186" s="172" t="s">
        <v>2361</v>
      </c>
      <c r="AE186" s="153"/>
      <c r="AF186" s="153"/>
      <c r="AG186" s="153"/>
    </row>
    <row r="187" ht="15.75" customHeight="1">
      <c r="A187" s="238">
        <v>2025.0</v>
      </c>
      <c r="B187" s="230">
        <v>186.0</v>
      </c>
      <c r="C187" s="158" t="s">
        <v>7885</v>
      </c>
      <c r="D187" s="158" t="s">
        <v>893</v>
      </c>
      <c r="E187" s="158" t="s">
        <v>6851</v>
      </c>
      <c r="F187" s="158" t="s">
        <v>1876</v>
      </c>
      <c r="G187" s="158" t="s">
        <v>1877</v>
      </c>
      <c r="H187" s="158" t="s">
        <v>1878</v>
      </c>
      <c r="I187" s="192">
        <v>2023.0</v>
      </c>
      <c r="J187" s="192">
        <v>2023.0</v>
      </c>
      <c r="K187" s="192">
        <v>2024.0</v>
      </c>
      <c r="L187" s="158" t="s">
        <v>151</v>
      </c>
      <c r="M187" s="158" t="s">
        <v>1880</v>
      </c>
      <c r="N187" s="158" t="s">
        <v>1880</v>
      </c>
      <c r="O187" s="158" t="s">
        <v>1881</v>
      </c>
      <c r="P187" s="158" t="s">
        <v>1882</v>
      </c>
      <c r="Q187" s="158" t="s">
        <v>160</v>
      </c>
      <c r="R187" s="158" t="s">
        <v>6035</v>
      </c>
      <c r="S187" s="158" t="s">
        <v>159</v>
      </c>
      <c r="T187" s="158" t="s">
        <v>149</v>
      </c>
      <c r="U187" s="158" t="s">
        <v>149</v>
      </c>
      <c r="V187" s="158" t="s">
        <v>1883</v>
      </c>
      <c r="W187" s="158" t="s">
        <v>1884</v>
      </c>
      <c r="X187" s="158" t="s">
        <v>6035</v>
      </c>
      <c r="Y187" s="158" t="s">
        <v>1885</v>
      </c>
      <c r="Z187" s="158" t="s">
        <v>1886</v>
      </c>
      <c r="AA187" s="158"/>
      <c r="AB187" s="158" t="s">
        <v>6038</v>
      </c>
      <c r="AC187" s="158" t="s">
        <v>6855</v>
      </c>
      <c r="AD187" s="172" t="s">
        <v>1888</v>
      </c>
      <c r="AE187" s="158"/>
      <c r="AF187" s="158"/>
      <c r="AG187" s="158"/>
    </row>
    <row r="188" ht="15.75" customHeight="1">
      <c r="A188" s="238">
        <v>2025.0</v>
      </c>
      <c r="B188" s="230">
        <v>187.0</v>
      </c>
      <c r="C188" s="153" t="s">
        <v>7885</v>
      </c>
      <c r="D188" s="153" t="s">
        <v>893</v>
      </c>
      <c r="E188" s="153" t="s">
        <v>2450</v>
      </c>
      <c r="F188" s="153" t="s">
        <v>2451</v>
      </c>
      <c r="G188" s="158" t="s">
        <v>149</v>
      </c>
      <c r="H188" s="153" t="s">
        <v>6858</v>
      </c>
      <c r="I188" s="230">
        <v>2018.0</v>
      </c>
      <c r="J188" s="192">
        <v>2018.0</v>
      </c>
      <c r="K188" s="192" t="s">
        <v>149</v>
      </c>
      <c r="L188" s="153" t="s">
        <v>151</v>
      </c>
      <c r="M188" s="153" t="s">
        <v>911</v>
      </c>
      <c r="N188" s="158" t="s">
        <v>911</v>
      </c>
      <c r="O188" s="153" t="s">
        <v>2452</v>
      </c>
      <c r="P188" s="153" t="s">
        <v>7889</v>
      </c>
      <c r="Q188" s="158" t="s">
        <v>160</v>
      </c>
      <c r="R188" s="158" t="s">
        <v>6035</v>
      </c>
      <c r="S188" s="158" t="s">
        <v>159</v>
      </c>
      <c r="T188" s="158" t="s">
        <v>149</v>
      </c>
      <c r="U188" s="158" t="s">
        <v>149</v>
      </c>
      <c r="V188" s="153" t="s">
        <v>782</v>
      </c>
      <c r="W188" s="153" t="s">
        <v>390</v>
      </c>
      <c r="X188" s="153" t="s">
        <v>6035</v>
      </c>
      <c r="Y188" s="153" t="s">
        <v>369</v>
      </c>
      <c r="Z188" s="153"/>
      <c r="AA188" s="153"/>
      <c r="AB188" s="153" t="s">
        <v>6038</v>
      </c>
      <c r="AC188" s="153" t="s">
        <v>2454</v>
      </c>
      <c r="AD188" s="172" t="s">
        <v>2455</v>
      </c>
      <c r="AE188" s="153"/>
      <c r="AF188" s="153"/>
      <c r="AG188" s="153"/>
    </row>
    <row r="189" ht="15.75" customHeight="1">
      <c r="A189" s="238">
        <v>2025.0</v>
      </c>
      <c r="B189" s="230">
        <v>188.0</v>
      </c>
      <c r="C189" s="153" t="s">
        <v>7885</v>
      </c>
      <c r="D189" s="153" t="s">
        <v>893</v>
      </c>
      <c r="E189" s="153" t="s">
        <v>2797</v>
      </c>
      <c r="F189" s="153" t="s">
        <v>2798</v>
      </c>
      <c r="G189" s="158" t="s">
        <v>149</v>
      </c>
      <c r="H189" s="153"/>
      <c r="I189" s="192" t="s">
        <v>149</v>
      </c>
      <c r="J189" s="192" t="s">
        <v>149</v>
      </c>
      <c r="K189" s="192" t="s">
        <v>149</v>
      </c>
      <c r="L189" s="153" t="s">
        <v>6062</v>
      </c>
      <c r="M189" s="153" t="s">
        <v>7890</v>
      </c>
      <c r="N189" s="158" t="s">
        <v>179</v>
      </c>
      <c r="O189" s="158" t="s">
        <v>6866</v>
      </c>
      <c r="P189" s="158" t="s">
        <v>369</v>
      </c>
      <c r="Q189" s="158" t="s">
        <v>160</v>
      </c>
      <c r="R189" s="158" t="s">
        <v>6035</v>
      </c>
      <c r="S189" s="158" t="s">
        <v>159</v>
      </c>
      <c r="T189" s="158" t="s">
        <v>149</v>
      </c>
      <c r="U189" s="158" t="s">
        <v>149</v>
      </c>
      <c r="V189" s="158" t="s">
        <v>149</v>
      </c>
      <c r="W189" s="158" t="s">
        <v>369</v>
      </c>
      <c r="X189" s="158" t="s">
        <v>6035</v>
      </c>
      <c r="Y189" s="153"/>
      <c r="Z189" s="153"/>
      <c r="AA189" s="153"/>
      <c r="AB189" s="158" t="s">
        <v>1159</v>
      </c>
      <c r="AC189" s="153" t="s">
        <v>1160</v>
      </c>
      <c r="AD189" s="172" t="s">
        <v>1161</v>
      </c>
      <c r="AE189" s="153" t="s">
        <v>2803</v>
      </c>
      <c r="AF189" s="153"/>
      <c r="AG189" s="153"/>
    </row>
    <row r="190" ht="15.75" customHeight="1">
      <c r="A190" s="238">
        <v>2025.0</v>
      </c>
      <c r="B190" s="230">
        <v>189.0</v>
      </c>
      <c r="C190" s="153" t="s">
        <v>7885</v>
      </c>
      <c r="D190" s="153" t="s">
        <v>893</v>
      </c>
      <c r="E190" s="153" t="s">
        <v>894</v>
      </c>
      <c r="F190" s="153" t="s">
        <v>895</v>
      </c>
      <c r="G190" s="153" t="s">
        <v>384</v>
      </c>
      <c r="H190" s="153" t="s">
        <v>2868</v>
      </c>
      <c r="I190" s="230">
        <v>1983.0</v>
      </c>
      <c r="J190" s="230">
        <v>1985.0</v>
      </c>
      <c r="K190" s="230">
        <v>1987.0</v>
      </c>
      <c r="L190" s="153" t="s">
        <v>151</v>
      </c>
      <c r="M190" s="153" t="s">
        <v>469</v>
      </c>
      <c r="N190" s="158" t="s">
        <v>469</v>
      </c>
      <c r="O190" s="158" t="s">
        <v>149</v>
      </c>
      <c r="P190" s="153" t="s">
        <v>390</v>
      </c>
      <c r="Q190" s="158" t="s">
        <v>160</v>
      </c>
      <c r="R190" s="158" t="s">
        <v>6035</v>
      </c>
      <c r="S190" s="158" t="s">
        <v>159</v>
      </c>
      <c r="T190" s="158" t="s">
        <v>149</v>
      </c>
      <c r="U190" s="158" t="s">
        <v>149</v>
      </c>
      <c r="V190" s="153" t="s">
        <v>2870</v>
      </c>
      <c r="W190" s="153" t="s">
        <v>390</v>
      </c>
      <c r="X190" s="153" t="s">
        <v>6035</v>
      </c>
      <c r="Y190" s="153" t="s">
        <v>6055</v>
      </c>
      <c r="Z190" s="153"/>
      <c r="AA190" s="153"/>
      <c r="AB190" s="158" t="s">
        <v>395</v>
      </c>
      <c r="AC190" s="153" t="s">
        <v>6060</v>
      </c>
      <c r="AD190" s="158" t="s">
        <v>397</v>
      </c>
      <c r="AE190" s="153" t="s">
        <v>398</v>
      </c>
      <c r="AF190" s="153"/>
      <c r="AG190" s="153"/>
    </row>
    <row r="191" ht="15.75" customHeight="1">
      <c r="A191" s="238">
        <v>2025.0</v>
      </c>
      <c r="B191" s="230">
        <v>190.0</v>
      </c>
      <c r="C191" s="153" t="s">
        <v>7885</v>
      </c>
      <c r="D191" s="153" t="s">
        <v>893</v>
      </c>
      <c r="E191" s="153" t="s">
        <v>894</v>
      </c>
      <c r="F191" s="153" t="s">
        <v>895</v>
      </c>
      <c r="G191" s="153" t="s">
        <v>896</v>
      </c>
      <c r="H191" s="153" t="s">
        <v>6873</v>
      </c>
      <c r="I191" s="230">
        <v>2013.0</v>
      </c>
      <c r="J191" s="158" t="s">
        <v>149</v>
      </c>
      <c r="K191" s="192" t="s">
        <v>149</v>
      </c>
      <c r="L191" s="153" t="s">
        <v>6872</v>
      </c>
      <c r="M191" s="158" t="s">
        <v>899</v>
      </c>
      <c r="N191" s="158" t="s">
        <v>899</v>
      </c>
      <c r="O191" s="153" t="s">
        <v>7891</v>
      </c>
      <c r="P191" s="153" t="s">
        <v>901</v>
      </c>
      <c r="Q191" s="158" t="s">
        <v>160</v>
      </c>
      <c r="R191" s="158" t="s">
        <v>271</v>
      </c>
      <c r="S191" s="158" t="s">
        <v>159</v>
      </c>
      <c r="T191" s="158" t="s">
        <v>149</v>
      </c>
      <c r="U191" s="153" t="s">
        <v>902</v>
      </c>
      <c r="V191" s="158" t="s">
        <v>149</v>
      </c>
      <c r="W191" s="153" t="s">
        <v>901</v>
      </c>
      <c r="X191" s="153" t="s">
        <v>271</v>
      </c>
      <c r="Y191" s="153" t="s">
        <v>6877</v>
      </c>
      <c r="Z191" s="153" t="s">
        <v>904</v>
      </c>
      <c r="AA191" s="153"/>
      <c r="AB191" s="158" t="s">
        <v>166</v>
      </c>
      <c r="AC191" s="153" t="s">
        <v>905</v>
      </c>
      <c r="AD191" s="165" t="s">
        <v>906</v>
      </c>
      <c r="AE191" s="153"/>
      <c r="AF191" s="153"/>
      <c r="AG191" s="153"/>
    </row>
    <row r="192" ht="15.75" customHeight="1">
      <c r="A192" s="238">
        <v>2025.0</v>
      </c>
      <c r="B192" s="230">
        <v>191.0</v>
      </c>
      <c r="C192" s="153" t="s">
        <v>7885</v>
      </c>
      <c r="D192" s="153" t="s">
        <v>893</v>
      </c>
      <c r="E192" s="153" t="s">
        <v>7892</v>
      </c>
      <c r="F192" s="153" t="s">
        <v>1152</v>
      </c>
      <c r="G192" s="153" t="s">
        <v>1153</v>
      </c>
      <c r="H192" s="158" t="s">
        <v>1154</v>
      </c>
      <c r="I192" s="230">
        <v>2016.0</v>
      </c>
      <c r="J192" s="192" t="s">
        <v>149</v>
      </c>
      <c r="K192" s="192" t="s">
        <v>149</v>
      </c>
      <c r="L192" s="153" t="s">
        <v>6062</v>
      </c>
      <c r="M192" s="158" t="s">
        <v>1156</v>
      </c>
      <c r="N192" s="158" t="s">
        <v>1156</v>
      </c>
      <c r="O192" s="153" t="s">
        <v>1157</v>
      </c>
      <c r="P192" s="158" t="s">
        <v>1158</v>
      </c>
      <c r="Q192" s="158" t="s">
        <v>160</v>
      </c>
      <c r="R192" s="158" t="s">
        <v>209</v>
      </c>
      <c r="S192" s="158" t="s">
        <v>204</v>
      </c>
      <c r="T192" s="158" t="s">
        <v>149</v>
      </c>
      <c r="U192" s="158" t="s">
        <v>149</v>
      </c>
      <c r="V192" s="158" t="s">
        <v>149</v>
      </c>
      <c r="W192" s="153" t="s">
        <v>1158</v>
      </c>
      <c r="X192" s="158" t="s">
        <v>6068</v>
      </c>
      <c r="Y192" s="153"/>
      <c r="Z192" s="153"/>
      <c r="AA192" s="153"/>
      <c r="AB192" s="158" t="s">
        <v>1159</v>
      </c>
      <c r="AC192" s="153" t="s">
        <v>1160</v>
      </c>
      <c r="AD192" s="172" t="s">
        <v>1161</v>
      </c>
      <c r="AE192" s="153"/>
      <c r="AF192" s="153"/>
      <c r="AG192" s="153"/>
    </row>
    <row r="193" ht="15.75" customHeight="1">
      <c r="A193" s="238">
        <v>2025.0</v>
      </c>
      <c r="B193" s="230">
        <v>192.0</v>
      </c>
      <c r="C193" s="153" t="s">
        <v>7885</v>
      </c>
      <c r="D193" s="153" t="s">
        <v>893</v>
      </c>
      <c r="E193" s="153" t="s">
        <v>1442</v>
      </c>
      <c r="F193" s="153" t="s">
        <v>1443</v>
      </c>
      <c r="G193" s="153" t="s">
        <v>1377</v>
      </c>
      <c r="H193" s="153"/>
      <c r="I193" s="192">
        <v>1992.0</v>
      </c>
      <c r="J193" s="230">
        <v>1990.0</v>
      </c>
      <c r="K193" s="230">
        <v>1994.0</v>
      </c>
      <c r="L193" s="153" t="s">
        <v>151</v>
      </c>
      <c r="M193" s="158" t="s">
        <v>149</v>
      </c>
      <c r="N193" s="158" t="s">
        <v>149</v>
      </c>
      <c r="O193" s="158" t="s">
        <v>149</v>
      </c>
      <c r="P193" s="153" t="s">
        <v>1381</v>
      </c>
      <c r="Q193" s="158" t="s">
        <v>6154</v>
      </c>
      <c r="R193" s="158" t="s">
        <v>206</v>
      </c>
      <c r="S193" s="158" t="s">
        <v>159</v>
      </c>
      <c r="T193" s="158" t="s">
        <v>149</v>
      </c>
      <c r="U193" s="158" t="s">
        <v>149</v>
      </c>
      <c r="V193" s="158" t="s">
        <v>149</v>
      </c>
      <c r="W193" s="153" t="s">
        <v>660</v>
      </c>
      <c r="X193" s="153" t="s">
        <v>6035</v>
      </c>
      <c r="Y193" s="153" t="s">
        <v>369</v>
      </c>
      <c r="Z193" s="153"/>
      <c r="AA193" s="153"/>
      <c r="AB193" s="158" t="s">
        <v>395</v>
      </c>
      <c r="AC193" s="153" t="s">
        <v>6060</v>
      </c>
      <c r="AD193" s="158" t="s">
        <v>6711</v>
      </c>
      <c r="AE193" s="153" t="s">
        <v>398</v>
      </c>
      <c r="AF193" s="153"/>
      <c r="AG193" s="153"/>
    </row>
    <row r="194" ht="15.75" customHeight="1">
      <c r="A194" s="238">
        <v>2025.0</v>
      </c>
      <c r="B194" s="230">
        <v>193.0</v>
      </c>
      <c r="C194" s="153" t="s">
        <v>7885</v>
      </c>
      <c r="D194" s="153" t="s">
        <v>893</v>
      </c>
      <c r="E194" s="153" t="s">
        <v>1442</v>
      </c>
      <c r="F194" s="153" t="s">
        <v>1443</v>
      </c>
      <c r="G194" s="158" t="s">
        <v>149</v>
      </c>
      <c r="H194" s="153"/>
      <c r="I194" s="230">
        <v>1990.0</v>
      </c>
      <c r="J194" s="192">
        <v>1990.0</v>
      </c>
      <c r="K194" s="192">
        <v>1990.0</v>
      </c>
      <c r="L194" s="153" t="s">
        <v>151</v>
      </c>
      <c r="M194" s="158" t="s">
        <v>6054</v>
      </c>
      <c r="N194" s="158" t="s">
        <v>6054</v>
      </c>
      <c r="O194" s="153" t="s">
        <v>7893</v>
      </c>
      <c r="P194" s="158" t="s">
        <v>2304</v>
      </c>
      <c r="Q194" s="158" t="s">
        <v>160</v>
      </c>
      <c r="R194" s="158" t="s">
        <v>6035</v>
      </c>
      <c r="S194" s="158" t="s">
        <v>159</v>
      </c>
      <c r="T194" s="158" t="s">
        <v>149</v>
      </c>
      <c r="U194" s="158" t="s">
        <v>149</v>
      </c>
      <c r="V194" s="158" t="s">
        <v>149</v>
      </c>
      <c r="W194" s="153" t="s">
        <v>2304</v>
      </c>
      <c r="X194" s="158" t="s">
        <v>6035</v>
      </c>
      <c r="Y194" s="153" t="s">
        <v>6507</v>
      </c>
      <c r="Z194" s="153"/>
      <c r="AA194" s="153"/>
      <c r="AB194" s="158" t="s">
        <v>395</v>
      </c>
      <c r="AC194" s="153" t="s">
        <v>6060</v>
      </c>
      <c r="AD194" s="158" t="s">
        <v>6711</v>
      </c>
      <c r="AE194" s="153" t="s">
        <v>398</v>
      </c>
      <c r="AF194" s="153"/>
      <c r="AG194" s="153"/>
    </row>
    <row r="195" ht="15.75" customHeight="1">
      <c r="A195" s="238">
        <v>2025.0</v>
      </c>
      <c r="B195" s="230">
        <v>194.0</v>
      </c>
      <c r="C195" s="153" t="s">
        <v>7885</v>
      </c>
      <c r="D195" s="153" t="s">
        <v>1445</v>
      </c>
      <c r="E195" s="153" t="s">
        <v>2406</v>
      </c>
      <c r="F195" s="153" t="s">
        <v>2407</v>
      </c>
      <c r="G195" s="158" t="s">
        <v>149</v>
      </c>
      <c r="H195" s="153" t="s">
        <v>7894</v>
      </c>
      <c r="I195" s="230">
        <v>2021.0</v>
      </c>
      <c r="J195" s="158" t="s">
        <v>149</v>
      </c>
      <c r="K195" s="192" t="s">
        <v>149</v>
      </c>
      <c r="L195" s="153" t="s">
        <v>151</v>
      </c>
      <c r="M195" s="158" t="s">
        <v>149</v>
      </c>
      <c r="N195" s="158" t="s">
        <v>149</v>
      </c>
      <c r="O195" s="158" t="s">
        <v>6891</v>
      </c>
      <c r="P195" s="153" t="s">
        <v>369</v>
      </c>
      <c r="Q195" s="158" t="s">
        <v>160</v>
      </c>
      <c r="R195" s="158" t="s">
        <v>6035</v>
      </c>
      <c r="S195" s="158" t="s">
        <v>159</v>
      </c>
      <c r="T195" s="158" t="s">
        <v>149</v>
      </c>
      <c r="U195" s="158" t="s">
        <v>149</v>
      </c>
      <c r="V195" s="158" t="s">
        <v>149</v>
      </c>
      <c r="W195" s="153" t="s">
        <v>2410</v>
      </c>
      <c r="X195" s="153" t="s">
        <v>6035</v>
      </c>
      <c r="Y195" s="153" t="s">
        <v>2411</v>
      </c>
      <c r="Z195" s="153"/>
      <c r="AA195" s="153" t="s">
        <v>1195</v>
      </c>
      <c r="AB195" s="158" t="s">
        <v>166</v>
      </c>
      <c r="AC195" s="153" t="s">
        <v>2412</v>
      </c>
      <c r="AD195" s="172" t="s">
        <v>2413</v>
      </c>
      <c r="AE195" s="153"/>
      <c r="AF195" s="153"/>
      <c r="AG195" s="153"/>
    </row>
    <row r="196" ht="15.75" customHeight="1">
      <c r="A196" s="238">
        <v>2025.0</v>
      </c>
      <c r="B196" s="230">
        <v>195.0</v>
      </c>
      <c r="C196" s="153" t="s">
        <v>7885</v>
      </c>
      <c r="D196" s="153" t="s">
        <v>1445</v>
      </c>
      <c r="E196" s="153" t="s">
        <v>1446</v>
      </c>
      <c r="F196" s="153" t="s">
        <v>1447</v>
      </c>
      <c r="G196" s="153" t="s">
        <v>1377</v>
      </c>
      <c r="H196" s="153" t="s">
        <v>1448</v>
      </c>
      <c r="I196" s="230">
        <v>1992.0</v>
      </c>
      <c r="J196" s="230">
        <v>1990.0</v>
      </c>
      <c r="K196" s="230">
        <v>1994.0</v>
      </c>
      <c r="L196" s="153" t="s">
        <v>151</v>
      </c>
      <c r="M196" s="158" t="s">
        <v>149</v>
      </c>
      <c r="N196" s="158" t="s">
        <v>149</v>
      </c>
      <c r="O196" s="158" t="s">
        <v>149</v>
      </c>
      <c r="P196" s="153" t="s">
        <v>1381</v>
      </c>
      <c r="Q196" s="158" t="s">
        <v>6154</v>
      </c>
      <c r="R196" s="158" t="s">
        <v>206</v>
      </c>
      <c r="S196" s="158" t="s">
        <v>159</v>
      </c>
      <c r="T196" s="158" t="s">
        <v>149</v>
      </c>
      <c r="U196" s="158" t="s">
        <v>149</v>
      </c>
      <c r="V196" s="158" t="s">
        <v>149</v>
      </c>
      <c r="W196" s="153" t="s">
        <v>660</v>
      </c>
      <c r="X196" s="153" t="s">
        <v>6035</v>
      </c>
      <c r="Y196" s="153" t="s">
        <v>369</v>
      </c>
      <c r="Z196" s="153"/>
      <c r="AA196" s="153"/>
      <c r="AB196" s="158" t="s">
        <v>395</v>
      </c>
      <c r="AC196" s="153" t="s">
        <v>6060</v>
      </c>
      <c r="AD196" s="158" t="s">
        <v>6711</v>
      </c>
      <c r="AE196" s="153" t="s">
        <v>398</v>
      </c>
      <c r="AF196" s="153"/>
      <c r="AG196" s="153"/>
    </row>
    <row r="197" ht="15.75" customHeight="1">
      <c r="A197" s="238">
        <v>2025.0</v>
      </c>
      <c r="B197" s="230">
        <v>196.0</v>
      </c>
      <c r="C197" s="153" t="s">
        <v>7885</v>
      </c>
      <c r="D197" s="153" t="s">
        <v>1089</v>
      </c>
      <c r="E197" s="153" t="s">
        <v>2511</v>
      </c>
      <c r="F197" s="153" t="s">
        <v>2512</v>
      </c>
      <c r="G197" s="158" t="s">
        <v>149</v>
      </c>
      <c r="H197" s="153"/>
      <c r="I197" s="192" t="s">
        <v>149</v>
      </c>
      <c r="J197" s="192" t="s">
        <v>149</v>
      </c>
      <c r="K197" s="192" t="s">
        <v>149</v>
      </c>
      <c r="L197" s="153" t="s">
        <v>151</v>
      </c>
      <c r="M197" s="158" t="s">
        <v>149</v>
      </c>
      <c r="N197" s="158" t="s">
        <v>149</v>
      </c>
      <c r="O197" s="153" t="s">
        <v>2513</v>
      </c>
      <c r="P197" s="158" t="s">
        <v>149</v>
      </c>
      <c r="Q197" s="158" t="s">
        <v>149</v>
      </c>
      <c r="R197" s="158" t="s">
        <v>149</v>
      </c>
      <c r="S197" s="158" t="s">
        <v>149</v>
      </c>
      <c r="T197" s="158" t="s">
        <v>149</v>
      </c>
      <c r="U197" s="158" t="s">
        <v>149</v>
      </c>
      <c r="V197" s="158" t="s">
        <v>149</v>
      </c>
      <c r="W197" s="153" t="s">
        <v>765</v>
      </c>
      <c r="X197" s="153" t="s">
        <v>6035</v>
      </c>
      <c r="Y197" s="153" t="s">
        <v>390</v>
      </c>
      <c r="Z197" s="153" t="s">
        <v>2514</v>
      </c>
      <c r="AA197" s="153"/>
      <c r="AB197" s="158" t="s">
        <v>6214</v>
      </c>
      <c r="AC197" s="153" t="s">
        <v>2515</v>
      </c>
      <c r="AD197" s="165" t="s">
        <v>2516</v>
      </c>
      <c r="AE197" s="153" t="s">
        <v>2517</v>
      </c>
      <c r="AF197" s="153"/>
      <c r="AG197" s="153"/>
    </row>
    <row r="198" ht="15.75" customHeight="1">
      <c r="A198" s="238">
        <v>2025.0</v>
      </c>
      <c r="B198" s="230">
        <v>197.0</v>
      </c>
      <c r="C198" s="153" t="s">
        <v>7885</v>
      </c>
      <c r="D198" s="153" t="s">
        <v>1089</v>
      </c>
      <c r="E198" s="153" t="s">
        <v>3081</v>
      </c>
      <c r="F198" s="153" t="s">
        <v>3082</v>
      </c>
      <c r="G198" s="158" t="s">
        <v>149</v>
      </c>
      <c r="H198" s="153"/>
      <c r="I198" s="192" t="s">
        <v>149</v>
      </c>
      <c r="J198" s="192" t="s">
        <v>149</v>
      </c>
      <c r="K198" s="192" t="s">
        <v>149</v>
      </c>
      <c r="L198" s="153" t="s">
        <v>6062</v>
      </c>
      <c r="M198" s="158" t="s">
        <v>179</v>
      </c>
      <c r="N198" s="158" t="s">
        <v>179</v>
      </c>
      <c r="O198" s="158" t="s">
        <v>149</v>
      </c>
      <c r="P198" s="153" t="s">
        <v>3083</v>
      </c>
      <c r="Q198" s="158" t="s">
        <v>160</v>
      </c>
      <c r="R198" s="158" t="s">
        <v>306</v>
      </c>
      <c r="S198" s="158" t="s">
        <v>159</v>
      </c>
      <c r="T198" s="158" t="s">
        <v>149</v>
      </c>
      <c r="U198" s="158" t="s">
        <v>3084</v>
      </c>
      <c r="V198" s="158" t="s">
        <v>149</v>
      </c>
      <c r="W198" s="153" t="s">
        <v>3083</v>
      </c>
      <c r="X198" s="153" t="s">
        <v>306</v>
      </c>
      <c r="Y198" s="153" t="s">
        <v>369</v>
      </c>
      <c r="Z198" s="153"/>
      <c r="AA198" s="153"/>
      <c r="AB198" s="153" t="s">
        <v>6038</v>
      </c>
      <c r="AC198" s="153" t="s">
        <v>3085</v>
      </c>
      <c r="AD198" s="153" t="s">
        <v>6902</v>
      </c>
      <c r="AE198" s="153" t="s">
        <v>3087</v>
      </c>
      <c r="AF198" s="153" t="s">
        <v>3088</v>
      </c>
      <c r="AG198" s="153" t="s">
        <v>6754</v>
      </c>
    </row>
    <row r="199" ht="15.75" customHeight="1">
      <c r="A199" s="238">
        <v>2025.0</v>
      </c>
      <c r="B199" s="230">
        <v>198.0</v>
      </c>
      <c r="C199" s="153" t="s">
        <v>7885</v>
      </c>
      <c r="D199" s="153" t="s">
        <v>1089</v>
      </c>
      <c r="E199" s="153" t="s">
        <v>1090</v>
      </c>
      <c r="F199" s="153" t="s">
        <v>1091</v>
      </c>
      <c r="G199" s="153" t="s">
        <v>1092</v>
      </c>
      <c r="H199" s="153"/>
      <c r="I199" s="230">
        <v>2021.0</v>
      </c>
      <c r="J199" s="192" t="s">
        <v>149</v>
      </c>
      <c r="K199" s="192" t="s">
        <v>149</v>
      </c>
      <c r="L199" s="153" t="s">
        <v>6062</v>
      </c>
      <c r="M199" s="158" t="s">
        <v>149</v>
      </c>
      <c r="N199" s="158" t="s">
        <v>149</v>
      </c>
      <c r="O199" s="158" t="s">
        <v>149</v>
      </c>
      <c r="P199" s="153" t="s">
        <v>369</v>
      </c>
      <c r="Q199" s="158" t="s">
        <v>160</v>
      </c>
      <c r="R199" s="158" t="s">
        <v>6035</v>
      </c>
      <c r="S199" s="158" t="s">
        <v>159</v>
      </c>
      <c r="T199" s="158" t="s">
        <v>149</v>
      </c>
      <c r="U199" s="158" t="s">
        <v>3084</v>
      </c>
      <c r="V199" s="158" t="s">
        <v>149</v>
      </c>
      <c r="W199" s="153" t="s">
        <v>369</v>
      </c>
      <c r="X199" s="153" t="s">
        <v>6035</v>
      </c>
      <c r="Y199" s="153" t="s">
        <v>1093</v>
      </c>
      <c r="Z199" s="153"/>
      <c r="AA199" s="153"/>
      <c r="AB199" s="153" t="s">
        <v>6038</v>
      </c>
      <c r="AC199" s="153" t="s">
        <v>1094</v>
      </c>
      <c r="AD199" s="172" t="s">
        <v>1095</v>
      </c>
      <c r="AE199" s="153"/>
      <c r="AF199" s="153"/>
      <c r="AG199" s="153"/>
    </row>
    <row r="200" ht="15.75" customHeight="1">
      <c r="A200" s="238">
        <v>2025.0</v>
      </c>
      <c r="B200" s="230">
        <v>199.0</v>
      </c>
      <c r="C200" s="153" t="s">
        <v>7885</v>
      </c>
      <c r="D200" s="153" t="s">
        <v>1089</v>
      </c>
      <c r="E200" s="153" t="s">
        <v>1324</v>
      </c>
      <c r="F200" s="153" t="s">
        <v>1325</v>
      </c>
      <c r="G200" s="153" t="s">
        <v>1377</v>
      </c>
      <c r="H200" s="153" t="s">
        <v>7895</v>
      </c>
      <c r="I200" s="192" t="s">
        <v>149</v>
      </c>
      <c r="J200" s="230">
        <v>1990.0</v>
      </c>
      <c r="K200" s="230">
        <v>1994.0</v>
      </c>
      <c r="L200" s="153" t="s">
        <v>151</v>
      </c>
      <c r="M200" s="158" t="s">
        <v>149</v>
      </c>
      <c r="N200" s="158" t="s">
        <v>149</v>
      </c>
      <c r="O200" s="158" t="s">
        <v>149</v>
      </c>
      <c r="P200" s="153" t="s">
        <v>1381</v>
      </c>
      <c r="Q200" s="158" t="s">
        <v>6154</v>
      </c>
      <c r="R200" s="158" t="s">
        <v>206</v>
      </c>
      <c r="S200" s="158" t="s">
        <v>159</v>
      </c>
      <c r="T200" s="158" t="s">
        <v>149</v>
      </c>
      <c r="U200" s="158" t="s">
        <v>149</v>
      </c>
      <c r="V200" s="158" t="s">
        <v>149</v>
      </c>
      <c r="W200" s="153" t="s">
        <v>660</v>
      </c>
      <c r="X200" s="153" t="s">
        <v>6035</v>
      </c>
      <c r="Y200" s="153" t="s">
        <v>369</v>
      </c>
      <c r="Z200" s="153"/>
      <c r="AA200" s="153"/>
      <c r="AB200" s="158" t="s">
        <v>395</v>
      </c>
      <c r="AC200" s="153" t="s">
        <v>6060</v>
      </c>
      <c r="AD200" s="158" t="s">
        <v>6711</v>
      </c>
      <c r="AE200" s="153" t="s">
        <v>398</v>
      </c>
      <c r="AF200" s="153"/>
      <c r="AG200" s="153"/>
    </row>
    <row r="201" ht="15.75" customHeight="1">
      <c r="A201" s="238">
        <v>2025.0</v>
      </c>
      <c r="B201" s="230">
        <v>200.0</v>
      </c>
      <c r="C201" s="153" t="s">
        <v>7885</v>
      </c>
      <c r="D201" s="153" t="s">
        <v>1089</v>
      </c>
      <c r="E201" s="153" t="s">
        <v>1324</v>
      </c>
      <c r="F201" s="153" t="s">
        <v>1325</v>
      </c>
      <c r="G201" s="158" t="s">
        <v>149</v>
      </c>
      <c r="H201" s="153"/>
      <c r="I201" s="230">
        <v>1989.0</v>
      </c>
      <c r="J201" s="192" t="s">
        <v>149</v>
      </c>
      <c r="K201" s="192" t="s">
        <v>149</v>
      </c>
      <c r="L201" s="153" t="s">
        <v>151</v>
      </c>
      <c r="M201" s="158" t="s">
        <v>149</v>
      </c>
      <c r="N201" s="158" t="s">
        <v>149</v>
      </c>
      <c r="O201" s="158" t="s">
        <v>149</v>
      </c>
      <c r="P201" s="158" t="s">
        <v>149</v>
      </c>
      <c r="Q201" s="158" t="s">
        <v>149</v>
      </c>
      <c r="R201" s="158" t="s">
        <v>149</v>
      </c>
      <c r="S201" s="158" t="s">
        <v>149</v>
      </c>
      <c r="T201" s="158" t="s">
        <v>149</v>
      </c>
      <c r="U201" s="158" t="s">
        <v>149</v>
      </c>
      <c r="V201" s="158" t="s">
        <v>149</v>
      </c>
      <c r="W201" s="158" t="s">
        <v>149</v>
      </c>
      <c r="X201" s="158" t="s">
        <v>149</v>
      </c>
      <c r="Y201" s="153"/>
      <c r="Z201" s="153"/>
      <c r="AA201" s="153"/>
      <c r="AB201" s="158" t="s">
        <v>395</v>
      </c>
      <c r="AC201" s="153" t="s">
        <v>6060</v>
      </c>
      <c r="AD201" s="158" t="s">
        <v>6711</v>
      </c>
      <c r="AE201" s="153" t="s">
        <v>398</v>
      </c>
      <c r="AF201" s="153"/>
      <c r="AG201" s="153"/>
    </row>
    <row r="202" ht="15.75" customHeight="1">
      <c r="A202" s="238">
        <v>2025.0</v>
      </c>
      <c r="B202" s="230">
        <v>201.0</v>
      </c>
      <c r="C202" s="153" t="s">
        <v>7885</v>
      </c>
      <c r="D202" s="153" t="s">
        <v>1089</v>
      </c>
      <c r="E202" s="153" t="s">
        <v>1324</v>
      </c>
      <c r="F202" s="153" t="s">
        <v>1325</v>
      </c>
      <c r="G202" s="153" t="s">
        <v>1309</v>
      </c>
      <c r="H202" s="153"/>
      <c r="I202" s="230">
        <v>2020.0</v>
      </c>
      <c r="J202" s="192">
        <v>2016.0</v>
      </c>
      <c r="K202" s="192">
        <v>2020.0</v>
      </c>
      <c r="L202" s="153" t="s">
        <v>151</v>
      </c>
      <c r="M202" s="158" t="s">
        <v>149</v>
      </c>
      <c r="N202" s="158" t="s">
        <v>149</v>
      </c>
      <c r="O202" s="158" t="s">
        <v>6910</v>
      </c>
      <c r="P202" s="158" t="s">
        <v>1327</v>
      </c>
      <c r="Q202" s="158" t="s">
        <v>6154</v>
      </c>
      <c r="R202" s="158" t="s">
        <v>206</v>
      </c>
      <c r="S202" s="158" t="s">
        <v>159</v>
      </c>
      <c r="T202" s="158" t="s">
        <v>149</v>
      </c>
      <c r="U202" s="158" t="s">
        <v>149</v>
      </c>
      <c r="V202" s="153" t="s">
        <v>1328</v>
      </c>
      <c r="W202" s="153" t="s">
        <v>390</v>
      </c>
      <c r="X202" s="153" t="s">
        <v>6035</v>
      </c>
      <c r="Y202" s="153" t="s">
        <v>6909</v>
      </c>
      <c r="Z202" s="153"/>
      <c r="AA202" s="153"/>
      <c r="AB202" s="153" t="s">
        <v>6084</v>
      </c>
      <c r="AC202" s="153" t="s">
        <v>1330</v>
      </c>
      <c r="AD202" s="153" t="s">
        <v>1331</v>
      </c>
      <c r="AE202" s="153"/>
      <c r="AF202" s="153"/>
      <c r="AG202" s="153"/>
    </row>
    <row r="203" ht="15.75" customHeight="1">
      <c r="A203" s="238">
        <v>2025.0</v>
      </c>
      <c r="B203" s="230">
        <v>202.0</v>
      </c>
      <c r="C203" s="153" t="s">
        <v>7885</v>
      </c>
      <c r="D203" s="153" t="s">
        <v>1089</v>
      </c>
      <c r="E203" s="153" t="s">
        <v>2457</v>
      </c>
      <c r="F203" s="153" t="s">
        <v>2458</v>
      </c>
      <c r="G203" s="158" t="s">
        <v>149</v>
      </c>
      <c r="H203" s="153"/>
      <c r="I203" s="230">
        <v>2019.0</v>
      </c>
      <c r="J203" s="192" t="s">
        <v>149</v>
      </c>
      <c r="K203" s="192" t="s">
        <v>149</v>
      </c>
      <c r="L203" s="153" t="s">
        <v>6062</v>
      </c>
      <c r="M203" s="153" t="s">
        <v>6666</v>
      </c>
      <c r="N203" s="158" t="s">
        <v>179</v>
      </c>
      <c r="O203" s="153" t="s">
        <v>2459</v>
      </c>
      <c r="P203" s="153" t="s">
        <v>369</v>
      </c>
      <c r="Q203" s="158" t="s">
        <v>160</v>
      </c>
      <c r="R203" s="158" t="s">
        <v>6035</v>
      </c>
      <c r="S203" s="158" t="s">
        <v>159</v>
      </c>
      <c r="T203" s="158" t="s">
        <v>149</v>
      </c>
      <c r="U203" s="158" t="s">
        <v>149</v>
      </c>
      <c r="V203" s="158" t="s">
        <v>149</v>
      </c>
      <c r="W203" s="153" t="s">
        <v>2410</v>
      </c>
      <c r="X203" s="153" t="s">
        <v>6035</v>
      </c>
      <c r="Y203" s="153" t="s">
        <v>6912</v>
      </c>
      <c r="Z203" s="153"/>
      <c r="AA203" s="153"/>
      <c r="AB203" s="158" t="s">
        <v>166</v>
      </c>
      <c r="AC203" s="153" t="s">
        <v>2461</v>
      </c>
      <c r="AD203" s="165" t="s">
        <v>2462</v>
      </c>
      <c r="AE203" s="153"/>
      <c r="AF203" s="153"/>
      <c r="AG203" s="153"/>
    </row>
    <row r="204" ht="15.75" customHeight="1">
      <c r="A204" s="238">
        <v>2025.0</v>
      </c>
      <c r="B204" s="230">
        <v>203.0</v>
      </c>
      <c r="C204" s="153" t="s">
        <v>7885</v>
      </c>
      <c r="D204" s="153" t="s">
        <v>1089</v>
      </c>
      <c r="E204" s="153" t="s">
        <v>1451</v>
      </c>
      <c r="F204" s="153" t="s">
        <v>1452</v>
      </c>
      <c r="G204" s="153" t="s">
        <v>1377</v>
      </c>
      <c r="H204" s="153" t="s">
        <v>1453</v>
      </c>
      <c r="I204" s="192">
        <v>1992.0</v>
      </c>
      <c r="J204" s="230">
        <v>1990.0</v>
      </c>
      <c r="K204" s="230">
        <v>1994.0</v>
      </c>
      <c r="L204" s="153" t="s">
        <v>151</v>
      </c>
      <c r="M204" s="158" t="s">
        <v>149</v>
      </c>
      <c r="N204" s="158" t="s">
        <v>149</v>
      </c>
      <c r="O204" s="158" t="s">
        <v>149</v>
      </c>
      <c r="P204" s="153" t="s">
        <v>1381</v>
      </c>
      <c r="Q204" s="158" t="s">
        <v>6154</v>
      </c>
      <c r="R204" s="158" t="s">
        <v>206</v>
      </c>
      <c r="S204" s="158" t="s">
        <v>159</v>
      </c>
      <c r="T204" s="158" t="s">
        <v>149</v>
      </c>
      <c r="U204" s="158" t="s">
        <v>149</v>
      </c>
      <c r="V204" s="158" t="s">
        <v>149</v>
      </c>
      <c r="W204" s="153" t="s">
        <v>660</v>
      </c>
      <c r="X204" s="153" t="s">
        <v>6035</v>
      </c>
      <c r="Y204" s="153" t="s">
        <v>369</v>
      </c>
      <c r="Z204" s="153"/>
      <c r="AA204" s="153"/>
      <c r="AB204" s="158" t="s">
        <v>395</v>
      </c>
      <c r="AC204" s="153" t="s">
        <v>6060</v>
      </c>
      <c r="AD204" s="158" t="s">
        <v>6711</v>
      </c>
      <c r="AE204" s="153" t="s">
        <v>398</v>
      </c>
      <c r="AF204" s="153"/>
      <c r="AG204" s="153"/>
    </row>
    <row r="205" ht="15.75" customHeight="1">
      <c r="A205" s="238">
        <v>2025.0</v>
      </c>
      <c r="B205" s="230">
        <v>204.0</v>
      </c>
      <c r="C205" s="153" t="s">
        <v>7885</v>
      </c>
      <c r="D205" s="153" t="s">
        <v>1089</v>
      </c>
      <c r="E205" s="153" t="s">
        <v>1667</v>
      </c>
      <c r="F205" s="153" t="s">
        <v>1668</v>
      </c>
      <c r="G205" s="153" t="s">
        <v>1659</v>
      </c>
      <c r="H205" s="158" t="s">
        <v>6916</v>
      </c>
      <c r="I205" s="192">
        <v>1991.0</v>
      </c>
      <c r="J205" s="230">
        <v>1990.0</v>
      </c>
      <c r="K205" s="230">
        <v>1992.0</v>
      </c>
      <c r="L205" s="153" t="s">
        <v>151</v>
      </c>
      <c r="M205" s="153" t="s">
        <v>7896</v>
      </c>
      <c r="N205" s="158" t="s">
        <v>6917</v>
      </c>
      <c r="O205" s="153" t="s">
        <v>1380</v>
      </c>
      <c r="P205" s="158" t="s">
        <v>321</v>
      </c>
      <c r="Q205" s="158" t="s">
        <v>160</v>
      </c>
      <c r="R205" s="158" t="s">
        <v>6035</v>
      </c>
      <c r="S205" s="158" t="s">
        <v>159</v>
      </c>
      <c r="T205" s="158" t="s">
        <v>149</v>
      </c>
      <c r="U205" s="158" t="s">
        <v>149</v>
      </c>
      <c r="V205" s="158" t="s">
        <v>149</v>
      </c>
      <c r="W205" s="158" t="s">
        <v>1663</v>
      </c>
      <c r="X205" s="153" t="s">
        <v>6035</v>
      </c>
      <c r="Y205" s="158" t="s">
        <v>369</v>
      </c>
      <c r="Z205" s="153"/>
      <c r="AA205" s="153"/>
      <c r="AB205" s="158" t="s">
        <v>395</v>
      </c>
      <c r="AC205" s="153" t="s">
        <v>6060</v>
      </c>
      <c r="AD205" s="158" t="s">
        <v>6711</v>
      </c>
      <c r="AE205" s="153" t="s">
        <v>398</v>
      </c>
      <c r="AF205" s="153"/>
      <c r="AG205" s="153"/>
    </row>
    <row r="206" ht="15.75" customHeight="1">
      <c r="A206" s="238">
        <v>2025.0</v>
      </c>
      <c r="B206" s="230">
        <v>205.0</v>
      </c>
      <c r="C206" s="153" t="s">
        <v>7885</v>
      </c>
      <c r="D206" s="153" t="s">
        <v>1089</v>
      </c>
      <c r="E206" s="153" t="s">
        <v>1455</v>
      </c>
      <c r="F206" s="153" t="s">
        <v>1456</v>
      </c>
      <c r="G206" s="153" t="s">
        <v>1377</v>
      </c>
      <c r="H206" s="153" t="s">
        <v>1457</v>
      </c>
      <c r="I206" s="192">
        <v>1992.0</v>
      </c>
      <c r="J206" s="230">
        <v>1990.0</v>
      </c>
      <c r="K206" s="230">
        <v>1994.0</v>
      </c>
      <c r="L206" s="153" t="s">
        <v>151</v>
      </c>
      <c r="M206" s="158" t="s">
        <v>149</v>
      </c>
      <c r="N206" s="158" t="s">
        <v>149</v>
      </c>
      <c r="O206" s="158" t="s">
        <v>149</v>
      </c>
      <c r="P206" s="153" t="s">
        <v>1381</v>
      </c>
      <c r="Q206" s="158" t="s">
        <v>6154</v>
      </c>
      <c r="R206" s="158" t="s">
        <v>206</v>
      </c>
      <c r="S206" s="158" t="s">
        <v>159</v>
      </c>
      <c r="T206" s="158" t="s">
        <v>149</v>
      </c>
      <c r="U206" s="158" t="s">
        <v>149</v>
      </c>
      <c r="V206" s="158" t="s">
        <v>149</v>
      </c>
      <c r="W206" s="153" t="s">
        <v>660</v>
      </c>
      <c r="X206" s="153" t="s">
        <v>6035</v>
      </c>
      <c r="Y206" s="153" t="s">
        <v>369</v>
      </c>
      <c r="Z206" s="153"/>
      <c r="AA206" s="153"/>
      <c r="AB206" s="158" t="s">
        <v>395</v>
      </c>
      <c r="AC206" s="153" t="s">
        <v>6060</v>
      </c>
      <c r="AD206" s="158" t="s">
        <v>6711</v>
      </c>
      <c r="AE206" s="153" t="s">
        <v>398</v>
      </c>
      <c r="AF206" s="153"/>
      <c r="AG206" s="153"/>
    </row>
    <row r="207" ht="15.75" customHeight="1">
      <c r="A207" s="238">
        <v>2025.0</v>
      </c>
      <c r="B207" s="230">
        <v>206.0</v>
      </c>
      <c r="C207" s="153" t="s">
        <v>7885</v>
      </c>
      <c r="D207" s="153" t="s">
        <v>1459</v>
      </c>
      <c r="E207" s="153" t="s">
        <v>2464</v>
      </c>
      <c r="F207" s="153" t="s">
        <v>2465</v>
      </c>
      <c r="G207" s="158" t="s">
        <v>149</v>
      </c>
      <c r="H207" s="153" t="s">
        <v>2466</v>
      </c>
      <c r="I207" s="230">
        <v>2024.0</v>
      </c>
      <c r="J207" s="230">
        <v>2024.0</v>
      </c>
      <c r="K207" s="192" t="s">
        <v>149</v>
      </c>
      <c r="L207" s="153" t="s">
        <v>151</v>
      </c>
      <c r="M207" s="153" t="s">
        <v>2468</v>
      </c>
      <c r="N207" s="158" t="s">
        <v>152</v>
      </c>
      <c r="O207" s="153" t="s">
        <v>2469</v>
      </c>
      <c r="P207" s="153" t="s">
        <v>2470</v>
      </c>
      <c r="Q207" s="158" t="s">
        <v>160</v>
      </c>
      <c r="R207" s="158" t="s">
        <v>184</v>
      </c>
      <c r="S207" s="158" t="s">
        <v>159</v>
      </c>
      <c r="T207" s="158" t="s">
        <v>149</v>
      </c>
      <c r="U207" s="158" t="s">
        <v>149</v>
      </c>
      <c r="V207" s="153" t="s">
        <v>2471</v>
      </c>
      <c r="W207" s="153" t="s">
        <v>2470</v>
      </c>
      <c r="X207" s="153" t="s">
        <v>271</v>
      </c>
      <c r="Y207" s="153" t="s">
        <v>6140</v>
      </c>
      <c r="Z207" s="153"/>
      <c r="AA207" s="153"/>
      <c r="AB207" s="153" t="s">
        <v>6038</v>
      </c>
      <c r="AC207" s="153" t="s">
        <v>2472</v>
      </c>
      <c r="AD207" s="172" t="s">
        <v>2473</v>
      </c>
      <c r="AE207" s="153"/>
      <c r="AF207" s="153"/>
      <c r="AG207" s="153"/>
    </row>
    <row r="208" ht="15.75" customHeight="1">
      <c r="A208" s="238">
        <v>2025.0</v>
      </c>
      <c r="B208" s="230">
        <v>207.0</v>
      </c>
      <c r="C208" s="153" t="s">
        <v>7885</v>
      </c>
      <c r="D208" s="153" t="s">
        <v>1459</v>
      </c>
      <c r="E208" s="153" t="s">
        <v>1460</v>
      </c>
      <c r="F208" s="153" t="s">
        <v>1461</v>
      </c>
      <c r="G208" s="153" t="s">
        <v>1377</v>
      </c>
      <c r="H208" s="153" t="s">
        <v>1462</v>
      </c>
      <c r="I208" s="192">
        <v>1992.0</v>
      </c>
      <c r="J208" s="230">
        <v>1990.0</v>
      </c>
      <c r="K208" s="230">
        <v>1994.0</v>
      </c>
      <c r="L208" s="153" t="s">
        <v>151</v>
      </c>
      <c r="M208" s="158" t="s">
        <v>149</v>
      </c>
      <c r="N208" s="158" t="s">
        <v>149</v>
      </c>
      <c r="O208" s="158" t="s">
        <v>149</v>
      </c>
      <c r="P208" s="153" t="s">
        <v>1381</v>
      </c>
      <c r="Q208" s="158" t="s">
        <v>6154</v>
      </c>
      <c r="R208" s="158" t="s">
        <v>206</v>
      </c>
      <c r="S208" s="158" t="s">
        <v>159</v>
      </c>
      <c r="T208" s="158" t="s">
        <v>149</v>
      </c>
      <c r="U208" s="158" t="s">
        <v>149</v>
      </c>
      <c r="V208" s="158" t="s">
        <v>149</v>
      </c>
      <c r="W208" s="153" t="s">
        <v>660</v>
      </c>
      <c r="X208" s="153" t="s">
        <v>6035</v>
      </c>
      <c r="Y208" s="153" t="s">
        <v>369</v>
      </c>
      <c r="Z208" s="153"/>
      <c r="AA208" s="153"/>
      <c r="AB208" s="158" t="s">
        <v>395</v>
      </c>
      <c r="AC208" s="153" t="s">
        <v>6060</v>
      </c>
      <c r="AD208" s="158" t="s">
        <v>6711</v>
      </c>
      <c r="AE208" s="153" t="s">
        <v>398</v>
      </c>
      <c r="AF208" s="153"/>
      <c r="AG208" s="153"/>
    </row>
    <row r="209" ht="15.75" customHeight="1">
      <c r="A209" s="238">
        <v>2025.0</v>
      </c>
      <c r="B209" s="230">
        <v>208.0</v>
      </c>
      <c r="C209" s="153" t="s">
        <v>7885</v>
      </c>
      <c r="D209" s="153" t="s">
        <v>1191</v>
      </c>
      <c r="E209" s="153" t="s">
        <v>1816</v>
      </c>
      <c r="F209" s="153" t="s">
        <v>1817</v>
      </c>
      <c r="G209" s="153" t="s">
        <v>1818</v>
      </c>
      <c r="H209" s="153"/>
      <c r="I209" s="230">
        <v>2017.0</v>
      </c>
      <c r="J209" s="230">
        <v>2017.0</v>
      </c>
      <c r="K209" s="230" t="s">
        <v>149</v>
      </c>
      <c r="L209" s="153" t="s">
        <v>151</v>
      </c>
      <c r="M209" s="153" t="s">
        <v>337</v>
      </c>
      <c r="N209" s="158" t="s">
        <v>337</v>
      </c>
      <c r="O209" s="153" t="s">
        <v>1819</v>
      </c>
      <c r="P209" s="153" t="s">
        <v>1820</v>
      </c>
      <c r="Q209" s="158" t="s">
        <v>160</v>
      </c>
      <c r="R209" s="158" t="s">
        <v>184</v>
      </c>
      <c r="S209" s="158" t="s">
        <v>159</v>
      </c>
      <c r="T209" s="158" t="s">
        <v>149</v>
      </c>
      <c r="U209" s="153" t="s">
        <v>6924</v>
      </c>
      <c r="V209" s="188" t="s">
        <v>1822</v>
      </c>
      <c r="W209" s="153" t="s">
        <v>1823</v>
      </c>
      <c r="X209" s="158" t="s">
        <v>184</v>
      </c>
      <c r="Y209" s="153"/>
      <c r="Z209" s="158" t="s">
        <v>1824</v>
      </c>
      <c r="AA209" s="153"/>
      <c r="AB209" s="158" t="s">
        <v>166</v>
      </c>
      <c r="AC209" s="153" t="s">
        <v>1825</v>
      </c>
      <c r="AD209" s="153" t="s">
        <v>1826</v>
      </c>
      <c r="AE209" s="153"/>
      <c r="AF209" s="153"/>
      <c r="AG209" s="153"/>
    </row>
    <row r="210" ht="15.75" customHeight="1">
      <c r="A210" s="238">
        <v>2025.0</v>
      </c>
      <c r="B210" s="230">
        <v>209.0</v>
      </c>
      <c r="C210" s="153" t="s">
        <v>7885</v>
      </c>
      <c r="D210" s="153" t="s">
        <v>1191</v>
      </c>
      <c r="E210" s="153" t="s">
        <v>6933</v>
      </c>
      <c r="F210" s="153" t="s">
        <v>2829</v>
      </c>
      <c r="G210" s="158" t="s">
        <v>149</v>
      </c>
      <c r="H210" s="153" t="s">
        <v>6935</v>
      </c>
      <c r="I210" s="230">
        <v>2018.0</v>
      </c>
      <c r="J210" s="230">
        <v>2014.0</v>
      </c>
      <c r="K210" s="230">
        <v>2018.0</v>
      </c>
      <c r="L210" s="153" t="s">
        <v>6062</v>
      </c>
      <c r="M210" s="153" t="s">
        <v>2830</v>
      </c>
      <c r="N210" s="158" t="s">
        <v>179</v>
      </c>
      <c r="O210" s="158" t="s">
        <v>2832</v>
      </c>
      <c r="P210" s="158" t="s">
        <v>2833</v>
      </c>
      <c r="Q210" s="158" t="s">
        <v>160</v>
      </c>
      <c r="R210" s="158" t="s">
        <v>6035</v>
      </c>
      <c r="S210" s="158" t="s">
        <v>149</v>
      </c>
      <c r="T210" s="158" t="s">
        <v>149</v>
      </c>
      <c r="U210" s="158" t="s">
        <v>149</v>
      </c>
      <c r="V210" s="158" t="s">
        <v>149</v>
      </c>
      <c r="W210" s="153" t="s">
        <v>1158</v>
      </c>
      <c r="X210" s="158" t="s">
        <v>6068</v>
      </c>
      <c r="Y210" s="153"/>
      <c r="Z210" s="153"/>
      <c r="AA210" s="153"/>
      <c r="AB210" s="158" t="s">
        <v>1159</v>
      </c>
      <c r="AC210" s="153" t="s">
        <v>1160</v>
      </c>
      <c r="AD210" s="165" t="s">
        <v>1161</v>
      </c>
      <c r="AE210" s="153" t="s">
        <v>2834</v>
      </c>
      <c r="AF210" s="153"/>
      <c r="AG210" s="153"/>
    </row>
    <row r="211" ht="15.75" customHeight="1">
      <c r="A211" s="238">
        <v>2025.0</v>
      </c>
      <c r="B211" s="230">
        <v>210.0</v>
      </c>
      <c r="C211" s="153" t="s">
        <v>7885</v>
      </c>
      <c r="D211" s="153" t="s">
        <v>1191</v>
      </c>
      <c r="E211" s="153" t="s">
        <v>1987</v>
      </c>
      <c r="F211" s="153" t="s">
        <v>1988</v>
      </c>
      <c r="G211" s="153" t="s">
        <v>384</v>
      </c>
      <c r="H211" s="153" t="s">
        <v>2872</v>
      </c>
      <c r="I211" s="230">
        <v>1984.0</v>
      </c>
      <c r="J211" s="230">
        <v>1985.0</v>
      </c>
      <c r="K211" s="230">
        <v>1987.0</v>
      </c>
      <c r="L211" s="153" t="s">
        <v>151</v>
      </c>
      <c r="M211" s="153" t="s">
        <v>469</v>
      </c>
      <c r="N211" s="158" t="s">
        <v>469</v>
      </c>
      <c r="O211" s="158" t="s">
        <v>149</v>
      </c>
      <c r="P211" s="153" t="s">
        <v>390</v>
      </c>
      <c r="Q211" s="158" t="s">
        <v>160</v>
      </c>
      <c r="R211" s="158" t="s">
        <v>6035</v>
      </c>
      <c r="S211" s="158" t="s">
        <v>159</v>
      </c>
      <c r="T211" s="158" t="s">
        <v>149</v>
      </c>
      <c r="U211" s="158" t="s">
        <v>149</v>
      </c>
      <c r="V211" s="153" t="s">
        <v>2870</v>
      </c>
      <c r="W211" s="153" t="s">
        <v>390</v>
      </c>
      <c r="X211" s="153" t="s">
        <v>6035</v>
      </c>
      <c r="Y211" s="153" t="s">
        <v>6055</v>
      </c>
      <c r="Z211" s="153"/>
      <c r="AA211" s="153"/>
      <c r="AB211" s="158" t="s">
        <v>395</v>
      </c>
      <c r="AC211" s="153" t="s">
        <v>6060</v>
      </c>
      <c r="AD211" s="153" t="s">
        <v>2873</v>
      </c>
      <c r="AE211" s="153" t="s">
        <v>398</v>
      </c>
      <c r="AF211" s="153"/>
      <c r="AG211" s="153" t="s">
        <v>6109</v>
      </c>
    </row>
    <row r="212" ht="15.75" customHeight="1">
      <c r="A212" s="238">
        <v>2025.0</v>
      </c>
      <c r="B212" s="230">
        <v>211.0</v>
      </c>
      <c r="C212" s="153" t="s">
        <v>7885</v>
      </c>
      <c r="D212" s="153" t="s">
        <v>1191</v>
      </c>
      <c r="E212" s="153" t="s">
        <v>1987</v>
      </c>
      <c r="F212" s="153" t="s">
        <v>1988</v>
      </c>
      <c r="G212" s="153" t="s">
        <v>1989</v>
      </c>
      <c r="H212" s="153"/>
      <c r="I212" s="192" t="s">
        <v>149</v>
      </c>
      <c r="J212" s="230">
        <v>1984.0</v>
      </c>
      <c r="K212" s="230">
        <v>1985.0</v>
      </c>
      <c r="L212" s="153" t="s">
        <v>151</v>
      </c>
      <c r="M212" s="158" t="s">
        <v>6942</v>
      </c>
      <c r="N212" s="158" t="s">
        <v>6076</v>
      </c>
      <c r="O212" s="153" t="s">
        <v>1991</v>
      </c>
      <c r="P212" s="158" t="s">
        <v>149</v>
      </c>
      <c r="Q212" s="158" t="s">
        <v>149</v>
      </c>
      <c r="R212" s="158" t="s">
        <v>149</v>
      </c>
      <c r="S212" s="158" t="s">
        <v>149</v>
      </c>
      <c r="T212" s="158" t="s">
        <v>149</v>
      </c>
      <c r="U212" s="158" t="s">
        <v>149</v>
      </c>
      <c r="V212" s="153" t="s">
        <v>1992</v>
      </c>
      <c r="W212" s="153" t="s">
        <v>1993</v>
      </c>
      <c r="X212" s="153" t="s">
        <v>6035</v>
      </c>
      <c r="Y212" s="153"/>
      <c r="Z212" s="153"/>
      <c r="AA212" s="153"/>
      <c r="AB212" s="153" t="s">
        <v>889</v>
      </c>
      <c r="AC212" s="153" t="s">
        <v>1994</v>
      </c>
      <c r="AD212" s="165" t="s">
        <v>1995</v>
      </c>
      <c r="AE212" s="153" t="s">
        <v>398</v>
      </c>
      <c r="AF212" s="153"/>
      <c r="AG212" s="153"/>
    </row>
    <row r="213" ht="15.75" customHeight="1">
      <c r="A213" s="238">
        <v>2025.0</v>
      </c>
      <c r="B213" s="230">
        <v>212.0</v>
      </c>
      <c r="C213" s="153" t="s">
        <v>7885</v>
      </c>
      <c r="D213" s="153" t="s">
        <v>1191</v>
      </c>
      <c r="E213" s="153" t="s">
        <v>1120</v>
      </c>
      <c r="F213" s="153" t="s">
        <v>1192</v>
      </c>
      <c r="G213" s="153" t="s">
        <v>1174</v>
      </c>
      <c r="H213" s="153"/>
      <c r="I213" s="192">
        <v>2013.0</v>
      </c>
      <c r="J213" s="230">
        <v>2012.0</v>
      </c>
      <c r="K213" s="230">
        <v>2013.0</v>
      </c>
      <c r="L213" s="153" t="s">
        <v>6062</v>
      </c>
      <c r="M213" s="153" t="s">
        <v>320</v>
      </c>
      <c r="N213" s="158" t="s">
        <v>179</v>
      </c>
      <c r="O213" s="153" t="s">
        <v>1193</v>
      </c>
      <c r="P213" s="153" t="s">
        <v>321</v>
      </c>
      <c r="Q213" s="158" t="s">
        <v>160</v>
      </c>
      <c r="R213" s="158" t="s">
        <v>6035</v>
      </c>
      <c r="S213" s="158" t="s">
        <v>204</v>
      </c>
      <c r="T213" s="158" t="s">
        <v>149</v>
      </c>
      <c r="U213" s="158" t="s">
        <v>149</v>
      </c>
      <c r="V213" s="153" t="s">
        <v>1194</v>
      </c>
      <c r="W213" s="153" t="s">
        <v>1158</v>
      </c>
      <c r="X213" s="158" t="s">
        <v>6068</v>
      </c>
      <c r="Y213" s="153"/>
      <c r="Z213" s="153"/>
      <c r="AA213" s="153" t="s">
        <v>1195</v>
      </c>
      <c r="AB213" s="158" t="s">
        <v>6069</v>
      </c>
      <c r="AC213" s="153" t="s">
        <v>1196</v>
      </c>
      <c r="AD213" s="153" t="s">
        <v>6070</v>
      </c>
      <c r="AE213" s="153"/>
      <c r="AF213" s="153"/>
      <c r="AG213" s="153"/>
    </row>
    <row r="214" ht="15.75" customHeight="1">
      <c r="A214" s="238">
        <v>2025.0</v>
      </c>
      <c r="B214" s="230">
        <v>213.0</v>
      </c>
      <c r="C214" s="153" t="s">
        <v>7885</v>
      </c>
      <c r="D214" s="153" t="s">
        <v>536</v>
      </c>
      <c r="E214" s="153" t="s">
        <v>6945</v>
      </c>
      <c r="F214" s="153" t="s">
        <v>538</v>
      </c>
      <c r="G214" s="153" t="s">
        <v>384</v>
      </c>
      <c r="H214" s="153" t="s">
        <v>6949</v>
      </c>
      <c r="I214" s="230">
        <v>1985.0</v>
      </c>
      <c r="J214" s="230">
        <v>1985.0</v>
      </c>
      <c r="K214" s="230">
        <v>1987.0</v>
      </c>
      <c r="L214" s="153" t="s">
        <v>151</v>
      </c>
      <c r="M214" s="153" t="s">
        <v>469</v>
      </c>
      <c r="N214" s="158" t="s">
        <v>469</v>
      </c>
      <c r="O214" s="158" t="s">
        <v>149</v>
      </c>
      <c r="P214" s="153" t="s">
        <v>390</v>
      </c>
      <c r="Q214" s="158" t="s">
        <v>160</v>
      </c>
      <c r="R214" s="158" t="s">
        <v>6035</v>
      </c>
      <c r="S214" s="158" t="s">
        <v>159</v>
      </c>
      <c r="T214" s="158" t="s">
        <v>149</v>
      </c>
      <c r="U214" s="158" t="s">
        <v>149</v>
      </c>
      <c r="V214" s="158" t="s">
        <v>149</v>
      </c>
      <c r="W214" s="153" t="s">
        <v>390</v>
      </c>
      <c r="X214" s="153" t="s">
        <v>6035</v>
      </c>
      <c r="Y214" s="153" t="s">
        <v>6055</v>
      </c>
      <c r="Z214" s="153"/>
      <c r="AA214" s="153"/>
      <c r="AB214" s="158" t="s">
        <v>395</v>
      </c>
      <c r="AC214" s="153" t="s">
        <v>6060</v>
      </c>
      <c r="AD214" s="158" t="s">
        <v>6711</v>
      </c>
      <c r="AE214" s="153" t="s">
        <v>398</v>
      </c>
      <c r="AF214" s="153"/>
      <c r="AG214" s="153"/>
    </row>
    <row r="215" ht="15.75" customHeight="1">
      <c r="A215" s="238">
        <v>2025.0</v>
      </c>
      <c r="B215" s="230">
        <v>214.0</v>
      </c>
      <c r="C215" s="153" t="s">
        <v>7885</v>
      </c>
      <c r="D215" s="153" t="s">
        <v>536</v>
      </c>
      <c r="E215" s="153" t="s">
        <v>6945</v>
      </c>
      <c r="F215" s="153" t="s">
        <v>538</v>
      </c>
      <c r="G215" s="153" t="s">
        <v>384</v>
      </c>
      <c r="H215" s="153" t="s">
        <v>6953</v>
      </c>
      <c r="I215" s="230">
        <v>1985.0</v>
      </c>
      <c r="J215" s="230">
        <v>1985.0</v>
      </c>
      <c r="K215" s="230">
        <v>1987.0</v>
      </c>
      <c r="L215" s="153" t="s">
        <v>151</v>
      </c>
      <c r="M215" s="153" t="s">
        <v>6054</v>
      </c>
      <c r="N215" s="158" t="s">
        <v>6054</v>
      </c>
      <c r="O215" s="158" t="s">
        <v>149</v>
      </c>
      <c r="P215" s="153" t="s">
        <v>390</v>
      </c>
      <c r="Q215" s="158" t="s">
        <v>160</v>
      </c>
      <c r="R215" s="158" t="s">
        <v>6035</v>
      </c>
      <c r="S215" s="158" t="s">
        <v>159</v>
      </c>
      <c r="T215" s="158" t="s">
        <v>149</v>
      </c>
      <c r="U215" s="158" t="s">
        <v>149</v>
      </c>
      <c r="V215" s="153" t="s">
        <v>391</v>
      </c>
      <c r="W215" s="153" t="s">
        <v>390</v>
      </c>
      <c r="X215" s="153" t="s">
        <v>6035</v>
      </c>
      <c r="Y215" s="153" t="s">
        <v>6055</v>
      </c>
      <c r="Z215" s="153"/>
      <c r="AA215" s="153"/>
      <c r="AB215" s="158" t="s">
        <v>395</v>
      </c>
      <c r="AC215" s="153" t="s">
        <v>6060</v>
      </c>
      <c r="AD215" s="158" t="s">
        <v>6711</v>
      </c>
      <c r="AE215" s="153" t="s">
        <v>398</v>
      </c>
      <c r="AF215" s="153"/>
      <c r="AG215" s="153"/>
    </row>
    <row r="216" ht="15.75" customHeight="1">
      <c r="A216" s="238">
        <v>2025.0</v>
      </c>
      <c r="B216" s="230">
        <v>215.0</v>
      </c>
      <c r="C216" s="153" t="s">
        <v>7885</v>
      </c>
      <c r="D216" s="153" t="s">
        <v>536</v>
      </c>
      <c r="E216" s="153" t="s">
        <v>6945</v>
      </c>
      <c r="F216" s="153" t="s">
        <v>538</v>
      </c>
      <c r="G216" s="153" t="s">
        <v>384</v>
      </c>
      <c r="H216" s="153" t="s">
        <v>6956</v>
      </c>
      <c r="I216" s="230">
        <v>1986.0</v>
      </c>
      <c r="J216" s="230">
        <v>1985.0</v>
      </c>
      <c r="K216" s="230">
        <v>1987.0</v>
      </c>
      <c r="L216" s="153" t="s">
        <v>151</v>
      </c>
      <c r="M216" s="153" t="s">
        <v>6054</v>
      </c>
      <c r="N216" s="158" t="s">
        <v>6054</v>
      </c>
      <c r="O216" s="158" t="s">
        <v>149</v>
      </c>
      <c r="P216" s="153" t="s">
        <v>390</v>
      </c>
      <c r="Q216" s="158" t="s">
        <v>160</v>
      </c>
      <c r="R216" s="158" t="s">
        <v>6035</v>
      </c>
      <c r="S216" s="158" t="s">
        <v>159</v>
      </c>
      <c r="T216" s="158" t="s">
        <v>149</v>
      </c>
      <c r="U216" s="158" t="s">
        <v>149</v>
      </c>
      <c r="V216" s="153" t="s">
        <v>414</v>
      </c>
      <c r="W216" s="153" t="s">
        <v>390</v>
      </c>
      <c r="X216" s="153" t="s">
        <v>6035</v>
      </c>
      <c r="Y216" s="153" t="s">
        <v>6055</v>
      </c>
      <c r="Z216" s="153"/>
      <c r="AA216" s="153"/>
      <c r="AB216" s="158" t="s">
        <v>395</v>
      </c>
      <c r="AC216" s="153" t="s">
        <v>6060</v>
      </c>
      <c r="AD216" s="158" t="s">
        <v>6711</v>
      </c>
      <c r="AE216" s="153" t="s">
        <v>398</v>
      </c>
      <c r="AF216" s="153"/>
      <c r="AG216" s="153"/>
    </row>
    <row r="217" ht="15.75" customHeight="1">
      <c r="A217" s="238">
        <v>2025.0</v>
      </c>
      <c r="B217" s="230">
        <v>216.0</v>
      </c>
      <c r="C217" s="153" t="s">
        <v>7885</v>
      </c>
      <c r="D217" s="153" t="s">
        <v>536</v>
      </c>
      <c r="E217" s="153" t="s">
        <v>6945</v>
      </c>
      <c r="F217" s="153" t="s">
        <v>538</v>
      </c>
      <c r="G217" s="153" t="s">
        <v>384</v>
      </c>
      <c r="H217" s="153" t="s">
        <v>6959</v>
      </c>
      <c r="I217" s="230">
        <v>1986.0</v>
      </c>
      <c r="J217" s="230">
        <v>1985.0</v>
      </c>
      <c r="K217" s="230">
        <v>1987.0</v>
      </c>
      <c r="L217" s="153" t="s">
        <v>151</v>
      </c>
      <c r="M217" s="153" t="s">
        <v>6054</v>
      </c>
      <c r="N217" s="158" t="s">
        <v>6054</v>
      </c>
      <c r="O217" s="158" t="s">
        <v>149</v>
      </c>
      <c r="P217" s="153" t="s">
        <v>390</v>
      </c>
      <c r="Q217" s="158" t="s">
        <v>160</v>
      </c>
      <c r="R217" s="158" t="s">
        <v>6035</v>
      </c>
      <c r="S217" s="158" t="s">
        <v>159</v>
      </c>
      <c r="T217" s="158" t="s">
        <v>149</v>
      </c>
      <c r="U217" s="158" t="s">
        <v>149</v>
      </c>
      <c r="V217" s="153" t="s">
        <v>548</v>
      </c>
      <c r="W217" s="153" t="s">
        <v>390</v>
      </c>
      <c r="X217" s="153" t="s">
        <v>6035</v>
      </c>
      <c r="Y217" s="153" t="s">
        <v>6055</v>
      </c>
      <c r="Z217" s="153"/>
      <c r="AA217" s="153"/>
      <c r="AB217" s="158" t="s">
        <v>395</v>
      </c>
      <c r="AC217" s="153" t="s">
        <v>6060</v>
      </c>
      <c r="AD217" s="158" t="s">
        <v>6711</v>
      </c>
      <c r="AE217" s="153" t="s">
        <v>398</v>
      </c>
      <c r="AF217" s="153"/>
      <c r="AG217" s="153"/>
    </row>
    <row r="218" ht="15.75" customHeight="1">
      <c r="A218" s="238">
        <v>2025.0</v>
      </c>
      <c r="B218" s="230">
        <v>217.0</v>
      </c>
      <c r="C218" s="153" t="s">
        <v>7885</v>
      </c>
      <c r="D218" s="153" t="s">
        <v>536</v>
      </c>
      <c r="E218" s="153" t="s">
        <v>6945</v>
      </c>
      <c r="F218" s="153" t="s">
        <v>538</v>
      </c>
      <c r="G218" s="153" t="s">
        <v>384</v>
      </c>
      <c r="H218" s="153" t="s">
        <v>6962</v>
      </c>
      <c r="I218" s="230">
        <v>1986.0</v>
      </c>
      <c r="J218" s="230">
        <v>1985.0</v>
      </c>
      <c r="K218" s="230">
        <v>1987.0</v>
      </c>
      <c r="L218" s="153" t="s">
        <v>151</v>
      </c>
      <c r="M218" s="153" t="s">
        <v>6054</v>
      </c>
      <c r="N218" s="158" t="s">
        <v>6054</v>
      </c>
      <c r="O218" s="158" t="s">
        <v>149</v>
      </c>
      <c r="P218" s="153" t="s">
        <v>390</v>
      </c>
      <c r="Q218" s="158" t="s">
        <v>160</v>
      </c>
      <c r="R218" s="158" t="s">
        <v>6035</v>
      </c>
      <c r="S218" s="158" t="s">
        <v>159</v>
      </c>
      <c r="T218" s="158" t="s">
        <v>149</v>
      </c>
      <c r="U218" s="158" t="s">
        <v>149</v>
      </c>
      <c r="V218" s="153" t="s">
        <v>391</v>
      </c>
      <c r="W218" s="153" t="s">
        <v>390</v>
      </c>
      <c r="X218" s="153" t="s">
        <v>6035</v>
      </c>
      <c r="Y218" s="153" t="s">
        <v>6055</v>
      </c>
      <c r="Z218" s="153"/>
      <c r="AA218" s="153"/>
      <c r="AB218" s="158" t="s">
        <v>395</v>
      </c>
      <c r="AC218" s="153" t="s">
        <v>6060</v>
      </c>
      <c r="AD218" s="158" t="s">
        <v>6711</v>
      </c>
      <c r="AE218" s="153" t="s">
        <v>398</v>
      </c>
      <c r="AF218" s="153"/>
      <c r="AG218" s="153"/>
    </row>
    <row r="219" ht="15.75" customHeight="1">
      <c r="A219" s="238">
        <v>2025.0</v>
      </c>
      <c r="B219" s="230">
        <v>218.0</v>
      </c>
      <c r="C219" s="153" t="s">
        <v>7885</v>
      </c>
      <c r="D219" s="153" t="s">
        <v>536</v>
      </c>
      <c r="E219" s="153" t="s">
        <v>6945</v>
      </c>
      <c r="F219" s="153" t="s">
        <v>538</v>
      </c>
      <c r="G219" s="153" t="s">
        <v>384</v>
      </c>
      <c r="H219" s="153" t="s">
        <v>6965</v>
      </c>
      <c r="I219" s="230">
        <v>1986.0</v>
      </c>
      <c r="J219" s="230">
        <v>1985.0</v>
      </c>
      <c r="K219" s="230">
        <v>1987.0</v>
      </c>
      <c r="L219" s="153" t="s">
        <v>151</v>
      </c>
      <c r="M219" s="153" t="s">
        <v>6054</v>
      </c>
      <c r="N219" s="158" t="s">
        <v>6054</v>
      </c>
      <c r="O219" s="158" t="s">
        <v>149</v>
      </c>
      <c r="P219" s="153" t="s">
        <v>390</v>
      </c>
      <c r="Q219" s="158" t="s">
        <v>160</v>
      </c>
      <c r="R219" s="158" t="s">
        <v>6035</v>
      </c>
      <c r="S219" s="158" t="s">
        <v>159</v>
      </c>
      <c r="T219" s="158" t="s">
        <v>149</v>
      </c>
      <c r="U219" s="158" t="s">
        <v>149</v>
      </c>
      <c r="V219" s="153" t="s">
        <v>548</v>
      </c>
      <c r="W219" s="153" t="s">
        <v>390</v>
      </c>
      <c r="X219" s="153" t="s">
        <v>6035</v>
      </c>
      <c r="Y219" s="153" t="s">
        <v>6055</v>
      </c>
      <c r="Z219" s="153"/>
      <c r="AA219" s="153"/>
      <c r="AB219" s="158" t="s">
        <v>395</v>
      </c>
      <c r="AC219" s="153" t="s">
        <v>6060</v>
      </c>
      <c r="AD219" s="158" t="s">
        <v>6711</v>
      </c>
      <c r="AE219" s="153" t="s">
        <v>398</v>
      </c>
      <c r="AF219" s="153"/>
      <c r="AG219" s="153"/>
    </row>
    <row r="220" ht="15.75" customHeight="1">
      <c r="A220" s="238">
        <v>2025.0</v>
      </c>
      <c r="B220" s="230">
        <v>219.0</v>
      </c>
      <c r="C220" s="153" t="s">
        <v>7885</v>
      </c>
      <c r="D220" s="153" t="s">
        <v>536</v>
      </c>
      <c r="E220" s="153" t="s">
        <v>554</v>
      </c>
      <c r="F220" s="153" t="s">
        <v>555</v>
      </c>
      <c r="G220" s="153" t="s">
        <v>384</v>
      </c>
      <c r="H220" s="153" t="s">
        <v>556</v>
      </c>
      <c r="I220" s="230">
        <v>1986.0</v>
      </c>
      <c r="J220" s="230">
        <v>1985.0</v>
      </c>
      <c r="K220" s="230">
        <v>1987.0</v>
      </c>
      <c r="L220" s="153" t="s">
        <v>151</v>
      </c>
      <c r="M220" s="153" t="s">
        <v>6054</v>
      </c>
      <c r="N220" s="158" t="s">
        <v>6054</v>
      </c>
      <c r="O220" s="158" t="s">
        <v>149</v>
      </c>
      <c r="P220" s="153" t="s">
        <v>390</v>
      </c>
      <c r="Q220" s="158" t="s">
        <v>160</v>
      </c>
      <c r="R220" s="158" t="s">
        <v>6035</v>
      </c>
      <c r="S220" s="158" t="s">
        <v>159</v>
      </c>
      <c r="T220" s="158" t="s">
        <v>149</v>
      </c>
      <c r="U220" s="158" t="s">
        <v>149</v>
      </c>
      <c r="V220" s="153" t="s">
        <v>548</v>
      </c>
      <c r="W220" s="153" t="s">
        <v>390</v>
      </c>
      <c r="X220" s="153" t="s">
        <v>6035</v>
      </c>
      <c r="Y220" s="153" t="s">
        <v>6055</v>
      </c>
      <c r="Z220" s="153"/>
      <c r="AA220" s="153"/>
      <c r="AB220" s="158" t="s">
        <v>395</v>
      </c>
      <c r="AC220" s="153" t="s">
        <v>6060</v>
      </c>
      <c r="AD220" s="158" t="s">
        <v>6711</v>
      </c>
      <c r="AE220" s="153" t="s">
        <v>398</v>
      </c>
      <c r="AF220" s="153"/>
      <c r="AG220" s="153"/>
    </row>
    <row r="221" ht="15.75" customHeight="1">
      <c r="A221" s="238">
        <v>2025.0</v>
      </c>
      <c r="B221" s="230">
        <v>220.0</v>
      </c>
      <c r="C221" s="153" t="s">
        <v>7897</v>
      </c>
      <c r="D221" s="153" t="s">
        <v>315</v>
      </c>
      <c r="E221" s="153" t="s">
        <v>3090</v>
      </c>
      <c r="F221" s="153" t="s">
        <v>3091</v>
      </c>
      <c r="G221" s="158" t="s">
        <v>149</v>
      </c>
      <c r="H221" s="153" t="s">
        <v>6972</v>
      </c>
      <c r="I221" s="230">
        <v>2017.0</v>
      </c>
      <c r="J221" s="192" t="s">
        <v>149</v>
      </c>
      <c r="K221" s="192" t="s">
        <v>149</v>
      </c>
      <c r="L221" s="153" t="s">
        <v>151</v>
      </c>
      <c r="M221" s="158" t="s">
        <v>149</v>
      </c>
      <c r="N221" s="158" t="s">
        <v>149</v>
      </c>
      <c r="O221" s="158" t="s">
        <v>149</v>
      </c>
      <c r="P221" s="153" t="s">
        <v>158</v>
      </c>
      <c r="Q221" s="158" t="s">
        <v>160</v>
      </c>
      <c r="R221" s="158" t="s">
        <v>6035</v>
      </c>
      <c r="S221" s="158" t="s">
        <v>159</v>
      </c>
      <c r="T221" s="158" t="s">
        <v>149</v>
      </c>
      <c r="U221" s="158" t="s">
        <v>149</v>
      </c>
      <c r="V221" s="158" t="s">
        <v>149</v>
      </c>
      <c r="W221" s="153" t="s">
        <v>158</v>
      </c>
      <c r="X221" s="153" t="s">
        <v>6035</v>
      </c>
      <c r="Y221" s="153"/>
      <c r="Z221" s="153"/>
      <c r="AA221" s="153"/>
      <c r="AB221" s="158" t="s">
        <v>166</v>
      </c>
      <c r="AC221" s="153" t="s">
        <v>3092</v>
      </c>
      <c r="AD221" s="172" t="s">
        <v>3093</v>
      </c>
      <c r="AE221" s="153"/>
      <c r="AF221" s="153"/>
      <c r="AG221" s="153"/>
    </row>
    <row r="222" ht="15.75" customHeight="1">
      <c r="A222" s="238">
        <v>2025.0</v>
      </c>
      <c r="B222" s="230">
        <v>221.0</v>
      </c>
      <c r="C222" s="153" t="s">
        <v>7897</v>
      </c>
      <c r="D222" s="153" t="s">
        <v>315</v>
      </c>
      <c r="E222" s="153" t="s">
        <v>747</v>
      </c>
      <c r="F222" s="153" t="s">
        <v>748</v>
      </c>
      <c r="G222" s="153" t="s">
        <v>6742</v>
      </c>
      <c r="H222" s="153"/>
      <c r="I222" s="230">
        <v>2013.0</v>
      </c>
      <c r="J222" s="192" t="s">
        <v>149</v>
      </c>
      <c r="K222" s="192" t="s">
        <v>149</v>
      </c>
      <c r="L222" s="153" t="s">
        <v>151</v>
      </c>
      <c r="M222" s="158" t="s">
        <v>790</v>
      </c>
      <c r="N222" s="158" t="s">
        <v>790</v>
      </c>
      <c r="O222" s="153" t="s">
        <v>7898</v>
      </c>
      <c r="P222" s="158" t="s">
        <v>1612</v>
      </c>
      <c r="Q222" s="158" t="s">
        <v>160</v>
      </c>
      <c r="R222" s="158" t="s">
        <v>6035</v>
      </c>
      <c r="S222" s="158" t="s">
        <v>159</v>
      </c>
      <c r="T222" s="158" t="s">
        <v>149</v>
      </c>
      <c r="U222" s="158" t="s">
        <v>149</v>
      </c>
      <c r="V222" s="158" t="s">
        <v>149</v>
      </c>
      <c r="W222" s="158" t="s">
        <v>1613</v>
      </c>
      <c r="X222" s="158" t="s">
        <v>662</v>
      </c>
      <c r="Y222" s="153" t="s">
        <v>1594</v>
      </c>
      <c r="Z222" s="153"/>
      <c r="AA222" s="153"/>
      <c r="AB222" s="153" t="s">
        <v>6976</v>
      </c>
      <c r="AC222" s="153" t="s">
        <v>1608</v>
      </c>
      <c r="AD222" s="165" t="s">
        <v>1614</v>
      </c>
      <c r="AE222" s="153"/>
      <c r="AF222" s="153"/>
      <c r="AG222" s="153"/>
    </row>
    <row r="223" ht="15.75" customHeight="1">
      <c r="A223" s="238">
        <v>2025.0</v>
      </c>
      <c r="B223" s="230">
        <v>222.0</v>
      </c>
      <c r="C223" s="153" t="s">
        <v>7897</v>
      </c>
      <c r="D223" s="153" t="s">
        <v>315</v>
      </c>
      <c r="E223" s="153" t="s">
        <v>747</v>
      </c>
      <c r="F223" s="153" t="s">
        <v>748</v>
      </c>
      <c r="G223" s="158" t="s">
        <v>149</v>
      </c>
      <c r="H223" s="153" t="s">
        <v>6972</v>
      </c>
      <c r="I223" s="230">
        <v>2017.0</v>
      </c>
      <c r="J223" s="158" t="s">
        <v>149</v>
      </c>
      <c r="K223" s="192" t="s">
        <v>149</v>
      </c>
      <c r="L223" s="153" t="s">
        <v>151</v>
      </c>
      <c r="M223" s="158" t="s">
        <v>149</v>
      </c>
      <c r="N223" s="158" t="s">
        <v>149</v>
      </c>
      <c r="O223" s="158" t="s">
        <v>149</v>
      </c>
      <c r="P223" s="153" t="s">
        <v>158</v>
      </c>
      <c r="Q223" s="158" t="s">
        <v>160</v>
      </c>
      <c r="R223" s="158" t="s">
        <v>6035</v>
      </c>
      <c r="S223" s="158" t="s">
        <v>159</v>
      </c>
      <c r="T223" s="158" t="s">
        <v>149</v>
      </c>
      <c r="U223" s="158" t="s">
        <v>149</v>
      </c>
      <c r="V223" s="158" t="s">
        <v>149</v>
      </c>
      <c r="W223" s="153" t="s">
        <v>158</v>
      </c>
      <c r="X223" s="153" t="s">
        <v>6035</v>
      </c>
      <c r="Y223" s="153"/>
      <c r="Z223" s="153"/>
      <c r="AA223" s="153"/>
      <c r="AB223" s="158" t="s">
        <v>166</v>
      </c>
      <c r="AC223" s="153" t="s">
        <v>3092</v>
      </c>
      <c r="AD223" s="165" t="s">
        <v>3093</v>
      </c>
      <c r="AE223" s="153"/>
      <c r="AF223" s="153"/>
      <c r="AG223" s="153"/>
    </row>
    <row r="224" ht="15.75" customHeight="1">
      <c r="A224" s="238">
        <v>2025.0</v>
      </c>
      <c r="B224" s="230">
        <v>223.0</v>
      </c>
      <c r="C224" s="153" t="s">
        <v>7897</v>
      </c>
      <c r="D224" s="153" t="s">
        <v>315</v>
      </c>
      <c r="E224" s="153" t="s">
        <v>747</v>
      </c>
      <c r="F224" s="153" t="s">
        <v>748</v>
      </c>
      <c r="G224" s="153" t="s">
        <v>749</v>
      </c>
      <c r="H224" s="153"/>
      <c r="I224" s="230">
        <v>2022.0</v>
      </c>
      <c r="J224" s="230">
        <v>2022.0</v>
      </c>
      <c r="K224" s="230">
        <v>2025.0</v>
      </c>
      <c r="L224" s="153" t="s">
        <v>151</v>
      </c>
      <c r="M224" s="158" t="s">
        <v>149</v>
      </c>
      <c r="N224" s="158" t="s">
        <v>149</v>
      </c>
      <c r="O224" s="153" t="s">
        <v>752</v>
      </c>
      <c r="P224" s="153" t="s">
        <v>369</v>
      </c>
      <c r="Q224" s="158" t="s">
        <v>160</v>
      </c>
      <c r="R224" s="158" t="s">
        <v>6035</v>
      </c>
      <c r="S224" s="158" t="s">
        <v>159</v>
      </c>
      <c r="T224" s="158" t="s">
        <v>149</v>
      </c>
      <c r="U224" s="158" t="s">
        <v>149</v>
      </c>
      <c r="V224" s="158" t="s">
        <v>149</v>
      </c>
      <c r="W224" s="153" t="s">
        <v>369</v>
      </c>
      <c r="X224" s="153" t="s">
        <v>6035</v>
      </c>
      <c r="Y224" s="153"/>
      <c r="Z224" s="153"/>
      <c r="AA224" s="153"/>
      <c r="AB224" s="153" t="s">
        <v>213</v>
      </c>
      <c r="AC224" s="153" t="s">
        <v>213</v>
      </c>
      <c r="AD224" s="153"/>
      <c r="AE224" s="153" t="s">
        <v>753</v>
      </c>
      <c r="AF224" s="153" t="s">
        <v>754</v>
      </c>
      <c r="AG224" s="153"/>
    </row>
    <row r="225" ht="15.75" customHeight="1">
      <c r="A225" s="238">
        <v>2025.0</v>
      </c>
      <c r="B225" s="230">
        <v>224.0</v>
      </c>
      <c r="C225" s="153" t="s">
        <v>7897</v>
      </c>
      <c r="D225" s="153" t="s">
        <v>315</v>
      </c>
      <c r="E225" s="153" t="s">
        <v>3096</v>
      </c>
      <c r="F225" s="153" t="s">
        <v>3097</v>
      </c>
      <c r="G225" s="158" t="s">
        <v>149</v>
      </c>
      <c r="H225" s="153" t="s">
        <v>6985</v>
      </c>
      <c r="I225" s="158" t="s">
        <v>149</v>
      </c>
      <c r="J225" s="158" t="s">
        <v>149</v>
      </c>
      <c r="K225" s="192" t="s">
        <v>149</v>
      </c>
      <c r="L225" s="153" t="s">
        <v>151</v>
      </c>
      <c r="M225" s="153" t="s">
        <v>6054</v>
      </c>
      <c r="N225" s="158" t="s">
        <v>6054</v>
      </c>
      <c r="O225" s="158" t="s">
        <v>149</v>
      </c>
      <c r="P225" s="158" t="s">
        <v>149</v>
      </c>
      <c r="Q225" s="158" t="s">
        <v>149</v>
      </c>
      <c r="R225" s="158" t="s">
        <v>149</v>
      </c>
      <c r="S225" s="158" t="s">
        <v>149</v>
      </c>
      <c r="T225" s="158" t="s">
        <v>149</v>
      </c>
      <c r="U225" s="158" t="s">
        <v>149</v>
      </c>
      <c r="V225" s="158" t="s">
        <v>149</v>
      </c>
      <c r="W225" s="158" t="s">
        <v>149</v>
      </c>
      <c r="X225" s="158" t="s">
        <v>149</v>
      </c>
      <c r="Y225" s="153"/>
      <c r="Z225" s="153"/>
      <c r="AA225" s="153"/>
      <c r="AB225" s="158" t="s">
        <v>1159</v>
      </c>
      <c r="AC225" s="153" t="s">
        <v>3098</v>
      </c>
      <c r="AD225" s="172" t="s">
        <v>3099</v>
      </c>
      <c r="AE225" s="153"/>
      <c r="AF225" s="153"/>
      <c r="AG225" s="153"/>
    </row>
    <row r="226" ht="15.75" customHeight="1">
      <c r="A226" s="238">
        <v>2025.0</v>
      </c>
      <c r="B226" s="230">
        <v>225.0</v>
      </c>
      <c r="C226" s="153" t="s">
        <v>7897</v>
      </c>
      <c r="D226" s="153" t="s">
        <v>315</v>
      </c>
      <c r="E226" s="153" t="s">
        <v>316</v>
      </c>
      <c r="F226" s="153" t="s">
        <v>317</v>
      </c>
      <c r="G226" s="158" t="s">
        <v>149</v>
      </c>
      <c r="H226" s="153" t="s">
        <v>6990</v>
      </c>
      <c r="I226" s="230">
        <v>2003.0</v>
      </c>
      <c r="J226" s="158" t="s">
        <v>149</v>
      </c>
      <c r="K226" s="192" t="s">
        <v>149</v>
      </c>
      <c r="L226" s="153" t="s">
        <v>151</v>
      </c>
      <c r="M226" s="153" t="s">
        <v>790</v>
      </c>
      <c r="N226" s="153" t="s">
        <v>790</v>
      </c>
      <c r="O226" s="158" t="s">
        <v>149</v>
      </c>
      <c r="P226" s="158" t="s">
        <v>149</v>
      </c>
      <c r="Q226" s="158" t="s">
        <v>149</v>
      </c>
      <c r="R226" s="158" t="s">
        <v>149</v>
      </c>
      <c r="S226" s="158" t="s">
        <v>149</v>
      </c>
      <c r="T226" s="158" t="s">
        <v>149</v>
      </c>
      <c r="U226" s="158" t="s">
        <v>149</v>
      </c>
      <c r="V226" s="158" t="s">
        <v>149</v>
      </c>
      <c r="W226" s="158" t="s">
        <v>149</v>
      </c>
      <c r="X226" s="158" t="s">
        <v>149</v>
      </c>
      <c r="Y226" s="153"/>
      <c r="Z226" s="153"/>
      <c r="AA226" s="153"/>
      <c r="AB226" s="158" t="s">
        <v>1159</v>
      </c>
      <c r="AC226" s="153" t="s">
        <v>3098</v>
      </c>
      <c r="AD226" s="165" t="s">
        <v>3099</v>
      </c>
      <c r="AE226" s="153"/>
      <c r="AF226" s="153"/>
      <c r="AG226" s="153"/>
    </row>
    <row r="227" ht="15.75" customHeight="1">
      <c r="A227" s="238">
        <v>2025.0</v>
      </c>
      <c r="B227" s="230">
        <v>226.0</v>
      </c>
      <c r="C227" s="153" t="s">
        <v>7897</v>
      </c>
      <c r="D227" s="153" t="s">
        <v>315</v>
      </c>
      <c r="E227" s="153" t="s">
        <v>316</v>
      </c>
      <c r="F227" s="153" t="s">
        <v>317</v>
      </c>
      <c r="G227" s="153" t="s">
        <v>1080</v>
      </c>
      <c r="H227" s="153"/>
      <c r="I227" s="230">
        <v>2022.0</v>
      </c>
      <c r="J227" s="192" t="s">
        <v>149</v>
      </c>
      <c r="K227" s="192" t="s">
        <v>149</v>
      </c>
      <c r="L227" s="153" t="s">
        <v>6062</v>
      </c>
      <c r="M227" s="153" t="s">
        <v>730</v>
      </c>
      <c r="N227" s="153" t="s">
        <v>179</v>
      </c>
      <c r="O227" s="153" t="s">
        <v>6978</v>
      </c>
      <c r="P227" s="153" t="s">
        <v>1084</v>
      </c>
      <c r="Q227" s="158" t="s">
        <v>160</v>
      </c>
      <c r="R227" s="158" t="s">
        <v>184</v>
      </c>
      <c r="S227" s="158" t="s">
        <v>159</v>
      </c>
      <c r="T227" s="158" t="s">
        <v>149</v>
      </c>
      <c r="U227" s="158" t="s">
        <v>149</v>
      </c>
      <c r="V227" s="158" t="s">
        <v>149</v>
      </c>
      <c r="W227" s="153" t="s">
        <v>739</v>
      </c>
      <c r="X227" s="158" t="s">
        <v>306</v>
      </c>
      <c r="Y227" s="153" t="s">
        <v>369</v>
      </c>
      <c r="Z227" s="153" t="s">
        <v>1085</v>
      </c>
      <c r="AA227" s="153"/>
      <c r="AB227" s="158" t="s">
        <v>166</v>
      </c>
      <c r="AC227" s="153" t="s">
        <v>1086</v>
      </c>
      <c r="AD227" s="165" t="s">
        <v>6979</v>
      </c>
      <c r="AE227" s="153"/>
      <c r="AF227" s="153"/>
      <c r="AG227" s="153"/>
    </row>
    <row r="228" ht="15.75" customHeight="1">
      <c r="A228" s="238">
        <v>2025.0</v>
      </c>
      <c r="B228" s="230">
        <v>227.0</v>
      </c>
      <c r="C228" s="153" t="s">
        <v>7897</v>
      </c>
      <c r="D228" s="153" t="s">
        <v>315</v>
      </c>
      <c r="E228" s="153" t="s">
        <v>316</v>
      </c>
      <c r="F228" s="153" t="s">
        <v>317</v>
      </c>
      <c r="G228" s="153" t="s">
        <v>736</v>
      </c>
      <c r="H228" s="153" t="s">
        <v>6997</v>
      </c>
      <c r="I228" s="230">
        <v>2010.0</v>
      </c>
      <c r="J228" s="192" t="s">
        <v>149</v>
      </c>
      <c r="K228" s="192" t="s">
        <v>149</v>
      </c>
      <c r="L228" s="153" t="s">
        <v>6062</v>
      </c>
      <c r="M228" s="153" t="s">
        <v>730</v>
      </c>
      <c r="N228" s="153" t="s">
        <v>179</v>
      </c>
      <c r="O228" s="158" t="s">
        <v>149</v>
      </c>
      <c r="P228" s="153" t="s">
        <v>738</v>
      </c>
      <c r="Q228" s="158" t="s">
        <v>160</v>
      </c>
      <c r="R228" s="158" t="s">
        <v>184</v>
      </c>
      <c r="S228" s="158" t="s">
        <v>159</v>
      </c>
      <c r="T228" s="158" t="s">
        <v>149</v>
      </c>
      <c r="U228" s="158" t="s">
        <v>149</v>
      </c>
      <c r="V228" s="158" t="s">
        <v>149</v>
      </c>
      <c r="W228" s="153" t="s">
        <v>739</v>
      </c>
      <c r="X228" s="158" t="s">
        <v>306</v>
      </c>
      <c r="Y228" s="153" t="s">
        <v>369</v>
      </c>
      <c r="Z228" s="153" t="s">
        <v>738</v>
      </c>
      <c r="AA228" s="153"/>
      <c r="AB228" s="158" t="s">
        <v>166</v>
      </c>
      <c r="AC228" s="153" t="s">
        <v>6998</v>
      </c>
      <c r="AD228" s="165" t="s">
        <v>741</v>
      </c>
      <c r="AE228" s="153"/>
      <c r="AF228" s="153"/>
      <c r="AG228" s="153"/>
    </row>
    <row r="229" ht="15.75" customHeight="1">
      <c r="A229" s="238">
        <v>2025.0</v>
      </c>
      <c r="B229" s="230">
        <v>228.0</v>
      </c>
      <c r="C229" s="153" t="s">
        <v>7897</v>
      </c>
      <c r="D229" s="153" t="s">
        <v>315</v>
      </c>
      <c r="E229" s="153" t="s">
        <v>316</v>
      </c>
      <c r="F229" s="153" t="s">
        <v>317</v>
      </c>
      <c r="G229" s="153" t="s">
        <v>736</v>
      </c>
      <c r="H229" s="153" t="s">
        <v>7001</v>
      </c>
      <c r="I229" s="230">
        <v>2011.0</v>
      </c>
      <c r="J229" s="192" t="s">
        <v>149</v>
      </c>
      <c r="K229" s="192" t="s">
        <v>149</v>
      </c>
      <c r="L229" s="153" t="s">
        <v>151</v>
      </c>
      <c r="M229" s="158" t="s">
        <v>149</v>
      </c>
      <c r="N229" s="158" t="s">
        <v>149</v>
      </c>
      <c r="O229" s="158" t="s">
        <v>149</v>
      </c>
      <c r="P229" s="153" t="s">
        <v>745</v>
      </c>
      <c r="Q229" s="158" t="s">
        <v>160</v>
      </c>
      <c r="R229" s="158" t="s">
        <v>184</v>
      </c>
      <c r="S229" s="158" t="s">
        <v>159</v>
      </c>
      <c r="T229" s="158" t="s">
        <v>149</v>
      </c>
      <c r="U229" s="158" t="s">
        <v>149</v>
      </c>
      <c r="V229" s="158" t="s">
        <v>149</v>
      </c>
      <c r="W229" s="153" t="s">
        <v>739</v>
      </c>
      <c r="X229" s="158" t="s">
        <v>306</v>
      </c>
      <c r="Y229" s="153" t="s">
        <v>369</v>
      </c>
      <c r="Z229" s="153"/>
      <c r="AA229" s="153"/>
      <c r="AB229" s="158" t="s">
        <v>166</v>
      </c>
      <c r="AC229" s="153" t="s">
        <v>6998</v>
      </c>
      <c r="AD229" s="165" t="s">
        <v>741</v>
      </c>
      <c r="AE229" s="153"/>
      <c r="AF229" s="153"/>
      <c r="AG229" s="153"/>
    </row>
    <row r="230" ht="15.75" customHeight="1">
      <c r="A230" s="238">
        <v>2025.0</v>
      </c>
      <c r="B230" s="230">
        <v>229.0</v>
      </c>
      <c r="C230" s="153" t="s">
        <v>7897</v>
      </c>
      <c r="D230" s="153" t="s">
        <v>315</v>
      </c>
      <c r="E230" s="153" t="s">
        <v>316</v>
      </c>
      <c r="F230" s="153" t="s">
        <v>317</v>
      </c>
      <c r="G230" s="158" t="s">
        <v>149</v>
      </c>
      <c r="H230" s="153" t="s">
        <v>6987</v>
      </c>
      <c r="I230" s="192" t="s">
        <v>149</v>
      </c>
      <c r="J230" s="192" t="s">
        <v>149</v>
      </c>
      <c r="K230" s="192" t="s">
        <v>149</v>
      </c>
      <c r="L230" s="153" t="s">
        <v>151</v>
      </c>
      <c r="M230" s="158" t="s">
        <v>337</v>
      </c>
      <c r="N230" s="153" t="s">
        <v>337</v>
      </c>
      <c r="O230" s="158" t="s">
        <v>149</v>
      </c>
      <c r="P230" s="153" t="s">
        <v>3103</v>
      </c>
      <c r="Q230" s="158" t="s">
        <v>160</v>
      </c>
      <c r="R230" s="158" t="s">
        <v>271</v>
      </c>
      <c r="S230" s="158" t="s">
        <v>159</v>
      </c>
      <c r="T230" s="158" t="s">
        <v>149</v>
      </c>
      <c r="U230" s="158" t="s">
        <v>149</v>
      </c>
      <c r="V230" s="153" t="s">
        <v>3104</v>
      </c>
      <c r="W230" s="153" t="s">
        <v>3103</v>
      </c>
      <c r="X230" s="153" t="s">
        <v>271</v>
      </c>
      <c r="Y230" s="153"/>
      <c r="Z230" s="153"/>
      <c r="AA230" s="153"/>
      <c r="AB230" s="153" t="s">
        <v>7003</v>
      </c>
      <c r="AC230" s="153" t="s">
        <v>3105</v>
      </c>
      <c r="AD230" s="165" t="s">
        <v>3106</v>
      </c>
      <c r="AE230" s="153"/>
      <c r="AF230" s="153"/>
      <c r="AG230" s="153"/>
    </row>
    <row r="231" ht="15.75" customHeight="1">
      <c r="A231" s="238">
        <v>2025.0</v>
      </c>
      <c r="B231" s="230">
        <v>230.0</v>
      </c>
      <c r="C231" s="153" t="s">
        <v>7897</v>
      </c>
      <c r="D231" s="153" t="s">
        <v>315</v>
      </c>
      <c r="E231" s="153" t="s">
        <v>316</v>
      </c>
      <c r="F231" s="153" t="s">
        <v>317</v>
      </c>
      <c r="G231" s="153" t="s">
        <v>318</v>
      </c>
      <c r="H231" s="153"/>
      <c r="I231" s="192" t="s">
        <v>149</v>
      </c>
      <c r="J231" s="192" t="s">
        <v>149</v>
      </c>
      <c r="K231" s="192" t="s">
        <v>149</v>
      </c>
      <c r="L231" s="153" t="s">
        <v>6062</v>
      </c>
      <c r="M231" s="158" t="s">
        <v>149</v>
      </c>
      <c r="N231" s="158" t="s">
        <v>149</v>
      </c>
      <c r="O231" s="158" t="s">
        <v>149</v>
      </c>
      <c r="P231" s="153" t="s">
        <v>321</v>
      </c>
      <c r="Q231" s="158" t="s">
        <v>160</v>
      </c>
      <c r="R231" s="158" t="s">
        <v>6035</v>
      </c>
      <c r="S231" s="158" t="s">
        <v>159</v>
      </c>
      <c r="T231" s="158" t="s">
        <v>149</v>
      </c>
      <c r="U231" s="158" t="s">
        <v>149</v>
      </c>
      <c r="V231" s="158" t="s">
        <v>149</v>
      </c>
      <c r="W231" s="153" t="s">
        <v>324</v>
      </c>
      <c r="X231" s="158" t="s">
        <v>271</v>
      </c>
      <c r="Y231" s="153" t="s">
        <v>325</v>
      </c>
      <c r="Z231" s="153" t="s">
        <v>326</v>
      </c>
      <c r="AA231" s="153"/>
      <c r="AB231" s="158" t="s">
        <v>166</v>
      </c>
      <c r="AC231" s="153" t="s">
        <v>327</v>
      </c>
      <c r="AD231" s="165" t="s">
        <v>328</v>
      </c>
      <c r="AE231" s="153"/>
      <c r="AF231" s="153"/>
      <c r="AG231" s="153"/>
    </row>
    <row r="232" ht="15.75" customHeight="1">
      <c r="A232" s="238">
        <v>2025.0</v>
      </c>
      <c r="B232" s="230">
        <v>231.0</v>
      </c>
      <c r="C232" s="153" t="s">
        <v>7897</v>
      </c>
      <c r="D232" s="153" t="s">
        <v>315</v>
      </c>
      <c r="E232" s="153" t="s">
        <v>316</v>
      </c>
      <c r="F232" s="153" t="s">
        <v>317</v>
      </c>
      <c r="G232" s="153" t="s">
        <v>850</v>
      </c>
      <c r="H232" s="153"/>
      <c r="I232" s="230">
        <v>2012.0</v>
      </c>
      <c r="J232" s="192" t="s">
        <v>149</v>
      </c>
      <c r="K232" s="192" t="s">
        <v>149</v>
      </c>
      <c r="L232" s="153" t="s">
        <v>151</v>
      </c>
      <c r="M232" s="158" t="s">
        <v>851</v>
      </c>
      <c r="N232" s="153" t="s">
        <v>851</v>
      </c>
      <c r="O232" s="158" t="s">
        <v>149</v>
      </c>
      <c r="P232" s="153" t="s">
        <v>852</v>
      </c>
      <c r="Q232" s="158" t="s">
        <v>160</v>
      </c>
      <c r="R232" s="158" t="s">
        <v>306</v>
      </c>
      <c r="S232" s="158" t="s">
        <v>159</v>
      </c>
      <c r="T232" s="158" t="s">
        <v>149</v>
      </c>
      <c r="U232" s="158" t="s">
        <v>149</v>
      </c>
      <c r="V232" s="188" t="s">
        <v>853</v>
      </c>
      <c r="W232" s="153" t="s">
        <v>326</v>
      </c>
      <c r="X232" s="158" t="s">
        <v>271</v>
      </c>
      <c r="Y232" s="153"/>
      <c r="Z232" s="153" t="s">
        <v>854</v>
      </c>
      <c r="AA232" s="153"/>
      <c r="AB232" s="158" t="s">
        <v>166</v>
      </c>
      <c r="AC232" s="153" t="s">
        <v>855</v>
      </c>
      <c r="AD232" s="153" t="s">
        <v>856</v>
      </c>
      <c r="AE232" s="153"/>
      <c r="AF232" s="153"/>
      <c r="AG232" s="153"/>
    </row>
    <row r="233" ht="15.75" customHeight="1">
      <c r="A233" s="238">
        <v>2025.0</v>
      </c>
      <c r="B233" s="230">
        <v>232.0</v>
      </c>
      <c r="C233" s="153" t="s">
        <v>7897</v>
      </c>
      <c r="D233" s="153" t="s">
        <v>315</v>
      </c>
      <c r="E233" s="153" t="s">
        <v>316</v>
      </c>
      <c r="F233" s="153" t="s">
        <v>317</v>
      </c>
      <c r="G233" s="153" t="s">
        <v>1174</v>
      </c>
      <c r="H233" s="153"/>
      <c r="I233" s="192" t="s">
        <v>149</v>
      </c>
      <c r="J233" s="230">
        <v>2012.0</v>
      </c>
      <c r="K233" s="230">
        <v>2013.0</v>
      </c>
      <c r="L233" s="153" t="s">
        <v>6062</v>
      </c>
      <c r="M233" s="153" t="s">
        <v>320</v>
      </c>
      <c r="N233" s="158" t="s">
        <v>179</v>
      </c>
      <c r="O233" s="158" t="s">
        <v>149</v>
      </c>
      <c r="P233" s="153" t="s">
        <v>321</v>
      </c>
      <c r="Q233" s="158" t="s">
        <v>160</v>
      </c>
      <c r="R233" s="158" t="s">
        <v>6035</v>
      </c>
      <c r="S233" s="158" t="s">
        <v>159</v>
      </c>
      <c r="T233" s="158" t="s">
        <v>149</v>
      </c>
      <c r="U233" s="158" t="s">
        <v>149</v>
      </c>
      <c r="V233" s="153" t="s">
        <v>1267</v>
      </c>
      <c r="W233" s="153" t="s">
        <v>885</v>
      </c>
      <c r="X233" s="158" t="s">
        <v>6068</v>
      </c>
      <c r="Y233" s="153"/>
      <c r="Z233" s="153" t="s">
        <v>1204</v>
      </c>
      <c r="AA233" s="153"/>
      <c r="AB233" s="158" t="s">
        <v>6069</v>
      </c>
      <c r="AC233" s="153" t="s">
        <v>1268</v>
      </c>
      <c r="AD233" s="153" t="s">
        <v>6070</v>
      </c>
      <c r="AE233" s="153"/>
      <c r="AF233" s="153"/>
      <c r="AG233" s="153"/>
    </row>
    <row r="234" ht="15.75" customHeight="1">
      <c r="A234" s="238">
        <v>2025.0</v>
      </c>
      <c r="B234" s="230">
        <v>233.0</v>
      </c>
      <c r="C234" s="153" t="s">
        <v>7897</v>
      </c>
      <c r="D234" s="153" t="s">
        <v>315</v>
      </c>
      <c r="E234" s="153" t="s">
        <v>3108</v>
      </c>
      <c r="F234" s="153" t="s">
        <v>3109</v>
      </c>
      <c r="G234" s="158" t="s">
        <v>149</v>
      </c>
      <c r="H234" s="153" t="s">
        <v>6972</v>
      </c>
      <c r="I234" s="230">
        <v>2017.0</v>
      </c>
      <c r="J234" s="158" t="s">
        <v>149</v>
      </c>
      <c r="K234" s="158" t="s">
        <v>149</v>
      </c>
      <c r="L234" s="153" t="s">
        <v>151</v>
      </c>
      <c r="M234" s="158" t="s">
        <v>149</v>
      </c>
      <c r="N234" s="158" t="s">
        <v>149</v>
      </c>
      <c r="O234" s="158" t="s">
        <v>149</v>
      </c>
      <c r="P234" s="153" t="s">
        <v>158</v>
      </c>
      <c r="Q234" s="158" t="s">
        <v>160</v>
      </c>
      <c r="R234" s="158" t="s">
        <v>6035</v>
      </c>
      <c r="S234" s="158" t="s">
        <v>159</v>
      </c>
      <c r="T234" s="158" t="s">
        <v>149</v>
      </c>
      <c r="U234" s="158" t="s">
        <v>149</v>
      </c>
      <c r="V234" s="158" t="s">
        <v>149</v>
      </c>
      <c r="W234" s="153" t="s">
        <v>158</v>
      </c>
      <c r="X234" s="153" t="s">
        <v>6035</v>
      </c>
      <c r="Y234" s="153"/>
      <c r="Z234" s="153"/>
      <c r="AA234" s="153"/>
      <c r="AB234" s="158" t="s">
        <v>166</v>
      </c>
      <c r="AC234" s="153" t="s">
        <v>3092</v>
      </c>
      <c r="AD234" s="172" t="s">
        <v>3093</v>
      </c>
      <c r="AE234" s="153"/>
      <c r="AF234" s="153"/>
      <c r="AG234" s="153"/>
    </row>
    <row r="235" ht="15.75" customHeight="1">
      <c r="A235" s="238">
        <v>2025.0</v>
      </c>
      <c r="B235" s="230">
        <v>234.0</v>
      </c>
      <c r="C235" s="153" t="s">
        <v>7897</v>
      </c>
      <c r="D235" s="153" t="s">
        <v>315</v>
      </c>
      <c r="E235" s="153" t="s">
        <v>3111</v>
      </c>
      <c r="F235" s="153" t="s">
        <v>3112</v>
      </c>
      <c r="G235" s="158" t="s">
        <v>149</v>
      </c>
      <c r="H235" s="153" t="s">
        <v>7015</v>
      </c>
      <c r="I235" s="158" t="s">
        <v>149</v>
      </c>
      <c r="J235" s="158" t="s">
        <v>149</v>
      </c>
      <c r="K235" s="158" t="s">
        <v>149</v>
      </c>
      <c r="L235" s="153" t="s">
        <v>151</v>
      </c>
      <c r="M235" s="153" t="s">
        <v>3113</v>
      </c>
      <c r="N235" s="158" t="s">
        <v>149</v>
      </c>
      <c r="O235" s="158" t="s">
        <v>149</v>
      </c>
      <c r="P235" s="158" t="s">
        <v>149</v>
      </c>
      <c r="Q235" s="158" t="s">
        <v>149</v>
      </c>
      <c r="R235" s="158" t="s">
        <v>149</v>
      </c>
      <c r="S235" s="158" t="s">
        <v>149</v>
      </c>
      <c r="T235" s="158" t="s">
        <v>149</v>
      </c>
      <c r="U235" s="158" t="s">
        <v>149</v>
      </c>
      <c r="V235" s="158" t="s">
        <v>149</v>
      </c>
      <c r="W235" s="158" t="s">
        <v>149</v>
      </c>
      <c r="X235" s="158" t="s">
        <v>149</v>
      </c>
      <c r="Y235" s="153"/>
      <c r="Z235" s="153"/>
      <c r="AA235" s="153"/>
      <c r="AB235" s="158" t="s">
        <v>1159</v>
      </c>
      <c r="AC235" s="153" t="s">
        <v>3098</v>
      </c>
      <c r="AD235" s="172" t="s">
        <v>3099</v>
      </c>
      <c r="AE235" s="153"/>
      <c r="AF235" s="153"/>
      <c r="AG235" s="153"/>
    </row>
    <row r="236" ht="15.75" customHeight="1">
      <c r="A236" s="238">
        <v>2025.0</v>
      </c>
      <c r="B236" s="230">
        <v>235.0</v>
      </c>
      <c r="C236" s="153" t="s">
        <v>7897</v>
      </c>
      <c r="D236" s="153" t="s">
        <v>315</v>
      </c>
      <c r="E236" s="153" t="s">
        <v>3115</v>
      </c>
      <c r="F236" s="153" t="s">
        <v>3116</v>
      </c>
      <c r="G236" s="158" t="s">
        <v>149</v>
      </c>
      <c r="H236" s="153" t="s">
        <v>7019</v>
      </c>
      <c r="I236" s="230">
        <v>2017.0</v>
      </c>
      <c r="J236" s="158" t="s">
        <v>149</v>
      </c>
      <c r="K236" s="158" t="s">
        <v>149</v>
      </c>
      <c r="L236" s="153" t="s">
        <v>151</v>
      </c>
      <c r="M236" s="158" t="s">
        <v>149</v>
      </c>
      <c r="N236" s="158" t="s">
        <v>149</v>
      </c>
      <c r="O236" s="158" t="s">
        <v>149</v>
      </c>
      <c r="P236" s="153" t="s">
        <v>158</v>
      </c>
      <c r="Q236" s="158" t="s">
        <v>160</v>
      </c>
      <c r="R236" s="158" t="s">
        <v>6035</v>
      </c>
      <c r="S236" s="158" t="s">
        <v>159</v>
      </c>
      <c r="T236" s="158" t="s">
        <v>149</v>
      </c>
      <c r="U236" s="158" t="s">
        <v>149</v>
      </c>
      <c r="V236" s="158" t="s">
        <v>149</v>
      </c>
      <c r="W236" s="153" t="s">
        <v>158</v>
      </c>
      <c r="X236" s="153" t="s">
        <v>6035</v>
      </c>
      <c r="Y236" s="153"/>
      <c r="Z236" s="153"/>
      <c r="AA236" s="153"/>
      <c r="AB236" s="158" t="s">
        <v>166</v>
      </c>
      <c r="AC236" s="153" t="s">
        <v>3092</v>
      </c>
      <c r="AD236" s="172" t="s">
        <v>3093</v>
      </c>
      <c r="AE236" s="153"/>
      <c r="AF236" s="153"/>
      <c r="AG236" s="153"/>
    </row>
    <row r="237" ht="15.75" customHeight="1">
      <c r="A237" s="238">
        <v>2025.0</v>
      </c>
      <c r="B237" s="230">
        <v>236.0</v>
      </c>
      <c r="C237" s="153" t="s">
        <v>7897</v>
      </c>
      <c r="D237" s="153" t="s">
        <v>315</v>
      </c>
      <c r="E237" s="153" t="s">
        <v>1199</v>
      </c>
      <c r="F237" s="153" t="s">
        <v>1200</v>
      </c>
      <c r="G237" s="158" t="s">
        <v>149</v>
      </c>
      <c r="H237" s="153" t="s">
        <v>6990</v>
      </c>
      <c r="I237" s="230">
        <v>2003.0</v>
      </c>
      <c r="J237" s="158" t="s">
        <v>149</v>
      </c>
      <c r="K237" s="158" t="s">
        <v>149</v>
      </c>
      <c r="L237" s="153" t="s">
        <v>151</v>
      </c>
      <c r="M237" s="158" t="s">
        <v>3119</v>
      </c>
      <c r="N237" s="158" t="s">
        <v>149</v>
      </c>
      <c r="O237" s="158" t="s">
        <v>149</v>
      </c>
      <c r="P237" s="158" t="s">
        <v>149</v>
      </c>
      <c r="Q237" s="158" t="s">
        <v>149</v>
      </c>
      <c r="R237" s="158" t="s">
        <v>149</v>
      </c>
      <c r="S237" s="158" t="s">
        <v>149</v>
      </c>
      <c r="T237" s="158" t="s">
        <v>149</v>
      </c>
      <c r="U237" s="158" t="s">
        <v>149</v>
      </c>
      <c r="V237" s="153" t="s">
        <v>3120</v>
      </c>
      <c r="W237" s="158" t="s">
        <v>149</v>
      </c>
      <c r="X237" s="158" t="s">
        <v>149</v>
      </c>
      <c r="Y237" s="153"/>
      <c r="Z237" s="153"/>
      <c r="AA237" s="153"/>
      <c r="AB237" s="158" t="s">
        <v>1159</v>
      </c>
      <c r="AC237" s="153" t="s">
        <v>3098</v>
      </c>
      <c r="AD237" s="165" t="s">
        <v>3099</v>
      </c>
      <c r="AE237" s="153"/>
      <c r="AF237" s="153"/>
      <c r="AG237" s="153"/>
    </row>
    <row r="238" ht="15.75" customHeight="1">
      <c r="A238" s="238">
        <v>2025.0</v>
      </c>
      <c r="B238" s="230">
        <v>237.0</v>
      </c>
      <c r="C238" s="153" t="s">
        <v>7897</v>
      </c>
      <c r="D238" s="153" t="s">
        <v>315</v>
      </c>
      <c r="E238" s="153" t="s">
        <v>1199</v>
      </c>
      <c r="F238" s="153" t="s">
        <v>1200</v>
      </c>
      <c r="G238" s="153" t="s">
        <v>2237</v>
      </c>
      <c r="H238" s="153"/>
      <c r="I238" s="192" t="s">
        <v>149</v>
      </c>
      <c r="J238" s="192" t="s">
        <v>149</v>
      </c>
      <c r="K238" s="192" t="s">
        <v>149</v>
      </c>
      <c r="L238" s="153" t="s">
        <v>6624</v>
      </c>
      <c r="M238" s="153" t="s">
        <v>179</v>
      </c>
      <c r="N238" s="153" t="s">
        <v>179</v>
      </c>
      <c r="O238" s="153" t="s">
        <v>2238</v>
      </c>
      <c r="P238" s="158" t="s">
        <v>149</v>
      </c>
      <c r="Q238" s="158" t="s">
        <v>149</v>
      </c>
      <c r="R238" s="158" t="s">
        <v>149</v>
      </c>
      <c r="S238" s="158" t="s">
        <v>149</v>
      </c>
      <c r="T238" s="158" t="s">
        <v>149</v>
      </c>
      <c r="U238" s="153" t="s">
        <v>2239</v>
      </c>
      <c r="V238" s="153" t="s">
        <v>2240</v>
      </c>
      <c r="W238" s="158" t="s">
        <v>369</v>
      </c>
      <c r="X238" s="153" t="s">
        <v>6035</v>
      </c>
      <c r="Y238" s="158" t="s">
        <v>390</v>
      </c>
      <c r="Z238" s="153"/>
      <c r="AA238" s="153"/>
      <c r="AB238" s="158" t="s">
        <v>1159</v>
      </c>
      <c r="AC238" s="153" t="s">
        <v>2241</v>
      </c>
      <c r="AD238" s="153" t="s">
        <v>7005</v>
      </c>
      <c r="AE238" s="153"/>
      <c r="AF238" s="153"/>
      <c r="AG238" s="153"/>
    </row>
    <row r="239" ht="15.75" customHeight="1">
      <c r="A239" s="238">
        <v>2025.0</v>
      </c>
      <c r="B239" s="230">
        <v>238.0</v>
      </c>
      <c r="C239" s="153" t="s">
        <v>7897</v>
      </c>
      <c r="D239" s="153" t="s">
        <v>315</v>
      </c>
      <c r="E239" s="153" t="s">
        <v>1199</v>
      </c>
      <c r="F239" s="153" t="s">
        <v>1200</v>
      </c>
      <c r="G239" s="153" t="s">
        <v>1174</v>
      </c>
      <c r="H239" s="153"/>
      <c r="I239" s="192">
        <v>2013.0</v>
      </c>
      <c r="J239" s="230">
        <v>2012.0</v>
      </c>
      <c r="K239" s="230">
        <v>2013.0</v>
      </c>
      <c r="L239" s="153" t="s">
        <v>6062</v>
      </c>
      <c r="M239" s="153" t="s">
        <v>1201</v>
      </c>
      <c r="N239" s="158" t="s">
        <v>179</v>
      </c>
      <c r="O239" s="153" t="s">
        <v>1202</v>
      </c>
      <c r="P239" s="153" t="s">
        <v>321</v>
      </c>
      <c r="Q239" s="158" t="s">
        <v>160</v>
      </c>
      <c r="R239" s="158" t="s">
        <v>6035</v>
      </c>
      <c r="S239" s="158" t="s">
        <v>204</v>
      </c>
      <c r="T239" s="158" t="s">
        <v>149</v>
      </c>
      <c r="U239" s="158" t="s">
        <v>149</v>
      </c>
      <c r="V239" s="153" t="s">
        <v>1203</v>
      </c>
      <c r="W239" s="153" t="s">
        <v>885</v>
      </c>
      <c r="X239" s="158" t="s">
        <v>6068</v>
      </c>
      <c r="Y239" s="153" t="s">
        <v>1204</v>
      </c>
      <c r="Z239" s="153"/>
      <c r="AA239" s="153"/>
      <c r="AB239" s="158" t="s">
        <v>6069</v>
      </c>
      <c r="AC239" s="153" t="s">
        <v>1205</v>
      </c>
      <c r="AD239" s="153" t="s">
        <v>6070</v>
      </c>
      <c r="AE239" s="153"/>
      <c r="AF239" s="153"/>
      <c r="AG239" s="153"/>
    </row>
    <row r="240" ht="15.75" customHeight="1">
      <c r="A240" s="238">
        <v>2025.0</v>
      </c>
      <c r="B240" s="230">
        <v>239.0</v>
      </c>
      <c r="C240" s="153" t="s">
        <v>7897</v>
      </c>
      <c r="D240" s="153" t="s">
        <v>858</v>
      </c>
      <c r="E240" s="153" t="s">
        <v>1296</v>
      </c>
      <c r="F240" s="153" t="s">
        <v>1297</v>
      </c>
      <c r="G240" s="153" t="s">
        <v>1174</v>
      </c>
      <c r="H240" s="153"/>
      <c r="I240" s="192">
        <v>2013.0</v>
      </c>
      <c r="J240" s="230">
        <v>2012.0</v>
      </c>
      <c r="K240" s="230">
        <v>2013.0</v>
      </c>
      <c r="L240" s="153" t="s">
        <v>6062</v>
      </c>
      <c r="M240" s="153" t="s">
        <v>1201</v>
      </c>
      <c r="N240" s="158" t="s">
        <v>179</v>
      </c>
      <c r="O240" s="158" t="s">
        <v>149</v>
      </c>
      <c r="P240" s="153" t="s">
        <v>321</v>
      </c>
      <c r="Q240" s="158" t="s">
        <v>160</v>
      </c>
      <c r="R240" s="158" t="s">
        <v>6035</v>
      </c>
      <c r="S240" s="158" t="s">
        <v>204</v>
      </c>
      <c r="T240" s="158" t="s">
        <v>149</v>
      </c>
      <c r="U240" s="158" t="s">
        <v>149</v>
      </c>
      <c r="V240" s="153" t="s">
        <v>1298</v>
      </c>
      <c r="W240" s="153" t="s">
        <v>885</v>
      </c>
      <c r="X240" s="158" t="s">
        <v>6068</v>
      </c>
      <c r="Y240" s="153" t="s">
        <v>1299</v>
      </c>
      <c r="Z240" s="153"/>
      <c r="AA240" s="153"/>
      <c r="AB240" s="158" t="s">
        <v>6069</v>
      </c>
      <c r="AC240" s="153" t="s">
        <v>1300</v>
      </c>
      <c r="AD240" s="153" t="s">
        <v>7029</v>
      </c>
      <c r="AE240" s="153"/>
      <c r="AF240" s="153"/>
      <c r="AG240" s="153"/>
    </row>
    <row r="241" ht="15.75" customHeight="1">
      <c r="A241" s="238">
        <v>2025.0</v>
      </c>
      <c r="B241" s="230">
        <v>240.0</v>
      </c>
      <c r="C241" s="153" t="s">
        <v>7897</v>
      </c>
      <c r="D241" s="153" t="s">
        <v>858</v>
      </c>
      <c r="E241" s="153" t="s">
        <v>1296</v>
      </c>
      <c r="F241" s="153" t="s">
        <v>1297</v>
      </c>
      <c r="G241" s="153" t="s">
        <v>6587</v>
      </c>
      <c r="H241" s="153"/>
      <c r="I241" s="230">
        <v>2016.0</v>
      </c>
      <c r="J241" s="192" t="s">
        <v>149</v>
      </c>
      <c r="K241" s="192" t="s">
        <v>149</v>
      </c>
      <c r="L241" s="158" t="s">
        <v>149</v>
      </c>
      <c r="M241" s="158" t="s">
        <v>149</v>
      </c>
      <c r="N241" s="158" t="s">
        <v>149</v>
      </c>
      <c r="O241" s="153" t="s">
        <v>2147</v>
      </c>
      <c r="P241" s="158" t="s">
        <v>341</v>
      </c>
      <c r="Q241" s="158" t="s">
        <v>160</v>
      </c>
      <c r="R241" s="158" t="s">
        <v>6035</v>
      </c>
      <c r="S241" s="158" t="s">
        <v>159</v>
      </c>
      <c r="T241" s="158" t="s">
        <v>149</v>
      </c>
      <c r="U241" s="158" t="s">
        <v>149</v>
      </c>
      <c r="V241" s="158" t="s">
        <v>149</v>
      </c>
      <c r="W241" s="153" t="s">
        <v>341</v>
      </c>
      <c r="X241" s="153" t="s">
        <v>6035</v>
      </c>
      <c r="Y241" s="153"/>
      <c r="Z241" s="153"/>
      <c r="AA241" s="153"/>
      <c r="AB241" s="153" t="s">
        <v>6038</v>
      </c>
      <c r="AC241" s="153" t="s">
        <v>2148</v>
      </c>
      <c r="AD241" s="165" t="s">
        <v>2149</v>
      </c>
      <c r="AE241" s="239"/>
      <c r="AF241" s="153"/>
      <c r="AG241" s="153"/>
    </row>
    <row r="242" ht="15.75" customHeight="1">
      <c r="A242" s="238">
        <v>2025.0</v>
      </c>
      <c r="B242" s="230">
        <v>241.0</v>
      </c>
      <c r="C242" s="153" t="s">
        <v>7897</v>
      </c>
      <c r="D242" s="153" t="s">
        <v>858</v>
      </c>
      <c r="E242" s="153" t="s">
        <v>3122</v>
      </c>
      <c r="F242" s="153" t="s">
        <v>3123</v>
      </c>
      <c r="G242" s="158" t="s">
        <v>149</v>
      </c>
      <c r="H242" s="153"/>
      <c r="I242" s="230">
        <v>2015.0</v>
      </c>
      <c r="J242" s="192" t="s">
        <v>149</v>
      </c>
      <c r="K242" s="192" t="s">
        <v>149</v>
      </c>
      <c r="L242" s="153" t="s">
        <v>151</v>
      </c>
      <c r="M242" s="153" t="s">
        <v>7036</v>
      </c>
      <c r="N242" s="158" t="s">
        <v>790</v>
      </c>
      <c r="O242" s="158" t="s">
        <v>149</v>
      </c>
      <c r="P242" s="153" t="s">
        <v>3124</v>
      </c>
      <c r="Q242" s="158" t="s">
        <v>160</v>
      </c>
      <c r="R242" s="158" t="s">
        <v>6035</v>
      </c>
      <c r="S242" s="158" t="s">
        <v>159</v>
      </c>
      <c r="T242" s="158" t="s">
        <v>149</v>
      </c>
      <c r="U242" s="158" t="s">
        <v>149</v>
      </c>
      <c r="V242" s="158" t="s">
        <v>149</v>
      </c>
      <c r="W242" s="153" t="s">
        <v>3124</v>
      </c>
      <c r="X242" s="153" t="s">
        <v>6035</v>
      </c>
      <c r="Y242" s="153" t="s">
        <v>7037</v>
      </c>
      <c r="Z242" s="153"/>
      <c r="AA242" s="153"/>
      <c r="AB242" s="153" t="s">
        <v>6038</v>
      </c>
      <c r="AC242" s="153" t="s">
        <v>3127</v>
      </c>
      <c r="AD242" s="177" t="s">
        <v>3128</v>
      </c>
      <c r="AE242" s="239"/>
      <c r="AF242" s="153"/>
      <c r="AG242" s="153"/>
    </row>
    <row r="243" ht="15.75" customHeight="1">
      <c r="A243" s="238">
        <v>2025.0</v>
      </c>
      <c r="B243" s="230">
        <v>242.0</v>
      </c>
      <c r="C243" s="153" t="s">
        <v>7897</v>
      </c>
      <c r="D243" s="153" t="s">
        <v>858</v>
      </c>
      <c r="E243" s="153" t="s">
        <v>2660</v>
      </c>
      <c r="F243" s="153" t="s">
        <v>2661</v>
      </c>
      <c r="G243" s="158" t="s">
        <v>149</v>
      </c>
      <c r="H243" s="153" t="s">
        <v>2662</v>
      </c>
      <c r="I243" s="230">
        <v>2022.0</v>
      </c>
      <c r="J243" s="192" t="s">
        <v>149</v>
      </c>
      <c r="K243" s="192" t="s">
        <v>149</v>
      </c>
      <c r="L243" s="153" t="s">
        <v>151</v>
      </c>
      <c r="M243" s="153" t="s">
        <v>7040</v>
      </c>
      <c r="N243" s="158" t="s">
        <v>337</v>
      </c>
      <c r="O243" s="153" t="s">
        <v>2663</v>
      </c>
      <c r="P243" s="153" t="s">
        <v>2664</v>
      </c>
      <c r="Q243" s="158" t="s">
        <v>160</v>
      </c>
      <c r="R243" s="158" t="s">
        <v>184</v>
      </c>
      <c r="S243" s="158" t="s">
        <v>159</v>
      </c>
      <c r="T243" s="158" t="s">
        <v>149</v>
      </c>
      <c r="U243" s="158" t="s">
        <v>149</v>
      </c>
      <c r="V243" s="158" t="s">
        <v>149</v>
      </c>
      <c r="W243" s="153" t="s">
        <v>2664</v>
      </c>
      <c r="X243" s="158" t="s">
        <v>184</v>
      </c>
      <c r="Y243" s="153"/>
      <c r="Z243" s="153"/>
      <c r="AA243" s="153"/>
      <c r="AB243" s="158" t="s">
        <v>166</v>
      </c>
      <c r="AC243" s="153" t="s">
        <v>2665</v>
      </c>
      <c r="AD243" s="172" t="s">
        <v>2666</v>
      </c>
      <c r="AE243" s="239"/>
      <c r="AF243" s="153"/>
      <c r="AG243" s="153"/>
    </row>
    <row r="244" ht="15.75" customHeight="1">
      <c r="A244" s="238">
        <v>2025.0</v>
      </c>
      <c r="B244" s="230">
        <v>243.0</v>
      </c>
      <c r="C244" s="153" t="s">
        <v>7897</v>
      </c>
      <c r="D244" s="153" t="s">
        <v>858</v>
      </c>
      <c r="E244" s="153" t="s">
        <v>859</v>
      </c>
      <c r="F244" s="153" t="s">
        <v>860</v>
      </c>
      <c r="G244" s="153" t="s">
        <v>861</v>
      </c>
      <c r="H244" s="153"/>
      <c r="I244" s="230">
        <v>1994.0</v>
      </c>
      <c r="J244" s="192" t="s">
        <v>149</v>
      </c>
      <c r="K244" s="192" t="s">
        <v>149</v>
      </c>
      <c r="L244" s="153" t="s">
        <v>151</v>
      </c>
      <c r="M244" s="153" t="s">
        <v>3393</v>
      </c>
      <c r="N244" s="158" t="s">
        <v>3393</v>
      </c>
      <c r="O244" s="153" t="s">
        <v>866</v>
      </c>
      <c r="P244" s="158" t="s">
        <v>149</v>
      </c>
      <c r="Q244" s="158" t="s">
        <v>149</v>
      </c>
      <c r="R244" s="158" t="s">
        <v>149</v>
      </c>
      <c r="S244" s="158" t="s">
        <v>149</v>
      </c>
      <c r="T244" s="158" t="s">
        <v>149</v>
      </c>
      <c r="U244" s="158" t="s">
        <v>149</v>
      </c>
      <c r="V244" s="153" t="s">
        <v>867</v>
      </c>
      <c r="W244" s="153" t="s">
        <v>868</v>
      </c>
      <c r="X244" s="158" t="s">
        <v>869</v>
      </c>
      <c r="Y244" s="153"/>
      <c r="Z244" s="153"/>
      <c r="AA244" s="153"/>
      <c r="AB244" s="158" t="s">
        <v>395</v>
      </c>
      <c r="AC244" s="153" t="s">
        <v>6060</v>
      </c>
      <c r="AD244" s="158" t="s">
        <v>6711</v>
      </c>
      <c r="AE244" s="153" t="s">
        <v>398</v>
      </c>
      <c r="AF244" s="153"/>
      <c r="AG244" s="153"/>
    </row>
    <row r="245" ht="15.75" customHeight="1">
      <c r="A245" s="238">
        <v>2025.0</v>
      </c>
      <c r="B245" s="230">
        <v>244.0</v>
      </c>
      <c r="C245" s="153" t="s">
        <v>7897</v>
      </c>
      <c r="D245" s="153" t="s">
        <v>1364</v>
      </c>
      <c r="E245" s="153" t="s">
        <v>3917</v>
      </c>
      <c r="F245" s="153" t="s">
        <v>3131</v>
      </c>
      <c r="G245" s="158" t="s">
        <v>149</v>
      </c>
      <c r="H245" s="153" t="s">
        <v>7017</v>
      </c>
      <c r="I245" s="192" t="s">
        <v>149</v>
      </c>
      <c r="J245" s="192" t="s">
        <v>149</v>
      </c>
      <c r="K245" s="192" t="s">
        <v>149</v>
      </c>
      <c r="L245" s="153" t="s">
        <v>151</v>
      </c>
      <c r="M245" s="153" t="s">
        <v>790</v>
      </c>
      <c r="N245" s="158" t="s">
        <v>790</v>
      </c>
      <c r="O245" s="158" t="s">
        <v>149</v>
      </c>
      <c r="P245" s="153" t="s">
        <v>390</v>
      </c>
      <c r="Q245" s="158" t="s">
        <v>160</v>
      </c>
      <c r="R245" s="158" t="s">
        <v>6035</v>
      </c>
      <c r="S245" s="158" t="s">
        <v>159</v>
      </c>
      <c r="T245" s="158" t="s">
        <v>149</v>
      </c>
      <c r="U245" s="158" t="s">
        <v>149</v>
      </c>
      <c r="V245" s="153" t="s">
        <v>3133</v>
      </c>
      <c r="W245" s="153" t="s">
        <v>228</v>
      </c>
      <c r="X245" s="153" t="s">
        <v>6035</v>
      </c>
      <c r="Y245" s="153"/>
      <c r="Z245" s="153"/>
      <c r="AA245" s="153"/>
      <c r="AB245" s="158" t="s">
        <v>6027</v>
      </c>
      <c r="AC245" s="153" t="s">
        <v>3134</v>
      </c>
      <c r="AD245" s="165" t="s">
        <v>3135</v>
      </c>
      <c r="AE245" s="153"/>
      <c r="AF245" s="153"/>
      <c r="AG245" s="153"/>
    </row>
    <row r="246" ht="15.75" customHeight="1">
      <c r="A246" s="238">
        <v>2025.0</v>
      </c>
      <c r="B246" s="230">
        <v>245.0</v>
      </c>
      <c r="C246" s="153" t="s">
        <v>7897</v>
      </c>
      <c r="D246" s="153" t="s">
        <v>1364</v>
      </c>
      <c r="E246" s="153" t="s">
        <v>7048</v>
      </c>
      <c r="F246" s="153" t="s">
        <v>1366</v>
      </c>
      <c r="G246" s="158" t="s">
        <v>1367</v>
      </c>
      <c r="H246" s="153" t="s">
        <v>7049</v>
      </c>
      <c r="I246" s="158" t="s">
        <v>149</v>
      </c>
      <c r="J246" s="192">
        <v>1999.0</v>
      </c>
      <c r="K246" s="192">
        <v>2005.0</v>
      </c>
      <c r="L246" s="153" t="s">
        <v>151</v>
      </c>
      <c r="M246" s="158" t="s">
        <v>911</v>
      </c>
      <c r="N246" s="158" t="s">
        <v>152</v>
      </c>
      <c r="O246" s="153" t="s">
        <v>1369</v>
      </c>
      <c r="P246" s="158" t="s">
        <v>1370</v>
      </c>
      <c r="Q246" s="158" t="s">
        <v>6154</v>
      </c>
      <c r="R246" s="158" t="s">
        <v>206</v>
      </c>
      <c r="S246" s="158" t="s">
        <v>159</v>
      </c>
      <c r="T246" s="158" t="s">
        <v>149</v>
      </c>
      <c r="U246" s="158" t="s">
        <v>149</v>
      </c>
      <c r="V246" s="153" t="s">
        <v>1371</v>
      </c>
      <c r="W246" s="158" t="s">
        <v>390</v>
      </c>
      <c r="X246" s="158" t="s">
        <v>6035</v>
      </c>
      <c r="Y246" s="153"/>
      <c r="Z246" s="153"/>
      <c r="AA246" s="153"/>
      <c r="AB246" s="158" t="s">
        <v>6214</v>
      </c>
      <c r="AC246" s="153" t="s">
        <v>1372</v>
      </c>
      <c r="AD246" s="172" t="s">
        <v>1373</v>
      </c>
      <c r="AE246" s="153"/>
      <c r="AF246" s="153"/>
      <c r="AG246" s="153"/>
    </row>
    <row r="247" ht="15.75" customHeight="1">
      <c r="A247" s="238">
        <v>2025.0</v>
      </c>
      <c r="B247" s="230">
        <v>246.0</v>
      </c>
      <c r="C247" s="153" t="s">
        <v>7897</v>
      </c>
      <c r="D247" s="153" t="s">
        <v>558</v>
      </c>
      <c r="E247" s="153" t="s">
        <v>1604</v>
      </c>
      <c r="F247" s="153" t="s">
        <v>1605</v>
      </c>
      <c r="G247" s="153" t="s">
        <v>6742</v>
      </c>
      <c r="H247" s="153"/>
      <c r="I247" s="230">
        <v>2004.0</v>
      </c>
      <c r="J247" s="192" t="s">
        <v>149</v>
      </c>
      <c r="K247" s="192" t="s">
        <v>149</v>
      </c>
      <c r="L247" s="153" t="s">
        <v>151</v>
      </c>
      <c r="M247" s="158" t="s">
        <v>149</v>
      </c>
      <c r="N247" s="158" t="s">
        <v>149</v>
      </c>
      <c r="O247" s="153" t="s">
        <v>793</v>
      </c>
      <c r="P247" s="153" t="s">
        <v>1594</v>
      </c>
      <c r="Q247" s="158" t="s">
        <v>160</v>
      </c>
      <c r="R247" s="158" t="s">
        <v>6035</v>
      </c>
      <c r="S247" s="158" t="s">
        <v>159</v>
      </c>
      <c r="T247" s="158" t="s">
        <v>149</v>
      </c>
      <c r="U247" s="158" t="s">
        <v>149</v>
      </c>
      <c r="V247" s="153" t="s">
        <v>1606</v>
      </c>
      <c r="W247" s="158" t="s">
        <v>369</v>
      </c>
      <c r="X247" s="153" t="s">
        <v>6035</v>
      </c>
      <c r="Y247" s="153"/>
      <c r="Z247" s="153"/>
      <c r="AA247" s="153" t="s">
        <v>1607</v>
      </c>
      <c r="AB247" s="153" t="s">
        <v>6976</v>
      </c>
      <c r="AC247" s="153" t="s">
        <v>1608</v>
      </c>
      <c r="AD247" s="165" t="s">
        <v>1609</v>
      </c>
      <c r="AE247" s="153"/>
      <c r="AF247" s="153"/>
      <c r="AG247" s="153"/>
    </row>
    <row r="248" ht="15.75" customHeight="1">
      <c r="A248" s="238">
        <v>2025.0</v>
      </c>
      <c r="B248" s="230">
        <v>247.0</v>
      </c>
      <c r="C248" s="153" t="s">
        <v>7897</v>
      </c>
      <c r="D248" s="153" t="s">
        <v>558</v>
      </c>
      <c r="E248" s="153" t="s">
        <v>1604</v>
      </c>
      <c r="F248" s="153" t="s">
        <v>1605</v>
      </c>
      <c r="G248" s="158" t="s">
        <v>149</v>
      </c>
      <c r="H248" s="153" t="s">
        <v>2331</v>
      </c>
      <c r="I248" s="230">
        <v>2014.0</v>
      </c>
      <c r="J248" s="192" t="s">
        <v>149</v>
      </c>
      <c r="K248" s="192" t="s">
        <v>149</v>
      </c>
      <c r="L248" s="153" t="s">
        <v>6624</v>
      </c>
      <c r="M248" s="153" t="s">
        <v>730</v>
      </c>
      <c r="N248" s="158" t="s">
        <v>179</v>
      </c>
      <c r="O248" s="153" t="s">
        <v>1923</v>
      </c>
      <c r="P248" s="153" t="s">
        <v>2332</v>
      </c>
      <c r="Q248" s="158" t="s">
        <v>6154</v>
      </c>
      <c r="R248" s="158" t="s">
        <v>306</v>
      </c>
      <c r="S248" s="158" t="s">
        <v>159</v>
      </c>
      <c r="T248" s="158" t="s">
        <v>149</v>
      </c>
      <c r="U248" s="158" t="s">
        <v>149</v>
      </c>
      <c r="V248" s="153" t="s">
        <v>7055</v>
      </c>
      <c r="W248" s="153" t="s">
        <v>2332</v>
      </c>
      <c r="X248" s="153" t="s">
        <v>306</v>
      </c>
      <c r="Y248" s="153" t="s">
        <v>2334</v>
      </c>
      <c r="Z248" s="153"/>
      <c r="AA248" s="153"/>
      <c r="AB248" s="158" t="s">
        <v>6084</v>
      </c>
      <c r="AC248" s="153" t="s">
        <v>2335</v>
      </c>
      <c r="AD248" s="165" t="s">
        <v>2336</v>
      </c>
      <c r="AE248" s="153"/>
      <c r="AF248" s="153"/>
      <c r="AG248" s="153"/>
    </row>
    <row r="249" ht="15.75" customHeight="1">
      <c r="A249" s="238">
        <v>2025.0</v>
      </c>
      <c r="B249" s="230">
        <v>248.0</v>
      </c>
      <c r="C249" s="153" t="s">
        <v>7897</v>
      </c>
      <c r="D249" s="153" t="s">
        <v>558</v>
      </c>
      <c r="E249" s="153" t="s">
        <v>1604</v>
      </c>
      <c r="F249" s="153" t="s">
        <v>1605</v>
      </c>
      <c r="G249" s="158" t="s">
        <v>149</v>
      </c>
      <c r="H249" s="153"/>
      <c r="I249" s="230">
        <v>1995.0</v>
      </c>
      <c r="J249" s="192" t="s">
        <v>149</v>
      </c>
      <c r="K249" s="192" t="s">
        <v>149</v>
      </c>
      <c r="L249" s="153" t="s">
        <v>151</v>
      </c>
      <c r="M249" s="158" t="s">
        <v>149</v>
      </c>
      <c r="N249" s="158" t="s">
        <v>149</v>
      </c>
      <c r="O249" s="153" t="s">
        <v>793</v>
      </c>
      <c r="P249" s="153" t="s">
        <v>158</v>
      </c>
      <c r="Q249" s="158" t="s">
        <v>160</v>
      </c>
      <c r="R249" s="158" t="s">
        <v>6035</v>
      </c>
      <c r="S249" s="158" t="s">
        <v>159</v>
      </c>
      <c r="T249" s="158" t="s">
        <v>149</v>
      </c>
      <c r="U249" s="158" t="s">
        <v>149</v>
      </c>
      <c r="V249" s="153" t="s">
        <v>2674</v>
      </c>
      <c r="W249" s="153" t="s">
        <v>158</v>
      </c>
      <c r="X249" s="153" t="s">
        <v>6035</v>
      </c>
      <c r="Y249" s="153"/>
      <c r="Z249" s="153"/>
      <c r="AA249" s="153"/>
      <c r="AB249" s="158" t="s">
        <v>395</v>
      </c>
      <c r="AC249" s="153" t="s">
        <v>2675</v>
      </c>
      <c r="AD249" s="165" t="s">
        <v>2676</v>
      </c>
      <c r="AE249" s="153"/>
      <c r="AF249" s="153"/>
      <c r="AG249" s="153"/>
    </row>
    <row r="250" ht="15.75" customHeight="1">
      <c r="A250" s="238">
        <v>2025.0</v>
      </c>
      <c r="B250" s="230">
        <v>249.0</v>
      </c>
      <c r="C250" s="153" t="s">
        <v>7897</v>
      </c>
      <c r="D250" s="153" t="s">
        <v>558</v>
      </c>
      <c r="E250" s="153" t="s">
        <v>1616</v>
      </c>
      <c r="F250" s="153" t="s">
        <v>1617</v>
      </c>
      <c r="G250" s="153" t="s">
        <v>6742</v>
      </c>
      <c r="H250" s="153" t="s">
        <v>1618</v>
      </c>
      <c r="I250" s="192" t="s">
        <v>149</v>
      </c>
      <c r="J250" s="192" t="s">
        <v>149</v>
      </c>
      <c r="K250" s="192" t="s">
        <v>149</v>
      </c>
      <c r="L250" s="153" t="s">
        <v>151</v>
      </c>
      <c r="M250" s="158" t="s">
        <v>149</v>
      </c>
      <c r="N250" s="158" t="s">
        <v>149</v>
      </c>
      <c r="O250" s="158" t="s">
        <v>149</v>
      </c>
      <c r="P250" s="153" t="s">
        <v>1594</v>
      </c>
      <c r="Q250" s="158" t="s">
        <v>160</v>
      </c>
      <c r="R250" s="158" t="s">
        <v>6035</v>
      </c>
      <c r="S250" s="158" t="s">
        <v>159</v>
      </c>
      <c r="T250" s="158" t="s">
        <v>149</v>
      </c>
      <c r="U250" s="158" t="s">
        <v>149</v>
      </c>
      <c r="V250" s="158" t="s">
        <v>149</v>
      </c>
      <c r="W250" s="153" t="s">
        <v>369</v>
      </c>
      <c r="X250" s="153" t="s">
        <v>6035</v>
      </c>
      <c r="Y250" s="153"/>
      <c r="Z250" s="153"/>
      <c r="AA250" s="153"/>
      <c r="AB250" s="153" t="s">
        <v>6084</v>
      </c>
      <c r="AC250" s="153" t="s">
        <v>7061</v>
      </c>
      <c r="AD250" s="165" t="s">
        <v>1620</v>
      </c>
      <c r="AE250" s="153"/>
      <c r="AF250" s="153"/>
      <c r="AG250" s="153"/>
    </row>
    <row r="251" ht="15.75" customHeight="1">
      <c r="A251" s="238">
        <v>2025.0</v>
      </c>
      <c r="B251" s="230">
        <v>250.0</v>
      </c>
      <c r="C251" s="153" t="s">
        <v>7897</v>
      </c>
      <c r="D251" s="153" t="s">
        <v>558</v>
      </c>
      <c r="E251" s="153" t="s">
        <v>3137</v>
      </c>
      <c r="F251" s="153" t="s">
        <v>3138</v>
      </c>
      <c r="G251" s="158" t="s">
        <v>149</v>
      </c>
      <c r="H251" s="153" t="s">
        <v>7031</v>
      </c>
      <c r="I251" s="192" t="s">
        <v>149</v>
      </c>
      <c r="J251" s="192" t="s">
        <v>149</v>
      </c>
      <c r="K251" s="192" t="s">
        <v>149</v>
      </c>
      <c r="L251" s="153" t="s">
        <v>151</v>
      </c>
      <c r="M251" s="158" t="s">
        <v>149</v>
      </c>
      <c r="N251" s="158" t="s">
        <v>149</v>
      </c>
      <c r="O251" s="158" t="s">
        <v>149</v>
      </c>
      <c r="P251" s="158" t="s">
        <v>149</v>
      </c>
      <c r="Q251" s="158" t="s">
        <v>149</v>
      </c>
      <c r="R251" s="158" t="s">
        <v>149</v>
      </c>
      <c r="S251" s="158" t="s">
        <v>149</v>
      </c>
      <c r="T251" s="158" t="s">
        <v>149</v>
      </c>
      <c r="U251" s="158" t="s">
        <v>149</v>
      </c>
      <c r="V251" s="158" t="s">
        <v>149</v>
      </c>
      <c r="W251" s="158" t="s">
        <v>149</v>
      </c>
      <c r="X251" s="158" t="s">
        <v>149</v>
      </c>
      <c r="Y251" s="153"/>
      <c r="Z251" s="153"/>
      <c r="AA251" s="153"/>
      <c r="AB251" s="158" t="s">
        <v>6257</v>
      </c>
      <c r="AC251" s="153" t="s">
        <v>7065</v>
      </c>
      <c r="AD251" s="165" t="s">
        <v>3141</v>
      </c>
      <c r="AE251" s="153"/>
      <c r="AF251" s="153"/>
      <c r="AG251" s="153"/>
    </row>
    <row r="252" ht="15.75" customHeight="1">
      <c r="A252" s="238">
        <v>2025.0</v>
      </c>
      <c r="B252" s="230">
        <v>251.0</v>
      </c>
      <c r="C252" s="153" t="s">
        <v>7897</v>
      </c>
      <c r="D252" s="153" t="s">
        <v>558</v>
      </c>
      <c r="E252" s="153" t="s">
        <v>786</v>
      </c>
      <c r="F252" s="153" t="s">
        <v>787</v>
      </c>
      <c r="G252" s="153" t="s">
        <v>788</v>
      </c>
      <c r="H252" s="153"/>
      <c r="I252" s="230">
        <v>2015.0</v>
      </c>
      <c r="J252" s="192" t="s">
        <v>149</v>
      </c>
      <c r="K252" s="192" t="s">
        <v>149</v>
      </c>
      <c r="L252" s="153" t="s">
        <v>151</v>
      </c>
      <c r="M252" s="158" t="s">
        <v>790</v>
      </c>
      <c r="N252" s="158" t="s">
        <v>790</v>
      </c>
      <c r="O252" s="153" t="s">
        <v>793</v>
      </c>
      <c r="P252" s="153" t="s">
        <v>794</v>
      </c>
      <c r="Q252" s="158" t="s">
        <v>6154</v>
      </c>
      <c r="R252" s="158" t="s">
        <v>306</v>
      </c>
      <c r="S252" s="158" t="s">
        <v>159</v>
      </c>
      <c r="T252" s="158" t="s">
        <v>149</v>
      </c>
      <c r="U252" s="158" t="s">
        <v>149</v>
      </c>
      <c r="V252" s="153" t="s">
        <v>795</v>
      </c>
      <c r="W252" s="153" t="s">
        <v>796</v>
      </c>
      <c r="X252" s="153" t="s">
        <v>306</v>
      </c>
      <c r="Y252" s="153"/>
      <c r="Z252" s="153"/>
      <c r="AA252" s="153" t="s">
        <v>797</v>
      </c>
      <c r="AB252" s="158" t="s">
        <v>166</v>
      </c>
      <c r="AC252" s="153" t="s">
        <v>798</v>
      </c>
      <c r="AD252" s="165" t="s">
        <v>799</v>
      </c>
      <c r="AE252" s="153"/>
      <c r="AF252" s="153" t="s">
        <v>800</v>
      </c>
      <c r="AG252" s="153"/>
    </row>
    <row r="253" ht="15.75" customHeight="1">
      <c r="A253" s="238">
        <v>2025.0</v>
      </c>
      <c r="B253" s="230">
        <v>252.0</v>
      </c>
      <c r="C253" s="153" t="s">
        <v>7897</v>
      </c>
      <c r="D253" s="153" t="s">
        <v>558</v>
      </c>
      <c r="E253" s="153" t="s">
        <v>786</v>
      </c>
      <c r="F253" s="153" t="s">
        <v>787</v>
      </c>
      <c r="G253" s="158" t="s">
        <v>149</v>
      </c>
      <c r="H253" s="153" t="s">
        <v>2331</v>
      </c>
      <c r="I253" s="230">
        <v>2014.0</v>
      </c>
      <c r="J253" s="192" t="s">
        <v>149</v>
      </c>
      <c r="K253" s="192" t="s">
        <v>149</v>
      </c>
      <c r="L253" s="153" t="s">
        <v>6624</v>
      </c>
      <c r="M253" s="153" t="s">
        <v>730</v>
      </c>
      <c r="N253" s="158" t="s">
        <v>179</v>
      </c>
      <c r="O253" s="153" t="s">
        <v>1923</v>
      </c>
      <c r="P253" s="153" t="s">
        <v>2332</v>
      </c>
      <c r="Q253" s="158" t="s">
        <v>6154</v>
      </c>
      <c r="R253" s="158" t="s">
        <v>306</v>
      </c>
      <c r="S253" s="158" t="s">
        <v>159</v>
      </c>
      <c r="T253" s="158" t="s">
        <v>149</v>
      </c>
      <c r="U253" s="158" t="s">
        <v>149</v>
      </c>
      <c r="V253" s="158" t="s">
        <v>149</v>
      </c>
      <c r="W253" s="153" t="s">
        <v>2332</v>
      </c>
      <c r="X253" s="153" t="s">
        <v>306</v>
      </c>
      <c r="Y253" s="153" t="s">
        <v>369</v>
      </c>
      <c r="Z253" s="153"/>
      <c r="AA253" s="153"/>
      <c r="AB253" s="153" t="s">
        <v>6084</v>
      </c>
      <c r="AC253" s="153" t="s">
        <v>2335</v>
      </c>
      <c r="AD253" s="153" t="s">
        <v>2336</v>
      </c>
      <c r="AE253" s="153"/>
      <c r="AF253" s="153"/>
      <c r="AG253" s="153"/>
    </row>
    <row r="254" ht="15.75" customHeight="1">
      <c r="A254" s="238">
        <v>2025.0</v>
      </c>
      <c r="B254" s="230">
        <v>253.0</v>
      </c>
      <c r="C254" s="153" t="s">
        <v>7897</v>
      </c>
      <c r="D254" s="153" t="s">
        <v>558</v>
      </c>
      <c r="E254" s="153" t="s">
        <v>2066</v>
      </c>
      <c r="F254" s="153" t="s">
        <v>2067</v>
      </c>
      <c r="G254" s="158" t="s">
        <v>149</v>
      </c>
      <c r="H254" s="153" t="s">
        <v>2331</v>
      </c>
      <c r="I254" s="230">
        <v>2014.0</v>
      </c>
      <c r="J254" s="192" t="s">
        <v>149</v>
      </c>
      <c r="K254" s="192" t="s">
        <v>149</v>
      </c>
      <c r="L254" s="153" t="s">
        <v>6624</v>
      </c>
      <c r="M254" s="153" t="s">
        <v>730</v>
      </c>
      <c r="N254" s="158" t="s">
        <v>179</v>
      </c>
      <c r="O254" s="153" t="s">
        <v>1923</v>
      </c>
      <c r="P254" s="153" t="s">
        <v>2332</v>
      </c>
      <c r="Q254" s="158" t="s">
        <v>6154</v>
      </c>
      <c r="R254" s="158" t="s">
        <v>306</v>
      </c>
      <c r="S254" s="158" t="s">
        <v>159</v>
      </c>
      <c r="T254" s="158" t="s">
        <v>149</v>
      </c>
      <c r="U254" s="158" t="s">
        <v>149</v>
      </c>
      <c r="V254" s="158" t="s">
        <v>149</v>
      </c>
      <c r="W254" s="153" t="s">
        <v>2332</v>
      </c>
      <c r="X254" s="153" t="s">
        <v>306</v>
      </c>
      <c r="Y254" s="153" t="s">
        <v>369</v>
      </c>
      <c r="Z254" s="153" t="s">
        <v>2339</v>
      </c>
      <c r="AA254" s="153"/>
      <c r="AB254" s="153" t="s">
        <v>6084</v>
      </c>
      <c r="AC254" s="153" t="s">
        <v>2335</v>
      </c>
      <c r="AD254" s="165" t="s">
        <v>2336</v>
      </c>
      <c r="AE254" s="153"/>
      <c r="AF254" s="153"/>
      <c r="AG254" s="153"/>
    </row>
    <row r="255" ht="15.75" customHeight="1">
      <c r="A255" s="238">
        <v>2025.0</v>
      </c>
      <c r="B255" s="230">
        <v>254.0</v>
      </c>
      <c r="C255" s="153" t="s">
        <v>7897</v>
      </c>
      <c r="D255" s="153" t="s">
        <v>558</v>
      </c>
      <c r="E255" s="153" t="s">
        <v>2066</v>
      </c>
      <c r="F255" s="153" t="s">
        <v>2067</v>
      </c>
      <c r="G255" s="153" t="s">
        <v>2023</v>
      </c>
      <c r="H255" s="153" t="s">
        <v>7081</v>
      </c>
      <c r="I255" s="230">
        <v>2015.0</v>
      </c>
      <c r="J255" s="192" t="s">
        <v>149</v>
      </c>
      <c r="K255" s="192" t="s">
        <v>149</v>
      </c>
      <c r="L255" s="153" t="s">
        <v>151</v>
      </c>
      <c r="M255" s="153" t="s">
        <v>2069</v>
      </c>
      <c r="N255" s="158" t="s">
        <v>2069</v>
      </c>
      <c r="O255" s="158" t="s">
        <v>149</v>
      </c>
      <c r="P255" s="153" t="s">
        <v>2038</v>
      </c>
      <c r="Q255" s="158" t="s">
        <v>160</v>
      </c>
      <c r="R255" s="158" t="s">
        <v>271</v>
      </c>
      <c r="S255" s="158" t="s">
        <v>159</v>
      </c>
      <c r="T255" s="158" t="s">
        <v>149</v>
      </c>
      <c r="U255" s="158" t="s">
        <v>149</v>
      </c>
      <c r="V255" s="158" t="s">
        <v>149</v>
      </c>
      <c r="W255" s="153" t="s">
        <v>2038</v>
      </c>
      <c r="X255" s="153" t="s">
        <v>271</v>
      </c>
      <c r="Y255" s="153"/>
      <c r="Z255" s="153"/>
      <c r="AA255" s="153"/>
      <c r="AB255" s="153" t="s">
        <v>6038</v>
      </c>
      <c r="AC255" s="153" t="s">
        <v>2070</v>
      </c>
      <c r="AD255" s="165" t="s">
        <v>2071</v>
      </c>
      <c r="AE255" s="153"/>
      <c r="AF255" s="153"/>
      <c r="AG255" s="153"/>
    </row>
    <row r="256" ht="15.75" customHeight="1">
      <c r="A256" s="238">
        <v>2025.0</v>
      </c>
      <c r="B256" s="230">
        <v>255.0</v>
      </c>
      <c r="C256" s="153" t="s">
        <v>7897</v>
      </c>
      <c r="D256" s="153" t="s">
        <v>558</v>
      </c>
      <c r="E256" s="153" t="s">
        <v>3143</v>
      </c>
      <c r="F256" s="153" t="s">
        <v>3144</v>
      </c>
      <c r="G256" s="158" t="s">
        <v>149</v>
      </c>
      <c r="H256" s="153" t="s">
        <v>7044</v>
      </c>
      <c r="I256" s="192" t="s">
        <v>149</v>
      </c>
      <c r="J256" s="192" t="s">
        <v>149</v>
      </c>
      <c r="K256" s="192" t="s">
        <v>149</v>
      </c>
      <c r="L256" s="153" t="s">
        <v>151</v>
      </c>
      <c r="M256" s="158" t="s">
        <v>149</v>
      </c>
      <c r="N256" s="158" t="s">
        <v>149</v>
      </c>
      <c r="O256" s="158" t="s">
        <v>149</v>
      </c>
      <c r="P256" s="158" t="s">
        <v>149</v>
      </c>
      <c r="Q256" s="158" t="s">
        <v>149</v>
      </c>
      <c r="R256" s="158" t="s">
        <v>149</v>
      </c>
      <c r="S256" s="158" t="s">
        <v>149</v>
      </c>
      <c r="T256" s="158" t="s">
        <v>149</v>
      </c>
      <c r="U256" s="158" t="s">
        <v>149</v>
      </c>
      <c r="V256" s="158" t="s">
        <v>149</v>
      </c>
      <c r="W256" s="158" t="s">
        <v>149</v>
      </c>
      <c r="X256" s="158" t="s">
        <v>149</v>
      </c>
      <c r="Y256" s="153"/>
      <c r="Z256" s="153"/>
      <c r="AA256" s="153"/>
      <c r="AB256" s="158" t="s">
        <v>6027</v>
      </c>
      <c r="AC256" s="153" t="s">
        <v>2104</v>
      </c>
      <c r="AD256" s="165" t="s">
        <v>2105</v>
      </c>
      <c r="AE256" s="153"/>
      <c r="AF256" s="153"/>
      <c r="AG256" s="153"/>
    </row>
    <row r="257" ht="15.75" customHeight="1">
      <c r="A257" s="238">
        <v>2025.0</v>
      </c>
      <c r="B257" s="230">
        <v>256.0</v>
      </c>
      <c r="C257" s="153" t="s">
        <v>7897</v>
      </c>
      <c r="D257" s="153" t="s">
        <v>558</v>
      </c>
      <c r="E257" s="153" t="s">
        <v>559</v>
      </c>
      <c r="F257" s="153" t="s">
        <v>560</v>
      </c>
      <c r="G257" s="153" t="s">
        <v>384</v>
      </c>
      <c r="H257" s="153" t="s">
        <v>561</v>
      </c>
      <c r="I257" s="230">
        <v>1985.0</v>
      </c>
      <c r="J257" s="230">
        <v>1985.0</v>
      </c>
      <c r="K257" s="230">
        <v>1987.0</v>
      </c>
      <c r="L257" s="153" t="s">
        <v>151</v>
      </c>
      <c r="M257" s="153" t="s">
        <v>6054</v>
      </c>
      <c r="N257" s="158" t="s">
        <v>6054</v>
      </c>
      <c r="O257" s="158" t="s">
        <v>149</v>
      </c>
      <c r="P257" s="153" t="s">
        <v>390</v>
      </c>
      <c r="Q257" s="158" t="s">
        <v>160</v>
      </c>
      <c r="R257" s="158" t="s">
        <v>6035</v>
      </c>
      <c r="S257" s="158" t="s">
        <v>149</v>
      </c>
      <c r="T257" s="158" t="s">
        <v>149</v>
      </c>
      <c r="U257" s="158" t="s">
        <v>149</v>
      </c>
      <c r="V257" s="158" t="s">
        <v>149</v>
      </c>
      <c r="W257" s="153" t="s">
        <v>390</v>
      </c>
      <c r="X257" s="153" t="s">
        <v>6035</v>
      </c>
      <c r="Y257" s="153" t="s">
        <v>6055</v>
      </c>
      <c r="Z257" s="153"/>
      <c r="AA257" s="153"/>
      <c r="AB257" s="158" t="s">
        <v>395</v>
      </c>
      <c r="AC257" s="153" t="s">
        <v>6060</v>
      </c>
      <c r="AD257" s="158" t="s">
        <v>6711</v>
      </c>
      <c r="AE257" s="153" t="s">
        <v>398</v>
      </c>
      <c r="AF257" s="153"/>
      <c r="AG257" s="153"/>
    </row>
    <row r="258" ht="15.75" customHeight="1">
      <c r="A258" s="238">
        <v>2025.0</v>
      </c>
      <c r="B258" s="230">
        <v>257.0</v>
      </c>
      <c r="C258" s="153" t="s">
        <v>7897</v>
      </c>
      <c r="D258" s="153" t="s">
        <v>558</v>
      </c>
      <c r="E258" s="153" t="s">
        <v>2553</v>
      </c>
      <c r="F258" s="153" t="s">
        <v>2554</v>
      </c>
      <c r="G258" s="158" t="s">
        <v>149</v>
      </c>
      <c r="H258" s="153"/>
      <c r="I258" s="230">
        <v>2013.0</v>
      </c>
      <c r="J258" s="192" t="s">
        <v>149</v>
      </c>
      <c r="K258" s="192" t="s">
        <v>149</v>
      </c>
      <c r="L258" s="153" t="s">
        <v>151</v>
      </c>
      <c r="M258" s="158" t="s">
        <v>149</v>
      </c>
      <c r="N258" s="158" t="s">
        <v>149</v>
      </c>
      <c r="O258" s="153" t="s">
        <v>7051</v>
      </c>
      <c r="P258" s="158" t="s">
        <v>149</v>
      </c>
      <c r="Q258" s="158" t="s">
        <v>149</v>
      </c>
      <c r="R258" s="158" t="s">
        <v>149</v>
      </c>
      <c r="S258" s="158" t="s">
        <v>149</v>
      </c>
      <c r="T258" s="158" t="s">
        <v>149</v>
      </c>
      <c r="U258" s="158" t="s">
        <v>149</v>
      </c>
      <c r="V258" s="153" t="s">
        <v>2556</v>
      </c>
      <c r="W258" s="158" t="s">
        <v>149</v>
      </c>
      <c r="X258" s="158" t="s">
        <v>149</v>
      </c>
      <c r="Y258" s="153" t="s">
        <v>2557</v>
      </c>
      <c r="Z258" s="153"/>
      <c r="AA258" s="153"/>
      <c r="AB258" s="158" t="s">
        <v>166</v>
      </c>
      <c r="AC258" s="153" t="s">
        <v>7088</v>
      </c>
      <c r="AD258" s="165" t="s">
        <v>2559</v>
      </c>
      <c r="AE258" s="153"/>
      <c r="AF258" s="153"/>
      <c r="AG258" s="153"/>
    </row>
    <row r="259" ht="15.75" customHeight="1">
      <c r="A259" s="238">
        <v>2025.0</v>
      </c>
      <c r="B259" s="230">
        <v>258.0</v>
      </c>
      <c r="C259" s="153" t="s">
        <v>7897</v>
      </c>
      <c r="D259" s="153" t="s">
        <v>558</v>
      </c>
      <c r="E259" s="153" t="s">
        <v>959</v>
      </c>
      <c r="F259" s="153" t="s">
        <v>960</v>
      </c>
      <c r="G259" s="158" t="s">
        <v>149</v>
      </c>
      <c r="H259" s="153"/>
      <c r="I259" s="230">
        <v>2015.0</v>
      </c>
      <c r="J259" s="192" t="s">
        <v>149</v>
      </c>
      <c r="K259" s="192" t="s">
        <v>149</v>
      </c>
      <c r="L259" s="153" t="s">
        <v>151</v>
      </c>
      <c r="M259" s="158" t="s">
        <v>149</v>
      </c>
      <c r="N259" s="158" t="s">
        <v>149</v>
      </c>
      <c r="O259" s="153" t="s">
        <v>2668</v>
      </c>
      <c r="P259" s="158" t="s">
        <v>149</v>
      </c>
      <c r="Q259" s="158" t="s">
        <v>149</v>
      </c>
      <c r="R259" s="158" t="s">
        <v>149</v>
      </c>
      <c r="S259" s="158" t="s">
        <v>149</v>
      </c>
      <c r="T259" s="158" t="s">
        <v>149</v>
      </c>
      <c r="U259" s="158" t="s">
        <v>149</v>
      </c>
      <c r="V259" s="158" t="s">
        <v>149</v>
      </c>
      <c r="W259" s="153" t="s">
        <v>1974</v>
      </c>
      <c r="X259" s="153" t="s">
        <v>6035</v>
      </c>
      <c r="Y259" s="153"/>
      <c r="Z259" s="153"/>
      <c r="AA259" s="153"/>
      <c r="AB259" s="158" t="s">
        <v>6214</v>
      </c>
      <c r="AC259" s="153" t="s">
        <v>2669</v>
      </c>
      <c r="AD259" s="165" t="s">
        <v>2670</v>
      </c>
      <c r="AE259" s="153" t="s">
        <v>2671</v>
      </c>
      <c r="AF259" s="165" t="s">
        <v>2672</v>
      </c>
      <c r="AG259" s="153"/>
    </row>
    <row r="260" ht="15.75" customHeight="1">
      <c r="A260" s="238">
        <v>2025.0</v>
      </c>
      <c r="B260" s="230">
        <v>259.0</v>
      </c>
      <c r="C260" s="153" t="s">
        <v>7897</v>
      </c>
      <c r="D260" s="153" t="s">
        <v>558</v>
      </c>
      <c r="E260" s="153" t="s">
        <v>959</v>
      </c>
      <c r="F260" s="153" t="s">
        <v>960</v>
      </c>
      <c r="G260" s="153" t="s">
        <v>934</v>
      </c>
      <c r="H260" s="153"/>
      <c r="I260" s="230">
        <v>2001.0</v>
      </c>
      <c r="J260" s="230">
        <v>2001.0</v>
      </c>
      <c r="K260" s="230">
        <v>2005.0</v>
      </c>
      <c r="L260" s="153" t="s">
        <v>6062</v>
      </c>
      <c r="M260" s="153" t="s">
        <v>6276</v>
      </c>
      <c r="N260" s="153" t="s">
        <v>179</v>
      </c>
      <c r="O260" s="153" t="s">
        <v>939</v>
      </c>
      <c r="P260" s="153" t="s">
        <v>940</v>
      </c>
      <c r="Q260" s="158" t="s">
        <v>6154</v>
      </c>
      <c r="R260" s="158" t="s">
        <v>206</v>
      </c>
      <c r="S260" s="158" t="s">
        <v>204</v>
      </c>
      <c r="T260" s="158" t="s">
        <v>149</v>
      </c>
      <c r="U260" s="158" t="s">
        <v>149</v>
      </c>
      <c r="V260" s="158" t="s">
        <v>149</v>
      </c>
      <c r="W260" s="153" t="s">
        <v>233</v>
      </c>
      <c r="X260" s="158" t="s">
        <v>6068</v>
      </c>
      <c r="Y260" s="153"/>
      <c r="Z260" s="153"/>
      <c r="AA260" s="153"/>
      <c r="AB260" s="158" t="s">
        <v>6214</v>
      </c>
      <c r="AC260" s="153" t="s">
        <v>941</v>
      </c>
      <c r="AD260" s="153" t="s">
        <v>942</v>
      </c>
      <c r="AE260" s="153" t="s">
        <v>943</v>
      </c>
      <c r="AF260" s="153"/>
      <c r="AG260" s="153"/>
    </row>
    <row r="261" ht="15.75" customHeight="1">
      <c r="A261" s="238">
        <v>2025.0</v>
      </c>
      <c r="B261" s="230">
        <v>260.0</v>
      </c>
      <c r="C261" s="153" t="s">
        <v>7899</v>
      </c>
      <c r="D261" s="153" t="s">
        <v>563</v>
      </c>
      <c r="E261" s="153" t="s">
        <v>7099</v>
      </c>
      <c r="F261" s="153" t="s">
        <v>2152</v>
      </c>
      <c r="G261" s="153" t="s">
        <v>6587</v>
      </c>
      <c r="H261" s="153" t="s">
        <v>7100</v>
      </c>
      <c r="I261" s="158" t="s">
        <v>149</v>
      </c>
      <c r="J261" s="230">
        <v>2012.0</v>
      </c>
      <c r="K261" s="192" t="s">
        <v>149</v>
      </c>
      <c r="L261" s="153" t="s">
        <v>151</v>
      </c>
      <c r="M261" s="158" t="s">
        <v>149</v>
      </c>
      <c r="N261" s="158" t="s">
        <v>149</v>
      </c>
      <c r="O261" s="153" t="s">
        <v>7101</v>
      </c>
      <c r="P261" s="153" t="s">
        <v>341</v>
      </c>
      <c r="Q261" s="158" t="s">
        <v>160</v>
      </c>
      <c r="R261" s="158" t="s">
        <v>6035</v>
      </c>
      <c r="S261" s="158" t="s">
        <v>159</v>
      </c>
      <c r="T261" s="158" t="s">
        <v>149</v>
      </c>
      <c r="U261" s="158" t="s">
        <v>149</v>
      </c>
      <c r="V261" s="158" t="s">
        <v>149</v>
      </c>
      <c r="W261" s="153" t="s">
        <v>2160</v>
      </c>
      <c r="X261" s="153" t="s">
        <v>6035</v>
      </c>
      <c r="Y261" s="153"/>
      <c r="Z261" s="153"/>
      <c r="AA261" s="153"/>
      <c r="AB261" s="158" t="s">
        <v>166</v>
      </c>
      <c r="AC261" s="153" t="s">
        <v>2161</v>
      </c>
      <c r="AD261" s="172" t="s">
        <v>2162</v>
      </c>
      <c r="AE261" s="153"/>
      <c r="AF261" s="153"/>
      <c r="AG261" s="153"/>
    </row>
    <row r="262" ht="15.75" customHeight="1">
      <c r="A262" s="238">
        <v>2025.0</v>
      </c>
      <c r="B262" s="230">
        <v>261.0</v>
      </c>
      <c r="C262" s="153" t="s">
        <v>7899</v>
      </c>
      <c r="D262" s="153" t="s">
        <v>563</v>
      </c>
      <c r="E262" s="153" t="s">
        <v>230</v>
      </c>
      <c r="F262" s="153" t="s">
        <v>1713</v>
      </c>
      <c r="G262" s="153" t="s">
        <v>1683</v>
      </c>
      <c r="H262" s="153"/>
      <c r="I262" s="192">
        <v>2015.0</v>
      </c>
      <c r="J262" s="230">
        <v>2014.0</v>
      </c>
      <c r="K262" s="230">
        <v>2016.0</v>
      </c>
      <c r="L262" s="153" t="s">
        <v>6062</v>
      </c>
      <c r="M262" s="153" t="s">
        <v>320</v>
      </c>
      <c r="N262" s="158" t="s">
        <v>179</v>
      </c>
      <c r="O262" s="158" t="s">
        <v>149</v>
      </c>
      <c r="P262" s="153" t="s">
        <v>321</v>
      </c>
      <c r="Q262" s="158" t="s">
        <v>160</v>
      </c>
      <c r="R262" s="158" t="s">
        <v>6035</v>
      </c>
      <c r="S262" s="158" t="s">
        <v>159</v>
      </c>
      <c r="T262" s="158" t="s">
        <v>149</v>
      </c>
      <c r="U262" s="158" t="s">
        <v>149</v>
      </c>
      <c r="V262" s="153" t="s">
        <v>1692</v>
      </c>
      <c r="W262" s="153" t="s">
        <v>1714</v>
      </c>
      <c r="X262" s="158" t="s">
        <v>6068</v>
      </c>
      <c r="Y262" s="153"/>
      <c r="Z262" s="153"/>
      <c r="AA262" s="153"/>
      <c r="AB262" s="158" t="s">
        <v>6069</v>
      </c>
      <c r="AC262" s="153" t="s">
        <v>1300</v>
      </c>
      <c r="AD262" s="153" t="s">
        <v>7029</v>
      </c>
      <c r="AE262" s="153" t="s">
        <v>1716</v>
      </c>
      <c r="AF262" s="165" t="s">
        <v>1717</v>
      </c>
      <c r="AG262" s="153"/>
    </row>
    <row r="263" ht="15.75" customHeight="1">
      <c r="A263" s="238">
        <v>2025.0</v>
      </c>
      <c r="B263" s="230">
        <v>262.0</v>
      </c>
      <c r="C263" s="153" t="s">
        <v>7899</v>
      </c>
      <c r="D263" s="153" t="s">
        <v>563</v>
      </c>
      <c r="E263" s="153" t="s">
        <v>962</v>
      </c>
      <c r="F263" s="153" t="s">
        <v>963</v>
      </c>
      <c r="G263" s="153" t="s">
        <v>934</v>
      </c>
      <c r="H263" s="153"/>
      <c r="I263" s="230">
        <v>2001.0</v>
      </c>
      <c r="J263" s="230">
        <v>2001.0</v>
      </c>
      <c r="K263" s="230">
        <v>2005.0</v>
      </c>
      <c r="L263" s="153" t="s">
        <v>6062</v>
      </c>
      <c r="M263" s="153" t="s">
        <v>6276</v>
      </c>
      <c r="N263" s="158" t="s">
        <v>179</v>
      </c>
      <c r="O263" s="153" t="s">
        <v>939</v>
      </c>
      <c r="P263" s="153" t="s">
        <v>940</v>
      </c>
      <c r="Q263" s="158" t="s">
        <v>6154</v>
      </c>
      <c r="R263" s="158" t="s">
        <v>206</v>
      </c>
      <c r="S263" s="158" t="s">
        <v>204</v>
      </c>
      <c r="T263" s="158" t="s">
        <v>149</v>
      </c>
      <c r="U263" s="158" t="s">
        <v>149</v>
      </c>
      <c r="V263" s="158" t="s">
        <v>149</v>
      </c>
      <c r="W263" s="153" t="s">
        <v>233</v>
      </c>
      <c r="X263" s="158" t="s">
        <v>6068</v>
      </c>
      <c r="Y263" s="153"/>
      <c r="Z263" s="153"/>
      <c r="AA263" s="153"/>
      <c r="AB263" s="158" t="s">
        <v>6214</v>
      </c>
      <c r="AC263" s="153" t="s">
        <v>941</v>
      </c>
      <c r="AD263" s="153" t="s">
        <v>942</v>
      </c>
      <c r="AE263" s="153" t="s">
        <v>943</v>
      </c>
      <c r="AF263" s="153"/>
      <c r="AG263" s="153"/>
    </row>
    <row r="264" ht="15.75" customHeight="1">
      <c r="A264" s="238">
        <v>2025.0</v>
      </c>
      <c r="B264" s="230">
        <v>263.0</v>
      </c>
      <c r="C264" s="153" t="s">
        <v>7899</v>
      </c>
      <c r="D264" s="153" t="s">
        <v>563</v>
      </c>
      <c r="E264" s="153" t="s">
        <v>564</v>
      </c>
      <c r="F264" s="153" t="s">
        <v>565</v>
      </c>
      <c r="G264" s="153" t="s">
        <v>384</v>
      </c>
      <c r="H264" s="153" t="s">
        <v>566</v>
      </c>
      <c r="I264" s="230">
        <v>1986.0</v>
      </c>
      <c r="J264" s="230">
        <v>1985.0</v>
      </c>
      <c r="K264" s="230">
        <v>1987.0</v>
      </c>
      <c r="L264" s="153" t="s">
        <v>151</v>
      </c>
      <c r="M264" s="153" t="s">
        <v>6054</v>
      </c>
      <c r="N264" s="158" t="s">
        <v>6054</v>
      </c>
      <c r="O264" s="158" t="s">
        <v>149</v>
      </c>
      <c r="P264" s="153" t="s">
        <v>390</v>
      </c>
      <c r="Q264" s="158" t="s">
        <v>160</v>
      </c>
      <c r="R264" s="158" t="s">
        <v>6035</v>
      </c>
      <c r="S264" s="158" t="s">
        <v>159</v>
      </c>
      <c r="T264" s="158" t="s">
        <v>149</v>
      </c>
      <c r="U264" s="158" t="s">
        <v>149</v>
      </c>
      <c r="V264" s="153" t="s">
        <v>475</v>
      </c>
      <c r="W264" s="153" t="s">
        <v>390</v>
      </c>
      <c r="X264" s="153" t="s">
        <v>6035</v>
      </c>
      <c r="Y264" s="153" t="s">
        <v>6055</v>
      </c>
      <c r="Z264" s="153"/>
      <c r="AA264" s="153"/>
      <c r="AB264" s="158" t="s">
        <v>395</v>
      </c>
      <c r="AC264" s="153" t="s">
        <v>6060</v>
      </c>
      <c r="AD264" s="158" t="s">
        <v>6711</v>
      </c>
      <c r="AE264" s="153" t="s">
        <v>398</v>
      </c>
      <c r="AF264" s="153"/>
      <c r="AG264" s="153"/>
    </row>
    <row r="265" ht="15.75" customHeight="1">
      <c r="A265" s="238">
        <v>2025.0</v>
      </c>
      <c r="B265" s="230">
        <v>264.0</v>
      </c>
      <c r="C265" s="153" t="s">
        <v>7899</v>
      </c>
      <c r="D265" s="153" t="s">
        <v>563</v>
      </c>
      <c r="E265" s="153" t="s">
        <v>2164</v>
      </c>
      <c r="F265" s="153" t="s">
        <v>2165</v>
      </c>
      <c r="G265" s="153" t="s">
        <v>6587</v>
      </c>
      <c r="H265" s="153" t="s">
        <v>7100</v>
      </c>
      <c r="I265" s="158" t="s">
        <v>149</v>
      </c>
      <c r="J265" s="230">
        <v>2012.0</v>
      </c>
      <c r="K265" s="192" t="s">
        <v>149</v>
      </c>
      <c r="L265" s="153" t="s">
        <v>151</v>
      </c>
      <c r="M265" s="158" t="s">
        <v>149</v>
      </c>
      <c r="N265" s="158" t="s">
        <v>149</v>
      </c>
      <c r="O265" s="153" t="s">
        <v>7101</v>
      </c>
      <c r="P265" s="153" t="s">
        <v>341</v>
      </c>
      <c r="Q265" s="158" t="s">
        <v>160</v>
      </c>
      <c r="R265" s="158" t="s">
        <v>6035</v>
      </c>
      <c r="S265" s="158" t="s">
        <v>159</v>
      </c>
      <c r="T265" s="158" t="s">
        <v>149</v>
      </c>
      <c r="U265" s="158" t="s">
        <v>149</v>
      </c>
      <c r="V265" s="158" t="s">
        <v>149</v>
      </c>
      <c r="W265" s="153" t="s">
        <v>2160</v>
      </c>
      <c r="X265" s="153" t="s">
        <v>6035</v>
      </c>
      <c r="Y265" s="153"/>
      <c r="Z265" s="153"/>
      <c r="AA265" s="153"/>
      <c r="AB265" s="158" t="s">
        <v>166</v>
      </c>
      <c r="AC265" s="153" t="s">
        <v>2161</v>
      </c>
      <c r="AD265" s="172" t="s">
        <v>2162</v>
      </c>
      <c r="AE265" s="153"/>
      <c r="AF265" s="153"/>
      <c r="AG265" s="153"/>
    </row>
    <row r="266" ht="15.75" customHeight="1">
      <c r="A266" s="238">
        <v>2025.0</v>
      </c>
      <c r="B266" s="230">
        <v>265.0</v>
      </c>
      <c r="C266" s="153" t="s">
        <v>7899</v>
      </c>
      <c r="D266" s="153" t="s">
        <v>563</v>
      </c>
      <c r="E266" s="153" t="s">
        <v>1108</v>
      </c>
      <c r="F266" s="153" t="s">
        <v>1109</v>
      </c>
      <c r="G266" s="153" t="s">
        <v>1174</v>
      </c>
      <c r="H266" s="153"/>
      <c r="I266" s="192">
        <v>2013.0</v>
      </c>
      <c r="J266" s="230">
        <v>2012.0</v>
      </c>
      <c r="K266" s="230">
        <v>2013.0</v>
      </c>
      <c r="L266" s="153" t="s">
        <v>6062</v>
      </c>
      <c r="M266" s="153" t="s">
        <v>320</v>
      </c>
      <c r="N266" s="158" t="s">
        <v>179</v>
      </c>
      <c r="O266" s="158" t="s">
        <v>149</v>
      </c>
      <c r="P266" s="153" t="s">
        <v>321</v>
      </c>
      <c r="Q266" s="158" t="s">
        <v>160</v>
      </c>
      <c r="R266" s="158" t="s">
        <v>6035</v>
      </c>
      <c r="S266" s="158" t="s">
        <v>159</v>
      </c>
      <c r="T266" s="158" t="s">
        <v>149</v>
      </c>
      <c r="U266" s="158" t="s">
        <v>149</v>
      </c>
      <c r="V266" s="153" t="s">
        <v>1303</v>
      </c>
      <c r="W266" s="153" t="s">
        <v>885</v>
      </c>
      <c r="X266" s="158" t="s">
        <v>6068</v>
      </c>
      <c r="Y266" s="153"/>
      <c r="Z266" s="153"/>
      <c r="AA266" s="153"/>
      <c r="AB266" s="158" t="s">
        <v>6069</v>
      </c>
      <c r="AC266" s="153" t="s">
        <v>1304</v>
      </c>
      <c r="AD266" s="153" t="s">
        <v>6070</v>
      </c>
      <c r="AE266" s="153" t="s">
        <v>1280</v>
      </c>
      <c r="AF266" s="165" t="s">
        <v>1281</v>
      </c>
      <c r="AG266" s="153"/>
    </row>
    <row r="267" ht="15.75" customHeight="1">
      <c r="A267" s="238">
        <v>2025.0</v>
      </c>
      <c r="B267" s="230">
        <v>266.0</v>
      </c>
      <c r="C267" s="153" t="s">
        <v>7899</v>
      </c>
      <c r="D267" s="153" t="s">
        <v>563</v>
      </c>
      <c r="E267" s="153" t="s">
        <v>1108</v>
      </c>
      <c r="F267" s="153" t="s">
        <v>1109</v>
      </c>
      <c r="G267" s="153" t="s">
        <v>6587</v>
      </c>
      <c r="H267" s="153" t="s">
        <v>7100</v>
      </c>
      <c r="I267" s="158" t="s">
        <v>149</v>
      </c>
      <c r="J267" s="230">
        <v>2012.0</v>
      </c>
      <c r="K267" s="192" t="s">
        <v>149</v>
      </c>
      <c r="L267" s="153" t="s">
        <v>151</v>
      </c>
      <c r="M267" s="158" t="s">
        <v>149</v>
      </c>
      <c r="N267" s="158" t="s">
        <v>149</v>
      </c>
      <c r="O267" s="153" t="s">
        <v>7101</v>
      </c>
      <c r="P267" s="153" t="s">
        <v>341</v>
      </c>
      <c r="Q267" s="158" t="s">
        <v>160</v>
      </c>
      <c r="R267" s="158" t="s">
        <v>6035</v>
      </c>
      <c r="S267" s="158" t="s">
        <v>159</v>
      </c>
      <c r="T267" s="158" t="s">
        <v>149</v>
      </c>
      <c r="U267" s="158" t="s">
        <v>149</v>
      </c>
      <c r="V267" s="158" t="s">
        <v>149</v>
      </c>
      <c r="W267" s="153" t="s">
        <v>2160</v>
      </c>
      <c r="X267" s="153" t="s">
        <v>6035</v>
      </c>
      <c r="Y267" s="153"/>
      <c r="Z267" s="153"/>
      <c r="AA267" s="153"/>
      <c r="AB267" s="158" t="s">
        <v>166</v>
      </c>
      <c r="AC267" s="153" t="s">
        <v>2161</v>
      </c>
      <c r="AD267" s="165" t="s">
        <v>2162</v>
      </c>
      <c r="AE267" s="153"/>
      <c r="AF267" s="239"/>
      <c r="AG267" s="153"/>
    </row>
    <row r="268" ht="15.75" customHeight="1">
      <c r="A268" s="238">
        <v>2025.0</v>
      </c>
      <c r="B268" s="230">
        <v>267.0</v>
      </c>
      <c r="C268" s="153" t="s">
        <v>7899</v>
      </c>
      <c r="D268" s="153" t="s">
        <v>563</v>
      </c>
      <c r="E268" s="153" t="s">
        <v>1108</v>
      </c>
      <c r="F268" s="153" t="s">
        <v>1109</v>
      </c>
      <c r="G268" s="153" t="s">
        <v>1110</v>
      </c>
      <c r="H268" s="153" t="s">
        <v>1111</v>
      </c>
      <c r="I268" s="158" t="s">
        <v>149</v>
      </c>
      <c r="J268" s="192" t="s">
        <v>149</v>
      </c>
      <c r="K268" s="192" t="s">
        <v>149</v>
      </c>
      <c r="L268" s="153" t="s">
        <v>6062</v>
      </c>
      <c r="M268" s="153" t="s">
        <v>1112</v>
      </c>
      <c r="N268" s="158" t="s">
        <v>179</v>
      </c>
      <c r="O268" s="153" t="s">
        <v>1113</v>
      </c>
      <c r="P268" s="158" t="s">
        <v>149</v>
      </c>
      <c r="Q268" s="158" t="s">
        <v>149</v>
      </c>
      <c r="R268" s="158" t="s">
        <v>149</v>
      </c>
      <c r="S268" s="158" t="s">
        <v>149</v>
      </c>
      <c r="T268" s="158" t="s">
        <v>149</v>
      </c>
      <c r="U268" s="158" t="s">
        <v>149</v>
      </c>
      <c r="V268" s="158" t="s">
        <v>149</v>
      </c>
      <c r="W268" s="153" t="s">
        <v>1114</v>
      </c>
      <c r="X268" s="158" t="s">
        <v>184</v>
      </c>
      <c r="Y268" s="153" t="s">
        <v>1115</v>
      </c>
      <c r="Z268" s="153" t="s">
        <v>1116</v>
      </c>
      <c r="AA268" s="153"/>
      <c r="AB268" s="158" t="s">
        <v>6038</v>
      </c>
      <c r="AC268" s="153" t="s">
        <v>1117</v>
      </c>
      <c r="AD268" s="165" t="s">
        <v>1118</v>
      </c>
      <c r="AE268" s="153"/>
      <c r="AF268" s="239"/>
      <c r="AG268" s="153"/>
    </row>
    <row r="269" ht="15.75" customHeight="1">
      <c r="A269" s="238">
        <v>2025.0</v>
      </c>
      <c r="B269" s="230">
        <v>268.0</v>
      </c>
      <c r="C269" s="153" t="s">
        <v>7899</v>
      </c>
      <c r="D269" s="153" t="s">
        <v>563</v>
      </c>
      <c r="E269" s="153" t="s">
        <v>7090</v>
      </c>
      <c r="F269" s="153" t="s">
        <v>2102</v>
      </c>
      <c r="G269" s="153" t="s">
        <v>2103</v>
      </c>
      <c r="H269" s="153" t="s">
        <v>7091</v>
      </c>
      <c r="I269" s="230">
        <v>1995.0</v>
      </c>
      <c r="J269" s="192" t="s">
        <v>149</v>
      </c>
      <c r="K269" s="192" t="s">
        <v>149</v>
      </c>
      <c r="L269" s="153" t="s">
        <v>151</v>
      </c>
      <c r="M269" s="158" t="s">
        <v>149</v>
      </c>
      <c r="N269" s="158" t="s">
        <v>149</v>
      </c>
      <c r="O269" s="158" t="s">
        <v>149</v>
      </c>
      <c r="P269" s="158" t="s">
        <v>149</v>
      </c>
      <c r="Q269" s="158" t="s">
        <v>149</v>
      </c>
      <c r="R269" s="158" t="s">
        <v>149</v>
      </c>
      <c r="S269" s="158" t="s">
        <v>149</v>
      </c>
      <c r="T269" s="158" t="s">
        <v>149</v>
      </c>
      <c r="U269" s="158" t="s">
        <v>149</v>
      </c>
      <c r="V269" s="158" t="s">
        <v>149</v>
      </c>
      <c r="W269" s="153" t="s">
        <v>369</v>
      </c>
      <c r="X269" s="153" t="s">
        <v>6035</v>
      </c>
      <c r="Y269" s="153"/>
      <c r="Z269" s="153"/>
      <c r="AA269" s="153"/>
      <c r="AB269" s="158" t="s">
        <v>6027</v>
      </c>
      <c r="AC269" s="153" t="s">
        <v>2104</v>
      </c>
      <c r="AD269" s="165" t="s">
        <v>2105</v>
      </c>
      <c r="AE269" s="153"/>
      <c r="AF269" s="153"/>
      <c r="AG269" s="153"/>
    </row>
    <row r="270" ht="15.75" customHeight="1">
      <c r="A270" s="238">
        <v>2025.0</v>
      </c>
      <c r="B270" s="230">
        <v>269.0</v>
      </c>
      <c r="C270" s="153" t="s">
        <v>7899</v>
      </c>
      <c r="D270" s="153" t="s">
        <v>563</v>
      </c>
      <c r="E270" s="158" t="s">
        <v>7094</v>
      </c>
      <c r="F270" s="153" t="s">
        <v>2876</v>
      </c>
      <c r="G270" s="153" t="s">
        <v>384</v>
      </c>
      <c r="H270" s="153" t="s">
        <v>2877</v>
      </c>
      <c r="I270" s="230">
        <v>1979.0</v>
      </c>
      <c r="J270" s="230">
        <v>1985.0</v>
      </c>
      <c r="K270" s="230">
        <v>1987.0</v>
      </c>
      <c r="L270" s="153" t="s">
        <v>151</v>
      </c>
      <c r="M270" s="153" t="s">
        <v>469</v>
      </c>
      <c r="N270" s="158" t="s">
        <v>469</v>
      </c>
      <c r="O270" s="158" t="s">
        <v>149</v>
      </c>
      <c r="P270" s="153" t="s">
        <v>390</v>
      </c>
      <c r="Q270" s="158" t="s">
        <v>160</v>
      </c>
      <c r="R270" s="158" t="s">
        <v>6035</v>
      </c>
      <c r="S270" s="158" t="s">
        <v>159</v>
      </c>
      <c r="T270" s="158" t="s">
        <v>149</v>
      </c>
      <c r="U270" s="158" t="s">
        <v>149</v>
      </c>
      <c r="V270" s="153" t="s">
        <v>2878</v>
      </c>
      <c r="W270" s="153" t="s">
        <v>390</v>
      </c>
      <c r="X270" s="153" t="s">
        <v>6035</v>
      </c>
      <c r="Y270" s="153" t="s">
        <v>6055</v>
      </c>
      <c r="Z270" s="153"/>
      <c r="AA270" s="153"/>
      <c r="AB270" s="158" t="s">
        <v>395</v>
      </c>
      <c r="AC270" s="153" t="s">
        <v>6060</v>
      </c>
      <c r="AD270" s="158" t="s">
        <v>6711</v>
      </c>
      <c r="AE270" s="153" t="s">
        <v>398</v>
      </c>
      <c r="AF270" s="153"/>
      <c r="AG270" s="153" t="s">
        <v>6109</v>
      </c>
    </row>
    <row r="271" ht="15.75" customHeight="1">
      <c r="A271" s="238">
        <v>2025.0</v>
      </c>
      <c r="B271" s="230">
        <v>270.0</v>
      </c>
      <c r="C271" s="153" t="s">
        <v>7899</v>
      </c>
      <c r="D271" s="153" t="s">
        <v>563</v>
      </c>
      <c r="E271" s="153" t="s">
        <v>2172</v>
      </c>
      <c r="F271" s="153" t="s">
        <v>2173</v>
      </c>
      <c r="G271" s="153" t="s">
        <v>6587</v>
      </c>
      <c r="H271" s="153" t="s">
        <v>7100</v>
      </c>
      <c r="I271" s="158" t="s">
        <v>149</v>
      </c>
      <c r="J271" s="230">
        <v>2012.0</v>
      </c>
      <c r="K271" s="158" t="s">
        <v>149</v>
      </c>
      <c r="L271" s="153" t="s">
        <v>151</v>
      </c>
      <c r="M271" s="158" t="s">
        <v>149</v>
      </c>
      <c r="N271" s="158" t="s">
        <v>149</v>
      </c>
      <c r="O271" s="153" t="s">
        <v>7101</v>
      </c>
      <c r="P271" s="153" t="s">
        <v>341</v>
      </c>
      <c r="Q271" s="158" t="s">
        <v>160</v>
      </c>
      <c r="R271" s="158" t="s">
        <v>6035</v>
      </c>
      <c r="S271" s="158" t="s">
        <v>149</v>
      </c>
      <c r="T271" s="158" t="s">
        <v>149</v>
      </c>
      <c r="U271" s="158" t="s">
        <v>149</v>
      </c>
      <c r="V271" s="158" t="s">
        <v>149</v>
      </c>
      <c r="W271" s="153" t="s">
        <v>2160</v>
      </c>
      <c r="X271" s="153" t="s">
        <v>6035</v>
      </c>
      <c r="Y271" s="153"/>
      <c r="Z271" s="153"/>
      <c r="AA271" s="153"/>
      <c r="AB271" s="158" t="s">
        <v>166</v>
      </c>
      <c r="AC271" s="153" t="s">
        <v>2161</v>
      </c>
      <c r="AD271" s="172" t="s">
        <v>2162</v>
      </c>
      <c r="AE271" s="153"/>
      <c r="AF271" s="153"/>
      <c r="AG271" s="153"/>
    </row>
    <row r="272" ht="15.75" customHeight="1">
      <c r="A272" s="238">
        <v>2025.0</v>
      </c>
      <c r="B272" s="230">
        <v>271.0</v>
      </c>
      <c r="C272" s="153" t="s">
        <v>7899</v>
      </c>
      <c r="D272" s="153" t="s">
        <v>194</v>
      </c>
      <c r="E272" s="153" t="s">
        <v>965</v>
      </c>
      <c r="F272" s="153" t="s">
        <v>966</v>
      </c>
      <c r="G272" s="153" t="s">
        <v>934</v>
      </c>
      <c r="H272" s="153"/>
      <c r="I272" s="230">
        <v>2001.0</v>
      </c>
      <c r="J272" s="230">
        <v>2001.0</v>
      </c>
      <c r="K272" s="230">
        <v>2005.0</v>
      </c>
      <c r="L272" s="153" t="s">
        <v>6062</v>
      </c>
      <c r="M272" s="153" t="s">
        <v>6276</v>
      </c>
      <c r="N272" s="158" t="s">
        <v>179</v>
      </c>
      <c r="O272" s="153" t="s">
        <v>939</v>
      </c>
      <c r="P272" s="153" t="s">
        <v>940</v>
      </c>
      <c r="Q272" s="158" t="s">
        <v>6154</v>
      </c>
      <c r="R272" s="158" t="s">
        <v>206</v>
      </c>
      <c r="S272" s="158" t="s">
        <v>204</v>
      </c>
      <c r="T272" s="158" t="s">
        <v>149</v>
      </c>
      <c r="U272" s="158" t="s">
        <v>149</v>
      </c>
      <c r="V272" s="158" t="s">
        <v>149</v>
      </c>
      <c r="W272" s="153" t="s">
        <v>233</v>
      </c>
      <c r="X272" s="158" t="s">
        <v>6068</v>
      </c>
      <c r="Y272" s="153"/>
      <c r="Z272" s="153"/>
      <c r="AA272" s="153"/>
      <c r="AB272" s="158" t="s">
        <v>6214</v>
      </c>
      <c r="AC272" s="153" t="s">
        <v>941</v>
      </c>
      <c r="AD272" s="153" t="s">
        <v>942</v>
      </c>
      <c r="AE272" s="153" t="s">
        <v>943</v>
      </c>
      <c r="AF272" s="153"/>
      <c r="AG272" s="153"/>
    </row>
    <row r="273" ht="15.75" customHeight="1">
      <c r="A273" s="238">
        <v>2025.0</v>
      </c>
      <c r="B273" s="230">
        <v>272.0</v>
      </c>
      <c r="C273" s="153" t="s">
        <v>7899</v>
      </c>
      <c r="D273" s="153" t="s">
        <v>194</v>
      </c>
      <c r="E273" s="153" t="s">
        <v>1530</v>
      </c>
      <c r="F273" s="153" t="s">
        <v>1531</v>
      </c>
      <c r="G273" s="153" t="s">
        <v>1532</v>
      </c>
      <c r="H273" s="153" t="s">
        <v>1533</v>
      </c>
      <c r="I273" s="158" t="s">
        <v>149</v>
      </c>
      <c r="J273" s="192" t="s">
        <v>149</v>
      </c>
      <c r="K273" s="192" t="s">
        <v>149</v>
      </c>
      <c r="L273" s="153" t="s">
        <v>151</v>
      </c>
      <c r="M273" s="153" t="s">
        <v>1535</v>
      </c>
      <c r="N273" s="158" t="s">
        <v>152</v>
      </c>
      <c r="O273" s="158" t="s">
        <v>149</v>
      </c>
      <c r="P273" s="158" t="s">
        <v>149</v>
      </c>
      <c r="Q273" s="158" t="s">
        <v>149</v>
      </c>
      <c r="R273" s="158" t="s">
        <v>149</v>
      </c>
      <c r="S273" s="158" t="s">
        <v>149</v>
      </c>
      <c r="T273" s="158" t="s">
        <v>149</v>
      </c>
      <c r="U273" s="158" t="s">
        <v>149</v>
      </c>
      <c r="V273" s="153" t="s">
        <v>7139</v>
      </c>
      <c r="W273" s="158" t="s">
        <v>149</v>
      </c>
      <c r="X273" s="158" t="s">
        <v>149</v>
      </c>
      <c r="Y273" s="153"/>
      <c r="Z273" s="153"/>
      <c r="AA273" s="153"/>
      <c r="AB273" s="158" t="s">
        <v>6091</v>
      </c>
      <c r="AC273" s="153" t="s">
        <v>1537</v>
      </c>
      <c r="AD273" s="165" t="s">
        <v>1538</v>
      </c>
      <c r="AE273" s="153"/>
      <c r="AF273" s="153"/>
      <c r="AG273" s="153"/>
    </row>
    <row r="274" ht="15.75" customHeight="1">
      <c r="A274" s="238">
        <v>2025.0</v>
      </c>
      <c r="B274" s="230">
        <v>273.0</v>
      </c>
      <c r="C274" s="153" t="s">
        <v>7899</v>
      </c>
      <c r="D274" s="153" t="s">
        <v>194</v>
      </c>
      <c r="E274" s="153" t="s">
        <v>2176</v>
      </c>
      <c r="F274" s="153" t="s">
        <v>2177</v>
      </c>
      <c r="G274" s="153" t="s">
        <v>6587</v>
      </c>
      <c r="H274" s="153" t="s">
        <v>7142</v>
      </c>
      <c r="I274" s="158" t="s">
        <v>149</v>
      </c>
      <c r="J274" s="230">
        <v>2012.0</v>
      </c>
      <c r="K274" s="192" t="s">
        <v>149</v>
      </c>
      <c r="L274" s="153" t="s">
        <v>151</v>
      </c>
      <c r="M274" s="158" t="s">
        <v>149</v>
      </c>
      <c r="N274" s="158" t="s">
        <v>149</v>
      </c>
      <c r="O274" s="158" t="s">
        <v>149</v>
      </c>
      <c r="P274" s="153" t="s">
        <v>341</v>
      </c>
      <c r="Q274" s="158" t="s">
        <v>160</v>
      </c>
      <c r="R274" s="158" t="s">
        <v>6035</v>
      </c>
      <c r="S274" s="158" t="s">
        <v>159</v>
      </c>
      <c r="T274" s="158" t="s">
        <v>149</v>
      </c>
      <c r="U274" s="158" t="s">
        <v>149</v>
      </c>
      <c r="V274" s="158" t="s">
        <v>149</v>
      </c>
      <c r="W274" s="153" t="s">
        <v>2160</v>
      </c>
      <c r="X274" s="153" t="s">
        <v>6035</v>
      </c>
      <c r="Y274" s="153"/>
      <c r="Z274" s="153"/>
      <c r="AA274" s="153"/>
      <c r="AB274" s="158" t="s">
        <v>166</v>
      </c>
      <c r="AC274" s="153" t="s">
        <v>2161</v>
      </c>
      <c r="AD274" s="172" t="s">
        <v>2162</v>
      </c>
      <c r="AE274" s="153"/>
      <c r="AF274" s="153"/>
      <c r="AG274" s="153"/>
    </row>
    <row r="275" ht="15.75" customHeight="1">
      <c r="A275" s="238">
        <v>2025.0</v>
      </c>
      <c r="B275" s="230">
        <v>274.0</v>
      </c>
      <c r="C275" s="153" t="s">
        <v>7899</v>
      </c>
      <c r="D275" s="153" t="s">
        <v>194</v>
      </c>
      <c r="E275" s="153" t="s">
        <v>2181</v>
      </c>
      <c r="F275" s="153" t="s">
        <v>2182</v>
      </c>
      <c r="G275" s="153" t="s">
        <v>6587</v>
      </c>
      <c r="H275" s="153" t="s">
        <v>7142</v>
      </c>
      <c r="I275" s="158" t="s">
        <v>149</v>
      </c>
      <c r="J275" s="230">
        <v>2012.0</v>
      </c>
      <c r="K275" s="192" t="s">
        <v>149</v>
      </c>
      <c r="L275" s="153" t="s">
        <v>151</v>
      </c>
      <c r="M275" s="158" t="s">
        <v>149</v>
      </c>
      <c r="N275" s="158" t="s">
        <v>149</v>
      </c>
      <c r="O275" s="158" t="s">
        <v>149</v>
      </c>
      <c r="P275" s="153" t="s">
        <v>341</v>
      </c>
      <c r="Q275" s="158" t="s">
        <v>160</v>
      </c>
      <c r="R275" s="158" t="s">
        <v>6035</v>
      </c>
      <c r="S275" s="158" t="s">
        <v>159</v>
      </c>
      <c r="T275" s="158" t="s">
        <v>149</v>
      </c>
      <c r="U275" s="158" t="s">
        <v>149</v>
      </c>
      <c r="V275" s="158" t="s">
        <v>149</v>
      </c>
      <c r="W275" s="153" t="s">
        <v>2160</v>
      </c>
      <c r="X275" s="153" t="s">
        <v>6035</v>
      </c>
      <c r="Y275" s="153"/>
      <c r="Z275" s="153"/>
      <c r="AA275" s="153"/>
      <c r="AB275" s="158" t="s">
        <v>166</v>
      </c>
      <c r="AC275" s="153" t="s">
        <v>2161</v>
      </c>
      <c r="AD275" s="172" t="s">
        <v>2162</v>
      </c>
      <c r="AE275" s="153"/>
      <c r="AF275" s="153"/>
      <c r="AG275" s="153"/>
    </row>
    <row r="276" ht="15.75" customHeight="1">
      <c r="A276" s="238">
        <v>2025.0</v>
      </c>
      <c r="B276" s="230">
        <v>275.0</v>
      </c>
      <c r="C276" s="153" t="s">
        <v>7899</v>
      </c>
      <c r="D276" s="153" t="s">
        <v>194</v>
      </c>
      <c r="E276" s="153" t="s">
        <v>814</v>
      </c>
      <c r="F276" s="153" t="s">
        <v>815</v>
      </c>
      <c r="G276" s="153" t="s">
        <v>816</v>
      </c>
      <c r="H276" s="153"/>
      <c r="I276" s="192">
        <v>1988.0</v>
      </c>
      <c r="J276" s="192">
        <v>1984.0</v>
      </c>
      <c r="K276" s="192">
        <v>1992.0</v>
      </c>
      <c r="L276" s="153" t="s">
        <v>151</v>
      </c>
      <c r="M276" s="158" t="s">
        <v>149</v>
      </c>
      <c r="N276" s="158" t="s">
        <v>149</v>
      </c>
      <c r="O276" s="153" t="s">
        <v>819</v>
      </c>
      <c r="P276" s="153" t="s">
        <v>820</v>
      </c>
      <c r="Q276" s="158" t="s">
        <v>6154</v>
      </c>
      <c r="R276" s="158" t="s">
        <v>206</v>
      </c>
      <c r="S276" s="158" t="s">
        <v>159</v>
      </c>
      <c r="T276" s="158" t="s">
        <v>149</v>
      </c>
      <c r="U276" s="158" t="s">
        <v>149</v>
      </c>
      <c r="V276" s="158" t="s">
        <v>149</v>
      </c>
      <c r="W276" s="153" t="s">
        <v>821</v>
      </c>
      <c r="X276" s="153" t="s">
        <v>6035</v>
      </c>
      <c r="Y276" s="153" t="s">
        <v>822</v>
      </c>
      <c r="Z276" s="153"/>
      <c r="AA276" s="153"/>
      <c r="AB276" s="153" t="s">
        <v>6084</v>
      </c>
      <c r="AC276" s="153" t="s">
        <v>823</v>
      </c>
      <c r="AD276" s="172" t="s">
        <v>824</v>
      </c>
      <c r="AE276" s="153"/>
      <c r="AF276" s="153"/>
      <c r="AG276" s="153"/>
    </row>
    <row r="277" ht="15.75" customHeight="1">
      <c r="A277" s="238">
        <v>2025.0</v>
      </c>
      <c r="B277" s="230">
        <v>276.0</v>
      </c>
      <c r="C277" s="153" t="s">
        <v>7899</v>
      </c>
      <c r="D277" s="153" t="s">
        <v>194</v>
      </c>
      <c r="E277" s="153" t="s">
        <v>2185</v>
      </c>
      <c r="F277" s="153" t="s">
        <v>2186</v>
      </c>
      <c r="G277" s="153" t="s">
        <v>6587</v>
      </c>
      <c r="H277" s="153" t="s">
        <v>7142</v>
      </c>
      <c r="I277" s="158" t="s">
        <v>149</v>
      </c>
      <c r="J277" s="230">
        <v>2012.0</v>
      </c>
      <c r="K277" s="192" t="s">
        <v>149</v>
      </c>
      <c r="L277" s="153" t="s">
        <v>151</v>
      </c>
      <c r="M277" s="158" t="s">
        <v>149</v>
      </c>
      <c r="N277" s="158" t="s">
        <v>149</v>
      </c>
      <c r="O277" s="153" t="s">
        <v>7101</v>
      </c>
      <c r="P277" s="153" t="s">
        <v>341</v>
      </c>
      <c r="Q277" s="158" t="s">
        <v>160</v>
      </c>
      <c r="R277" s="158" t="s">
        <v>6035</v>
      </c>
      <c r="S277" s="158" t="s">
        <v>159</v>
      </c>
      <c r="T277" s="158" t="s">
        <v>149</v>
      </c>
      <c r="U277" s="158" t="s">
        <v>149</v>
      </c>
      <c r="V277" s="158" t="s">
        <v>149</v>
      </c>
      <c r="W277" s="153" t="s">
        <v>2160</v>
      </c>
      <c r="X277" s="153" t="s">
        <v>6035</v>
      </c>
      <c r="Y277" s="153"/>
      <c r="Z277" s="153"/>
      <c r="AA277" s="153"/>
      <c r="AB277" s="158" t="s">
        <v>166</v>
      </c>
      <c r="AC277" s="153" t="s">
        <v>2161</v>
      </c>
      <c r="AD277" s="172" t="s">
        <v>2162</v>
      </c>
      <c r="AE277" s="153"/>
      <c r="AF277" s="153"/>
      <c r="AG277" s="153"/>
    </row>
    <row r="278" ht="15.75" customHeight="1">
      <c r="A278" s="238">
        <v>2025.0</v>
      </c>
      <c r="B278" s="230">
        <v>277.0</v>
      </c>
      <c r="C278" s="153" t="s">
        <v>7899</v>
      </c>
      <c r="D278" s="153" t="s">
        <v>194</v>
      </c>
      <c r="E278" s="153" t="s">
        <v>195</v>
      </c>
      <c r="F278" s="153" t="s">
        <v>196</v>
      </c>
      <c r="G278" s="158" t="s">
        <v>149</v>
      </c>
      <c r="H278" s="153"/>
      <c r="I278" s="230">
        <v>2022.0</v>
      </c>
      <c r="J278" s="192" t="s">
        <v>149</v>
      </c>
      <c r="K278" s="192" t="s">
        <v>149</v>
      </c>
      <c r="L278" s="153" t="s">
        <v>6062</v>
      </c>
      <c r="M278" s="153" t="s">
        <v>6666</v>
      </c>
      <c r="N278" s="158" t="s">
        <v>179</v>
      </c>
      <c r="O278" s="158" t="s">
        <v>149</v>
      </c>
      <c r="P278" s="153" t="s">
        <v>3147</v>
      </c>
      <c r="Q278" s="158" t="s">
        <v>160</v>
      </c>
      <c r="R278" s="158" t="s">
        <v>306</v>
      </c>
      <c r="S278" s="158" t="s">
        <v>159</v>
      </c>
      <c r="T278" s="158" t="s">
        <v>149</v>
      </c>
      <c r="U278" s="158" t="s">
        <v>149</v>
      </c>
      <c r="V278" s="158" t="s">
        <v>149</v>
      </c>
      <c r="W278" s="158" t="s">
        <v>3147</v>
      </c>
      <c r="X278" s="153" t="s">
        <v>306</v>
      </c>
      <c r="Y278" s="153"/>
      <c r="Z278" s="153"/>
      <c r="AA278" s="153"/>
      <c r="AB278" s="153" t="s">
        <v>214</v>
      </c>
      <c r="AC278" s="153" t="s">
        <v>214</v>
      </c>
      <c r="AD278" s="153"/>
      <c r="AE278" s="153" t="s">
        <v>3148</v>
      </c>
      <c r="AF278" s="153"/>
      <c r="AG278" s="153"/>
    </row>
    <row r="279" ht="15.75" customHeight="1">
      <c r="A279" s="238">
        <v>2025.0</v>
      </c>
      <c r="B279" s="230">
        <v>278.0</v>
      </c>
      <c r="C279" s="153" t="s">
        <v>7899</v>
      </c>
      <c r="D279" s="153" t="s">
        <v>194</v>
      </c>
      <c r="E279" s="153" t="s">
        <v>195</v>
      </c>
      <c r="F279" s="153" t="s">
        <v>196</v>
      </c>
      <c r="G279" s="153" t="s">
        <v>3412</v>
      </c>
      <c r="H279" s="153"/>
      <c r="I279" s="230">
        <v>2014.0</v>
      </c>
      <c r="J279" s="230">
        <v>2014.0</v>
      </c>
      <c r="K279" s="230">
        <v>2016.0</v>
      </c>
      <c r="L279" s="153" t="s">
        <v>6221</v>
      </c>
      <c r="M279" s="158" t="s">
        <v>149</v>
      </c>
      <c r="N279" s="158" t="s">
        <v>149</v>
      </c>
      <c r="O279" s="158" t="s">
        <v>149</v>
      </c>
      <c r="P279" s="153" t="s">
        <v>321</v>
      </c>
      <c r="Q279" s="158" t="s">
        <v>160</v>
      </c>
      <c r="R279" s="158" t="s">
        <v>6035</v>
      </c>
      <c r="S279" s="158" t="s">
        <v>204</v>
      </c>
      <c r="T279" s="158" t="s">
        <v>149</v>
      </c>
      <c r="U279" s="158" t="s">
        <v>149</v>
      </c>
      <c r="V279" s="158" t="s">
        <v>149</v>
      </c>
      <c r="W279" s="153" t="s">
        <v>885</v>
      </c>
      <c r="X279" s="158" t="s">
        <v>6068</v>
      </c>
      <c r="Y279" s="153" t="s">
        <v>1858</v>
      </c>
      <c r="Z279" s="153"/>
      <c r="AA279" s="153"/>
      <c r="AB279" s="158" t="s">
        <v>6069</v>
      </c>
      <c r="AC279" s="153" t="s">
        <v>1859</v>
      </c>
      <c r="AD279" s="153" t="s">
        <v>6070</v>
      </c>
      <c r="AE279" s="153" t="s">
        <v>1861</v>
      </c>
      <c r="AF279" s="239" t="s">
        <v>1862</v>
      </c>
      <c r="AG279" s="153"/>
    </row>
    <row r="280" ht="15.75" customHeight="1">
      <c r="A280" s="238">
        <v>2025.0</v>
      </c>
      <c r="B280" s="230">
        <v>279.0</v>
      </c>
      <c r="C280" s="153" t="s">
        <v>7899</v>
      </c>
      <c r="D280" s="153" t="s">
        <v>194</v>
      </c>
      <c r="E280" s="153" t="s">
        <v>195</v>
      </c>
      <c r="F280" s="153" t="s">
        <v>196</v>
      </c>
      <c r="G280" s="153" t="s">
        <v>6235</v>
      </c>
      <c r="H280" s="153" t="s">
        <v>198</v>
      </c>
      <c r="I280" s="230">
        <v>2024.0</v>
      </c>
      <c r="J280" s="230">
        <v>2021.0</v>
      </c>
      <c r="K280" s="192">
        <v>2025.0</v>
      </c>
      <c r="L280" s="153" t="s">
        <v>6221</v>
      </c>
      <c r="M280" s="158" t="s">
        <v>201</v>
      </c>
      <c r="N280" s="158" t="s">
        <v>224</v>
      </c>
      <c r="O280" s="153" t="s">
        <v>202</v>
      </c>
      <c r="P280" s="153" t="s">
        <v>203</v>
      </c>
      <c r="Q280" s="158" t="s">
        <v>6154</v>
      </c>
      <c r="R280" s="158" t="s">
        <v>206</v>
      </c>
      <c r="S280" s="158" t="s">
        <v>204</v>
      </c>
      <c r="T280" s="158" t="s">
        <v>149</v>
      </c>
      <c r="U280" s="158" t="s">
        <v>149</v>
      </c>
      <c r="V280" s="158" t="s">
        <v>149</v>
      </c>
      <c r="W280" s="153" t="s">
        <v>208</v>
      </c>
      <c r="X280" s="158" t="s">
        <v>6068</v>
      </c>
      <c r="Y280" s="153" t="s">
        <v>6614</v>
      </c>
      <c r="Z280" s="153" t="s">
        <v>212</v>
      </c>
      <c r="AA280" s="153"/>
      <c r="AB280" s="153" t="s">
        <v>214</v>
      </c>
      <c r="AC280" s="153" t="s">
        <v>214</v>
      </c>
      <c r="AD280" s="153"/>
      <c r="AE280" s="153"/>
      <c r="AF280" s="239"/>
      <c r="AG280" s="153"/>
    </row>
    <row r="281" ht="15.75" customHeight="1">
      <c r="A281" s="238">
        <v>2025.0</v>
      </c>
      <c r="B281" s="230">
        <v>280.0</v>
      </c>
      <c r="C281" s="153" t="s">
        <v>7899</v>
      </c>
      <c r="D281" s="153" t="s">
        <v>194</v>
      </c>
      <c r="E281" s="153" t="s">
        <v>2222</v>
      </c>
      <c r="F281" s="153" t="s">
        <v>2223</v>
      </c>
      <c r="G281" s="153" t="s">
        <v>2224</v>
      </c>
      <c r="H281" s="153" t="s">
        <v>2225</v>
      </c>
      <c r="I281" s="230">
        <v>2019.0</v>
      </c>
      <c r="J281" s="230">
        <v>2019.0</v>
      </c>
      <c r="K281" s="230">
        <v>2023.0</v>
      </c>
      <c r="L281" s="153" t="s">
        <v>7163</v>
      </c>
      <c r="M281" s="153" t="s">
        <v>320</v>
      </c>
      <c r="N281" s="158" t="s">
        <v>179</v>
      </c>
      <c r="O281" s="153" t="s">
        <v>2227</v>
      </c>
      <c r="P281" s="153" t="s">
        <v>2228</v>
      </c>
      <c r="Q281" s="158" t="s">
        <v>160</v>
      </c>
      <c r="R281" s="158" t="s">
        <v>184</v>
      </c>
      <c r="S281" s="158" t="s">
        <v>159</v>
      </c>
      <c r="T281" s="158" t="s">
        <v>149</v>
      </c>
      <c r="U281" s="158" t="s">
        <v>149</v>
      </c>
      <c r="V281" s="158" t="s">
        <v>149</v>
      </c>
      <c r="W281" s="153" t="s">
        <v>2229</v>
      </c>
      <c r="X281" s="153" t="s">
        <v>306</v>
      </c>
      <c r="Y281" s="153" t="s">
        <v>2230</v>
      </c>
      <c r="Z281" s="153" t="s">
        <v>7165</v>
      </c>
      <c r="AA281" s="153" t="s">
        <v>2232</v>
      </c>
      <c r="AB281" s="153" t="s">
        <v>213</v>
      </c>
      <c r="AC281" s="153" t="s">
        <v>213</v>
      </c>
      <c r="AD281" s="165" t="s">
        <v>2233</v>
      </c>
      <c r="AE281" s="153" t="s">
        <v>2234</v>
      </c>
      <c r="AF281" s="165" t="s">
        <v>2235</v>
      </c>
      <c r="AG281" s="153"/>
    </row>
    <row r="282" ht="15.75" customHeight="1">
      <c r="A282" s="238">
        <v>2025.0</v>
      </c>
      <c r="B282" s="230">
        <v>281.0</v>
      </c>
      <c r="C282" s="153" t="s">
        <v>7899</v>
      </c>
      <c r="D282" s="153" t="s">
        <v>194</v>
      </c>
      <c r="E282" s="153" t="s">
        <v>7114</v>
      </c>
      <c r="F282" s="153" t="s">
        <v>217</v>
      </c>
      <c r="G282" s="153" t="s">
        <v>384</v>
      </c>
      <c r="H282" s="153" t="s">
        <v>2880</v>
      </c>
      <c r="I282" s="230">
        <v>1979.0</v>
      </c>
      <c r="J282" s="230">
        <v>1985.0</v>
      </c>
      <c r="K282" s="230">
        <v>1987.0</v>
      </c>
      <c r="L282" s="153" t="s">
        <v>151</v>
      </c>
      <c r="M282" s="153" t="s">
        <v>6054</v>
      </c>
      <c r="N282" s="158" t="s">
        <v>6054</v>
      </c>
      <c r="O282" s="158" t="s">
        <v>149</v>
      </c>
      <c r="P282" s="153" t="s">
        <v>390</v>
      </c>
      <c r="Q282" s="158" t="s">
        <v>160</v>
      </c>
      <c r="R282" s="158" t="s">
        <v>6035</v>
      </c>
      <c r="S282" s="158" t="s">
        <v>159</v>
      </c>
      <c r="T282" s="158" t="s">
        <v>149</v>
      </c>
      <c r="U282" s="158" t="s">
        <v>149</v>
      </c>
      <c r="V282" s="153" t="s">
        <v>391</v>
      </c>
      <c r="W282" s="153" t="s">
        <v>390</v>
      </c>
      <c r="X282" s="153" t="s">
        <v>6035</v>
      </c>
      <c r="Y282" s="153" t="s">
        <v>6055</v>
      </c>
      <c r="Z282" s="153"/>
      <c r="AA282" s="153"/>
      <c r="AB282" s="158" t="s">
        <v>395</v>
      </c>
      <c r="AC282" s="153" t="s">
        <v>6060</v>
      </c>
      <c r="AD282" s="158" t="s">
        <v>6711</v>
      </c>
      <c r="AE282" s="153" t="s">
        <v>398</v>
      </c>
      <c r="AF282" s="239"/>
      <c r="AG282" s="153" t="s">
        <v>6109</v>
      </c>
    </row>
    <row r="283" ht="15.75" customHeight="1">
      <c r="A283" s="238">
        <v>2025.0</v>
      </c>
      <c r="B283" s="230">
        <v>282.0</v>
      </c>
      <c r="C283" s="153" t="s">
        <v>7899</v>
      </c>
      <c r="D283" s="153" t="s">
        <v>194</v>
      </c>
      <c r="E283" s="153" t="s">
        <v>7114</v>
      </c>
      <c r="F283" s="153" t="s">
        <v>217</v>
      </c>
      <c r="G283" s="153" t="s">
        <v>384</v>
      </c>
      <c r="H283" s="153" t="s">
        <v>2882</v>
      </c>
      <c r="I283" s="230">
        <v>1982.0</v>
      </c>
      <c r="J283" s="230">
        <v>1985.0</v>
      </c>
      <c r="K283" s="230">
        <v>1987.0</v>
      </c>
      <c r="L283" s="153" t="s">
        <v>151</v>
      </c>
      <c r="M283" s="153" t="s">
        <v>6054</v>
      </c>
      <c r="N283" s="158" t="s">
        <v>6054</v>
      </c>
      <c r="O283" s="158" t="s">
        <v>149</v>
      </c>
      <c r="P283" s="153" t="s">
        <v>390</v>
      </c>
      <c r="Q283" s="158" t="s">
        <v>160</v>
      </c>
      <c r="R283" s="158" t="s">
        <v>6035</v>
      </c>
      <c r="S283" s="158" t="s">
        <v>159</v>
      </c>
      <c r="T283" s="158" t="s">
        <v>149</v>
      </c>
      <c r="U283" s="158" t="s">
        <v>149</v>
      </c>
      <c r="V283" s="153" t="s">
        <v>414</v>
      </c>
      <c r="W283" s="153" t="s">
        <v>390</v>
      </c>
      <c r="X283" s="153" t="s">
        <v>6035</v>
      </c>
      <c r="Y283" s="153" t="s">
        <v>6055</v>
      </c>
      <c r="Z283" s="153"/>
      <c r="AA283" s="153"/>
      <c r="AB283" s="158" t="s">
        <v>395</v>
      </c>
      <c r="AC283" s="153" t="s">
        <v>6060</v>
      </c>
      <c r="AD283" s="158" t="s">
        <v>6711</v>
      </c>
      <c r="AE283" s="153" t="s">
        <v>398</v>
      </c>
      <c r="AF283" s="239"/>
      <c r="AG283" s="153" t="s">
        <v>6109</v>
      </c>
    </row>
    <row r="284" ht="15.75" customHeight="1">
      <c r="A284" s="238">
        <v>2025.0</v>
      </c>
      <c r="B284" s="230">
        <v>283.0</v>
      </c>
      <c r="C284" s="153" t="s">
        <v>7899</v>
      </c>
      <c r="D284" s="153" t="s">
        <v>194</v>
      </c>
      <c r="E284" s="153" t="s">
        <v>7114</v>
      </c>
      <c r="F284" s="153" t="s">
        <v>217</v>
      </c>
      <c r="G284" s="153" t="s">
        <v>877</v>
      </c>
      <c r="H284" s="153" t="s">
        <v>878</v>
      </c>
      <c r="I284" s="230">
        <v>1997.0</v>
      </c>
      <c r="J284" s="230">
        <v>1997.0</v>
      </c>
      <c r="K284" s="230">
        <v>2000.0</v>
      </c>
      <c r="L284" s="153" t="s">
        <v>6062</v>
      </c>
      <c r="M284" s="153" t="s">
        <v>320</v>
      </c>
      <c r="N284" s="158" t="s">
        <v>179</v>
      </c>
      <c r="O284" s="153" t="s">
        <v>881</v>
      </c>
      <c r="P284" s="153" t="s">
        <v>7120</v>
      </c>
      <c r="Q284" s="158" t="s">
        <v>6154</v>
      </c>
      <c r="R284" s="158" t="s">
        <v>206</v>
      </c>
      <c r="S284" s="158" t="s">
        <v>159</v>
      </c>
      <c r="T284" s="158" t="s">
        <v>149</v>
      </c>
      <c r="U284" s="153" t="s">
        <v>7121</v>
      </c>
      <c r="V284" s="188" t="s">
        <v>884</v>
      </c>
      <c r="W284" s="153" t="s">
        <v>885</v>
      </c>
      <c r="X284" s="158" t="s">
        <v>6068</v>
      </c>
      <c r="Y284" s="153" t="s">
        <v>887</v>
      </c>
      <c r="Z284" s="153"/>
      <c r="AA284" s="153" t="s">
        <v>888</v>
      </c>
      <c r="AB284" s="158" t="s">
        <v>395</v>
      </c>
      <c r="AC284" s="153" t="s">
        <v>7182</v>
      </c>
      <c r="AD284" s="165" t="s">
        <v>942</v>
      </c>
      <c r="AE284" s="153" t="s">
        <v>1280</v>
      </c>
      <c r="AF284" s="153"/>
      <c r="AG284" s="153"/>
    </row>
    <row r="285" ht="15.75" customHeight="1">
      <c r="A285" s="238">
        <v>2025.0</v>
      </c>
      <c r="B285" s="230">
        <v>284.0</v>
      </c>
      <c r="C285" s="153" t="s">
        <v>7899</v>
      </c>
      <c r="D285" s="153" t="s">
        <v>194</v>
      </c>
      <c r="E285" s="153" t="s">
        <v>7114</v>
      </c>
      <c r="F285" s="153" t="s">
        <v>217</v>
      </c>
      <c r="G285" s="158" t="s">
        <v>149</v>
      </c>
      <c r="H285" s="153" t="s">
        <v>3150</v>
      </c>
      <c r="I285" s="230">
        <v>2014.0</v>
      </c>
      <c r="J285" s="230">
        <v>2014.0</v>
      </c>
      <c r="K285" s="230">
        <v>2015.0</v>
      </c>
      <c r="L285" s="153" t="s">
        <v>6062</v>
      </c>
      <c r="M285" s="153" t="s">
        <v>7185</v>
      </c>
      <c r="N285" s="158" t="s">
        <v>179</v>
      </c>
      <c r="O285" s="158" t="s">
        <v>149</v>
      </c>
      <c r="P285" s="158" t="s">
        <v>149</v>
      </c>
      <c r="Q285" s="158" t="s">
        <v>149</v>
      </c>
      <c r="R285" s="158" t="s">
        <v>149</v>
      </c>
      <c r="S285" s="158" t="s">
        <v>149</v>
      </c>
      <c r="T285" s="158" t="s">
        <v>149</v>
      </c>
      <c r="U285" s="158" t="s">
        <v>149</v>
      </c>
      <c r="V285" s="158" t="s">
        <v>149</v>
      </c>
      <c r="W285" s="153" t="s">
        <v>885</v>
      </c>
      <c r="X285" s="158" t="s">
        <v>6068</v>
      </c>
      <c r="Y285" s="153"/>
      <c r="Z285" s="153"/>
      <c r="AA285" s="153"/>
      <c r="AB285" s="158" t="s">
        <v>7186</v>
      </c>
      <c r="AC285" s="153" t="s">
        <v>3151</v>
      </c>
      <c r="AD285" s="165" t="s">
        <v>7187</v>
      </c>
      <c r="AE285" s="153"/>
      <c r="AF285" s="153"/>
      <c r="AG285" s="153"/>
    </row>
    <row r="286" ht="15.75" customHeight="1">
      <c r="A286" s="238">
        <v>2025.0</v>
      </c>
      <c r="B286" s="230">
        <v>285.0</v>
      </c>
      <c r="C286" s="153" t="s">
        <v>7899</v>
      </c>
      <c r="D286" s="153" t="s">
        <v>194</v>
      </c>
      <c r="E286" s="153" t="s">
        <v>7114</v>
      </c>
      <c r="F286" s="153" t="s">
        <v>217</v>
      </c>
      <c r="G286" s="158" t="s">
        <v>149</v>
      </c>
      <c r="H286" s="153" t="s">
        <v>218</v>
      </c>
      <c r="I286" s="230">
        <v>2014.0</v>
      </c>
      <c r="J286" s="230">
        <v>2014.0</v>
      </c>
      <c r="K286" s="230">
        <v>2015.0</v>
      </c>
      <c r="L286" s="153" t="s">
        <v>6814</v>
      </c>
      <c r="M286" s="153" t="s">
        <v>7185</v>
      </c>
      <c r="N286" s="158" t="s">
        <v>179</v>
      </c>
      <c r="O286" s="158" t="s">
        <v>149</v>
      </c>
      <c r="P286" s="158" t="s">
        <v>149</v>
      </c>
      <c r="Q286" s="158" t="s">
        <v>149</v>
      </c>
      <c r="R286" s="158" t="s">
        <v>149</v>
      </c>
      <c r="S286" s="158" t="s">
        <v>149</v>
      </c>
      <c r="T286" s="158" t="s">
        <v>149</v>
      </c>
      <c r="U286" s="158" t="s">
        <v>149</v>
      </c>
      <c r="V286" s="158" t="s">
        <v>149</v>
      </c>
      <c r="W286" s="153" t="s">
        <v>885</v>
      </c>
      <c r="X286" s="158" t="s">
        <v>6068</v>
      </c>
      <c r="Y286" s="153"/>
      <c r="Z286" s="153"/>
      <c r="AA286" s="153"/>
      <c r="AB286" s="158" t="s">
        <v>7186</v>
      </c>
      <c r="AC286" s="153" t="s">
        <v>3151</v>
      </c>
      <c r="AD286" s="165" t="s">
        <v>7187</v>
      </c>
      <c r="AE286" s="153"/>
      <c r="AF286" s="153"/>
      <c r="AG286" s="153"/>
    </row>
    <row r="287" ht="15.75" customHeight="1">
      <c r="A287" s="238">
        <v>2025.0</v>
      </c>
      <c r="B287" s="230">
        <v>286.0</v>
      </c>
      <c r="C287" s="153" t="s">
        <v>7899</v>
      </c>
      <c r="D287" s="153" t="s">
        <v>194</v>
      </c>
      <c r="E287" s="153" t="s">
        <v>7114</v>
      </c>
      <c r="F287" s="153" t="s">
        <v>217</v>
      </c>
      <c r="G287" s="153" t="s">
        <v>2073</v>
      </c>
      <c r="H287" s="153" t="s">
        <v>218</v>
      </c>
      <c r="I287" s="192" t="s">
        <v>149</v>
      </c>
      <c r="J287" s="192" t="s">
        <v>149</v>
      </c>
      <c r="K287" s="192" t="s">
        <v>149</v>
      </c>
      <c r="L287" s="153" t="s">
        <v>6062</v>
      </c>
      <c r="M287" s="153" t="s">
        <v>7193</v>
      </c>
      <c r="N287" s="158" t="s">
        <v>179</v>
      </c>
      <c r="O287" s="153" t="s">
        <v>7132</v>
      </c>
      <c r="P287" s="153" t="s">
        <v>2077</v>
      </c>
      <c r="Q287" s="158" t="s">
        <v>160</v>
      </c>
      <c r="R287" s="158" t="s">
        <v>184</v>
      </c>
      <c r="S287" s="158" t="s">
        <v>159</v>
      </c>
      <c r="T287" s="158" t="s">
        <v>149</v>
      </c>
      <c r="U287" s="158" t="s">
        <v>149</v>
      </c>
      <c r="V287" s="158" t="s">
        <v>149</v>
      </c>
      <c r="W287" s="153" t="s">
        <v>2077</v>
      </c>
      <c r="X287" s="158" t="s">
        <v>184</v>
      </c>
      <c r="Y287" s="153"/>
      <c r="Z287" s="153"/>
      <c r="AA287" s="153"/>
      <c r="AB287" s="158" t="s">
        <v>6091</v>
      </c>
      <c r="AC287" s="153" t="s">
        <v>2078</v>
      </c>
      <c r="AD287" s="165" t="s">
        <v>2079</v>
      </c>
      <c r="AE287" s="153"/>
      <c r="AF287" s="153"/>
      <c r="AG287" s="153"/>
    </row>
    <row r="288" ht="15.75" customHeight="1">
      <c r="A288" s="238">
        <v>2025.0</v>
      </c>
      <c r="B288" s="230">
        <v>287.0</v>
      </c>
      <c r="C288" s="153" t="s">
        <v>7899</v>
      </c>
      <c r="D288" s="153" t="s">
        <v>194</v>
      </c>
      <c r="E288" s="153" t="s">
        <v>7114</v>
      </c>
      <c r="F288" s="153" t="s">
        <v>217</v>
      </c>
      <c r="G288" s="153" t="s">
        <v>872</v>
      </c>
      <c r="H288" s="153" t="s">
        <v>7198</v>
      </c>
      <c r="I288" s="230">
        <v>2010.0</v>
      </c>
      <c r="J288" s="192" t="s">
        <v>149</v>
      </c>
      <c r="K288" s="192" t="s">
        <v>149</v>
      </c>
      <c r="L288" s="153" t="s">
        <v>6062</v>
      </c>
      <c r="M288" s="153" t="s">
        <v>320</v>
      </c>
      <c r="N288" s="158" t="s">
        <v>149</v>
      </c>
      <c r="O288" s="158" t="s">
        <v>149</v>
      </c>
      <c r="P288" s="153" t="s">
        <v>872</v>
      </c>
      <c r="Q288" s="158" t="s">
        <v>160</v>
      </c>
      <c r="R288" s="158" t="s">
        <v>306</v>
      </c>
      <c r="S288" s="158" t="s">
        <v>159</v>
      </c>
      <c r="T288" s="158" t="s">
        <v>149</v>
      </c>
      <c r="U288" s="158" t="s">
        <v>149</v>
      </c>
      <c r="V288" s="158" t="s">
        <v>149</v>
      </c>
      <c r="W288" s="153" t="s">
        <v>872</v>
      </c>
      <c r="X288" s="158" t="s">
        <v>306</v>
      </c>
      <c r="Y288" s="153"/>
      <c r="Z288" s="153"/>
      <c r="AA288" s="153"/>
      <c r="AB288" s="158" t="s">
        <v>6027</v>
      </c>
      <c r="AC288" s="153" t="s">
        <v>874</v>
      </c>
      <c r="AD288" s="165" t="s">
        <v>875</v>
      </c>
      <c r="AE288" s="153"/>
      <c r="AF288" s="153"/>
      <c r="AG288" s="153"/>
    </row>
    <row r="289" ht="15.75" customHeight="1">
      <c r="A289" s="238">
        <v>2025.0</v>
      </c>
      <c r="B289" s="230">
        <v>288.0</v>
      </c>
      <c r="C289" s="153" t="s">
        <v>7899</v>
      </c>
      <c r="D289" s="153" t="s">
        <v>194</v>
      </c>
      <c r="E289" s="153" t="s">
        <v>7114</v>
      </c>
      <c r="F289" s="153" t="s">
        <v>217</v>
      </c>
      <c r="G289" s="153" t="s">
        <v>3412</v>
      </c>
      <c r="H289" s="153"/>
      <c r="I289" s="230">
        <v>2014.0</v>
      </c>
      <c r="J289" s="230">
        <v>2014.0</v>
      </c>
      <c r="K289" s="230">
        <v>2016.0</v>
      </c>
      <c r="L289" s="153" t="s">
        <v>6221</v>
      </c>
      <c r="M289" s="158" t="s">
        <v>149</v>
      </c>
      <c r="N289" s="158" t="s">
        <v>149</v>
      </c>
      <c r="O289" s="158" t="s">
        <v>149</v>
      </c>
      <c r="P289" s="153" t="s">
        <v>321</v>
      </c>
      <c r="Q289" s="158" t="s">
        <v>160</v>
      </c>
      <c r="R289" s="158" t="s">
        <v>6035</v>
      </c>
      <c r="S289" s="158" t="s">
        <v>204</v>
      </c>
      <c r="T289" s="158" t="s">
        <v>149</v>
      </c>
      <c r="U289" s="158" t="s">
        <v>149</v>
      </c>
      <c r="V289" s="158" t="s">
        <v>149</v>
      </c>
      <c r="W289" s="153" t="s">
        <v>885</v>
      </c>
      <c r="X289" s="158" t="s">
        <v>6068</v>
      </c>
      <c r="Y289" s="153" t="s">
        <v>1858</v>
      </c>
      <c r="Z289" s="153"/>
      <c r="AA289" s="153"/>
      <c r="AB289" s="158" t="s">
        <v>6069</v>
      </c>
      <c r="AC289" s="153" t="s">
        <v>1859</v>
      </c>
      <c r="AD289" s="153" t="s">
        <v>6070</v>
      </c>
      <c r="AE289" s="153" t="s">
        <v>1861</v>
      </c>
      <c r="AF289" s="239" t="s">
        <v>1862</v>
      </c>
      <c r="AG289" s="153"/>
    </row>
    <row r="290" ht="15.75" customHeight="1">
      <c r="A290" s="238">
        <v>2025.0</v>
      </c>
      <c r="B290" s="230">
        <v>289.0</v>
      </c>
      <c r="C290" s="153" t="s">
        <v>7899</v>
      </c>
      <c r="D290" s="153" t="s">
        <v>194</v>
      </c>
      <c r="E290" s="153" t="s">
        <v>7114</v>
      </c>
      <c r="F290" s="153" t="s">
        <v>217</v>
      </c>
      <c r="G290" s="153" t="s">
        <v>934</v>
      </c>
      <c r="H290" s="153"/>
      <c r="I290" s="230">
        <v>2001.0</v>
      </c>
      <c r="J290" s="230">
        <v>2001.0</v>
      </c>
      <c r="K290" s="230">
        <v>2005.0</v>
      </c>
      <c r="L290" s="153" t="s">
        <v>6062</v>
      </c>
      <c r="M290" s="153" t="s">
        <v>3245</v>
      </c>
      <c r="N290" s="158" t="s">
        <v>179</v>
      </c>
      <c r="O290" s="153" t="s">
        <v>939</v>
      </c>
      <c r="P290" s="153" t="s">
        <v>940</v>
      </c>
      <c r="Q290" s="158" t="s">
        <v>6154</v>
      </c>
      <c r="R290" s="158" t="s">
        <v>206</v>
      </c>
      <c r="S290" s="158" t="s">
        <v>204</v>
      </c>
      <c r="T290" s="158" t="s">
        <v>149</v>
      </c>
      <c r="U290" s="158" t="s">
        <v>149</v>
      </c>
      <c r="V290" s="158" t="s">
        <v>149</v>
      </c>
      <c r="W290" s="153" t="s">
        <v>233</v>
      </c>
      <c r="X290" s="158" t="s">
        <v>6068</v>
      </c>
      <c r="Y290" s="153"/>
      <c r="Z290" s="153"/>
      <c r="AA290" s="153"/>
      <c r="AB290" s="158" t="s">
        <v>6214</v>
      </c>
      <c r="AC290" s="153" t="s">
        <v>941</v>
      </c>
      <c r="AD290" s="153" t="s">
        <v>942</v>
      </c>
      <c r="AE290" s="153" t="s">
        <v>943</v>
      </c>
      <c r="AF290" s="153"/>
      <c r="AG290" s="153"/>
    </row>
    <row r="291" ht="15.75" customHeight="1">
      <c r="A291" s="238">
        <v>2025.0</v>
      </c>
      <c r="B291" s="230">
        <v>290.0</v>
      </c>
      <c r="C291" s="153" t="s">
        <v>7899</v>
      </c>
      <c r="D291" s="153" t="s">
        <v>194</v>
      </c>
      <c r="E291" s="153" t="s">
        <v>7114</v>
      </c>
      <c r="F291" s="153" t="s">
        <v>217</v>
      </c>
      <c r="G291" s="153" t="s">
        <v>6235</v>
      </c>
      <c r="H291" s="153" t="s">
        <v>218</v>
      </c>
      <c r="I291" s="230">
        <v>2024.0</v>
      </c>
      <c r="J291" s="230">
        <v>2021.0</v>
      </c>
      <c r="K291" s="192">
        <v>2025.0</v>
      </c>
      <c r="L291" s="153" t="s">
        <v>6221</v>
      </c>
      <c r="M291" s="158" t="s">
        <v>201</v>
      </c>
      <c r="N291" s="158" t="s">
        <v>224</v>
      </c>
      <c r="O291" s="153" t="s">
        <v>202</v>
      </c>
      <c r="P291" s="153" t="s">
        <v>203</v>
      </c>
      <c r="Q291" s="158" t="s">
        <v>6154</v>
      </c>
      <c r="R291" s="158" t="s">
        <v>206</v>
      </c>
      <c r="S291" s="158" t="s">
        <v>204</v>
      </c>
      <c r="T291" s="158" t="s">
        <v>149</v>
      </c>
      <c r="U291" s="158" t="s">
        <v>149</v>
      </c>
      <c r="V291" s="158" t="s">
        <v>149</v>
      </c>
      <c r="W291" s="153" t="s">
        <v>208</v>
      </c>
      <c r="X291" s="158" t="s">
        <v>6068</v>
      </c>
      <c r="Y291" s="153" t="s">
        <v>7208</v>
      </c>
      <c r="Z291" s="153" t="s">
        <v>212</v>
      </c>
      <c r="AA291" s="153"/>
      <c r="AB291" s="153" t="s">
        <v>214</v>
      </c>
      <c r="AC291" s="153" t="s">
        <v>214</v>
      </c>
      <c r="AD291" s="153"/>
      <c r="AE291" s="153"/>
      <c r="AF291" s="153"/>
      <c r="AG291" s="153"/>
    </row>
    <row r="292" ht="15.75" customHeight="1">
      <c r="A292" s="238">
        <v>2025.0</v>
      </c>
      <c r="B292" s="230">
        <v>291.0</v>
      </c>
      <c r="C292" s="153" t="s">
        <v>7899</v>
      </c>
      <c r="D292" s="153" t="s">
        <v>194</v>
      </c>
      <c r="E292" s="153" t="s">
        <v>568</v>
      </c>
      <c r="F292" s="153" t="s">
        <v>569</v>
      </c>
      <c r="G292" s="153" t="s">
        <v>384</v>
      </c>
      <c r="H292" s="153" t="s">
        <v>570</v>
      </c>
      <c r="I292" s="230">
        <v>1986.0</v>
      </c>
      <c r="J292" s="230">
        <v>1985.0</v>
      </c>
      <c r="K292" s="230">
        <v>1987.0</v>
      </c>
      <c r="L292" s="153" t="s">
        <v>151</v>
      </c>
      <c r="M292" s="153" t="s">
        <v>6054</v>
      </c>
      <c r="N292" s="158" t="s">
        <v>6054</v>
      </c>
      <c r="O292" s="158" t="s">
        <v>149</v>
      </c>
      <c r="P292" s="153" t="s">
        <v>390</v>
      </c>
      <c r="Q292" s="158" t="s">
        <v>160</v>
      </c>
      <c r="R292" s="158" t="s">
        <v>6035</v>
      </c>
      <c r="S292" s="158" t="s">
        <v>159</v>
      </c>
      <c r="T292" s="158" t="s">
        <v>149</v>
      </c>
      <c r="U292" s="158" t="s">
        <v>149</v>
      </c>
      <c r="V292" s="153" t="s">
        <v>571</v>
      </c>
      <c r="W292" s="153" t="s">
        <v>390</v>
      </c>
      <c r="X292" s="153" t="s">
        <v>6035</v>
      </c>
      <c r="Y292" s="153" t="s">
        <v>6055</v>
      </c>
      <c r="Z292" s="153"/>
      <c r="AA292" s="153"/>
      <c r="AB292" s="158" t="s">
        <v>395</v>
      </c>
      <c r="AC292" s="153" t="s">
        <v>6060</v>
      </c>
      <c r="AD292" s="158" t="s">
        <v>6711</v>
      </c>
      <c r="AE292" s="153" t="s">
        <v>398</v>
      </c>
      <c r="AF292" s="153"/>
      <c r="AG292" s="153"/>
    </row>
    <row r="293" ht="15.75" customHeight="1">
      <c r="A293" s="238">
        <v>2025.0</v>
      </c>
      <c r="B293" s="230">
        <v>292.0</v>
      </c>
      <c r="C293" s="153" t="s">
        <v>7899</v>
      </c>
      <c r="D293" s="153" t="s">
        <v>194</v>
      </c>
      <c r="E293" s="153" t="s">
        <v>5384</v>
      </c>
      <c r="F293" s="153" t="s">
        <v>2314</v>
      </c>
      <c r="G293" s="158" t="s">
        <v>149</v>
      </c>
      <c r="H293" s="153"/>
      <c r="I293" s="230">
        <v>1990.0</v>
      </c>
      <c r="J293" s="192" t="s">
        <v>149</v>
      </c>
      <c r="K293" s="192" t="s">
        <v>149</v>
      </c>
      <c r="L293" s="153" t="s">
        <v>151</v>
      </c>
      <c r="M293" s="153" t="s">
        <v>6054</v>
      </c>
      <c r="N293" s="158" t="s">
        <v>6054</v>
      </c>
      <c r="O293" s="153" t="s">
        <v>6506</v>
      </c>
      <c r="P293" s="158" t="s">
        <v>149</v>
      </c>
      <c r="Q293" s="158" t="s">
        <v>149</v>
      </c>
      <c r="R293" s="158" t="s">
        <v>149</v>
      </c>
      <c r="S293" s="158" t="s">
        <v>149</v>
      </c>
      <c r="T293" s="158" t="s">
        <v>149</v>
      </c>
      <c r="U293" s="158" t="s">
        <v>149</v>
      </c>
      <c r="V293" s="158" t="s">
        <v>149</v>
      </c>
      <c r="W293" s="153" t="s">
        <v>2304</v>
      </c>
      <c r="X293" s="158" t="s">
        <v>184</v>
      </c>
      <c r="Y293" s="153"/>
      <c r="Z293" s="153" t="s">
        <v>6507</v>
      </c>
      <c r="AA293" s="153"/>
      <c r="AB293" s="158" t="s">
        <v>395</v>
      </c>
      <c r="AC293" s="153" t="s">
        <v>6060</v>
      </c>
      <c r="AD293" s="158" t="s">
        <v>6711</v>
      </c>
      <c r="AE293" s="153" t="s">
        <v>398</v>
      </c>
      <c r="AF293" s="153"/>
      <c r="AG293" s="153"/>
    </row>
    <row r="294" ht="15.75" customHeight="1">
      <c r="A294" s="238">
        <v>2025.0</v>
      </c>
      <c r="B294" s="230">
        <v>293.0</v>
      </c>
      <c r="C294" s="153" t="s">
        <v>7899</v>
      </c>
      <c r="D294" s="153" t="s">
        <v>194</v>
      </c>
      <c r="E294" s="153" t="s">
        <v>1587</v>
      </c>
      <c r="F294" s="153" t="s">
        <v>1588</v>
      </c>
      <c r="G294" s="153" t="s">
        <v>7217</v>
      </c>
      <c r="H294" s="153" t="s">
        <v>1590</v>
      </c>
      <c r="I294" s="230">
        <v>2022.0</v>
      </c>
      <c r="J294" s="230">
        <v>2022.0</v>
      </c>
      <c r="K294" s="192" t="s">
        <v>149</v>
      </c>
      <c r="L294" s="153" t="s">
        <v>151</v>
      </c>
      <c r="M294" s="153" t="s">
        <v>1592</v>
      </c>
      <c r="N294" s="158" t="s">
        <v>1592</v>
      </c>
      <c r="O294" s="153" t="s">
        <v>1593</v>
      </c>
      <c r="P294" s="153" t="s">
        <v>1594</v>
      </c>
      <c r="Q294" s="158" t="s">
        <v>160</v>
      </c>
      <c r="R294" s="158" t="s">
        <v>6035</v>
      </c>
      <c r="S294" s="158" t="s">
        <v>159</v>
      </c>
      <c r="T294" s="244" t="s">
        <v>7218</v>
      </c>
      <c r="U294" s="153" t="s">
        <v>7219</v>
      </c>
      <c r="V294" s="153" t="s">
        <v>1597</v>
      </c>
      <c r="W294" s="153" t="s">
        <v>1598</v>
      </c>
      <c r="X294" s="153" t="s">
        <v>6035</v>
      </c>
      <c r="Y294" s="153"/>
      <c r="Z294" s="153" t="s">
        <v>1599</v>
      </c>
      <c r="AA294" s="153" t="s">
        <v>1600</v>
      </c>
      <c r="AB294" s="158" t="s">
        <v>166</v>
      </c>
      <c r="AC294" s="153" t="s">
        <v>1601</v>
      </c>
      <c r="AD294" s="172" t="s">
        <v>1602</v>
      </c>
      <c r="AE294" s="153"/>
      <c r="AF294" s="153"/>
      <c r="AG294" s="153"/>
    </row>
    <row r="295" ht="15.75" customHeight="1">
      <c r="A295" s="238">
        <v>2025.0</v>
      </c>
      <c r="B295" s="230">
        <v>294.0</v>
      </c>
      <c r="C295" s="153" t="s">
        <v>7899</v>
      </c>
      <c r="D295" s="153" t="s">
        <v>194</v>
      </c>
      <c r="E295" s="153" t="s">
        <v>969</v>
      </c>
      <c r="F295" s="153" t="s">
        <v>970</v>
      </c>
      <c r="G295" s="158" t="s">
        <v>149</v>
      </c>
      <c r="H295" s="153" t="s">
        <v>7222</v>
      </c>
      <c r="I295" s="230">
        <v>2000.0</v>
      </c>
      <c r="J295" s="192" t="s">
        <v>149</v>
      </c>
      <c r="K295" s="192" t="s">
        <v>149</v>
      </c>
      <c r="L295" s="153" t="s">
        <v>6062</v>
      </c>
      <c r="M295" s="153" t="s">
        <v>320</v>
      </c>
      <c r="N295" s="158" t="s">
        <v>179</v>
      </c>
      <c r="O295" s="158" t="s">
        <v>2397</v>
      </c>
      <c r="P295" s="158" t="s">
        <v>149</v>
      </c>
      <c r="Q295" s="158" t="s">
        <v>149</v>
      </c>
      <c r="R295" s="158" t="s">
        <v>149</v>
      </c>
      <c r="S295" s="158" t="s">
        <v>159</v>
      </c>
      <c r="T295" s="158" t="s">
        <v>149</v>
      </c>
      <c r="U295" s="153" t="s">
        <v>7223</v>
      </c>
      <c r="V295" s="153" t="s">
        <v>2399</v>
      </c>
      <c r="W295" s="153" t="s">
        <v>2400</v>
      </c>
      <c r="X295" s="158" t="s">
        <v>306</v>
      </c>
      <c r="Y295" s="153"/>
      <c r="Z295" s="153"/>
      <c r="AA295" s="158" t="s">
        <v>2401</v>
      </c>
      <c r="AB295" s="158" t="s">
        <v>7149</v>
      </c>
      <c r="AC295" s="153" t="s">
        <v>2402</v>
      </c>
      <c r="AD295" s="172" t="s">
        <v>2403</v>
      </c>
      <c r="AE295" s="153" t="s">
        <v>2404</v>
      </c>
      <c r="AF295" s="153"/>
      <c r="AG295" s="153"/>
    </row>
    <row r="296" ht="15.75" customHeight="1">
      <c r="A296" s="238">
        <v>2025.0</v>
      </c>
      <c r="B296" s="230">
        <v>295.0</v>
      </c>
      <c r="C296" s="153" t="s">
        <v>7899</v>
      </c>
      <c r="D296" s="158" t="s">
        <v>194</v>
      </c>
      <c r="E296" s="158" t="s">
        <v>969</v>
      </c>
      <c r="F296" s="158" t="s">
        <v>970</v>
      </c>
      <c r="G296" s="158" t="s">
        <v>934</v>
      </c>
      <c r="H296" s="158" t="s">
        <v>7900</v>
      </c>
      <c r="I296" s="192">
        <v>2001.0</v>
      </c>
      <c r="J296" s="192">
        <v>2001.0</v>
      </c>
      <c r="K296" s="192">
        <v>2005.0</v>
      </c>
      <c r="L296" s="158" t="s">
        <v>6062</v>
      </c>
      <c r="M296" s="158" t="s">
        <v>3245</v>
      </c>
      <c r="N296" s="158" t="s">
        <v>179</v>
      </c>
      <c r="O296" s="153" t="s">
        <v>939</v>
      </c>
      <c r="P296" s="153" t="s">
        <v>940</v>
      </c>
      <c r="Q296" s="158" t="s">
        <v>6154</v>
      </c>
      <c r="R296" s="158" t="s">
        <v>206</v>
      </c>
      <c r="S296" s="158" t="s">
        <v>159</v>
      </c>
      <c r="T296" s="158" t="s">
        <v>149</v>
      </c>
      <c r="U296" s="158" t="s">
        <v>149</v>
      </c>
      <c r="V296" s="158" t="s">
        <v>149</v>
      </c>
      <c r="W296" s="153" t="s">
        <v>233</v>
      </c>
      <c r="X296" s="158" t="s">
        <v>6068</v>
      </c>
      <c r="Y296" s="153"/>
      <c r="Z296" s="153"/>
      <c r="AA296" s="153"/>
      <c r="AB296" s="158" t="s">
        <v>6214</v>
      </c>
      <c r="AC296" s="153" t="s">
        <v>941</v>
      </c>
      <c r="AD296" s="172" t="s">
        <v>942</v>
      </c>
      <c r="AE296" s="153" t="s">
        <v>943</v>
      </c>
      <c r="AF296" s="158"/>
      <c r="AG296" s="158"/>
    </row>
    <row r="297" ht="15.75" customHeight="1">
      <c r="A297" s="238">
        <v>2025.0</v>
      </c>
      <c r="B297" s="230">
        <v>296.0</v>
      </c>
      <c r="C297" s="153" t="s">
        <v>7899</v>
      </c>
      <c r="D297" s="153" t="s">
        <v>194</v>
      </c>
      <c r="E297" s="153" t="s">
        <v>573</v>
      </c>
      <c r="F297" s="153" t="s">
        <v>574</v>
      </c>
      <c r="G297" s="153" t="s">
        <v>384</v>
      </c>
      <c r="H297" s="153" t="s">
        <v>575</v>
      </c>
      <c r="I297" s="230">
        <v>1986.0</v>
      </c>
      <c r="J297" s="230">
        <v>1985.0</v>
      </c>
      <c r="K297" s="230">
        <v>1987.0</v>
      </c>
      <c r="L297" s="153" t="s">
        <v>151</v>
      </c>
      <c r="M297" s="158" t="s">
        <v>149</v>
      </c>
      <c r="N297" s="158" t="s">
        <v>149</v>
      </c>
      <c r="O297" s="158" t="s">
        <v>149</v>
      </c>
      <c r="P297" s="153" t="s">
        <v>390</v>
      </c>
      <c r="Q297" s="158" t="s">
        <v>160</v>
      </c>
      <c r="R297" s="158" t="s">
        <v>6035</v>
      </c>
      <c r="S297" s="158" t="s">
        <v>159</v>
      </c>
      <c r="T297" s="158" t="s">
        <v>149</v>
      </c>
      <c r="U297" s="158" t="s">
        <v>149</v>
      </c>
      <c r="V297" s="153" t="s">
        <v>571</v>
      </c>
      <c r="W297" s="153" t="s">
        <v>390</v>
      </c>
      <c r="X297" s="153" t="s">
        <v>6035</v>
      </c>
      <c r="Y297" s="153" t="s">
        <v>6055</v>
      </c>
      <c r="Z297" s="153"/>
      <c r="AA297" s="153"/>
      <c r="AB297" s="158" t="s">
        <v>395</v>
      </c>
      <c r="AC297" s="153" t="s">
        <v>6060</v>
      </c>
      <c r="AD297" s="158" t="s">
        <v>6711</v>
      </c>
      <c r="AE297" s="153" t="s">
        <v>398</v>
      </c>
      <c r="AF297" s="153"/>
      <c r="AG297" s="153"/>
    </row>
    <row r="298" ht="15.75" customHeight="1">
      <c r="A298" s="238">
        <v>2025.0</v>
      </c>
      <c r="B298" s="230">
        <v>297.0</v>
      </c>
      <c r="C298" s="153" t="s">
        <v>7899</v>
      </c>
      <c r="D298" s="153" t="s">
        <v>194</v>
      </c>
      <c r="E298" s="153" t="s">
        <v>573</v>
      </c>
      <c r="F298" s="153" t="s">
        <v>574</v>
      </c>
      <c r="G298" s="153" t="s">
        <v>384</v>
      </c>
      <c r="H298" s="153" t="s">
        <v>577</v>
      </c>
      <c r="I298" s="230">
        <v>1986.0</v>
      </c>
      <c r="J298" s="230">
        <v>1985.0</v>
      </c>
      <c r="K298" s="230">
        <v>1987.0</v>
      </c>
      <c r="L298" s="153" t="s">
        <v>151</v>
      </c>
      <c r="M298" s="158" t="s">
        <v>149</v>
      </c>
      <c r="N298" s="158" t="s">
        <v>149</v>
      </c>
      <c r="O298" s="158" t="s">
        <v>149</v>
      </c>
      <c r="P298" s="153" t="s">
        <v>390</v>
      </c>
      <c r="Q298" s="158" t="s">
        <v>160</v>
      </c>
      <c r="R298" s="158" t="s">
        <v>6035</v>
      </c>
      <c r="S298" s="158" t="s">
        <v>159</v>
      </c>
      <c r="T298" s="158" t="s">
        <v>149</v>
      </c>
      <c r="U298" s="158" t="s">
        <v>149</v>
      </c>
      <c r="V298" s="153" t="s">
        <v>571</v>
      </c>
      <c r="W298" s="153" t="s">
        <v>390</v>
      </c>
      <c r="X298" s="153" t="s">
        <v>6035</v>
      </c>
      <c r="Y298" s="153" t="s">
        <v>6055</v>
      </c>
      <c r="Z298" s="153"/>
      <c r="AA298" s="153"/>
      <c r="AB298" s="158" t="s">
        <v>395</v>
      </c>
      <c r="AC298" s="153" t="s">
        <v>6060</v>
      </c>
      <c r="AD298" s="158" t="s">
        <v>6711</v>
      </c>
      <c r="AE298" s="153" t="s">
        <v>398</v>
      </c>
      <c r="AF298" s="153"/>
      <c r="AG298" s="153"/>
    </row>
    <row r="299" ht="15.75" customHeight="1">
      <c r="A299" s="238">
        <v>2025.0</v>
      </c>
      <c r="B299" s="230">
        <v>298.0</v>
      </c>
      <c r="C299" s="153" t="s">
        <v>7899</v>
      </c>
      <c r="D299" s="153" t="s">
        <v>194</v>
      </c>
      <c r="E299" s="153" t="s">
        <v>2189</v>
      </c>
      <c r="F299" s="153" t="s">
        <v>2190</v>
      </c>
      <c r="G299" s="153" t="s">
        <v>6587</v>
      </c>
      <c r="H299" s="153" t="s">
        <v>7142</v>
      </c>
      <c r="I299" s="158" t="s">
        <v>149</v>
      </c>
      <c r="J299" s="230">
        <v>2012.0</v>
      </c>
      <c r="K299" s="158" t="s">
        <v>149</v>
      </c>
      <c r="L299" s="153" t="s">
        <v>151</v>
      </c>
      <c r="M299" s="158" t="s">
        <v>149</v>
      </c>
      <c r="N299" s="158" t="s">
        <v>149</v>
      </c>
      <c r="O299" s="153" t="s">
        <v>7101</v>
      </c>
      <c r="P299" s="153" t="s">
        <v>341</v>
      </c>
      <c r="Q299" s="158" t="s">
        <v>160</v>
      </c>
      <c r="R299" s="158" t="s">
        <v>6035</v>
      </c>
      <c r="S299" s="158" t="s">
        <v>159</v>
      </c>
      <c r="T299" s="158" t="s">
        <v>149</v>
      </c>
      <c r="U299" s="158" t="s">
        <v>149</v>
      </c>
      <c r="V299" s="158" t="s">
        <v>149</v>
      </c>
      <c r="W299" s="153" t="s">
        <v>2160</v>
      </c>
      <c r="X299" s="153" t="s">
        <v>6035</v>
      </c>
      <c r="Y299" s="153"/>
      <c r="Z299" s="153"/>
      <c r="AA299" s="153"/>
      <c r="AB299" s="158" t="s">
        <v>166</v>
      </c>
      <c r="AC299" s="153" t="s">
        <v>2161</v>
      </c>
      <c r="AD299" s="172" t="s">
        <v>2162</v>
      </c>
      <c r="AE299" s="153"/>
      <c r="AF299" s="153"/>
      <c r="AG299" s="153"/>
    </row>
    <row r="300" ht="15.75" customHeight="1">
      <c r="A300" s="238">
        <v>2025.0</v>
      </c>
      <c r="B300" s="230">
        <v>299.0</v>
      </c>
      <c r="C300" s="153" t="s">
        <v>7901</v>
      </c>
      <c r="D300" s="153" t="s">
        <v>580</v>
      </c>
      <c r="E300" s="158" t="s">
        <v>581</v>
      </c>
      <c r="F300" s="153" t="s">
        <v>582</v>
      </c>
      <c r="G300" s="153" t="s">
        <v>384</v>
      </c>
      <c r="H300" s="153" t="s">
        <v>583</v>
      </c>
      <c r="I300" s="230">
        <v>1986.0</v>
      </c>
      <c r="J300" s="230">
        <v>1985.0</v>
      </c>
      <c r="K300" s="230">
        <v>1987.0</v>
      </c>
      <c r="L300" s="153" t="s">
        <v>151</v>
      </c>
      <c r="M300" s="153" t="s">
        <v>6054</v>
      </c>
      <c r="N300" s="158" t="s">
        <v>6054</v>
      </c>
      <c r="O300" s="158" t="s">
        <v>149</v>
      </c>
      <c r="P300" s="153" t="s">
        <v>390</v>
      </c>
      <c r="Q300" s="158" t="s">
        <v>160</v>
      </c>
      <c r="R300" s="158" t="s">
        <v>6035</v>
      </c>
      <c r="S300" s="158" t="s">
        <v>159</v>
      </c>
      <c r="T300" s="158" t="s">
        <v>149</v>
      </c>
      <c r="U300" s="158" t="s">
        <v>149</v>
      </c>
      <c r="V300" s="153" t="s">
        <v>450</v>
      </c>
      <c r="W300" s="153" t="s">
        <v>390</v>
      </c>
      <c r="X300" s="153" t="s">
        <v>6035</v>
      </c>
      <c r="Y300" s="153" t="s">
        <v>6055</v>
      </c>
      <c r="Z300" s="153"/>
      <c r="AA300" s="153"/>
      <c r="AB300" s="158" t="s">
        <v>395</v>
      </c>
      <c r="AC300" s="153" t="s">
        <v>6060</v>
      </c>
      <c r="AD300" s="158" t="s">
        <v>6711</v>
      </c>
      <c r="AE300" s="153" t="s">
        <v>398</v>
      </c>
      <c r="AF300" s="153"/>
      <c r="AG300" s="153"/>
    </row>
    <row r="301" ht="15.75" customHeight="1">
      <c r="A301" s="238">
        <v>2025.0</v>
      </c>
      <c r="B301" s="230">
        <v>300.0</v>
      </c>
      <c r="C301" s="153" t="s">
        <v>7901</v>
      </c>
      <c r="D301" s="153" t="s">
        <v>580</v>
      </c>
      <c r="E301" s="153" t="s">
        <v>1540</v>
      </c>
      <c r="F301" s="153" t="s">
        <v>1541</v>
      </c>
      <c r="G301" s="153" t="s">
        <v>1542</v>
      </c>
      <c r="H301" s="153"/>
      <c r="I301" s="230">
        <v>1995.0</v>
      </c>
      <c r="J301" s="230">
        <v>1995.0</v>
      </c>
      <c r="K301" s="230">
        <v>1997.0</v>
      </c>
      <c r="L301" s="153" t="s">
        <v>6062</v>
      </c>
      <c r="M301" s="153" t="s">
        <v>179</v>
      </c>
      <c r="N301" s="158" t="s">
        <v>179</v>
      </c>
      <c r="O301" s="153" t="s">
        <v>1545</v>
      </c>
      <c r="P301" s="153" t="s">
        <v>1546</v>
      </c>
      <c r="Q301" s="158" t="s">
        <v>160</v>
      </c>
      <c r="R301" s="158" t="s">
        <v>306</v>
      </c>
      <c r="S301" s="158" t="s">
        <v>204</v>
      </c>
      <c r="T301" s="158" t="s">
        <v>149</v>
      </c>
      <c r="U301" s="158" t="s">
        <v>149</v>
      </c>
      <c r="V301" s="158" t="s">
        <v>149</v>
      </c>
      <c r="W301" s="153" t="s">
        <v>1547</v>
      </c>
      <c r="X301" s="153" t="s">
        <v>306</v>
      </c>
      <c r="Y301" s="153"/>
      <c r="Z301" s="153"/>
      <c r="AA301" s="153"/>
      <c r="AB301" s="153" t="s">
        <v>213</v>
      </c>
      <c r="AC301" s="153" t="s">
        <v>213</v>
      </c>
      <c r="AD301" s="153"/>
      <c r="AE301" s="153" t="s">
        <v>1548</v>
      </c>
      <c r="AF301" s="153" t="s">
        <v>1549</v>
      </c>
      <c r="AG301" s="153"/>
    </row>
    <row r="302" ht="15.75" customHeight="1">
      <c r="A302" s="238">
        <v>2025.0</v>
      </c>
      <c r="B302" s="230">
        <v>301.0</v>
      </c>
      <c r="C302" s="153" t="s">
        <v>7901</v>
      </c>
      <c r="D302" s="153" t="s">
        <v>580</v>
      </c>
      <c r="E302" s="153" t="s">
        <v>973</v>
      </c>
      <c r="F302" s="153" t="s">
        <v>974</v>
      </c>
      <c r="G302" s="153" t="s">
        <v>934</v>
      </c>
      <c r="H302" s="153"/>
      <c r="I302" s="230">
        <v>2001.0</v>
      </c>
      <c r="J302" s="230">
        <v>2001.0</v>
      </c>
      <c r="K302" s="230">
        <v>2005.0</v>
      </c>
      <c r="L302" s="153" t="s">
        <v>6062</v>
      </c>
      <c r="M302" s="153" t="s">
        <v>3245</v>
      </c>
      <c r="N302" s="158" t="s">
        <v>179</v>
      </c>
      <c r="O302" s="153" t="s">
        <v>939</v>
      </c>
      <c r="P302" s="153" t="s">
        <v>940</v>
      </c>
      <c r="Q302" s="158" t="s">
        <v>6154</v>
      </c>
      <c r="R302" s="158" t="s">
        <v>206</v>
      </c>
      <c r="S302" s="158" t="s">
        <v>204</v>
      </c>
      <c r="T302" s="158" t="s">
        <v>149</v>
      </c>
      <c r="U302" s="158" t="s">
        <v>149</v>
      </c>
      <c r="V302" s="158" t="s">
        <v>149</v>
      </c>
      <c r="W302" s="153" t="s">
        <v>233</v>
      </c>
      <c r="X302" s="158" t="s">
        <v>6068</v>
      </c>
      <c r="Y302" s="153"/>
      <c r="Z302" s="153"/>
      <c r="AA302" s="153"/>
      <c r="AB302" s="158" t="s">
        <v>6214</v>
      </c>
      <c r="AC302" s="153" t="s">
        <v>941</v>
      </c>
      <c r="AD302" s="153" t="s">
        <v>942</v>
      </c>
      <c r="AE302" s="153" t="s">
        <v>943</v>
      </c>
      <c r="AF302" s="153"/>
      <c r="AG302" s="153"/>
    </row>
    <row r="303" ht="15.75" customHeight="1">
      <c r="A303" s="238">
        <v>2025.0</v>
      </c>
      <c r="B303" s="230">
        <v>302.0</v>
      </c>
      <c r="C303" s="153" t="s">
        <v>7901</v>
      </c>
      <c r="D303" s="153" t="s">
        <v>580</v>
      </c>
      <c r="E303" s="153" t="s">
        <v>973</v>
      </c>
      <c r="F303" s="153" t="s">
        <v>974</v>
      </c>
      <c r="G303" s="158" t="s">
        <v>149</v>
      </c>
      <c r="H303" s="153" t="s">
        <v>3017</v>
      </c>
      <c r="I303" s="230">
        <v>2013.0</v>
      </c>
      <c r="J303" s="192" t="s">
        <v>149</v>
      </c>
      <c r="K303" s="192" t="s">
        <v>149</v>
      </c>
      <c r="L303" s="153" t="s">
        <v>6062</v>
      </c>
      <c r="M303" s="153" t="s">
        <v>3018</v>
      </c>
      <c r="N303" s="158" t="s">
        <v>179</v>
      </c>
      <c r="O303" s="153" t="s">
        <v>3019</v>
      </c>
      <c r="P303" s="153" t="s">
        <v>1546</v>
      </c>
      <c r="Q303" s="158" t="s">
        <v>160</v>
      </c>
      <c r="R303" s="158" t="s">
        <v>306</v>
      </c>
      <c r="S303" s="158" t="s">
        <v>204</v>
      </c>
      <c r="T303" s="158" t="s">
        <v>149</v>
      </c>
      <c r="U303" s="158" t="s">
        <v>149</v>
      </c>
      <c r="V303" s="158" t="s">
        <v>149</v>
      </c>
      <c r="W303" s="153" t="s">
        <v>3020</v>
      </c>
      <c r="X303" s="158" t="s">
        <v>6068</v>
      </c>
      <c r="Y303" s="153"/>
      <c r="Z303" s="153"/>
      <c r="AA303" s="153"/>
      <c r="AB303" s="158" t="s">
        <v>6214</v>
      </c>
      <c r="AC303" s="153" t="s">
        <v>7242</v>
      </c>
      <c r="AD303" s="165" t="s">
        <v>3022</v>
      </c>
      <c r="AE303" s="153"/>
      <c r="AF303" s="153"/>
      <c r="AG303" s="153"/>
    </row>
    <row r="304" ht="15.75" customHeight="1">
      <c r="A304" s="238">
        <v>2025.0</v>
      </c>
      <c r="B304" s="230">
        <v>303.0</v>
      </c>
      <c r="C304" s="153" t="s">
        <v>7901</v>
      </c>
      <c r="D304" s="153" t="s">
        <v>580</v>
      </c>
      <c r="E304" s="153" t="s">
        <v>973</v>
      </c>
      <c r="F304" s="153" t="s">
        <v>974</v>
      </c>
      <c r="G304" s="158" t="s">
        <v>149</v>
      </c>
      <c r="H304" s="153" t="s">
        <v>3024</v>
      </c>
      <c r="I304" s="230">
        <v>2013.0</v>
      </c>
      <c r="J304" s="192" t="s">
        <v>149</v>
      </c>
      <c r="K304" s="192" t="s">
        <v>149</v>
      </c>
      <c r="L304" s="153" t="s">
        <v>6062</v>
      </c>
      <c r="M304" s="153" t="s">
        <v>3018</v>
      </c>
      <c r="N304" s="158" t="s">
        <v>179</v>
      </c>
      <c r="O304" s="153" t="s">
        <v>3019</v>
      </c>
      <c r="P304" s="153" t="s">
        <v>1546</v>
      </c>
      <c r="Q304" s="158" t="s">
        <v>160</v>
      </c>
      <c r="R304" s="158" t="s">
        <v>306</v>
      </c>
      <c r="S304" s="158" t="s">
        <v>204</v>
      </c>
      <c r="T304" s="158" t="s">
        <v>149</v>
      </c>
      <c r="U304" s="158" t="s">
        <v>149</v>
      </c>
      <c r="V304" s="158" t="s">
        <v>149</v>
      </c>
      <c r="W304" s="153" t="s">
        <v>3020</v>
      </c>
      <c r="X304" s="158" t="s">
        <v>6068</v>
      </c>
      <c r="Y304" s="153"/>
      <c r="Z304" s="153"/>
      <c r="AA304" s="153"/>
      <c r="AB304" s="158" t="s">
        <v>6214</v>
      </c>
      <c r="AC304" s="153" t="s">
        <v>7242</v>
      </c>
      <c r="AD304" s="153" t="s">
        <v>3022</v>
      </c>
      <c r="AE304" s="153"/>
      <c r="AF304" s="153"/>
      <c r="AG304" s="153"/>
    </row>
    <row r="305" ht="15.75" customHeight="1">
      <c r="A305" s="238">
        <v>2025.0</v>
      </c>
      <c r="B305" s="230">
        <v>304.0</v>
      </c>
      <c r="C305" s="153" t="s">
        <v>7901</v>
      </c>
      <c r="D305" s="153" t="s">
        <v>580</v>
      </c>
      <c r="E305" s="153" t="s">
        <v>3155</v>
      </c>
      <c r="F305" s="153" t="s">
        <v>3156</v>
      </c>
      <c r="G305" s="158" t="s">
        <v>149</v>
      </c>
      <c r="H305" s="153" t="s">
        <v>7234</v>
      </c>
      <c r="I305" s="192" t="s">
        <v>149</v>
      </c>
      <c r="J305" s="192" t="s">
        <v>149</v>
      </c>
      <c r="K305" s="192" t="s">
        <v>149</v>
      </c>
      <c r="L305" s="153" t="s">
        <v>151</v>
      </c>
      <c r="M305" s="158" t="s">
        <v>149</v>
      </c>
      <c r="N305" s="158" t="s">
        <v>149</v>
      </c>
      <c r="O305" s="158" t="s">
        <v>149</v>
      </c>
      <c r="P305" s="158" t="s">
        <v>149</v>
      </c>
      <c r="Q305" s="158" t="s">
        <v>149</v>
      </c>
      <c r="R305" s="158" t="s">
        <v>149</v>
      </c>
      <c r="S305" s="158" t="s">
        <v>149</v>
      </c>
      <c r="T305" s="158" t="s">
        <v>149</v>
      </c>
      <c r="U305" s="158" t="s">
        <v>149</v>
      </c>
      <c r="V305" s="158" t="s">
        <v>149</v>
      </c>
      <c r="W305" s="158" t="s">
        <v>149</v>
      </c>
      <c r="X305" s="158" t="s">
        <v>149</v>
      </c>
      <c r="Y305" s="153"/>
      <c r="Z305" s="153"/>
      <c r="AA305" s="153"/>
      <c r="AB305" s="153" t="s">
        <v>6084</v>
      </c>
      <c r="AC305" s="153" t="s">
        <v>3158</v>
      </c>
      <c r="AD305" s="165" t="s">
        <v>3159</v>
      </c>
      <c r="AE305" s="153"/>
      <c r="AF305" s="153"/>
      <c r="AG305" s="153"/>
    </row>
    <row r="306" ht="15.75" customHeight="1">
      <c r="A306" s="238">
        <v>2025.0</v>
      </c>
      <c r="B306" s="230">
        <v>305.0</v>
      </c>
      <c r="C306" s="153" t="s">
        <v>7901</v>
      </c>
      <c r="D306" s="153" t="s">
        <v>580</v>
      </c>
      <c r="E306" s="153" t="s">
        <v>2821</v>
      </c>
      <c r="F306" s="153" t="s">
        <v>2822</v>
      </c>
      <c r="G306" s="158" t="s">
        <v>149</v>
      </c>
      <c r="H306" s="153" t="s">
        <v>2823</v>
      </c>
      <c r="I306" s="158" t="s">
        <v>149</v>
      </c>
      <c r="J306" s="158" t="s">
        <v>149</v>
      </c>
      <c r="K306" s="158" t="s">
        <v>149</v>
      </c>
      <c r="L306" s="153" t="s">
        <v>151</v>
      </c>
      <c r="M306" s="158" t="s">
        <v>149</v>
      </c>
      <c r="N306" s="158" t="s">
        <v>149</v>
      </c>
      <c r="O306" s="153" t="s">
        <v>819</v>
      </c>
      <c r="P306" s="158" t="s">
        <v>149</v>
      </c>
      <c r="Q306" s="158" t="s">
        <v>149</v>
      </c>
      <c r="R306" s="158" t="s">
        <v>149</v>
      </c>
      <c r="S306" s="158" t="s">
        <v>149</v>
      </c>
      <c r="T306" s="158" t="s">
        <v>149</v>
      </c>
      <c r="U306" s="158" t="s">
        <v>149</v>
      </c>
      <c r="V306" s="158" t="s">
        <v>149</v>
      </c>
      <c r="W306" s="153" t="s">
        <v>369</v>
      </c>
      <c r="X306" s="153" t="s">
        <v>6035</v>
      </c>
      <c r="Y306" s="153"/>
      <c r="Z306" s="153"/>
      <c r="AA306" s="153"/>
      <c r="AB306" s="153" t="s">
        <v>6084</v>
      </c>
      <c r="AC306" s="153" t="s">
        <v>823</v>
      </c>
      <c r="AD306" s="172" t="s">
        <v>824</v>
      </c>
      <c r="AE306" s="153"/>
      <c r="AF306" s="153"/>
      <c r="AG306" s="153"/>
    </row>
    <row r="307" ht="15.75" customHeight="1">
      <c r="A307" s="238">
        <v>2025.0</v>
      </c>
      <c r="B307" s="230">
        <v>306.0</v>
      </c>
      <c r="C307" s="153" t="s">
        <v>7901</v>
      </c>
      <c r="D307" s="153" t="s">
        <v>580</v>
      </c>
      <c r="E307" s="153" t="s">
        <v>3026</v>
      </c>
      <c r="F307" s="153" t="s">
        <v>3027</v>
      </c>
      <c r="G307" s="158" t="s">
        <v>149</v>
      </c>
      <c r="H307" s="153" t="s">
        <v>3028</v>
      </c>
      <c r="I307" s="230">
        <v>2013.0</v>
      </c>
      <c r="J307" s="192" t="s">
        <v>149</v>
      </c>
      <c r="K307" s="192" t="s">
        <v>149</v>
      </c>
      <c r="L307" s="153" t="s">
        <v>6062</v>
      </c>
      <c r="M307" s="153" t="s">
        <v>3018</v>
      </c>
      <c r="N307" s="158" t="s">
        <v>179</v>
      </c>
      <c r="O307" s="153" t="s">
        <v>3019</v>
      </c>
      <c r="P307" s="153" t="s">
        <v>1546</v>
      </c>
      <c r="Q307" s="158" t="s">
        <v>160</v>
      </c>
      <c r="R307" s="158" t="s">
        <v>306</v>
      </c>
      <c r="S307" s="158" t="s">
        <v>204</v>
      </c>
      <c r="T307" s="158" t="s">
        <v>149</v>
      </c>
      <c r="U307" s="158" t="s">
        <v>149</v>
      </c>
      <c r="V307" s="158" t="s">
        <v>149</v>
      </c>
      <c r="W307" s="153" t="s">
        <v>3020</v>
      </c>
      <c r="X307" s="158" t="s">
        <v>6068</v>
      </c>
      <c r="Y307" s="153"/>
      <c r="Z307" s="153"/>
      <c r="AA307" s="153"/>
      <c r="AB307" s="158" t="s">
        <v>6214</v>
      </c>
      <c r="AC307" s="153" t="s">
        <v>7242</v>
      </c>
      <c r="AD307" s="153" t="s">
        <v>3022</v>
      </c>
      <c r="AE307" s="153"/>
      <c r="AF307" s="153"/>
      <c r="AG307" s="153"/>
    </row>
    <row r="308" ht="15.75" customHeight="1">
      <c r="A308" s="238">
        <v>2025.0</v>
      </c>
      <c r="B308" s="230">
        <v>307.0</v>
      </c>
      <c r="C308" s="153" t="s">
        <v>7901</v>
      </c>
      <c r="D308" s="153" t="s">
        <v>585</v>
      </c>
      <c r="E308" s="153" t="s">
        <v>1464</v>
      </c>
      <c r="F308" s="153" t="s">
        <v>1465</v>
      </c>
      <c r="G308" s="153" t="s">
        <v>1377</v>
      </c>
      <c r="H308" s="153"/>
      <c r="I308" s="192">
        <v>1992.0</v>
      </c>
      <c r="J308" s="230">
        <v>1990.0</v>
      </c>
      <c r="K308" s="230">
        <v>1994.0</v>
      </c>
      <c r="L308" s="153" t="s">
        <v>151</v>
      </c>
      <c r="M308" s="158" t="s">
        <v>149</v>
      </c>
      <c r="N308" s="158" t="s">
        <v>149</v>
      </c>
      <c r="O308" s="158" t="s">
        <v>149</v>
      </c>
      <c r="P308" s="153" t="s">
        <v>1381</v>
      </c>
      <c r="Q308" s="158" t="s">
        <v>6154</v>
      </c>
      <c r="R308" s="158" t="s">
        <v>206</v>
      </c>
      <c r="S308" s="158" t="s">
        <v>159</v>
      </c>
      <c r="T308" s="158" t="s">
        <v>149</v>
      </c>
      <c r="U308" s="158" t="s">
        <v>149</v>
      </c>
      <c r="V308" s="158" t="s">
        <v>149</v>
      </c>
      <c r="W308" s="153" t="s">
        <v>660</v>
      </c>
      <c r="X308" s="153" t="s">
        <v>6035</v>
      </c>
      <c r="Y308" s="153" t="s">
        <v>369</v>
      </c>
      <c r="Z308" s="153"/>
      <c r="AA308" s="153"/>
      <c r="AB308" s="158" t="s">
        <v>395</v>
      </c>
      <c r="AC308" s="153" t="s">
        <v>6060</v>
      </c>
      <c r="AD308" s="158" t="s">
        <v>6711</v>
      </c>
      <c r="AE308" s="153" t="s">
        <v>398</v>
      </c>
      <c r="AF308" s="153"/>
      <c r="AG308" s="153"/>
    </row>
    <row r="309" ht="15.75" customHeight="1">
      <c r="A309" s="238">
        <v>2025.0</v>
      </c>
      <c r="B309" s="230">
        <v>308.0</v>
      </c>
      <c r="C309" s="153" t="s">
        <v>7901</v>
      </c>
      <c r="D309" s="153" t="s">
        <v>585</v>
      </c>
      <c r="E309" s="153" t="s">
        <v>1467</v>
      </c>
      <c r="F309" s="153" t="s">
        <v>1468</v>
      </c>
      <c r="G309" s="153" t="s">
        <v>1377</v>
      </c>
      <c r="H309" s="153" t="s">
        <v>639</v>
      </c>
      <c r="I309" s="192">
        <v>1992.0</v>
      </c>
      <c r="J309" s="230">
        <v>1990.0</v>
      </c>
      <c r="K309" s="230">
        <v>1994.0</v>
      </c>
      <c r="L309" s="153" t="s">
        <v>151</v>
      </c>
      <c r="M309" s="158" t="s">
        <v>149</v>
      </c>
      <c r="N309" s="158" t="s">
        <v>149</v>
      </c>
      <c r="O309" s="158" t="s">
        <v>149</v>
      </c>
      <c r="P309" s="153" t="s">
        <v>1381</v>
      </c>
      <c r="Q309" s="158" t="s">
        <v>6154</v>
      </c>
      <c r="R309" s="158" t="s">
        <v>206</v>
      </c>
      <c r="S309" s="158" t="s">
        <v>159</v>
      </c>
      <c r="T309" s="158" t="s">
        <v>149</v>
      </c>
      <c r="U309" s="158" t="s">
        <v>149</v>
      </c>
      <c r="V309" s="158" t="s">
        <v>149</v>
      </c>
      <c r="W309" s="153" t="s">
        <v>660</v>
      </c>
      <c r="X309" s="153" t="s">
        <v>6035</v>
      </c>
      <c r="Y309" s="153" t="s">
        <v>369</v>
      </c>
      <c r="Z309" s="153"/>
      <c r="AA309" s="153"/>
      <c r="AB309" s="158" t="s">
        <v>395</v>
      </c>
      <c r="AC309" s="153" t="s">
        <v>6060</v>
      </c>
      <c r="AD309" s="158" t="s">
        <v>6711</v>
      </c>
      <c r="AE309" s="153" t="s">
        <v>398</v>
      </c>
      <c r="AF309" s="153"/>
      <c r="AG309" s="153"/>
    </row>
    <row r="310" ht="15.75" customHeight="1">
      <c r="A310" s="238">
        <v>2025.0</v>
      </c>
      <c r="B310" s="230">
        <v>309.0</v>
      </c>
      <c r="C310" s="153" t="s">
        <v>7901</v>
      </c>
      <c r="D310" s="153" t="s">
        <v>585</v>
      </c>
      <c r="E310" s="153" t="s">
        <v>1467</v>
      </c>
      <c r="F310" s="153" t="s">
        <v>1468</v>
      </c>
      <c r="G310" s="153" t="s">
        <v>1377</v>
      </c>
      <c r="H310" s="153" t="s">
        <v>1470</v>
      </c>
      <c r="I310" s="192">
        <v>1992.0</v>
      </c>
      <c r="J310" s="230">
        <v>1990.0</v>
      </c>
      <c r="K310" s="230">
        <v>1994.0</v>
      </c>
      <c r="L310" s="153" t="s">
        <v>151</v>
      </c>
      <c r="M310" s="158" t="s">
        <v>149</v>
      </c>
      <c r="N310" s="158" t="s">
        <v>149</v>
      </c>
      <c r="O310" s="158" t="s">
        <v>149</v>
      </c>
      <c r="P310" s="153" t="s">
        <v>1381</v>
      </c>
      <c r="Q310" s="158" t="s">
        <v>6154</v>
      </c>
      <c r="R310" s="158" t="s">
        <v>206</v>
      </c>
      <c r="S310" s="158" t="s">
        <v>159</v>
      </c>
      <c r="T310" s="158" t="s">
        <v>149</v>
      </c>
      <c r="U310" s="158" t="s">
        <v>149</v>
      </c>
      <c r="V310" s="158" t="s">
        <v>149</v>
      </c>
      <c r="W310" s="153" t="s">
        <v>660</v>
      </c>
      <c r="X310" s="153" t="s">
        <v>6035</v>
      </c>
      <c r="Y310" s="153" t="s">
        <v>369</v>
      </c>
      <c r="Z310" s="153"/>
      <c r="AA310" s="153"/>
      <c r="AB310" s="158" t="s">
        <v>395</v>
      </c>
      <c r="AC310" s="153" t="s">
        <v>6060</v>
      </c>
      <c r="AD310" s="158" t="s">
        <v>6711</v>
      </c>
      <c r="AE310" s="153" t="s">
        <v>398</v>
      </c>
      <c r="AF310" s="153"/>
      <c r="AG310" s="153"/>
    </row>
    <row r="311" ht="15.75" customHeight="1">
      <c r="A311" s="238">
        <v>2025.0</v>
      </c>
      <c r="B311" s="230">
        <v>310.0</v>
      </c>
      <c r="C311" s="153" t="s">
        <v>7901</v>
      </c>
      <c r="D311" s="153" t="s">
        <v>585</v>
      </c>
      <c r="E311" s="153" t="s">
        <v>2805</v>
      </c>
      <c r="F311" s="153" t="s">
        <v>2806</v>
      </c>
      <c r="G311" s="158" t="s">
        <v>149</v>
      </c>
      <c r="H311" s="153" t="s">
        <v>2807</v>
      </c>
      <c r="I311" s="230">
        <v>1996.0</v>
      </c>
      <c r="J311" s="158" t="s">
        <v>149</v>
      </c>
      <c r="K311" s="158" t="s">
        <v>149</v>
      </c>
      <c r="L311" s="153" t="s">
        <v>151</v>
      </c>
      <c r="M311" s="158" t="s">
        <v>149</v>
      </c>
      <c r="N311" s="158" t="s">
        <v>149</v>
      </c>
      <c r="O311" s="158" t="s">
        <v>149</v>
      </c>
      <c r="P311" s="153" t="s">
        <v>2809</v>
      </c>
      <c r="Q311" s="158" t="s">
        <v>160</v>
      </c>
      <c r="R311" s="158" t="s">
        <v>306</v>
      </c>
      <c r="S311" s="158" t="s">
        <v>159</v>
      </c>
      <c r="T311" s="158" t="s">
        <v>149</v>
      </c>
      <c r="U311" s="158" t="s">
        <v>149</v>
      </c>
      <c r="V311" s="153" t="s">
        <v>2810</v>
      </c>
      <c r="W311" s="153" t="s">
        <v>369</v>
      </c>
      <c r="X311" s="153" t="s">
        <v>6035</v>
      </c>
      <c r="Y311" s="153"/>
      <c r="Z311" s="153"/>
      <c r="AA311" s="153"/>
      <c r="AB311" s="153" t="s">
        <v>6084</v>
      </c>
      <c r="AC311" s="153" t="s">
        <v>823</v>
      </c>
      <c r="AD311" s="172" t="s">
        <v>824</v>
      </c>
      <c r="AE311" s="153"/>
      <c r="AF311" s="153"/>
      <c r="AG311" s="153"/>
    </row>
    <row r="312" ht="15.75" customHeight="1">
      <c r="A312" s="238">
        <v>2025.0</v>
      </c>
      <c r="B312" s="230">
        <v>311.0</v>
      </c>
      <c r="C312" s="153" t="s">
        <v>7901</v>
      </c>
      <c r="D312" s="153" t="s">
        <v>585</v>
      </c>
      <c r="E312" s="153" t="s">
        <v>1472</v>
      </c>
      <c r="F312" s="153" t="s">
        <v>1473</v>
      </c>
      <c r="G312" s="153" t="s">
        <v>1377</v>
      </c>
      <c r="H312" s="153" t="s">
        <v>1474</v>
      </c>
      <c r="I312" s="192">
        <v>1992.0</v>
      </c>
      <c r="J312" s="230">
        <v>1990.0</v>
      </c>
      <c r="K312" s="230">
        <v>1994.0</v>
      </c>
      <c r="L312" s="153" t="s">
        <v>151</v>
      </c>
      <c r="M312" s="158" t="s">
        <v>149</v>
      </c>
      <c r="N312" s="158" t="s">
        <v>149</v>
      </c>
      <c r="O312" s="158" t="s">
        <v>149</v>
      </c>
      <c r="P312" s="153" t="s">
        <v>1381</v>
      </c>
      <c r="Q312" s="158" t="s">
        <v>6154</v>
      </c>
      <c r="R312" s="158" t="s">
        <v>206</v>
      </c>
      <c r="S312" s="158" t="s">
        <v>159</v>
      </c>
      <c r="T312" s="158" t="s">
        <v>149</v>
      </c>
      <c r="U312" s="158" t="s">
        <v>149</v>
      </c>
      <c r="V312" s="158" t="s">
        <v>149</v>
      </c>
      <c r="W312" s="153" t="s">
        <v>660</v>
      </c>
      <c r="X312" s="153" t="s">
        <v>6035</v>
      </c>
      <c r="Y312" s="153" t="s">
        <v>369</v>
      </c>
      <c r="Z312" s="153"/>
      <c r="AA312" s="153"/>
      <c r="AB312" s="158" t="s">
        <v>395</v>
      </c>
      <c r="AC312" s="153" t="s">
        <v>6060</v>
      </c>
      <c r="AD312" s="158" t="s">
        <v>6711</v>
      </c>
      <c r="AE312" s="153" t="s">
        <v>398</v>
      </c>
      <c r="AF312" s="153"/>
      <c r="AG312" s="153"/>
    </row>
    <row r="313" ht="15.75" customHeight="1">
      <c r="A313" s="238">
        <v>2025.0</v>
      </c>
      <c r="B313" s="230">
        <v>312.0</v>
      </c>
      <c r="C313" s="153" t="s">
        <v>7901</v>
      </c>
      <c r="D313" s="153" t="s">
        <v>585</v>
      </c>
      <c r="E313" s="153" t="s">
        <v>586</v>
      </c>
      <c r="F313" s="153" t="s">
        <v>587</v>
      </c>
      <c r="G313" s="153" t="s">
        <v>384</v>
      </c>
      <c r="H313" s="153" t="s">
        <v>588</v>
      </c>
      <c r="I313" s="230">
        <v>1986.0</v>
      </c>
      <c r="J313" s="230">
        <v>1985.0</v>
      </c>
      <c r="K313" s="230">
        <v>1987.0</v>
      </c>
      <c r="L313" s="153" t="s">
        <v>151</v>
      </c>
      <c r="M313" s="153" t="s">
        <v>6054</v>
      </c>
      <c r="N313" s="158" t="s">
        <v>6054</v>
      </c>
      <c r="O313" s="158" t="s">
        <v>149</v>
      </c>
      <c r="P313" s="153" t="s">
        <v>390</v>
      </c>
      <c r="Q313" s="158" t="s">
        <v>160</v>
      </c>
      <c r="R313" s="158" t="s">
        <v>6035</v>
      </c>
      <c r="S313" s="158" t="s">
        <v>159</v>
      </c>
      <c r="T313" s="158" t="s">
        <v>149</v>
      </c>
      <c r="U313" s="158" t="s">
        <v>149</v>
      </c>
      <c r="V313" s="153" t="s">
        <v>450</v>
      </c>
      <c r="W313" s="153" t="s">
        <v>390</v>
      </c>
      <c r="X313" s="153" t="s">
        <v>6035</v>
      </c>
      <c r="Y313" s="153" t="s">
        <v>6055</v>
      </c>
      <c r="Z313" s="153"/>
      <c r="AA313" s="153"/>
      <c r="AB313" s="158" t="s">
        <v>395</v>
      </c>
      <c r="AC313" s="153" t="s">
        <v>6060</v>
      </c>
      <c r="AD313" s="158" t="s">
        <v>6711</v>
      </c>
      <c r="AE313" s="153" t="s">
        <v>398</v>
      </c>
      <c r="AF313" s="153"/>
      <c r="AG313" s="153"/>
    </row>
    <row r="314" ht="15.75" customHeight="1">
      <c r="A314" s="238">
        <v>2025.0</v>
      </c>
      <c r="B314" s="230">
        <v>313.0</v>
      </c>
      <c r="C314" s="153" t="s">
        <v>7901</v>
      </c>
      <c r="D314" s="153" t="s">
        <v>585</v>
      </c>
      <c r="E314" s="153" t="s">
        <v>586</v>
      </c>
      <c r="F314" s="153" t="s">
        <v>587</v>
      </c>
      <c r="G314" s="153" t="s">
        <v>1377</v>
      </c>
      <c r="H314" s="153" t="s">
        <v>1476</v>
      </c>
      <c r="I314" s="192">
        <v>1992.0</v>
      </c>
      <c r="J314" s="230">
        <v>1990.0</v>
      </c>
      <c r="K314" s="230">
        <v>1994.0</v>
      </c>
      <c r="L314" s="153" t="s">
        <v>151</v>
      </c>
      <c r="M314" s="158" t="s">
        <v>149</v>
      </c>
      <c r="N314" s="158" t="s">
        <v>149</v>
      </c>
      <c r="O314" s="158" t="s">
        <v>149</v>
      </c>
      <c r="P314" s="153" t="s">
        <v>1381</v>
      </c>
      <c r="Q314" s="158" t="s">
        <v>6154</v>
      </c>
      <c r="R314" s="158" t="s">
        <v>206</v>
      </c>
      <c r="S314" s="158" t="s">
        <v>159</v>
      </c>
      <c r="T314" s="158" t="s">
        <v>149</v>
      </c>
      <c r="U314" s="158" t="s">
        <v>149</v>
      </c>
      <c r="V314" s="158" t="s">
        <v>149</v>
      </c>
      <c r="W314" s="153" t="s">
        <v>660</v>
      </c>
      <c r="X314" s="153" t="s">
        <v>6035</v>
      </c>
      <c r="Y314" s="153" t="s">
        <v>369</v>
      </c>
      <c r="Z314" s="153"/>
      <c r="AA314" s="153"/>
      <c r="AB314" s="158" t="s">
        <v>395</v>
      </c>
      <c r="AC314" s="153" t="s">
        <v>6060</v>
      </c>
      <c r="AD314" s="158" t="s">
        <v>6711</v>
      </c>
      <c r="AE314" s="153" t="s">
        <v>398</v>
      </c>
      <c r="AF314" s="153"/>
      <c r="AG314" s="153"/>
    </row>
    <row r="315" ht="15.75" customHeight="1">
      <c r="A315" s="238">
        <v>2025.0</v>
      </c>
      <c r="B315" s="230">
        <v>314.0</v>
      </c>
      <c r="C315" s="153" t="s">
        <v>7901</v>
      </c>
      <c r="D315" s="153" t="s">
        <v>585</v>
      </c>
      <c r="E315" s="153" t="s">
        <v>586</v>
      </c>
      <c r="F315" s="153" t="s">
        <v>587</v>
      </c>
      <c r="G315" s="153" t="s">
        <v>1377</v>
      </c>
      <c r="H315" s="153" t="s">
        <v>1478</v>
      </c>
      <c r="I315" s="192">
        <v>1992.0</v>
      </c>
      <c r="J315" s="230">
        <v>1990.0</v>
      </c>
      <c r="K315" s="230">
        <v>1994.0</v>
      </c>
      <c r="L315" s="153" t="s">
        <v>151</v>
      </c>
      <c r="M315" s="158" t="s">
        <v>149</v>
      </c>
      <c r="N315" s="158" t="s">
        <v>149</v>
      </c>
      <c r="O315" s="158" t="s">
        <v>149</v>
      </c>
      <c r="P315" s="153" t="s">
        <v>1381</v>
      </c>
      <c r="Q315" s="158" t="s">
        <v>6154</v>
      </c>
      <c r="R315" s="158" t="s">
        <v>206</v>
      </c>
      <c r="S315" s="158" t="s">
        <v>159</v>
      </c>
      <c r="T315" s="158" t="s">
        <v>149</v>
      </c>
      <c r="U315" s="158" t="s">
        <v>149</v>
      </c>
      <c r="V315" s="158" t="s">
        <v>149</v>
      </c>
      <c r="W315" s="153" t="s">
        <v>660</v>
      </c>
      <c r="X315" s="153" t="s">
        <v>6035</v>
      </c>
      <c r="Y315" s="153" t="s">
        <v>369</v>
      </c>
      <c r="Z315" s="153"/>
      <c r="AA315" s="153"/>
      <c r="AB315" s="158" t="s">
        <v>395</v>
      </c>
      <c r="AC315" s="153" t="s">
        <v>6060</v>
      </c>
      <c r="AD315" s="158" t="s">
        <v>6711</v>
      </c>
      <c r="AE315" s="153" t="s">
        <v>398</v>
      </c>
      <c r="AF315" s="153"/>
      <c r="AG315" s="153"/>
    </row>
    <row r="316" ht="15.75" customHeight="1">
      <c r="A316" s="238">
        <v>2025.0</v>
      </c>
      <c r="B316" s="230">
        <v>315.0</v>
      </c>
      <c r="C316" s="153" t="s">
        <v>7901</v>
      </c>
      <c r="D316" s="153" t="s">
        <v>585</v>
      </c>
      <c r="E316" s="153" t="s">
        <v>585</v>
      </c>
      <c r="F316" s="153" t="s">
        <v>1480</v>
      </c>
      <c r="G316" s="153" t="s">
        <v>1377</v>
      </c>
      <c r="H316" s="153" t="s">
        <v>1481</v>
      </c>
      <c r="I316" s="192">
        <v>1992.0</v>
      </c>
      <c r="J316" s="230">
        <v>1990.0</v>
      </c>
      <c r="K316" s="230">
        <v>1994.0</v>
      </c>
      <c r="L316" s="153" t="s">
        <v>151</v>
      </c>
      <c r="M316" s="158" t="s">
        <v>149</v>
      </c>
      <c r="N316" s="158" t="s">
        <v>149</v>
      </c>
      <c r="O316" s="158" t="s">
        <v>149</v>
      </c>
      <c r="P316" s="153" t="s">
        <v>1381</v>
      </c>
      <c r="Q316" s="158" t="s">
        <v>6154</v>
      </c>
      <c r="R316" s="158" t="s">
        <v>206</v>
      </c>
      <c r="S316" s="158" t="s">
        <v>159</v>
      </c>
      <c r="T316" s="158" t="s">
        <v>149</v>
      </c>
      <c r="U316" s="158" t="s">
        <v>149</v>
      </c>
      <c r="V316" s="158" t="s">
        <v>149</v>
      </c>
      <c r="W316" s="153" t="s">
        <v>660</v>
      </c>
      <c r="X316" s="153" t="s">
        <v>6035</v>
      </c>
      <c r="Y316" s="153" t="s">
        <v>369</v>
      </c>
      <c r="Z316" s="153"/>
      <c r="AA316" s="153"/>
      <c r="AB316" s="158" t="s">
        <v>395</v>
      </c>
      <c r="AC316" s="153" t="s">
        <v>6060</v>
      </c>
      <c r="AD316" s="158" t="s">
        <v>6711</v>
      </c>
      <c r="AE316" s="153" t="s">
        <v>398</v>
      </c>
      <c r="AF316" s="153"/>
      <c r="AG316" s="153"/>
    </row>
    <row r="317" ht="15.75" customHeight="1">
      <c r="A317" s="238">
        <v>2025.0</v>
      </c>
      <c r="B317" s="230">
        <v>316.0</v>
      </c>
      <c r="C317" s="153" t="s">
        <v>7901</v>
      </c>
      <c r="D317" s="153" t="s">
        <v>585</v>
      </c>
      <c r="E317" s="153" t="s">
        <v>1483</v>
      </c>
      <c r="F317" s="153" t="s">
        <v>1484</v>
      </c>
      <c r="G317" s="153" t="s">
        <v>1377</v>
      </c>
      <c r="H317" s="153" t="s">
        <v>1485</v>
      </c>
      <c r="I317" s="192">
        <v>1992.0</v>
      </c>
      <c r="J317" s="230">
        <v>1990.0</v>
      </c>
      <c r="K317" s="230">
        <v>1994.0</v>
      </c>
      <c r="L317" s="153" t="s">
        <v>151</v>
      </c>
      <c r="M317" s="158" t="s">
        <v>149</v>
      </c>
      <c r="N317" s="158" t="s">
        <v>149</v>
      </c>
      <c r="O317" s="158" t="s">
        <v>149</v>
      </c>
      <c r="P317" s="153" t="s">
        <v>1381</v>
      </c>
      <c r="Q317" s="158" t="s">
        <v>6154</v>
      </c>
      <c r="R317" s="158" t="s">
        <v>206</v>
      </c>
      <c r="S317" s="158" t="s">
        <v>159</v>
      </c>
      <c r="T317" s="158" t="s">
        <v>149</v>
      </c>
      <c r="U317" s="158" t="s">
        <v>149</v>
      </c>
      <c r="V317" s="158" t="s">
        <v>149</v>
      </c>
      <c r="W317" s="153" t="s">
        <v>660</v>
      </c>
      <c r="X317" s="153" t="s">
        <v>6035</v>
      </c>
      <c r="Y317" s="153" t="s">
        <v>369</v>
      </c>
      <c r="Z317" s="153"/>
      <c r="AA317" s="153"/>
      <c r="AB317" s="158" t="s">
        <v>395</v>
      </c>
      <c r="AC317" s="153" t="s">
        <v>6060</v>
      </c>
      <c r="AD317" s="158" t="s">
        <v>6711</v>
      </c>
      <c r="AE317" s="153" t="s">
        <v>398</v>
      </c>
      <c r="AF317" s="153"/>
      <c r="AG317" s="153"/>
    </row>
    <row r="318" ht="15.75" customHeight="1">
      <c r="A318" s="238">
        <v>2025.0</v>
      </c>
      <c r="B318" s="230">
        <v>317.0</v>
      </c>
      <c r="C318" s="153" t="s">
        <v>7901</v>
      </c>
      <c r="D318" s="153" t="s">
        <v>585</v>
      </c>
      <c r="E318" s="153" t="s">
        <v>1487</v>
      </c>
      <c r="F318" s="153" t="s">
        <v>1488</v>
      </c>
      <c r="G318" s="153" t="s">
        <v>1377</v>
      </c>
      <c r="H318" s="153" t="s">
        <v>1489</v>
      </c>
      <c r="I318" s="192">
        <v>1992.0</v>
      </c>
      <c r="J318" s="230">
        <v>1990.0</v>
      </c>
      <c r="K318" s="230">
        <v>1994.0</v>
      </c>
      <c r="L318" s="153" t="s">
        <v>151</v>
      </c>
      <c r="M318" s="158" t="s">
        <v>149</v>
      </c>
      <c r="N318" s="158" t="s">
        <v>149</v>
      </c>
      <c r="O318" s="158" t="s">
        <v>149</v>
      </c>
      <c r="P318" s="153" t="s">
        <v>1381</v>
      </c>
      <c r="Q318" s="158" t="s">
        <v>6154</v>
      </c>
      <c r="R318" s="158" t="s">
        <v>206</v>
      </c>
      <c r="S318" s="158" t="s">
        <v>159</v>
      </c>
      <c r="T318" s="158" t="s">
        <v>149</v>
      </c>
      <c r="U318" s="158" t="s">
        <v>149</v>
      </c>
      <c r="V318" s="158" t="s">
        <v>149</v>
      </c>
      <c r="W318" s="153" t="s">
        <v>660</v>
      </c>
      <c r="X318" s="153" t="s">
        <v>6035</v>
      </c>
      <c r="Y318" s="153" t="s">
        <v>369</v>
      </c>
      <c r="Z318" s="153"/>
      <c r="AA318" s="153"/>
      <c r="AB318" s="158" t="s">
        <v>395</v>
      </c>
      <c r="AC318" s="153" t="s">
        <v>6060</v>
      </c>
      <c r="AD318" s="158" t="s">
        <v>6711</v>
      </c>
      <c r="AE318" s="153" t="s">
        <v>398</v>
      </c>
      <c r="AF318" s="153"/>
      <c r="AG318" s="153"/>
    </row>
    <row r="319" ht="15.75" customHeight="1">
      <c r="A319" s="238">
        <v>2025.0</v>
      </c>
      <c r="B319" s="230">
        <v>318.0</v>
      </c>
      <c r="C319" s="153" t="s">
        <v>7901</v>
      </c>
      <c r="D319" s="153" t="s">
        <v>585</v>
      </c>
      <c r="E319" s="153" t="s">
        <v>7266</v>
      </c>
      <c r="F319" s="153" t="s">
        <v>1492</v>
      </c>
      <c r="G319" s="153" t="s">
        <v>1377</v>
      </c>
      <c r="H319" s="153" t="s">
        <v>635</v>
      </c>
      <c r="I319" s="192">
        <v>1992.0</v>
      </c>
      <c r="J319" s="230">
        <v>1990.0</v>
      </c>
      <c r="K319" s="230">
        <v>1994.0</v>
      </c>
      <c r="L319" s="153" t="s">
        <v>151</v>
      </c>
      <c r="M319" s="158" t="s">
        <v>149</v>
      </c>
      <c r="N319" s="158" t="s">
        <v>149</v>
      </c>
      <c r="O319" s="158" t="s">
        <v>149</v>
      </c>
      <c r="P319" s="153" t="s">
        <v>1381</v>
      </c>
      <c r="Q319" s="158" t="s">
        <v>6154</v>
      </c>
      <c r="R319" s="158" t="s">
        <v>206</v>
      </c>
      <c r="S319" s="158" t="s">
        <v>159</v>
      </c>
      <c r="T319" s="158" t="s">
        <v>149</v>
      </c>
      <c r="U319" s="158" t="s">
        <v>149</v>
      </c>
      <c r="V319" s="158" t="s">
        <v>149</v>
      </c>
      <c r="W319" s="153" t="s">
        <v>660</v>
      </c>
      <c r="X319" s="153" t="s">
        <v>6035</v>
      </c>
      <c r="Y319" s="153" t="s">
        <v>369</v>
      </c>
      <c r="Z319" s="153"/>
      <c r="AA319" s="153"/>
      <c r="AB319" s="158" t="s">
        <v>395</v>
      </c>
      <c r="AC319" s="153" t="s">
        <v>6060</v>
      </c>
      <c r="AD319" s="158" t="s">
        <v>6711</v>
      </c>
      <c r="AE319" s="153" t="s">
        <v>398</v>
      </c>
      <c r="AF319" s="153"/>
      <c r="AG319" s="153"/>
    </row>
    <row r="320" ht="15.75" customHeight="1">
      <c r="A320" s="238">
        <v>2025.0</v>
      </c>
      <c r="B320" s="230">
        <v>319.0</v>
      </c>
      <c r="C320" s="153" t="s">
        <v>7901</v>
      </c>
      <c r="D320" s="153" t="s">
        <v>714</v>
      </c>
      <c r="E320" s="153" t="s">
        <v>715</v>
      </c>
      <c r="F320" s="153" t="s">
        <v>716</v>
      </c>
      <c r="G320" s="153" t="s">
        <v>717</v>
      </c>
      <c r="H320" s="153"/>
      <c r="I320" s="230">
        <v>2013.0</v>
      </c>
      <c r="J320" s="192" t="s">
        <v>149</v>
      </c>
      <c r="K320" s="192" t="s">
        <v>149</v>
      </c>
      <c r="L320" s="153" t="s">
        <v>151</v>
      </c>
      <c r="M320" s="153" t="s">
        <v>720</v>
      </c>
      <c r="N320" s="158" t="s">
        <v>720</v>
      </c>
      <c r="O320" s="153" t="s">
        <v>723</v>
      </c>
      <c r="P320" s="158" t="s">
        <v>149</v>
      </c>
      <c r="Q320" s="158" t="s">
        <v>149</v>
      </c>
      <c r="R320" s="158" t="s">
        <v>149</v>
      </c>
      <c r="S320" s="158" t="s">
        <v>149</v>
      </c>
      <c r="T320" s="158" t="s">
        <v>149</v>
      </c>
      <c r="U320" s="158" t="s">
        <v>149</v>
      </c>
      <c r="V320" s="158" t="s">
        <v>149</v>
      </c>
      <c r="W320" s="153" t="s">
        <v>724</v>
      </c>
      <c r="X320" s="158" t="s">
        <v>184</v>
      </c>
      <c r="Y320" s="153"/>
      <c r="Z320" s="153" t="s">
        <v>725</v>
      </c>
      <c r="AA320" s="153"/>
      <c r="AB320" s="158" t="s">
        <v>6517</v>
      </c>
      <c r="AC320" s="153" t="s">
        <v>726</v>
      </c>
      <c r="AD320" s="165" t="s">
        <v>727</v>
      </c>
      <c r="AE320" s="153"/>
      <c r="AF320" s="153"/>
      <c r="AG320" s="153"/>
    </row>
    <row r="321" ht="15.75" customHeight="1">
      <c r="A321" s="238">
        <v>2025.0</v>
      </c>
      <c r="B321" s="230">
        <v>320.0</v>
      </c>
      <c r="C321" s="153" t="s">
        <v>7901</v>
      </c>
      <c r="D321" s="153" t="s">
        <v>714</v>
      </c>
      <c r="E321" s="153" t="s">
        <v>715</v>
      </c>
      <c r="F321" s="153" t="s">
        <v>716</v>
      </c>
      <c r="G321" s="153" t="s">
        <v>1840</v>
      </c>
      <c r="H321" s="153"/>
      <c r="I321" s="230">
        <v>2017.0</v>
      </c>
      <c r="J321" s="192" t="s">
        <v>149</v>
      </c>
      <c r="K321" s="192" t="s">
        <v>149</v>
      </c>
      <c r="L321" s="153" t="s">
        <v>6062</v>
      </c>
      <c r="M321" s="153" t="s">
        <v>1841</v>
      </c>
      <c r="N321" s="158" t="s">
        <v>179</v>
      </c>
      <c r="O321" s="153" t="s">
        <v>1842</v>
      </c>
      <c r="P321" s="158" t="s">
        <v>149</v>
      </c>
      <c r="Q321" s="158" t="s">
        <v>149</v>
      </c>
      <c r="R321" s="158" t="s">
        <v>149</v>
      </c>
      <c r="S321" s="158" t="s">
        <v>149</v>
      </c>
      <c r="T321" s="158" t="s">
        <v>149</v>
      </c>
      <c r="U321" s="158" t="s">
        <v>149</v>
      </c>
      <c r="V321" s="158" t="s">
        <v>149</v>
      </c>
      <c r="W321" s="153" t="s">
        <v>724</v>
      </c>
      <c r="X321" s="158" t="s">
        <v>184</v>
      </c>
      <c r="Y321" s="153"/>
      <c r="Z321" s="153"/>
      <c r="AA321" s="153" t="s">
        <v>1843</v>
      </c>
      <c r="AB321" s="158" t="s">
        <v>6517</v>
      </c>
      <c r="AC321" s="153" t="s">
        <v>726</v>
      </c>
      <c r="AD321" s="165" t="s">
        <v>1844</v>
      </c>
      <c r="AE321" s="153"/>
      <c r="AF321" s="153"/>
      <c r="AG321" s="153"/>
    </row>
    <row r="322" ht="15.75" customHeight="1">
      <c r="A322" s="238">
        <v>2025.0</v>
      </c>
      <c r="B322" s="230">
        <v>321.0</v>
      </c>
      <c r="C322" s="153" t="s">
        <v>7901</v>
      </c>
      <c r="D322" s="153" t="s">
        <v>1271</v>
      </c>
      <c r="E322" s="153" t="s">
        <v>2812</v>
      </c>
      <c r="F322" s="153" t="s">
        <v>2813</v>
      </c>
      <c r="G322" s="158" t="s">
        <v>149</v>
      </c>
      <c r="H322" s="153"/>
      <c r="I322" s="158" t="s">
        <v>149</v>
      </c>
      <c r="J322" s="158" t="s">
        <v>149</v>
      </c>
      <c r="K322" s="158" t="s">
        <v>149</v>
      </c>
      <c r="L322" s="153" t="s">
        <v>151</v>
      </c>
      <c r="M322" s="158" t="s">
        <v>149</v>
      </c>
      <c r="N322" s="158" t="s">
        <v>149</v>
      </c>
      <c r="O322" s="158" t="s">
        <v>149</v>
      </c>
      <c r="P322" s="158" t="s">
        <v>149</v>
      </c>
      <c r="Q322" s="158" t="s">
        <v>149</v>
      </c>
      <c r="R322" s="158" t="s">
        <v>149</v>
      </c>
      <c r="S322" s="158" t="s">
        <v>149</v>
      </c>
      <c r="T322" s="158" t="s">
        <v>149</v>
      </c>
      <c r="U322" s="158" t="s">
        <v>149</v>
      </c>
      <c r="V322" s="158" t="s">
        <v>149</v>
      </c>
      <c r="W322" s="153" t="s">
        <v>369</v>
      </c>
      <c r="X322" s="153" t="s">
        <v>6035</v>
      </c>
      <c r="Y322" s="153"/>
      <c r="Z322" s="153"/>
      <c r="AA322" s="153"/>
      <c r="AB322" s="153" t="s">
        <v>6084</v>
      </c>
      <c r="AC322" s="153" t="s">
        <v>823</v>
      </c>
      <c r="AD322" s="165" t="s">
        <v>824</v>
      </c>
      <c r="AE322" s="153"/>
      <c r="AF322" s="153"/>
      <c r="AG322" s="153"/>
    </row>
    <row r="323" ht="15.75" customHeight="1">
      <c r="A323" s="238">
        <v>2025.0</v>
      </c>
      <c r="B323" s="230">
        <v>322.0</v>
      </c>
      <c r="C323" s="153" t="s">
        <v>7901</v>
      </c>
      <c r="D323" s="153" t="s">
        <v>1271</v>
      </c>
      <c r="E323" s="153" t="s">
        <v>3161</v>
      </c>
      <c r="F323" s="154" t="s">
        <v>3162</v>
      </c>
      <c r="G323" s="158" t="s">
        <v>149</v>
      </c>
      <c r="H323" s="153"/>
      <c r="I323" s="230">
        <v>2017.0</v>
      </c>
      <c r="J323" s="230">
        <v>2017.0</v>
      </c>
      <c r="K323" s="158" t="s">
        <v>149</v>
      </c>
      <c r="L323" s="153" t="s">
        <v>6062</v>
      </c>
      <c r="M323" s="153" t="s">
        <v>3163</v>
      </c>
      <c r="N323" s="158" t="s">
        <v>3163</v>
      </c>
      <c r="O323" s="158" t="s">
        <v>149</v>
      </c>
      <c r="P323" s="158" t="s">
        <v>149</v>
      </c>
      <c r="Q323" s="158" t="s">
        <v>149</v>
      </c>
      <c r="R323" s="158" t="s">
        <v>2635</v>
      </c>
      <c r="S323" s="158" t="s">
        <v>149</v>
      </c>
      <c r="T323" s="158" t="s">
        <v>149</v>
      </c>
      <c r="U323" s="158" t="s">
        <v>149</v>
      </c>
      <c r="V323" s="153" t="s">
        <v>7293</v>
      </c>
      <c r="W323" s="153" t="s">
        <v>3165</v>
      </c>
      <c r="X323" s="153" t="s">
        <v>7294</v>
      </c>
      <c r="Y323" s="153"/>
      <c r="Z323" s="153"/>
      <c r="AA323" s="153"/>
      <c r="AB323" s="153" t="s">
        <v>6038</v>
      </c>
      <c r="AC323" s="153" t="s">
        <v>3166</v>
      </c>
      <c r="AD323" s="172" t="s">
        <v>3167</v>
      </c>
      <c r="AE323" s="153" t="s">
        <v>3165</v>
      </c>
      <c r="AF323" s="153"/>
      <c r="AG323" s="153"/>
    </row>
    <row r="324" ht="15.75" customHeight="1">
      <c r="A324" s="238">
        <v>2025.0</v>
      </c>
      <c r="B324" s="230">
        <v>323.0</v>
      </c>
      <c r="C324" s="153" t="s">
        <v>7901</v>
      </c>
      <c r="D324" s="153" t="s">
        <v>1271</v>
      </c>
      <c r="E324" s="153" t="s">
        <v>1272</v>
      </c>
      <c r="F324" s="153" t="s">
        <v>1273</v>
      </c>
      <c r="G324" s="153" t="s">
        <v>1174</v>
      </c>
      <c r="H324" s="153"/>
      <c r="I324" s="192">
        <v>2013.0</v>
      </c>
      <c r="J324" s="230">
        <v>2012.0</v>
      </c>
      <c r="K324" s="230">
        <v>2013.0</v>
      </c>
      <c r="L324" s="153" t="s">
        <v>6062</v>
      </c>
      <c r="M324" s="153" t="s">
        <v>1274</v>
      </c>
      <c r="N324" s="158" t="s">
        <v>179</v>
      </c>
      <c r="O324" s="158" t="s">
        <v>149</v>
      </c>
      <c r="P324" s="153" t="s">
        <v>321</v>
      </c>
      <c r="Q324" s="158" t="s">
        <v>160</v>
      </c>
      <c r="R324" s="158" t="s">
        <v>6035</v>
      </c>
      <c r="S324" s="158" t="s">
        <v>204</v>
      </c>
      <c r="T324" s="158" t="s">
        <v>149</v>
      </c>
      <c r="U324" s="158" t="s">
        <v>149</v>
      </c>
      <c r="V324" s="153" t="s">
        <v>1275</v>
      </c>
      <c r="W324" s="153" t="s">
        <v>885</v>
      </c>
      <c r="X324" s="158" t="s">
        <v>6068</v>
      </c>
      <c r="Y324" s="153" t="s">
        <v>1276</v>
      </c>
      <c r="Z324" s="153" t="s">
        <v>1277</v>
      </c>
      <c r="AA324" s="153"/>
      <c r="AB324" s="158" t="s">
        <v>6069</v>
      </c>
      <c r="AC324" s="153" t="s">
        <v>1278</v>
      </c>
      <c r="AD324" s="153" t="s">
        <v>6070</v>
      </c>
      <c r="AE324" s="153" t="s">
        <v>1280</v>
      </c>
      <c r="AF324" s="165" t="s">
        <v>1281</v>
      </c>
      <c r="AG324" s="153"/>
    </row>
    <row r="325" ht="15.75" customHeight="1">
      <c r="A325" s="238">
        <v>2025.0</v>
      </c>
      <c r="B325" s="230">
        <v>324.0</v>
      </c>
      <c r="C325" s="153" t="s">
        <v>7901</v>
      </c>
      <c r="D325" s="153" t="s">
        <v>1271</v>
      </c>
      <c r="E325" s="153" t="s">
        <v>1272</v>
      </c>
      <c r="F325" s="153" t="s">
        <v>1273</v>
      </c>
      <c r="G325" s="153" t="s">
        <v>1746</v>
      </c>
      <c r="H325" s="153"/>
      <c r="I325" s="230">
        <v>2014.0</v>
      </c>
      <c r="J325" s="230">
        <v>2014.0</v>
      </c>
      <c r="K325" s="192" t="s">
        <v>149</v>
      </c>
      <c r="L325" s="153" t="s">
        <v>151</v>
      </c>
      <c r="M325" s="153" t="s">
        <v>605</v>
      </c>
      <c r="N325" s="158" t="s">
        <v>605</v>
      </c>
      <c r="O325" s="153" t="s">
        <v>1747</v>
      </c>
      <c r="P325" s="158" t="s">
        <v>149</v>
      </c>
      <c r="Q325" s="158" t="s">
        <v>149</v>
      </c>
      <c r="R325" s="158" t="s">
        <v>149</v>
      </c>
      <c r="S325" s="158" t="s">
        <v>149</v>
      </c>
      <c r="T325" s="158" t="s">
        <v>149</v>
      </c>
      <c r="U325" s="158" t="s">
        <v>149</v>
      </c>
      <c r="V325" s="153" t="s">
        <v>1748</v>
      </c>
      <c r="W325" s="153" t="s">
        <v>158</v>
      </c>
      <c r="X325" s="153" t="s">
        <v>6035</v>
      </c>
      <c r="Y325" s="153"/>
      <c r="Z325" s="153" t="s">
        <v>158</v>
      </c>
      <c r="AA325" s="153"/>
      <c r="AB325" s="158" t="s">
        <v>7902</v>
      </c>
      <c r="AC325" s="153" t="s">
        <v>7300</v>
      </c>
      <c r="AD325" s="165" t="s">
        <v>1750</v>
      </c>
      <c r="AE325" s="153" t="s">
        <v>1739</v>
      </c>
      <c r="AF325" s="153" t="s">
        <v>1740</v>
      </c>
      <c r="AG325" s="153"/>
    </row>
    <row r="326" ht="15.75" customHeight="1">
      <c r="A326" s="238">
        <v>2025.0</v>
      </c>
      <c r="B326" s="230">
        <v>325.0</v>
      </c>
      <c r="C326" s="153" t="s">
        <v>7901</v>
      </c>
      <c r="D326" s="153" t="s">
        <v>1271</v>
      </c>
      <c r="E326" s="153" t="s">
        <v>1272</v>
      </c>
      <c r="F326" s="153" t="s">
        <v>1273</v>
      </c>
      <c r="G326" s="158" t="s">
        <v>149</v>
      </c>
      <c r="H326" s="153"/>
      <c r="I326" s="192" t="s">
        <v>149</v>
      </c>
      <c r="J326" s="192" t="s">
        <v>149</v>
      </c>
      <c r="K326" s="192" t="s">
        <v>149</v>
      </c>
      <c r="L326" s="153" t="s">
        <v>6062</v>
      </c>
      <c r="M326" s="153" t="s">
        <v>7273</v>
      </c>
      <c r="N326" s="158" t="s">
        <v>179</v>
      </c>
      <c r="O326" s="153" t="s">
        <v>2475</v>
      </c>
      <c r="P326" s="153" t="s">
        <v>1277</v>
      </c>
      <c r="Q326" s="158" t="s">
        <v>160</v>
      </c>
      <c r="R326" s="158" t="s">
        <v>184</v>
      </c>
      <c r="S326" s="158" t="s">
        <v>159</v>
      </c>
      <c r="T326" s="158" t="s">
        <v>149</v>
      </c>
      <c r="U326" s="158" t="s">
        <v>149</v>
      </c>
      <c r="V326" s="158" t="s">
        <v>149</v>
      </c>
      <c r="W326" s="153" t="s">
        <v>1277</v>
      </c>
      <c r="X326" s="158" t="s">
        <v>184</v>
      </c>
      <c r="Y326" s="153"/>
      <c r="Z326" s="153"/>
      <c r="AA326" s="153"/>
      <c r="AB326" s="153" t="s">
        <v>6038</v>
      </c>
      <c r="AC326" s="153" t="s">
        <v>2476</v>
      </c>
      <c r="AD326" s="165" t="s">
        <v>7305</v>
      </c>
      <c r="AE326" s="153"/>
      <c r="AF326" s="153" t="s">
        <v>2478</v>
      </c>
      <c r="AG326" s="153"/>
    </row>
    <row r="327" ht="15.75" customHeight="1">
      <c r="A327" s="238">
        <v>2025.0</v>
      </c>
      <c r="B327" s="230">
        <v>326.0</v>
      </c>
      <c r="C327" s="153" t="s">
        <v>7901</v>
      </c>
      <c r="D327" s="153" t="s">
        <v>1271</v>
      </c>
      <c r="E327" s="153" t="s">
        <v>1272</v>
      </c>
      <c r="F327" s="153" t="s">
        <v>1273</v>
      </c>
      <c r="G327" s="153" t="s">
        <v>1732</v>
      </c>
      <c r="H327" s="153"/>
      <c r="I327" s="230">
        <v>2019.0</v>
      </c>
      <c r="J327" s="230">
        <v>2019.0</v>
      </c>
      <c r="K327" s="192" t="s">
        <v>149</v>
      </c>
      <c r="L327" s="153" t="s">
        <v>151</v>
      </c>
      <c r="M327" s="153" t="s">
        <v>1735</v>
      </c>
      <c r="N327" s="158" t="s">
        <v>7310</v>
      </c>
      <c r="O327" s="158" t="s">
        <v>149</v>
      </c>
      <c r="P327" s="153" t="s">
        <v>1736</v>
      </c>
      <c r="Q327" s="158" t="s">
        <v>6154</v>
      </c>
      <c r="R327" s="158" t="s">
        <v>306</v>
      </c>
      <c r="S327" s="158" t="s">
        <v>204</v>
      </c>
      <c r="T327" s="158" t="s">
        <v>149</v>
      </c>
      <c r="U327" s="158" t="s">
        <v>149</v>
      </c>
      <c r="V327" s="158" t="s">
        <v>149</v>
      </c>
      <c r="W327" s="153" t="s">
        <v>1736</v>
      </c>
      <c r="X327" s="158" t="s">
        <v>306</v>
      </c>
      <c r="Y327" s="153"/>
      <c r="Z327" s="153"/>
      <c r="AA327" s="153"/>
      <c r="AB327" s="153" t="s">
        <v>6038</v>
      </c>
      <c r="AC327" s="153" t="s">
        <v>1737</v>
      </c>
      <c r="AD327" s="153" t="s">
        <v>1738</v>
      </c>
      <c r="AE327" s="153" t="s">
        <v>1739</v>
      </c>
      <c r="AF327" s="153" t="s">
        <v>1740</v>
      </c>
      <c r="AG327" s="153"/>
    </row>
    <row r="328" ht="15.75" customHeight="1">
      <c r="A328" s="238">
        <v>2025.0</v>
      </c>
      <c r="B328" s="230">
        <v>327.0</v>
      </c>
      <c r="C328" s="153" t="s">
        <v>7901</v>
      </c>
      <c r="D328" s="153" t="s">
        <v>1271</v>
      </c>
      <c r="E328" s="153" t="s">
        <v>1272</v>
      </c>
      <c r="F328" s="153" t="s">
        <v>1273</v>
      </c>
      <c r="G328" s="153" t="s">
        <v>1732</v>
      </c>
      <c r="H328" s="153"/>
      <c r="I328" s="230">
        <v>2018.0</v>
      </c>
      <c r="J328" s="230">
        <v>2018.0</v>
      </c>
      <c r="K328" s="192" t="s">
        <v>149</v>
      </c>
      <c r="L328" s="153" t="s">
        <v>151</v>
      </c>
      <c r="M328" s="153" t="s">
        <v>1742</v>
      </c>
      <c r="N328" s="158" t="s">
        <v>7310</v>
      </c>
      <c r="O328" s="158" t="s">
        <v>149</v>
      </c>
      <c r="P328" s="153" t="s">
        <v>1736</v>
      </c>
      <c r="Q328" s="158" t="s">
        <v>6154</v>
      </c>
      <c r="R328" s="158" t="s">
        <v>306</v>
      </c>
      <c r="S328" s="158" t="s">
        <v>204</v>
      </c>
      <c r="T328" s="158" t="s">
        <v>149</v>
      </c>
      <c r="U328" s="158" t="s">
        <v>149</v>
      </c>
      <c r="V328" s="158" t="s">
        <v>149</v>
      </c>
      <c r="W328" s="153" t="s">
        <v>1736</v>
      </c>
      <c r="X328" s="158" t="s">
        <v>306</v>
      </c>
      <c r="Y328" s="153"/>
      <c r="Z328" s="153"/>
      <c r="AA328" s="153"/>
      <c r="AB328" s="153" t="s">
        <v>6038</v>
      </c>
      <c r="AC328" s="153" t="s">
        <v>1743</v>
      </c>
      <c r="AD328" s="165" t="s">
        <v>1744</v>
      </c>
      <c r="AE328" s="153" t="s">
        <v>1739</v>
      </c>
      <c r="AF328" s="153" t="s">
        <v>1740</v>
      </c>
      <c r="AG328" s="153"/>
    </row>
    <row r="329" ht="15.75" customHeight="1">
      <c r="A329" s="238">
        <v>2025.0</v>
      </c>
      <c r="B329" s="230">
        <v>328.0</v>
      </c>
      <c r="C329" s="153" t="s">
        <v>7901</v>
      </c>
      <c r="D329" s="153" t="s">
        <v>1271</v>
      </c>
      <c r="E329" s="153" t="s">
        <v>1763</v>
      </c>
      <c r="F329" s="153" t="s">
        <v>1764</v>
      </c>
      <c r="G329" s="153" t="s">
        <v>1765</v>
      </c>
      <c r="H329" s="153"/>
      <c r="I329" s="230">
        <v>2022.0</v>
      </c>
      <c r="J329" s="192" t="s">
        <v>149</v>
      </c>
      <c r="K329" s="192" t="s">
        <v>149</v>
      </c>
      <c r="L329" s="153" t="s">
        <v>151</v>
      </c>
      <c r="M329" s="153" t="s">
        <v>6079</v>
      </c>
      <c r="N329" s="158" t="s">
        <v>605</v>
      </c>
      <c r="O329" s="158" t="s">
        <v>1766</v>
      </c>
      <c r="P329" s="153" t="s">
        <v>1736</v>
      </c>
      <c r="Q329" s="158" t="s">
        <v>6154</v>
      </c>
      <c r="R329" s="158" t="s">
        <v>306</v>
      </c>
      <c r="S329" s="158" t="s">
        <v>159</v>
      </c>
      <c r="T329" s="158" t="s">
        <v>149</v>
      </c>
      <c r="U329" s="158" t="s">
        <v>149</v>
      </c>
      <c r="V329" s="158" t="s">
        <v>149</v>
      </c>
      <c r="W329" s="153" t="s">
        <v>1736</v>
      </c>
      <c r="X329" s="158" t="s">
        <v>306</v>
      </c>
      <c r="Y329" s="158" t="s">
        <v>369</v>
      </c>
      <c r="Z329" s="153"/>
      <c r="AA329" s="153"/>
      <c r="AB329" s="153" t="s">
        <v>6038</v>
      </c>
      <c r="AC329" s="153" t="s">
        <v>1767</v>
      </c>
      <c r="AD329" s="165" t="s">
        <v>1768</v>
      </c>
      <c r="AE329" s="153" t="s">
        <v>1739</v>
      </c>
      <c r="AF329" s="153" t="s">
        <v>1740</v>
      </c>
      <c r="AG329" s="153"/>
    </row>
    <row r="330" ht="15.75" customHeight="1">
      <c r="A330" s="238">
        <v>2025.0</v>
      </c>
      <c r="B330" s="230">
        <v>329.0</v>
      </c>
      <c r="C330" s="153" t="s">
        <v>7901</v>
      </c>
      <c r="D330" s="153" t="s">
        <v>1271</v>
      </c>
      <c r="E330" s="153" t="s">
        <v>1494</v>
      </c>
      <c r="F330" s="153" t="s">
        <v>1495</v>
      </c>
      <c r="G330" s="153" t="s">
        <v>1377</v>
      </c>
      <c r="H330" s="153" t="s">
        <v>7317</v>
      </c>
      <c r="I330" s="192">
        <v>1992.0</v>
      </c>
      <c r="J330" s="230">
        <v>1990.0</v>
      </c>
      <c r="K330" s="230">
        <v>1994.0</v>
      </c>
      <c r="L330" s="153" t="s">
        <v>151</v>
      </c>
      <c r="M330" s="158" t="s">
        <v>149</v>
      </c>
      <c r="N330" s="158" t="s">
        <v>149</v>
      </c>
      <c r="O330" s="158" t="s">
        <v>149</v>
      </c>
      <c r="P330" s="153" t="s">
        <v>1381</v>
      </c>
      <c r="Q330" s="158" t="s">
        <v>6154</v>
      </c>
      <c r="R330" s="158" t="s">
        <v>206</v>
      </c>
      <c r="S330" s="158" t="s">
        <v>159</v>
      </c>
      <c r="T330" s="158" t="s">
        <v>149</v>
      </c>
      <c r="U330" s="158" t="s">
        <v>149</v>
      </c>
      <c r="V330" s="158" t="s">
        <v>149</v>
      </c>
      <c r="W330" s="153" t="s">
        <v>660</v>
      </c>
      <c r="X330" s="153" t="s">
        <v>6035</v>
      </c>
      <c r="Y330" s="153" t="s">
        <v>369</v>
      </c>
      <c r="Z330" s="153"/>
      <c r="AA330" s="153"/>
      <c r="AB330" s="158" t="s">
        <v>395</v>
      </c>
      <c r="AC330" s="153" t="s">
        <v>6060</v>
      </c>
      <c r="AD330" s="158" t="s">
        <v>6711</v>
      </c>
      <c r="AE330" s="153" t="s">
        <v>398</v>
      </c>
      <c r="AF330" s="153"/>
      <c r="AG330" s="153"/>
    </row>
    <row r="331" ht="15.75" customHeight="1">
      <c r="A331" s="238">
        <v>2025.0</v>
      </c>
      <c r="B331" s="230">
        <v>330.0</v>
      </c>
      <c r="C331" s="153" t="s">
        <v>7901</v>
      </c>
      <c r="D331" s="153" t="s">
        <v>1271</v>
      </c>
      <c r="E331" s="153" t="s">
        <v>2648</v>
      </c>
      <c r="F331" s="153" t="s">
        <v>2649</v>
      </c>
      <c r="G331" s="158" t="s">
        <v>149</v>
      </c>
      <c r="H331" s="153" t="s">
        <v>7320</v>
      </c>
      <c r="I331" s="230">
        <v>2016.0</v>
      </c>
      <c r="J331" s="158" t="s">
        <v>149</v>
      </c>
      <c r="K331" s="158" t="s">
        <v>149</v>
      </c>
      <c r="L331" s="153" t="s">
        <v>6062</v>
      </c>
      <c r="M331" s="158" t="s">
        <v>179</v>
      </c>
      <c r="N331" s="158" t="s">
        <v>179</v>
      </c>
      <c r="O331" s="153" t="s">
        <v>2653</v>
      </c>
      <c r="P331" s="153" t="s">
        <v>158</v>
      </c>
      <c r="Q331" s="158" t="s">
        <v>160</v>
      </c>
      <c r="R331" s="158" t="s">
        <v>6035</v>
      </c>
      <c r="S331" s="158" t="s">
        <v>159</v>
      </c>
      <c r="T331" s="158" t="s">
        <v>149</v>
      </c>
      <c r="U331" s="153" t="s">
        <v>7321</v>
      </c>
      <c r="V331" s="153" t="s">
        <v>2655</v>
      </c>
      <c r="W331" s="153" t="s">
        <v>158</v>
      </c>
      <c r="X331" s="153" t="s">
        <v>6035</v>
      </c>
      <c r="Y331" s="153"/>
      <c r="Z331" s="153" t="s">
        <v>7903</v>
      </c>
      <c r="AA331" s="153"/>
      <c r="AB331" s="158" t="s">
        <v>166</v>
      </c>
      <c r="AC331" s="153" t="s">
        <v>2657</v>
      </c>
      <c r="AD331" s="172" t="s">
        <v>2658</v>
      </c>
      <c r="AE331" s="153"/>
      <c r="AF331" s="153"/>
      <c r="AG331" s="153"/>
    </row>
    <row r="332" ht="15.75" customHeight="1">
      <c r="A332" s="238">
        <v>2025.0</v>
      </c>
      <c r="B332" s="230">
        <v>331.0</v>
      </c>
      <c r="C332" s="153" t="s">
        <v>7904</v>
      </c>
      <c r="D332" s="153" t="s">
        <v>591</v>
      </c>
      <c r="E332" s="153" t="s">
        <v>7288</v>
      </c>
      <c r="F332" s="153" t="s">
        <v>593</v>
      </c>
      <c r="G332" s="153" t="s">
        <v>384</v>
      </c>
      <c r="H332" s="153" t="s">
        <v>435</v>
      </c>
      <c r="I332" s="230">
        <v>1987.0</v>
      </c>
      <c r="J332" s="230">
        <v>1985.0</v>
      </c>
      <c r="K332" s="230">
        <v>19987.0</v>
      </c>
      <c r="L332" s="153" t="s">
        <v>151</v>
      </c>
      <c r="M332" s="153" t="s">
        <v>469</v>
      </c>
      <c r="N332" s="158" t="s">
        <v>469</v>
      </c>
      <c r="O332" s="158" t="s">
        <v>149</v>
      </c>
      <c r="P332" s="153" t="s">
        <v>390</v>
      </c>
      <c r="Q332" s="158" t="s">
        <v>160</v>
      </c>
      <c r="R332" s="158" t="s">
        <v>6035</v>
      </c>
      <c r="S332" s="158" t="s">
        <v>159</v>
      </c>
      <c r="T332" s="158" t="s">
        <v>149</v>
      </c>
      <c r="U332" s="158" t="s">
        <v>149</v>
      </c>
      <c r="V332" s="158" t="s">
        <v>149</v>
      </c>
      <c r="W332" s="153" t="s">
        <v>390</v>
      </c>
      <c r="X332" s="153" t="s">
        <v>6035</v>
      </c>
      <c r="Y332" s="153" t="s">
        <v>6055</v>
      </c>
      <c r="Z332" s="153"/>
      <c r="AA332" s="153"/>
      <c r="AB332" s="158" t="s">
        <v>395</v>
      </c>
      <c r="AC332" s="153" t="s">
        <v>6060</v>
      </c>
      <c r="AD332" s="158" t="s">
        <v>6711</v>
      </c>
      <c r="AE332" s="153" t="s">
        <v>398</v>
      </c>
      <c r="AF332" s="153"/>
      <c r="AG332" s="153"/>
    </row>
    <row r="333" ht="15.75" customHeight="1">
      <c r="A333" s="238">
        <v>2025.0</v>
      </c>
      <c r="B333" s="230">
        <v>332.0</v>
      </c>
      <c r="C333" s="153" t="s">
        <v>7904</v>
      </c>
      <c r="D333" s="153" t="s">
        <v>591</v>
      </c>
      <c r="E333" s="153" t="s">
        <v>7288</v>
      </c>
      <c r="F333" s="153" t="s">
        <v>593</v>
      </c>
      <c r="G333" s="153" t="s">
        <v>384</v>
      </c>
      <c r="H333" s="153" t="s">
        <v>596</v>
      </c>
      <c r="I333" s="230">
        <v>1987.0</v>
      </c>
      <c r="J333" s="230">
        <v>1985.0</v>
      </c>
      <c r="K333" s="230">
        <v>1987.0</v>
      </c>
      <c r="L333" s="153" t="s">
        <v>151</v>
      </c>
      <c r="M333" s="153" t="s">
        <v>469</v>
      </c>
      <c r="N333" s="158" t="s">
        <v>469</v>
      </c>
      <c r="O333" s="158" t="s">
        <v>149</v>
      </c>
      <c r="P333" s="153" t="s">
        <v>390</v>
      </c>
      <c r="Q333" s="158" t="s">
        <v>160</v>
      </c>
      <c r="R333" s="158" t="s">
        <v>6035</v>
      </c>
      <c r="S333" s="158" t="s">
        <v>159</v>
      </c>
      <c r="T333" s="158" t="s">
        <v>149</v>
      </c>
      <c r="U333" s="158" t="s">
        <v>149</v>
      </c>
      <c r="V333" s="158" t="s">
        <v>149</v>
      </c>
      <c r="W333" s="153" t="s">
        <v>390</v>
      </c>
      <c r="X333" s="153" t="s">
        <v>6035</v>
      </c>
      <c r="Y333" s="153" t="s">
        <v>6055</v>
      </c>
      <c r="Z333" s="153"/>
      <c r="AA333" s="153"/>
      <c r="AB333" s="158" t="s">
        <v>395</v>
      </c>
      <c r="AC333" s="153" t="s">
        <v>6060</v>
      </c>
      <c r="AD333" s="158" t="s">
        <v>6711</v>
      </c>
      <c r="AE333" s="153" t="s">
        <v>398</v>
      </c>
      <c r="AF333" s="153"/>
      <c r="AG333" s="153"/>
    </row>
    <row r="334" ht="15.75" customHeight="1">
      <c r="A334" s="238">
        <v>2025.0</v>
      </c>
      <c r="B334" s="230">
        <v>333.0</v>
      </c>
      <c r="C334" s="153" t="s">
        <v>7904</v>
      </c>
      <c r="D334" s="153" t="s">
        <v>591</v>
      </c>
      <c r="E334" s="153" t="s">
        <v>7288</v>
      </c>
      <c r="F334" s="153" t="s">
        <v>593</v>
      </c>
      <c r="G334" s="153" t="s">
        <v>384</v>
      </c>
      <c r="H334" s="153" t="s">
        <v>598</v>
      </c>
      <c r="I334" s="230">
        <v>1987.0</v>
      </c>
      <c r="J334" s="230">
        <v>1985.0</v>
      </c>
      <c r="K334" s="230">
        <v>1987.0</v>
      </c>
      <c r="L334" s="153" t="s">
        <v>151</v>
      </c>
      <c r="M334" s="153" t="s">
        <v>469</v>
      </c>
      <c r="N334" s="158" t="s">
        <v>469</v>
      </c>
      <c r="O334" s="158" t="s">
        <v>149</v>
      </c>
      <c r="P334" s="153" t="s">
        <v>390</v>
      </c>
      <c r="Q334" s="158" t="s">
        <v>160</v>
      </c>
      <c r="R334" s="158" t="s">
        <v>6035</v>
      </c>
      <c r="S334" s="158" t="s">
        <v>159</v>
      </c>
      <c r="T334" s="158" t="s">
        <v>149</v>
      </c>
      <c r="U334" s="158" t="s">
        <v>149</v>
      </c>
      <c r="V334" s="158" t="s">
        <v>149</v>
      </c>
      <c r="W334" s="153" t="s">
        <v>390</v>
      </c>
      <c r="X334" s="153" t="s">
        <v>6035</v>
      </c>
      <c r="Y334" s="153" t="s">
        <v>6055</v>
      </c>
      <c r="Z334" s="153"/>
      <c r="AA334" s="153"/>
      <c r="AB334" s="158" t="s">
        <v>395</v>
      </c>
      <c r="AC334" s="153" t="s">
        <v>6060</v>
      </c>
      <c r="AD334" s="158" t="s">
        <v>6711</v>
      </c>
      <c r="AE334" s="153" t="s">
        <v>398</v>
      </c>
      <c r="AF334" s="153"/>
      <c r="AG334" s="153"/>
    </row>
    <row r="335" ht="15.75" customHeight="1">
      <c r="A335" s="238">
        <v>2025.0</v>
      </c>
      <c r="B335" s="230">
        <v>334.0</v>
      </c>
      <c r="C335" s="153" t="s">
        <v>7904</v>
      </c>
      <c r="D335" s="153" t="s">
        <v>769</v>
      </c>
      <c r="E335" s="153" t="s">
        <v>7302</v>
      </c>
      <c r="F335" s="153" t="s">
        <v>771</v>
      </c>
      <c r="G335" s="158" t="s">
        <v>149</v>
      </c>
      <c r="H335" s="153" t="s">
        <v>7335</v>
      </c>
      <c r="I335" s="192" t="s">
        <v>149</v>
      </c>
      <c r="J335" s="192" t="s">
        <v>149</v>
      </c>
      <c r="K335" s="192" t="s">
        <v>149</v>
      </c>
      <c r="L335" s="153" t="s">
        <v>151</v>
      </c>
      <c r="M335" s="158" t="s">
        <v>149</v>
      </c>
      <c r="N335" s="158" t="s">
        <v>149</v>
      </c>
      <c r="O335" s="158" t="s">
        <v>149</v>
      </c>
      <c r="P335" s="158" t="s">
        <v>149</v>
      </c>
      <c r="Q335" s="158" t="s">
        <v>149</v>
      </c>
      <c r="R335" s="158" t="s">
        <v>149</v>
      </c>
      <c r="S335" s="158" t="s">
        <v>149</v>
      </c>
      <c r="T335" s="158" t="s">
        <v>149</v>
      </c>
      <c r="U335" s="158" t="s">
        <v>149</v>
      </c>
      <c r="V335" s="158" t="s">
        <v>149</v>
      </c>
      <c r="W335" s="158" t="s">
        <v>149</v>
      </c>
      <c r="X335" s="158" t="s">
        <v>149</v>
      </c>
      <c r="Y335" s="153"/>
      <c r="Z335" s="153"/>
      <c r="AA335" s="153"/>
      <c r="AB335" s="158" t="s">
        <v>6091</v>
      </c>
      <c r="AC335" s="153" t="s">
        <v>3170</v>
      </c>
      <c r="AD335" s="172" t="s">
        <v>3171</v>
      </c>
      <c r="AE335" s="153"/>
      <c r="AF335" s="153"/>
      <c r="AG335" s="153"/>
    </row>
    <row r="336" ht="15.75" customHeight="1">
      <c r="A336" s="238">
        <v>2025.0</v>
      </c>
      <c r="B336" s="230">
        <v>335.0</v>
      </c>
      <c r="C336" s="153" t="s">
        <v>7904</v>
      </c>
      <c r="D336" s="153" t="s">
        <v>769</v>
      </c>
      <c r="E336" s="153" t="s">
        <v>7302</v>
      </c>
      <c r="F336" s="153" t="s">
        <v>771</v>
      </c>
      <c r="G336" s="153" t="s">
        <v>772</v>
      </c>
      <c r="H336" s="153"/>
      <c r="I336" s="192">
        <v>2021.0</v>
      </c>
      <c r="J336" s="192" t="s">
        <v>149</v>
      </c>
      <c r="K336" s="192" t="s">
        <v>149</v>
      </c>
      <c r="L336" s="153" t="s">
        <v>151</v>
      </c>
      <c r="M336" s="158" t="s">
        <v>149</v>
      </c>
      <c r="N336" s="158" t="s">
        <v>149</v>
      </c>
      <c r="O336" s="158" t="s">
        <v>149</v>
      </c>
      <c r="P336" s="158" t="s">
        <v>149</v>
      </c>
      <c r="Q336" s="158" t="s">
        <v>149</v>
      </c>
      <c r="R336" s="158" t="s">
        <v>149</v>
      </c>
      <c r="S336" s="158" t="s">
        <v>149</v>
      </c>
      <c r="T336" s="158" t="s">
        <v>149</v>
      </c>
      <c r="U336" s="158" t="s">
        <v>149</v>
      </c>
      <c r="V336" s="158" t="s">
        <v>149</v>
      </c>
      <c r="W336" s="153" t="s">
        <v>760</v>
      </c>
      <c r="X336" s="153" t="s">
        <v>6035</v>
      </c>
      <c r="Y336" s="153"/>
      <c r="Z336" s="153" t="s">
        <v>773</v>
      </c>
      <c r="AA336" s="153"/>
      <c r="AB336" s="153" t="s">
        <v>6038</v>
      </c>
      <c r="AC336" s="153" t="s">
        <v>774</v>
      </c>
      <c r="AD336" s="165" t="s">
        <v>775</v>
      </c>
      <c r="AE336" s="153"/>
      <c r="AF336" s="153"/>
      <c r="AG336" s="153"/>
    </row>
    <row r="337" ht="15.75" customHeight="1">
      <c r="A337" s="238">
        <v>2025.0</v>
      </c>
      <c r="B337" s="230">
        <v>336.0</v>
      </c>
      <c r="C337" s="153" t="s">
        <v>7904</v>
      </c>
      <c r="D337" s="153" t="s">
        <v>769</v>
      </c>
      <c r="E337" s="153" t="s">
        <v>7312</v>
      </c>
      <c r="F337" s="153" t="s">
        <v>1518</v>
      </c>
      <c r="G337" s="153" t="s">
        <v>1683</v>
      </c>
      <c r="H337" s="153"/>
      <c r="I337" s="192">
        <v>2015.0</v>
      </c>
      <c r="J337" s="230">
        <v>2014.0</v>
      </c>
      <c r="K337" s="230">
        <v>2016.0</v>
      </c>
      <c r="L337" s="153" t="s">
        <v>6062</v>
      </c>
      <c r="M337" s="158" t="s">
        <v>149</v>
      </c>
      <c r="N337" s="158" t="s">
        <v>149</v>
      </c>
      <c r="O337" s="158" t="s">
        <v>149</v>
      </c>
      <c r="P337" s="153" t="s">
        <v>321</v>
      </c>
      <c r="Q337" s="158" t="s">
        <v>160</v>
      </c>
      <c r="R337" s="158" t="s">
        <v>6035</v>
      </c>
      <c r="S337" s="158" t="s">
        <v>159</v>
      </c>
      <c r="T337" s="158" t="s">
        <v>149</v>
      </c>
      <c r="U337" s="158" t="s">
        <v>149</v>
      </c>
      <c r="V337" s="153" t="s">
        <v>1719</v>
      </c>
      <c r="W337" s="153" t="s">
        <v>326</v>
      </c>
      <c r="X337" s="158" t="s">
        <v>271</v>
      </c>
      <c r="Y337" s="153" t="s">
        <v>1720</v>
      </c>
      <c r="Z337" s="153"/>
      <c r="AA337" s="153"/>
      <c r="AB337" s="158" t="s">
        <v>6069</v>
      </c>
      <c r="AC337" s="153" t="s">
        <v>1300</v>
      </c>
      <c r="AD337" s="153" t="s">
        <v>7029</v>
      </c>
      <c r="AE337" s="153" t="s">
        <v>1722</v>
      </c>
      <c r="AF337" s="165" t="s">
        <v>1723</v>
      </c>
      <c r="AG337" s="153"/>
    </row>
    <row r="338" ht="15.75" customHeight="1">
      <c r="A338" s="238">
        <v>2025.0</v>
      </c>
      <c r="B338" s="230">
        <v>337.0</v>
      </c>
      <c r="C338" s="153" t="s">
        <v>7904</v>
      </c>
      <c r="D338" s="153" t="s">
        <v>769</v>
      </c>
      <c r="E338" s="153" t="s">
        <v>7312</v>
      </c>
      <c r="F338" s="153" t="s">
        <v>1518</v>
      </c>
      <c r="G338" s="153" t="s">
        <v>1519</v>
      </c>
      <c r="H338" s="153"/>
      <c r="I338" s="230">
        <v>2020.0</v>
      </c>
      <c r="J338" s="192" t="s">
        <v>149</v>
      </c>
      <c r="K338" s="192" t="s">
        <v>149</v>
      </c>
      <c r="L338" s="153" t="s">
        <v>151</v>
      </c>
      <c r="M338" s="158" t="s">
        <v>3376</v>
      </c>
      <c r="N338" s="158" t="s">
        <v>152</v>
      </c>
      <c r="O338" s="158" t="s">
        <v>1522</v>
      </c>
      <c r="P338" s="158" t="s">
        <v>1523</v>
      </c>
      <c r="Q338" s="158" t="s">
        <v>160</v>
      </c>
      <c r="R338" s="158" t="s">
        <v>6035</v>
      </c>
      <c r="S338" s="158" t="s">
        <v>159</v>
      </c>
      <c r="T338" s="158" t="s">
        <v>149</v>
      </c>
      <c r="U338" s="158" t="s">
        <v>149</v>
      </c>
      <c r="V338" s="158" t="s">
        <v>7344</v>
      </c>
      <c r="W338" s="153" t="s">
        <v>1523</v>
      </c>
      <c r="X338" s="153" t="s">
        <v>6035</v>
      </c>
      <c r="Y338" s="153" t="s">
        <v>7345</v>
      </c>
      <c r="Z338" s="153"/>
      <c r="AA338" s="153"/>
      <c r="AB338" s="158" t="s">
        <v>166</v>
      </c>
      <c r="AC338" s="153" t="s">
        <v>7346</v>
      </c>
      <c r="AD338" s="165" t="s">
        <v>1527</v>
      </c>
      <c r="AE338" s="153"/>
      <c r="AF338" s="153"/>
      <c r="AG338" s="153"/>
    </row>
    <row r="339" ht="15.75" customHeight="1">
      <c r="A339" s="238">
        <v>2025.0</v>
      </c>
      <c r="B339" s="230">
        <v>338.0</v>
      </c>
      <c r="C339" s="153" t="s">
        <v>7905</v>
      </c>
      <c r="D339" s="153" t="s">
        <v>1725</v>
      </c>
      <c r="E339" s="153" t="s">
        <v>1726</v>
      </c>
      <c r="F339" s="153" t="s">
        <v>1727</v>
      </c>
      <c r="G339" s="153" t="s">
        <v>1683</v>
      </c>
      <c r="H339" s="153"/>
      <c r="I339" s="192">
        <v>2015.0</v>
      </c>
      <c r="J339" s="230">
        <v>2014.0</v>
      </c>
      <c r="K339" s="230">
        <v>2016.0</v>
      </c>
      <c r="L339" s="153" t="s">
        <v>6062</v>
      </c>
      <c r="M339" s="158" t="s">
        <v>149</v>
      </c>
      <c r="N339" s="158" t="s">
        <v>149</v>
      </c>
      <c r="O339" s="158" t="s">
        <v>149</v>
      </c>
      <c r="P339" s="153" t="s">
        <v>321</v>
      </c>
      <c r="Q339" s="158" t="s">
        <v>160</v>
      </c>
      <c r="R339" s="158" t="s">
        <v>6035</v>
      </c>
      <c r="S339" s="158" t="s">
        <v>159</v>
      </c>
      <c r="T339" s="158" t="s">
        <v>149</v>
      </c>
      <c r="U339" s="158" t="s">
        <v>149</v>
      </c>
      <c r="V339" s="153" t="s">
        <v>1728</v>
      </c>
      <c r="W339" s="153" t="s">
        <v>326</v>
      </c>
      <c r="X339" s="158" t="s">
        <v>271</v>
      </c>
      <c r="Y339" s="153" t="s">
        <v>1729</v>
      </c>
      <c r="Z339" s="153"/>
      <c r="AA339" s="153"/>
      <c r="AB339" s="158" t="s">
        <v>6069</v>
      </c>
      <c r="AC339" s="153" t="s">
        <v>1300</v>
      </c>
      <c r="AD339" s="153" t="s">
        <v>7029</v>
      </c>
      <c r="AE339" s="153" t="s">
        <v>1722</v>
      </c>
      <c r="AF339" s="165" t="s">
        <v>1723</v>
      </c>
      <c r="AG339" s="153"/>
    </row>
    <row r="340" ht="15.75" customHeight="1">
      <c r="A340" s="238">
        <v>2025.0</v>
      </c>
      <c r="B340" s="230">
        <v>339.0</v>
      </c>
      <c r="C340" s="153" t="s">
        <v>7905</v>
      </c>
      <c r="D340" s="153" t="s">
        <v>1725</v>
      </c>
      <c r="E340" s="153" t="s">
        <v>1726</v>
      </c>
      <c r="F340" s="153" t="s">
        <v>1727</v>
      </c>
      <c r="G340" s="153" t="s">
        <v>1785</v>
      </c>
      <c r="H340" s="153" t="s">
        <v>1792</v>
      </c>
      <c r="I340" s="230">
        <v>2013.0</v>
      </c>
      <c r="J340" s="192" t="s">
        <v>149</v>
      </c>
      <c r="K340" s="192" t="s">
        <v>149</v>
      </c>
      <c r="L340" s="153" t="s">
        <v>151</v>
      </c>
      <c r="M340" s="153" t="s">
        <v>851</v>
      </c>
      <c r="N340" s="158" t="s">
        <v>851</v>
      </c>
      <c r="O340" s="158" t="s">
        <v>149</v>
      </c>
      <c r="P340" s="153" t="s">
        <v>341</v>
      </c>
      <c r="Q340" s="158" t="s">
        <v>160</v>
      </c>
      <c r="R340" s="158" t="s">
        <v>6035</v>
      </c>
      <c r="S340" s="158" t="s">
        <v>159</v>
      </c>
      <c r="T340" s="158" t="s">
        <v>149</v>
      </c>
      <c r="U340" s="158" t="s">
        <v>149</v>
      </c>
      <c r="V340" s="158" t="s">
        <v>149</v>
      </c>
      <c r="W340" s="153" t="s">
        <v>369</v>
      </c>
      <c r="X340" s="153" t="s">
        <v>6035</v>
      </c>
      <c r="Y340" s="153" t="s">
        <v>341</v>
      </c>
      <c r="Z340" s="153" t="s">
        <v>1793</v>
      </c>
      <c r="AA340" s="153"/>
      <c r="AB340" s="158" t="s">
        <v>166</v>
      </c>
      <c r="AC340" s="153" t="s">
        <v>1789</v>
      </c>
      <c r="AD340" s="165" t="s">
        <v>1790</v>
      </c>
      <c r="AE340" s="153"/>
      <c r="AF340" s="153"/>
      <c r="AG340" s="153"/>
    </row>
    <row r="341" ht="15.75" customHeight="1">
      <c r="A341" s="238">
        <v>2025.0</v>
      </c>
      <c r="B341" s="230">
        <v>340.0</v>
      </c>
      <c r="C341" s="153" t="s">
        <v>7905</v>
      </c>
      <c r="D341" s="153" t="s">
        <v>1725</v>
      </c>
      <c r="E341" s="153" t="s">
        <v>1806</v>
      </c>
      <c r="F341" s="153" t="s">
        <v>1807</v>
      </c>
      <c r="G341" s="158" t="s">
        <v>1808</v>
      </c>
      <c r="H341" s="153" t="s">
        <v>1809</v>
      </c>
      <c r="I341" s="230">
        <v>2021.0</v>
      </c>
      <c r="J341" s="192" t="s">
        <v>149</v>
      </c>
      <c r="K341" s="192" t="s">
        <v>149</v>
      </c>
      <c r="L341" s="153" t="s">
        <v>151</v>
      </c>
      <c r="M341" s="158" t="s">
        <v>911</v>
      </c>
      <c r="N341" s="158" t="s">
        <v>152</v>
      </c>
      <c r="O341" s="158" t="s">
        <v>149</v>
      </c>
      <c r="P341" s="158" t="s">
        <v>149</v>
      </c>
      <c r="Q341" s="158" t="s">
        <v>160</v>
      </c>
      <c r="R341" s="158" t="s">
        <v>6035</v>
      </c>
      <c r="S341" s="158" t="s">
        <v>159</v>
      </c>
      <c r="T341" s="158" t="s">
        <v>149</v>
      </c>
      <c r="U341" s="158" t="s">
        <v>149</v>
      </c>
      <c r="V341" s="158" t="s">
        <v>149</v>
      </c>
      <c r="W341" s="153" t="s">
        <v>7906</v>
      </c>
      <c r="X341" s="153" t="s">
        <v>6035</v>
      </c>
      <c r="Y341" s="153" t="s">
        <v>1811</v>
      </c>
      <c r="Z341" s="153" t="s">
        <v>7328</v>
      </c>
      <c r="AA341" s="153"/>
      <c r="AB341" s="158" t="s">
        <v>166</v>
      </c>
      <c r="AC341" s="153" t="s">
        <v>1813</v>
      </c>
      <c r="AD341" s="172" t="s">
        <v>1814</v>
      </c>
      <c r="AE341" s="153"/>
      <c r="AF341" s="153"/>
      <c r="AG341" s="153"/>
    </row>
    <row r="342" ht="15.75" customHeight="1">
      <c r="A342" s="238">
        <v>2025.0</v>
      </c>
      <c r="B342" s="230">
        <v>341.0</v>
      </c>
      <c r="C342" s="153" t="s">
        <v>7905</v>
      </c>
      <c r="D342" s="153" t="s">
        <v>1725</v>
      </c>
      <c r="E342" s="153" t="s">
        <v>1783</v>
      </c>
      <c r="F342" s="153" t="s">
        <v>1784</v>
      </c>
      <c r="G342" s="158" t="s">
        <v>149</v>
      </c>
      <c r="H342" s="153" t="s">
        <v>2480</v>
      </c>
      <c r="I342" s="230">
        <v>2019.0</v>
      </c>
      <c r="J342" s="192" t="s">
        <v>149</v>
      </c>
      <c r="K342" s="192" t="s">
        <v>149</v>
      </c>
      <c r="L342" s="153" t="s">
        <v>6062</v>
      </c>
      <c r="M342" s="153" t="s">
        <v>2482</v>
      </c>
      <c r="N342" s="158" t="s">
        <v>2482</v>
      </c>
      <c r="O342" s="158" t="s">
        <v>2483</v>
      </c>
      <c r="P342" s="158" t="s">
        <v>149</v>
      </c>
      <c r="Q342" s="158" t="s">
        <v>149</v>
      </c>
      <c r="R342" s="158" t="s">
        <v>184</v>
      </c>
      <c r="S342" s="158" t="s">
        <v>204</v>
      </c>
      <c r="T342" s="158" t="s">
        <v>149</v>
      </c>
      <c r="U342" s="158" t="s">
        <v>149</v>
      </c>
      <c r="V342" s="158" t="s">
        <v>149</v>
      </c>
      <c r="W342" s="153" t="s">
        <v>326</v>
      </c>
      <c r="X342" s="153" t="s">
        <v>271</v>
      </c>
      <c r="Y342" s="153" t="s">
        <v>2484</v>
      </c>
      <c r="Z342" s="153"/>
      <c r="AA342" s="153"/>
      <c r="AB342" s="158" t="s">
        <v>166</v>
      </c>
      <c r="AC342" s="153" t="s">
        <v>2485</v>
      </c>
      <c r="AD342" s="165" t="s">
        <v>2486</v>
      </c>
      <c r="AE342" s="153"/>
      <c r="AF342" s="153"/>
      <c r="AG342" s="153"/>
    </row>
    <row r="343" ht="15.75" customHeight="1">
      <c r="A343" s="238">
        <v>2025.0</v>
      </c>
      <c r="B343" s="230">
        <v>342.0</v>
      </c>
      <c r="C343" s="153" t="s">
        <v>7905</v>
      </c>
      <c r="D343" s="153" t="s">
        <v>1725</v>
      </c>
      <c r="E343" s="153" t="s">
        <v>1783</v>
      </c>
      <c r="F343" s="153" t="s">
        <v>1784</v>
      </c>
      <c r="G343" s="153" t="s">
        <v>1785</v>
      </c>
      <c r="H343" s="153"/>
      <c r="I343" s="230">
        <v>2013.0</v>
      </c>
      <c r="J343" s="192" t="s">
        <v>149</v>
      </c>
      <c r="K343" s="192" t="s">
        <v>149</v>
      </c>
      <c r="L343" s="153" t="s">
        <v>151</v>
      </c>
      <c r="M343" s="153" t="s">
        <v>851</v>
      </c>
      <c r="N343" s="158" t="s">
        <v>851</v>
      </c>
      <c r="O343" s="158" t="s">
        <v>149</v>
      </c>
      <c r="P343" s="153" t="s">
        <v>341</v>
      </c>
      <c r="Q343" s="158" t="s">
        <v>160</v>
      </c>
      <c r="R343" s="158" t="s">
        <v>6035</v>
      </c>
      <c r="S343" s="158" t="s">
        <v>159</v>
      </c>
      <c r="T343" s="158" t="s">
        <v>149</v>
      </c>
      <c r="U343" s="158" t="s">
        <v>149</v>
      </c>
      <c r="V343" s="153" t="s">
        <v>7368</v>
      </c>
      <c r="W343" s="153" t="s">
        <v>1787</v>
      </c>
      <c r="X343" s="153" t="s">
        <v>6035</v>
      </c>
      <c r="Y343" s="153" t="s">
        <v>1788</v>
      </c>
      <c r="Z343" s="153" t="s">
        <v>724</v>
      </c>
      <c r="AA343" s="153"/>
      <c r="AB343" s="158" t="s">
        <v>166</v>
      </c>
      <c r="AC343" s="153" t="s">
        <v>1789</v>
      </c>
      <c r="AD343" s="165" t="s">
        <v>1790</v>
      </c>
      <c r="AE343" s="153"/>
      <c r="AF343" s="153"/>
      <c r="AG343" s="153"/>
    </row>
    <row r="344" ht="15.75" customHeight="1">
      <c r="A344" s="238">
        <v>2025.0</v>
      </c>
      <c r="B344" s="230">
        <v>343.0</v>
      </c>
      <c r="C344" s="153" t="s">
        <v>7905</v>
      </c>
      <c r="D344" s="153" t="s">
        <v>600</v>
      </c>
      <c r="E344" s="153" t="s">
        <v>601</v>
      </c>
      <c r="F344" s="153" t="s">
        <v>602</v>
      </c>
      <c r="G344" s="153" t="s">
        <v>384</v>
      </c>
      <c r="H344" s="153" t="s">
        <v>603</v>
      </c>
      <c r="I344" s="230">
        <v>1986.0</v>
      </c>
      <c r="J344" s="230">
        <v>1985.0</v>
      </c>
      <c r="K344" s="230">
        <v>1987.0</v>
      </c>
      <c r="L344" s="153" t="s">
        <v>151</v>
      </c>
      <c r="M344" s="153" t="s">
        <v>6076</v>
      </c>
      <c r="N344" s="158" t="s">
        <v>605</v>
      </c>
      <c r="O344" s="158" t="s">
        <v>149</v>
      </c>
      <c r="P344" s="153" t="s">
        <v>390</v>
      </c>
      <c r="Q344" s="158" t="s">
        <v>160</v>
      </c>
      <c r="R344" s="158" t="s">
        <v>6035</v>
      </c>
      <c r="S344" s="158" t="s">
        <v>159</v>
      </c>
      <c r="T344" s="158" t="s">
        <v>149</v>
      </c>
      <c r="U344" s="158" t="s">
        <v>149</v>
      </c>
      <c r="V344" s="153" t="s">
        <v>606</v>
      </c>
      <c r="W344" s="153" t="s">
        <v>390</v>
      </c>
      <c r="X344" s="153" t="s">
        <v>6035</v>
      </c>
      <c r="Y344" s="153" t="s">
        <v>6055</v>
      </c>
      <c r="Z344" s="153"/>
      <c r="AA344" s="153"/>
      <c r="AB344" s="158" t="s">
        <v>395</v>
      </c>
      <c r="AC344" s="153" t="s">
        <v>6060</v>
      </c>
      <c r="AD344" s="158" t="s">
        <v>6711</v>
      </c>
      <c r="AE344" s="153" t="s">
        <v>398</v>
      </c>
      <c r="AF344" s="153"/>
      <c r="AG344" s="153"/>
    </row>
    <row r="345" ht="15.75" customHeight="1">
      <c r="A345" s="238">
        <v>2025.0</v>
      </c>
      <c r="B345" s="230">
        <v>344.0</v>
      </c>
      <c r="C345" s="153" t="s">
        <v>7905</v>
      </c>
      <c r="D345" s="153" t="s">
        <v>600</v>
      </c>
      <c r="E345" s="153" t="s">
        <v>601</v>
      </c>
      <c r="F345" s="153" t="s">
        <v>602</v>
      </c>
      <c r="G345" s="153" t="s">
        <v>384</v>
      </c>
      <c r="H345" s="153" t="s">
        <v>608</v>
      </c>
      <c r="I345" s="230">
        <v>1986.0</v>
      </c>
      <c r="J345" s="230">
        <v>1985.0</v>
      </c>
      <c r="K345" s="230">
        <v>1987.0</v>
      </c>
      <c r="L345" s="153" t="s">
        <v>151</v>
      </c>
      <c r="M345" s="153" t="s">
        <v>469</v>
      </c>
      <c r="N345" s="158" t="s">
        <v>469</v>
      </c>
      <c r="O345" s="158" t="s">
        <v>149</v>
      </c>
      <c r="P345" s="153" t="s">
        <v>390</v>
      </c>
      <c r="Q345" s="158" t="s">
        <v>160</v>
      </c>
      <c r="R345" s="158" t="s">
        <v>6035</v>
      </c>
      <c r="S345" s="158" t="s">
        <v>159</v>
      </c>
      <c r="T345" s="158" t="s">
        <v>149</v>
      </c>
      <c r="U345" s="158" t="s">
        <v>149</v>
      </c>
      <c r="V345" s="153" t="s">
        <v>609</v>
      </c>
      <c r="W345" s="153" t="s">
        <v>390</v>
      </c>
      <c r="X345" s="153" t="s">
        <v>6035</v>
      </c>
      <c r="Y345" s="153" t="s">
        <v>6055</v>
      </c>
      <c r="Z345" s="153"/>
      <c r="AA345" s="153"/>
      <c r="AB345" s="158" t="s">
        <v>395</v>
      </c>
      <c r="AC345" s="153" t="s">
        <v>6060</v>
      </c>
      <c r="AD345" s="158" t="s">
        <v>6711</v>
      </c>
      <c r="AE345" s="153" t="s">
        <v>398</v>
      </c>
      <c r="AF345" s="153"/>
      <c r="AG345" s="153"/>
    </row>
    <row r="346" ht="15.75" customHeight="1">
      <c r="A346" s="238">
        <v>2025.0</v>
      </c>
      <c r="B346" s="230">
        <v>345.0</v>
      </c>
      <c r="C346" s="153" t="s">
        <v>7905</v>
      </c>
      <c r="D346" s="153" t="s">
        <v>600</v>
      </c>
      <c r="E346" s="153" t="s">
        <v>2252</v>
      </c>
      <c r="F346" s="153" t="s">
        <v>2253</v>
      </c>
      <c r="G346" s="153" t="s">
        <v>2254</v>
      </c>
      <c r="H346" s="153" t="s">
        <v>7378</v>
      </c>
      <c r="I346" s="230">
        <v>2008.0</v>
      </c>
      <c r="J346" s="192" t="s">
        <v>149</v>
      </c>
      <c r="K346" s="192" t="s">
        <v>149</v>
      </c>
      <c r="L346" s="158" t="s">
        <v>6624</v>
      </c>
      <c r="M346" s="153" t="s">
        <v>2256</v>
      </c>
      <c r="N346" s="158" t="s">
        <v>2092</v>
      </c>
      <c r="O346" s="158" t="s">
        <v>149</v>
      </c>
      <c r="P346" s="153" t="s">
        <v>2257</v>
      </c>
      <c r="Q346" s="158" t="s">
        <v>6154</v>
      </c>
      <c r="R346" s="158" t="s">
        <v>206</v>
      </c>
      <c r="S346" s="158" t="s">
        <v>159</v>
      </c>
      <c r="T346" s="153" t="s">
        <v>7379</v>
      </c>
      <c r="U346" s="158" t="s">
        <v>149</v>
      </c>
      <c r="V346" s="153" t="s">
        <v>2259</v>
      </c>
      <c r="W346" s="153" t="s">
        <v>2260</v>
      </c>
      <c r="X346" s="153" t="s">
        <v>6035</v>
      </c>
      <c r="Y346" s="153"/>
      <c r="Z346" s="153"/>
      <c r="AA346" s="153" t="s">
        <v>2261</v>
      </c>
      <c r="AB346" s="158" t="s">
        <v>6091</v>
      </c>
      <c r="AC346" s="153" t="s">
        <v>2262</v>
      </c>
      <c r="AD346" s="165" t="s">
        <v>2263</v>
      </c>
      <c r="AE346" s="153"/>
      <c r="AF346" s="153"/>
      <c r="AG346" s="153"/>
    </row>
    <row r="347" ht="15.75" customHeight="1">
      <c r="A347" s="238">
        <v>2025.0</v>
      </c>
      <c r="B347" s="230">
        <v>346.0</v>
      </c>
      <c r="C347" s="153" t="s">
        <v>7905</v>
      </c>
      <c r="D347" s="153" t="s">
        <v>600</v>
      </c>
      <c r="E347" s="153" t="s">
        <v>1497</v>
      </c>
      <c r="F347" s="153" t="s">
        <v>1498</v>
      </c>
      <c r="G347" s="153" t="s">
        <v>1377</v>
      </c>
      <c r="H347" s="153"/>
      <c r="I347" s="192">
        <v>1993.0</v>
      </c>
      <c r="J347" s="230">
        <v>1990.0</v>
      </c>
      <c r="K347" s="230">
        <v>1994.0</v>
      </c>
      <c r="L347" s="153" t="s">
        <v>151</v>
      </c>
      <c r="M347" s="158" t="s">
        <v>149</v>
      </c>
      <c r="N347" s="158" t="s">
        <v>149</v>
      </c>
      <c r="O347" s="158" t="s">
        <v>149</v>
      </c>
      <c r="P347" s="153" t="s">
        <v>1381</v>
      </c>
      <c r="Q347" s="158" t="s">
        <v>6154</v>
      </c>
      <c r="R347" s="158" t="s">
        <v>206</v>
      </c>
      <c r="S347" s="158" t="s">
        <v>159</v>
      </c>
      <c r="T347" s="158" t="s">
        <v>149</v>
      </c>
      <c r="U347" s="158" t="s">
        <v>149</v>
      </c>
      <c r="V347" s="158" t="s">
        <v>149</v>
      </c>
      <c r="W347" s="153" t="s">
        <v>660</v>
      </c>
      <c r="X347" s="153" t="s">
        <v>6035</v>
      </c>
      <c r="Y347" s="153" t="s">
        <v>369</v>
      </c>
      <c r="Z347" s="153"/>
      <c r="AA347" s="153"/>
      <c r="AB347" s="158" t="s">
        <v>395</v>
      </c>
      <c r="AC347" s="153" t="s">
        <v>6060</v>
      </c>
      <c r="AD347" s="158" t="s">
        <v>6711</v>
      </c>
      <c r="AE347" s="153" t="s">
        <v>398</v>
      </c>
      <c r="AF347" s="153"/>
      <c r="AG347" s="153"/>
    </row>
    <row r="348" ht="15.75" customHeight="1">
      <c r="A348" s="238">
        <v>2025.0</v>
      </c>
      <c r="B348" s="230">
        <v>347.0</v>
      </c>
      <c r="C348" s="153" t="s">
        <v>7905</v>
      </c>
      <c r="D348" s="153" t="s">
        <v>600</v>
      </c>
      <c r="E348" s="153" t="s">
        <v>1497</v>
      </c>
      <c r="F348" s="153" t="s">
        <v>1498</v>
      </c>
      <c r="G348" s="153" t="s">
        <v>1377</v>
      </c>
      <c r="H348" s="153" t="s">
        <v>7385</v>
      </c>
      <c r="I348" s="192">
        <v>1993.0</v>
      </c>
      <c r="J348" s="230">
        <v>1990.0</v>
      </c>
      <c r="K348" s="230">
        <v>1994.0</v>
      </c>
      <c r="L348" s="153" t="s">
        <v>151</v>
      </c>
      <c r="M348" s="158" t="s">
        <v>149</v>
      </c>
      <c r="N348" s="158" t="s">
        <v>149</v>
      </c>
      <c r="O348" s="158" t="s">
        <v>149</v>
      </c>
      <c r="P348" s="153" t="s">
        <v>1381</v>
      </c>
      <c r="Q348" s="158" t="s">
        <v>6154</v>
      </c>
      <c r="R348" s="158" t="s">
        <v>206</v>
      </c>
      <c r="S348" s="158" t="s">
        <v>159</v>
      </c>
      <c r="T348" s="158" t="s">
        <v>149</v>
      </c>
      <c r="U348" s="158" t="s">
        <v>149</v>
      </c>
      <c r="V348" s="158" t="s">
        <v>149</v>
      </c>
      <c r="W348" s="153" t="s">
        <v>660</v>
      </c>
      <c r="X348" s="153" t="s">
        <v>6035</v>
      </c>
      <c r="Y348" s="153" t="s">
        <v>369</v>
      </c>
      <c r="Z348" s="153"/>
      <c r="AA348" s="153"/>
      <c r="AB348" s="158" t="s">
        <v>395</v>
      </c>
      <c r="AC348" s="153" t="s">
        <v>6060</v>
      </c>
      <c r="AD348" s="158" t="s">
        <v>6711</v>
      </c>
      <c r="AE348" s="153" t="s">
        <v>398</v>
      </c>
      <c r="AF348" s="153"/>
      <c r="AG348" s="153"/>
    </row>
    <row r="349" ht="15.75" customHeight="1">
      <c r="A349" s="238">
        <v>2025.0</v>
      </c>
      <c r="B349" s="230">
        <v>348.0</v>
      </c>
      <c r="C349" s="153" t="s">
        <v>7905</v>
      </c>
      <c r="D349" s="153" t="s">
        <v>976</v>
      </c>
      <c r="E349" s="153" t="s">
        <v>1502</v>
      </c>
      <c r="F349" s="153" t="s">
        <v>1503</v>
      </c>
      <c r="G349" s="153" t="s">
        <v>1377</v>
      </c>
      <c r="H349" s="153"/>
      <c r="I349" s="192">
        <v>1992.0</v>
      </c>
      <c r="J349" s="230">
        <v>1990.0</v>
      </c>
      <c r="K349" s="230">
        <v>1994.0</v>
      </c>
      <c r="L349" s="153" t="s">
        <v>151</v>
      </c>
      <c r="M349" s="158" t="s">
        <v>149</v>
      </c>
      <c r="N349" s="158" t="s">
        <v>149</v>
      </c>
      <c r="O349" s="158" t="s">
        <v>149</v>
      </c>
      <c r="P349" s="153" t="s">
        <v>1381</v>
      </c>
      <c r="Q349" s="158" t="s">
        <v>6154</v>
      </c>
      <c r="R349" s="158" t="s">
        <v>206</v>
      </c>
      <c r="S349" s="158" t="s">
        <v>159</v>
      </c>
      <c r="T349" s="158" t="s">
        <v>149</v>
      </c>
      <c r="U349" s="158" t="s">
        <v>149</v>
      </c>
      <c r="V349" s="158" t="s">
        <v>149</v>
      </c>
      <c r="W349" s="153" t="s">
        <v>660</v>
      </c>
      <c r="X349" s="153" t="s">
        <v>6035</v>
      </c>
      <c r="Y349" s="153" t="s">
        <v>369</v>
      </c>
      <c r="Z349" s="153"/>
      <c r="AA349" s="153"/>
      <c r="AB349" s="158" t="s">
        <v>395</v>
      </c>
      <c r="AC349" s="153" t="s">
        <v>6060</v>
      </c>
      <c r="AD349" s="158" t="s">
        <v>6711</v>
      </c>
      <c r="AE349" s="153" t="s">
        <v>398</v>
      </c>
      <c r="AF349" s="153"/>
      <c r="AG349" s="153"/>
    </row>
    <row r="350" ht="15.75" customHeight="1">
      <c r="A350" s="238">
        <v>2025.0</v>
      </c>
      <c r="B350" s="230">
        <v>349.0</v>
      </c>
      <c r="C350" s="153" t="s">
        <v>7905</v>
      </c>
      <c r="D350" s="153" t="s">
        <v>976</v>
      </c>
      <c r="E350" s="153" t="s">
        <v>7907</v>
      </c>
      <c r="F350" s="153" t="s">
        <v>1506</v>
      </c>
      <c r="G350" s="153" t="s">
        <v>1377</v>
      </c>
      <c r="H350" s="153" t="s">
        <v>1507</v>
      </c>
      <c r="I350" s="192" t="s">
        <v>149</v>
      </c>
      <c r="J350" s="230">
        <v>1990.0</v>
      </c>
      <c r="K350" s="230">
        <v>1994.0</v>
      </c>
      <c r="L350" s="153" t="s">
        <v>151</v>
      </c>
      <c r="M350" s="158" t="s">
        <v>149</v>
      </c>
      <c r="N350" s="158" t="s">
        <v>149</v>
      </c>
      <c r="O350" s="158" t="s">
        <v>149</v>
      </c>
      <c r="P350" s="153" t="s">
        <v>1381</v>
      </c>
      <c r="Q350" s="158" t="s">
        <v>6154</v>
      </c>
      <c r="R350" s="158" t="s">
        <v>206</v>
      </c>
      <c r="S350" s="158" t="s">
        <v>159</v>
      </c>
      <c r="T350" s="158" t="s">
        <v>149</v>
      </c>
      <c r="U350" s="158" t="s">
        <v>149</v>
      </c>
      <c r="V350" s="158" t="s">
        <v>149</v>
      </c>
      <c r="W350" s="153" t="s">
        <v>660</v>
      </c>
      <c r="X350" s="153" t="s">
        <v>6035</v>
      </c>
      <c r="Y350" s="153" t="s">
        <v>369</v>
      </c>
      <c r="Z350" s="153"/>
      <c r="AA350" s="153"/>
      <c r="AB350" s="158" t="s">
        <v>395</v>
      </c>
      <c r="AC350" s="153" t="s">
        <v>6060</v>
      </c>
      <c r="AD350" s="158" t="s">
        <v>6711</v>
      </c>
      <c r="AE350" s="153" t="s">
        <v>398</v>
      </c>
      <c r="AF350" s="153"/>
      <c r="AG350" s="153"/>
    </row>
    <row r="351" ht="15.75" customHeight="1">
      <c r="A351" s="238">
        <v>2025.0</v>
      </c>
      <c r="B351" s="230">
        <v>350.0</v>
      </c>
      <c r="C351" s="158" t="s">
        <v>7905</v>
      </c>
      <c r="D351" s="158" t="s">
        <v>976</v>
      </c>
      <c r="E351" s="158" t="s">
        <v>2488</v>
      </c>
      <c r="F351" s="158" t="s">
        <v>2489</v>
      </c>
      <c r="G351" s="158" t="s">
        <v>149</v>
      </c>
      <c r="H351" s="158"/>
      <c r="I351" s="192">
        <v>2023.0</v>
      </c>
      <c r="J351" s="192" t="s">
        <v>149</v>
      </c>
      <c r="K351" s="192" t="s">
        <v>149</v>
      </c>
      <c r="L351" s="158" t="s">
        <v>151</v>
      </c>
      <c r="M351" s="158" t="s">
        <v>2491</v>
      </c>
      <c r="N351" s="158" t="s">
        <v>2491</v>
      </c>
      <c r="O351" s="158" t="s">
        <v>1006</v>
      </c>
      <c r="P351" s="158" t="s">
        <v>2492</v>
      </c>
      <c r="Q351" s="158" t="s">
        <v>160</v>
      </c>
      <c r="R351" s="158" t="s">
        <v>209</v>
      </c>
      <c r="S351" s="158" t="s">
        <v>159</v>
      </c>
      <c r="T351" s="158" t="s">
        <v>149</v>
      </c>
      <c r="U351" s="158" t="s">
        <v>149</v>
      </c>
      <c r="V351" s="158" t="s">
        <v>675</v>
      </c>
      <c r="W351" s="158" t="s">
        <v>2493</v>
      </c>
      <c r="X351" s="158" t="s">
        <v>7294</v>
      </c>
      <c r="Y351" s="158"/>
      <c r="Z351" s="158"/>
      <c r="AA351" s="158"/>
      <c r="AB351" s="158" t="s">
        <v>6027</v>
      </c>
      <c r="AC351" s="158" t="s">
        <v>2494</v>
      </c>
      <c r="AD351" s="172" t="s">
        <v>2495</v>
      </c>
      <c r="AE351" s="158"/>
      <c r="AF351" s="158"/>
      <c r="AG351" s="158"/>
    </row>
    <row r="352" ht="15.75" customHeight="1">
      <c r="A352" s="238">
        <v>2025.0</v>
      </c>
      <c r="B352" s="230">
        <v>351.0</v>
      </c>
      <c r="C352" s="153" t="s">
        <v>7905</v>
      </c>
      <c r="D352" s="153" t="s">
        <v>976</v>
      </c>
      <c r="E352" s="153" t="s">
        <v>977</v>
      </c>
      <c r="F352" s="153" t="s">
        <v>978</v>
      </c>
      <c r="G352" s="153" t="s">
        <v>934</v>
      </c>
      <c r="H352" s="153"/>
      <c r="I352" s="230">
        <v>2001.0</v>
      </c>
      <c r="J352" s="230">
        <v>2001.0</v>
      </c>
      <c r="K352" s="230">
        <v>2005.0</v>
      </c>
      <c r="L352" s="153" t="s">
        <v>6062</v>
      </c>
      <c r="M352" s="153" t="s">
        <v>3245</v>
      </c>
      <c r="N352" s="158" t="s">
        <v>179</v>
      </c>
      <c r="O352" s="153" t="s">
        <v>939</v>
      </c>
      <c r="P352" s="153" t="s">
        <v>940</v>
      </c>
      <c r="Q352" s="158" t="s">
        <v>6154</v>
      </c>
      <c r="R352" s="158" t="s">
        <v>206</v>
      </c>
      <c r="S352" s="158" t="s">
        <v>204</v>
      </c>
      <c r="T352" s="158" t="s">
        <v>149</v>
      </c>
      <c r="U352" s="158" t="s">
        <v>149</v>
      </c>
      <c r="V352" s="158" t="s">
        <v>149</v>
      </c>
      <c r="W352" s="153" t="s">
        <v>233</v>
      </c>
      <c r="X352" s="158" t="s">
        <v>6068</v>
      </c>
      <c r="Y352" s="153"/>
      <c r="Z352" s="153"/>
      <c r="AA352" s="153"/>
      <c r="AB352" s="158" t="s">
        <v>6214</v>
      </c>
      <c r="AC352" s="153" t="s">
        <v>941</v>
      </c>
      <c r="AD352" s="153" t="s">
        <v>942</v>
      </c>
      <c r="AE352" s="153" t="s">
        <v>943</v>
      </c>
      <c r="AF352" s="153"/>
      <c r="AG352" s="153"/>
    </row>
    <row r="353" ht="15.75" customHeight="1">
      <c r="A353" s="238">
        <v>2025.0</v>
      </c>
      <c r="B353" s="230">
        <v>352.0</v>
      </c>
      <c r="C353" s="153" t="s">
        <v>7905</v>
      </c>
      <c r="D353" s="153" t="s">
        <v>172</v>
      </c>
      <c r="E353" s="153" t="s">
        <v>2128</v>
      </c>
      <c r="F353" s="153" t="s">
        <v>2129</v>
      </c>
      <c r="G353" s="153" t="s">
        <v>2130</v>
      </c>
      <c r="H353" s="153"/>
      <c r="I353" s="230">
        <v>1997.0</v>
      </c>
      <c r="J353" s="192" t="s">
        <v>149</v>
      </c>
      <c r="K353" s="192" t="s">
        <v>149</v>
      </c>
      <c r="L353" s="153" t="s">
        <v>151</v>
      </c>
      <c r="M353" s="153" t="s">
        <v>6054</v>
      </c>
      <c r="N353" s="158" t="s">
        <v>6054</v>
      </c>
      <c r="O353" s="158" t="s">
        <v>149</v>
      </c>
      <c r="P353" s="153" t="s">
        <v>2131</v>
      </c>
      <c r="Q353" s="158" t="s">
        <v>6154</v>
      </c>
      <c r="R353" s="158" t="s">
        <v>206</v>
      </c>
      <c r="S353" s="158" t="s">
        <v>159</v>
      </c>
      <c r="T353" s="158" t="s">
        <v>149</v>
      </c>
      <c r="U353" s="158" t="s">
        <v>149</v>
      </c>
      <c r="V353" s="158" t="s">
        <v>149</v>
      </c>
      <c r="W353" s="153" t="s">
        <v>2132</v>
      </c>
      <c r="X353" s="158" t="s">
        <v>306</v>
      </c>
      <c r="Y353" s="158" t="s">
        <v>2133</v>
      </c>
      <c r="Z353" s="153"/>
      <c r="AA353" s="153"/>
      <c r="AB353" s="158" t="s">
        <v>6027</v>
      </c>
      <c r="AC353" s="153" t="s">
        <v>2134</v>
      </c>
      <c r="AD353" s="172" t="s">
        <v>2135</v>
      </c>
      <c r="AE353" s="153"/>
      <c r="AF353" s="153"/>
      <c r="AG353" s="153"/>
    </row>
    <row r="354" ht="15.75" customHeight="1">
      <c r="A354" s="238">
        <v>2025.0</v>
      </c>
      <c r="B354" s="230">
        <v>353.0</v>
      </c>
      <c r="C354" s="153" t="s">
        <v>7905</v>
      </c>
      <c r="D354" s="153" t="s">
        <v>172</v>
      </c>
      <c r="E354" s="153" t="s">
        <v>7356</v>
      </c>
      <c r="F354" s="153" t="s">
        <v>1552</v>
      </c>
      <c r="G354" s="153" t="s">
        <v>1553</v>
      </c>
      <c r="H354" s="153" t="s">
        <v>1554</v>
      </c>
      <c r="I354" s="230">
        <v>2021.0</v>
      </c>
      <c r="J354" s="192" t="s">
        <v>149</v>
      </c>
      <c r="K354" s="192" t="s">
        <v>149</v>
      </c>
      <c r="L354" s="153" t="s">
        <v>151</v>
      </c>
      <c r="M354" s="158" t="s">
        <v>1556</v>
      </c>
      <c r="N354" s="158" t="s">
        <v>1556</v>
      </c>
      <c r="O354" s="153" t="s">
        <v>149</v>
      </c>
      <c r="P354" s="153" t="s">
        <v>1557</v>
      </c>
      <c r="Q354" s="158" t="s">
        <v>160</v>
      </c>
      <c r="R354" s="158" t="s">
        <v>271</v>
      </c>
      <c r="S354" s="158" t="s">
        <v>159</v>
      </c>
      <c r="T354" s="158" t="s">
        <v>149</v>
      </c>
      <c r="U354" s="158" t="s">
        <v>149</v>
      </c>
      <c r="V354" s="153" t="s">
        <v>1558</v>
      </c>
      <c r="W354" s="153" t="s">
        <v>1557</v>
      </c>
      <c r="X354" s="153" t="s">
        <v>271</v>
      </c>
      <c r="Y354" s="153" t="s">
        <v>1559</v>
      </c>
      <c r="Z354" s="153" t="s">
        <v>1560</v>
      </c>
      <c r="AA354" s="153"/>
      <c r="AB354" s="153" t="s">
        <v>6038</v>
      </c>
      <c r="AC354" s="153" t="s">
        <v>7409</v>
      </c>
      <c r="AD354" s="172" t="s">
        <v>1562</v>
      </c>
      <c r="AE354" s="153"/>
      <c r="AF354" s="153"/>
      <c r="AG354" s="153"/>
    </row>
    <row r="355" ht="15.75" customHeight="1">
      <c r="A355" s="238">
        <v>2025.0</v>
      </c>
      <c r="B355" s="230">
        <v>354.0</v>
      </c>
      <c r="C355" s="153" t="s">
        <v>7905</v>
      </c>
      <c r="D355" s="153" t="s">
        <v>172</v>
      </c>
      <c r="E355" s="153" t="s">
        <v>7356</v>
      </c>
      <c r="F355" s="153" t="s">
        <v>1552</v>
      </c>
      <c r="G355" s="158" t="s">
        <v>149</v>
      </c>
      <c r="H355" s="153" t="s">
        <v>2629</v>
      </c>
      <c r="I355" s="230">
        <v>2017.0</v>
      </c>
      <c r="J355" s="230">
        <v>2017.0</v>
      </c>
      <c r="K355" s="192" t="s">
        <v>149</v>
      </c>
      <c r="L355" s="153" t="s">
        <v>151</v>
      </c>
      <c r="M355" s="153" t="s">
        <v>2631</v>
      </c>
      <c r="N355" s="158" t="s">
        <v>2631</v>
      </c>
      <c r="O355" s="153" t="s">
        <v>7908</v>
      </c>
      <c r="P355" s="158" t="s">
        <v>2634</v>
      </c>
      <c r="Q355" s="158" t="s">
        <v>160</v>
      </c>
      <c r="R355" s="158" t="s">
        <v>2635</v>
      </c>
      <c r="S355" s="158" t="s">
        <v>204</v>
      </c>
      <c r="T355" s="158" t="s">
        <v>149</v>
      </c>
      <c r="U355" s="158" t="s">
        <v>149</v>
      </c>
      <c r="V355" s="158" t="s">
        <v>149</v>
      </c>
      <c r="W355" s="153" t="s">
        <v>7413</v>
      </c>
      <c r="X355" s="158" t="s">
        <v>7294</v>
      </c>
      <c r="Y355" s="153" t="s">
        <v>7909</v>
      </c>
      <c r="Z355" s="153"/>
      <c r="AA355" s="153" t="s">
        <v>2638</v>
      </c>
      <c r="AB355" s="158" t="s">
        <v>166</v>
      </c>
      <c r="AC355" s="153" t="s">
        <v>2639</v>
      </c>
      <c r="AD355" s="165" t="s">
        <v>2640</v>
      </c>
      <c r="AE355" s="153"/>
      <c r="AF355" s="153"/>
      <c r="AG355" s="153"/>
    </row>
    <row r="356" ht="15.75" customHeight="1">
      <c r="A356" s="238">
        <v>2025.0</v>
      </c>
      <c r="B356" s="230">
        <v>355.0</v>
      </c>
      <c r="C356" s="153" t="s">
        <v>7905</v>
      </c>
      <c r="D356" s="153" t="s">
        <v>172</v>
      </c>
      <c r="E356" s="153" t="s">
        <v>611</v>
      </c>
      <c r="F356" s="153" t="s">
        <v>612</v>
      </c>
      <c r="G356" s="153" t="s">
        <v>384</v>
      </c>
      <c r="H356" s="153"/>
      <c r="I356" s="230">
        <v>1986.0</v>
      </c>
      <c r="J356" s="230">
        <v>1985.0</v>
      </c>
      <c r="K356" s="230">
        <v>1987.0</v>
      </c>
      <c r="L356" s="153" t="s">
        <v>151</v>
      </c>
      <c r="M356" s="153" t="s">
        <v>6054</v>
      </c>
      <c r="N356" s="158" t="s">
        <v>6054</v>
      </c>
      <c r="O356" s="158" t="s">
        <v>149</v>
      </c>
      <c r="P356" s="153" t="s">
        <v>390</v>
      </c>
      <c r="Q356" s="158" t="s">
        <v>160</v>
      </c>
      <c r="R356" s="158" t="s">
        <v>6035</v>
      </c>
      <c r="S356" s="158" t="s">
        <v>159</v>
      </c>
      <c r="T356" s="158" t="s">
        <v>149</v>
      </c>
      <c r="U356" s="158" t="s">
        <v>149</v>
      </c>
      <c r="V356" s="158" t="s">
        <v>149</v>
      </c>
      <c r="W356" s="153" t="s">
        <v>390</v>
      </c>
      <c r="X356" s="153" t="s">
        <v>6035</v>
      </c>
      <c r="Y356" s="153" t="s">
        <v>6055</v>
      </c>
      <c r="Z356" s="153"/>
      <c r="AA356" s="153"/>
      <c r="AB356" s="158" t="s">
        <v>395</v>
      </c>
      <c r="AC356" s="153" t="s">
        <v>6060</v>
      </c>
      <c r="AD356" s="158" t="s">
        <v>6711</v>
      </c>
      <c r="AE356" s="153" t="s">
        <v>398</v>
      </c>
      <c r="AF356" s="153"/>
      <c r="AG356" s="153"/>
    </row>
    <row r="357" ht="15.75" customHeight="1">
      <c r="A357" s="238">
        <v>2025.0</v>
      </c>
      <c r="B357" s="230">
        <v>356.0</v>
      </c>
      <c r="C357" s="153" t="s">
        <v>7905</v>
      </c>
      <c r="D357" s="153" t="s">
        <v>172</v>
      </c>
      <c r="E357" s="153" t="s">
        <v>277</v>
      </c>
      <c r="F357" s="153" t="s">
        <v>278</v>
      </c>
      <c r="G357" s="153" t="s">
        <v>279</v>
      </c>
      <c r="H357" s="153" t="s">
        <v>280</v>
      </c>
      <c r="I357" s="192" t="s">
        <v>149</v>
      </c>
      <c r="J357" s="192" t="s">
        <v>149</v>
      </c>
      <c r="K357" s="192" t="s">
        <v>149</v>
      </c>
      <c r="L357" s="153" t="s">
        <v>151</v>
      </c>
      <c r="M357" s="153" t="s">
        <v>283</v>
      </c>
      <c r="N357" s="158" t="s">
        <v>283</v>
      </c>
      <c r="O357" s="153" t="s">
        <v>286</v>
      </c>
      <c r="P357" s="153" t="s">
        <v>287</v>
      </c>
      <c r="Q357" s="158" t="s">
        <v>160</v>
      </c>
      <c r="R357" s="158" t="s">
        <v>184</v>
      </c>
      <c r="S357" s="158" t="s">
        <v>159</v>
      </c>
      <c r="T357" s="158" t="s">
        <v>149</v>
      </c>
      <c r="U357" s="158" t="s">
        <v>149</v>
      </c>
      <c r="V357" s="158" t="s">
        <v>149</v>
      </c>
      <c r="W357" s="153" t="s">
        <v>287</v>
      </c>
      <c r="X357" s="158" t="s">
        <v>184</v>
      </c>
      <c r="Y357" s="153"/>
      <c r="Z357" s="153" t="s">
        <v>288</v>
      </c>
      <c r="AA357" s="153"/>
      <c r="AB357" s="158" t="s">
        <v>6091</v>
      </c>
      <c r="AC357" s="153" t="s">
        <v>7424</v>
      </c>
      <c r="AD357" s="153" t="s">
        <v>7425</v>
      </c>
      <c r="AE357" s="153"/>
      <c r="AF357" s="153"/>
      <c r="AG357" s="153"/>
    </row>
    <row r="358" ht="15.75" customHeight="1">
      <c r="A358" s="238">
        <v>2025.0</v>
      </c>
      <c r="B358" s="230">
        <v>357.0</v>
      </c>
      <c r="C358" s="153" t="s">
        <v>7905</v>
      </c>
      <c r="D358" s="153" t="s">
        <v>172</v>
      </c>
      <c r="E358" s="153" t="s">
        <v>2642</v>
      </c>
      <c r="F358" s="153" t="s">
        <v>2643</v>
      </c>
      <c r="G358" s="158" t="s">
        <v>149</v>
      </c>
      <c r="H358" s="153"/>
      <c r="I358" s="230">
        <v>2017.0</v>
      </c>
      <c r="J358" s="230">
        <v>2017.0</v>
      </c>
      <c r="K358" s="192" t="s">
        <v>149</v>
      </c>
      <c r="L358" s="153" t="s">
        <v>151</v>
      </c>
      <c r="M358" s="153" t="s">
        <v>2631</v>
      </c>
      <c r="N358" s="158" t="s">
        <v>2631</v>
      </c>
      <c r="O358" s="153" t="s">
        <v>2644</v>
      </c>
      <c r="P358" s="158" t="s">
        <v>2634</v>
      </c>
      <c r="Q358" s="158" t="s">
        <v>160</v>
      </c>
      <c r="R358" s="158" t="s">
        <v>2635</v>
      </c>
      <c r="S358" s="158" t="s">
        <v>204</v>
      </c>
      <c r="T358" s="158" t="s">
        <v>149</v>
      </c>
      <c r="U358" s="158" t="s">
        <v>149</v>
      </c>
      <c r="V358" s="158" t="s">
        <v>149</v>
      </c>
      <c r="W358" s="153" t="s">
        <v>7413</v>
      </c>
      <c r="X358" s="158" t="s">
        <v>7294</v>
      </c>
      <c r="Y358" s="153" t="s">
        <v>7910</v>
      </c>
      <c r="Z358" s="153"/>
      <c r="AA358" s="153" t="s">
        <v>2638</v>
      </c>
      <c r="AB358" s="158" t="s">
        <v>166</v>
      </c>
      <c r="AC358" s="153" t="s">
        <v>2639</v>
      </c>
      <c r="AD358" s="165" t="s">
        <v>2640</v>
      </c>
      <c r="AE358" s="153"/>
      <c r="AF358" s="153"/>
      <c r="AG358" s="153"/>
    </row>
    <row r="359" ht="15.75" customHeight="1">
      <c r="A359" s="238">
        <v>2025.0</v>
      </c>
      <c r="B359" s="230">
        <v>358.0</v>
      </c>
      <c r="C359" s="153" t="s">
        <v>7905</v>
      </c>
      <c r="D359" s="153" t="s">
        <v>172</v>
      </c>
      <c r="E359" s="153" t="s">
        <v>2642</v>
      </c>
      <c r="F359" s="153" t="s">
        <v>2643</v>
      </c>
      <c r="G359" s="158" t="s">
        <v>149</v>
      </c>
      <c r="H359" s="153" t="s">
        <v>7375</v>
      </c>
      <c r="I359" s="230">
        <v>2022.0</v>
      </c>
      <c r="J359" s="192" t="s">
        <v>149</v>
      </c>
      <c r="K359" s="192" t="s">
        <v>149</v>
      </c>
      <c r="L359" s="153" t="s">
        <v>6062</v>
      </c>
      <c r="M359" s="153" t="s">
        <v>6666</v>
      </c>
      <c r="N359" s="158" t="s">
        <v>179</v>
      </c>
      <c r="O359" s="158" t="s">
        <v>2815</v>
      </c>
      <c r="P359" s="158" t="s">
        <v>2816</v>
      </c>
      <c r="Q359" s="158" t="s">
        <v>160</v>
      </c>
      <c r="R359" s="158" t="s">
        <v>6035</v>
      </c>
      <c r="S359" s="158" t="s">
        <v>159</v>
      </c>
      <c r="T359" s="158" t="s">
        <v>149</v>
      </c>
      <c r="U359" s="158" t="s">
        <v>149</v>
      </c>
      <c r="V359" s="158" t="s">
        <v>149</v>
      </c>
      <c r="W359" s="158" t="s">
        <v>2816</v>
      </c>
      <c r="X359" s="153" t="s">
        <v>6035</v>
      </c>
      <c r="Y359" s="158" t="s">
        <v>2817</v>
      </c>
      <c r="Z359" s="153"/>
      <c r="AA359" s="153"/>
      <c r="AB359" s="158" t="s">
        <v>166</v>
      </c>
      <c r="AC359" s="153" t="s">
        <v>2818</v>
      </c>
      <c r="AD359" s="165" t="s">
        <v>2819</v>
      </c>
      <c r="AE359" s="153"/>
      <c r="AF359" s="153"/>
      <c r="AG359" s="153"/>
    </row>
    <row r="360" ht="15.75" customHeight="1">
      <c r="A360" s="238">
        <v>2025.0</v>
      </c>
      <c r="B360" s="230">
        <v>359.0</v>
      </c>
      <c r="C360" s="153" t="s">
        <v>7905</v>
      </c>
      <c r="D360" s="153" t="s">
        <v>172</v>
      </c>
      <c r="E360" s="153" t="s">
        <v>173</v>
      </c>
      <c r="F360" s="153" t="s">
        <v>174</v>
      </c>
      <c r="G360" s="158" t="s">
        <v>149</v>
      </c>
      <c r="H360" s="153" t="s">
        <v>7434</v>
      </c>
      <c r="I360" s="192" t="s">
        <v>149</v>
      </c>
      <c r="J360" s="192" t="s">
        <v>149</v>
      </c>
      <c r="K360" s="192" t="s">
        <v>149</v>
      </c>
      <c r="L360" s="153" t="s">
        <v>151</v>
      </c>
      <c r="M360" s="153" t="s">
        <v>2217</v>
      </c>
      <c r="N360" s="158" t="s">
        <v>2217</v>
      </c>
      <c r="O360" s="158" t="s">
        <v>2751</v>
      </c>
      <c r="P360" s="158" t="s">
        <v>2752</v>
      </c>
      <c r="Q360" s="158" t="s">
        <v>160</v>
      </c>
      <c r="R360" s="158" t="s">
        <v>184</v>
      </c>
      <c r="S360" s="158" t="s">
        <v>159</v>
      </c>
      <c r="T360" s="158" t="s">
        <v>149</v>
      </c>
      <c r="U360" s="158" t="s">
        <v>149</v>
      </c>
      <c r="V360" s="158" t="s">
        <v>149</v>
      </c>
      <c r="W360" s="153" t="s">
        <v>2752</v>
      </c>
      <c r="X360" s="158" t="s">
        <v>184</v>
      </c>
      <c r="Y360" s="158"/>
      <c r="Z360" s="158"/>
      <c r="AA360" s="158"/>
      <c r="AB360" s="158" t="s">
        <v>6038</v>
      </c>
      <c r="AC360" s="153" t="s">
        <v>7911</v>
      </c>
      <c r="AD360" s="165" t="s">
        <v>2754</v>
      </c>
      <c r="AE360" s="153" t="s">
        <v>188</v>
      </c>
      <c r="AF360" s="165" t="s">
        <v>1140</v>
      </c>
      <c r="AG360" s="153"/>
    </row>
    <row r="361" ht="15.75" customHeight="1">
      <c r="A361" s="238">
        <v>2025.0</v>
      </c>
      <c r="B361" s="230">
        <v>360.0</v>
      </c>
      <c r="C361" s="153" t="s">
        <v>7905</v>
      </c>
      <c r="D361" s="153" t="s">
        <v>172</v>
      </c>
      <c r="E361" s="153" t="s">
        <v>173</v>
      </c>
      <c r="F361" s="153" t="s">
        <v>174</v>
      </c>
      <c r="G361" s="158" t="s">
        <v>149</v>
      </c>
      <c r="H361" s="153" t="s">
        <v>7447</v>
      </c>
      <c r="I361" s="230">
        <v>2017.0</v>
      </c>
      <c r="J361" s="192" t="s">
        <v>149</v>
      </c>
      <c r="K361" s="192" t="s">
        <v>149</v>
      </c>
      <c r="L361" s="153" t="s">
        <v>151</v>
      </c>
      <c r="M361" s="153" t="s">
        <v>2758</v>
      </c>
      <c r="N361" s="158" t="s">
        <v>2758</v>
      </c>
      <c r="O361" s="158" t="s">
        <v>2751</v>
      </c>
      <c r="P361" s="153" t="s">
        <v>2752</v>
      </c>
      <c r="Q361" s="158" t="s">
        <v>160</v>
      </c>
      <c r="R361" s="158" t="s">
        <v>184</v>
      </c>
      <c r="S361" s="158" t="s">
        <v>159</v>
      </c>
      <c r="T361" s="158" t="s">
        <v>149</v>
      </c>
      <c r="U361" s="158" t="s">
        <v>149</v>
      </c>
      <c r="V361" s="158" t="s">
        <v>149</v>
      </c>
      <c r="W361" s="153" t="s">
        <v>2752</v>
      </c>
      <c r="X361" s="158" t="s">
        <v>184</v>
      </c>
      <c r="Y361" s="158"/>
      <c r="Z361" s="158"/>
      <c r="AA361" s="158"/>
      <c r="AB361" s="158" t="s">
        <v>6091</v>
      </c>
      <c r="AC361" s="153" t="s">
        <v>2759</v>
      </c>
      <c r="AD361" s="153" t="s">
        <v>2760</v>
      </c>
      <c r="AE361" s="153" t="s">
        <v>188</v>
      </c>
      <c r="AF361" s="165" t="s">
        <v>1140</v>
      </c>
      <c r="AG361" s="153"/>
    </row>
    <row r="362" ht="15.75" customHeight="1">
      <c r="A362" s="238">
        <v>2025.0</v>
      </c>
      <c r="B362" s="230">
        <v>361.0</v>
      </c>
      <c r="C362" s="153" t="s">
        <v>7905</v>
      </c>
      <c r="D362" s="153" t="s">
        <v>172</v>
      </c>
      <c r="E362" s="153" t="s">
        <v>173</v>
      </c>
      <c r="F362" s="153" t="s">
        <v>174</v>
      </c>
      <c r="G362" s="153" t="s">
        <v>2081</v>
      </c>
      <c r="H362" s="158" t="s">
        <v>7451</v>
      </c>
      <c r="I362" s="192" t="s">
        <v>149</v>
      </c>
      <c r="J362" s="192">
        <v>2018.0</v>
      </c>
      <c r="K362" s="192" t="s">
        <v>149</v>
      </c>
      <c r="L362" s="153" t="s">
        <v>6062</v>
      </c>
      <c r="M362" s="153" t="s">
        <v>179</v>
      </c>
      <c r="N362" s="158" t="s">
        <v>2092</v>
      </c>
      <c r="O362" s="153" t="s">
        <v>286</v>
      </c>
      <c r="P362" s="153" t="s">
        <v>2093</v>
      </c>
      <c r="Q362" s="158" t="s">
        <v>160</v>
      </c>
      <c r="R362" s="158" t="s">
        <v>184</v>
      </c>
      <c r="S362" s="158" t="s">
        <v>159</v>
      </c>
      <c r="T362" s="158" t="s">
        <v>149</v>
      </c>
      <c r="U362" s="158" t="s">
        <v>149</v>
      </c>
      <c r="V362" s="158" t="s">
        <v>149</v>
      </c>
      <c r="W362" s="153" t="s">
        <v>2094</v>
      </c>
      <c r="X362" s="158" t="s">
        <v>184</v>
      </c>
      <c r="Y362" s="153" t="s">
        <v>369</v>
      </c>
      <c r="Z362" s="153"/>
      <c r="AA362" s="153"/>
      <c r="AB362" s="158" t="s">
        <v>166</v>
      </c>
      <c r="AC362" s="153" t="s">
        <v>2095</v>
      </c>
      <c r="AD362" s="153" t="s">
        <v>7392</v>
      </c>
      <c r="AE362" s="153"/>
      <c r="AF362" s="153"/>
      <c r="AG362" s="153"/>
    </row>
    <row r="363" ht="15.75" customHeight="1">
      <c r="A363" s="238">
        <v>2025.0</v>
      </c>
      <c r="B363" s="230">
        <v>362.0</v>
      </c>
      <c r="C363" s="153" t="s">
        <v>7905</v>
      </c>
      <c r="D363" s="153" t="s">
        <v>172</v>
      </c>
      <c r="E363" s="153" t="s">
        <v>173</v>
      </c>
      <c r="F363" s="153" t="s">
        <v>174</v>
      </c>
      <c r="G363" s="153" t="s">
        <v>175</v>
      </c>
      <c r="H363" s="153" t="s">
        <v>7455</v>
      </c>
      <c r="I363" s="230">
        <v>2000.0</v>
      </c>
      <c r="J363" s="192">
        <v>2000.0</v>
      </c>
      <c r="K363" s="192" t="s">
        <v>149</v>
      </c>
      <c r="L363" s="153" t="s">
        <v>6062</v>
      </c>
      <c r="M363" s="153" t="s">
        <v>179</v>
      </c>
      <c r="N363" s="158" t="s">
        <v>179</v>
      </c>
      <c r="O363" s="158" t="s">
        <v>7456</v>
      </c>
      <c r="P363" s="153" t="s">
        <v>183</v>
      </c>
      <c r="Q363" s="158" t="s">
        <v>160</v>
      </c>
      <c r="R363" s="158" t="s">
        <v>184</v>
      </c>
      <c r="S363" s="158" t="s">
        <v>159</v>
      </c>
      <c r="T363" s="158" t="s">
        <v>149</v>
      </c>
      <c r="U363" s="158" t="s">
        <v>149</v>
      </c>
      <c r="V363" s="158" t="s">
        <v>149</v>
      </c>
      <c r="W363" s="153" t="s">
        <v>183</v>
      </c>
      <c r="X363" s="158" t="s">
        <v>184</v>
      </c>
      <c r="Y363" s="153"/>
      <c r="Z363" s="153" t="s">
        <v>185</v>
      </c>
      <c r="AA363" s="153"/>
      <c r="AB363" s="158" t="s">
        <v>166</v>
      </c>
      <c r="AC363" s="153" t="s">
        <v>186</v>
      </c>
      <c r="AD363" s="172" t="s">
        <v>187</v>
      </c>
      <c r="AE363" s="153" t="s">
        <v>188</v>
      </c>
      <c r="AF363" s="165" t="s">
        <v>1140</v>
      </c>
      <c r="AG363" s="153"/>
    </row>
    <row r="364" ht="15.75" customHeight="1">
      <c r="A364" s="238">
        <v>2025.0</v>
      </c>
      <c r="B364" s="230">
        <v>363.0</v>
      </c>
      <c r="C364" s="153" t="s">
        <v>7905</v>
      </c>
      <c r="D364" s="153" t="s">
        <v>172</v>
      </c>
      <c r="E364" s="153" t="s">
        <v>173</v>
      </c>
      <c r="F364" s="153" t="s">
        <v>174</v>
      </c>
      <c r="G364" s="153" t="s">
        <v>1132</v>
      </c>
      <c r="H364" s="153" t="s">
        <v>7912</v>
      </c>
      <c r="I364" s="192" t="s">
        <v>149</v>
      </c>
      <c r="J364" s="192" t="s">
        <v>149</v>
      </c>
      <c r="K364" s="192" t="s">
        <v>149</v>
      </c>
      <c r="L364" s="153" t="s">
        <v>6814</v>
      </c>
      <c r="M364" s="158" t="s">
        <v>7185</v>
      </c>
      <c r="N364" s="153" t="s">
        <v>1134</v>
      </c>
      <c r="O364" s="158" t="s">
        <v>1137</v>
      </c>
      <c r="P364" s="153" t="s">
        <v>183</v>
      </c>
      <c r="Q364" s="158" t="s">
        <v>160</v>
      </c>
      <c r="R364" s="158" t="s">
        <v>184</v>
      </c>
      <c r="S364" s="158" t="s">
        <v>204</v>
      </c>
      <c r="T364" s="158" t="s">
        <v>149</v>
      </c>
      <c r="U364" s="158" t="s">
        <v>149</v>
      </c>
      <c r="V364" s="158" t="s">
        <v>149</v>
      </c>
      <c r="W364" s="153" t="s">
        <v>183</v>
      </c>
      <c r="X364" s="158" t="s">
        <v>184</v>
      </c>
      <c r="Y364" s="153"/>
      <c r="Z364" s="153" t="s">
        <v>185</v>
      </c>
      <c r="AA364" s="153"/>
      <c r="AB364" s="158" t="s">
        <v>6517</v>
      </c>
      <c r="AC364" s="153" t="s">
        <v>1138</v>
      </c>
      <c r="AD364" s="172" t="s">
        <v>1139</v>
      </c>
      <c r="AE364" s="153" t="s">
        <v>188</v>
      </c>
      <c r="AF364" s="165" t="s">
        <v>1140</v>
      </c>
      <c r="AG364" s="153"/>
    </row>
    <row r="365" ht="15.75" customHeight="1">
      <c r="A365" s="238">
        <v>2025.0</v>
      </c>
      <c r="B365" s="230">
        <v>364.0</v>
      </c>
      <c r="C365" s="153" t="s">
        <v>7905</v>
      </c>
      <c r="D365" s="153" t="s">
        <v>172</v>
      </c>
      <c r="E365" s="153" t="s">
        <v>3173</v>
      </c>
      <c r="F365" s="153" t="s">
        <v>3174</v>
      </c>
      <c r="G365" s="158" t="s">
        <v>149</v>
      </c>
      <c r="H365" s="153" t="s">
        <v>7402</v>
      </c>
      <c r="I365" s="230">
        <v>2016.0</v>
      </c>
      <c r="J365" s="192" t="s">
        <v>149</v>
      </c>
      <c r="K365" s="192" t="s">
        <v>149</v>
      </c>
      <c r="L365" s="153" t="s">
        <v>151</v>
      </c>
      <c r="M365" s="158" t="s">
        <v>149</v>
      </c>
      <c r="N365" s="158" t="s">
        <v>149</v>
      </c>
      <c r="O365" s="158" t="s">
        <v>149</v>
      </c>
      <c r="P365" s="158" t="s">
        <v>149</v>
      </c>
      <c r="Q365" s="158" t="s">
        <v>149</v>
      </c>
      <c r="R365" s="158" t="s">
        <v>149</v>
      </c>
      <c r="S365" s="158" t="s">
        <v>149</v>
      </c>
      <c r="T365" s="158" t="s">
        <v>149</v>
      </c>
      <c r="U365" s="158" t="s">
        <v>149</v>
      </c>
      <c r="V365" s="158" t="s">
        <v>149</v>
      </c>
      <c r="W365" s="158" t="s">
        <v>149</v>
      </c>
      <c r="X365" s="158" t="s">
        <v>149</v>
      </c>
      <c r="Y365" s="153"/>
      <c r="Z365" s="153"/>
      <c r="AA365" s="153"/>
      <c r="AB365" s="158" t="s">
        <v>166</v>
      </c>
      <c r="AC365" s="153" t="s">
        <v>3175</v>
      </c>
      <c r="AD365" s="165" t="s">
        <v>3176</v>
      </c>
      <c r="AE365" s="153"/>
      <c r="AF365" s="153"/>
      <c r="AG365" s="153"/>
    </row>
    <row r="366" ht="15.75" customHeight="1">
      <c r="A366" s="238">
        <v>2025.0</v>
      </c>
      <c r="B366" s="230">
        <v>365.0</v>
      </c>
      <c r="C366" s="153" t="s">
        <v>7905</v>
      </c>
      <c r="D366" s="153" t="s">
        <v>172</v>
      </c>
      <c r="E366" s="153" t="s">
        <v>2021</v>
      </c>
      <c r="F366" s="153" t="s">
        <v>2022</v>
      </c>
      <c r="G366" s="153" t="s">
        <v>2023</v>
      </c>
      <c r="H366" s="153" t="s">
        <v>7405</v>
      </c>
      <c r="I366" s="230">
        <v>2015.0</v>
      </c>
      <c r="J366" s="192" t="s">
        <v>149</v>
      </c>
      <c r="K366" s="192" t="s">
        <v>149</v>
      </c>
      <c r="L366" s="153" t="s">
        <v>151</v>
      </c>
      <c r="M366" s="153" t="s">
        <v>362</v>
      </c>
      <c r="N366" s="158" t="s">
        <v>2025</v>
      </c>
      <c r="O366" s="153" t="s">
        <v>2026</v>
      </c>
      <c r="P366" s="153" t="s">
        <v>2027</v>
      </c>
      <c r="Q366" s="158" t="s">
        <v>160</v>
      </c>
      <c r="R366" s="158" t="s">
        <v>184</v>
      </c>
      <c r="S366" s="158" t="s">
        <v>159</v>
      </c>
      <c r="T366" s="158" t="s">
        <v>149</v>
      </c>
      <c r="U366" s="158" t="s">
        <v>149</v>
      </c>
      <c r="V366" s="158" t="s">
        <v>149</v>
      </c>
      <c r="W366" s="153" t="s">
        <v>2027</v>
      </c>
      <c r="X366" s="158" t="s">
        <v>271</v>
      </c>
      <c r="Y366" s="158" t="s">
        <v>7470</v>
      </c>
      <c r="Z366" s="158" t="s">
        <v>7471</v>
      </c>
      <c r="AA366" s="153"/>
      <c r="AB366" s="158" t="s">
        <v>166</v>
      </c>
      <c r="AC366" s="153" t="s">
        <v>2030</v>
      </c>
      <c r="AD366" s="165" t="s">
        <v>2031</v>
      </c>
      <c r="AE366" s="153"/>
      <c r="AF366" s="153"/>
      <c r="AG366" s="153"/>
    </row>
    <row r="367" ht="15.75" customHeight="1">
      <c r="A367" s="238">
        <v>2025.0</v>
      </c>
      <c r="B367" s="230">
        <v>366.0</v>
      </c>
      <c r="C367" s="153" t="s">
        <v>7913</v>
      </c>
      <c r="D367" s="153" t="s">
        <v>331</v>
      </c>
      <c r="E367" s="153" t="s">
        <v>3991</v>
      </c>
      <c r="F367" s="153" t="s">
        <v>981</v>
      </c>
      <c r="G367" s="153" t="s">
        <v>1659</v>
      </c>
      <c r="H367" s="158" t="s">
        <v>7476</v>
      </c>
      <c r="I367" s="192">
        <v>1991.0</v>
      </c>
      <c r="J367" s="230">
        <v>1990.0</v>
      </c>
      <c r="K367" s="230">
        <v>1992.0</v>
      </c>
      <c r="L367" s="153" t="s">
        <v>151</v>
      </c>
      <c r="M367" s="153" t="s">
        <v>6897</v>
      </c>
      <c r="N367" s="158" t="s">
        <v>7067</v>
      </c>
      <c r="O367" s="153" t="s">
        <v>1380</v>
      </c>
      <c r="P367" s="158" t="s">
        <v>321</v>
      </c>
      <c r="Q367" s="158" t="s">
        <v>160</v>
      </c>
      <c r="R367" s="158" t="s">
        <v>6035</v>
      </c>
      <c r="S367" s="158" t="s">
        <v>159</v>
      </c>
      <c r="T367" s="158" t="s">
        <v>149</v>
      </c>
      <c r="U367" s="158" t="s">
        <v>149</v>
      </c>
      <c r="V367" s="158" t="s">
        <v>149</v>
      </c>
      <c r="W367" s="153" t="s">
        <v>1663</v>
      </c>
      <c r="X367" s="153" t="s">
        <v>6035</v>
      </c>
      <c r="Y367" s="153"/>
      <c r="Z367" s="153"/>
      <c r="AA367" s="153"/>
      <c r="AB367" s="158" t="s">
        <v>395</v>
      </c>
      <c r="AC367" s="153" t="s">
        <v>6060</v>
      </c>
      <c r="AD367" s="158" t="s">
        <v>6711</v>
      </c>
      <c r="AE367" s="153"/>
      <c r="AF367" s="153"/>
      <c r="AG367" s="153"/>
    </row>
    <row r="368" ht="15.75" customHeight="1">
      <c r="A368" s="238">
        <v>2025.0</v>
      </c>
      <c r="B368" s="230">
        <v>367.0</v>
      </c>
      <c r="C368" s="153" t="s">
        <v>7913</v>
      </c>
      <c r="D368" s="153" t="s">
        <v>331</v>
      </c>
      <c r="E368" s="153" t="s">
        <v>3991</v>
      </c>
      <c r="F368" s="153" t="s">
        <v>981</v>
      </c>
      <c r="G368" s="153" t="s">
        <v>2023</v>
      </c>
      <c r="H368" s="153" t="s">
        <v>2058</v>
      </c>
      <c r="I368" s="230">
        <v>2012.0</v>
      </c>
      <c r="J368" s="192" t="s">
        <v>149</v>
      </c>
      <c r="K368" s="192" t="s">
        <v>149</v>
      </c>
      <c r="L368" s="153" t="s">
        <v>151</v>
      </c>
      <c r="M368" s="153" t="s">
        <v>362</v>
      </c>
      <c r="N368" s="158" t="s">
        <v>362</v>
      </c>
      <c r="O368" s="158" t="s">
        <v>149</v>
      </c>
      <c r="P368" s="153" t="s">
        <v>2059</v>
      </c>
      <c r="Q368" s="158" t="s">
        <v>160</v>
      </c>
      <c r="R368" s="158" t="s">
        <v>184</v>
      </c>
      <c r="S368" s="158" t="s">
        <v>159</v>
      </c>
      <c r="T368" s="158" t="s">
        <v>149</v>
      </c>
      <c r="U368" s="158" t="s">
        <v>149</v>
      </c>
      <c r="V368" s="153" t="s">
        <v>2060</v>
      </c>
      <c r="W368" s="153" t="s">
        <v>2038</v>
      </c>
      <c r="X368" s="153" t="s">
        <v>271</v>
      </c>
      <c r="Y368" s="153"/>
      <c r="Z368" s="153" t="s">
        <v>2061</v>
      </c>
      <c r="AA368" s="153"/>
      <c r="AB368" s="158" t="s">
        <v>6091</v>
      </c>
      <c r="AC368" s="153" t="s">
        <v>2062</v>
      </c>
      <c r="AD368" s="165" t="s">
        <v>2063</v>
      </c>
      <c r="AE368" s="153" t="s">
        <v>2064</v>
      </c>
      <c r="AF368" s="153"/>
      <c r="AG368" s="153"/>
    </row>
    <row r="369" ht="15.75" customHeight="1">
      <c r="A369" s="238">
        <v>2025.0</v>
      </c>
      <c r="B369" s="230">
        <v>368.0</v>
      </c>
      <c r="C369" s="153" t="s">
        <v>7913</v>
      </c>
      <c r="D369" s="153" t="s">
        <v>331</v>
      </c>
      <c r="E369" s="153" t="s">
        <v>3991</v>
      </c>
      <c r="F369" s="153" t="s">
        <v>981</v>
      </c>
      <c r="G369" s="153" t="s">
        <v>989</v>
      </c>
      <c r="H369" s="158" t="s">
        <v>990</v>
      </c>
      <c r="I369" s="230">
        <v>2019.0</v>
      </c>
      <c r="J369" s="192" t="s">
        <v>149</v>
      </c>
      <c r="K369" s="192" t="s">
        <v>149</v>
      </c>
      <c r="L369" s="153" t="s">
        <v>151</v>
      </c>
      <c r="M369" s="153" t="s">
        <v>152</v>
      </c>
      <c r="N369" s="158" t="s">
        <v>991</v>
      </c>
      <c r="O369" s="158" t="s">
        <v>992</v>
      </c>
      <c r="P369" s="153" t="s">
        <v>993</v>
      </c>
      <c r="Q369" s="158" t="s">
        <v>160</v>
      </c>
      <c r="R369" s="158" t="s">
        <v>6035</v>
      </c>
      <c r="S369" s="158" t="s">
        <v>159</v>
      </c>
      <c r="T369" s="158" t="s">
        <v>149</v>
      </c>
      <c r="U369" s="158" t="s">
        <v>149</v>
      </c>
      <c r="V369" s="158" t="s">
        <v>149</v>
      </c>
      <c r="W369" s="153" t="s">
        <v>994</v>
      </c>
      <c r="X369" s="153" t="s">
        <v>6035</v>
      </c>
      <c r="Y369" s="153" t="s">
        <v>7914</v>
      </c>
      <c r="Z369" s="153"/>
      <c r="AA369" s="153"/>
      <c r="AB369" s="153" t="s">
        <v>6038</v>
      </c>
      <c r="AC369" s="153" t="s">
        <v>7485</v>
      </c>
      <c r="AD369" s="165" t="s">
        <v>997</v>
      </c>
      <c r="AE369" s="153"/>
      <c r="AF369" s="153"/>
      <c r="AG369" s="153"/>
    </row>
    <row r="370" ht="15.75" customHeight="1">
      <c r="A370" s="238">
        <v>2025.0</v>
      </c>
      <c r="B370" s="230">
        <v>369.0</v>
      </c>
      <c r="C370" s="153" t="s">
        <v>7913</v>
      </c>
      <c r="D370" s="153" t="s">
        <v>331</v>
      </c>
      <c r="E370" s="153" t="s">
        <v>3991</v>
      </c>
      <c r="F370" s="153" t="s">
        <v>981</v>
      </c>
      <c r="G370" s="153" t="s">
        <v>2244</v>
      </c>
      <c r="H370" s="153" t="s">
        <v>7915</v>
      </c>
      <c r="I370" s="192" t="s">
        <v>149</v>
      </c>
      <c r="J370" s="192" t="s">
        <v>149</v>
      </c>
      <c r="K370" s="192" t="s">
        <v>149</v>
      </c>
      <c r="L370" s="153" t="s">
        <v>6062</v>
      </c>
      <c r="M370" s="153" t="s">
        <v>6276</v>
      </c>
      <c r="N370" s="158" t="s">
        <v>2246</v>
      </c>
      <c r="O370" s="158" t="s">
        <v>202</v>
      </c>
      <c r="P370" s="158" t="s">
        <v>149</v>
      </c>
      <c r="Q370" s="158" t="s">
        <v>149</v>
      </c>
      <c r="R370" s="158" t="s">
        <v>149</v>
      </c>
      <c r="S370" s="158" t="s">
        <v>159</v>
      </c>
      <c r="T370" s="158" t="s">
        <v>149</v>
      </c>
      <c r="U370" s="158" t="s">
        <v>149</v>
      </c>
      <c r="V370" s="158" t="s">
        <v>149</v>
      </c>
      <c r="W370" s="158" t="s">
        <v>149</v>
      </c>
      <c r="X370" s="158" t="s">
        <v>149</v>
      </c>
      <c r="Y370" s="153"/>
      <c r="Z370" s="153" t="s">
        <v>2247</v>
      </c>
      <c r="AA370" s="153" t="s">
        <v>2248</v>
      </c>
      <c r="AB370" s="158" t="s">
        <v>6091</v>
      </c>
      <c r="AC370" s="153" t="s">
        <v>2249</v>
      </c>
      <c r="AD370" s="165" t="s">
        <v>2250</v>
      </c>
      <c r="AE370" s="153"/>
      <c r="AF370" s="153"/>
      <c r="AG370" s="153"/>
    </row>
    <row r="371" ht="15.75" customHeight="1">
      <c r="A371" s="238">
        <v>2025.0</v>
      </c>
      <c r="B371" s="230">
        <v>370.0</v>
      </c>
      <c r="C371" s="153" t="s">
        <v>7913</v>
      </c>
      <c r="D371" s="153" t="s">
        <v>331</v>
      </c>
      <c r="E371" s="153" t="s">
        <v>3991</v>
      </c>
      <c r="F371" s="153" t="s">
        <v>981</v>
      </c>
      <c r="G371" s="153" t="s">
        <v>6587</v>
      </c>
      <c r="H371" s="158" t="s">
        <v>7495</v>
      </c>
      <c r="I371" s="192">
        <v>2012.0</v>
      </c>
      <c r="J371" s="230">
        <v>2012.0</v>
      </c>
      <c r="K371" s="192" t="s">
        <v>149</v>
      </c>
      <c r="L371" s="153" t="s">
        <v>6624</v>
      </c>
      <c r="M371" s="153" t="s">
        <v>2218</v>
      </c>
      <c r="N371" s="158" t="s">
        <v>2218</v>
      </c>
      <c r="O371" s="153"/>
      <c r="P371" s="153" t="s">
        <v>341</v>
      </c>
      <c r="Q371" s="158" t="s">
        <v>160</v>
      </c>
      <c r="R371" s="158" t="s">
        <v>6035</v>
      </c>
      <c r="S371" s="158" t="s">
        <v>159</v>
      </c>
      <c r="T371" s="158" t="s">
        <v>149</v>
      </c>
      <c r="U371" s="158" t="s">
        <v>7496</v>
      </c>
      <c r="V371" s="158" t="s">
        <v>149</v>
      </c>
      <c r="W371" s="153" t="s">
        <v>341</v>
      </c>
      <c r="X371" s="153" t="s">
        <v>6035</v>
      </c>
      <c r="Y371" s="153"/>
      <c r="Z371" s="153"/>
      <c r="AA371" s="153"/>
      <c r="AB371" s="158" t="s">
        <v>166</v>
      </c>
      <c r="AC371" s="153" t="s">
        <v>7916</v>
      </c>
      <c r="AD371" s="172" t="s">
        <v>2220</v>
      </c>
      <c r="AE371" s="153"/>
      <c r="AF371" s="153"/>
      <c r="AG371" s="153"/>
    </row>
    <row r="372" ht="15.75" customHeight="1">
      <c r="A372" s="238">
        <v>2025.0</v>
      </c>
      <c r="B372" s="230">
        <v>371.0</v>
      </c>
      <c r="C372" s="153" t="s">
        <v>7913</v>
      </c>
      <c r="D372" s="153" t="s">
        <v>331</v>
      </c>
      <c r="E372" s="153" t="s">
        <v>3991</v>
      </c>
      <c r="F372" s="153" t="s">
        <v>981</v>
      </c>
      <c r="G372" s="158" t="s">
        <v>149</v>
      </c>
      <c r="H372" s="153" t="s">
        <v>2762</v>
      </c>
      <c r="I372" s="192" t="s">
        <v>149</v>
      </c>
      <c r="J372" s="192" t="s">
        <v>149</v>
      </c>
      <c r="K372" s="192" t="s">
        <v>149</v>
      </c>
      <c r="L372" s="153" t="s">
        <v>151</v>
      </c>
      <c r="M372" s="153" t="s">
        <v>2763</v>
      </c>
      <c r="N372" s="158" t="s">
        <v>2763</v>
      </c>
      <c r="O372" s="153" t="s">
        <v>6863</v>
      </c>
      <c r="P372" s="153" t="s">
        <v>2765</v>
      </c>
      <c r="Q372" s="158" t="s">
        <v>160</v>
      </c>
      <c r="R372" s="158" t="s">
        <v>184</v>
      </c>
      <c r="S372" s="158" t="s">
        <v>159</v>
      </c>
      <c r="T372" s="158" t="s">
        <v>149</v>
      </c>
      <c r="U372" s="158" t="s">
        <v>149</v>
      </c>
      <c r="V372" s="158" t="s">
        <v>149</v>
      </c>
      <c r="W372" s="153" t="s">
        <v>2765</v>
      </c>
      <c r="X372" s="158" t="s">
        <v>184</v>
      </c>
      <c r="Y372" s="153"/>
      <c r="Z372" s="153"/>
      <c r="AA372" s="153"/>
      <c r="AB372" s="158" t="s">
        <v>6517</v>
      </c>
      <c r="AC372" s="153" t="s">
        <v>2766</v>
      </c>
      <c r="AD372" s="165" t="s">
        <v>2767</v>
      </c>
      <c r="AE372" s="153"/>
      <c r="AF372" s="153"/>
      <c r="AG372" s="153"/>
    </row>
    <row r="373" ht="15.75" customHeight="1">
      <c r="A373" s="238">
        <v>2025.0</v>
      </c>
      <c r="B373" s="230">
        <v>372.0</v>
      </c>
      <c r="C373" s="153" t="s">
        <v>7913</v>
      </c>
      <c r="D373" s="153" t="s">
        <v>331</v>
      </c>
      <c r="E373" s="153" t="s">
        <v>3991</v>
      </c>
      <c r="F373" s="153" t="s">
        <v>981</v>
      </c>
      <c r="G373" s="158" t="s">
        <v>149</v>
      </c>
      <c r="H373" s="153" t="s">
        <v>2519</v>
      </c>
      <c r="I373" s="230">
        <v>2022.0</v>
      </c>
      <c r="J373" s="192">
        <v>2022.0</v>
      </c>
      <c r="K373" s="192" t="s">
        <v>149</v>
      </c>
      <c r="L373" s="153" t="s">
        <v>151</v>
      </c>
      <c r="M373" s="158" t="s">
        <v>670</v>
      </c>
      <c r="N373" s="158" t="s">
        <v>670</v>
      </c>
      <c r="O373" s="153" t="s">
        <v>779</v>
      </c>
      <c r="P373" s="153" t="s">
        <v>2520</v>
      </c>
      <c r="Q373" s="158" t="s">
        <v>160</v>
      </c>
      <c r="R373" s="158" t="s">
        <v>184</v>
      </c>
      <c r="S373" s="158" t="s">
        <v>159</v>
      </c>
      <c r="T373" s="158" t="s">
        <v>149</v>
      </c>
      <c r="U373" s="158" t="s">
        <v>149</v>
      </c>
      <c r="V373" s="153" t="s">
        <v>2521</v>
      </c>
      <c r="W373" s="153" t="s">
        <v>2522</v>
      </c>
      <c r="X373" s="158" t="s">
        <v>184</v>
      </c>
      <c r="Y373" s="153" t="s">
        <v>2523</v>
      </c>
      <c r="Z373" s="153" t="s">
        <v>2524</v>
      </c>
      <c r="AA373" s="153"/>
      <c r="AB373" s="153" t="s">
        <v>6038</v>
      </c>
      <c r="AC373" s="153" t="s">
        <v>2525</v>
      </c>
      <c r="AD373" s="153" t="s">
        <v>2526</v>
      </c>
      <c r="AE373" s="153"/>
      <c r="AF373" s="153"/>
      <c r="AG373" s="153"/>
    </row>
    <row r="374" ht="15.75" customHeight="1">
      <c r="A374" s="238">
        <v>2025.0</v>
      </c>
      <c r="B374" s="230">
        <v>373.0</v>
      </c>
      <c r="C374" s="153" t="s">
        <v>7913</v>
      </c>
      <c r="D374" s="153" t="s">
        <v>331</v>
      </c>
      <c r="E374" s="153" t="s">
        <v>3991</v>
      </c>
      <c r="F374" s="153" t="s">
        <v>981</v>
      </c>
      <c r="G374" s="153" t="s">
        <v>934</v>
      </c>
      <c r="H374" s="153"/>
      <c r="I374" s="230">
        <v>2001.0</v>
      </c>
      <c r="J374" s="230">
        <v>2001.0</v>
      </c>
      <c r="K374" s="230">
        <v>2005.0</v>
      </c>
      <c r="L374" s="153" t="s">
        <v>6062</v>
      </c>
      <c r="M374" s="153" t="s">
        <v>3245</v>
      </c>
      <c r="N374" s="158" t="s">
        <v>3245</v>
      </c>
      <c r="O374" s="153" t="s">
        <v>939</v>
      </c>
      <c r="P374" s="153" t="s">
        <v>940</v>
      </c>
      <c r="Q374" s="158" t="s">
        <v>6154</v>
      </c>
      <c r="R374" s="158" t="s">
        <v>206</v>
      </c>
      <c r="S374" s="158" t="s">
        <v>204</v>
      </c>
      <c r="T374" s="158" t="s">
        <v>149</v>
      </c>
      <c r="U374" s="158" t="s">
        <v>149</v>
      </c>
      <c r="V374" s="158" t="s">
        <v>149</v>
      </c>
      <c r="W374" s="153" t="s">
        <v>233</v>
      </c>
      <c r="X374" s="158" t="s">
        <v>6068</v>
      </c>
      <c r="Y374" s="153"/>
      <c r="Z374" s="153"/>
      <c r="AA374" s="153"/>
      <c r="AB374" s="158" t="s">
        <v>6214</v>
      </c>
      <c r="AC374" s="153" t="s">
        <v>941</v>
      </c>
      <c r="AD374" s="153" t="s">
        <v>942</v>
      </c>
      <c r="AE374" s="153" t="s">
        <v>943</v>
      </c>
      <c r="AF374" s="153"/>
      <c r="AG374" s="153"/>
    </row>
    <row r="375" ht="15.75" customHeight="1">
      <c r="A375" s="238">
        <v>2025.0</v>
      </c>
      <c r="B375" s="230">
        <v>374.0</v>
      </c>
      <c r="C375" s="153" t="s">
        <v>7913</v>
      </c>
      <c r="D375" s="153" t="s">
        <v>331</v>
      </c>
      <c r="E375" s="153" t="s">
        <v>7917</v>
      </c>
      <c r="F375" s="153" t="s">
        <v>333</v>
      </c>
      <c r="G375" s="153" t="s">
        <v>334</v>
      </c>
      <c r="H375" s="158" t="s">
        <v>7514</v>
      </c>
      <c r="I375" s="230">
        <v>2007.0</v>
      </c>
      <c r="J375" s="230">
        <v>2007.0</v>
      </c>
      <c r="K375" s="192">
        <v>2016.0</v>
      </c>
      <c r="L375" s="153" t="s">
        <v>151</v>
      </c>
      <c r="M375" s="158" t="s">
        <v>337</v>
      </c>
      <c r="N375" s="158" t="s">
        <v>337</v>
      </c>
      <c r="O375" s="158" t="s">
        <v>338</v>
      </c>
      <c r="P375" s="158" t="s">
        <v>228</v>
      </c>
      <c r="Q375" s="158" t="s">
        <v>160</v>
      </c>
      <c r="R375" s="158" t="s">
        <v>6035</v>
      </c>
      <c r="S375" s="158" t="s">
        <v>159</v>
      </c>
      <c r="T375" s="158" t="s">
        <v>149</v>
      </c>
      <c r="U375" s="153" t="s">
        <v>7503</v>
      </c>
      <c r="V375" s="153" t="s">
        <v>340</v>
      </c>
      <c r="W375" s="153" t="s">
        <v>228</v>
      </c>
      <c r="X375" s="153" t="s">
        <v>6035</v>
      </c>
      <c r="Y375" s="153" t="s">
        <v>341</v>
      </c>
      <c r="Z375" s="153"/>
      <c r="AA375" s="153"/>
      <c r="AB375" s="158" t="s">
        <v>166</v>
      </c>
      <c r="AC375" s="153" t="s">
        <v>342</v>
      </c>
      <c r="AD375" s="153" t="s">
        <v>7505</v>
      </c>
      <c r="AE375" s="153"/>
      <c r="AF375" s="153"/>
      <c r="AG375" s="153"/>
    </row>
    <row r="376" ht="15.75" customHeight="1">
      <c r="A376" s="238">
        <v>2025.0</v>
      </c>
      <c r="B376" s="230">
        <v>375.0</v>
      </c>
      <c r="C376" s="153" t="s">
        <v>7913</v>
      </c>
      <c r="D376" s="153" t="s">
        <v>331</v>
      </c>
      <c r="E376" s="153" t="s">
        <v>7519</v>
      </c>
      <c r="F376" s="153" t="s">
        <v>333</v>
      </c>
      <c r="G376" s="153" t="s">
        <v>1580</v>
      </c>
      <c r="H376" s="158" t="s">
        <v>1581</v>
      </c>
      <c r="I376" s="192" t="s">
        <v>149</v>
      </c>
      <c r="J376" s="192" t="s">
        <v>149</v>
      </c>
      <c r="K376" s="192" t="s">
        <v>149</v>
      </c>
      <c r="L376" s="153" t="s">
        <v>151</v>
      </c>
      <c r="M376" s="153" t="s">
        <v>362</v>
      </c>
      <c r="N376" s="158" t="s">
        <v>362</v>
      </c>
      <c r="O376" s="153" t="s">
        <v>1582</v>
      </c>
      <c r="P376" s="153" t="s">
        <v>228</v>
      </c>
      <c r="Q376" s="158" t="s">
        <v>160</v>
      </c>
      <c r="R376" s="158" t="s">
        <v>6035</v>
      </c>
      <c r="S376" s="158" t="s">
        <v>159</v>
      </c>
      <c r="T376" s="158" t="s">
        <v>149</v>
      </c>
      <c r="U376" s="158" t="s">
        <v>149</v>
      </c>
      <c r="V376" s="188" t="s">
        <v>1583</v>
      </c>
      <c r="W376" s="153" t="s">
        <v>228</v>
      </c>
      <c r="X376" s="153" t="s">
        <v>6035</v>
      </c>
      <c r="Y376" s="153"/>
      <c r="Z376" s="153"/>
      <c r="AA376" s="153"/>
      <c r="AB376" s="153" t="s">
        <v>6038</v>
      </c>
      <c r="AC376" s="153" t="s">
        <v>1584</v>
      </c>
      <c r="AD376" s="172" t="s">
        <v>1585</v>
      </c>
      <c r="AE376" s="153"/>
      <c r="AF376" s="153"/>
      <c r="AG376" s="153"/>
    </row>
    <row r="377" ht="15.75" customHeight="1">
      <c r="A377" s="238">
        <v>2025.0</v>
      </c>
      <c r="B377" s="230">
        <v>376.0</v>
      </c>
      <c r="C377" s="153" t="s">
        <v>7913</v>
      </c>
      <c r="D377" s="153" t="s">
        <v>615</v>
      </c>
      <c r="E377" s="153" t="s">
        <v>7511</v>
      </c>
      <c r="F377" s="153" t="s">
        <v>617</v>
      </c>
      <c r="G377" s="153" t="s">
        <v>384</v>
      </c>
      <c r="H377" s="153"/>
      <c r="I377" s="230">
        <v>1986.0</v>
      </c>
      <c r="J377" s="230">
        <v>1985.0</v>
      </c>
      <c r="K377" s="230">
        <v>1987.0</v>
      </c>
      <c r="L377" s="153" t="s">
        <v>151</v>
      </c>
      <c r="M377" s="153" t="s">
        <v>6054</v>
      </c>
      <c r="N377" s="158" t="s">
        <v>6054</v>
      </c>
      <c r="O377" s="158" t="s">
        <v>149</v>
      </c>
      <c r="P377" s="153" t="s">
        <v>390</v>
      </c>
      <c r="Q377" s="158" t="s">
        <v>160</v>
      </c>
      <c r="R377" s="158" t="s">
        <v>6035</v>
      </c>
      <c r="S377" s="158" t="s">
        <v>159</v>
      </c>
      <c r="T377" s="158" t="s">
        <v>149</v>
      </c>
      <c r="U377" s="158" t="s">
        <v>149</v>
      </c>
      <c r="V377" s="158" t="s">
        <v>149</v>
      </c>
      <c r="W377" s="153" t="s">
        <v>390</v>
      </c>
      <c r="X377" s="153" t="s">
        <v>6035</v>
      </c>
      <c r="Y377" s="153" t="s">
        <v>6055</v>
      </c>
      <c r="Z377" s="153"/>
      <c r="AA377" s="153"/>
      <c r="AB377" s="158" t="s">
        <v>395</v>
      </c>
      <c r="AC377" s="153" t="s">
        <v>6060</v>
      </c>
      <c r="AD377" s="158" t="s">
        <v>6711</v>
      </c>
      <c r="AE377" s="153" t="s">
        <v>398</v>
      </c>
      <c r="AF377" s="153"/>
      <c r="AG377" s="153"/>
    </row>
    <row r="378" ht="15.75" customHeight="1">
      <c r="A378" s="238">
        <v>2025.0</v>
      </c>
      <c r="B378" s="230">
        <v>377.0</v>
      </c>
      <c r="C378" s="153" t="s">
        <v>7913</v>
      </c>
      <c r="D378" s="153" t="s">
        <v>615</v>
      </c>
      <c r="E378" s="153" t="s">
        <v>7511</v>
      </c>
      <c r="F378" s="153" t="s">
        <v>617</v>
      </c>
      <c r="G378" s="153" t="s">
        <v>777</v>
      </c>
      <c r="H378" s="153" t="s">
        <v>7526</v>
      </c>
      <c r="I378" s="230">
        <v>2017.0</v>
      </c>
      <c r="J378" s="192" t="s">
        <v>149</v>
      </c>
      <c r="K378" s="192" t="s">
        <v>149</v>
      </c>
      <c r="L378" s="153" t="s">
        <v>151</v>
      </c>
      <c r="M378" s="158" t="s">
        <v>670</v>
      </c>
      <c r="N378" s="158" t="s">
        <v>670</v>
      </c>
      <c r="O378" s="153" t="s">
        <v>779</v>
      </c>
      <c r="P378" s="153" t="s">
        <v>780</v>
      </c>
      <c r="Q378" s="158" t="s">
        <v>160</v>
      </c>
      <c r="R378" s="158" t="s">
        <v>184</v>
      </c>
      <c r="S378" s="158" t="s">
        <v>159</v>
      </c>
      <c r="T378" s="158" t="s">
        <v>149</v>
      </c>
      <c r="U378" s="158" t="s">
        <v>7527</v>
      </c>
      <c r="V378" s="153" t="s">
        <v>782</v>
      </c>
      <c r="W378" s="153" t="s">
        <v>780</v>
      </c>
      <c r="X378" s="158" t="s">
        <v>184</v>
      </c>
      <c r="Y378" s="153" t="s">
        <v>760</v>
      </c>
      <c r="Z378" s="153" t="s">
        <v>765</v>
      </c>
      <c r="AA378" s="153"/>
      <c r="AB378" s="158" t="s">
        <v>6027</v>
      </c>
      <c r="AC378" s="153" t="s">
        <v>783</v>
      </c>
      <c r="AD378" s="165" t="s">
        <v>784</v>
      </c>
      <c r="AE378" s="153"/>
      <c r="AF378" s="153"/>
      <c r="AG378" s="153"/>
    </row>
    <row r="379" ht="15.75" customHeight="1">
      <c r="A379" s="238">
        <v>2025.0</v>
      </c>
      <c r="B379" s="230">
        <v>378.0</v>
      </c>
      <c r="C379" s="153" t="s">
        <v>7913</v>
      </c>
      <c r="D379" s="153" t="s">
        <v>615</v>
      </c>
      <c r="E379" s="153" t="s">
        <v>7511</v>
      </c>
      <c r="F379" s="153" t="s">
        <v>617</v>
      </c>
      <c r="G379" s="153" t="s">
        <v>668</v>
      </c>
      <c r="H379" s="153" t="s">
        <v>669</v>
      </c>
      <c r="I379" s="230">
        <v>2017.0</v>
      </c>
      <c r="J379" s="192" t="s">
        <v>149</v>
      </c>
      <c r="K379" s="192" t="s">
        <v>149</v>
      </c>
      <c r="L379" s="153" t="s">
        <v>151</v>
      </c>
      <c r="M379" s="158" t="s">
        <v>670</v>
      </c>
      <c r="N379" s="158" t="s">
        <v>670</v>
      </c>
      <c r="O379" s="158" t="s">
        <v>673</v>
      </c>
      <c r="P379" s="153" t="s">
        <v>674</v>
      </c>
      <c r="Q379" s="158" t="s">
        <v>160</v>
      </c>
      <c r="R379" s="158" t="s">
        <v>6035</v>
      </c>
      <c r="S379" s="158" t="s">
        <v>159</v>
      </c>
      <c r="T379" s="158" t="s">
        <v>149</v>
      </c>
      <c r="U379" s="158" t="s">
        <v>149</v>
      </c>
      <c r="V379" s="153" t="s">
        <v>675</v>
      </c>
      <c r="W379" s="158" t="s">
        <v>674</v>
      </c>
      <c r="X379" s="153" t="s">
        <v>6035</v>
      </c>
      <c r="Y379" s="153" t="s">
        <v>676</v>
      </c>
      <c r="Z379" s="153"/>
      <c r="AA379" s="158" t="s">
        <v>677</v>
      </c>
      <c r="AB379" s="158" t="s">
        <v>6027</v>
      </c>
      <c r="AC379" s="153" t="s">
        <v>678</v>
      </c>
      <c r="AD379" s="153" t="s">
        <v>679</v>
      </c>
      <c r="AE379" s="153"/>
      <c r="AF379" s="153"/>
      <c r="AG379" s="153"/>
    </row>
    <row r="380" ht="15.75" customHeight="1">
      <c r="A380" s="238">
        <v>2025.0</v>
      </c>
      <c r="B380" s="230">
        <v>379.0</v>
      </c>
      <c r="C380" s="153" t="s">
        <v>7913</v>
      </c>
      <c r="D380" s="153" t="s">
        <v>615</v>
      </c>
      <c r="E380" s="153" t="s">
        <v>7511</v>
      </c>
      <c r="F380" s="153" t="s">
        <v>617</v>
      </c>
      <c r="G380" s="153" t="s">
        <v>668</v>
      </c>
      <c r="H380" s="153" t="s">
        <v>681</v>
      </c>
      <c r="I380" s="230">
        <v>2017.0</v>
      </c>
      <c r="J380" s="192" t="s">
        <v>149</v>
      </c>
      <c r="K380" s="192" t="s">
        <v>149</v>
      </c>
      <c r="L380" s="153" t="s">
        <v>151</v>
      </c>
      <c r="M380" s="158" t="s">
        <v>670</v>
      </c>
      <c r="N380" s="158" t="s">
        <v>670</v>
      </c>
      <c r="O380" s="153" t="s">
        <v>684</v>
      </c>
      <c r="P380" s="153" t="s">
        <v>685</v>
      </c>
      <c r="Q380" s="158" t="s">
        <v>160</v>
      </c>
      <c r="R380" s="158" t="s">
        <v>6035</v>
      </c>
      <c r="S380" s="158" t="s">
        <v>159</v>
      </c>
      <c r="T380" s="158" t="s">
        <v>149</v>
      </c>
      <c r="U380" s="158" t="s">
        <v>149</v>
      </c>
      <c r="V380" s="153" t="s">
        <v>687</v>
      </c>
      <c r="W380" s="153" t="s">
        <v>685</v>
      </c>
      <c r="X380" s="153" t="s">
        <v>6035</v>
      </c>
      <c r="Y380" s="153" t="s">
        <v>688</v>
      </c>
      <c r="Z380" s="153" t="s">
        <v>674</v>
      </c>
      <c r="AA380" s="153"/>
      <c r="AB380" s="158" t="s">
        <v>6038</v>
      </c>
      <c r="AC380" s="153" t="s">
        <v>7534</v>
      </c>
      <c r="AD380" s="165" t="s">
        <v>7535</v>
      </c>
      <c r="AE380" s="153"/>
      <c r="AF380" s="153"/>
      <c r="AG380" s="153"/>
    </row>
    <row r="381" ht="15.75" customHeight="1">
      <c r="A381" s="238">
        <v>2025.0</v>
      </c>
      <c r="B381" s="230">
        <v>380.0</v>
      </c>
      <c r="C381" s="153" t="s">
        <v>7913</v>
      </c>
      <c r="D381" s="153" t="s">
        <v>615</v>
      </c>
      <c r="E381" s="153" t="s">
        <v>7511</v>
      </c>
      <c r="F381" s="153" t="s">
        <v>617</v>
      </c>
      <c r="G381" s="158" t="s">
        <v>149</v>
      </c>
      <c r="H381" s="153"/>
      <c r="I381" s="230">
        <v>2012.0</v>
      </c>
      <c r="J381" s="192" t="s">
        <v>149</v>
      </c>
      <c r="K381" s="192" t="s">
        <v>149</v>
      </c>
      <c r="L381" s="153" t="s">
        <v>151</v>
      </c>
      <c r="M381" s="158" t="s">
        <v>670</v>
      </c>
      <c r="N381" s="158" t="s">
        <v>670</v>
      </c>
      <c r="O381" s="158" t="s">
        <v>2579</v>
      </c>
      <c r="P381" s="158" t="s">
        <v>149</v>
      </c>
      <c r="Q381" s="158" t="s">
        <v>149</v>
      </c>
      <c r="R381" s="158" t="s">
        <v>149</v>
      </c>
      <c r="S381" s="158" t="s">
        <v>159</v>
      </c>
      <c r="T381" s="158" t="s">
        <v>149</v>
      </c>
      <c r="U381" s="158" t="s">
        <v>149</v>
      </c>
      <c r="V381" s="158" t="s">
        <v>149</v>
      </c>
      <c r="W381" s="158" t="s">
        <v>2580</v>
      </c>
      <c r="X381" s="158" t="s">
        <v>7294</v>
      </c>
      <c r="Y381" s="153"/>
      <c r="Z381" s="153" t="s">
        <v>2581</v>
      </c>
      <c r="AA381" s="153"/>
      <c r="AB381" s="158" t="s">
        <v>6038</v>
      </c>
      <c r="AC381" s="153" t="s">
        <v>2582</v>
      </c>
      <c r="AD381" s="165" t="s">
        <v>2583</v>
      </c>
      <c r="AE381" s="153"/>
      <c r="AF381" s="153"/>
      <c r="AG381" s="153"/>
    </row>
    <row r="382" ht="15.75" customHeight="1">
      <c r="A382" s="238">
        <v>2025.0</v>
      </c>
      <c r="B382" s="230">
        <v>381.0</v>
      </c>
      <c r="C382" s="158" t="s">
        <v>7913</v>
      </c>
      <c r="D382" s="158" t="s">
        <v>999</v>
      </c>
      <c r="E382" s="158" t="s">
        <v>7530</v>
      </c>
      <c r="F382" s="158" t="s">
        <v>1001</v>
      </c>
      <c r="G382" s="158" t="s">
        <v>1002</v>
      </c>
      <c r="H382" s="158" t="s">
        <v>1003</v>
      </c>
      <c r="I382" s="192">
        <v>2024.0</v>
      </c>
      <c r="J382" s="192">
        <v>2024.0</v>
      </c>
      <c r="K382" s="192" t="s">
        <v>149</v>
      </c>
      <c r="L382" s="158" t="s">
        <v>151</v>
      </c>
      <c r="M382" s="158" t="s">
        <v>1005</v>
      </c>
      <c r="N382" s="158" t="s">
        <v>1005</v>
      </c>
      <c r="O382" s="158" t="s">
        <v>1006</v>
      </c>
      <c r="P382" s="158" t="s">
        <v>1007</v>
      </c>
      <c r="Q382" s="158" t="s">
        <v>6154</v>
      </c>
      <c r="R382" s="158" t="s">
        <v>184</v>
      </c>
      <c r="S382" s="158" t="s">
        <v>159</v>
      </c>
      <c r="T382" s="158" t="s">
        <v>149</v>
      </c>
      <c r="U382" s="158" t="s">
        <v>7543</v>
      </c>
      <c r="V382" s="158" t="s">
        <v>1009</v>
      </c>
      <c r="W382" s="158" t="s">
        <v>1010</v>
      </c>
      <c r="X382" s="158" t="s">
        <v>6068</v>
      </c>
      <c r="Y382" s="158"/>
      <c r="Z382" s="158" t="s">
        <v>1011</v>
      </c>
      <c r="AA382" s="158"/>
      <c r="AB382" s="158" t="s">
        <v>166</v>
      </c>
      <c r="AC382" s="158" t="s">
        <v>7918</v>
      </c>
      <c r="AD382" s="177" t="s">
        <v>1013</v>
      </c>
      <c r="AE382" s="158"/>
      <c r="AF382" s="158"/>
      <c r="AG382" s="158"/>
    </row>
    <row r="383" ht="15.75" customHeight="1">
      <c r="A383" s="238">
        <v>2025.0</v>
      </c>
      <c r="B383" s="230">
        <v>382.0</v>
      </c>
      <c r="C383" s="153" t="s">
        <v>7913</v>
      </c>
      <c r="D383" s="153" t="s">
        <v>999</v>
      </c>
      <c r="E383" s="153" t="s">
        <v>3178</v>
      </c>
      <c r="F383" s="153" t="s">
        <v>3179</v>
      </c>
      <c r="G383" s="158" t="s">
        <v>149</v>
      </c>
      <c r="H383" s="153" t="s">
        <v>7537</v>
      </c>
      <c r="I383" s="192" t="s">
        <v>149</v>
      </c>
      <c r="J383" s="192" t="s">
        <v>149</v>
      </c>
      <c r="K383" s="192" t="s">
        <v>149</v>
      </c>
      <c r="L383" s="153" t="s">
        <v>151</v>
      </c>
      <c r="M383" s="158" t="s">
        <v>149</v>
      </c>
      <c r="N383" s="158" t="s">
        <v>149</v>
      </c>
      <c r="O383" s="158" t="s">
        <v>149</v>
      </c>
      <c r="P383" s="158" t="s">
        <v>149</v>
      </c>
      <c r="Q383" s="158" t="s">
        <v>149</v>
      </c>
      <c r="R383" s="158" t="s">
        <v>149</v>
      </c>
      <c r="S383" s="158" t="s">
        <v>149</v>
      </c>
      <c r="T383" s="158" t="s">
        <v>149</v>
      </c>
      <c r="U383" s="158" t="s">
        <v>149</v>
      </c>
      <c r="V383" s="158" t="s">
        <v>149</v>
      </c>
      <c r="W383" s="153" t="s">
        <v>369</v>
      </c>
      <c r="X383" s="153" t="s">
        <v>6035</v>
      </c>
      <c r="Y383" s="153"/>
      <c r="Z383" s="153"/>
      <c r="AA383" s="153"/>
      <c r="AB383" s="158" t="s">
        <v>6027</v>
      </c>
      <c r="AC383" s="153" t="s">
        <v>2104</v>
      </c>
      <c r="AD383" s="165" t="s">
        <v>2105</v>
      </c>
      <c r="AE383" s="153"/>
      <c r="AF383" s="153"/>
      <c r="AG383" s="153"/>
    </row>
    <row r="384" ht="15.75" customHeight="1">
      <c r="A384" s="238">
        <v>2025.0</v>
      </c>
      <c r="B384" s="230">
        <v>383.0</v>
      </c>
      <c r="C384" s="153" t="s">
        <v>7913</v>
      </c>
      <c r="D384" s="153" t="s">
        <v>2265</v>
      </c>
      <c r="E384" s="153" t="s">
        <v>1255</v>
      </c>
      <c r="F384" s="153" t="s">
        <v>2266</v>
      </c>
      <c r="G384" s="153" t="s">
        <v>2267</v>
      </c>
      <c r="H384" s="158" t="s">
        <v>7549</v>
      </c>
      <c r="I384" s="230">
        <v>2023.0</v>
      </c>
      <c r="J384" s="192" t="s">
        <v>149</v>
      </c>
      <c r="K384" s="192" t="s">
        <v>149</v>
      </c>
      <c r="L384" s="153" t="s">
        <v>6062</v>
      </c>
      <c r="M384" s="158" t="s">
        <v>2269</v>
      </c>
      <c r="N384" s="158" t="s">
        <v>2269</v>
      </c>
      <c r="O384" s="158" t="s">
        <v>2270</v>
      </c>
      <c r="P384" s="153" t="s">
        <v>2271</v>
      </c>
      <c r="Q384" s="158" t="s">
        <v>160</v>
      </c>
      <c r="R384" s="158" t="s">
        <v>184</v>
      </c>
      <c r="S384" s="158" t="s">
        <v>159</v>
      </c>
      <c r="T384" s="158" t="s">
        <v>149</v>
      </c>
      <c r="U384" s="158" t="s">
        <v>7550</v>
      </c>
      <c r="V384" s="158" t="s">
        <v>2273</v>
      </c>
      <c r="W384" s="153" t="s">
        <v>2271</v>
      </c>
      <c r="X384" s="153" t="s">
        <v>271</v>
      </c>
      <c r="Y384" s="158" t="s">
        <v>2274</v>
      </c>
      <c r="Z384" s="153"/>
      <c r="AA384" s="153"/>
      <c r="AB384" s="158" t="s">
        <v>6038</v>
      </c>
      <c r="AC384" s="158" t="s">
        <v>7919</v>
      </c>
      <c r="AD384" s="172" t="s">
        <v>2276</v>
      </c>
      <c r="AE384" s="153"/>
      <c r="AF384" s="153"/>
      <c r="AG384" s="153"/>
    </row>
    <row r="385" ht="15.75" customHeight="1">
      <c r="A385" s="238">
        <v>2025.0</v>
      </c>
      <c r="B385" s="230">
        <v>384.0</v>
      </c>
      <c r="C385" s="153" t="s">
        <v>7920</v>
      </c>
      <c r="D385" s="153" t="s">
        <v>1997</v>
      </c>
      <c r="E385" s="153" t="s">
        <v>7921</v>
      </c>
      <c r="F385" s="153" t="s">
        <v>1999</v>
      </c>
      <c r="G385" s="158" t="s">
        <v>149</v>
      </c>
      <c r="H385" s="153" t="s">
        <v>7560</v>
      </c>
      <c r="I385" s="192" t="s">
        <v>149</v>
      </c>
      <c r="J385" s="192" t="s">
        <v>149</v>
      </c>
      <c r="K385" s="192" t="s">
        <v>149</v>
      </c>
      <c r="L385" s="153" t="s">
        <v>151</v>
      </c>
      <c r="M385" s="153" t="s">
        <v>362</v>
      </c>
      <c r="N385" s="158" t="s">
        <v>362</v>
      </c>
      <c r="O385" s="158" t="s">
        <v>149</v>
      </c>
      <c r="P385" s="158" t="s">
        <v>149</v>
      </c>
      <c r="Q385" s="158" t="s">
        <v>149</v>
      </c>
      <c r="R385" s="158" t="s">
        <v>149</v>
      </c>
      <c r="S385" s="158" t="s">
        <v>149</v>
      </c>
      <c r="T385" s="158" t="s">
        <v>149</v>
      </c>
      <c r="U385" s="158" t="s">
        <v>149</v>
      </c>
      <c r="V385" s="153" t="s">
        <v>3182</v>
      </c>
      <c r="W385" s="158" t="s">
        <v>149</v>
      </c>
      <c r="X385" s="158" t="s">
        <v>149</v>
      </c>
      <c r="Y385" s="153"/>
      <c r="Z385" s="153"/>
      <c r="AA385" s="153"/>
      <c r="AB385" s="158" t="s">
        <v>166</v>
      </c>
      <c r="AC385" s="153" t="s">
        <v>3183</v>
      </c>
      <c r="AD385" s="165" t="s">
        <v>3184</v>
      </c>
      <c r="AE385" s="153"/>
      <c r="AF385" s="153"/>
      <c r="AG385" s="153"/>
    </row>
    <row r="386" ht="15.75" customHeight="1">
      <c r="A386" s="238">
        <v>2025.0</v>
      </c>
      <c r="B386" s="230">
        <v>385.0</v>
      </c>
      <c r="C386" s="153" t="s">
        <v>7920</v>
      </c>
      <c r="D386" s="153" t="s">
        <v>1997</v>
      </c>
      <c r="E386" s="153" t="s">
        <v>7922</v>
      </c>
      <c r="F386" s="153" t="s">
        <v>1999</v>
      </c>
      <c r="G386" s="153" t="s">
        <v>2000</v>
      </c>
      <c r="H386" s="153" t="s">
        <v>7923</v>
      </c>
      <c r="I386" s="230">
        <v>2005.0</v>
      </c>
      <c r="J386" s="230">
        <v>2005.0</v>
      </c>
      <c r="K386" s="230">
        <v>2008.0</v>
      </c>
      <c r="L386" s="153" t="s">
        <v>151</v>
      </c>
      <c r="M386" s="153" t="s">
        <v>362</v>
      </c>
      <c r="N386" s="158" t="s">
        <v>362</v>
      </c>
      <c r="O386" s="158" t="s">
        <v>2002</v>
      </c>
      <c r="P386" s="158" t="s">
        <v>2003</v>
      </c>
      <c r="Q386" s="158" t="s">
        <v>6154</v>
      </c>
      <c r="R386" s="158" t="s">
        <v>184</v>
      </c>
      <c r="S386" s="158" t="s">
        <v>159</v>
      </c>
      <c r="T386" s="158" t="s">
        <v>149</v>
      </c>
      <c r="U386" s="158" t="s">
        <v>149</v>
      </c>
      <c r="V386" s="229" t="s">
        <v>149</v>
      </c>
      <c r="W386" s="153" t="s">
        <v>2004</v>
      </c>
      <c r="X386" s="153" t="s">
        <v>271</v>
      </c>
      <c r="Y386" s="153"/>
      <c r="Z386" s="153" t="s">
        <v>2005</v>
      </c>
      <c r="AA386" s="153"/>
      <c r="AB386" s="158" t="s">
        <v>166</v>
      </c>
      <c r="AC386" s="153" t="s">
        <v>2006</v>
      </c>
      <c r="AD386" s="172" t="s">
        <v>2007</v>
      </c>
      <c r="AE386" s="153" t="s">
        <v>2008</v>
      </c>
      <c r="AF386" s="165" t="s">
        <v>2009</v>
      </c>
      <c r="AG386" s="153"/>
    </row>
    <row r="387" ht="15.75" customHeight="1">
      <c r="A387" s="238">
        <v>2025.0</v>
      </c>
      <c r="B387" s="230">
        <v>386.0</v>
      </c>
      <c r="C387" s="153" t="s">
        <v>7920</v>
      </c>
      <c r="D387" s="153" t="s">
        <v>357</v>
      </c>
      <c r="E387" s="153" t="s">
        <v>2011</v>
      </c>
      <c r="F387" s="153" t="s">
        <v>2012</v>
      </c>
      <c r="G387" s="153" t="s">
        <v>2013</v>
      </c>
      <c r="H387" s="153" t="s">
        <v>7924</v>
      </c>
      <c r="I387" s="192">
        <v>1998.0</v>
      </c>
      <c r="J387" s="230">
        <v>1998.0</v>
      </c>
      <c r="K387" s="192" t="s">
        <v>149</v>
      </c>
      <c r="L387" s="153" t="s">
        <v>151</v>
      </c>
      <c r="M387" s="158" t="s">
        <v>149</v>
      </c>
      <c r="N387" s="158" t="s">
        <v>149</v>
      </c>
      <c r="O387" s="158" t="s">
        <v>2015</v>
      </c>
      <c r="P387" s="153" t="s">
        <v>2016</v>
      </c>
      <c r="Q387" s="158" t="s">
        <v>6154</v>
      </c>
      <c r="R387" s="158" t="s">
        <v>206</v>
      </c>
      <c r="S387" s="158" t="s">
        <v>159</v>
      </c>
      <c r="T387" s="158" t="s">
        <v>149</v>
      </c>
      <c r="U387" s="158" t="s">
        <v>149</v>
      </c>
      <c r="V387" s="158" t="s">
        <v>149</v>
      </c>
      <c r="W387" s="153" t="s">
        <v>2017</v>
      </c>
      <c r="X387" s="153" t="s">
        <v>306</v>
      </c>
      <c r="Y387" s="153"/>
      <c r="Z387" s="153"/>
      <c r="AA387" s="153"/>
      <c r="AB387" s="158" t="s">
        <v>6027</v>
      </c>
      <c r="AC387" s="153" t="s">
        <v>2018</v>
      </c>
      <c r="AD387" s="165" t="s">
        <v>2019</v>
      </c>
      <c r="AE387" s="153"/>
      <c r="AF387" s="153"/>
      <c r="AG387" s="153"/>
    </row>
    <row r="388" ht="15.75" customHeight="1">
      <c r="A388" s="238">
        <v>2025.0</v>
      </c>
      <c r="B388" s="230">
        <v>387.0</v>
      </c>
      <c r="C388" s="153" t="s">
        <v>7920</v>
      </c>
      <c r="D388" s="153" t="s">
        <v>357</v>
      </c>
      <c r="E388" s="153" t="s">
        <v>1689</v>
      </c>
      <c r="F388" s="153" t="s">
        <v>1690</v>
      </c>
      <c r="G388" s="158" t="s">
        <v>149</v>
      </c>
      <c r="H388" s="230">
        <v>2017.0</v>
      </c>
      <c r="I388" s="230">
        <v>2017.0</v>
      </c>
      <c r="J388" s="230">
        <v>2017.0</v>
      </c>
      <c r="K388" s="230">
        <v>2017.0</v>
      </c>
      <c r="L388" s="153" t="s">
        <v>6814</v>
      </c>
      <c r="M388" s="158" t="s">
        <v>320</v>
      </c>
      <c r="N388" s="158" t="s">
        <v>179</v>
      </c>
      <c r="O388" s="153" t="s">
        <v>3030</v>
      </c>
      <c r="P388" s="153" t="s">
        <v>1693</v>
      </c>
      <c r="Q388" s="158" t="s">
        <v>160</v>
      </c>
      <c r="R388" s="158" t="s">
        <v>209</v>
      </c>
      <c r="S388" s="158" t="s">
        <v>204</v>
      </c>
      <c r="T388" s="158" t="s">
        <v>149</v>
      </c>
      <c r="U388" s="158" t="s">
        <v>149</v>
      </c>
      <c r="V388" s="158" t="s">
        <v>149</v>
      </c>
      <c r="W388" s="153" t="s">
        <v>1693</v>
      </c>
      <c r="X388" s="158" t="s">
        <v>6068</v>
      </c>
      <c r="Y388" s="153"/>
      <c r="Z388" s="153"/>
      <c r="AA388" s="153"/>
      <c r="AB388" s="158" t="s">
        <v>7149</v>
      </c>
      <c r="AC388" s="153" t="s">
        <v>3031</v>
      </c>
      <c r="AD388" s="172" t="s">
        <v>7573</v>
      </c>
      <c r="AE388" s="153" t="s">
        <v>3033</v>
      </c>
      <c r="AF388" s="153"/>
      <c r="AG388" s="153"/>
    </row>
    <row r="389" ht="15.75" customHeight="1">
      <c r="A389" s="238">
        <v>2025.0</v>
      </c>
      <c r="B389" s="230">
        <v>388.0</v>
      </c>
      <c r="C389" s="153" t="s">
        <v>7920</v>
      </c>
      <c r="D389" s="153" t="s">
        <v>357</v>
      </c>
      <c r="E389" s="153" t="s">
        <v>1689</v>
      </c>
      <c r="F389" s="153" t="s">
        <v>1690</v>
      </c>
      <c r="G389" s="153" t="s">
        <v>1683</v>
      </c>
      <c r="H389" s="158" t="s">
        <v>1691</v>
      </c>
      <c r="I389" s="192">
        <v>2014.0</v>
      </c>
      <c r="J389" s="192">
        <v>2014.0</v>
      </c>
      <c r="K389" s="230">
        <v>2016.0</v>
      </c>
      <c r="L389" s="153" t="s">
        <v>6062</v>
      </c>
      <c r="M389" s="153" t="s">
        <v>320</v>
      </c>
      <c r="N389" s="158" t="s">
        <v>179</v>
      </c>
      <c r="O389" s="158" t="s">
        <v>149</v>
      </c>
      <c r="P389" s="153" t="s">
        <v>321</v>
      </c>
      <c r="Q389" s="158" t="s">
        <v>160</v>
      </c>
      <c r="R389" s="158" t="s">
        <v>6035</v>
      </c>
      <c r="S389" s="158" t="s">
        <v>159</v>
      </c>
      <c r="T389" s="158" t="s">
        <v>149</v>
      </c>
      <c r="U389" s="158" t="s">
        <v>149</v>
      </c>
      <c r="V389" s="153" t="s">
        <v>1692</v>
      </c>
      <c r="W389" s="153" t="s">
        <v>1693</v>
      </c>
      <c r="X389" s="158" t="s">
        <v>6068</v>
      </c>
      <c r="Y389" s="153" t="s">
        <v>7580</v>
      </c>
      <c r="Z389" s="153" t="s">
        <v>1695</v>
      </c>
      <c r="AA389" s="153"/>
      <c r="AB389" s="158" t="s">
        <v>6069</v>
      </c>
      <c r="AC389" s="153" t="s">
        <v>1300</v>
      </c>
      <c r="AD389" s="153" t="s">
        <v>7029</v>
      </c>
      <c r="AE389" s="153"/>
      <c r="AF389" s="153"/>
      <c r="AG389" s="153"/>
    </row>
    <row r="390" ht="15.75" customHeight="1">
      <c r="A390" s="238">
        <v>2025.0</v>
      </c>
      <c r="B390" s="230">
        <v>389.0</v>
      </c>
      <c r="C390" s="158" t="s">
        <v>7920</v>
      </c>
      <c r="D390" s="158" t="s">
        <v>357</v>
      </c>
      <c r="E390" s="158" t="s">
        <v>1689</v>
      </c>
      <c r="F390" s="158" t="s">
        <v>1690</v>
      </c>
      <c r="G390" s="158" t="s">
        <v>149</v>
      </c>
      <c r="H390" s="158" t="s">
        <v>1691</v>
      </c>
      <c r="I390" s="192">
        <v>2020.0</v>
      </c>
      <c r="J390" s="192" t="s">
        <v>149</v>
      </c>
      <c r="K390" s="192" t="s">
        <v>149</v>
      </c>
      <c r="L390" s="158" t="s">
        <v>6062</v>
      </c>
      <c r="M390" s="158" t="s">
        <v>3245</v>
      </c>
      <c r="N390" s="158" t="s">
        <v>179</v>
      </c>
      <c r="O390" s="158" t="s">
        <v>7582</v>
      </c>
      <c r="P390" s="158" t="s">
        <v>2317</v>
      </c>
      <c r="Q390" s="158" t="s">
        <v>160</v>
      </c>
      <c r="R390" s="158" t="s">
        <v>6035</v>
      </c>
      <c r="S390" s="158" t="s">
        <v>159</v>
      </c>
      <c r="T390" s="158" t="s">
        <v>149</v>
      </c>
      <c r="U390" s="158" t="s">
        <v>149</v>
      </c>
      <c r="V390" s="158" t="s">
        <v>7583</v>
      </c>
      <c r="W390" s="158" t="s">
        <v>2317</v>
      </c>
      <c r="X390" s="158" t="s">
        <v>6035</v>
      </c>
      <c r="Y390" s="158" t="s">
        <v>2319</v>
      </c>
      <c r="Z390" s="158"/>
      <c r="AA390" s="158"/>
      <c r="AB390" s="158" t="s">
        <v>166</v>
      </c>
      <c r="AC390" s="158" t="s">
        <v>2320</v>
      </c>
      <c r="AD390" s="177" t="s">
        <v>2321</v>
      </c>
      <c r="AE390" s="158"/>
      <c r="AF390" s="158"/>
      <c r="AG390" s="158"/>
    </row>
    <row r="391" ht="15.75" customHeight="1">
      <c r="A391" s="238">
        <v>2025.0</v>
      </c>
      <c r="B391" s="230">
        <v>390.0</v>
      </c>
      <c r="C391" s="153" t="s">
        <v>7920</v>
      </c>
      <c r="D391" s="153" t="s">
        <v>357</v>
      </c>
      <c r="E391" s="153" t="s">
        <v>3186</v>
      </c>
      <c r="F391" s="153" t="s">
        <v>3187</v>
      </c>
      <c r="G391" s="158" t="s">
        <v>149</v>
      </c>
      <c r="H391" s="158" t="s">
        <v>3188</v>
      </c>
      <c r="I391" s="192">
        <v>2012.0</v>
      </c>
      <c r="J391" s="158" t="s">
        <v>149</v>
      </c>
      <c r="K391" s="192" t="s">
        <v>149</v>
      </c>
      <c r="L391" s="158" t="s">
        <v>6814</v>
      </c>
      <c r="M391" s="158" t="s">
        <v>179</v>
      </c>
      <c r="N391" s="158" t="s">
        <v>3189</v>
      </c>
      <c r="O391" s="158" t="s">
        <v>149</v>
      </c>
      <c r="P391" s="158" t="s">
        <v>341</v>
      </c>
      <c r="Q391" s="158" t="s">
        <v>160</v>
      </c>
      <c r="R391" s="158" t="s">
        <v>6035</v>
      </c>
      <c r="S391" s="158" t="s">
        <v>159</v>
      </c>
      <c r="T391" s="158" t="s">
        <v>149</v>
      </c>
      <c r="U391" s="158" t="s">
        <v>149</v>
      </c>
      <c r="V391" s="158" t="s">
        <v>149</v>
      </c>
      <c r="W391" s="158" t="s">
        <v>341</v>
      </c>
      <c r="X391" s="158" t="s">
        <v>6035</v>
      </c>
      <c r="Y391" s="153"/>
      <c r="Z391" s="153"/>
      <c r="AA391" s="153"/>
      <c r="AB391" s="158" t="s">
        <v>3277</v>
      </c>
      <c r="AC391" s="158" t="s">
        <v>3190</v>
      </c>
      <c r="AD391" s="172" t="s">
        <v>3191</v>
      </c>
      <c r="AE391" s="153"/>
      <c r="AF391" s="153"/>
      <c r="AG391" s="153"/>
    </row>
    <row r="392" ht="15.75" customHeight="1">
      <c r="A392" s="238">
        <v>2025.0</v>
      </c>
      <c r="B392" s="230">
        <v>391.0</v>
      </c>
      <c r="C392" s="153" t="s">
        <v>7920</v>
      </c>
      <c r="D392" s="153" t="s">
        <v>357</v>
      </c>
      <c r="E392" s="153" t="s">
        <v>358</v>
      </c>
      <c r="F392" s="153" t="s">
        <v>359</v>
      </c>
      <c r="G392" s="153" t="s">
        <v>360</v>
      </c>
      <c r="H392" s="158"/>
      <c r="I392" s="230">
        <v>2009.0</v>
      </c>
      <c r="J392" s="230">
        <v>2009.0</v>
      </c>
      <c r="K392" s="192" t="s">
        <v>149</v>
      </c>
      <c r="L392" s="153" t="s">
        <v>151</v>
      </c>
      <c r="M392" s="158" t="s">
        <v>362</v>
      </c>
      <c r="N392" s="158" t="s">
        <v>362</v>
      </c>
      <c r="O392" s="158" t="s">
        <v>365</v>
      </c>
      <c r="P392" s="158" t="s">
        <v>366</v>
      </c>
      <c r="Q392" s="158" t="s">
        <v>160</v>
      </c>
      <c r="R392" s="158" t="s">
        <v>306</v>
      </c>
      <c r="S392" s="158" t="s">
        <v>159</v>
      </c>
      <c r="T392" s="158" t="s">
        <v>149</v>
      </c>
      <c r="U392" s="158" t="s">
        <v>149</v>
      </c>
      <c r="V392" s="158" t="s">
        <v>367</v>
      </c>
      <c r="W392" s="158" t="s">
        <v>368</v>
      </c>
      <c r="X392" s="158" t="s">
        <v>306</v>
      </c>
      <c r="Y392" s="158" t="s">
        <v>369</v>
      </c>
      <c r="Z392" s="158" t="s">
        <v>370</v>
      </c>
      <c r="AA392" s="153"/>
      <c r="AB392" s="158" t="s">
        <v>166</v>
      </c>
      <c r="AC392" s="153" t="s">
        <v>371</v>
      </c>
      <c r="AD392" s="165" t="s">
        <v>372</v>
      </c>
      <c r="AE392" s="153"/>
      <c r="AF392" s="153"/>
      <c r="AG392" s="153"/>
    </row>
    <row r="393" ht="15.75" customHeight="1">
      <c r="A393" s="238">
        <v>2025.0</v>
      </c>
      <c r="B393" s="230">
        <v>392.0</v>
      </c>
      <c r="C393" s="153" t="s">
        <v>7920</v>
      </c>
      <c r="D393" s="153" t="s">
        <v>357</v>
      </c>
      <c r="E393" s="153" t="s">
        <v>358</v>
      </c>
      <c r="F393" s="153" t="s">
        <v>359</v>
      </c>
      <c r="G393" s="158" t="s">
        <v>149</v>
      </c>
      <c r="H393" s="158" t="s">
        <v>7597</v>
      </c>
      <c r="I393" s="230">
        <v>2012.0</v>
      </c>
      <c r="J393" s="192" t="s">
        <v>149</v>
      </c>
      <c r="K393" s="192" t="s">
        <v>149</v>
      </c>
      <c r="L393" s="153" t="s">
        <v>151</v>
      </c>
      <c r="M393" s="153" t="s">
        <v>362</v>
      </c>
      <c r="N393" s="158" t="s">
        <v>362</v>
      </c>
      <c r="O393" s="158" t="s">
        <v>2348</v>
      </c>
      <c r="P393" s="153" t="s">
        <v>2349</v>
      </c>
      <c r="Q393" s="158" t="s">
        <v>6154</v>
      </c>
      <c r="R393" s="158" t="s">
        <v>306</v>
      </c>
      <c r="S393" s="158" t="s">
        <v>159</v>
      </c>
      <c r="T393" s="158" t="s">
        <v>149</v>
      </c>
      <c r="U393" s="158" t="s">
        <v>149</v>
      </c>
      <c r="V393" s="153" t="s">
        <v>2350</v>
      </c>
      <c r="W393" s="153" t="s">
        <v>368</v>
      </c>
      <c r="X393" s="153" t="s">
        <v>306</v>
      </c>
      <c r="Y393" s="153" t="s">
        <v>7593</v>
      </c>
      <c r="Z393" s="153" t="s">
        <v>2352</v>
      </c>
      <c r="AA393" s="153" t="s">
        <v>2353</v>
      </c>
      <c r="AB393" s="158" t="s">
        <v>166</v>
      </c>
      <c r="AC393" s="153" t="s">
        <v>7925</v>
      </c>
      <c r="AD393" s="153" t="s">
        <v>7926</v>
      </c>
      <c r="AE393" s="153"/>
      <c r="AF393" s="153"/>
      <c r="AG393" s="153"/>
    </row>
    <row r="394" ht="15.75" customHeight="1">
      <c r="A394" s="238">
        <v>2025.0</v>
      </c>
      <c r="B394" s="230">
        <v>393.0</v>
      </c>
      <c r="C394" s="153" t="s">
        <v>7920</v>
      </c>
      <c r="D394" s="153" t="s">
        <v>357</v>
      </c>
      <c r="E394" s="153" t="s">
        <v>375</v>
      </c>
      <c r="F394" s="153" t="s">
        <v>376</v>
      </c>
      <c r="G394" s="153" t="s">
        <v>360</v>
      </c>
      <c r="H394" s="158" t="s">
        <v>7603</v>
      </c>
      <c r="I394" s="230">
        <v>2015.0</v>
      </c>
      <c r="J394" s="192" t="s">
        <v>149</v>
      </c>
      <c r="K394" s="192" t="s">
        <v>149</v>
      </c>
      <c r="L394" s="153" t="s">
        <v>151</v>
      </c>
      <c r="M394" s="153" t="s">
        <v>362</v>
      </c>
      <c r="N394" s="158" t="s">
        <v>362</v>
      </c>
      <c r="O394" s="158" t="s">
        <v>149</v>
      </c>
      <c r="P394" s="158" t="s">
        <v>368</v>
      </c>
      <c r="Q394" s="158" t="s">
        <v>160</v>
      </c>
      <c r="R394" s="158" t="s">
        <v>306</v>
      </c>
      <c r="S394" s="158" t="s">
        <v>159</v>
      </c>
      <c r="T394" s="158" t="s">
        <v>149</v>
      </c>
      <c r="U394" s="158" t="s">
        <v>149</v>
      </c>
      <c r="V394" s="158" t="s">
        <v>7604</v>
      </c>
      <c r="W394" s="153" t="s">
        <v>368</v>
      </c>
      <c r="X394" s="153" t="s">
        <v>306</v>
      </c>
      <c r="Y394" s="153"/>
      <c r="Z394" s="153"/>
      <c r="AA394" s="153"/>
      <c r="AB394" s="158" t="s">
        <v>6027</v>
      </c>
      <c r="AC394" s="153" t="s">
        <v>7605</v>
      </c>
      <c r="AD394" s="172" t="s">
        <v>379</v>
      </c>
      <c r="AE394" s="153"/>
      <c r="AF394" s="153"/>
      <c r="AG394" s="153"/>
    </row>
    <row r="395" ht="15.75" customHeight="1">
      <c r="A395" s="238">
        <v>2025.0</v>
      </c>
      <c r="B395" s="230">
        <v>394.0</v>
      </c>
      <c r="C395" s="153" t="s">
        <v>7927</v>
      </c>
      <c r="D395" s="153" t="s">
        <v>649</v>
      </c>
      <c r="E395" s="153" t="s">
        <v>1172</v>
      </c>
      <c r="F395" s="153" t="s">
        <v>1969</v>
      </c>
      <c r="G395" s="158" t="s">
        <v>149</v>
      </c>
      <c r="H395" s="153" t="s">
        <v>1971</v>
      </c>
      <c r="I395" s="192" t="s">
        <v>149</v>
      </c>
      <c r="J395" s="192" t="s">
        <v>149</v>
      </c>
      <c r="K395" s="192" t="s">
        <v>149</v>
      </c>
      <c r="L395" s="153" t="s">
        <v>151</v>
      </c>
      <c r="M395" s="158" t="s">
        <v>149</v>
      </c>
      <c r="N395" s="158" t="s">
        <v>149</v>
      </c>
      <c r="O395" s="158" t="s">
        <v>2561</v>
      </c>
      <c r="P395" s="158" t="s">
        <v>149</v>
      </c>
      <c r="Q395" s="158" t="s">
        <v>149</v>
      </c>
      <c r="R395" s="158" t="s">
        <v>149</v>
      </c>
      <c r="S395" s="158" t="s">
        <v>149</v>
      </c>
      <c r="T395" s="158" t="s">
        <v>149</v>
      </c>
      <c r="U395" s="158" t="s">
        <v>149</v>
      </c>
      <c r="V395" s="153" t="s">
        <v>571</v>
      </c>
      <c r="W395" s="153" t="s">
        <v>390</v>
      </c>
      <c r="X395" s="153" t="s">
        <v>6035</v>
      </c>
      <c r="Y395" s="153"/>
      <c r="Z395" s="153"/>
      <c r="AA395" s="153"/>
      <c r="AB395" s="153" t="s">
        <v>6084</v>
      </c>
      <c r="AC395" s="153" t="s">
        <v>2562</v>
      </c>
      <c r="AD395" s="165" t="s">
        <v>2563</v>
      </c>
      <c r="AE395" s="153"/>
      <c r="AF395" s="153"/>
      <c r="AG395" s="153"/>
    </row>
    <row r="396" ht="15.75" customHeight="1">
      <c r="A396" s="238">
        <v>2025.0</v>
      </c>
      <c r="B396" s="230">
        <v>395.0</v>
      </c>
      <c r="C396" s="153" t="s">
        <v>7927</v>
      </c>
      <c r="D396" s="153" t="s">
        <v>649</v>
      </c>
      <c r="E396" s="153" t="s">
        <v>1172</v>
      </c>
      <c r="F396" s="153" t="s">
        <v>1969</v>
      </c>
      <c r="G396" s="158" t="s">
        <v>149</v>
      </c>
      <c r="H396" s="153" t="s">
        <v>1971</v>
      </c>
      <c r="I396" s="230">
        <v>2022.0</v>
      </c>
      <c r="J396" s="192" t="s">
        <v>149</v>
      </c>
      <c r="K396" s="192" t="s">
        <v>149</v>
      </c>
      <c r="L396" s="153" t="s">
        <v>151</v>
      </c>
      <c r="M396" s="158" t="s">
        <v>911</v>
      </c>
      <c r="N396" s="158" t="s">
        <v>911</v>
      </c>
      <c r="O396" s="158" t="s">
        <v>2497</v>
      </c>
      <c r="P396" s="158" t="s">
        <v>149</v>
      </c>
      <c r="Q396" s="158" t="s">
        <v>149</v>
      </c>
      <c r="R396" s="158" t="s">
        <v>149</v>
      </c>
      <c r="S396" s="158" t="s">
        <v>159</v>
      </c>
      <c r="T396" s="158" t="s">
        <v>149</v>
      </c>
      <c r="U396" s="158" t="s">
        <v>149</v>
      </c>
      <c r="V396" s="153" t="s">
        <v>2498</v>
      </c>
      <c r="W396" s="153" t="s">
        <v>2499</v>
      </c>
      <c r="X396" s="153" t="s">
        <v>6035</v>
      </c>
      <c r="Y396" s="153" t="s">
        <v>760</v>
      </c>
      <c r="Z396" s="153"/>
      <c r="AA396" s="153"/>
      <c r="AB396" s="153" t="s">
        <v>6038</v>
      </c>
      <c r="AC396" s="153" t="s">
        <v>2500</v>
      </c>
      <c r="AD396" s="165" t="s">
        <v>2501</v>
      </c>
      <c r="AE396" s="153"/>
      <c r="AF396" s="153"/>
      <c r="AG396" s="153"/>
    </row>
    <row r="397" ht="15.75" customHeight="1">
      <c r="A397" s="238">
        <v>2025.0</v>
      </c>
      <c r="B397" s="230">
        <v>396.0</v>
      </c>
      <c r="C397" s="158" t="s">
        <v>7927</v>
      </c>
      <c r="D397" s="158" t="s">
        <v>649</v>
      </c>
      <c r="E397" s="158" t="s">
        <v>1172</v>
      </c>
      <c r="F397" s="158" t="s">
        <v>1969</v>
      </c>
      <c r="G397" s="158" t="s">
        <v>1970</v>
      </c>
      <c r="H397" s="158" t="s">
        <v>1971</v>
      </c>
      <c r="I397" s="192">
        <v>2024.0</v>
      </c>
      <c r="J397" s="192" t="s">
        <v>149</v>
      </c>
      <c r="K397" s="192" t="s">
        <v>149</v>
      </c>
      <c r="L397" s="158" t="s">
        <v>151</v>
      </c>
      <c r="M397" s="158" t="s">
        <v>911</v>
      </c>
      <c r="N397" s="158" t="s">
        <v>911</v>
      </c>
      <c r="O397" s="158" t="s">
        <v>7614</v>
      </c>
      <c r="P397" s="158" t="s">
        <v>1973</v>
      </c>
      <c r="Q397" s="158" t="s">
        <v>160</v>
      </c>
      <c r="R397" s="158" t="s">
        <v>271</v>
      </c>
      <c r="S397" s="158" t="s">
        <v>159</v>
      </c>
      <c r="T397" s="158" t="s">
        <v>149</v>
      </c>
      <c r="U397" s="158" t="s">
        <v>149</v>
      </c>
      <c r="V397" s="158" t="s">
        <v>149</v>
      </c>
      <c r="W397" s="158" t="s">
        <v>1973</v>
      </c>
      <c r="X397" s="158" t="s">
        <v>271</v>
      </c>
      <c r="Y397" s="158" t="s">
        <v>7615</v>
      </c>
      <c r="Z397" s="158" t="s">
        <v>1975</v>
      </c>
      <c r="AA397" s="153"/>
      <c r="AB397" s="158" t="s">
        <v>6038</v>
      </c>
      <c r="AC397" s="158" t="s">
        <v>1976</v>
      </c>
      <c r="AD397" s="177" t="s">
        <v>1977</v>
      </c>
      <c r="AE397" s="153"/>
      <c r="AF397" s="153"/>
      <c r="AG397" s="153"/>
    </row>
    <row r="398" ht="15.75" customHeight="1">
      <c r="A398" s="238">
        <v>2025.0</v>
      </c>
      <c r="B398" s="230">
        <v>397.0</v>
      </c>
      <c r="C398" s="153" t="s">
        <v>7927</v>
      </c>
      <c r="D398" s="153" t="s">
        <v>649</v>
      </c>
      <c r="E398" s="153" t="s">
        <v>7612</v>
      </c>
      <c r="F398" s="153" t="s">
        <v>2740</v>
      </c>
      <c r="G398" s="158" t="s">
        <v>149</v>
      </c>
      <c r="H398" s="153" t="s">
        <v>2741</v>
      </c>
      <c r="I398" s="230">
        <v>2020.0</v>
      </c>
      <c r="J398" s="192" t="s">
        <v>149</v>
      </c>
      <c r="K398" s="192" t="s">
        <v>149</v>
      </c>
      <c r="L398" s="153" t="s">
        <v>151</v>
      </c>
      <c r="M398" s="158" t="s">
        <v>152</v>
      </c>
      <c r="N398" s="158" t="s">
        <v>152</v>
      </c>
      <c r="O398" s="158" t="s">
        <v>684</v>
      </c>
      <c r="P398" s="158" t="s">
        <v>2742</v>
      </c>
      <c r="Q398" s="158" t="s">
        <v>160</v>
      </c>
      <c r="R398" s="158" t="s">
        <v>6035</v>
      </c>
      <c r="S398" s="158" t="s">
        <v>159</v>
      </c>
      <c r="T398" s="158" t="s">
        <v>149</v>
      </c>
      <c r="U398" s="158" t="s">
        <v>149</v>
      </c>
      <c r="V398" s="153" t="s">
        <v>2273</v>
      </c>
      <c r="W398" s="158" t="s">
        <v>228</v>
      </c>
      <c r="X398" s="153" t="s">
        <v>6035</v>
      </c>
      <c r="Y398" s="158" t="s">
        <v>390</v>
      </c>
      <c r="Z398" s="158" t="s">
        <v>2743</v>
      </c>
      <c r="AA398" s="153"/>
      <c r="AB398" s="153" t="s">
        <v>6038</v>
      </c>
      <c r="AC398" s="153" t="s">
        <v>2744</v>
      </c>
      <c r="AD398" s="165" t="s">
        <v>2745</v>
      </c>
      <c r="AE398" s="153"/>
      <c r="AF398" s="153"/>
      <c r="AG398" s="153"/>
    </row>
    <row r="399" ht="15.75" customHeight="1">
      <c r="A399" s="238">
        <v>2025.0</v>
      </c>
      <c r="B399" s="230">
        <v>398.0</v>
      </c>
      <c r="C399" s="153" t="s">
        <v>7927</v>
      </c>
      <c r="D399" s="153" t="s">
        <v>649</v>
      </c>
      <c r="E399" s="153" t="s">
        <v>7928</v>
      </c>
      <c r="F399" s="153" t="s">
        <v>651</v>
      </c>
      <c r="G399" s="153" t="s">
        <v>652</v>
      </c>
      <c r="H399" s="153" t="s">
        <v>653</v>
      </c>
      <c r="I399" s="230">
        <v>1987.0</v>
      </c>
      <c r="J399" s="192" t="s">
        <v>149</v>
      </c>
      <c r="K399" s="192" t="s">
        <v>149</v>
      </c>
      <c r="L399" s="153" t="s">
        <v>151</v>
      </c>
      <c r="M399" s="153" t="s">
        <v>7626</v>
      </c>
      <c r="N399" s="158" t="s">
        <v>7626</v>
      </c>
      <c r="O399" s="158" t="s">
        <v>7627</v>
      </c>
      <c r="P399" s="158" t="s">
        <v>659</v>
      </c>
      <c r="Q399" s="158" t="s">
        <v>160</v>
      </c>
      <c r="R399" s="158" t="s">
        <v>6035</v>
      </c>
      <c r="S399" s="158" t="s">
        <v>159</v>
      </c>
      <c r="T399" s="158" t="s">
        <v>149</v>
      </c>
      <c r="U399" s="158" t="s">
        <v>149</v>
      </c>
      <c r="V399" s="158" t="s">
        <v>149</v>
      </c>
      <c r="W399" s="158" t="s">
        <v>661</v>
      </c>
      <c r="X399" s="158" t="s">
        <v>662</v>
      </c>
      <c r="Y399" s="158" t="s">
        <v>7628</v>
      </c>
      <c r="Z399" s="158"/>
      <c r="AA399" s="158"/>
      <c r="AB399" s="158" t="s">
        <v>6517</v>
      </c>
      <c r="AC399" s="153" t="s">
        <v>664</v>
      </c>
      <c r="AD399" s="172" t="s">
        <v>665</v>
      </c>
      <c r="AE399" s="153"/>
      <c r="AF399" s="153"/>
      <c r="AG399" s="153"/>
    </row>
    <row r="400" ht="15.75" customHeight="1">
      <c r="A400" s="238">
        <v>2025.0</v>
      </c>
      <c r="B400" s="230">
        <v>399.0</v>
      </c>
      <c r="C400" s="158" t="s">
        <v>7927</v>
      </c>
      <c r="D400" s="158" t="s">
        <v>649</v>
      </c>
      <c r="E400" s="158" t="s">
        <v>2503</v>
      </c>
      <c r="F400" s="158" t="s">
        <v>2504</v>
      </c>
      <c r="G400" s="158" t="s">
        <v>149</v>
      </c>
      <c r="H400" s="158" t="s">
        <v>7633</v>
      </c>
      <c r="I400" s="192">
        <v>2019.0</v>
      </c>
      <c r="J400" s="192" t="s">
        <v>149</v>
      </c>
      <c r="K400" s="192" t="s">
        <v>149</v>
      </c>
      <c r="L400" s="158" t="s">
        <v>151</v>
      </c>
      <c r="M400" s="158" t="s">
        <v>149</v>
      </c>
      <c r="N400" s="158" t="s">
        <v>149</v>
      </c>
      <c r="O400" s="158" t="s">
        <v>2506</v>
      </c>
      <c r="P400" s="158" t="s">
        <v>390</v>
      </c>
      <c r="Q400" s="158" t="s">
        <v>160</v>
      </c>
      <c r="R400" s="158" t="s">
        <v>6035</v>
      </c>
      <c r="S400" s="158" t="s">
        <v>159</v>
      </c>
      <c r="T400" s="158" t="s">
        <v>149</v>
      </c>
      <c r="U400" s="158" t="s">
        <v>149</v>
      </c>
      <c r="V400" s="158" t="s">
        <v>2507</v>
      </c>
      <c r="W400" s="158" t="s">
        <v>390</v>
      </c>
      <c r="X400" s="158" t="s">
        <v>6035</v>
      </c>
      <c r="Y400" s="158"/>
      <c r="Z400" s="158"/>
      <c r="AA400" s="158"/>
      <c r="AB400" s="158" t="s">
        <v>6084</v>
      </c>
      <c r="AC400" s="158" t="s">
        <v>2508</v>
      </c>
      <c r="AD400" s="172" t="s">
        <v>2509</v>
      </c>
      <c r="AE400" s="158"/>
      <c r="AF400" s="158"/>
      <c r="AG400" s="158"/>
    </row>
    <row r="401" ht="15.75" customHeight="1">
      <c r="A401" s="238">
        <v>2025.0</v>
      </c>
      <c r="B401" s="230">
        <v>400.0</v>
      </c>
      <c r="C401" s="153" t="s">
        <v>7927</v>
      </c>
      <c r="D401" s="153" t="s">
        <v>346</v>
      </c>
      <c r="E401" s="153" t="s">
        <v>2291</v>
      </c>
      <c r="F401" s="153" t="s">
        <v>2292</v>
      </c>
      <c r="G401" s="158" t="s">
        <v>149</v>
      </c>
      <c r="H401" s="158" t="s">
        <v>2293</v>
      </c>
      <c r="I401" s="192">
        <v>2019.0</v>
      </c>
      <c r="J401" s="192" t="s">
        <v>149</v>
      </c>
      <c r="K401" s="192" t="s">
        <v>149</v>
      </c>
      <c r="L401" s="158" t="s">
        <v>6062</v>
      </c>
      <c r="M401" s="158" t="s">
        <v>179</v>
      </c>
      <c r="N401" s="158" t="s">
        <v>179</v>
      </c>
      <c r="O401" s="158" t="s">
        <v>2294</v>
      </c>
      <c r="P401" s="158" t="s">
        <v>2295</v>
      </c>
      <c r="Q401" s="158" t="s">
        <v>160</v>
      </c>
      <c r="R401" s="158" t="s">
        <v>184</v>
      </c>
      <c r="S401" s="158" t="s">
        <v>159</v>
      </c>
      <c r="T401" s="158" t="s">
        <v>149</v>
      </c>
      <c r="U401" s="158" t="s">
        <v>149</v>
      </c>
      <c r="V401" s="158" t="s">
        <v>149</v>
      </c>
      <c r="W401" s="158" t="s">
        <v>2295</v>
      </c>
      <c r="X401" s="158" t="s">
        <v>184</v>
      </c>
      <c r="Y401" s="158"/>
      <c r="Z401" s="158" t="s">
        <v>2296</v>
      </c>
      <c r="AA401" s="158"/>
      <c r="AB401" s="158" t="s">
        <v>6027</v>
      </c>
      <c r="AC401" s="153" t="s">
        <v>2297</v>
      </c>
      <c r="AD401" s="172" t="s">
        <v>2298</v>
      </c>
      <c r="AE401" s="153"/>
      <c r="AF401" s="153"/>
      <c r="AG401" s="153"/>
    </row>
    <row r="402" ht="15.75" customHeight="1">
      <c r="A402" s="238">
        <v>2025.0</v>
      </c>
      <c r="B402" s="230">
        <v>401.0</v>
      </c>
      <c r="C402" s="153" t="s">
        <v>7927</v>
      </c>
      <c r="D402" s="153" t="s">
        <v>346</v>
      </c>
      <c r="E402" s="153" t="s">
        <v>3193</v>
      </c>
      <c r="F402" s="153" t="s">
        <v>3194</v>
      </c>
      <c r="G402" s="158" t="s">
        <v>149</v>
      </c>
      <c r="H402" s="153" t="s">
        <v>7640</v>
      </c>
      <c r="I402" s="192" t="s">
        <v>149</v>
      </c>
      <c r="J402" s="192" t="s">
        <v>149</v>
      </c>
      <c r="K402" s="192" t="s">
        <v>149</v>
      </c>
      <c r="L402" s="153" t="s">
        <v>151</v>
      </c>
      <c r="M402" s="158" t="s">
        <v>911</v>
      </c>
      <c r="N402" s="158" t="s">
        <v>911</v>
      </c>
      <c r="O402" s="158" t="s">
        <v>149</v>
      </c>
      <c r="P402" s="158" t="s">
        <v>149</v>
      </c>
      <c r="Q402" s="158" t="s">
        <v>149</v>
      </c>
      <c r="R402" s="158" t="s">
        <v>149</v>
      </c>
      <c r="S402" s="158" t="s">
        <v>149</v>
      </c>
      <c r="T402" s="158" t="s">
        <v>149</v>
      </c>
      <c r="U402" s="158" t="s">
        <v>149</v>
      </c>
      <c r="V402" s="158" t="s">
        <v>149</v>
      </c>
      <c r="W402" s="158" t="s">
        <v>149</v>
      </c>
      <c r="X402" s="158" t="s">
        <v>149</v>
      </c>
      <c r="Y402" s="153"/>
      <c r="Z402" s="153"/>
      <c r="AA402" s="153"/>
      <c r="AB402" s="158" t="s">
        <v>6027</v>
      </c>
      <c r="AC402" s="153" t="s">
        <v>3195</v>
      </c>
      <c r="AD402" s="165" t="s">
        <v>3196</v>
      </c>
      <c r="AE402" s="153"/>
      <c r="AF402" s="153"/>
      <c r="AG402" s="153"/>
    </row>
    <row r="403" ht="15.75" customHeight="1">
      <c r="A403" s="238">
        <v>2025.0</v>
      </c>
      <c r="B403" s="230">
        <v>402.0</v>
      </c>
      <c r="C403" s="153" t="s">
        <v>7927</v>
      </c>
      <c r="D403" s="153" t="s">
        <v>346</v>
      </c>
      <c r="E403" s="153" t="s">
        <v>3198</v>
      </c>
      <c r="F403" s="153" t="s">
        <v>3199</v>
      </c>
      <c r="G403" s="158" t="s">
        <v>149</v>
      </c>
      <c r="H403" s="153" t="s">
        <v>3200</v>
      </c>
      <c r="I403" s="230">
        <v>2020.0</v>
      </c>
      <c r="J403" s="192" t="s">
        <v>149</v>
      </c>
      <c r="K403" s="192" t="s">
        <v>149</v>
      </c>
      <c r="L403" s="153" t="s">
        <v>151</v>
      </c>
      <c r="M403" s="158" t="s">
        <v>149</v>
      </c>
      <c r="N403" s="158" t="s">
        <v>149</v>
      </c>
      <c r="O403" s="158" t="s">
        <v>149</v>
      </c>
      <c r="P403" s="158" t="s">
        <v>149</v>
      </c>
      <c r="Q403" s="158" t="s">
        <v>149</v>
      </c>
      <c r="R403" s="158" t="s">
        <v>149</v>
      </c>
      <c r="S403" s="158" t="s">
        <v>149</v>
      </c>
      <c r="T403" s="158" t="s">
        <v>149</v>
      </c>
      <c r="U403" s="158" t="s">
        <v>149</v>
      </c>
      <c r="V403" s="158" t="s">
        <v>571</v>
      </c>
      <c r="W403" s="158" t="s">
        <v>369</v>
      </c>
      <c r="X403" s="158" t="s">
        <v>6035</v>
      </c>
      <c r="Y403" s="158" t="s">
        <v>390</v>
      </c>
      <c r="Z403" s="153"/>
      <c r="AA403" s="153"/>
      <c r="AB403" s="153" t="s">
        <v>6084</v>
      </c>
      <c r="AC403" s="153" t="s">
        <v>3201</v>
      </c>
      <c r="AD403" s="165" t="s">
        <v>3202</v>
      </c>
      <c r="AE403" s="153"/>
      <c r="AF403" s="153"/>
      <c r="AG403" s="153"/>
    </row>
    <row r="404" ht="15.75" customHeight="1">
      <c r="A404" s="238">
        <v>2025.0</v>
      </c>
      <c r="B404" s="230">
        <v>403.0</v>
      </c>
      <c r="C404" s="153" t="s">
        <v>7927</v>
      </c>
      <c r="D404" s="153" t="s">
        <v>346</v>
      </c>
      <c r="E404" s="153" t="s">
        <v>7647</v>
      </c>
      <c r="F404" s="153" t="s">
        <v>348</v>
      </c>
      <c r="G404" s="153" t="s">
        <v>908</v>
      </c>
      <c r="H404" s="153" t="s">
        <v>7929</v>
      </c>
      <c r="I404" s="230">
        <v>2021.0</v>
      </c>
      <c r="J404" s="192" t="s">
        <v>149</v>
      </c>
      <c r="K404" s="192" t="s">
        <v>149</v>
      </c>
      <c r="L404" s="153" t="s">
        <v>151</v>
      </c>
      <c r="M404" s="158" t="s">
        <v>912</v>
      </c>
      <c r="N404" s="158" t="s">
        <v>912</v>
      </c>
      <c r="O404" s="158" t="s">
        <v>915</v>
      </c>
      <c r="P404" s="158" t="s">
        <v>916</v>
      </c>
      <c r="Q404" s="158" t="s">
        <v>160</v>
      </c>
      <c r="R404" s="158" t="s">
        <v>271</v>
      </c>
      <c r="S404" s="158" t="s">
        <v>159</v>
      </c>
      <c r="T404" s="158" t="s">
        <v>149</v>
      </c>
      <c r="U404" s="158" t="s">
        <v>149</v>
      </c>
      <c r="V404" s="153" t="s">
        <v>917</v>
      </c>
      <c r="W404" s="158" t="s">
        <v>916</v>
      </c>
      <c r="X404" s="158" t="s">
        <v>271</v>
      </c>
      <c r="Y404" s="158" t="s">
        <v>918</v>
      </c>
      <c r="Z404" s="153"/>
      <c r="AA404" s="153"/>
      <c r="AB404" s="158" t="s">
        <v>166</v>
      </c>
      <c r="AC404" s="153" t="s">
        <v>919</v>
      </c>
      <c r="AD404" s="153" t="s">
        <v>7654</v>
      </c>
      <c r="AE404" s="153"/>
      <c r="AF404" s="153"/>
      <c r="AG404" s="153"/>
    </row>
    <row r="405" ht="15.75" customHeight="1">
      <c r="A405" s="238">
        <v>2025.0</v>
      </c>
      <c r="B405" s="230">
        <v>404.0</v>
      </c>
      <c r="C405" s="153" t="s">
        <v>7927</v>
      </c>
      <c r="D405" s="153" t="s">
        <v>346</v>
      </c>
      <c r="E405" s="153" t="s">
        <v>7647</v>
      </c>
      <c r="F405" s="153" t="s">
        <v>348</v>
      </c>
      <c r="G405" s="153" t="s">
        <v>349</v>
      </c>
      <c r="H405" s="153" t="s">
        <v>350</v>
      </c>
      <c r="I405" s="230">
        <v>2018.0</v>
      </c>
      <c r="J405" s="192" t="s">
        <v>149</v>
      </c>
      <c r="K405" s="192" t="s">
        <v>149</v>
      </c>
      <c r="L405" s="153" t="s">
        <v>151</v>
      </c>
      <c r="M405" s="158" t="s">
        <v>152</v>
      </c>
      <c r="N405" s="158" t="s">
        <v>152</v>
      </c>
      <c r="O405" s="158" t="s">
        <v>6839</v>
      </c>
      <c r="P405" s="158" t="s">
        <v>149</v>
      </c>
      <c r="Q405" s="158" t="s">
        <v>149</v>
      </c>
      <c r="R405" s="158" t="s">
        <v>149</v>
      </c>
      <c r="S405" s="158" t="s">
        <v>159</v>
      </c>
      <c r="T405" s="158" t="s">
        <v>149</v>
      </c>
      <c r="U405" s="158" t="s">
        <v>149</v>
      </c>
      <c r="V405" s="158" t="s">
        <v>149</v>
      </c>
      <c r="W405" s="153" t="s">
        <v>228</v>
      </c>
      <c r="X405" s="153" t="s">
        <v>6035</v>
      </c>
      <c r="Y405" s="153"/>
      <c r="Z405" s="153"/>
      <c r="AA405" s="153"/>
      <c r="AB405" s="158" t="s">
        <v>166</v>
      </c>
      <c r="AC405" s="153" t="s">
        <v>353</v>
      </c>
      <c r="AD405" s="172" t="s">
        <v>354</v>
      </c>
      <c r="AE405" s="153"/>
      <c r="AF405" s="153"/>
      <c r="AG405" s="153"/>
    </row>
    <row r="406" ht="15.75" customHeight="1">
      <c r="A406" s="238">
        <v>2025.0</v>
      </c>
      <c r="B406" s="230">
        <v>405.0</v>
      </c>
      <c r="C406" s="153" t="s">
        <v>7927</v>
      </c>
      <c r="D406" s="153" t="s">
        <v>346</v>
      </c>
      <c r="E406" s="153" t="s">
        <v>2375</v>
      </c>
      <c r="F406" s="153" t="s">
        <v>2376</v>
      </c>
      <c r="G406" s="158" t="s">
        <v>149</v>
      </c>
      <c r="H406" s="158" t="s">
        <v>2377</v>
      </c>
      <c r="I406" s="192">
        <v>2015.0</v>
      </c>
      <c r="J406" s="192">
        <v>2015.0</v>
      </c>
      <c r="K406" s="192" t="s">
        <v>149</v>
      </c>
      <c r="L406" s="158" t="s">
        <v>6624</v>
      </c>
      <c r="M406" s="158" t="s">
        <v>2378</v>
      </c>
      <c r="N406" s="158" t="s">
        <v>2378</v>
      </c>
      <c r="O406" s="153" t="s">
        <v>2379</v>
      </c>
      <c r="P406" s="153" t="s">
        <v>2380</v>
      </c>
      <c r="Q406" s="158" t="s">
        <v>160</v>
      </c>
      <c r="R406" s="158" t="s">
        <v>184</v>
      </c>
      <c r="S406" s="158" t="s">
        <v>159</v>
      </c>
      <c r="T406" s="158" t="s">
        <v>149</v>
      </c>
      <c r="U406" s="158" t="s">
        <v>149</v>
      </c>
      <c r="V406" s="158" t="s">
        <v>7663</v>
      </c>
      <c r="W406" s="153" t="s">
        <v>2380</v>
      </c>
      <c r="X406" s="158" t="s">
        <v>184</v>
      </c>
      <c r="Y406" s="153"/>
      <c r="Z406" s="153" t="s">
        <v>2382</v>
      </c>
      <c r="AA406" s="153"/>
      <c r="AB406" s="158" t="s">
        <v>166</v>
      </c>
      <c r="AC406" s="153" t="s">
        <v>2383</v>
      </c>
      <c r="AD406" s="165" t="s">
        <v>2384</v>
      </c>
      <c r="AE406" s="153"/>
      <c r="AF406" s="153"/>
      <c r="AG406" s="153"/>
    </row>
    <row r="407" ht="15.75" customHeight="1">
      <c r="A407" s="238">
        <v>2025.0</v>
      </c>
      <c r="B407" s="230">
        <v>406.0</v>
      </c>
      <c r="C407" s="153" t="s">
        <v>7927</v>
      </c>
      <c r="D407" s="153" t="s">
        <v>3204</v>
      </c>
      <c r="E407" s="153" t="s">
        <v>3205</v>
      </c>
      <c r="F407" s="153" t="s">
        <v>3206</v>
      </c>
      <c r="G407" s="158" t="s">
        <v>149</v>
      </c>
      <c r="H407" s="153" t="s">
        <v>7668</v>
      </c>
      <c r="I407" s="192" t="s">
        <v>149</v>
      </c>
      <c r="J407" s="192" t="s">
        <v>149</v>
      </c>
      <c r="K407" s="192" t="s">
        <v>149</v>
      </c>
      <c r="L407" s="153" t="s">
        <v>151</v>
      </c>
      <c r="M407" s="158" t="s">
        <v>149</v>
      </c>
      <c r="N407" s="158" t="s">
        <v>149</v>
      </c>
      <c r="O407" s="158" t="s">
        <v>149</v>
      </c>
      <c r="P407" s="158" t="s">
        <v>149</v>
      </c>
      <c r="Q407" s="158" t="s">
        <v>149</v>
      </c>
      <c r="R407" s="158" t="s">
        <v>149</v>
      </c>
      <c r="S407" s="158" t="s">
        <v>149</v>
      </c>
      <c r="T407" s="158" t="s">
        <v>149</v>
      </c>
      <c r="U407" s="158" t="s">
        <v>149</v>
      </c>
      <c r="V407" s="158" t="s">
        <v>149</v>
      </c>
      <c r="W407" s="153" t="s">
        <v>3207</v>
      </c>
      <c r="X407" s="158" t="s">
        <v>662</v>
      </c>
      <c r="Y407" s="153"/>
      <c r="Z407" s="153"/>
      <c r="AA407" s="153"/>
      <c r="AB407" s="158" t="s">
        <v>7666</v>
      </c>
      <c r="AC407" s="153" t="s">
        <v>3208</v>
      </c>
      <c r="AD407" s="172" t="s">
        <v>3209</v>
      </c>
      <c r="AE407" s="153"/>
      <c r="AF407" s="153"/>
      <c r="AG407" s="153"/>
    </row>
    <row r="408" ht="15.75" customHeight="1">
      <c r="A408" s="238">
        <v>2025.0</v>
      </c>
      <c r="B408" s="230">
        <v>407.0</v>
      </c>
      <c r="C408" s="153" t="s">
        <v>7927</v>
      </c>
      <c r="D408" s="153" t="s">
        <v>1910</v>
      </c>
      <c r="E408" s="153" t="s">
        <v>1911</v>
      </c>
      <c r="F408" s="153" t="s">
        <v>1912</v>
      </c>
      <c r="G408" s="153" t="s">
        <v>1913</v>
      </c>
      <c r="H408" s="153"/>
      <c r="I408" s="230" t="s">
        <v>149</v>
      </c>
      <c r="J408" s="230" t="s">
        <v>149</v>
      </c>
      <c r="K408" s="230" t="s">
        <v>149</v>
      </c>
      <c r="L408" s="153" t="s">
        <v>151</v>
      </c>
      <c r="M408" s="158" t="s">
        <v>152</v>
      </c>
      <c r="N408" s="158" t="s">
        <v>152</v>
      </c>
      <c r="O408" s="158" t="s">
        <v>1914</v>
      </c>
      <c r="P408" s="153" t="s">
        <v>1915</v>
      </c>
      <c r="Q408" s="158" t="s">
        <v>160</v>
      </c>
      <c r="R408" s="158" t="s">
        <v>184</v>
      </c>
      <c r="S408" s="158" t="s">
        <v>159</v>
      </c>
      <c r="T408" s="158" t="s">
        <v>149</v>
      </c>
      <c r="U408" s="158" t="s">
        <v>149</v>
      </c>
      <c r="V408" s="158" t="s">
        <v>149</v>
      </c>
      <c r="W408" s="153" t="s">
        <v>1916</v>
      </c>
      <c r="X408" s="153" t="s">
        <v>184</v>
      </c>
      <c r="Y408" s="153"/>
      <c r="Z408" s="158" t="s">
        <v>1917</v>
      </c>
      <c r="AA408" s="158"/>
      <c r="AB408" s="158" t="s">
        <v>6027</v>
      </c>
      <c r="AC408" s="153" t="s">
        <v>1918</v>
      </c>
      <c r="AD408" s="172" t="s">
        <v>1919</v>
      </c>
      <c r="AE408" s="153"/>
      <c r="AF408" s="153"/>
      <c r="AG408" s="153"/>
    </row>
    <row r="409" ht="15.75" customHeight="1">
      <c r="A409" s="238">
        <v>2025.0</v>
      </c>
      <c r="B409" s="230">
        <v>408.0</v>
      </c>
      <c r="C409" s="153" t="s">
        <v>619</v>
      </c>
      <c r="D409" s="153" t="s">
        <v>620</v>
      </c>
      <c r="E409" s="153" t="s">
        <v>7930</v>
      </c>
      <c r="F409" s="153" t="s">
        <v>7674</v>
      </c>
      <c r="G409" s="153" t="s">
        <v>384</v>
      </c>
      <c r="H409" s="153" t="s">
        <v>7675</v>
      </c>
      <c r="I409" s="192">
        <v>1985.0</v>
      </c>
      <c r="J409" s="230">
        <v>1985.0</v>
      </c>
      <c r="K409" s="230">
        <v>1987.0</v>
      </c>
      <c r="L409" s="153" t="s">
        <v>151</v>
      </c>
      <c r="M409" s="153" t="s">
        <v>6054</v>
      </c>
      <c r="N409" s="158" t="s">
        <v>6054</v>
      </c>
      <c r="O409" s="158" t="s">
        <v>149</v>
      </c>
      <c r="P409" s="153" t="s">
        <v>390</v>
      </c>
      <c r="Q409" s="158" t="s">
        <v>160</v>
      </c>
      <c r="R409" s="158" t="s">
        <v>6035</v>
      </c>
      <c r="S409" s="158" t="s">
        <v>159</v>
      </c>
      <c r="T409" s="158" t="s">
        <v>149</v>
      </c>
      <c r="U409" s="158" t="s">
        <v>149</v>
      </c>
      <c r="V409" s="153" t="s">
        <v>2885</v>
      </c>
      <c r="W409" s="153" t="s">
        <v>390</v>
      </c>
      <c r="X409" s="153" t="s">
        <v>6035</v>
      </c>
      <c r="Y409" s="153" t="s">
        <v>6055</v>
      </c>
      <c r="Z409" s="153"/>
      <c r="AA409" s="153"/>
      <c r="AB409" s="158" t="s">
        <v>395</v>
      </c>
      <c r="AC409" s="153" t="s">
        <v>6060</v>
      </c>
      <c r="AD409" s="177" t="s">
        <v>541</v>
      </c>
      <c r="AE409" s="153" t="s">
        <v>398</v>
      </c>
      <c r="AF409" s="153"/>
      <c r="AG409" s="172" t="s">
        <v>6080</v>
      </c>
    </row>
    <row r="410" ht="15.75" customHeight="1">
      <c r="A410" s="238">
        <v>2025.0</v>
      </c>
      <c r="B410" s="230">
        <v>409.0</v>
      </c>
      <c r="C410" s="153" t="s">
        <v>619</v>
      </c>
      <c r="D410" s="153" t="s">
        <v>620</v>
      </c>
      <c r="E410" s="153" t="s">
        <v>7930</v>
      </c>
      <c r="F410" s="153" t="s">
        <v>7674</v>
      </c>
      <c r="G410" s="153" t="s">
        <v>384</v>
      </c>
      <c r="H410" s="153" t="s">
        <v>7680</v>
      </c>
      <c r="I410" s="230">
        <v>1985.0</v>
      </c>
      <c r="J410" s="230">
        <v>1985.0</v>
      </c>
      <c r="K410" s="230">
        <v>1987.0</v>
      </c>
      <c r="L410" s="153" t="s">
        <v>151</v>
      </c>
      <c r="M410" s="153" t="s">
        <v>6054</v>
      </c>
      <c r="N410" s="158" t="s">
        <v>6054</v>
      </c>
      <c r="O410" s="158" t="s">
        <v>149</v>
      </c>
      <c r="P410" s="153" t="s">
        <v>390</v>
      </c>
      <c r="Q410" s="158" t="s">
        <v>160</v>
      </c>
      <c r="R410" s="158" t="s">
        <v>6035</v>
      </c>
      <c r="S410" s="158" t="s">
        <v>159</v>
      </c>
      <c r="T410" s="158" t="s">
        <v>149</v>
      </c>
      <c r="U410" s="158" t="s">
        <v>149</v>
      </c>
      <c r="V410" s="153" t="s">
        <v>414</v>
      </c>
      <c r="W410" s="153" t="s">
        <v>390</v>
      </c>
      <c r="X410" s="153" t="s">
        <v>6035</v>
      </c>
      <c r="Y410" s="153" t="s">
        <v>6055</v>
      </c>
      <c r="Z410" s="153"/>
      <c r="AA410" s="153"/>
      <c r="AB410" s="158" t="s">
        <v>395</v>
      </c>
      <c r="AC410" s="153" t="s">
        <v>6060</v>
      </c>
      <c r="AD410" s="177" t="s">
        <v>541</v>
      </c>
      <c r="AE410" s="153" t="s">
        <v>398</v>
      </c>
      <c r="AF410" s="153"/>
      <c r="AG410" s="153"/>
    </row>
    <row r="411" ht="15.75" customHeight="1">
      <c r="A411" s="238">
        <v>2025.0</v>
      </c>
      <c r="B411" s="230">
        <v>410.0</v>
      </c>
      <c r="C411" s="153" t="s">
        <v>625</v>
      </c>
      <c r="D411" s="153" t="s">
        <v>626</v>
      </c>
      <c r="E411" s="153" t="s">
        <v>627</v>
      </c>
      <c r="F411" s="153" t="s">
        <v>7059</v>
      </c>
      <c r="G411" s="153" t="s">
        <v>384</v>
      </c>
      <c r="H411" s="153" t="s">
        <v>629</v>
      </c>
      <c r="I411" s="192">
        <v>1986.0</v>
      </c>
      <c r="J411" s="230">
        <v>1985.0</v>
      </c>
      <c r="K411" s="230">
        <v>1987.0</v>
      </c>
      <c r="L411" s="153" t="s">
        <v>151</v>
      </c>
      <c r="M411" s="153" t="s">
        <v>6054</v>
      </c>
      <c r="N411" s="158" t="s">
        <v>6054</v>
      </c>
      <c r="O411" s="158" t="s">
        <v>149</v>
      </c>
      <c r="P411" s="153" t="s">
        <v>390</v>
      </c>
      <c r="Q411" s="158" t="s">
        <v>160</v>
      </c>
      <c r="R411" s="158" t="s">
        <v>6035</v>
      </c>
      <c r="S411" s="158" t="s">
        <v>159</v>
      </c>
      <c r="T411" s="158" t="s">
        <v>149</v>
      </c>
      <c r="U411" s="158" t="s">
        <v>149</v>
      </c>
      <c r="V411" s="153" t="s">
        <v>391</v>
      </c>
      <c r="W411" s="153" t="s">
        <v>390</v>
      </c>
      <c r="X411" s="153" t="s">
        <v>6035</v>
      </c>
      <c r="Y411" s="153" t="s">
        <v>6055</v>
      </c>
      <c r="Z411" s="153"/>
      <c r="AA411" s="153"/>
      <c r="AB411" s="158" t="s">
        <v>395</v>
      </c>
      <c r="AC411" s="153" t="s">
        <v>6060</v>
      </c>
      <c r="AD411" s="177" t="s">
        <v>541</v>
      </c>
      <c r="AE411" s="153" t="s">
        <v>398</v>
      </c>
      <c r="AF411" s="153"/>
      <c r="AG411" s="153"/>
    </row>
    <row r="412" ht="15.75" customHeight="1">
      <c r="A412" s="238">
        <v>2025.0</v>
      </c>
      <c r="B412" s="230">
        <v>411.0</v>
      </c>
      <c r="C412" s="153" t="s">
        <v>625</v>
      </c>
      <c r="D412" s="153" t="s">
        <v>626</v>
      </c>
      <c r="E412" s="153" t="s">
        <v>983</v>
      </c>
      <c r="F412" s="153" t="s">
        <v>7063</v>
      </c>
      <c r="G412" s="158" t="s">
        <v>149</v>
      </c>
      <c r="H412" s="153" t="s">
        <v>2887</v>
      </c>
      <c r="I412" s="230">
        <v>1998.0</v>
      </c>
      <c r="J412" s="230">
        <v>1998.0</v>
      </c>
      <c r="K412" s="230">
        <v>1998.0</v>
      </c>
      <c r="L412" s="153" t="s">
        <v>151</v>
      </c>
      <c r="M412" s="153" t="s">
        <v>2889</v>
      </c>
      <c r="N412" s="158" t="s">
        <v>2889</v>
      </c>
      <c r="O412" s="153" t="s">
        <v>2890</v>
      </c>
      <c r="P412" s="158" t="s">
        <v>149</v>
      </c>
      <c r="Q412" s="158" t="s">
        <v>149</v>
      </c>
      <c r="R412" s="158" t="s">
        <v>149</v>
      </c>
      <c r="S412" s="158" t="s">
        <v>149</v>
      </c>
      <c r="T412" s="158" t="s">
        <v>149</v>
      </c>
      <c r="U412" s="158" t="s">
        <v>149</v>
      </c>
      <c r="V412" s="158" t="s">
        <v>149</v>
      </c>
      <c r="W412" s="158" t="s">
        <v>7685</v>
      </c>
      <c r="X412" s="153" t="s">
        <v>6068</v>
      </c>
      <c r="Y412" s="153"/>
      <c r="Z412" s="153" t="s">
        <v>7686</v>
      </c>
      <c r="AA412" s="153"/>
      <c r="AB412" s="158" t="s">
        <v>6214</v>
      </c>
      <c r="AC412" s="153" t="s">
        <v>2893</v>
      </c>
      <c r="AD412" s="165" t="s">
        <v>2894</v>
      </c>
      <c r="AE412" s="153"/>
      <c r="AF412" s="153"/>
      <c r="AG412" s="153"/>
    </row>
    <row r="413" ht="15.75" customHeight="1">
      <c r="A413" s="238">
        <v>2025.0</v>
      </c>
      <c r="B413" s="230">
        <v>412.0</v>
      </c>
      <c r="C413" s="153" t="s">
        <v>625</v>
      </c>
      <c r="D413" s="153" t="s">
        <v>626</v>
      </c>
      <c r="E413" s="153" t="s">
        <v>983</v>
      </c>
      <c r="F413" s="153" t="s">
        <v>7063</v>
      </c>
      <c r="G413" s="153" t="s">
        <v>934</v>
      </c>
      <c r="H413" s="153"/>
      <c r="I413" s="230">
        <v>2001.0</v>
      </c>
      <c r="J413" s="230">
        <v>2001.0</v>
      </c>
      <c r="K413" s="230">
        <v>2005.0</v>
      </c>
      <c r="L413" s="153" t="s">
        <v>6062</v>
      </c>
      <c r="M413" s="153" t="s">
        <v>3245</v>
      </c>
      <c r="N413" s="153" t="s">
        <v>179</v>
      </c>
      <c r="O413" s="153" t="s">
        <v>939</v>
      </c>
      <c r="P413" s="153" t="s">
        <v>940</v>
      </c>
      <c r="Q413" s="158" t="s">
        <v>6154</v>
      </c>
      <c r="R413" s="158" t="s">
        <v>206</v>
      </c>
      <c r="S413" s="158" t="s">
        <v>204</v>
      </c>
      <c r="T413" s="158" t="s">
        <v>149</v>
      </c>
      <c r="U413" s="158" t="s">
        <v>149</v>
      </c>
      <c r="V413" s="158" t="s">
        <v>149</v>
      </c>
      <c r="W413" s="153" t="s">
        <v>233</v>
      </c>
      <c r="X413" s="158" t="s">
        <v>6068</v>
      </c>
      <c r="Y413" s="153"/>
      <c r="Z413" s="153"/>
      <c r="AA413" s="153"/>
      <c r="AB413" s="158" t="s">
        <v>6214</v>
      </c>
      <c r="AC413" s="153" t="s">
        <v>941</v>
      </c>
      <c r="AD413" s="153" t="s">
        <v>942</v>
      </c>
      <c r="AE413" s="153" t="s">
        <v>943</v>
      </c>
      <c r="AF413" s="153"/>
      <c r="AG413" s="153"/>
    </row>
    <row r="414" ht="15.75" customHeight="1">
      <c r="A414" s="238">
        <v>2025.0</v>
      </c>
      <c r="B414" s="230">
        <v>413.0</v>
      </c>
      <c r="C414" s="153" t="s">
        <v>625</v>
      </c>
      <c r="D414" s="153" t="s">
        <v>626</v>
      </c>
      <c r="E414" s="153" t="s">
        <v>5445</v>
      </c>
      <c r="F414" s="153" t="s">
        <v>5446</v>
      </c>
      <c r="G414" s="153" t="s">
        <v>1659</v>
      </c>
      <c r="H414" s="153"/>
      <c r="I414" s="192" t="s">
        <v>149</v>
      </c>
      <c r="J414" s="230">
        <v>1990.0</v>
      </c>
      <c r="K414" s="230">
        <v>1992.0</v>
      </c>
      <c r="L414" s="153" t="s">
        <v>151</v>
      </c>
      <c r="M414" s="153" t="s">
        <v>7067</v>
      </c>
      <c r="N414" s="158" t="s">
        <v>7067</v>
      </c>
      <c r="O414" s="153" t="s">
        <v>1380</v>
      </c>
      <c r="P414" s="153" t="s">
        <v>1673</v>
      </c>
      <c r="Q414" s="158" t="s">
        <v>160</v>
      </c>
      <c r="R414" s="158" t="s">
        <v>6035</v>
      </c>
      <c r="S414" s="158" t="s">
        <v>159</v>
      </c>
      <c r="T414" s="158" t="s">
        <v>149</v>
      </c>
      <c r="U414" s="158" t="s">
        <v>149</v>
      </c>
      <c r="V414" s="158" t="s">
        <v>149</v>
      </c>
      <c r="W414" s="153" t="s">
        <v>1673</v>
      </c>
      <c r="X414" s="153" t="s">
        <v>6035</v>
      </c>
      <c r="Y414" s="153"/>
      <c r="Z414" s="153"/>
      <c r="AA414" s="153"/>
      <c r="AB414" s="158" t="s">
        <v>395</v>
      </c>
      <c r="AC414" s="153" t="s">
        <v>6060</v>
      </c>
      <c r="AD414" s="177" t="s">
        <v>541</v>
      </c>
      <c r="AE414" s="153" t="s">
        <v>398</v>
      </c>
      <c r="AF414" s="153"/>
      <c r="AG414" s="153"/>
    </row>
    <row r="415" ht="15.75" customHeight="1">
      <c r="A415" s="238">
        <v>2025.0</v>
      </c>
      <c r="B415" s="230">
        <v>414.0</v>
      </c>
      <c r="C415" s="153" t="s">
        <v>625</v>
      </c>
      <c r="D415" s="153" t="s">
        <v>632</v>
      </c>
      <c r="E415" s="153" t="s">
        <v>2678</v>
      </c>
      <c r="F415" s="153" t="s">
        <v>7155</v>
      </c>
      <c r="G415" s="158" t="s">
        <v>149</v>
      </c>
      <c r="H415" s="158" t="s">
        <v>2680</v>
      </c>
      <c r="I415" s="192" t="s">
        <v>149</v>
      </c>
      <c r="J415" s="192" t="s">
        <v>149</v>
      </c>
      <c r="K415" s="192" t="s">
        <v>149</v>
      </c>
      <c r="L415" s="153" t="s">
        <v>151</v>
      </c>
      <c r="M415" s="158" t="s">
        <v>7695</v>
      </c>
      <c r="N415" s="158" t="s">
        <v>7695</v>
      </c>
      <c r="O415" s="158" t="s">
        <v>149</v>
      </c>
      <c r="P415" s="158" t="s">
        <v>149</v>
      </c>
      <c r="Q415" s="158" t="s">
        <v>149</v>
      </c>
      <c r="R415" s="158" t="s">
        <v>149</v>
      </c>
      <c r="S415" s="158" t="s">
        <v>149</v>
      </c>
      <c r="T415" s="158" t="s">
        <v>149</v>
      </c>
      <c r="U415" s="158" t="s">
        <v>7696</v>
      </c>
      <c r="V415" s="158" t="s">
        <v>149</v>
      </c>
      <c r="W415" s="158" t="s">
        <v>149</v>
      </c>
      <c r="X415" s="158" t="s">
        <v>149</v>
      </c>
      <c r="Y415" s="153"/>
      <c r="Z415" s="153"/>
      <c r="AA415" s="153"/>
      <c r="AB415" s="158" t="s">
        <v>395</v>
      </c>
      <c r="AC415" s="153" t="s">
        <v>6060</v>
      </c>
      <c r="AD415" s="177" t="s">
        <v>541</v>
      </c>
      <c r="AE415" s="153" t="s">
        <v>398</v>
      </c>
      <c r="AF415" s="153"/>
      <c r="AG415" s="153"/>
    </row>
    <row r="416" ht="15.75" customHeight="1">
      <c r="A416" s="238">
        <v>2025.0</v>
      </c>
      <c r="B416" s="230">
        <v>415.0</v>
      </c>
      <c r="C416" s="153" t="s">
        <v>625</v>
      </c>
      <c r="D416" s="153" t="s">
        <v>632</v>
      </c>
      <c r="E416" s="153" t="s">
        <v>2193</v>
      </c>
      <c r="F416" s="153" t="s">
        <v>7699</v>
      </c>
      <c r="G416" s="153" t="s">
        <v>6587</v>
      </c>
      <c r="H416" s="153" t="s">
        <v>7700</v>
      </c>
      <c r="I416" s="158" t="s">
        <v>149</v>
      </c>
      <c r="J416" s="230">
        <v>2012.0</v>
      </c>
      <c r="K416" s="158" t="s">
        <v>149</v>
      </c>
      <c r="L416" s="153" t="s">
        <v>151</v>
      </c>
      <c r="M416" s="158" t="s">
        <v>149</v>
      </c>
      <c r="N416" s="158" t="s">
        <v>149</v>
      </c>
      <c r="O416" s="153" t="s">
        <v>7101</v>
      </c>
      <c r="P416" s="153" t="s">
        <v>341</v>
      </c>
      <c r="Q416" s="158" t="s">
        <v>160</v>
      </c>
      <c r="R416" s="158" t="s">
        <v>6035</v>
      </c>
      <c r="S416" s="158" t="s">
        <v>159</v>
      </c>
      <c r="T416" s="158" t="s">
        <v>149</v>
      </c>
      <c r="U416" s="158" t="s">
        <v>149</v>
      </c>
      <c r="V416" s="158" t="s">
        <v>149</v>
      </c>
      <c r="W416" s="153" t="s">
        <v>2160</v>
      </c>
      <c r="X416" s="153" t="s">
        <v>6035</v>
      </c>
      <c r="Y416" s="153"/>
      <c r="Z416" s="153"/>
      <c r="AA416" s="153"/>
      <c r="AB416" s="158" t="s">
        <v>166</v>
      </c>
      <c r="AC416" s="153" t="s">
        <v>2161</v>
      </c>
      <c r="AD416" s="172" t="s">
        <v>2162</v>
      </c>
      <c r="AE416" s="153"/>
      <c r="AF416" s="153"/>
      <c r="AG416" s="153"/>
    </row>
    <row r="417" ht="15.75" customHeight="1">
      <c r="A417" s="238">
        <v>2025.0</v>
      </c>
      <c r="B417" s="230">
        <v>416.0</v>
      </c>
      <c r="C417" s="153" t="s">
        <v>625</v>
      </c>
      <c r="D417" s="153" t="s">
        <v>632</v>
      </c>
      <c r="E417" s="153" t="s">
        <v>2687</v>
      </c>
      <c r="F417" s="153" t="s">
        <v>7160</v>
      </c>
      <c r="G417" s="158" t="s">
        <v>149</v>
      </c>
      <c r="H417" s="158" t="s">
        <v>2689</v>
      </c>
      <c r="I417" s="192" t="s">
        <v>149</v>
      </c>
      <c r="J417" s="192" t="s">
        <v>149</v>
      </c>
      <c r="K417" s="192" t="s">
        <v>149</v>
      </c>
      <c r="L417" s="153" t="s">
        <v>151</v>
      </c>
      <c r="M417" s="158" t="s">
        <v>7695</v>
      </c>
      <c r="N417" s="158" t="s">
        <v>7695</v>
      </c>
      <c r="O417" s="158" t="s">
        <v>149</v>
      </c>
      <c r="P417" s="158" t="s">
        <v>149</v>
      </c>
      <c r="Q417" s="158" t="s">
        <v>149</v>
      </c>
      <c r="R417" s="158" t="s">
        <v>149</v>
      </c>
      <c r="S417" s="158" t="s">
        <v>149</v>
      </c>
      <c r="T417" s="158" t="s">
        <v>149</v>
      </c>
      <c r="U417" s="153" t="s">
        <v>7161</v>
      </c>
      <c r="V417" s="158" t="s">
        <v>149</v>
      </c>
      <c r="W417" s="158" t="s">
        <v>149</v>
      </c>
      <c r="X417" s="158" t="s">
        <v>149</v>
      </c>
      <c r="Y417" s="153"/>
      <c r="Z417" s="153"/>
      <c r="AA417" s="153"/>
      <c r="AB417" s="158" t="s">
        <v>395</v>
      </c>
      <c r="AC417" s="153" t="s">
        <v>6060</v>
      </c>
      <c r="AD417" s="177" t="s">
        <v>541</v>
      </c>
      <c r="AE417" s="153" t="s">
        <v>398</v>
      </c>
      <c r="AF417" s="153"/>
      <c r="AG417" s="153"/>
    </row>
    <row r="418" ht="15.75" customHeight="1">
      <c r="A418" s="238">
        <v>2025.0</v>
      </c>
      <c r="B418" s="230">
        <v>417.0</v>
      </c>
      <c r="C418" s="153" t="s">
        <v>625</v>
      </c>
      <c r="D418" s="153" t="s">
        <v>632</v>
      </c>
      <c r="E418" s="153" t="s">
        <v>2687</v>
      </c>
      <c r="F418" s="153" t="s">
        <v>7160</v>
      </c>
      <c r="G418" s="158" t="s">
        <v>149</v>
      </c>
      <c r="H418" s="158" t="s">
        <v>7707</v>
      </c>
      <c r="I418" s="158" t="s">
        <v>149</v>
      </c>
      <c r="J418" s="158" t="s">
        <v>149</v>
      </c>
      <c r="K418" s="158" t="s">
        <v>149</v>
      </c>
      <c r="L418" s="153" t="s">
        <v>151</v>
      </c>
      <c r="M418" s="153" t="s">
        <v>3211</v>
      </c>
      <c r="N418" s="158" t="s">
        <v>3211</v>
      </c>
      <c r="O418" s="158" t="s">
        <v>149</v>
      </c>
      <c r="P418" s="153" t="s">
        <v>3212</v>
      </c>
      <c r="Q418" s="158" t="s">
        <v>160</v>
      </c>
      <c r="R418" s="158" t="s">
        <v>184</v>
      </c>
      <c r="S418" s="158" t="s">
        <v>159</v>
      </c>
      <c r="T418" s="158" t="s">
        <v>149</v>
      </c>
      <c r="U418" s="158" t="s">
        <v>149</v>
      </c>
      <c r="V418" s="158" t="s">
        <v>149</v>
      </c>
      <c r="W418" s="153" t="s">
        <v>3214</v>
      </c>
      <c r="X418" s="158" t="s">
        <v>184</v>
      </c>
      <c r="Y418" s="153"/>
      <c r="Z418" s="153"/>
      <c r="AA418" s="153"/>
      <c r="AB418" s="158" t="s">
        <v>6038</v>
      </c>
      <c r="AC418" s="153" t="s">
        <v>3215</v>
      </c>
      <c r="AD418" s="165" t="s">
        <v>3216</v>
      </c>
      <c r="AE418" s="153"/>
      <c r="AF418" s="153"/>
      <c r="AG418" s="153"/>
    </row>
    <row r="419" ht="15.75" customHeight="1">
      <c r="A419" s="238">
        <v>2025.0</v>
      </c>
      <c r="B419" s="230">
        <v>418.0</v>
      </c>
      <c r="C419" s="153" t="s">
        <v>625</v>
      </c>
      <c r="D419" s="153" t="s">
        <v>632</v>
      </c>
      <c r="E419" s="153" t="s">
        <v>2198</v>
      </c>
      <c r="F419" s="153" t="s">
        <v>7710</v>
      </c>
      <c r="G419" s="153" t="s">
        <v>6587</v>
      </c>
      <c r="H419" s="153" t="s">
        <v>7700</v>
      </c>
      <c r="I419" s="158" t="s">
        <v>149</v>
      </c>
      <c r="J419" s="230">
        <v>2012.0</v>
      </c>
      <c r="K419" s="158" t="s">
        <v>149</v>
      </c>
      <c r="L419" s="153" t="s">
        <v>151</v>
      </c>
      <c r="M419" s="158" t="s">
        <v>149</v>
      </c>
      <c r="N419" s="158" t="s">
        <v>149</v>
      </c>
      <c r="O419" s="153" t="s">
        <v>7101</v>
      </c>
      <c r="P419" s="153" t="s">
        <v>341</v>
      </c>
      <c r="Q419" s="158" t="s">
        <v>160</v>
      </c>
      <c r="R419" s="158" t="s">
        <v>6035</v>
      </c>
      <c r="S419" s="158" t="s">
        <v>159</v>
      </c>
      <c r="T419" s="158" t="s">
        <v>149</v>
      </c>
      <c r="U419" s="158" t="s">
        <v>149</v>
      </c>
      <c r="V419" s="158" t="s">
        <v>149</v>
      </c>
      <c r="W419" s="153" t="s">
        <v>2160</v>
      </c>
      <c r="X419" s="153" t="s">
        <v>6035</v>
      </c>
      <c r="Y419" s="153"/>
      <c r="Z419" s="153"/>
      <c r="AA419" s="153"/>
      <c r="AB419" s="158" t="s">
        <v>166</v>
      </c>
      <c r="AC419" s="153" t="s">
        <v>2161</v>
      </c>
      <c r="AD419" s="172" t="s">
        <v>2162</v>
      </c>
      <c r="AE419" s="153"/>
      <c r="AF419" s="153"/>
      <c r="AG419" s="153"/>
    </row>
    <row r="420" ht="15.75" customHeight="1">
      <c r="A420" s="238">
        <v>2025.0</v>
      </c>
      <c r="B420" s="230">
        <v>419.0</v>
      </c>
      <c r="C420" s="153" t="s">
        <v>625</v>
      </c>
      <c r="D420" s="153" t="s">
        <v>632</v>
      </c>
      <c r="E420" s="153" t="s">
        <v>847</v>
      </c>
      <c r="F420" s="153" t="s">
        <v>7167</v>
      </c>
      <c r="G420" s="158" t="s">
        <v>149</v>
      </c>
      <c r="H420" s="158" t="s">
        <v>2693</v>
      </c>
      <c r="I420" s="192" t="s">
        <v>149</v>
      </c>
      <c r="J420" s="192" t="s">
        <v>149</v>
      </c>
      <c r="K420" s="192" t="s">
        <v>149</v>
      </c>
      <c r="L420" s="153" t="s">
        <v>151</v>
      </c>
      <c r="M420" s="158" t="s">
        <v>7695</v>
      </c>
      <c r="N420" s="158" t="s">
        <v>7695</v>
      </c>
      <c r="O420" s="158" t="s">
        <v>149</v>
      </c>
      <c r="P420" s="158" t="s">
        <v>149</v>
      </c>
      <c r="Q420" s="158" t="s">
        <v>149</v>
      </c>
      <c r="R420" s="158" t="s">
        <v>149</v>
      </c>
      <c r="S420" s="158" t="s">
        <v>149</v>
      </c>
      <c r="T420" s="158" t="s">
        <v>149</v>
      </c>
      <c r="U420" s="153" t="s">
        <v>7168</v>
      </c>
      <c r="V420" s="158" t="s">
        <v>149</v>
      </c>
      <c r="W420" s="158" t="s">
        <v>149</v>
      </c>
      <c r="X420" s="158" t="s">
        <v>149</v>
      </c>
      <c r="Y420" s="153"/>
      <c r="Z420" s="153"/>
      <c r="AA420" s="153"/>
      <c r="AB420" s="158" t="s">
        <v>395</v>
      </c>
      <c r="AC420" s="153" t="s">
        <v>6060</v>
      </c>
      <c r="AD420" s="177" t="s">
        <v>541</v>
      </c>
      <c r="AE420" s="153" t="s">
        <v>398</v>
      </c>
      <c r="AF420" s="153"/>
      <c r="AG420" s="153"/>
    </row>
    <row r="421" ht="15.75" customHeight="1">
      <c r="A421" s="238">
        <v>2025.0</v>
      </c>
      <c r="B421" s="230">
        <v>420.0</v>
      </c>
      <c r="C421" s="153" t="s">
        <v>625</v>
      </c>
      <c r="D421" s="153" t="s">
        <v>632</v>
      </c>
      <c r="E421" s="153" t="s">
        <v>847</v>
      </c>
      <c r="F421" s="153" t="s">
        <v>7167</v>
      </c>
      <c r="G421" s="158" t="s">
        <v>1097</v>
      </c>
      <c r="H421" s="158" t="s">
        <v>1098</v>
      </c>
      <c r="I421" s="230">
        <v>2022.0</v>
      </c>
      <c r="J421" s="192" t="s">
        <v>149</v>
      </c>
      <c r="K421" s="192" t="s">
        <v>149</v>
      </c>
      <c r="L421" s="153" t="s">
        <v>6062</v>
      </c>
      <c r="M421" s="153" t="s">
        <v>1100</v>
      </c>
      <c r="N421" s="158" t="s">
        <v>7719</v>
      </c>
      <c r="O421" s="158" t="s">
        <v>7720</v>
      </c>
      <c r="P421" s="158" t="s">
        <v>1103</v>
      </c>
      <c r="Q421" s="158" t="s">
        <v>160</v>
      </c>
      <c r="R421" s="158" t="s">
        <v>184</v>
      </c>
      <c r="S421" s="158" t="s">
        <v>159</v>
      </c>
      <c r="T421" s="158" t="s">
        <v>149</v>
      </c>
      <c r="U421" s="158" t="s">
        <v>149</v>
      </c>
      <c r="V421" s="158" t="s">
        <v>149</v>
      </c>
      <c r="W421" s="153" t="s">
        <v>1103</v>
      </c>
      <c r="X421" s="158" t="s">
        <v>184</v>
      </c>
      <c r="Y421" s="153"/>
      <c r="Z421" s="153" t="s">
        <v>7931</v>
      </c>
      <c r="AA421" s="153"/>
      <c r="AB421" s="158" t="s">
        <v>6517</v>
      </c>
      <c r="AC421" s="153" t="s">
        <v>1105</v>
      </c>
      <c r="AD421" s="165" t="s">
        <v>7722</v>
      </c>
      <c r="AE421" s="153"/>
      <c r="AF421" s="153"/>
      <c r="AG421" s="153"/>
    </row>
    <row r="422" ht="15.75" customHeight="1">
      <c r="A422" s="238">
        <v>2025.0</v>
      </c>
      <c r="B422" s="230">
        <v>421.0</v>
      </c>
      <c r="C422" s="153" t="s">
        <v>625</v>
      </c>
      <c r="D422" s="153" t="s">
        <v>632</v>
      </c>
      <c r="E422" s="153" t="s">
        <v>847</v>
      </c>
      <c r="F422" s="153" t="s">
        <v>7167</v>
      </c>
      <c r="G422" s="158" t="s">
        <v>149</v>
      </c>
      <c r="H422" s="153" t="s">
        <v>7932</v>
      </c>
      <c r="I422" s="192">
        <v>2017.0</v>
      </c>
      <c r="J422" s="158" t="s">
        <v>149</v>
      </c>
      <c r="K422" s="158" t="s">
        <v>149</v>
      </c>
      <c r="L422" s="153" t="s">
        <v>151</v>
      </c>
      <c r="M422" s="153" t="s">
        <v>2630</v>
      </c>
      <c r="N422" s="158" t="s">
        <v>2630</v>
      </c>
      <c r="O422" s="158" t="s">
        <v>149</v>
      </c>
      <c r="P422" s="158" t="s">
        <v>3219</v>
      </c>
      <c r="Q422" s="158" t="s">
        <v>160</v>
      </c>
      <c r="R422" s="158" t="s">
        <v>184</v>
      </c>
      <c r="S422" s="158" t="s">
        <v>159</v>
      </c>
      <c r="T422" s="158" t="s">
        <v>149</v>
      </c>
      <c r="U422" s="158" t="s">
        <v>149</v>
      </c>
      <c r="V422" s="158" t="s">
        <v>7728</v>
      </c>
      <c r="W422" s="158" t="s">
        <v>3221</v>
      </c>
      <c r="X422" s="158" t="s">
        <v>184</v>
      </c>
      <c r="Y422" s="153"/>
      <c r="Z422" s="158"/>
      <c r="AA422" s="153"/>
      <c r="AB422" s="158" t="s">
        <v>6038</v>
      </c>
      <c r="AC422" s="153" t="s">
        <v>3215</v>
      </c>
      <c r="AD422" s="165" t="s">
        <v>3216</v>
      </c>
      <c r="AE422" s="153"/>
      <c r="AF422" s="153"/>
      <c r="AG422" s="153"/>
    </row>
    <row r="423" ht="15.75" customHeight="1">
      <c r="A423" s="238">
        <v>2025.0</v>
      </c>
      <c r="B423" s="230">
        <v>422.0</v>
      </c>
      <c r="C423" s="153" t="s">
        <v>625</v>
      </c>
      <c r="D423" s="153" t="s">
        <v>632</v>
      </c>
      <c r="E423" s="153" t="s">
        <v>7175</v>
      </c>
      <c r="F423" s="153" t="s">
        <v>7176</v>
      </c>
      <c r="G423" s="158" t="s">
        <v>149</v>
      </c>
      <c r="H423" s="158"/>
      <c r="I423" s="192" t="s">
        <v>149</v>
      </c>
      <c r="J423" s="192" t="s">
        <v>149</v>
      </c>
      <c r="K423" s="192" t="s">
        <v>149</v>
      </c>
      <c r="L423" s="153" t="s">
        <v>151</v>
      </c>
      <c r="M423" s="158" t="s">
        <v>361</v>
      </c>
      <c r="N423" s="158" t="s">
        <v>361</v>
      </c>
      <c r="O423" s="158" t="s">
        <v>2341</v>
      </c>
      <c r="P423" s="158" t="s">
        <v>2342</v>
      </c>
      <c r="Q423" s="158" t="s">
        <v>160</v>
      </c>
      <c r="R423" s="158" t="s">
        <v>184</v>
      </c>
      <c r="S423" s="158" t="s">
        <v>159</v>
      </c>
      <c r="T423" s="158" t="s">
        <v>149</v>
      </c>
      <c r="U423" s="158" t="s">
        <v>149</v>
      </c>
      <c r="V423" s="158" t="s">
        <v>149</v>
      </c>
      <c r="W423" s="153" t="s">
        <v>2343</v>
      </c>
      <c r="X423" s="153" t="s">
        <v>271</v>
      </c>
      <c r="Y423" s="153"/>
      <c r="Z423" s="153" t="s">
        <v>2342</v>
      </c>
      <c r="AA423" s="153"/>
      <c r="AB423" s="158" t="s">
        <v>166</v>
      </c>
      <c r="AC423" s="153" t="s">
        <v>2344</v>
      </c>
      <c r="AD423" s="165" t="s">
        <v>2345</v>
      </c>
      <c r="AE423" s="153"/>
      <c r="AF423" s="153"/>
      <c r="AG423" s="153"/>
    </row>
    <row r="424" ht="15.75" customHeight="1">
      <c r="A424" s="238">
        <v>2025.0</v>
      </c>
      <c r="B424" s="230">
        <v>423.0</v>
      </c>
      <c r="C424" s="153" t="s">
        <v>625</v>
      </c>
      <c r="D424" s="153" t="s">
        <v>632</v>
      </c>
      <c r="E424" s="153" t="s">
        <v>7175</v>
      </c>
      <c r="F424" s="153" t="s">
        <v>7176</v>
      </c>
      <c r="G424" s="158" t="s">
        <v>149</v>
      </c>
      <c r="H424" s="153" t="s">
        <v>3035</v>
      </c>
      <c r="I424" s="192" t="s">
        <v>149</v>
      </c>
      <c r="J424" s="230">
        <v>1977.0</v>
      </c>
      <c r="K424" s="230">
        <v>1978.0</v>
      </c>
      <c r="L424" s="153" t="s">
        <v>151</v>
      </c>
      <c r="M424" s="153" t="s">
        <v>6054</v>
      </c>
      <c r="N424" s="158" t="s">
        <v>6054</v>
      </c>
      <c r="O424" s="153" t="s">
        <v>699</v>
      </c>
      <c r="P424" s="158" t="s">
        <v>3037</v>
      </c>
      <c r="Q424" s="158" t="s">
        <v>160</v>
      </c>
      <c r="R424" s="158" t="s">
        <v>209</v>
      </c>
      <c r="S424" s="158" t="s">
        <v>204</v>
      </c>
      <c r="T424" s="158" t="s">
        <v>149</v>
      </c>
      <c r="U424" s="158" t="s">
        <v>149</v>
      </c>
      <c r="V424" s="153" t="s">
        <v>3036</v>
      </c>
      <c r="W424" s="153" t="s">
        <v>3037</v>
      </c>
      <c r="X424" s="158" t="s">
        <v>6068</v>
      </c>
      <c r="Y424" s="153" t="s">
        <v>3038</v>
      </c>
      <c r="Z424" s="153"/>
      <c r="AA424" s="153"/>
      <c r="AB424" s="158" t="s">
        <v>395</v>
      </c>
      <c r="AC424" s="153" t="s">
        <v>7733</v>
      </c>
      <c r="AD424" s="177" t="s">
        <v>541</v>
      </c>
      <c r="AE424" s="153" t="s">
        <v>398</v>
      </c>
      <c r="AF424" s="153"/>
      <c r="AG424" s="153"/>
    </row>
    <row r="425" ht="15.75" customHeight="1">
      <c r="A425" s="238">
        <v>2025.0</v>
      </c>
      <c r="B425" s="230">
        <v>424.0</v>
      </c>
      <c r="C425" s="153" t="s">
        <v>625</v>
      </c>
      <c r="D425" s="153" t="s">
        <v>632</v>
      </c>
      <c r="E425" s="153" t="s">
        <v>7175</v>
      </c>
      <c r="F425" s="153" t="s">
        <v>7176</v>
      </c>
      <c r="G425" s="153" t="s">
        <v>934</v>
      </c>
      <c r="H425" s="153"/>
      <c r="I425" s="230">
        <v>2001.0</v>
      </c>
      <c r="J425" s="230">
        <v>2001.0</v>
      </c>
      <c r="K425" s="230">
        <v>2005.0</v>
      </c>
      <c r="L425" s="153" t="s">
        <v>6062</v>
      </c>
      <c r="M425" s="153" t="s">
        <v>3245</v>
      </c>
      <c r="N425" s="158" t="s">
        <v>179</v>
      </c>
      <c r="O425" s="153" t="s">
        <v>939</v>
      </c>
      <c r="P425" s="153" t="s">
        <v>940</v>
      </c>
      <c r="Q425" s="158" t="s">
        <v>6154</v>
      </c>
      <c r="R425" s="158" t="s">
        <v>206</v>
      </c>
      <c r="S425" s="158" t="s">
        <v>204</v>
      </c>
      <c r="T425" s="158" t="s">
        <v>149</v>
      </c>
      <c r="U425" s="158" t="s">
        <v>149</v>
      </c>
      <c r="V425" s="158" t="s">
        <v>149</v>
      </c>
      <c r="W425" s="153" t="s">
        <v>233</v>
      </c>
      <c r="X425" s="158" t="s">
        <v>6068</v>
      </c>
      <c r="Y425" s="153"/>
      <c r="Z425" s="153"/>
      <c r="AA425" s="153"/>
      <c r="AB425" s="158" t="s">
        <v>6214</v>
      </c>
      <c r="AC425" s="153" t="s">
        <v>941</v>
      </c>
      <c r="AD425" s="172" t="s">
        <v>942</v>
      </c>
      <c r="AE425" s="153" t="s">
        <v>943</v>
      </c>
      <c r="AF425" s="153"/>
      <c r="AG425" s="153"/>
    </row>
    <row r="426" ht="15.75" customHeight="1">
      <c r="A426" s="238">
        <v>2025.0</v>
      </c>
      <c r="B426" s="230">
        <v>425.0</v>
      </c>
      <c r="C426" s="153" t="s">
        <v>625</v>
      </c>
      <c r="D426" s="153" t="s">
        <v>632</v>
      </c>
      <c r="E426" s="153" t="s">
        <v>2697</v>
      </c>
      <c r="F426" s="153" t="s">
        <v>7189</v>
      </c>
      <c r="G426" s="158" t="s">
        <v>149</v>
      </c>
      <c r="H426" s="158" t="s">
        <v>2699</v>
      </c>
      <c r="I426" s="192" t="s">
        <v>149</v>
      </c>
      <c r="J426" s="192" t="s">
        <v>149</v>
      </c>
      <c r="K426" s="192" t="s">
        <v>149</v>
      </c>
      <c r="L426" s="153" t="s">
        <v>151</v>
      </c>
      <c r="M426" s="158" t="s">
        <v>7695</v>
      </c>
      <c r="N426" s="158" t="s">
        <v>7695</v>
      </c>
      <c r="O426" s="158" t="s">
        <v>149</v>
      </c>
      <c r="P426" s="158" t="s">
        <v>149</v>
      </c>
      <c r="Q426" s="158" t="s">
        <v>149</v>
      </c>
      <c r="R426" s="158" t="s">
        <v>149</v>
      </c>
      <c r="S426" s="158" t="s">
        <v>149</v>
      </c>
      <c r="T426" s="158" t="s">
        <v>149</v>
      </c>
      <c r="U426" s="153" t="s">
        <v>7190</v>
      </c>
      <c r="V426" s="158" t="s">
        <v>149</v>
      </c>
      <c r="W426" s="158" t="s">
        <v>149</v>
      </c>
      <c r="X426" s="158" t="s">
        <v>149</v>
      </c>
      <c r="Y426" s="153"/>
      <c r="Z426" s="153"/>
      <c r="AA426" s="153"/>
      <c r="AB426" s="158" t="s">
        <v>395</v>
      </c>
      <c r="AC426" s="153" t="s">
        <v>6060</v>
      </c>
      <c r="AD426" s="177" t="s">
        <v>541</v>
      </c>
      <c r="AE426" s="153" t="s">
        <v>398</v>
      </c>
      <c r="AF426" s="153"/>
      <c r="AG426" s="153"/>
    </row>
    <row r="427" ht="15.75" customHeight="1">
      <c r="A427" s="238">
        <v>2025.0</v>
      </c>
      <c r="B427" s="230">
        <v>426.0</v>
      </c>
      <c r="C427" s="153" t="s">
        <v>625</v>
      </c>
      <c r="D427" s="153" t="s">
        <v>632</v>
      </c>
      <c r="E427" s="153" t="s">
        <v>2202</v>
      </c>
      <c r="F427" s="153" t="s">
        <v>7737</v>
      </c>
      <c r="G427" s="153" t="s">
        <v>6587</v>
      </c>
      <c r="H427" s="153" t="s">
        <v>7700</v>
      </c>
      <c r="I427" s="158" t="s">
        <v>149</v>
      </c>
      <c r="J427" s="230">
        <v>2012.0</v>
      </c>
      <c r="K427" s="158" t="s">
        <v>149</v>
      </c>
      <c r="L427" s="153" t="s">
        <v>151</v>
      </c>
      <c r="M427" s="158" t="s">
        <v>149</v>
      </c>
      <c r="N427" s="158" t="s">
        <v>149</v>
      </c>
      <c r="O427" s="153" t="s">
        <v>7101</v>
      </c>
      <c r="P427" s="153" t="s">
        <v>341</v>
      </c>
      <c r="Q427" s="158" t="s">
        <v>160</v>
      </c>
      <c r="R427" s="158" t="s">
        <v>6035</v>
      </c>
      <c r="S427" s="158" t="s">
        <v>159</v>
      </c>
      <c r="T427" s="158" t="s">
        <v>149</v>
      </c>
      <c r="U427" s="158" t="s">
        <v>149</v>
      </c>
      <c r="V427" s="158" t="s">
        <v>149</v>
      </c>
      <c r="W427" s="153" t="s">
        <v>2160</v>
      </c>
      <c r="X427" s="153" t="s">
        <v>6035</v>
      </c>
      <c r="Y427" s="153"/>
      <c r="Z427" s="153"/>
      <c r="AA427" s="153"/>
      <c r="AB427" s="158" t="s">
        <v>166</v>
      </c>
      <c r="AC427" s="153" t="s">
        <v>2161</v>
      </c>
      <c r="AD427" s="165" t="s">
        <v>2162</v>
      </c>
      <c r="AE427" s="153"/>
      <c r="AF427" s="153"/>
      <c r="AG427" s="153"/>
    </row>
    <row r="428" ht="15.75" customHeight="1">
      <c r="A428" s="238">
        <v>2025.0</v>
      </c>
      <c r="B428" s="230">
        <v>427.0</v>
      </c>
      <c r="C428" s="153" t="s">
        <v>625</v>
      </c>
      <c r="D428" s="153" t="s">
        <v>632</v>
      </c>
      <c r="E428" s="153" t="s">
        <v>1667</v>
      </c>
      <c r="F428" s="153" t="s">
        <v>7195</v>
      </c>
      <c r="G428" s="158" t="s">
        <v>149</v>
      </c>
      <c r="H428" s="158" t="s">
        <v>2704</v>
      </c>
      <c r="I428" s="192" t="s">
        <v>149</v>
      </c>
      <c r="J428" s="192" t="s">
        <v>149</v>
      </c>
      <c r="K428" s="192" t="s">
        <v>149</v>
      </c>
      <c r="L428" s="153" t="s">
        <v>151</v>
      </c>
      <c r="M428" s="158" t="s">
        <v>7695</v>
      </c>
      <c r="N428" s="158" t="s">
        <v>7695</v>
      </c>
      <c r="O428" s="158" t="s">
        <v>149</v>
      </c>
      <c r="P428" s="158" t="s">
        <v>149</v>
      </c>
      <c r="Q428" s="158" t="s">
        <v>149</v>
      </c>
      <c r="R428" s="158" t="s">
        <v>149</v>
      </c>
      <c r="S428" s="158" t="s">
        <v>149</v>
      </c>
      <c r="T428" s="158" t="s">
        <v>149</v>
      </c>
      <c r="U428" s="153" t="s">
        <v>7196</v>
      </c>
      <c r="V428" s="158" t="s">
        <v>149</v>
      </c>
      <c r="W428" s="158" t="s">
        <v>149</v>
      </c>
      <c r="X428" s="158" t="s">
        <v>149</v>
      </c>
      <c r="Y428" s="153"/>
      <c r="Z428" s="153"/>
      <c r="AA428" s="153"/>
      <c r="AB428" s="158" t="s">
        <v>395</v>
      </c>
      <c r="AC428" s="153" t="s">
        <v>6060</v>
      </c>
      <c r="AD428" s="177" t="s">
        <v>541</v>
      </c>
      <c r="AE428" s="153" t="s">
        <v>398</v>
      </c>
      <c r="AF428" s="153"/>
      <c r="AG428" s="153"/>
    </row>
    <row r="429" ht="15.75" customHeight="1">
      <c r="A429" s="238">
        <v>2025.0</v>
      </c>
      <c r="B429" s="230">
        <v>428.0</v>
      </c>
      <c r="C429" s="153" t="s">
        <v>625</v>
      </c>
      <c r="D429" s="153" t="s">
        <v>632</v>
      </c>
      <c r="E429" s="153" t="s">
        <v>633</v>
      </c>
      <c r="F429" s="153" t="s">
        <v>7200</v>
      </c>
      <c r="G429" s="153" t="s">
        <v>384</v>
      </c>
      <c r="H429" s="153" t="s">
        <v>635</v>
      </c>
      <c r="I429" s="230">
        <v>1986.0</v>
      </c>
      <c r="J429" s="230">
        <v>1985.0</v>
      </c>
      <c r="K429" s="230">
        <v>1987.0</v>
      </c>
      <c r="L429" s="153" t="s">
        <v>151</v>
      </c>
      <c r="M429" s="153" t="s">
        <v>6054</v>
      </c>
      <c r="N429" s="158" t="s">
        <v>6054</v>
      </c>
      <c r="O429" s="158" t="s">
        <v>149</v>
      </c>
      <c r="P429" s="153" t="s">
        <v>390</v>
      </c>
      <c r="Q429" s="158" t="s">
        <v>160</v>
      </c>
      <c r="R429" s="158" t="s">
        <v>6035</v>
      </c>
      <c r="S429" s="158" t="s">
        <v>159</v>
      </c>
      <c r="T429" s="158" t="s">
        <v>149</v>
      </c>
      <c r="U429" s="158" t="s">
        <v>149</v>
      </c>
      <c r="V429" s="153" t="s">
        <v>162</v>
      </c>
      <c r="W429" s="153" t="s">
        <v>390</v>
      </c>
      <c r="X429" s="153" t="s">
        <v>6035</v>
      </c>
      <c r="Y429" s="153" t="s">
        <v>6055</v>
      </c>
      <c r="Z429" s="153"/>
      <c r="AA429" s="153"/>
      <c r="AB429" s="158" t="s">
        <v>395</v>
      </c>
      <c r="AC429" s="153" t="s">
        <v>6060</v>
      </c>
      <c r="AD429" s="177" t="s">
        <v>541</v>
      </c>
      <c r="AE429" s="153" t="s">
        <v>398</v>
      </c>
      <c r="AF429" s="153"/>
      <c r="AG429" s="153"/>
    </row>
    <row r="430" ht="15.75" customHeight="1">
      <c r="A430" s="238">
        <v>2025.0</v>
      </c>
      <c r="B430" s="230">
        <v>429.0</v>
      </c>
      <c r="C430" s="153" t="s">
        <v>625</v>
      </c>
      <c r="D430" s="153" t="s">
        <v>632</v>
      </c>
      <c r="E430" s="153" t="s">
        <v>633</v>
      </c>
      <c r="F430" s="153" t="s">
        <v>7200</v>
      </c>
      <c r="G430" s="158" t="s">
        <v>149</v>
      </c>
      <c r="H430" s="158" t="s">
        <v>2708</v>
      </c>
      <c r="I430" s="192" t="s">
        <v>149</v>
      </c>
      <c r="J430" s="192" t="s">
        <v>149</v>
      </c>
      <c r="K430" s="192" t="s">
        <v>149</v>
      </c>
      <c r="L430" s="153" t="s">
        <v>151</v>
      </c>
      <c r="M430" s="158" t="s">
        <v>7695</v>
      </c>
      <c r="N430" s="158" t="s">
        <v>7695</v>
      </c>
      <c r="O430" s="158" t="s">
        <v>149</v>
      </c>
      <c r="P430" s="158" t="s">
        <v>149</v>
      </c>
      <c r="Q430" s="158" t="s">
        <v>149</v>
      </c>
      <c r="R430" s="158" t="s">
        <v>149</v>
      </c>
      <c r="S430" s="158" t="s">
        <v>149</v>
      </c>
      <c r="T430" s="158" t="s">
        <v>149</v>
      </c>
      <c r="U430" s="153" t="s">
        <v>7203</v>
      </c>
      <c r="V430" s="158" t="s">
        <v>149</v>
      </c>
      <c r="W430" s="158" t="s">
        <v>149</v>
      </c>
      <c r="X430" s="158" t="s">
        <v>149</v>
      </c>
      <c r="Y430" s="153"/>
      <c r="Z430" s="153"/>
      <c r="AA430" s="153"/>
      <c r="AB430" s="158" t="s">
        <v>395</v>
      </c>
      <c r="AC430" s="153" t="s">
        <v>6060</v>
      </c>
      <c r="AD430" s="172" t="s">
        <v>541</v>
      </c>
      <c r="AE430" s="153" t="s">
        <v>398</v>
      </c>
      <c r="AF430" s="153"/>
      <c r="AG430" s="153"/>
    </row>
    <row r="431" ht="15.75" customHeight="1">
      <c r="A431" s="238">
        <v>2025.0</v>
      </c>
      <c r="B431" s="230">
        <v>430.0</v>
      </c>
      <c r="C431" s="153" t="s">
        <v>625</v>
      </c>
      <c r="D431" s="153" t="s">
        <v>632</v>
      </c>
      <c r="E431" s="153" t="s">
        <v>2206</v>
      </c>
      <c r="F431" s="153" t="s">
        <v>7742</v>
      </c>
      <c r="G431" s="153" t="s">
        <v>6587</v>
      </c>
      <c r="H431" s="153" t="s">
        <v>7700</v>
      </c>
      <c r="I431" s="158" t="s">
        <v>149</v>
      </c>
      <c r="J431" s="230">
        <v>2012.0</v>
      </c>
      <c r="K431" s="158" t="s">
        <v>149</v>
      </c>
      <c r="L431" s="153" t="s">
        <v>151</v>
      </c>
      <c r="M431" s="158" t="s">
        <v>149</v>
      </c>
      <c r="N431" s="158" t="s">
        <v>149</v>
      </c>
      <c r="O431" s="153" t="s">
        <v>7101</v>
      </c>
      <c r="P431" s="153" t="s">
        <v>341</v>
      </c>
      <c r="Q431" s="158" t="s">
        <v>160</v>
      </c>
      <c r="R431" s="158" t="s">
        <v>6035</v>
      </c>
      <c r="S431" s="158" t="s">
        <v>159</v>
      </c>
      <c r="T431" s="158" t="s">
        <v>149</v>
      </c>
      <c r="U431" s="158" t="s">
        <v>149</v>
      </c>
      <c r="V431" s="158" t="s">
        <v>149</v>
      </c>
      <c r="W431" s="153" t="s">
        <v>2160</v>
      </c>
      <c r="X431" s="153" t="s">
        <v>6035</v>
      </c>
      <c r="Y431" s="153"/>
      <c r="Z431" s="153"/>
      <c r="AA431" s="153"/>
      <c r="AB431" s="158" t="s">
        <v>166</v>
      </c>
      <c r="AC431" s="153" t="s">
        <v>2161</v>
      </c>
      <c r="AD431" s="165" t="s">
        <v>2162</v>
      </c>
      <c r="AE431" s="153"/>
      <c r="AF431" s="153"/>
      <c r="AG431" s="153"/>
    </row>
    <row r="432" ht="15.75" customHeight="1">
      <c r="A432" s="238">
        <v>2025.0</v>
      </c>
      <c r="B432" s="230">
        <v>431.0</v>
      </c>
      <c r="C432" s="153" t="s">
        <v>625</v>
      </c>
      <c r="D432" s="153" t="s">
        <v>632</v>
      </c>
      <c r="E432" s="153" t="s">
        <v>637</v>
      </c>
      <c r="F432" s="153" t="s">
        <v>7206</v>
      </c>
      <c r="G432" s="153" t="s">
        <v>384</v>
      </c>
      <c r="H432" s="153" t="s">
        <v>639</v>
      </c>
      <c r="I432" s="230">
        <v>1986.0</v>
      </c>
      <c r="J432" s="230">
        <v>1985.0</v>
      </c>
      <c r="K432" s="230">
        <v>1987.0</v>
      </c>
      <c r="L432" s="153" t="s">
        <v>151</v>
      </c>
      <c r="M432" s="153" t="s">
        <v>6054</v>
      </c>
      <c r="N432" s="158" t="s">
        <v>6054</v>
      </c>
      <c r="O432" s="158" t="s">
        <v>149</v>
      </c>
      <c r="P432" s="153" t="s">
        <v>390</v>
      </c>
      <c r="Q432" s="158" t="s">
        <v>160</v>
      </c>
      <c r="R432" s="158" t="s">
        <v>6035</v>
      </c>
      <c r="S432" s="158" t="s">
        <v>159</v>
      </c>
      <c r="T432" s="158" t="s">
        <v>149</v>
      </c>
      <c r="U432" s="158" t="s">
        <v>149</v>
      </c>
      <c r="V432" s="153" t="s">
        <v>640</v>
      </c>
      <c r="W432" s="153" t="s">
        <v>390</v>
      </c>
      <c r="X432" s="153" t="s">
        <v>6035</v>
      </c>
      <c r="Y432" s="153" t="s">
        <v>6055</v>
      </c>
      <c r="Z432" s="153"/>
      <c r="AA432" s="153"/>
      <c r="AB432" s="158" t="s">
        <v>395</v>
      </c>
      <c r="AC432" s="153" t="s">
        <v>6060</v>
      </c>
      <c r="AD432" s="177" t="s">
        <v>541</v>
      </c>
      <c r="AE432" s="153" t="s">
        <v>398</v>
      </c>
      <c r="AF432" s="153"/>
      <c r="AG432" s="153"/>
    </row>
    <row r="433" ht="15.75" customHeight="1">
      <c r="A433" s="238">
        <v>2025.0</v>
      </c>
      <c r="B433" s="230">
        <v>432.0</v>
      </c>
      <c r="C433" s="153" t="s">
        <v>625</v>
      </c>
      <c r="D433" s="153" t="s">
        <v>632</v>
      </c>
      <c r="E433" s="153" t="s">
        <v>637</v>
      </c>
      <c r="F433" s="153" t="s">
        <v>7206</v>
      </c>
      <c r="G433" s="158" t="s">
        <v>149</v>
      </c>
      <c r="H433" s="158" t="s">
        <v>2712</v>
      </c>
      <c r="I433" s="192" t="s">
        <v>149</v>
      </c>
      <c r="J433" s="192" t="s">
        <v>149</v>
      </c>
      <c r="K433" s="192" t="s">
        <v>149</v>
      </c>
      <c r="L433" s="153" t="s">
        <v>151</v>
      </c>
      <c r="M433" s="158" t="s">
        <v>7695</v>
      </c>
      <c r="N433" s="158" t="s">
        <v>7695</v>
      </c>
      <c r="O433" s="158" t="s">
        <v>149</v>
      </c>
      <c r="P433" s="158" t="s">
        <v>149</v>
      </c>
      <c r="Q433" s="158" t="s">
        <v>149</v>
      </c>
      <c r="R433" s="158" t="s">
        <v>149</v>
      </c>
      <c r="S433" s="158" t="s">
        <v>149</v>
      </c>
      <c r="T433" s="158" t="s">
        <v>149</v>
      </c>
      <c r="U433" s="153" t="s">
        <v>7210</v>
      </c>
      <c r="V433" s="158" t="s">
        <v>149</v>
      </c>
      <c r="W433" s="158" t="s">
        <v>149</v>
      </c>
      <c r="X433" s="158" t="s">
        <v>149</v>
      </c>
      <c r="Y433" s="153"/>
      <c r="Z433" s="153"/>
      <c r="AA433" s="153"/>
      <c r="AB433" s="158" t="s">
        <v>395</v>
      </c>
      <c r="AC433" s="153" t="s">
        <v>6060</v>
      </c>
      <c r="AD433" s="158" t="s">
        <v>541</v>
      </c>
      <c r="AE433" s="153" t="s">
        <v>398</v>
      </c>
      <c r="AF433" s="153"/>
      <c r="AG433" s="153"/>
    </row>
    <row r="434" ht="15.75" customHeight="1">
      <c r="A434" s="238">
        <v>2025.0</v>
      </c>
      <c r="B434" s="230">
        <v>433.0</v>
      </c>
      <c r="C434" s="153" t="s">
        <v>625</v>
      </c>
      <c r="D434" s="153" t="s">
        <v>632</v>
      </c>
      <c r="E434" s="153" t="s">
        <v>637</v>
      </c>
      <c r="F434" s="153" t="s">
        <v>7206</v>
      </c>
      <c r="G434" s="158" t="s">
        <v>149</v>
      </c>
      <c r="H434" s="158" t="s">
        <v>2716</v>
      </c>
      <c r="I434" s="192" t="s">
        <v>149</v>
      </c>
      <c r="J434" s="192" t="s">
        <v>149</v>
      </c>
      <c r="K434" s="192" t="s">
        <v>149</v>
      </c>
      <c r="L434" s="153" t="s">
        <v>151</v>
      </c>
      <c r="M434" s="158" t="s">
        <v>7695</v>
      </c>
      <c r="N434" s="158" t="s">
        <v>7695</v>
      </c>
      <c r="O434" s="158" t="s">
        <v>149</v>
      </c>
      <c r="P434" s="158" t="s">
        <v>149</v>
      </c>
      <c r="Q434" s="158" t="s">
        <v>149</v>
      </c>
      <c r="R434" s="158" t="s">
        <v>149</v>
      </c>
      <c r="S434" s="158" t="s">
        <v>149</v>
      </c>
      <c r="T434" s="158" t="s">
        <v>149</v>
      </c>
      <c r="U434" s="153" t="s">
        <v>7190</v>
      </c>
      <c r="V434" s="158" t="s">
        <v>149</v>
      </c>
      <c r="W434" s="158" t="s">
        <v>149</v>
      </c>
      <c r="X434" s="158" t="s">
        <v>149</v>
      </c>
      <c r="Y434" s="153"/>
      <c r="Z434" s="153"/>
      <c r="AA434" s="153"/>
      <c r="AB434" s="158" t="s">
        <v>395</v>
      </c>
      <c r="AC434" s="153" t="s">
        <v>6060</v>
      </c>
      <c r="AD434" s="158" t="s">
        <v>541</v>
      </c>
      <c r="AE434" s="153" t="s">
        <v>398</v>
      </c>
      <c r="AF434" s="153"/>
      <c r="AG434" s="153"/>
    </row>
    <row r="435" ht="15.75" customHeight="1">
      <c r="A435" s="238">
        <v>2025.0</v>
      </c>
      <c r="B435" s="230">
        <v>434.0</v>
      </c>
      <c r="C435" s="153" t="s">
        <v>625</v>
      </c>
      <c r="D435" s="153" t="s">
        <v>632</v>
      </c>
      <c r="E435" s="153" t="s">
        <v>637</v>
      </c>
      <c r="F435" s="153" t="s">
        <v>7206</v>
      </c>
      <c r="G435" s="158" t="s">
        <v>149</v>
      </c>
      <c r="H435" s="158" t="s">
        <v>2719</v>
      </c>
      <c r="I435" s="192" t="s">
        <v>149</v>
      </c>
      <c r="J435" s="192" t="s">
        <v>149</v>
      </c>
      <c r="K435" s="192" t="s">
        <v>149</v>
      </c>
      <c r="L435" s="153" t="s">
        <v>151</v>
      </c>
      <c r="M435" s="158" t="s">
        <v>7695</v>
      </c>
      <c r="N435" s="158" t="s">
        <v>7695</v>
      </c>
      <c r="O435" s="158" t="s">
        <v>149</v>
      </c>
      <c r="P435" s="158" t="s">
        <v>149</v>
      </c>
      <c r="Q435" s="158" t="s">
        <v>149</v>
      </c>
      <c r="R435" s="158" t="s">
        <v>149</v>
      </c>
      <c r="S435" s="158" t="s">
        <v>149</v>
      </c>
      <c r="T435" s="158" t="s">
        <v>149</v>
      </c>
      <c r="U435" s="153" t="s">
        <v>7745</v>
      </c>
      <c r="V435" s="158" t="s">
        <v>149</v>
      </c>
      <c r="W435" s="158" t="s">
        <v>149</v>
      </c>
      <c r="X435" s="158" t="s">
        <v>149</v>
      </c>
      <c r="Y435" s="153"/>
      <c r="Z435" s="153"/>
      <c r="AA435" s="153"/>
      <c r="AB435" s="158" t="s">
        <v>395</v>
      </c>
      <c r="AC435" s="153" t="s">
        <v>6060</v>
      </c>
      <c r="AD435" s="177" t="s">
        <v>541</v>
      </c>
      <c r="AE435" s="153" t="s">
        <v>398</v>
      </c>
      <c r="AF435" s="153"/>
      <c r="AG435" s="153"/>
    </row>
    <row r="436" ht="15.75" customHeight="1">
      <c r="A436" s="238">
        <v>2025.0</v>
      </c>
      <c r="B436" s="230">
        <v>435.0</v>
      </c>
      <c r="C436" s="153" t="s">
        <v>625</v>
      </c>
      <c r="D436" s="153" t="s">
        <v>632</v>
      </c>
      <c r="E436" s="153" t="s">
        <v>637</v>
      </c>
      <c r="F436" s="153" t="s">
        <v>7206</v>
      </c>
      <c r="G436" s="153" t="s">
        <v>756</v>
      </c>
      <c r="H436" s="153" t="s">
        <v>757</v>
      </c>
      <c r="I436" s="230">
        <v>2016.0</v>
      </c>
      <c r="J436" s="192">
        <v>2016.0</v>
      </c>
      <c r="K436" s="192" t="s">
        <v>149</v>
      </c>
      <c r="L436" s="153" t="s">
        <v>151</v>
      </c>
      <c r="M436" s="153" t="s">
        <v>7747</v>
      </c>
      <c r="N436" s="158" t="s">
        <v>7747</v>
      </c>
      <c r="O436" s="153" t="s">
        <v>759</v>
      </c>
      <c r="P436" s="153" t="s">
        <v>760</v>
      </c>
      <c r="Q436" s="158" t="s">
        <v>160</v>
      </c>
      <c r="R436" s="158" t="s">
        <v>6035</v>
      </c>
      <c r="S436" s="158" t="s">
        <v>159</v>
      </c>
      <c r="T436" s="158" t="s">
        <v>149</v>
      </c>
      <c r="U436" s="158" t="s">
        <v>149</v>
      </c>
      <c r="V436" s="153" t="s">
        <v>7748</v>
      </c>
      <c r="W436" s="153" t="s">
        <v>7749</v>
      </c>
      <c r="X436" s="153" t="s">
        <v>6035</v>
      </c>
      <c r="Y436" s="158" t="s">
        <v>764</v>
      </c>
      <c r="Z436" s="153" t="s">
        <v>765</v>
      </c>
      <c r="AA436" s="153"/>
      <c r="AB436" s="158" t="s">
        <v>166</v>
      </c>
      <c r="AC436" s="153" t="s">
        <v>766</v>
      </c>
      <c r="AD436" s="172" t="s">
        <v>767</v>
      </c>
      <c r="AE436" s="153"/>
      <c r="AF436" s="153"/>
      <c r="AG436" s="153"/>
    </row>
    <row r="437" ht="15.75" customHeight="1">
      <c r="A437" s="238">
        <v>2025.0</v>
      </c>
      <c r="B437" s="230">
        <v>436.0</v>
      </c>
      <c r="C437" s="153" t="s">
        <v>625</v>
      </c>
      <c r="D437" s="153" t="s">
        <v>826</v>
      </c>
      <c r="E437" s="153" t="s">
        <v>2210</v>
      </c>
      <c r="F437" s="153" t="s">
        <v>2211</v>
      </c>
      <c r="G437" s="153" t="s">
        <v>6587</v>
      </c>
      <c r="H437" s="153" t="s">
        <v>7100</v>
      </c>
      <c r="I437" s="158" t="s">
        <v>149</v>
      </c>
      <c r="J437" s="230">
        <v>2012.0</v>
      </c>
      <c r="K437" s="158" t="s">
        <v>149</v>
      </c>
      <c r="L437" s="153" t="s">
        <v>151</v>
      </c>
      <c r="M437" s="158" t="s">
        <v>149</v>
      </c>
      <c r="N437" s="158" t="s">
        <v>149</v>
      </c>
      <c r="O437" s="153" t="s">
        <v>7101</v>
      </c>
      <c r="P437" s="153" t="s">
        <v>341</v>
      </c>
      <c r="Q437" s="158" t="s">
        <v>160</v>
      </c>
      <c r="R437" s="158" t="s">
        <v>6035</v>
      </c>
      <c r="S437" s="158" t="s">
        <v>159</v>
      </c>
      <c r="T437" s="158" t="s">
        <v>149</v>
      </c>
      <c r="U437" s="158" t="s">
        <v>149</v>
      </c>
      <c r="V437" s="158" t="s">
        <v>149</v>
      </c>
      <c r="W437" s="153" t="s">
        <v>2160</v>
      </c>
      <c r="X437" s="153" t="s">
        <v>6035</v>
      </c>
      <c r="Y437" s="153"/>
      <c r="Z437" s="153"/>
      <c r="AA437" s="153"/>
      <c r="AB437" s="158" t="s">
        <v>166</v>
      </c>
      <c r="AC437" s="153" t="s">
        <v>2161</v>
      </c>
      <c r="AD437" s="165" t="s">
        <v>2162</v>
      </c>
      <c r="AE437" s="153"/>
      <c r="AF437" s="153"/>
      <c r="AG437" s="153"/>
    </row>
    <row r="438" ht="15.75" customHeight="1">
      <c r="A438" s="238">
        <v>2025.0</v>
      </c>
      <c r="B438" s="230">
        <v>437.0</v>
      </c>
      <c r="C438" s="153" t="s">
        <v>625</v>
      </c>
      <c r="D438" s="153" t="s">
        <v>826</v>
      </c>
      <c r="E438" s="153" t="s">
        <v>827</v>
      </c>
      <c r="F438" s="153" t="s">
        <v>828</v>
      </c>
      <c r="G438" s="153" t="s">
        <v>6587</v>
      </c>
      <c r="H438" s="153" t="s">
        <v>7752</v>
      </c>
      <c r="I438" s="158" t="s">
        <v>149</v>
      </c>
      <c r="J438" s="230">
        <v>2012.0</v>
      </c>
      <c r="K438" s="158" t="s">
        <v>149</v>
      </c>
      <c r="L438" s="153" t="s">
        <v>151</v>
      </c>
      <c r="M438" s="158" t="s">
        <v>149</v>
      </c>
      <c r="N438" s="158" t="s">
        <v>149</v>
      </c>
      <c r="O438" s="153" t="s">
        <v>7101</v>
      </c>
      <c r="P438" s="153" t="s">
        <v>341</v>
      </c>
      <c r="Q438" s="158" t="s">
        <v>160</v>
      </c>
      <c r="R438" s="158" t="s">
        <v>6035</v>
      </c>
      <c r="S438" s="158" t="s">
        <v>159</v>
      </c>
      <c r="T438" s="158" t="s">
        <v>149</v>
      </c>
      <c r="U438" s="158" t="s">
        <v>149</v>
      </c>
      <c r="V438" s="158" t="s">
        <v>149</v>
      </c>
      <c r="W438" s="153" t="s">
        <v>2160</v>
      </c>
      <c r="X438" s="153" t="s">
        <v>6035</v>
      </c>
      <c r="Y438" s="153"/>
      <c r="Z438" s="153"/>
      <c r="AA438" s="153"/>
      <c r="AB438" s="158" t="s">
        <v>166</v>
      </c>
      <c r="AC438" s="153" t="s">
        <v>2161</v>
      </c>
      <c r="AD438" s="165" t="s">
        <v>2162</v>
      </c>
      <c r="AE438" s="153"/>
      <c r="AF438" s="153"/>
      <c r="AG438" s="153"/>
    </row>
    <row r="439" ht="15.75" customHeight="1">
      <c r="A439" s="238">
        <v>2025.0</v>
      </c>
      <c r="B439" s="230">
        <v>438.0</v>
      </c>
      <c r="C439" s="153" t="s">
        <v>625</v>
      </c>
      <c r="D439" s="153" t="s">
        <v>826</v>
      </c>
      <c r="E439" s="153" t="s">
        <v>827</v>
      </c>
      <c r="F439" s="153" t="s">
        <v>828</v>
      </c>
      <c r="G439" s="158" t="s">
        <v>816</v>
      </c>
      <c r="H439" s="153" t="s">
        <v>829</v>
      </c>
      <c r="I439" s="192">
        <v>1988.0</v>
      </c>
      <c r="J439" s="192">
        <v>1984.0</v>
      </c>
      <c r="K439" s="192">
        <v>1992.0</v>
      </c>
      <c r="L439" s="153" t="s">
        <v>151</v>
      </c>
      <c r="M439" s="158" t="s">
        <v>152</v>
      </c>
      <c r="N439" s="158" t="s">
        <v>152</v>
      </c>
      <c r="O439" s="158" t="s">
        <v>819</v>
      </c>
      <c r="P439" s="158" t="s">
        <v>820</v>
      </c>
      <c r="Q439" s="158" t="s">
        <v>6154</v>
      </c>
      <c r="R439" s="158" t="s">
        <v>206</v>
      </c>
      <c r="S439" s="158" t="s">
        <v>159</v>
      </c>
      <c r="T439" s="158" t="s">
        <v>149</v>
      </c>
      <c r="U439" s="158" t="s">
        <v>149</v>
      </c>
      <c r="V439" s="158" t="s">
        <v>149</v>
      </c>
      <c r="W439" s="158" t="s">
        <v>830</v>
      </c>
      <c r="X439" s="158" t="s">
        <v>6035</v>
      </c>
      <c r="Y439" s="158" t="s">
        <v>822</v>
      </c>
      <c r="Z439" s="153"/>
      <c r="AA439" s="153"/>
      <c r="AB439" s="158" t="s">
        <v>6084</v>
      </c>
      <c r="AC439" s="153" t="s">
        <v>823</v>
      </c>
      <c r="AD439" s="172" t="s">
        <v>824</v>
      </c>
      <c r="AE439" s="153"/>
      <c r="AF439" s="153"/>
      <c r="AG439" s="153"/>
    </row>
    <row r="440" ht="15.75" customHeight="1">
      <c r="A440" s="238">
        <v>2025.0</v>
      </c>
      <c r="B440" s="230">
        <v>439.0</v>
      </c>
      <c r="C440" s="153" t="s">
        <v>642</v>
      </c>
      <c r="D440" s="153" t="s">
        <v>1333</v>
      </c>
      <c r="E440" s="153" t="s">
        <v>1334</v>
      </c>
      <c r="F440" s="153" t="s">
        <v>1335</v>
      </c>
      <c r="G440" s="153" t="s">
        <v>1309</v>
      </c>
      <c r="H440" s="153"/>
      <c r="I440" s="230">
        <v>2020.0</v>
      </c>
      <c r="J440" s="192">
        <v>2016.0</v>
      </c>
      <c r="K440" s="192">
        <v>2020.0</v>
      </c>
      <c r="L440" s="153" t="s">
        <v>151</v>
      </c>
      <c r="M440" s="158" t="s">
        <v>149</v>
      </c>
      <c r="N440" s="158" t="s">
        <v>149</v>
      </c>
      <c r="O440" s="158" t="s">
        <v>6910</v>
      </c>
      <c r="P440" s="158" t="s">
        <v>1327</v>
      </c>
      <c r="Q440" s="158" t="s">
        <v>6154</v>
      </c>
      <c r="R440" s="158" t="s">
        <v>206</v>
      </c>
      <c r="S440" s="158" t="s">
        <v>159</v>
      </c>
      <c r="T440" s="158" t="s">
        <v>149</v>
      </c>
      <c r="U440" s="158" t="s">
        <v>149</v>
      </c>
      <c r="V440" s="153" t="s">
        <v>1336</v>
      </c>
      <c r="W440" s="153" t="s">
        <v>390</v>
      </c>
      <c r="X440" s="153" t="s">
        <v>6035</v>
      </c>
      <c r="Y440" s="153" t="s">
        <v>369</v>
      </c>
      <c r="Z440" s="153"/>
      <c r="AA440" s="153"/>
      <c r="AB440" s="153" t="s">
        <v>6084</v>
      </c>
      <c r="AC440" s="153" t="s">
        <v>1330</v>
      </c>
      <c r="AD440" s="165" t="s">
        <v>1331</v>
      </c>
      <c r="AE440" s="153"/>
      <c r="AF440" s="153"/>
      <c r="AG440" s="153"/>
    </row>
    <row r="441" ht="15.75" customHeight="1">
      <c r="A441" s="238">
        <v>2025.0</v>
      </c>
      <c r="B441" s="230">
        <v>440.0</v>
      </c>
      <c r="C441" s="153" t="s">
        <v>642</v>
      </c>
      <c r="D441" s="153" t="s">
        <v>1333</v>
      </c>
      <c r="E441" s="153" t="s">
        <v>1338</v>
      </c>
      <c r="F441" s="153" t="s">
        <v>1339</v>
      </c>
      <c r="G441" s="153" t="s">
        <v>1309</v>
      </c>
      <c r="H441" s="153" t="s">
        <v>1340</v>
      </c>
      <c r="I441" s="230">
        <v>2020.0</v>
      </c>
      <c r="J441" s="192">
        <v>2016.0</v>
      </c>
      <c r="K441" s="192">
        <v>2020.0</v>
      </c>
      <c r="L441" s="153" t="s">
        <v>151</v>
      </c>
      <c r="M441" s="158" t="s">
        <v>149</v>
      </c>
      <c r="N441" s="158" t="s">
        <v>149</v>
      </c>
      <c r="O441" s="158" t="s">
        <v>6910</v>
      </c>
      <c r="P441" s="158" t="s">
        <v>1327</v>
      </c>
      <c r="Q441" s="158" t="s">
        <v>6154</v>
      </c>
      <c r="R441" s="158" t="s">
        <v>206</v>
      </c>
      <c r="S441" s="158" t="s">
        <v>159</v>
      </c>
      <c r="T441" s="158" t="s">
        <v>149</v>
      </c>
      <c r="U441" s="158" t="s">
        <v>149</v>
      </c>
      <c r="V441" s="153" t="s">
        <v>1341</v>
      </c>
      <c r="W441" s="153" t="s">
        <v>390</v>
      </c>
      <c r="X441" s="153" t="s">
        <v>6035</v>
      </c>
      <c r="Y441" s="153" t="s">
        <v>369</v>
      </c>
      <c r="Z441" s="153"/>
      <c r="AA441" s="153"/>
      <c r="AB441" s="153" t="s">
        <v>6084</v>
      </c>
      <c r="AC441" s="153" t="s">
        <v>1330</v>
      </c>
      <c r="AD441" s="172" t="s">
        <v>1331</v>
      </c>
      <c r="AE441" s="153"/>
      <c r="AF441" s="153"/>
      <c r="AG441" s="153"/>
    </row>
    <row r="442" ht="15.75" customHeight="1">
      <c r="A442" s="238">
        <v>2025.0</v>
      </c>
      <c r="B442" s="230">
        <v>441.0</v>
      </c>
      <c r="C442" s="158" t="s">
        <v>642</v>
      </c>
      <c r="D442" s="158" t="s">
        <v>1333</v>
      </c>
      <c r="E442" s="158" t="s">
        <v>1338</v>
      </c>
      <c r="F442" s="158" t="s">
        <v>1339</v>
      </c>
      <c r="G442" s="158" t="s">
        <v>1309</v>
      </c>
      <c r="H442" s="158" t="s">
        <v>1344</v>
      </c>
      <c r="I442" s="192">
        <v>2020.0</v>
      </c>
      <c r="J442" s="192">
        <v>2016.0</v>
      </c>
      <c r="K442" s="192">
        <v>2020.0</v>
      </c>
      <c r="L442" s="158" t="s">
        <v>151</v>
      </c>
      <c r="M442" s="158" t="s">
        <v>149</v>
      </c>
      <c r="N442" s="158" t="s">
        <v>149</v>
      </c>
      <c r="O442" s="158" t="s">
        <v>6910</v>
      </c>
      <c r="P442" s="158" t="s">
        <v>1327</v>
      </c>
      <c r="Q442" s="158" t="s">
        <v>6154</v>
      </c>
      <c r="R442" s="158" t="s">
        <v>206</v>
      </c>
      <c r="S442" s="158" t="s">
        <v>159</v>
      </c>
      <c r="T442" s="158" t="s">
        <v>149</v>
      </c>
      <c r="U442" s="158" t="s">
        <v>149</v>
      </c>
      <c r="V442" s="158" t="s">
        <v>1345</v>
      </c>
      <c r="W442" s="158" t="s">
        <v>390</v>
      </c>
      <c r="X442" s="158" t="s">
        <v>6035</v>
      </c>
      <c r="Y442" s="158" t="s">
        <v>369</v>
      </c>
      <c r="Z442" s="158"/>
      <c r="AA442" s="158"/>
      <c r="AB442" s="158" t="s">
        <v>6084</v>
      </c>
      <c r="AC442" s="158" t="s">
        <v>1330</v>
      </c>
      <c r="AD442" s="177" t="s">
        <v>1331</v>
      </c>
      <c r="AE442" s="158"/>
      <c r="AF442" s="158"/>
      <c r="AG442" s="158"/>
    </row>
    <row r="443" ht="15.75" customHeight="1">
      <c r="A443" s="238">
        <v>2025.0</v>
      </c>
      <c r="B443" s="230">
        <v>442.0</v>
      </c>
      <c r="C443" s="153" t="s">
        <v>642</v>
      </c>
      <c r="D443" s="153" t="s">
        <v>1333</v>
      </c>
      <c r="E443" s="153" t="s">
        <v>1347</v>
      </c>
      <c r="F443" s="153" t="s">
        <v>1348</v>
      </c>
      <c r="G443" s="153" t="s">
        <v>1309</v>
      </c>
      <c r="H443" s="153" t="s">
        <v>1349</v>
      </c>
      <c r="I443" s="230">
        <v>2020.0</v>
      </c>
      <c r="J443" s="192">
        <v>2016.0</v>
      </c>
      <c r="K443" s="192">
        <v>2020.0</v>
      </c>
      <c r="L443" s="153" t="s">
        <v>151</v>
      </c>
      <c r="M443" s="158" t="s">
        <v>149</v>
      </c>
      <c r="N443" s="158" t="s">
        <v>149</v>
      </c>
      <c r="O443" s="158" t="s">
        <v>6910</v>
      </c>
      <c r="P443" s="158" t="s">
        <v>1327</v>
      </c>
      <c r="Q443" s="158" t="s">
        <v>6154</v>
      </c>
      <c r="R443" s="158" t="s">
        <v>206</v>
      </c>
      <c r="S443" s="158" t="s">
        <v>159</v>
      </c>
      <c r="T443" s="158" t="s">
        <v>149</v>
      </c>
      <c r="U443" s="158" t="s">
        <v>149</v>
      </c>
      <c r="V443" s="153" t="s">
        <v>1350</v>
      </c>
      <c r="W443" s="153" t="s">
        <v>390</v>
      </c>
      <c r="X443" s="153" t="s">
        <v>6035</v>
      </c>
      <c r="Y443" s="153" t="s">
        <v>369</v>
      </c>
      <c r="Z443" s="153"/>
      <c r="AA443" s="153"/>
      <c r="AB443" s="153" t="s">
        <v>6084</v>
      </c>
      <c r="AC443" s="153" t="s">
        <v>1330</v>
      </c>
      <c r="AD443" s="153" t="s">
        <v>1331</v>
      </c>
      <c r="AE443" s="153"/>
      <c r="AF443" s="153"/>
      <c r="AG443" s="153"/>
    </row>
    <row r="444" ht="15.75" customHeight="1">
      <c r="A444" s="238">
        <v>2025.0</v>
      </c>
      <c r="B444" s="230">
        <v>443.0</v>
      </c>
      <c r="C444" s="153" t="s">
        <v>642</v>
      </c>
      <c r="D444" s="153" t="s">
        <v>2528</v>
      </c>
      <c r="E444" s="153" t="s">
        <v>2529</v>
      </c>
      <c r="F444" s="153" t="s">
        <v>2530</v>
      </c>
      <c r="G444" s="158" t="s">
        <v>1309</v>
      </c>
      <c r="H444" s="153" t="s">
        <v>2531</v>
      </c>
      <c r="I444" s="192">
        <v>2022.0</v>
      </c>
      <c r="J444" s="192" t="s">
        <v>149</v>
      </c>
      <c r="K444" s="192" t="s">
        <v>149</v>
      </c>
      <c r="L444" s="153" t="s">
        <v>6062</v>
      </c>
      <c r="M444" s="153" t="s">
        <v>320</v>
      </c>
      <c r="N444" s="158" t="s">
        <v>179</v>
      </c>
      <c r="O444" s="158" t="s">
        <v>1311</v>
      </c>
      <c r="P444" s="158" t="s">
        <v>149</v>
      </c>
      <c r="Q444" s="158" t="s">
        <v>149</v>
      </c>
      <c r="R444" s="158" t="s">
        <v>149</v>
      </c>
      <c r="S444" s="158" t="s">
        <v>159</v>
      </c>
      <c r="T444" s="158" t="s">
        <v>149</v>
      </c>
      <c r="U444" s="158" t="s">
        <v>149</v>
      </c>
      <c r="V444" s="158" t="s">
        <v>1360</v>
      </c>
      <c r="W444" s="158" t="s">
        <v>1314</v>
      </c>
      <c r="X444" s="153" t="s">
        <v>6035</v>
      </c>
      <c r="Y444" s="158" t="s">
        <v>7758</v>
      </c>
      <c r="Z444" s="153"/>
      <c r="AA444" s="153"/>
      <c r="AB444" s="158" t="s">
        <v>166</v>
      </c>
      <c r="AC444" s="158" t="s">
        <v>7759</v>
      </c>
      <c r="AD444" s="177" t="s">
        <v>2535</v>
      </c>
      <c r="AE444" s="153"/>
      <c r="AF444" s="153"/>
      <c r="AG444" s="153"/>
    </row>
    <row r="445" ht="15.75" customHeight="1">
      <c r="A445" s="238">
        <v>2025.0</v>
      </c>
      <c r="B445" s="230">
        <v>444.0</v>
      </c>
      <c r="C445" s="158" t="s">
        <v>642</v>
      </c>
      <c r="D445" s="158" t="s">
        <v>643</v>
      </c>
      <c r="E445" s="158" t="s">
        <v>7691</v>
      </c>
      <c r="F445" s="158" t="s">
        <v>1308</v>
      </c>
      <c r="G445" s="158" t="s">
        <v>1309</v>
      </c>
      <c r="H445" s="158" t="s">
        <v>1310</v>
      </c>
      <c r="I445" s="192">
        <v>2021.0</v>
      </c>
      <c r="J445" s="192" t="s">
        <v>149</v>
      </c>
      <c r="K445" s="192" t="s">
        <v>149</v>
      </c>
      <c r="L445" s="158" t="s">
        <v>6062</v>
      </c>
      <c r="M445" s="158" t="s">
        <v>320</v>
      </c>
      <c r="N445" s="158" t="s">
        <v>179</v>
      </c>
      <c r="O445" s="158" t="s">
        <v>1311</v>
      </c>
      <c r="P445" s="158" t="s">
        <v>149</v>
      </c>
      <c r="Q445" s="158" t="s">
        <v>149</v>
      </c>
      <c r="R445" s="158" t="s">
        <v>149</v>
      </c>
      <c r="S445" s="158" t="s">
        <v>159</v>
      </c>
      <c r="T445" s="158" t="s">
        <v>149</v>
      </c>
      <c r="U445" s="158" t="s">
        <v>149</v>
      </c>
      <c r="V445" s="158" t="s">
        <v>149</v>
      </c>
      <c r="W445" s="158" t="s">
        <v>1314</v>
      </c>
      <c r="X445" s="158" t="s">
        <v>6035</v>
      </c>
      <c r="Y445" s="158" t="s">
        <v>7758</v>
      </c>
      <c r="Z445" s="158"/>
      <c r="AA445" s="158"/>
      <c r="AB445" s="158" t="s">
        <v>6038</v>
      </c>
      <c r="AC445" s="158" t="s">
        <v>1316</v>
      </c>
      <c r="AD445" s="172" t="s">
        <v>1317</v>
      </c>
      <c r="AE445" s="158"/>
      <c r="AF445" s="158"/>
      <c r="AG445" s="158"/>
    </row>
    <row r="446" ht="15.75" customHeight="1">
      <c r="A446" s="238">
        <v>2025.0</v>
      </c>
      <c r="B446" s="230">
        <v>445.0</v>
      </c>
      <c r="C446" s="158" t="s">
        <v>642</v>
      </c>
      <c r="D446" s="158" t="s">
        <v>643</v>
      </c>
      <c r="E446" s="158" t="s">
        <v>7691</v>
      </c>
      <c r="F446" s="158" t="s">
        <v>1308</v>
      </c>
      <c r="G446" s="158" t="s">
        <v>1309</v>
      </c>
      <c r="H446" s="158" t="s">
        <v>1319</v>
      </c>
      <c r="I446" s="192">
        <v>2021.0</v>
      </c>
      <c r="J446" s="192" t="s">
        <v>149</v>
      </c>
      <c r="K446" s="192" t="s">
        <v>149</v>
      </c>
      <c r="L446" s="158" t="s">
        <v>6062</v>
      </c>
      <c r="M446" s="158" t="s">
        <v>320</v>
      </c>
      <c r="N446" s="158" t="s">
        <v>179</v>
      </c>
      <c r="O446" s="158" t="s">
        <v>1311</v>
      </c>
      <c r="P446" s="158" t="s">
        <v>149</v>
      </c>
      <c r="Q446" s="158" t="s">
        <v>149</v>
      </c>
      <c r="R446" s="158" t="s">
        <v>149</v>
      </c>
      <c r="S446" s="158" t="s">
        <v>159</v>
      </c>
      <c r="T446" s="158" t="s">
        <v>149</v>
      </c>
      <c r="U446" s="158" t="s">
        <v>149</v>
      </c>
      <c r="V446" s="158" t="s">
        <v>149</v>
      </c>
      <c r="W446" s="158" t="s">
        <v>1314</v>
      </c>
      <c r="X446" s="158" t="s">
        <v>6035</v>
      </c>
      <c r="Y446" s="158" t="s">
        <v>7758</v>
      </c>
      <c r="Z446" s="158"/>
      <c r="AA446" s="158"/>
      <c r="AB446" s="158" t="s">
        <v>6038</v>
      </c>
      <c r="AC446" s="158" t="s">
        <v>1316</v>
      </c>
      <c r="AD446" s="177" t="s">
        <v>1317</v>
      </c>
      <c r="AE446" s="158"/>
      <c r="AF446" s="158"/>
      <c r="AG446" s="158"/>
    </row>
    <row r="447" ht="15.75" customHeight="1">
      <c r="A447" s="238">
        <v>2025.0</v>
      </c>
      <c r="B447" s="230">
        <v>446.0</v>
      </c>
      <c r="C447" s="158" t="s">
        <v>642</v>
      </c>
      <c r="D447" s="158" t="s">
        <v>643</v>
      </c>
      <c r="E447" s="158" t="s">
        <v>7691</v>
      </c>
      <c r="F447" s="158" t="s">
        <v>1308</v>
      </c>
      <c r="G447" s="158" t="s">
        <v>1309</v>
      </c>
      <c r="H447" s="158" t="s">
        <v>1321</v>
      </c>
      <c r="I447" s="192">
        <v>2021.0</v>
      </c>
      <c r="J447" s="192" t="s">
        <v>149</v>
      </c>
      <c r="K447" s="192" t="s">
        <v>149</v>
      </c>
      <c r="L447" s="158" t="s">
        <v>6062</v>
      </c>
      <c r="M447" s="158" t="s">
        <v>320</v>
      </c>
      <c r="N447" s="158" t="s">
        <v>179</v>
      </c>
      <c r="O447" s="158" t="s">
        <v>1311</v>
      </c>
      <c r="P447" s="158" t="s">
        <v>149</v>
      </c>
      <c r="Q447" s="158" t="s">
        <v>149</v>
      </c>
      <c r="R447" s="158" t="s">
        <v>149</v>
      </c>
      <c r="S447" s="158" t="s">
        <v>159</v>
      </c>
      <c r="T447" s="158" t="s">
        <v>149</v>
      </c>
      <c r="U447" s="158" t="s">
        <v>149</v>
      </c>
      <c r="V447" s="158" t="s">
        <v>149</v>
      </c>
      <c r="W447" s="158" t="s">
        <v>1314</v>
      </c>
      <c r="X447" s="158" t="s">
        <v>6035</v>
      </c>
      <c r="Y447" s="158" t="s">
        <v>7758</v>
      </c>
      <c r="Z447" s="158"/>
      <c r="AA447" s="158"/>
      <c r="AB447" s="158" t="s">
        <v>6038</v>
      </c>
      <c r="AC447" s="158" t="s">
        <v>1316</v>
      </c>
      <c r="AD447" s="177" t="s">
        <v>1317</v>
      </c>
      <c r="AE447" s="158"/>
      <c r="AF447" s="158"/>
      <c r="AG447" s="158"/>
    </row>
    <row r="448" ht="15.75" customHeight="1">
      <c r="A448" s="238">
        <v>2025.0</v>
      </c>
      <c r="B448" s="230">
        <v>447.0</v>
      </c>
      <c r="C448" s="158" t="s">
        <v>642</v>
      </c>
      <c r="D448" s="158" t="s">
        <v>643</v>
      </c>
      <c r="E448" s="158" t="s">
        <v>7691</v>
      </c>
      <c r="F448" s="158" t="s">
        <v>1308</v>
      </c>
      <c r="G448" s="158" t="s">
        <v>149</v>
      </c>
      <c r="H448" s="158" t="s">
        <v>2323</v>
      </c>
      <c r="I448" s="192">
        <v>2024.0</v>
      </c>
      <c r="J448" s="192" t="s">
        <v>149</v>
      </c>
      <c r="K448" s="192" t="s">
        <v>149</v>
      </c>
      <c r="L448" s="158" t="s">
        <v>6062</v>
      </c>
      <c r="M448" s="158" t="s">
        <v>7762</v>
      </c>
      <c r="N448" s="158" t="s">
        <v>179</v>
      </c>
      <c r="O448" s="158" t="s">
        <v>7763</v>
      </c>
      <c r="P448" s="158" t="s">
        <v>149</v>
      </c>
      <c r="Q448" s="158" t="s">
        <v>149</v>
      </c>
      <c r="R448" s="158" t="s">
        <v>149</v>
      </c>
      <c r="S448" s="158" t="s">
        <v>159</v>
      </c>
      <c r="T448" s="158" t="s">
        <v>149</v>
      </c>
      <c r="U448" s="158" t="s">
        <v>149</v>
      </c>
      <c r="V448" s="158" t="s">
        <v>149</v>
      </c>
      <c r="W448" s="158" t="s">
        <v>1314</v>
      </c>
      <c r="X448" s="158" t="s">
        <v>6035</v>
      </c>
      <c r="Y448" s="158" t="s">
        <v>7758</v>
      </c>
      <c r="Z448" s="158"/>
      <c r="AA448" s="158"/>
      <c r="AB448" s="158" t="s">
        <v>166</v>
      </c>
      <c r="AC448" s="158" t="s">
        <v>7764</v>
      </c>
      <c r="AD448" s="177" t="s">
        <v>2328</v>
      </c>
      <c r="AE448" s="158"/>
      <c r="AF448" s="158"/>
      <c r="AG448" s="158"/>
    </row>
    <row r="449" ht="15.75" customHeight="1">
      <c r="A449" s="238">
        <v>2025.0</v>
      </c>
      <c r="B449" s="230">
        <v>448.0</v>
      </c>
      <c r="C449" s="153" t="s">
        <v>642</v>
      </c>
      <c r="D449" s="153" t="s">
        <v>643</v>
      </c>
      <c r="E449" s="153" t="s">
        <v>644</v>
      </c>
      <c r="F449" s="153" t="s">
        <v>645</v>
      </c>
      <c r="G449" s="153" t="s">
        <v>384</v>
      </c>
      <c r="H449" s="153" t="s">
        <v>646</v>
      </c>
      <c r="I449" s="230">
        <v>1986.0</v>
      </c>
      <c r="J449" s="230">
        <v>1985.0</v>
      </c>
      <c r="K449" s="230">
        <v>1987.0</v>
      </c>
      <c r="L449" s="153" t="s">
        <v>151</v>
      </c>
      <c r="M449" s="153" t="s">
        <v>6054</v>
      </c>
      <c r="N449" s="158" t="s">
        <v>6054</v>
      </c>
      <c r="O449" s="158" t="s">
        <v>149</v>
      </c>
      <c r="P449" s="153" t="s">
        <v>390</v>
      </c>
      <c r="Q449" s="158" t="s">
        <v>160</v>
      </c>
      <c r="R449" s="158" t="s">
        <v>6035</v>
      </c>
      <c r="S449" s="158" t="s">
        <v>159</v>
      </c>
      <c r="T449" s="158" t="s">
        <v>149</v>
      </c>
      <c r="U449" s="158" t="s">
        <v>149</v>
      </c>
      <c r="V449" s="158" t="s">
        <v>149</v>
      </c>
      <c r="W449" s="153" t="s">
        <v>390</v>
      </c>
      <c r="X449" s="153" t="s">
        <v>6035</v>
      </c>
      <c r="Y449" s="153" t="s">
        <v>6055</v>
      </c>
      <c r="Z449" s="153"/>
      <c r="AA449" s="153"/>
      <c r="AB449" s="158" t="s">
        <v>395</v>
      </c>
      <c r="AC449" s="153" t="s">
        <v>6060</v>
      </c>
      <c r="AD449" s="172" t="s">
        <v>541</v>
      </c>
      <c r="AE449" s="153" t="s">
        <v>398</v>
      </c>
      <c r="AF449" s="153"/>
      <c r="AG449" s="153"/>
    </row>
    <row r="450" ht="15.75" customHeight="1">
      <c r="A450" s="238">
        <v>2025.0</v>
      </c>
      <c r="B450" s="230">
        <v>449.0</v>
      </c>
      <c r="C450" s="153" t="s">
        <v>642</v>
      </c>
      <c r="D450" s="153" t="s">
        <v>643</v>
      </c>
      <c r="E450" s="153" t="s">
        <v>644</v>
      </c>
      <c r="F450" s="153" t="s">
        <v>645</v>
      </c>
      <c r="G450" s="153" t="s">
        <v>1309</v>
      </c>
      <c r="H450" s="153" t="s">
        <v>1352</v>
      </c>
      <c r="I450" s="230">
        <v>2020.0</v>
      </c>
      <c r="J450" s="192">
        <v>2016.0</v>
      </c>
      <c r="K450" s="192">
        <v>2020.0</v>
      </c>
      <c r="L450" s="153" t="s">
        <v>151</v>
      </c>
      <c r="M450" s="158" t="s">
        <v>149</v>
      </c>
      <c r="N450" s="158" t="s">
        <v>149</v>
      </c>
      <c r="O450" s="158" t="s">
        <v>6910</v>
      </c>
      <c r="P450" s="158" t="s">
        <v>1327</v>
      </c>
      <c r="Q450" s="158" t="s">
        <v>6154</v>
      </c>
      <c r="R450" s="158" t="s">
        <v>206</v>
      </c>
      <c r="S450" s="158" t="s">
        <v>159</v>
      </c>
      <c r="T450" s="158" t="s">
        <v>149</v>
      </c>
      <c r="U450" s="158" t="s">
        <v>149</v>
      </c>
      <c r="V450" s="153" t="s">
        <v>1353</v>
      </c>
      <c r="W450" s="153" t="s">
        <v>390</v>
      </c>
      <c r="X450" s="153" t="s">
        <v>6035</v>
      </c>
      <c r="Y450" s="158" t="s">
        <v>369</v>
      </c>
      <c r="Z450" s="153"/>
      <c r="AA450" s="153"/>
      <c r="AB450" s="153" t="s">
        <v>6084</v>
      </c>
      <c r="AC450" s="153" t="s">
        <v>1330</v>
      </c>
      <c r="AD450" s="177" t="s">
        <v>1331</v>
      </c>
      <c r="AE450" s="153"/>
      <c r="AF450" s="153"/>
      <c r="AG450" s="153"/>
    </row>
    <row r="451" ht="15.75" customHeight="1">
      <c r="A451" s="238">
        <v>2025.0</v>
      </c>
      <c r="B451" s="230">
        <v>450.0</v>
      </c>
      <c r="C451" s="158" t="s">
        <v>642</v>
      </c>
      <c r="D451" s="158" t="s">
        <v>643</v>
      </c>
      <c r="E451" s="158" t="s">
        <v>1355</v>
      </c>
      <c r="F451" s="158" t="s">
        <v>1356</v>
      </c>
      <c r="G451" s="158" t="s">
        <v>1309</v>
      </c>
      <c r="H451" s="158" t="s">
        <v>1357</v>
      </c>
      <c r="I451" s="192">
        <v>2020.0</v>
      </c>
      <c r="J451" s="192">
        <v>2016.0</v>
      </c>
      <c r="K451" s="192">
        <v>2020.0</v>
      </c>
      <c r="L451" s="158" t="s">
        <v>6062</v>
      </c>
      <c r="M451" s="158" t="s">
        <v>320</v>
      </c>
      <c r="N451" s="158" t="s">
        <v>179</v>
      </c>
      <c r="O451" s="158" t="s">
        <v>149</v>
      </c>
      <c r="P451" s="158" t="s">
        <v>1327</v>
      </c>
      <c r="Q451" s="158" t="s">
        <v>6154</v>
      </c>
      <c r="R451" s="158" t="s">
        <v>206</v>
      </c>
      <c r="S451" s="158" t="s">
        <v>159</v>
      </c>
      <c r="T451" s="158" t="s">
        <v>149</v>
      </c>
      <c r="U451" s="158" t="s">
        <v>149</v>
      </c>
      <c r="V451" s="158" t="s">
        <v>1360</v>
      </c>
      <c r="W451" s="158" t="s">
        <v>390</v>
      </c>
      <c r="X451" s="158" t="s">
        <v>6035</v>
      </c>
      <c r="Y451" s="158"/>
      <c r="Z451" s="158"/>
      <c r="AA451" s="158"/>
      <c r="AB451" s="158" t="s">
        <v>6084</v>
      </c>
      <c r="AC451" s="158" t="s">
        <v>1330</v>
      </c>
      <c r="AD451" s="172" t="s">
        <v>1331</v>
      </c>
      <c r="AE451" s="158"/>
      <c r="AF451" s="158"/>
      <c r="AG451" s="158"/>
    </row>
    <row r="452" ht="15.75" customHeight="1">
      <c r="A452" s="238">
        <v>2025.0</v>
      </c>
      <c r="B452" s="230">
        <v>451.0</v>
      </c>
      <c r="C452" s="153" t="s">
        <v>642</v>
      </c>
      <c r="D452" s="153" t="s">
        <v>2769</v>
      </c>
      <c r="E452" s="153" t="s">
        <v>2770</v>
      </c>
      <c r="F452" s="153" t="s">
        <v>2771</v>
      </c>
      <c r="G452" s="158" t="s">
        <v>149</v>
      </c>
      <c r="H452" s="153" t="s">
        <v>7769</v>
      </c>
      <c r="I452" s="230">
        <v>2019.0</v>
      </c>
      <c r="J452" s="192" t="s">
        <v>149</v>
      </c>
      <c r="K452" s="192" t="s">
        <v>149</v>
      </c>
      <c r="L452" s="153" t="s">
        <v>151</v>
      </c>
      <c r="M452" s="158" t="s">
        <v>149</v>
      </c>
      <c r="N452" s="158" t="s">
        <v>149</v>
      </c>
      <c r="O452" s="158" t="s">
        <v>7770</v>
      </c>
      <c r="P452" s="153" t="s">
        <v>2776</v>
      </c>
      <c r="Q452" s="158" t="s">
        <v>160</v>
      </c>
      <c r="R452" s="158" t="s">
        <v>6035</v>
      </c>
      <c r="S452" s="158" t="s">
        <v>159</v>
      </c>
      <c r="T452" s="158" t="s">
        <v>149</v>
      </c>
      <c r="U452" s="158" t="s">
        <v>149</v>
      </c>
      <c r="V452" s="158" t="s">
        <v>149</v>
      </c>
      <c r="W452" s="153" t="s">
        <v>7933</v>
      </c>
      <c r="X452" s="153" t="s">
        <v>6035</v>
      </c>
      <c r="Y452" s="153" t="s">
        <v>390</v>
      </c>
      <c r="Z452" s="153"/>
      <c r="AA452" s="153"/>
      <c r="AB452" s="158" t="s">
        <v>166</v>
      </c>
      <c r="AC452" s="153" t="s">
        <v>7772</v>
      </c>
      <c r="AD452" s="172" t="s">
        <v>2779</v>
      </c>
      <c r="AE452" s="153"/>
      <c r="AF452" s="153"/>
      <c r="AG452" s="153"/>
    </row>
    <row r="453" ht="15.75" customHeight="1">
      <c r="A453" s="238">
        <v>2025.0</v>
      </c>
      <c r="B453" s="230">
        <v>452.0</v>
      </c>
      <c r="C453" s="158" t="s">
        <v>642</v>
      </c>
      <c r="D453" s="158" t="s">
        <v>2769</v>
      </c>
      <c r="E453" s="158" t="s">
        <v>2770</v>
      </c>
      <c r="F453" s="158" t="s">
        <v>2771</v>
      </c>
      <c r="G453" s="158" t="s">
        <v>149</v>
      </c>
      <c r="H453" s="158" t="s">
        <v>2782</v>
      </c>
      <c r="I453" s="192">
        <v>2019.0</v>
      </c>
      <c r="J453" s="192" t="s">
        <v>149</v>
      </c>
      <c r="K453" s="192" t="s">
        <v>149</v>
      </c>
      <c r="L453" s="158" t="s">
        <v>151</v>
      </c>
      <c r="M453" s="158" t="s">
        <v>149</v>
      </c>
      <c r="N453" s="158" t="s">
        <v>149</v>
      </c>
      <c r="O453" s="158" t="s">
        <v>7770</v>
      </c>
      <c r="P453" s="158" t="s">
        <v>2776</v>
      </c>
      <c r="Q453" s="158" t="s">
        <v>160</v>
      </c>
      <c r="R453" s="158" t="s">
        <v>6035</v>
      </c>
      <c r="S453" s="158" t="s">
        <v>159</v>
      </c>
      <c r="T453" s="158" t="s">
        <v>149</v>
      </c>
      <c r="U453" s="158" t="s">
        <v>149</v>
      </c>
      <c r="V453" s="158" t="s">
        <v>149</v>
      </c>
      <c r="W453" s="158" t="s">
        <v>2783</v>
      </c>
      <c r="X453" s="158" t="s">
        <v>6035</v>
      </c>
      <c r="Y453" s="158" t="s">
        <v>390</v>
      </c>
      <c r="Z453" s="158"/>
      <c r="AA453" s="158"/>
      <c r="AB453" s="158" t="s">
        <v>166</v>
      </c>
      <c r="AC453" s="158" t="s">
        <v>7772</v>
      </c>
      <c r="AD453" s="177" t="s">
        <v>2779</v>
      </c>
      <c r="AE453" s="158"/>
      <c r="AF453" s="158"/>
      <c r="AG453" s="158"/>
    </row>
    <row r="454" ht="15.75" customHeight="1">
      <c r="A454" s="238">
        <v>2025.0</v>
      </c>
      <c r="B454" s="230">
        <v>453.0</v>
      </c>
      <c r="C454" s="153" t="s">
        <v>642</v>
      </c>
      <c r="D454" s="153" t="s">
        <v>1217</v>
      </c>
      <c r="E454" s="153" t="s">
        <v>1218</v>
      </c>
      <c r="F454" s="153" t="s">
        <v>1219</v>
      </c>
      <c r="G454" s="158" t="s">
        <v>149</v>
      </c>
      <c r="H454" s="153" t="s">
        <v>3223</v>
      </c>
      <c r="I454" s="230">
        <v>2012.0</v>
      </c>
      <c r="J454" s="192" t="s">
        <v>149</v>
      </c>
      <c r="K454" s="192" t="s">
        <v>149</v>
      </c>
      <c r="L454" s="153" t="s">
        <v>151</v>
      </c>
      <c r="M454" s="153" t="s">
        <v>3399</v>
      </c>
      <c r="N454" s="158" t="s">
        <v>3399</v>
      </c>
      <c r="O454" s="158" t="s">
        <v>149</v>
      </c>
      <c r="P454" s="158" t="s">
        <v>3227</v>
      </c>
      <c r="Q454" s="158" t="s">
        <v>160</v>
      </c>
      <c r="R454" s="158" t="s">
        <v>209</v>
      </c>
      <c r="S454" s="158" t="s">
        <v>149</v>
      </c>
      <c r="T454" s="158" t="s">
        <v>149</v>
      </c>
      <c r="U454" s="158" t="s">
        <v>149</v>
      </c>
      <c r="V454" s="158" t="s">
        <v>149</v>
      </c>
      <c r="W454" s="153" t="s">
        <v>3227</v>
      </c>
      <c r="X454" s="158" t="s">
        <v>6068</v>
      </c>
      <c r="Y454" s="153"/>
      <c r="Z454" s="153" t="s">
        <v>3228</v>
      </c>
      <c r="AA454" s="153"/>
      <c r="AB454" s="158" t="s">
        <v>6091</v>
      </c>
      <c r="AC454" s="153" t="s">
        <v>3229</v>
      </c>
      <c r="AD454" s="172" t="s">
        <v>3230</v>
      </c>
      <c r="AE454" s="153"/>
      <c r="AF454" s="153"/>
      <c r="AG454" s="153"/>
    </row>
    <row r="455" ht="15.75" customHeight="1">
      <c r="A455" s="238">
        <v>2025.0</v>
      </c>
      <c r="B455" s="230">
        <v>454.0</v>
      </c>
      <c r="C455" s="158" t="s">
        <v>642</v>
      </c>
      <c r="D455" s="158" t="s">
        <v>1217</v>
      </c>
      <c r="E455" s="158" t="s">
        <v>1218</v>
      </c>
      <c r="F455" s="158" t="s">
        <v>1219</v>
      </c>
      <c r="G455" s="158" t="s">
        <v>3413</v>
      </c>
      <c r="H455" s="158" t="s">
        <v>7775</v>
      </c>
      <c r="I455" s="192">
        <v>2014.0</v>
      </c>
      <c r="J455" s="192">
        <v>2014.0</v>
      </c>
      <c r="K455" s="192">
        <v>2017.0</v>
      </c>
      <c r="L455" s="158" t="s">
        <v>6221</v>
      </c>
      <c r="M455" s="158" t="s">
        <v>1867</v>
      </c>
      <c r="N455" s="158" t="s">
        <v>1867</v>
      </c>
      <c r="O455" s="158" t="s">
        <v>1868</v>
      </c>
      <c r="P455" s="158" t="s">
        <v>321</v>
      </c>
      <c r="Q455" s="158" t="s">
        <v>160</v>
      </c>
      <c r="R455" s="158" t="s">
        <v>6035</v>
      </c>
      <c r="S455" s="158" t="s">
        <v>204</v>
      </c>
      <c r="T455" s="158" t="s">
        <v>149</v>
      </c>
      <c r="U455" s="158" t="s">
        <v>149</v>
      </c>
      <c r="V455" s="158" t="s">
        <v>149</v>
      </c>
      <c r="W455" s="158" t="s">
        <v>1224</v>
      </c>
      <c r="X455" s="158" t="s">
        <v>6068</v>
      </c>
      <c r="Y455" s="158" t="s">
        <v>233</v>
      </c>
      <c r="Z455" s="158" t="s">
        <v>1869</v>
      </c>
      <c r="AA455" s="158"/>
      <c r="AB455" s="158" t="s">
        <v>6069</v>
      </c>
      <c r="AC455" s="158" t="s">
        <v>1870</v>
      </c>
      <c r="AD455" s="158" t="s">
        <v>7029</v>
      </c>
      <c r="AE455" s="158" t="s">
        <v>1872</v>
      </c>
      <c r="AF455" s="177" t="s">
        <v>1873</v>
      </c>
      <c r="AG455" s="158"/>
    </row>
    <row r="456" ht="15.75" customHeight="1">
      <c r="A456" s="238">
        <v>2025.0</v>
      </c>
      <c r="B456" s="230">
        <v>455.0</v>
      </c>
      <c r="C456" s="153" t="s">
        <v>642</v>
      </c>
      <c r="D456" s="153" t="s">
        <v>1217</v>
      </c>
      <c r="E456" s="153" t="s">
        <v>1218</v>
      </c>
      <c r="F456" s="153" t="s">
        <v>1219</v>
      </c>
      <c r="G456" s="158" t="s">
        <v>7934</v>
      </c>
      <c r="H456" s="158" t="s">
        <v>1220</v>
      </c>
      <c r="I456" s="192">
        <v>2012.0</v>
      </c>
      <c r="J456" s="192">
        <v>2012.0</v>
      </c>
      <c r="K456" s="192">
        <v>2013.0</v>
      </c>
      <c r="L456" s="153" t="s">
        <v>6062</v>
      </c>
      <c r="M456" s="158" t="s">
        <v>320</v>
      </c>
      <c r="N456" s="158" t="s">
        <v>179</v>
      </c>
      <c r="O456" s="158" t="s">
        <v>1222</v>
      </c>
      <c r="P456" s="153" t="s">
        <v>321</v>
      </c>
      <c r="Q456" s="158" t="s">
        <v>160</v>
      </c>
      <c r="R456" s="158" t="s">
        <v>6035</v>
      </c>
      <c r="S456" s="158" t="s">
        <v>159</v>
      </c>
      <c r="T456" s="158" t="s">
        <v>149</v>
      </c>
      <c r="U456" s="158" t="s">
        <v>149</v>
      </c>
      <c r="V456" s="158" t="s">
        <v>1223</v>
      </c>
      <c r="W456" s="158" t="s">
        <v>1224</v>
      </c>
      <c r="X456" s="158" t="s">
        <v>6068</v>
      </c>
      <c r="Y456" s="158" t="s">
        <v>1225</v>
      </c>
      <c r="Z456" s="158" t="s">
        <v>1226</v>
      </c>
      <c r="AA456" s="153"/>
      <c r="AB456" s="153" t="s">
        <v>6069</v>
      </c>
      <c r="AC456" s="158" t="s">
        <v>1227</v>
      </c>
      <c r="AD456" s="153" t="s">
        <v>7029</v>
      </c>
      <c r="AE456" s="153"/>
      <c r="AF456" s="165"/>
      <c r="AG456" s="153"/>
    </row>
    <row r="457" ht="15.75" customHeight="1">
      <c r="A457" s="238">
        <v>2025.0</v>
      </c>
      <c r="B457" s="230">
        <v>456.0</v>
      </c>
      <c r="C457" s="158" t="s">
        <v>642</v>
      </c>
      <c r="D457" s="158" t="s">
        <v>1217</v>
      </c>
      <c r="E457" s="158" t="s">
        <v>1230</v>
      </c>
      <c r="F457" s="158" t="s">
        <v>1231</v>
      </c>
      <c r="G457" s="158" t="s">
        <v>7934</v>
      </c>
      <c r="H457" s="158" t="s">
        <v>1232</v>
      </c>
      <c r="I457" s="192">
        <v>2012.0</v>
      </c>
      <c r="J457" s="192">
        <v>2012.0</v>
      </c>
      <c r="K457" s="192">
        <v>2013.0</v>
      </c>
      <c r="L457" s="158" t="s">
        <v>6062</v>
      </c>
      <c r="M457" s="158" t="s">
        <v>320</v>
      </c>
      <c r="N457" s="158" t="s">
        <v>179</v>
      </c>
      <c r="O457" s="158" t="s">
        <v>1222</v>
      </c>
      <c r="P457" s="153" t="s">
        <v>321</v>
      </c>
      <c r="Q457" s="158" t="s">
        <v>160</v>
      </c>
      <c r="R457" s="158" t="s">
        <v>6035</v>
      </c>
      <c r="S457" s="158" t="s">
        <v>159</v>
      </c>
      <c r="T457" s="158" t="s">
        <v>149</v>
      </c>
      <c r="U457" s="158" t="s">
        <v>149</v>
      </c>
      <c r="V457" s="158" t="s">
        <v>1233</v>
      </c>
      <c r="W457" s="158" t="s">
        <v>1224</v>
      </c>
      <c r="X457" s="158" t="s">
        <v>6068</v>
      </c>
      <c r="Y457" s="158" t="s">
        <v>1225</v>
      </c>
      <c r="Z457" s="158" t="s">
        <v>1226</v>
      </c>
      <c r="AA457" s="158"/>
      <c r="AB457" s="158" t="s">
        <v>6069</v>
      </c>
      <c r="AC457" s="158" t="s">
        <v>1227</v>
      </c>
      <c r="AD457" s="158" t="s">
        <v>6070</v>
      </c>
      <c r="AE457" s="158"/>
      <c r="AF457" s="177"/>
      <c r="AG457" s="158"/>
    </row>
    <row r="458" ht="15.75" customHeight="1">
      <c r="A458" s="238">
        <v>2025.0</v>
      </c>
      <c r="B458" s="230">
        <v>457.0</v>
      </c>
      <c r="C458" s="158" t="s">
        <v>642</v>
      </c>
      <c r="D458" s="158" t="s">
        <v>1217</v>
      </c>
      <c r="E458" s="158" t="s">
        <v>1236</v>
      </c>
      <c r="F458" s="158" t="s">
        <v>1237</v>
      </c>
      <c r="G458" s="158" t="s">
        <v>7934</v>
      </c>
      <c r="H458" s="158" t="s">
        <v>1238</v>
      </c>
      <c r="I458" s="192">
        <v>2012.0</v>
      </c>
      <c r="J458" s="192">
        <v>2012.0</v>
      </c>
      <c r="K458" s="192">
        <v>2013.0</v>
      </c>
      <c r="L458" s="158" t="s">
        <v>6062</v>
      </c>
      <c r="M458" s="158" t="s">
        <v>320</v>
      </c>
      <c r="N458" s="158" t="s">
        <v>179</v>
      </c>
      <c r="O458" s="158" t="s">
        <v>1222</v>
      </c>
      <c r="P458" s="153" t="s">
        <v>321</v>
      </c>
      <c r="Q458" s="158" t="s">
        <v>160</v>
      </c>
      <c r="R458" s="158" t="s">
        <v>6035</v>
      </c>
      <c r="S458" s="158" t="s">
        <v>159</v>
      </c>
      <c r="T458" s="158" t="s">
        <v>149</v>
      </c>
      <c r="U458" s="158" t="s">
        <v>149</v>
      </c>
      <c r="V458" s="158" t="s">
        <v>1239</v>
      </c>
      <c r="W458" s="158" t="s">
        <v>1224</v>
      </c>
      <c r="X458" s="158" t="s">
        <v>6068</v>
      </c>
      <c r="Y458" s="158" t="s">
        <v>1225</v>
      </c>
      <c r="Z458" s="158" t="s">
        <v>1226</v>
      </c>
      <c r="AA458" s="158"/>
      <c r="AB458" s="158" t="s">
        <v>6069</v>
      </c>
      <c r="AC458" s="158" t="s">
        <v>1227</v>
      </c>
      <c r="AD458" s="158" t="s">
        <v>6070</v>
      </c>
      <c r="AE458" s="158"/>
      <c r="AF458" s="177"/>
      <c r="AG458" s="158"/>
    </row>
    <row r="459" ht="15.75" customHeight="1">
      <c r="A459" s="238">
        <v>2025.0</v>
      </c>
      <c r="B459" s="230">
        <v>458.0</v>
      </c>
      <c r="C459" s="158" t="s">
        <v>642</v>
      </c>
      <c r="D459" s="158" t="s">
        <v>1217</v>
      </c>
      <c r="E459" s="158" t="s">
        <v>1242</v>
      </c>
      <c r="F459" s="158" t="s">
        <v>1243</v>
      </c>
      <c r="G459" s="158" t="s">
        <v>7934</v>
      </c>
      <c r="H459" s="158" t="s">
        <v>1244</v>
      </c>
      <c r="I459" s="192">
        <v>2012.0</v>
      </c>
      <c r="J459" s="192">
        <v>2012.0</v>
      </c>
      <c r="K459" s="192">
        <v>2013.0</v>
      </c>
      <c r="L459" s="158" t="s">
        <v>6062</v>
      </c>
      <c r="M459" s="158" t="s">
        <v>320</v>
      </c>
      <c r="N459" s="158" t="s">
        <v>179</v>
      </c>
      <c r="O459" s="158" t="s">
        <v>1222</v>
      </c>
      <c r="P459" s="153" t="s">
        <v>321</v>
      </c>
      <c r="Q459" s="158" t="s">
        <v>160</v>
      </c>
      <c r="R459" s="158" t="s">
        <v>6035</v>
      </c>
      <c r="S459" s="158" t="s">
        <v>159</v>
      </c>
      <c r="T459" s="158" t="s">
        <v>149</v>
      </c>
      <c r="U459" s="158" t="s">
        <v>149</v>
      </c>
      <c r="V459" s="158" t="s">
        <v>1245</v>
      </c>
      <c r="W459" s="158" t="s">
        <v>1224</v>
      </c>
      <c r="X459" s="158" t="s">
        <v>6068</v>
      </c>
      <c r="Y459" s="158" t="s">
        <v>1225</v>
      </c>
      <c r="Z459" s="158" t="s">
        <v>1226</v>
      </c>
      <c r="AA459" s="158"/>
      <c r="AB459" s="158" t="s">
        <v>6069</v>
      </c>
      <c r="AC459" s="158" t="s">
        <v>1227</v>
      </c>
      <c r="AD459" s="158" t="s">
        <v>6070</v>
      </c>
      <c r="AE459" s="158"/>
      <c r="AF459" s="177"/>
      <c r="AG459" s="158"/>
    </row>
    <row r="460" ht="15.75" customHeight="1">
      <c r="A460" s="238">
        <v>2025.0</v>
      </c>
      <c r="B460" s="230">
        <v>459.0</v>
      </c>
      <c r="C460" s="158" t="s">
        <v>642</v>
      </c>
      <c r="D460" s="158" t="s">
        <v>1217</v>
      </c>
      <c r="E460" s="158" t="s">
        <v>1248</v>
      </c>
      <c r="F460" s="158" t="s">
        <v>1249</v>
      </c>
      <c r="G460" s="158" t="s">
        <v>7934</v>
      </c>
      <c r="H460" s="158" t="s">
        <v>1250</v>
      </c>
      <c r="I460" s="192">
        <v>2012.0</v>
      </c>
      <c r="J460" s="192">
        <v>2012.0</v>
      </c>
      <c r="K460" s="192">
        <v>2013.0</v>
      </c>
      <c r="L460" s="158" t="s">
        <v>6062</v>
      </c>
      <c r="M460" s="158" t="s">
        <v>320</v>
      </c>
      <c r="N460" s="158" t="s">
        <v>179</v>
      </c>
      <c r="O460" s="158" t="s">
        <v>1222</v>
      </c>
      <c r="P460" s="153" t="s">
        <v>321</v>
      </c>
      <c r="Q460" s="158" t="s">
        <v>160</v>
      </c>
      <c r="R460" s="158" t="s">
        <v>6035</v>
      </c>
      <c r="S460" s="158" t="s">
        <v>159</v>
      </c>
      <c r="T460" s="158" t="s">
        <v>149</v>
      </c>
      <c r="U460" s="158" t="s">
        <v>149</v>
      </c>
      <c r="V460" s="158" t="s">
        <v>1252</v>
      </c>
      <c r="W460" s="158" t="s">
        <v>1224</v>
      </c>
      <c r="X460" s="158" t="s">
        <v>6068</v>
      </c>
      <c r="Y460" s="158" t="s">
        <v>1225</v>
      </c>
      <c r="Z460" s="158" t="s">
        <v>1226</v>
      </c>
      <c r="AA460" s="158"/>
      <c r="AB460" s="158" t="s">
        <v>6069</v>
      </c>
      <c r="AC460" s="158" t="s">
        <v>1227</v>
      </c>
      <c r="AD460" s="158" t="s">
        <v>6070</v>
      </c>
      <c r="AE460" s="158"/>
      <c r="AF460" s="158"/>
      <c r="AG460" s="158"/>
    </row>
    <row r="461" ht="15.75" customHeight="1">
      <c r="A461" s="230"/>
      <c r="B461" s="230"/>
      <c r="C461" s="153"/>
      <c r="D461" s="153"/>
      <c r="E461" s="153"/>
      <c r="F461" s="153"/>
      <c r="G461" s="153"/>
      <c r="H461" s="153"/>
      <c r="I461" s="230"/>
      <c r="J461" s="230"/>
      <c r="K461" s="230"/>
      <c r="L461" s="153"/>
      <c r="M461" s="153"/>
      <c r="N461" s="153"/>
      <c r="O461" s="153"/>
      <c r="P461" s="153"/>
      <c r="Q461" s="153"/>
      <c r="R461" s="153"/>
      <c r="S461" s="153"/>
      <c r="T461" s="153"/>
      <c r="U461" s="153"/>
      <c r="V461" s="153"/>
      <c r="W461" s="153"/>
      <c r="X461" s="153"/>
      <c r="Y461" s="153"/>
      <c r="Z461" s="153"/>
      <c r="AA461" s="153"/>
      <c r="AB461" s="153"/>
      <c r="AC461" s="153"/>
      <c r="AD461" s="153"/>
      <c r="AE461" s="153"/>
      <c r="AF461" s="153"/>
      <c r="AG461" s="153"/>
    </row>
    <row r="462" ht="15.75" customHeight="1">
      <c r="A462" s="230"/>
      <c r="B462" s="230"/>
      <c r="C462" s="153"/>
      <c r="D462" s="153"/>
      <c r="E462" s="153"/>
      <c r="F462" s="153"/>
      <c r="G462" s="153"/>
      <c r="H462" s="153"/>
      <c r="I462" s="230"/>
      <c r="J462" s="230"/>
      <c r="K462" s="230"/>
      <c r="L462" s="153"/>
      <c r="M462" s="153"/>
      <c r="N462" s="153"/>
      <c r="O462" s="153"/>
      <c r="P462" s="153"/>
      <c r="Q462" s="153"/>
      <c r="R462" s="153"/>
      <c r="S462" s="153"/>
      <c r="T462" s="153"/>
      <c r="U462" s="153"/>
      <c r="V462" s="153"/>
      <c r="W462" s="153"/>
      <c r="X462" s="153"/>
      <c r="Y462" s="153"/>
      <c r="Z462" s="153"/>
      <c r="AA462" s="153"/>
      <c r="AB462" s="153"/>
      <c r="AC462" s="153"/>
      <c r="AD462" s="153"/>
      <c r="AE462" s="153"/>
      <c r="AF462" s="153"/>
      <c r="AG462" s="153"/>
    </row>
    <row r="463" ht="15.75" customHeight="1">
      <c r="A463" s="230"/>
      <c r="B463" s="230"/>
      <c r="C463" s="153"/>
      <c r="D463" s="153"/>
      <c r="E463" s="153"/>
      <c r="F463" s="153"/>
      <c r="G463" s="153"/>
      <c r="H463" s="153"/>
      <c r="I463" s="230"/>
      <c r="J463" s="230"/>
      <c r="K463" s="230"/>
      <c r="L463" s="153"/>
      <c r="M463" s="153"/>
      <c r="N463" s="153"/>
      <c r="O463" s="153"/>
      <c r="P463" s="153"/>
      <c r="Q463" s="153"/>
      <c r="R463" s="153"/>
      <c r="S463" s="153"/>
      <c r="T463" s="153"/>
      <c r="U463" s="153"/>
      <c r="V463" s="153"/>
      <c r="W463" s="153"/>
      <c r="X463" s="153"/>
      <c r="Y463" s="153"/>
      <c r="Z463" s="153"/>
      <c r="AA463" s="153"/>
      <c r="AB463" s="153"/>
      <c r="AC463" s="153"/>
      <c r="AD463" s="153"/>
      <c r="AE463" s="153"/>
      <c r="AF463" s="153"/>
      <c r="AG463" s="153"/>
    </row>
    <row r="464" ht="15.75" customHeight="1">
      <c r="A464" s="245"/>
      <c r="B464" s="246"/>
      <c r="C464" s="247"/>
      <c r="D464" s="247"/>
      <c r="E464" s="247"/>
      <c r="F464" s="247"/>
      <c r="G464" s="247"/>
      <c r="H464" s="247"/>
      <c r="I464" s="246"/>
      <c r="J464" s="246"/>
      <c r="K464" s="246"/>
      <c r="L464" s="247"/>
      <c r="M464" s="247"/>
      <c r="N464" s="247"/>
      <c r="O464" s="247"/>
      <c r="P464" s="247"/>
      <c r="Q464" s="247"/>
      <c r="R464" s="247"/>
      <c r="S464" s="247"/>
      <c r="T464" s="247"/>
      <c r="U464" s="247"/>
      <c r="V464" s="247"/>
      <c r="W464" s="247"/>
      <c r="X464" s="247"/>
      <c r="Y464" s="247"/>
      <c r="Z464" s="247"/>
      <c r="AA464" s="247"/>
      <c r="AB464" s="247"/>
      <c r="AC464" s="247"/>
      <c r="AD464" s="247"/>
      <c r="AE464" s="247"/>
      <c r="AF464" s="247"/>
    </row>
    <row r="465" ht="15.75" customHeight="1">
      <c r="A465" s="245"/>
      <c r="B465" s="246"/>
      <c r="C465" s="247"/>
      <c r="D465" s="247"/>
      <c r="E465" s="247"/>
      <c r="F465" s="247"/>
      <c r="G465" s="247"/>
      <c r="H465" s="247"/>
      <c r="I465" s="246"/>
      <c r="J465" s="246"/>
      <c r="K465" s="246"/>
      <c r="L465" s="247"/>
      <c r="M465" s="247"/>
      <c r="N465" s="247"/>
      <c r="O465" s="247"/>
      <c r="P465" s="247"/>
      <c r="Q465" s="247"/>
      <c r="R465" s="247"/>
      <c r="S465" s="247"/>
      <c r="T465" s="247"/>
      <c r="U465" s="247"/>
      <c r="V465" s="247"/>
      <c r="W465" s="247"/>
      <c r="X465" s="247"/>
      <c r="Y465" s="247"/>
      <c r="Z465" s="247"/>
      <c r="AA465" s="247"/>
      <c r="AB465" s="247"/>
      <c r="AC465" s="247"/>
      <c r="AD465" s="247"/>
      <c r="AE465" s="247"/>
      <c r="AF465" s="247"/>
    </row>
    <row r="466" ht="15.75" customHeight="1">
      <c r="A466" s="230"/>
      <c r="B466" s="230"/>
      <c r="I466" s="230"/>
      <c r="J466" s="230"/>
      <c r="K466" s="230"/>
    </row>
    <row r="467" ht="15.75" customHeight="1">
      <c r="A467" s="230"/>
      <c r="B467" s="230"/>
      <c r="I467" s="230"/>
      <c r="J467" s="230"/>
      <c r="K467" s="230"/>
    </row>
    <row r="468" ht="15.75" customHeight="1">
      <c r="A468" s="230"/>
      <c r="B468" s="230"/>
      <c r="I468" s="230"/>
      <c r="J468" s="230"/>
      <c r="K468" s="230"/>
      <c r="AD468" s="172"/>
    </row>
    <row r="469" ht="15.75" customHeight="1">
      <c r="A469" s="230"/>
      <c r="B469" s="230"/>
      <c r="I469" s="230"/>
      <c r="J469" s="230"/>
      <c r="K469" s="230"/>
      <c r="AD469" s="172"/>
    </row>
    <row r="470" ht="15.75" customHeight="1">
      <c r="A470" s="230"/>
      <c r="B470" s="230"/>
      <c r="I470" s="230"/>
      <c r="J470" s="230"/>
      <c r="K470" s="230"/>
      <c r="AD470" s="172"/>
    </row>
    <row r="471" ht="15.75" customHeight="1">
      <c r="A471" s="230"/>
      <c r="B471" s="230"/>
      <c r="I471" s="230"/>
      <c r="J471" s="230"/>
      <c r="K471" s="230"/>
      <c r="AD471" s="172"/>
    </row>
    <row r="472" ht="15.75" customHeight="1">
      <c r="A472" s="230"/>
      <c r="B472" s="230"/>
      <c r="I472" s="230"/>
      <c r="J472" s="230"/>
      <c r="K472" s="230"/>
      <c r="AD472" s="172"/>
    </row>
    <row r="473" ht="15.75" customHeight="1">
      <c r="A473" s="230"/>
      <c r="B473" s="230"/>
      <c r="I473" s="230"/>
      <c r="J473" s="230"/>
      <c r="K473" s="230"/>
      <c r="AD473" s="172"/>
    </row>
    <row r="474" ht="15.75" customHeight="1">
      <c r="A474" s="230"/>
      <c r="B474" s="230"/>
      <c r="I474" s="230"/>
      <c r="J474" s="230"/>
      <c r="K474" s="230"/>
      <c r="AD474" s="172"/>
    </row>
    <row r="475" ht="15.75" customHeight="1">
      <c r="A475" s="230"/>
      <c r="B475" s="230"/>
      <c r="I475" s="230"/>
      <c r="J475" s="230"/>
      <c r="K475" s="230"/>
      <c r="AD475" s="172"/>
    </row>
    <row r="476" ht="15.75" customHeight="1">
      <c r="A476" s="230"/>
      <c r="B476" s="230"/>
      <c r="I476" s="230"/>
      <c r="J476" s="230"/>
      <c r="K476" s="230"/>
      <c r="AD476" s="172"/>
    </row>
    <row r="477" ht="15.75" customHeight="1">
      <c r="A477" s="230"/>
      <c r="B477" s="230"/>
      <c r="I477" s="230"/>
      <c r="J477" s="230"/>
      <c r="K477" s="230"/>
      <c r="AD477" s="172"/>
    </row>
    <row r="478" ht="15.75" customHeight="1">
      <c r="A478" s="230"/>
      <c r="B478" s="230"/>
      <c r="I478" s="230"/>
      <c r="J478" s="230"/>
      <c r="K478" s="230"/>
      <c r="AD478" s="172"/>
    </row>
    <row r="479" ht="15.75" customHeight="1">
      <c r="A479" s="230"/>
      <c r="B479" s="230"/>
      <c r="I479" s="230"/>
      <c r="J479" s="230"/>
      <c r="K479" s="230"/>
      <c r="AD479" s="172"/>
    </row>
    <row r="480" ht="15.75" customHeight="1">
      <c r="A480" s="230"/>
      <c r="B480" s="230"/>
      <c r="I480" s="230"/>
      <c r="J480" s="230"/>
      <c r="K480" s="230"/>
      <c r="AD480" s="172"/>
    </row>
    <row r="481" ht="15.75" customHeight="1">
      <c r="A481" s="230"/>
      <c r="B481" s="230"/>
      <c r="I481" s="230"/>
      <c r="J481" s="230"/>
      <c r="K481" s="230"/>
      <c r="AD481" s="172"/>
    </row>
    <row r="482" ht="15.75" customHeight="1">
      <c r="A482" s="230"/>
      <c r="B482" s="230"/>
      <c r="I482" s="230"/>
      <c r="J482" s="230"/>
      <c r="K482" s="230"/>
      <c r="AD482" s="172"/>
    </row>
    <row r="483" ht="15.75" customHeight="1">
      <c r="A483" s="230"/>
      <c r="B483" s="230"/>
      <c r="I483" s="230"/>
      <c r="J483" s="230"/>
      <c r="K483" s="230"/>
      <c r="AD483" s="172"/>
    </row>
    <row r="484" ht="15.75" customHeight="1">
      <c r="A484" s="230"/>
      <c r="B484" s="230"/>
      <c r="I484" s="230"/>
      <c r="J484" s="230"/>
      <c r="K484" s="230"/>
      <c r="AD484" s="172"/>
    </row>
    <row r="485" ht="15.75" customHeight="1">
      <c r="A485" s="230"/>
      <c r="B485" s="230"/>
      <c r="I485" s="230"/>
      <c r="J485" s="230"/>
      <c r="K485" s="230"/>
      <c r="AD485" s="172"/>
    </row>
    <row r="486" ht="15.75" customHeight="1">
      <c r="A486" s="230"/>
      <c r="B486" s="230"/>
      <c r="I486" s="230"/>
      <c r="J486" s="230"/>
      <c r="K486" s="230"/>
      <c r="AD486" s="172"/>
    </row>
    <row r="487" ht="15.75" customHeight="1">
      <c r="A487" s="230"/>
      <c r="B487" s="230"/>
      <c r="I487" s="230"/>
      <c r="J487" s="230"/>
      <c r="K487" s="230"/>
      <c r="AD487" s="172"/>
    </row>
    <row r="488" ht="15.75" customHeight="1">
      <c r="A488" s="230"/>
      <c r="B488" s="230"/>
      <c r="I488" s="230"/>
      <c r="J488" s="230"/>
      <c r="K488" s="230"/>
      <c r="AD488" s="172"/>
    </row>
    <row r="489" ht="15.75" customHeight="1">
      <c r="A489" s="230"/>
      <c r="B489" s="230"/>
      <c r="I489" s="230"/>
      <c r="J489" s="230"/>
      <c r="K489" s="230"/>
      <c r="AD489" s="172"/>
    </row>
    <row r="490" ht="15.75" customHeight="1">
      <c r="A490" s="230"/>
      <c r="B490" s="230"/>
      <c r="I490" s="230"/>
      <c r="J490" s="230"/>
      <c r="K490" s="230"/>
      <c r="AD490" s="172"/>
    </row>
    <row r="491" ht="15.75" customHeight="1">
      <c r="A491" s="230"/>
      <c r="B491" s="230"/>
      <c r="I491" s="230"/>
      <c r="J491" s="230"/>
      <c r="K491" s="230"/>
      <c r="AD491" s="172"/>
    </row>
    <row r="492" ht="15.75" customHeight="1">
      <c r="A492" s="230"/>
      <c r="B492" s="230"/>
      <c r="I492" s="230"/>
      <c r="J492" s="230"/>
      <c r="K492" s="230"/>
      <c r="AD492" s="172"/>
    </row>
    <row r="493" ht="15.75" customHeight="1">
      <c r="A493" s="230"/>
      <c r="B493" s="230"/>
      <c r="I493" s="230"/>
      <c r="J493" s="230"/>
      <c r="K493" s="230"/>
      <c r="AD493" s="172"/>
    </row>
    <row r="494" ht="15.75" customHeight="1">
      <c r="A494" s="230"/>
      <c r="B494" s="230"/>
      <c r="I494" s="230"/>
      <c r="J494" s="230"/>
      <c r="K494" s="230"/>
      <c r="AD494" s="172"/>
    </row>
    <row r="495" ht="15.75" customHeight="1">
      <c r="A495" s="230"/>
      <c r="B495" s="230"/>
      <c r="I495" s="230"/>
      <c r="J495" s="230"/>
      <c r="K495" s="230"/>
      <c r="AD495" s="172"/>
    </row>
    <row r="496" ht="15.75" customHeight="1">
      <c r="A496" s="230"/>
      <c r="B496" s="230"/>
      <c r="I496" s="230"/>
      <c r="J496" s="230"/>
      <c r="K496" s="230"/>
      <c r="AD496" s="172"/>
    </row>
    <row r="497" ht="15.75" customHeight="1">
      <c r="A497" s="230"/>
      <c r="B497" s="230"/>
      <c r="I497" s="230"/>
      <c r="J497" s="230"/>
      <c r="K497" s="230"/>
      <c r="AD497" s="172"/>
    </row>
    <row r="498" ht="15.75" customHeight="1">
      <c r="A498" s="230"/>
      <c r="B498" s="230"/>
      <c r="I498" s="230"/>
      <c r="J498" s="230"/>
      <c r="K498" s="230"/>
      <c r="AD498" s="172"/>
    </row>
    <row r="499" ht="15.75" customHeight="1">
      <c r="A499" s="230"/>
      <c r="B499" s="230"/>
      <c r="I499" s="230"/>
      <c r="J499" s="230"/>
      <c r="K499" s="230"/>
    </row>
    <row r="500" ht="15.75" customHeight="1">
      <c r="A500" s="230"/>
      <c r="B500" s="230"/>
      <c r="I500" s="230"/>
      <c r="J500" s="230"/>
      <c r="K500" s="230"/>
    </row>
    <row r="501" ht="15.75" customHeight="1">
      <c r="A501" s="230"/>
      <c r="B501" s="230"/>
      <c r="I501" s="230"/>
      <c r="J501" s="230"/>
      <c r="K501" s="230"/>
    </row>
    <row r="502" ht="15.75" customHeight="1">
      <c r="A502" s="230"/>
      <c r="B502" s="230"/>
      <c r="I502" s="230"/>
      <c r="J502" s="230"/>
      <c r="K502" s="230"/>
    </row>
    <row r="503" ht="15.75" customHeight="1">
      <c r="A503" s="230"/>
      <c r="B503" s="230"/>
      <c r="I503" s="230"/>
      <c r="J503" s="230"/>
      <c r="K503" s="230"/>
    </row>
    <row r="504" ht="15.75" customHeight="1">
      <c r="A504" s="230"/>
      <c r="B504" s="230"/>
      <c r="I504" s="230"/>
      <c r="J504" s="230"/>
      <c r="K504" s="230"/>
    </row>
    <row r="505" ht="15.75" customHeight="1">
      <c r="A505" s="230"/>
      <c r="B505" s="230"/>
      <c r="I505" s="230"/>
      <c r="J505" s="230"/>
      <c r="K505" s="230"/>
    </row>
    <row r="506" ht="15.75" customHeight="1">
      <c r="A506" s="230"/>
      <c r="B506" s="230"/>
      <c r="I506" s="230"/>
      <c r="J506" s="230"/>
      <c r="K506" s="230"/>
    </row>
    <row r="507" ht="15.75" customHeight="1">
      <c r="A507" s="230"/>
      <c r="B507" s="230"/>
      <c r="I507" s="230"/>
      <c r="J507" s="230"/>
      <c r="K507" s="230"/>
    </row>
    <row r="508" ht="15.75" customHeight="1">
      <c r="A508" s="230"/>
      <c r="B508" s="230"/>
      <c r="I508" s="230"/>
      <c r="J508" s="230"/>
      <c r="K508" s="230"/>
    </row>
    <row r="509" ht="15.75" customHeight="1">
      <c r="A509" s="230"/>
      <c r="B509" s="230"/>
      <c r="I509" s="230"/>
      <c r="J509" s="230"/>
      <c r="K509" s="230"/>
    </row>
    <row r="510" ht="15.75" customHeight="1">
      <c r="A510" s="230"/>
      <c r="B510" s="230"/>
      <c r="I510" s="230"/>
      <c r="J510" s="230"/>
      <c r="K510" s="230"/>
    </row>
    <row r="511" ht="15.75" customHeight="1">
      <c r="A511" s="230"/>
      <c r="B511" s="230"/>
      <c r="I511" s="230"/>
      <c r="J511" s="230"/>
      <c r="K511" s="230"/>
    </row>
    <row r="512" ht="15.75" customHeight="1">
      <c r="A512" s="230"/>
      <c r="B512" s="230"/>
      <c r="I512" s="230"/>
      <c r="J512" s="230"/>
      <c r="K512" s="230"/>
    </row>
    <row r="513" ht="15.75" customHeight="1">
      <c r="A513" s="230"/>
      <c r="B513" s="230"/>
      <c r="I513" s="230"/>
      <c r="J513" s="230"/>
      <c r="K513" s="230"/>
    </row>
    <row r="514" ht="15.75" customHeight="1">
      <c r="A514" s="230"/>
      <c r="B514" s="230"/>
      <c r="I514" s="230"/>
      <c r="J514" s="230"/>
      <c r="K514" s="230"/>
    </row>
    <row r="515" ht="15.75" customHeight="1">
      <c r="A515" s="230"/>
      <c r="B515" s="230"/>
      <c r="I515" s="230"/>
      <c r="J515" s="230"/>
      <c r="K515" s="230"/>
    </row>
    <row r="516" ht="15.75" customHeight="1">
      <c r="A516" s="230"/>
      <c r="B516" s="230"/>
      <c r="I516" s="230"/>
      <c r="J516" s="230"/>
      <c r="K516" s="230"/>
    </row>
    <row r="517" ht="15.75" customHeight="1">
      <c r="A517" s="230"/>
      <c r="B517" s="230"/>
      <c r="I517" s="230"/>
      <c r="J517" s="230"/>
      <c r="K517" s="230"/>
    </row>
    <row r="518" ht="15.75" customHeight="1">
      <c r="A518" s="230"/>
      <c r="B518" s="230"/>
      <c r="I518" s="230"/>
      <c r="J518" s="230"/>
      <c r="K518" s="230"/>
    </row>
    <row r="519" ht="15.75" customHeight="1">
      <c r="A519" s="230"/>
      <c r="B519" s="230"/>
      <c r="I519" s="230"/>
      <c r="J519" s="230"/>
      <c r="K519" s="230"/>
    </row>
    <row r="520" ht="15.75" customHeight="1">
      <c r="A520" s="230"/>
      <c r="B520" s="230"/>
      <c r="I520" s="230"/>
      <c r="J520" s="230"/>
      <c r="K520" s="230"/>
    </row>
    <row r="521" ht="15.75" customHeight="1">
      <c r="A521" s="230"/>
      <c r="B521" s="230"/>
      <c r="I521" s="230"/>
      <c r="J521" s="230"/>
      <c r="K521" s="230"/>
    </row>
    <row r="522" ht="15.75" customHeight="1">
      <c r="A522" s="230"/>
      <c r="B522" s="230"/>
      <c r="I522" s="230"/>
      <c r="J522" s="230"/>
      <c r="K522" s="230"/>
    </row>
    <row r="523" ht="15.75" customHeight="1">
      <c r="A523" s="230"/>
      <c r="B523" s="230"/>
      <c r="I523" s="230"/>
      <c r="J523" s="230"/>
      <c r="K523" s="230"/>
    </row>
    <row r="524" ht="15.75" customHeight="1">
      <c r="A524" s="230"/>
      <c r="B524" s="230"/>
      <c r="I524" s="230"/>
      <c r="J524" s="230"/>
      <c r="K524" s="230"/>
    </row>
    <row r="525" ht="15.75" customHeight="1">
      <c r="A525" s="230"/>
      <c r="B525" s="230"/>
      <c r="I525" s="230"/>
      <c r="J525" s="230"/>
      <c r="K525" s="230"/>
    </row>
    <row r="526" ht="15.75" customHeight="1">
      <c r="A526" s="230"/>
      <c r="B526" s="230"/>
      <c r="I526" s="230"/>
      <c r="J526" s="230"/>
      <c r="K526" s="230"/>
    </row>
    <row r="527" ht="15.75" customHeight="1">
      <c r="A527" s="230"/>
      <c r="B527" s="230"/>
      <c r="I527" s="230"/>
      <c r="J527" s="230"/>
      <c r="K527" s="230"/>
    </row>
    <row r="528" ht="15.75" customHeight="1">
      <c r="A528" s="230"/>
      <c r="B528" s="230"/>
      <c r="I528" s="230"/>
      <c r="J528" s="230"/>
      <c r="K528" s="230"/>
    </row>
    <row r="529" ht="15.75" customHeight="1">
      <c r="A529" s="230"/>
      <c r="B529" s="230"/>
      <c r="I529" s="230"/>
      <c r="J529" s="230"/>
      <c r="K529" s="230"/>
    </row>
    <row r="530" ht="15.75" customHeight="1">
      <c r="A530" s="230"/>
      <c r="B530" s="230"/>
      <c r="I530" s="230"/>
      <c r="J530" s="230"/>
      <c r="K530" s="230"/>
    </row>
    <row r="531" ht="15.75" customHeight="1">
      <c r="A531" s="230"/>
      <c r="B531" s="230"/>
      <c r="I531" s="230"/>
      <c r="J531" s="230"/>
      <c r="K531" s="230"/>
    </row>
    <row r="532" ht="15.75" customHeight="1">
      <c r="A532" s="230"/>
      <c r="B532" s="230"/>
      <c r="I532" s="230"/>
      <c r="J532" s="230"/>
      <c r="K532" s="230"/>
    </row>
    <row r="533" ht="15.75" customHeight="1">
      <c r="A533" s="230"/>
      <c r="B533" s="230"/>
      <c r="I533" s="230"/>
      <c r="J533" s="230"/>
      <c r="K533" s="230"/>
    </row>
    <row r="534" ht="15.75" customHeight="1">
      <c r="A534" s="230"/>
      <c r="B534" s="230"/>
      <c r="I534" s="230"/>
      <c r="J534" s="230"/>
      <c r="K534" s="230"/>
    </row>
    <row r="535" ht="15.75" customHeight="1">
      <c r="A535" s="230"/>
      <c r="B535" s="230"/>
      <c r="I535" s="230"/>
      <c r="J535" s="230"/>
      <c r="K535" s="230"/>
    </row>
    <row r="536" ht="15.75" customHeight="1">
      <c r="A536" s="230"/>
      <c r="B536" s="230"/>
      <c r="I536" s="230"/>
      <c r="J536" s="230"/>
      <c r="K536" s="230"/>
    </row>
    <row r="537" ht="15.75" customHeight="1">
      <c r="A537" s="230"/>
      <c r="B537" s="230"/>
      <c r="I537" s="230"/>
      <c r="J537" s="230"/>
      <c r="K537" s="230"/>
    </row>
    <row r="538" ht="15.75" customHeight="1">
      <c r="A538" s="230"/>
      <c r="B538" s="230"/>
      <c r="I538" s="230"/>
      <c r="J538" s="230"/>
      <c r="K538" s="230"/>
    </row>
    <row r="539" ht="15.75" customHeight="1">
      <c r="A539" s="230"/>
      <c r="B539" s="230"/>
      <c r="I539" s="230"/>
      <c r="J539" s="230"/>
      <c r="K539" s="230"/>
    </row>
    <row r="540" ht="15.75" customHeight="1">
      <c r="A540" s="230"/>
      <c r="B540" s="230"/>
      <c r="I540" s="230"/>
      <c r="J540" s="230"/>
      <c r="K540" s="230"/>
    </row>
    <row r="541" ht="15.75" customHeight="1">
      <c r="A541" s="230"/>
      <c r="B541" s="230"/>
      <c r="I541" s="230"/>
      <c r="J541" s="230"/>
      <c r="K541" s="230"/>
    </row>
    <row r="542" ht="15.75" customHeight="1">
      <c r="A542" s="230"/>
      <c r="B542" s="230"/>
      <c r="I542" s="230"/>
      <c r="J542" s="230"/>
      <c r="K542" s="230"/>
    </row>
    <row r="543" ht="15.75" customHeight="1">
      <c r="A543" s="230"/>
      <c r="B543" s="230"/>
      <c r="I543" s="230"/>
      <c r="J543" s="230"/>
      <c r="K543" s="230"/>
    </row>
    <row r="544" ht="15.75" customHeight="1">
      <c r="A544" s="230"/>
      <c r="B544" s="230"/>
      <c r="I544" s="230"/>
      <c r="J544" s="230"/>
      <c r="K544" s="230"/>
    </row>
    <row r="545" ht="15.75" customHeight="1">
      <c r="A545" s="230"/>
      <c r="B545" s="230"/>
      <c r="I545" s="230"/>
      <c r="J545" s="230"/>
      <c r="K545" s="230"/>
    </row>
    <row r="546" ht="15.75" customHeight="1">
      <c r="A546" s="230"/>
      <c r="B546" s="230"/>
      <c r="I546" s="230"/>
      <c r="J546" s="230"/>
      <c r="K546" s="230"/>
    </row>
    <row r="547" ht="15.75" customHeight="1">
      <c r="A547" s="230"/>
      <c r="B547" s="230"/>
      <c r="I547" s="230"/>
      <c r="J547" s="230"/>
      <c r="K547" s="230"/>
    </row>
    <row r="548" ht="15.75" customHeight="1">
      <c r="A548" s="230"/>
      <c r="B548" s="230"/>
      <c r="I548" s="230"/>
      <c r="J548" s="230"/>
      <c r="K548" s="230"/>
    </row>
    <row r="549" ht="15.75" customHeight="1">
      <c r="A549" s="230"/>
      <c r="B549" s="230"/>
      <c r="I549" s="230"/>
      <c r="J549" s="230"/>
      <c r="K549" s="230"/>
    </row>
    <row r="550" ht="15.75" customHeight="1">
      <c r="A550" s="230"/>
      <c r="B550" s="230"/>
      <c r="I550" s="230"/>
      <c r="J550" s="230"/>
      <c r="K550" s="230"/>
    </row>
    <row r="551" ht="15.75" customHeight="1">
      <c r="A551" s="230"/>
      <c r="B551" s="230"/>
      <c r="I551" s="230"/>
      <c r="J551" s="230"/>
      <c r="K551" s="230"/>
    </row>
    <row r="552" ht="15.75" customHeight="1">
      <c r="A552" s="230"/>
      <c r="B552" s="230"/>
      <c r="I552" s="230"/>
      <c r="J552" s="230"/>
      <c r="K552" s="230"/>
    </row>
    <row r="553" ht="15.75" customHeight="1">
      <c r="A553" s="230"/>
      <c r="B553" s="230"/>
      <c r="I553" s="230"/>
      <c r="J553" s="230"/>
      <c r="K553" s="230"/>
    </row>
    <row r="554" ht="15.75" customHeight="1">
      <c r="A554" s="230"/>
      <c r="B554" s="230"/>
      <c r="I554" s="230"/>
      <c r="J554" s="230"/>
      <c r="K554" s="230"/>
    </row>
    <row r="555" ht="15.75" customHeight="1">
      <c r="A555" s="230"/>
      <c r="B555" s="230"/>
      <c r="I555" s="230"/>
      <c r="J555" s="230"/>
      <c r="K555" s="230"/>
    </row>
    <row r="556" ht="15.75" customHeight="1">
      <c r="A556" s="230"/>
      <c r="B556" s="230"/>
      <c r="I556" s="230"/>
      <c r="J556" s="230"/>
      <c r="K556" s="230"/>
    </row>
    <row r="557" ht="15.75" customHeight="1">
      <c r="A557" s="230"/>
      <c r="B557" s="230"/>
      <c r="I557" s="230"/>
      <c r="J557" s="230"/>
      <c r="K557" s="230"/>
    </row>
    <row r="558" ht="15.75" customHeight="1">
      <c r="A558" s="230"/>
      <c r="B558" s="230"/>
      <c r="I558" s="230"/>
      <c r="J558" s="230"/>
      <c r="K558" s="230"/>
    </row>
    <row r="559" ht="15.75" customHeight="1">
      <c r="A559" s="230"/>
      <c r="B559" s="230"/>
      <c r="I559" s="230"/>
      <c r="J559" s="230"/>
      <c r="K559" s="230"/>
    </row>
    <row r="560" ht="15.75" customHeight="1">
      <c r="A560" s="230"/>
      <c r="B560" s="230"/>
      <c r="I560" s="230"/>
      <c r="J560" s="230"/>
      <c r="K560" s="230"/>
    </row>
    <row r="561" ht="15.75" customHeight="1">
      <c r="A561" s="230"/>
      <c r="B561" s="230"/>
      <c r="I561" s="230"/>
      <c r="J561" s="230"/>
      <c r="K561" s="230"/>
    </row>
    <row r="562" ht="15.75" customHeight="1">
      <c r="A562" s="230"/>
      <c r="B562" s="230"/>
      <c r="I562" s="230"/>
      <c r="J562" s="230"/>
      <c r="K562" s="230"/>
    </row>
    <row r="563" ht="15.75" customHeight="1">
      <c r="A563" s="230"/>
      <c r="B563" s="230"/>
      <c r="I563" s="230"/>
      <c r="J563" s="230"/>
      <c r="K563" s="230"/>
    </row>
    <row r="564" ht="15.75" customHeight="1">
      <c r="A564" s="230"/>
      <c r="B564" s="230"/>
      <c r="I564" s="230"/>
      <c r="J564" s="230"/>
      <c r="K564" s="230"/>
    </row>
    <row r="565" ht="15.75" customHeight="1">
      <c r="A565" s="230"/>
      <c r="B565" s="230"/>
      <c r="I565" s="230"/>
      <c r="J565" s="230"/>
      <c r="K565" s="230"/>
    </row>
    <row r="566" ht="15.75" customHeight="1">
      <c r="A566" s="230"/>
      <c r="B566" s="230"/>
      <c r="I566" s="230"/>
      <c r="J566" s="230"/>
      <c r="K566" s="230"/>
    </row>
    <row r="567" ht="15.75" customHeight="1">
      <c r="A567" s="230"/>
      <c r="B567" s="230"/>
      <c r="I567" s="230"/>
      <c r="J567" s="230"/>
      <c r="K567" s="230"/>
    </row>
    <row r="568" ht="15.75" customHeight="1">
      <c r="A568" s="230"/>
      <c r="B568" s="230"/>
      <c r="I568" s="230"/>
      <c r="J568" s="230"/>
      <c r="K568" s="230"/>
    </row>
    <row r="569" ht="15.75" customHeight="1">
      <c r="A569" s="230"/>
      <c r="B569" s="230"/>
      <c r="I569" s="230"/>
      <c r="J569" s="230"/>
      <c r="K569" s="230"/>
    </row>
    <row r="570" ht="15.75" customHeight="1">
      <c r="A570" s="230"/>
      <c r="B570" s="230"/>
      <c r="I570" s="230"/>
      <c r="J570" s="230"/>
      <c r="K570" s="230"/>
    </row>
    <row r="571" ht="15.75" customHeight="1">
      <c r="A571" s="230"/>
      <c r="B571" s="230"/>
      <c r="I571" s="230"/>
      <c r="J571" s="230"/>
      <c r="K571" s="230"/>
    </row>
    <row r="572" ht="15.75" customHeight="1">
      <c r="A572" s="230"/>
      <c r="B572" s="230"/>
      <c r="I572" s="230"/>
      <c r="J572" s="230"/>
      <c r="K572" s="230"/>
    </row>
    <row r="573" ht="15.75" customHeight="1">
      <c r="A573" s="230"/>
      <c r="B573" s="230"/>
      <c r="I573" s="230"/>
      <c r="J573" s="230"/>
      <c r="K573" s="230"/>
    </row>
    <row r="574" ht="15.75" customHeight="1">
      <c r="A574" s="230"/>
      <c r="B574" s="230"/>
      <c r="I574" s="230"/>
      <c r="J574" s="230"/>
      <c r="K574" s="230"/>
    </row>
    <row r="575" ht="15.75" customHeight="1">
      <c r="A575" s="230"/>
      <c r="B575" s="230"/>
      <c r="I575" s="230"/>
      <c r="J575" s="230"/>
      <c r="K575" s="230"/>
    </row>
    <row r="576" ht="15.75" customHeight="1">
      <c r="A576" s="230"/>
      <c r="B576" s="230"/>
      <c r="I576" s="230"/>
      <c r="J576" s="230"/>
      <c r="K576" s="230"/>
    </row>
    <row r="577" ht="15.75" customHeight="1">
      <c r="A577" s="230"/>
      <c r="B577" s="230"/>
      <c r="I577" s="230"/>
      <c r="J577" s="230"/>
      <c r="K577" s="230"/>
    </row>
    <row r="578" ht="15.75" customHeight="1">
      <c r="A578" s="230"/>
      <c r="B578" s="230"/>
      <c r="I578" s="230"/>
      <c r="J578" s="230"/>
      <c r="K578" s="230"/>
    </row>
    <row r="579" ht="15.75" customHeight="1">
      <c r="A579" s="230"/>
      <c r="B579" s="230"/>
      <c r="I579" s="230"/>
      <c r="J579" s="230"/>
      <c r="K579" s="230"/>
    </row>
    <row r="580" ht="15.75" customHeight="1">
      <c r="A580" s="230"/>
      <c r="B580" s="230"/>
      <c r="I580" s="230"/>
      <c r="J580" s="230"/>
      <c r="K580" s="230"/>
    </row>
    <row r="581" ht="15.75" customHeight="1">
      <c r="A581" s="230"/>
      <c r="B581" s="230"/>
      <c r="I581" s="230"/>
      <c r="J581" s="230"/>
      <c r="K581" s="230"/>
    </row>
    <row r="582" ht="15.75" customHeight="1">
      <c r="A582" s="230"/>
      <c r="B582" s="230"/>
      <c r="I582" s="230"/>
      <c r="J582" s="230"/>
      <c r="K582" s="230"/>
    </row>
    <row r="583" ht="15.75" customHeight="1">
      <c r="A583" s="230"/>
      <c r="B583" s="230"/>
      <c r="I583" s="230"/>
      <c r="J583" s="230"/>
      <c r="K583" s="230"/>
    </row>
    <row r="584" ht="15.75" customHeight="1">
      <c r="A584" s="230"/>
      <c r="B584" s="230"/>
      <c r="I584" s="230"/>
      <c r="J584" s="230"/>
      <c r="K584" s="230"/>
    </row>
    <row r="585" ht="15.75" customHeight="1">
      <c r="A585" s="230"/>
      <c r="B585" s="230"/>
      <c r="I585" s="230"/>
      <c r="J585" s="230"/>
      <c r="K585" s="230"/>
    </row>
    <row r="586" ht="15.75" customHeight="1">
      <c r="A586" s="230"/>
      <c r="B586" s="230"/>
      <c r="I586" s="230"/>
      <c r="J586" s="230"/>
      <c r="K586" s="230"/>
    </row>
    <row r="587" ht="15.75" customHeight="1">
      <c r="A587" s="230"/>
      <c r="B587" s="230"/>
      <c r="I587" s="230"/>
      <c r="J587" s="230"/>
      <c r="K587" s="230"/>
    </row>
    <row r="588" ht="15.75" customHeight="1">
      <c r="A588" s="230"/>
      <c r="B588" s="230"/>
      <c r="I588" s="230"/>
      <c r="J588" s="230"/>
      <c r="K588" s="230"/>
    </row>
    <row r="589" ht="15.75" customHeight="1">
      <c r="A589" s="230"/>
      <c r="B589" s="230"/>
      <c r="I589" s="230"/>
      <c r="J589" s="230"/>
      <c r="K589" s="230"/>
    </row>
    <row r="590" ht="15.75" customHeight="1">
      <c r="A590" s="230"/>
      <c r="B590" s="230"/>
      <c r="I590" s="230"/>
      <c r="J590" s="230"/>
      <c r="K590" s="230"/>
    </row>
    <row r="591" ht="15.75" customHeight="1">
      <c r="A591" s="230"/>
      <c r="B591" s="230"/>
      <c r="I591" s="230"/>
      <c r="J591" s="230"/>
      <c r="K591" s="230"/>
    </row>
    <row r="592" ht="15.75" customHeight="1">
      <c r="A592" s="230"/>
      <c r="B592" s="230"/>
      <c r="I592" s="230"/>
      <c r="J592" s="230"/>
      <c r="K592" s="230"/>
    </row>
    <row r="593" ht="15.75" customHeight="1">
      <c r="A593" s="230"/>
      <c r="B593" s="230"/>
      <c r="I593" s="230"/>
      <c r="J593" s="230"/>
      <c r="K593" s="230"/>
    </row>
    <row r="594" ht="15.75" customHeight="1">
      <c r="A594" s="230"/>
      <c r="B594" s="230"/>
      <c r="I594" s="230"/>
      <c r="J594" s="230"/>
      <c r="K594" s="230"/>
    </row>
    <row r="595" ht="15.75" customHeight="1">
      <c r="A595" s="230"/>
      <c r="B595" s="230"/>
      <c r="I595" s="230"/>
      <c r="J595" s="230"/>
      <c r="K595" s="230"/>
    </row>
    <row r="596" ht="15.75" customHeight="1">
      <c r="A596" s="230"/>
      <c r="B596" s="230"/>
      <c r="I596" s="230"/>
      <c r="J596" s="230"/>
      <c r="K596" s="230"/>
    </row>
    <row r="597" ht="15.75" customHeight="1">
      <c r="A597" s="230"/>
      <c r="B597" s="230"/>
      <c r="I597" s="230"/>
      <c r="J597" s="230"/>
      <c r="K597" s="230"/>
    </row>
    <row r="598" ht="15.75" customHeight="1">
      <c r="A598" s="230"/>
      <c r="B598" s="230"/>
      <c r="I598" s="230"/>
      <c r="J598" s="230"/>
      <c r="K598" s="230"/>
    </row>
    <row r="599" ht="15.75" customHeight="1">
      <c r="A599" s="230"/>
      <c r="B599" s="230"/>
      <c r="I599" s="230"/>
      <c r="J599" s="230"/>
      <c r="K599" s="230"/>
    </row>
    <row r="600" ht="15.75" customHeight="1">
      <c r="A600" s="230"/>
      <c r="B600" s="230"/>
      <c r="I600" s="230"/>
      <c r="J600" s="230"/>
      <c r="K600" s="230"/>
    </row>
    <row r="601" ht="15.75" customHeight="1">
      <c r="A601" s="230"/>
      <c r="B601" s="230"/>
      <c r="I601" s="230"/>
      <c r="J601" s="230"/>
      <c r="K601" s="230"/>
    </row>
    <row r="602" ht="15.75" customHeight="1">
      <c r="A602" s="230"/>
      <c r="B602" s="230"/>
      <c r="I602" s="230"/>
      <c r="J602" s="230"/>
      <c r="K602" s="230"/>
    </row>
    <row r="603" ht="15.75" customHeight="1">
      <c r="A603" s="230"/>
      <c r="B603" s="230"/>
      <c r="I603" s="230"/>
      <c r="J603" s="230"/>
      <c r="K603" s="230"/>
    </row>
    <row r="604" ht="15.75" customHeight="1">
      <c r="A604" s="230"/>
      <c r="B604" s="230"/>
      <c r="I604" s="230"/>
      <c r="J604" s="230"/>
      <c r="K604" s="230"/>
    </row>
    <row r="605" ht="15.75" customHeight="1">
      <c r="A605" s="230"/>
      <c r="B605" s="230"/>
      <c r="I605" s="230"/>
      <c r="J605" s="230"/>
      <c r="K605" s="230"/>
    </row>
    <row r="606" ht="15.75" customHeight="1">
      <c r="A606" s="230"/>
      <c r="B606" s="230"/>
      <c r="I606" s="230"/>
      <c r="J606" s="230"/>
      <c r="K606" s="230"/>
    </row>
    <row r="607" ht="15.75" customHeight="1">
      <c r="A607" s="230"/>
      <c r="B607" s="230"/>
      <c r="I607" s="230"/>
      <c r="J607" s="230"/>
      <c r="K607" s="230"/>
    </row>
    <row r="608" ht="15.75" customHeight="1">
      <c r="A608" s="230"/>
      <c r="B608" s="230"/>
      <c r="I608" s="230"/>
      <c r="J608" s="230"/>
      <c r="K608" s="230"/>
    </row>
    <row r="609" ht="15.75" customHeight="1">
      <c r="A609" s="230"/>
      <c r="B609" s="230"/>
      <c r="I609" s="230"/>
      <c r="J609" s="230"/>
      <c r="K609" s="230"/>
    </row>
    <row r="610" ht="15.75" customHeight="1">
      <c r="A610" s="230"/>
      <c r="B610" s="230"/>
      <c r="I610" s="230"/>
      <c r="J610" s="230"/>
      <c r="K610" s="230"/>
    </row>
    <row r="611" ht="15.75" customHeight="1">
      <c r="A611" s="230"/>
      <c r="B611" s="230"/>
      <c r="I611" s="230"/>
      <c r="J611" s="230"/>
      <c r="K611" s="230"/>
    </row>
    <row r="612" ht="15.75" customHeight="1">
      <c r="A612" s="230"/>
      <c r="B612" s="230"/>
      <c r="I612" s="230"/>
      <c r="J612" s="230"/>
      <c r="K612" s="230"/>
    </row>
    <row r="613" ht="15.75" customHeight="1">
      <c r="A613" s="230"/>
      <c r="B613" s="230"/>
      <c r="I613" s="230"/>
      <c r="J613" s="230"/>
      <c r="K613" s="230"/>
    </row>
    <row r="614" ht="15.75" customHeight="1">
      <c r="A614" s="230"/>
      <c r="B614" s="230"/>
      <c r="I614" s="230"/>
      <c r="J614" s="230"/>
      <c r="K614" s="230"/>
    </row>
    <row r="615" ht="15.75" customHeight="1">
      <c r="A615" s="230"/>
      <c r="B615" s="230"/>
      <c r="I615" s="230"/>
      <c r="J615" s="230"/>
      <c r="K615" s="230"/>
    </row>
    <row r="616" ht="15.75" customHeight="1">
      <c r="A616" s="230"/>
      <c r="B616" s="230"/>
      <c r="I616" s="230"/>
      <c r="J616" s="230"/>
      <c r="K616" s="230"/>
    </row>
    <row r="617" ht="15.75" customHeight="1">
      <c r="A617" s="230"/>
      <c r="B617" s="230"/>
      <c r="I617" s="230"/>
      <c r="J617" s="230"/>
      <c r="K617" s="230"/>
    </row>
    <row r="618" ht="15.75" customHeight="1">
      <c r="A618" s="230"/>
      <c r="B618" s="230"/>
      <c r="I618" s="230"/>
      <c r="J618" s="230"/>
      <c r="K618" s="230"/>
    </row>
    <row r="619" ht="15.75" customHeight="1">
      <c r="A619" s="230"/>
      <c r="B619" s="230"/>
      <c r="I619" s="230"/>
      <c r="J619" s="230"/>
      <c r="K619" s="230"/>
    </row>
    <row r="620" ht="15.75" customHeight="1">
      <c r="A620" s="230"/>
      <c r="B620" s="230"/>
      <c r="I620" s="230"/>
      <c r="J620" s="230"/>
      <c r="K620" s="230"/>
    </row>
    <row r="621" ht="15.75" customHeight="1">
      <c r="A621" s="230"/>
      <c r="B621" s="230"/>
      <c r="I621" s="230"/>
      <c r="J621" s="230"/>
      <c r="K621" s="230"/>
    </row>
    <row r="622" ht="15.75" customHeight="1">
      <c r="A622" s="230"/>
      <c r="B622" s="230"/>
      <c r="I622" s="230"/>
      <c r="J622" s="230"/>
      <c r="K622" s="230"/>
    </row>
    <row r="623" ht="15.75" customHeight="1">
      <c r="A623" s="230"/>
      <c r="B623" s="230"/>
      <c r="I623" s="230"/>
      <c r="J623" s="230"/>
      <c r="K623" s="230"/>
    </row>
    <row r="624" ht="15.75" customHeight="1">
      <c r="A624" s="230"/>
      <c r="B624" s="230"/>
      <c r="I624" s="230"/>
      <c r="J624" s="230"/>
      <c r="K624" s="230"/>
    </row>
    <row r="625" ht="15.75" customHeight="1">
      <c r="A625" s="230"/>
      <c r="B625" s="230"/>
      <c r="I625" s="230"/>
      <c r="J625" s="230"/>
      <c r="K625" s="230"/>
    </row>
    <row r="626" ht="15.75" customHeight="1">
      <c r="A626" s="230"/>
      <c r="B626" s="230"/>
      <c r="I626" s="230"/>
      <c r="J626" s="230"/>
      <c r="K626" s="230"/>
    </row>
    <row r="627" ht="15.75" customHeight="1">
      <c r="A627" s="230"/>
      <c r="B627" s="230"/>
      <c r="I627" s="230"/>
      <c r="J627" s="230"/>
      <c r="K627" s="230"/>
    </row>
    <row r="628" ht="15.75" customHeight="1">
      <c r="A628" s="230"/>
      <c r="B628" s="230"/>
      <c r="I628" s="230"/>
      <c r="J628" s="230"/>
      <c r="K628" s="230"/>
    </row>
    <row r="629" ht="15.75" customHeight="1">
      <c r="A629" s="230"/>
      <c r="B629" s="230"/>
      <c r="I629" s="230"/>
      <c r="J629" s="230"/>
      <c r="K629" s="230"/>
    </row>
    <row r="630" ht="15.75" customHeight="1">
      <c r="A630" s="230"/>
      <c r="B630" s="230"/>
      <c r="I630" s="230"/>
      <c r="J630" s="230"/>
      <c r="K630" s="230"/>
    </row>
    <row r="631" ht="15.75" customHeight="1">
      <c r="A631" s="230"/>
      <c r="B631" s="230"/>
      <c r="I631" s="230"/>
      <c r="J631" s="230"/>
      <c r="K631" s="230"/>
    </row>
    <row r="632" ht="15.75" customHeight="1">
      <c r="A632" s="230"/>
      <c r="B632" s="230"/>
      <c r="I632" s="230"/>
      <c r="J632" s="230"/>
      <c r="K632" s="230"/>
    </row>
    <row r="633" ht="15.75" customHeight="1">
      <c r="A633" s="230"/>
      <c r="B633" s="230"/>
      <c r="I633" s="230"/>
      <c r="J633" s="230"/>
      <c r="K633" s="230"/>
    </row>
    <row r="634" ht="15.75" customHeight="1">
      <c r="A634" s="230"/>
      <c r="B634" s="230"/>
      <c r="I634" s="230"/>
      <c r="J634" s="230"/>
      <c r="K634" s="230"/>
    </row>
    <row r="635" ht="15.75" customHeight="1">
      <c r="A635" s="230"/>
      <c r="B635" s="230"/>
      <c r="I635" s="230"/>
      <c r="J635" s="230"/>
      <c r="K635" s="230"/>
    </row>
    <row r="636" ht="15.75" customHeight="1">
      <c r="A636" s="230"/>
      <c r="B636" s="230"/>
      <c r="I636" s="230"/>
      <c r="J636" s="230"/>
      <c r="K636" s="230"/>
    </row>
    <row r="637" ht="15.75" customHeight="1">
      <c r="A637" s="230"/>
      <c r="B637" s="230"/>
      <c r="I637" s="230"/>
      <c r="J637" s="230"/>
      <c r="K637" s="230"/>
    </row>
    <row r="638" ht="15.75" customHeight="1">
      <c r="A638" s="230"/>
      <c r="B638" s="230"/>
      <c r="I638" s="230"/>
      <c r="J638" s="230"/>
      <c r="K638" s="230"/>
    </row>
    <row r="639" ht="15.75" customHeight="1">
      <c r="A639" s="230"/>
      <c r="B639" s="230"/>
      <c r="I639" s="230"/>
      <c r="J639" s="230"/>
      <c r="K639" s="230"/>
    </row>
    <row r="640" ht="15.75" customHeight="1">
      <c r="A640" s="230"/>
      <c r="B640" s="230"/>
      <c r="I640" s="230"/>
      <c r="J640" s="230"/>
      <c r="K640" s="230"/>
    </row>
    <row r="641" ht="15.75" customHeight="1">
      <c r="A641" s="230"/>
      <c r="B641" s="230"/>
      <c r="I641" s="230"/>
      <c r="J641" s="230"/>
      <c r="K641" s="230"/>
    </row>
    <row r="642" ht="15.75" customHeight="1">
      <c r="A642" s="230"/>
      <c r="B642" s="230"/>
      <c r="I642" s="230"/>
      <c r="J642" s="230"/>
      <c r="K642" s="230"/>
    </row>
    <row r="643" ht="15.75" customHeight="1">
      <c r="A643" s="230"/>
      <c r="B643" s="230"/>
      <c r="I643" s="230"/>
      <c r="J643" s="230"/>
      <c r="K643" s="230"/>
    </row>
    <row r="644" ht="15.75" customHeight="1">
      <c r="A644" s="230"/>
      <c r="B644" s="230"/>
      <c r="I644" s="230"/>
      <c r="J644" s="230"/>
      <c r="K644" s="230"/>
    </row>
    <row r="645" ht="15.75" customHeight="1">
      <c r="A645" s="230"/>
      <c r="B645" s="230"/>
      <c r="I645" s="230"/>
      <c r="J645" s="230"/>
      <c r="K645" s="230"/>
    </row>
    <row r="646" ht="15.75" customHeight="1">
      <c r="A646" s="230"/>
      <c r="B646" s="230"/>
      <c r="I646" s="230"/>
      <c r="J646" s="230"/>
      <c r="K646" s="230"/>
    </row>
    <row r="647" ht="15.75" customHeight="1">
      <c r="A647" s="230"/>
      <c r="B647" s="230"/>
      <c r="I647" s="230"/>
      <c r="J647" s="230"/>
      <c r="K647" s="230"/>
    </row>
    <row r="648" ht="15.75" customHeight="1">
      <c r="A648" s="230"/>
      <c r="B648" s="230"/>
      <c r="I648" s="230"/>
      <c r="J648" s="230"/>
      <c r="K648" s="230"/>
    </row>
    <row r="649" ht="15.75" customHeight="1">
      <c r="A649" s="230"/>
      <c r="B649" s="230"/>
      <c r="I649" s="230"/>
      <c r="J649" s="230"/>
      <c r="K649" s="230"/>
    </row>
    <row r="650" ht="15.75" customHeight="1">
      <c r="A650" s="230"/>
      <c r="B650" s="230"/>
      <c r="I650" s="230"/>
      <c r="J650" s="230"/>
      <c r="K650" s="230"/>
    </row>
    <row r="651" ht="15.75" customHeight="1">
      <c r="A651" s="230"/>
      <c r="B651" s="230"/>
      <c r="I651" s="230"/>
      <c r="J651" s="230"/>
      <c r="K651" s="230"/>
    </row>
    <row r="652" ht="15.75" customHeight="1">
      <c r="A652" s="230"/>
      <c r="B652" s="230"/>
      <c r="I652" s="230"/>
      <c r="J652" s="230"/>
      <c r="K652" s="230"/>
    </row>
    <row r="653" ht="15.75" customHeight="1">
      <c r="A653" s="230"/>
      <c r="B653" s="230"/>
      <c r="I653" s="230"/>
      <c r="J653" s="230"/>
      <c r="K653" s="230"/>
    </row>
    <row r="654" ht="15.75" customHeight="1">
      <c r="A654" s="230"/>
      <c r="B654" s="230"/>
      <c r="I654" s="230"/>
      <c r="J654" s="230"/>
      <c r="K654" s="230"/>
    </row>
    <row r="655" ht="15.75" customHeight="1">
      <c r="A655" s="230"/>
      <c r="B655" s="230"/>
      <c r="I655" s="230"/>
      <c r="J655" s="230"/>
      <c r="K655" s="230"/>
    </row>
    <row r="656" ht="15.75" customHeight="1">
      <c r="A656" s="230"/>
      <c r="B656" s="230"/>
      <c r="I656" s="230"/>
      <c r="J656" s="230"/>
      <c r="K656" s="230"/>
    </row>
    <row r="657" ht="15.75" customHeight="1">
      <c r="A657" s="230"/>
      <c r="B657" s="230"/>
      <c r="I657" s="230"/>
      <c r="J657" s="230"/>
      <c r="K657" s="230"/>
    </row>
    <row r="658" ht="15.75" customHeight="1">
      <c r="A658" s="230"/>
      <c r="B658" s="230"/>
      <c r="I658" s="230"/>
      <c r="J658" s="230"/>
      <c r="K658" s="230"/>
    </row>
    <row r="659" ht="15.75" customHeight="1">
      <c r="A659" s="230"/>
      <c r="B659" s="230"/>
      <c r="I659" s="230"/>
      <c r="J659" s="230"/>
      <c r="K659" s="230"/>
    </row>
    <row r="660" ht="15.75" customHeight="1">
      <c r="A660" s="230"/>
      <c r="B660" s="230"/>
      <c r="I660" s="230"/>
      <c r="J660" s="230"/>
      <c r="K660" s="230"/>
    </row>
    <row r="661" ht="15.75" customHeight="1">
      <c r="A661" s="230"/>
      <c r="B661" s="230"/>
    </row>
    <row r="662" ht="15.75" customHeight="1">
      <c r="A662" s="230"/>
      <c r="B662" s="230"/>
    </row>
    <row r="663" ht="15.75" customHeight="1">
      <c r="A663" s="230"/>
      <c r="B663" s="230"/>
    </row>
    <row r="664" ht="15.75" customHeight="1">
      <c r="A664" s="230"/>
      <c r="B664" s="230"/>
    </row>
    <row r="665" ht="15.75" customHeight="1">
      <c r="A665" s="230"/>
      <c r="B665" s="230"/>
    </row>
    <row r="666" ht="15.75" customHeight="1">
      <c r="A666" s="230"/>
      <c r="B666" s="230"/>
    </row>
    <row r="667" ht="15.75" customHeight="1">
      <c r="A667" s="230"/>
      <c r="B667" s="230"/>
    </row>
    <row r="668" ht="15.75" customHeight="1">
      <c r="A668" s="230"/>
      <c r="B668" s="230"/>
    </row>
    <row r="669" ht="15.75" customHeight="1">
      <c r="A669" s="230"/>
      <c r="B669" s="230"/>
    </row>
    <row r="670" ht="15.75" customHeight="1">
      <c r="A670" s="230"/>
      <c r="B670" s="230"/>
    </row>
    <row r="671" ht="15.75" customHeight="1">
      <c r="A671" s="230"/>
      <c r="B671" s="230"/>
    </row>
    <row r="672" ht="15.75" customHeight="1">
      <c r="A672" s="230"/>
      <c r="B672" s="230"/>
    </row>
    <row r="673" ht="15.75" customHeight="1">
      <c r="A673" s="230"/>
      <c r="B673" s="230"/>
    </row>
    <row r="674" ht="15.75" customHeight="1">
      <c r="A674" s="230"/>
      <c r="B674" s="230"/>
    </row>
    <row r="675" ht="15.75" customHeight="1">
      <c r="A675" s="230"/>
      <c r="B675" s="230"/>
    </row>
    <row r="676" ht="15.75" customHeight="1">
      <c r="A676" s="230"/>
      <c r="B676" s="230"/>
    </row>
    <row r="677" ht="15.75" customHeight="1">
      <c r="A677" s="230"/>
      <c r="B677" s="230"/>
    </row>
    <row r="678" ht="15.75" customHeight="1">
      <c r="A678" s="230"/>
      <c r="B678" s="230"/>
    </row>
    <row r="679" ht="15.75" customHeight="1">
      <c r="A679" s="230"/>
      <c r="B679" s="230"/>
    </row>
    <row r="680" ht="15.75" customHeight="1">
      <c r="A680" s="230"/>
      <c r="B680" s="230"/>
    </row>
    <row r="681" ht="15.75" customHeight="1">
      <c r="A681" s="230"/>
      <c r="B681" s="230"/>
    </row>
    <row r="682" ht="15.75" customHeight="1">
      <c r="A682" s="230"/>
      <c r="B682" s="230"/>
    </row>
    <row r="683" ht="15.75" customHeight="1">
      <c r="A683" s="230"/>
      <c r="B683" s="230"/>
    </row>
    <row r="684" ht="15.75" customHeight="1">
      <c r="A684" s="230"/>
      <c r="B684" s="230"/>
    </row>
    <row r="685" ht="15.75" customHeight="1">
      <c r="A685" s="230"/>
      <c r="B685" s="230"/>
    </row>
    <row r="686" ht="15.75" customHeight="1">
      <c r="A686" s="230"/>
      <c r="B686" s="230"/>
    </row>
    <row r="687" ht="15.75" customHeight="1">
      <c r="A687" s="230"/>
      <c r="B687" s="230"/>
    </row>
    <row r="688" ht="15.75" customHeight="1">
      <c r="A688" s="230"/>
      <c r="B688" s="230"/>
    </row>
    <row r="689" ht="15.75" customHeight="1">
      <c r="A689" s="230"/>
      <c r="B689" s="230"/>
    </row>
    <row r="690" ht="15.75" customHeight="1">
      <c r="A690" s="230"/>
      <c r="B690" s="230"/>
    </row>
    <row r="691" ht="15.75" customHeight="1">
      <c r="A691" s="230"/>
      <c r="B691" s="230"/>
    </row>
    <row r="692" ht="15.75" customHeight="1">
      <c r="A692" s="230"/>
      <c r="B692" s="230"/>
    </row>
    <row r="693" ht="15.75" customHeight="1">
      <c r="A693" s="230"/>
      <c r="B693" s="230"/>
    </row>
    <row r="694" ht="15.75" customHeight="1">
      <c r="A694" s="230"/>
      <c r="B694" s="230"/>
    </row>
    <row r="695" ht="15.75" customHeight="1">
      <c r="A695" s="230"/>
      <c r="B695" s="230"/>
    </row>
    <row r="696" ht="15.75" customHeight="1">
      <c r="A696" s="230"/>
      <c r="B696" s="230"/>
    </row>
    <row r="697" ht="15.75" customHeight="1">
      <c r="A697" s="230"/>
      <c r="B697" s="230"/>
    </row>
    <row r="698" ht="15.75" customHeight="1">
      <c r="A698" s="230"/>
      <c r="B698" s="230"/>
    </row>
    <row r="699" ht="15.75" customHeight="1">
      <c r="A699" s="230"/>
      <c r="B699" s="230"/>
    </row>
    <row r="700" ht="15.75" customHeight="1">
      <c r="A700" s="230"/>
      <c r="B700" s="230"/>
    </row>
    <row r="701" ht="15.75" customHeight="1">
      <c r="A701" s="230"/>
      <c r="B701" s="230"/>
    </row>
    <row r="702" ht="15.75" customHeight="1">
      <c r="A702" s="230"/>
      <c r="B702" s="230"/>
    </row>
    <row r="703" ht="15.75" customHeight="1">
      <c r="A703" s="230"/>
      <c r="B703" s="230"/>
    </row>
    <row r="704" ht="15.75" customHeight="1">
      <c r="A704" s="230"/>
      <c r="B704" s="230"/>
    </row>
    <row r="705" ht="15.75" customHeight="1">
      <c r="A705" s="230"/>
      <c r="B705" s="230"/>
    </row>
    <row r="706" ht="15.75" customHeight="1">
      <c r="A706" s="230"/>
      <c r="B706" s="230"/>
    </row>
    <row r="707" ht="15.75" customHeight="1">
      <c r="A707" s="230"/>
      <c r="B707" s="230"/>
    </row>
    <row r="708" ht="15.75" customHeight="1">
      <c r="A708" s="230"/>
      <c r="B708" s="230"/>
    </row>
    <row r="709" ht="15.75" customHeight="1">
      <c r="A709" s="230"/>
      <c r="B709" s="230"/>
    </row>
    <row r="710" ht="15.75" customHeight="1">
      <c r="A710" s="230"/>
      <c r="B710" s="230"/>
    </row>
    <row r="711" ht="15.75" customHeight="1">
      <c r="A711" s="230"/>
      <c r="B711" s="230"/>
    </row>
    <row r="712" ht="15.75" customHeight="1">
      <c r="A712" s="230"/>
      <c r="B712" s="230"/>
    </row>
    <row r="713" ht="15.75" customHeight="1">
      <c r="A713" s="230"/>
      <c r="B713" s="230"/>
    </row>
    <row r="714" ht="15.75" customHeight="1">
      <c r="A714" s="230"/>
      <c r="B714" s="230"/>
    </row>
    <row r="715" ht="15.75" customHeight="1">
      <c r="A715" s="230"/>
      <c r="B715" s="230"/>
    </row>
    <row r="716" ht="15.75" customHeight="1">
      <c r="A716" s="230"/>
      <c r="B716" s="230"/>
    </row>
    <row r="717" ht="15.75" customHeight="1">
      <c r="A717" s="230"/>
      <c r="B717" s="230"/>
    </row>
    <row r="718" ht="15.75" customHeight="1">
      <c r="A718" s="230"/>
      <c r="B718" s="230"/>
    </row>
    <row r="719" ht="15.75" customHeight="1">
      <c r="A719" s="230"/>
      <c r="B719" s="230"/>
    </row>
    <row r="720" ht="15.75" customHeight="1">
      <c r="A720" s="230"/>
      <c r="B720" s="230"/>
    </row>
    <row r="721" ht="15.75" customHeight="1">
      <c r="A721" s="230"/>
      <c r="B721" s="230"/>
    </row>
    <row r="722" ht="15.75" customHeight="1">
      <c r="A722" s="230"/>
      <c r="B722" s="230"/>
    </row>
    <row r="723" ht="15.75" customHeight="1">
      <c r="A723" s="230"/>
      <c r="B723" s="230"/>
    </row>
    <row r="724" ht="15.75" customHeight="1">
      <c r="A724" s="230"/>
      <c r="B724" s="230"/>
    </row>
    <row r="725" ht="15.75" customHeight="1">
      <c r="A725" s="230"/>
      <c r="B725" s="230"/>
    </row>
    <row r="726" ht="15.75" customHeight="1">
      <c r="A726" s="230"/>
      <c r="B726" s="230"/>
    </row>
    <row r="727" ht="15.75" customHeight="1">
      <c r="A727" s="230"/>
      <c r="B727" s="230"/>
    </row>
    <row r="728" ht="15.75" customHeight="1">
      <c r="A728" s="230"/>
      <c r="B728" s="230"/>
    </row>
    <row r="729" ht="15.75" customHeight="1">
      <c r="A729" s="230"/>
      <c r="B729" s="230"/>
    </row>
    <row r="730" ht="15.75" customHeight="1">
      <c r="A730" s="230"/>
      <c r="B730" s="230"/>
    </row>
    <row r="731" ht="15.75" customHeight="1">
      <c r="A731" s="230"/>
      <c r="B731" s="230"/>
    </row>
    <row r="732" ht="15.75" customHeight="1">
      <c r="A732" s="230"/>
      <c r="B732" s="230"/>
    </row>
    <row r="733" ht="15.75" customHeight="1">
      <c r="A733" s="230"/>
      <c r="B733" s="230"/>
    </row>
    <row r="734" ht="15.75" customHeight="1">
      <c r="A734" s="230"/>
      <c r="B734" s="230"/>
    </row>
    <row r="735" ht="15.75" customHeight="1">
      <c r="A735" s="230"/>
      <c r="B735" s="230"/>
    </row>
    <row r="736" ht="15.75" customHeight="1">
      <c r="A736" s="230"/>
      <c r="B736" s="230"/>
    </row>
    <row r="737" ht="15.75" customHeight="1">
      <c r="A737" s="230"/>
      <c r="B737" s="230"/>
    </row>
    <row r="738" ht="15.75" customHeight="1">
      <c r="A738" s="230"/>
      <c r="B738" s="230"/>
    </row>
    <row r="739" ht="15.75" customHeight="1">
      <c r="A739" s="230"/>
      <c r="B739" s="230"/>
    </row>
    <row r="740" ht="15.75" customHeight="1">
      <c r="A740" s="230"/>
      <c r="B740" s="230"/>
    </row>
    <row r="741" ht="15.75" customHeight="1">
      <c r="A741" s="230"/>
      <c r="B741" s="230"/>
    </row>
    <row r="742" ht="15.75" customHeight="1">
      <c r="A742" s="230"/>
      <c r="B742" s="230"/>
    </row>
    <row r="743" ht="15.75" customHeight="1">
      <c r="A743" s="230"/>
      <c r="B743" s="230"/>
    </row>
    <row r="744" ht="15.75" customHeight="1">
      <c r="A744" s="230"/>
      <c r="B744" s="230"/>
    </row>
    <row r="745" ht="15.75" customHeight="1">
      <c r="A745" s="230"/>
      <c r="B745" s="230"/>
    </row>
    <row r="746" ht="15.75" customHeight="1">
      <c r="A746" s="230"/>
      <c r="B746" s="230"/>
    </row>
    <row r="747" ht="15.75" customHeight="1">
      <c r="A747" s="230"/>
      <c r="B747" s="230"/>
    </row>
    <row r="748" ht="15.75" customHeight="1">
      <c r="A748" s="230"/>
      <c r="B748" s="230"/>
    </row>
    <row r="749" ht="15.75" customHeight="1">
      <c r="A749" s="230"/>
      <c r="B749" s="230"/>
    </row>
    <row r="750" ht="15.75" customHeight="1">
      <c r="A750" s="230"/>
      <c r="B750" s="230"/>
    </row>
    <row r="751" ht="15.75" customHeight="1">
      <c r="A751" s="230"/>
      <c r="B751" s="230"/>
    </row>
    <row r="752" ht="15.75" customHeight="1">
      <c r="A752" s="230"/>
      <c r="B752" s="230"/>
    </row>
    <row r="753" ht="15.75" customHeight="1">
      <c r="A753" s="230"/>
      <c r="B753" s="230"/>
    </row>
    <row r="754" ht="15.75" customHeight="1">
      <c r="A754" s="230"/>
      <c r="B754" s="230"/>
    </row>
    <row r="755" ht="15.75" customHeight="1">
      <c r="A755" s="230"/>
      <c r="B755" s="230"/>
    </row>
    <row r="756" ht="15.75" customHeight="1">
      <c r="A756" s="230"/>
      <c r="B756" s="230"/>
    </row>
    <row r="757" ht="15.75" customHeight="1">
      <c r="A757" s="230"/>
      <c r="B757" s="230"/>
    </row>
    <row r="758" ht="15.75" customHeight="1">
      <c r="A758" s="230"/>
      <c r="B758" s="230"/>
    </row>
    <row r="759" ht="15.75" customHeight="1">
      <c r="A759" s="230"/>
      <c r="B759" s="230"/>
    </row>
    <row r="760" ht="15.75" customHeight="1">
      <c r="A760" s="230"/>
      <c r="B760" s="230"/>
    </row>
    <row r="761" ht="15.75" customHeight="1">
      <c r="A761" s="230"/>
      <c r="B761" s="230"/>
    </row>
    <row r="762" ht="15.75" customHeight="1">
      <c r="A762" s="230"/>
      <c r="B762" s="230"/>
    </row>
    <row r="763" ht="15.75" customHeight="1">
      <c r="A763" s="230"/>
      <c r="B763" s="230"/>
    </row>
    <row r="764" ht="15.75" customHeight="1">
      <c r="A764" s="230"/>
      <c r="B764" s="230"/>
    </row>
    <row r="765" ht="15.75" customHeight="1">
      <c r="A765" s="230"/>
      <c r="B765" s="230"/>
    </row>
    <row r="766" ht="15.75" customHeight="1">
      <c r="A766" s="230"/>
      <c r="B766" s="230"/>
    </row>
    <row r="767" ht="15.75" customHeight="1">
      <c r="A767" s="230"/>
      <c r="B767" s="230"/>
    </row>
    <row r="768" ht="15.75" customHeight="1">
      <c r="A768" s="230"/>
      <c r="B768" s="230"/>
    </row>
    <row r="769" ht="15.75" customHeight="1">
      <c r="A769" s="230"/>
      <c r="B769" s="230"/>
    </row>
    <row r="770" ht="15.75" customHeight="1">
      <c r="A770" s="230"/>
      <c r="B770" s="230"/>
    </row>
    <row r="771" ht="15.75" customHeight="1">
      <c r="A771" s="230"/>
      <c r="B771" s="230"/>
    </row>
    <row r="772" ht="15.75" customHeight="1">
      <c r="A772" s="230"/>
      <c r="B772" s="230"/>
    </row>
    <row r="773" ht="15.75" customHeight="1">
      <c r="A773" s="230"/>
      <c r="B773" s="230"/>
    </row>
    <row r="774" ht="15.75" customHeight="1">
      <c r="A774" s="230"/>
      <c r="B774" s="230"/>
    </row>
    <row r="775" ht="15.75" customHeight="1">
      <c r="A775" s="230"/>
      <c r="B775" s="230"/>
    </row>
    <row r="776" ht="15.75" customHeight="1">
      <c r="A776" s="230"/>
      <c r="B776" s="230"/>
    </row>
    <row r="777" ht="15.75" customHeight="1">
      <c r="A777" s="230"/>
      <c r="B777" s="230"/>
    </row>
    <row r="778" ht="15.75" customHeight="1">
      <c r="A778" s="230"/>
      <c r="B778" s="230"/>
    </row>
    <row r="779" ht="15.75" customHeight="1">
      <c r="A779" s="230"/>
      <c r="B779" s="230"/>
    </row>
    <row r="780" ht="15.75" customHeight="1">
      <c r="A780" s="230"/>
      <c r="B780" s="230"/>
    </row>
    <row r="781" ht="15.75" customHeight="1">
      <c r="A781" s="230"/>
      <c r="B781" s="230"/>
    </row>
    <row r="782" ht="15.75" customHeight="1">
      <c r="A782" s="230"/>
      <c r="B782" s="230"/>
    </row>
    <row r="783" ht="15.75" customHeight="1">
      <c r="A783" s="230"/>
      <c r="B783" s="230"/>
    </row>
    <row r="784" ht="15.75" customHeight="1">
      <c r="A784" s="230"/>
      <c r="B784" s="230"/>
    </row>
    <row r="785" ht="15.75" customHeight="1">
      <c r="A785" s="230"/>
      <c r="B785" s="230"/>
    </row>
    <row r="786" ht="15.75" customHeight="1">
      <c r="A786" s="230"/>
      <c r="B786" s="230"/>
    </row>
    <row r="787" ht="15.75" customHeight="1">
      <c r="A787" s="230"/>
      <c r="B787" s="230"/>
    </row>
    <row r="788" ht="15.75" customHeight="1">
      <c r="A788" s="230"/>
      <c r="B788" s="230"/>
    </row>
    <row r="789" ht="15.75" customHeight="1">
      <c r="A789" s="230"/>
      <c r="B789" s="230"/>
    </row>
    <row r="790" ht="15.75" customHeight="1">
      <c r="A790" s="230"/>
      <c r="B790" s="230"/>
    </row>
    <row r="791" ht="15.75" customHeight="1">
      <c r="A791" s="230"/>
      <c r="B791" s="230"/>
    </row>
    <row r="792" ht="15.75" customHeight="1">
      <c r="A792" s="230"/>
      <c r="B792" s="230"/>
    </row>
    <row r="793" ht="15.75" customHeight="1">
      <c r="A793" s="230"/>
      <c r="B793" s="230"/>
    </row>
    <row r="794" ht="15.75" customHeight="1">
      <c r="A794" s="230"/>
      <c r="B794" s="230"/>
    </row>
    <row r="795" ht="15.75" customHeight="1">
      <c r="A795" s="230"/>
      <c r="B795" s="230"/>
    </row>
    <row r="796" ht="15.75" customHeight="1">
      <c r="A796" s="230"/>
      <c r="B796" s="230"/>
    </row>
    <row r="797" ht="15.75" customHeight="1">
      <c r="A797" s="230"/>
      <c r="B797" s="230"/>
    </row>
    <row r="798" ht="15.75" customHeight="1">
      <c r="A798" s="230"/>
      <c r="B798" s="230"/>
    </row>
    <row r="799" ht="15.75" customHeight="1">
      <c r="A799" s="230"/>
      <c r="B799" s="230"/>
    </row>
    <row r="800" ht="15.75" customHeight="1">
      <c r="A800" s="230"/>
      <c r="B800" s="230"/>
    </row>
    <row r="801" ht="15.75" customHeight="1">
      <c r="A801" s="230"/>
      <c r="B801" s="230"/>
    </row>
    <row r="802" ht="15.75" customHeight="1">
      <c r="A802" s="230"/>
      <c r="B802" s="230"/>
    </row>
    <row r="803" ht="15.75" customHeight="1">
      <c r="A803" s="230"/>
      <c r="B803" s="230"/>
    </row>
    <row r="804" ht="15.75" customHeight="1">
      <c r="A804" s="230"/>
      <c r="B804" s="230"/>
    </row>
    <row r="805" ht="15.75" customHeight="1">
      <c r="A805" s="230"/>
      <c r="B805" s="230"/>
    </row>
    <row r="806" ht="15.75" customHeight="1">
      <c r="A806" s="230"/>
      <c r="B806" s="230"/>
    </row>
    <row r="807" ht="15.75" customHeight="1">
      <c r="A807" s="230"/>
      <c r="B807" s="230"/>
    </row>
    <row r="808" ht="15.75" customHeight="1">
      <c r="A808" s="230"/>
      <c r="B808" s="230"/>
    </row>
    <row r="809" ht="15.75" customHeight="1">
      <c r="A809" s="230"/>
      <c r="B809" s="230"/>
    </row>
    <row r="810" ht="15.75" customHeight="1">
      <c r="A810" s="230"/>
      <c r="B810" s="230"/>
    </row>
    <row r="811" ht="15.75" customHeight="1">
      <c r="A811" s="230"/>
      <c r="B811" s="230"/>
    </row>
    <row r="812" ht="15.75" customHeight="1">
      <c r="A812" s="230"/>
      <c r="B812" s="230"/>
    </row>
    <row r="813" ht="15.75" customHeight="1">
      <c r="A813" s="230"/>
      <c r="B813" s="230"/>
    </row>
    <row r="814" ht="15.75" customHeight="1">
      <c r="A814" s="230"/>
      <c r="B814" s="230"/>
    </row>
    <row r="815" ht="15.75" customHeight="1">
      <c r="A815" s="230"/>
      <c r="B815" s="230"/>
    </row>
    <row r="816" ht="15.75" customHeight="1">
      <c r="A816" s="230"/>
      <c r="B816" s="230"/>
    </row>
    <row r="817" ht="15.75" customHeight="1">
      <c r="A817" s="230"/>
      <c r="B817" s="230"/>
    </row>
    <row r="818" ht="15.75" customHeight="1">
      <c r="A818" s="230"/>
      <c r="B818" s="230"/>
    </row>
    <row r="819" ht="15.75" customHeight="1">
      <c r="A819" s="230"/>
      <c r="B819" s="230"/>
    </row>
    <row r="820" ht="15.75" customHeight="1">
      <c r="A820" s="230"/>
      <c r="B820" s="230"/>
    </row>
    <row r="821" ht="15.75" customHeight="1">
      <c r="A821" s="230"/>
      <c r="B821" s="230"/>
    </row>
    <row r="822" ht="15.75" customHeight="1">
      <c r="A822" s="230"/>
      <c r="B822" s="230"/>
    </row>
    <row r="823" ht="15.75" customHeight="1">
      <c r="A823" s="230"/>
      <c r="B823" s="230"/>
    </row>
    <row r="824" ht="15.75" customHeight="1">
      <c r="A824" s="230"/>
      <c r="B824" s="230"/>
    </row>
    <row r="825" ht="15.75" customHeight="1">
      <c r="A825" s="230"/>
      <c r="B825" s="230"/>
    </row>
    <row r="826" ht="15.75" customHeight="1">
      <c r="A826" s="230"/>
      <c r="B826" s="230"/>
    </row>
    <row r="827" ht="15.75" customHeight="1">
      <c r="A827" s="230"/>
      <c r="B827" s="230"/>
    </row>
    <row r="828" ht="15.75" customHeight="1">
      <c r="A828" s="230"/>
      <c r="B828" s="230"/>
    </row>
    <row r="829" ht="15.75" customHeight="1">
      <c r="A829" s="230"/>
      <c r="B829" s="230"/>
    </row>
    <row r="830" ht="15.75" customHeight="1">
      <c r="A830" s="230"/>
      <c r="B830" s="230"/>
    </row>
    <row r="831" ht="15.75" customHeight="1">
      <c r="A831" s="230"/>
      <c r="B831" s="230"/>
    </row>
    <row r="832" ht="15.75" customHeight="1">
      <c r="A832" s="230"/>
      <c r="B832" s="230"/>
    </row>
    <row r="833" ht="15.75" customHeight="1">
      <c r="A833" s="230"/>
      <c r="B833" s="230"/>
    </row>
    <row r="834" ht="15.75" customHeight="1">
      <c r="A834" s="230"/>
      <c r="B834" s="230"/>
    </row>
    <row r="835" ht="15.75" customHeight="1">
      <c r="A835" s="230"/>
      <c r="B835" s="230"/>
    </row>
    <row r="836" ht="15.75" customHeight="1">
      <c r="A836" s="230"/>
      <c r="B836" s="230"/>
    </row>
    <row r="837" ht="15.75" customHeight="1">
      <c r="A837" s="230"/>
      <c r="B837" s="230"/>
    </row>
    <row r="838" ht="15.75" customHeight="1">
      <c r="A838" s="230"/>
      <c r="B838" s="230"/>
    </row>
    <row r="839" ht="15.75" customHeight="1">
      <c r="A839" s="230"/>
      <c r="B839" s="230"/>
    </row>
    <row r="840" ht="15.75" customHeight="1">
      <c r="A840" s="230"/>
      <c r="B840" s="230"/>
    </row>
    <row r="841" ht="15.75" customHeight="1">
      <c r="A841" s="230"/>
      <c r="B841" s="230"/>
    </row>
    <row r="842" ht="15.75" customHeight="1">
      <c r="A842" s="230"/>
      <c r="B842" s="230"/>
    </row>
    <row r="843" ht="15.75" customHeight="1">
      <c r="A843" s="230"/>
      <c r="B843" s="230"/>
    </row>
    <row r="844" ht="15.75" customHeight="1">
      <c r="A844" s="230"/>
      <c r="B844" s="230"/>
    </row>
    <row r="845" ht="15.75" customHeight="1">
      <c r="A845" s="230"/>
      <c r="B845" s="230"/>
    </row>
    <row r="846" ht="15.75" customHeight="1">
      <c r="A846" s="230"/>
      <c r="B846" s="230"/>
    </row>
    <row r="847" ht="15.75" customHeight="1">
      <c r="A847" s="230"/>
      <c r="B847" s="230"/>
    </row>
    <row r="848" ht="15.75" customHeight="1">
      <c r="A848" s="230"/>
      <c r="B848" s="230"/>
    </row>
    <row r="849" ht="15.75" customHeight="1">
      <c r="A849" s="230"/>
      <c r="B849" s="230"/>
    </row>
    <row r="850" ht="15.75" customHeight="1">
      <c r="A850" s="230"/>
      <c r="B850" s="230"/>
    </row>
    <row r="851" ht="15.75" customHeight="1">
      <c r="A851" s="230"/>
      <c r="B851" s="230"/>
    </row>
    <row r="852" ht="15.75" customHeight="1">
      <c r="A852" s="230"/>
      <c r="B852" s="230"/>
    </row>
    <row r="853" ht="15.75" customHeight="1">
      <c r="A853" s="230"/>
      <c r="B853" s="230"/>
    </row>
    <row r="854" ht="15.75" customHeight="1">
      <c r="A854" s="230"/>
      <c r="B854" s="230"/>
    </row>
    <row r="855" ht="15.75" customHeight="1">
      <c r="A855" s="230"/>
      <c r="B855" s="230"/>
    </row>
    <row r="856" ht="15.75" customHeight="1">
      <c r="A856" s="230"/>
      <c r="B856" s="230"/>
    </row>
    <row r="857" ht="15.75" customHeight="1">
      <c r="A857" s="230"/>
      <c r="B857" s="230"/>
    </row>
    <row r="858" ht="15.75" customHeight="1">
      <c r="A858" s="230"/>
      <c r="B858" s="230"/>
    </row>
    <row r="859" ht="15.75" customHeight="1">
      <c r="A859" s="230"/>
      <c r="B859" s="230"/>
    </row>
    <row r="860" ht="15.75" customHeight="1">
      <c r="A860" s="230"/>
      <c r="B860" s="230"/>
    </row>
    <row r="861" ht="15.75" customHeight="1">
      <c r="A861" s="230"/>
      <c r="B861" s="230"/>
    </row>
    <row r="862" ht="15.75" customHeight="1">
      <c r="A862" s="230"/>
      <c r="B862" s="230"/>
    </row>
    <row r="863" ht="15.75" customHeight="1">
      <c r="A863" s="230"/>
      <c r="B863" s="230"/>
    </row>
    <row r="864" ht="15.75" customHeight="1">
      <c r="A864" s="230"/>
      <c r="B864" s="230"/>
    </row>
    <row r="865" ht="15.75" customHeight="1">
      <c r="A865" s="230"/>
      <c r="B865" s="230"/>
    </row>
    <row r="866" ht="15.75" customHeight="1">
      <c r="A866" s="230"/>
      <c r="B866" s="230"/>
    </row>
    <row r="867" ht="15.75" customHeight="1">
      <c r="A867" s="230"/>
      <c r="B867" s="230"/>
    </row>
    <row r="868" ht="15.75" customHeight="1">
      <c r="A868" s="230"/>
      <c r="B868" s="230"/>
    </row>
    <row r="869" ht="15.75" customHeight="1">
      <c r="A869" s="230"/>
      <c r="B869" s="230"/>
    </row>
    <row r="870" ht="15.75" customHeight="1">
      <c r="A870" s="230"/>
      <c r="B870" s="230"/>
    </row>
    <row r="871" ht="15.75" customHeight="1">
      <c r="A871" s="230"/>
      <c r="B871" s="230"/>
    </row>
    <row r="872" ht="15.75" customHeight="1">
      <c r="A872" s="230"/>
      <c r="B872" s="230"/>
    </row>
    <row r="873" ht="15.75" customHeight="1">
      <c r="A873" s="230"/>
      <c r="B873" s="230"/>
    </row>
    <row r="874" ht="15.75" customHeight="1">
      <c r="A874" s="230"/>
      <c r="B874" s="230"/>
    </row>
    <row r="875" ht="15.75" customHeight="1">
      <c r="A875" s="230"/>
      <c r="B875" s="230"/>
    </row>
    <row r="876" ht="15.75" customHeight="1">
      <c r="A876" s="230"/>
      <c r="B876" s="230"/>
    </row>
    <row r="877" ht="15.75" customHeight="1">
      <c r="A877" s="230"/>
      <c r="B877" s="230"/>
    </row>
    <row r="878" ht="15.75" customHeight="1">
      <c r="A878" s="230"/>
      <c r="B878" s="230"/>
    </row>
    <row r="879" ht="15.75" customHeight="1">
      <c r="A879" s="230"/>
      <c r="B879" s="230"/>
    </row>
    <row r="880" ht="15.75" customHeight="1">
      <c r="A880" s="230"/>
      <c r="B880" s="230"/>
    </row>
    <row r="881" ht="15.75" customHeight="1">
      <c r="A881" s="230"/>
      <c r="B881" s="230"/>
    </row>
    <row r="882" ht="15.75" customHeight="1">
      <c r="A882" s="230"/>
      <c r="B882" s="230"/>
    </row>
    <row r="883" ht="15.75" customHeight="1">
      <c r="A883" s="230"/>
      <c r="B883" s="230"/>
    </row>
    <row r="884" ht="15.75" customHeight="1">
      <c r="A884" s="230"/>
      <c r="B884" s="230"/>
    </row>
    <row r="885" ht="15.75" customHeight="1">
      <c r="A885" s="230"/>
      <c r="B885" s="230"/>
    </row>
    <row r="886" ht="15.75" customHeight="1">
      <c r="A886" s="230"/>
      <c r="B886" s="230"/>
    </row>
    <row r="887" ht="15.75" customHeight="1">
      <c r="A887" s="230"/>
      <c r="B887" s="230"/>
    </row>
    <row r="888" ht="15.75" customHeight="1">
      <c r="A888" s="230"/>
      <c r="B888" s="230"/>
    </row>
    <row r="889" ht="15.75" customHeight="1">
      <c r="A889" s="230"/>
      <c r="B889" s="230"/>
    </row>
    <row r="890" ht="15.75" customHeight="1">
      <c r="A890" s="230"/>
      <c r="B890" s="230"/>
    </row>
    <row r="891" ht="15.75" customHeight="1">
      <c r="A891" s="230"/>
      <c r="B891" s="230"/>
    </row>
    <row r="892" ht="15.75" customHeight="1">
      <c r="A892" s="230"/>
      <c r="B892" s="230"/>
    </row>
    <row r="893" ht="15.75" customHeight="1">
      <c r="A893" s="230"/>
      <c r="B893" s="230"/>
    </row>
    <row r="894" ht="15.75" customHeight="1">
      <c r="A894" s="230"/>
      <c r="B894" s="230"/>
    </row>
    <row r="895" ht="15.75" customHeight="1">
      <c r="A895" s="230"/>
      <c r="B895" s="230"/>
    </row>
    <row r="896" ht="15.75" customHeight="1">
      <c r="A896" s="230"/>
      <c r="B896" s="230"/>
    </row>
    <row r="897" ht="15.75" customHeight="1">
      <c r="A897" s="230"/>
      <c r="B897" s="230"/>
    </row>
    <row r="898" ht="15.75" customHeight="1">
      <c r="A898" s="230"/>
      <c r="B898" s="230"/>
    </row>
    <row r="899" ht="15.75" customHeight="1">
      <c r="A899" s="230"/>
      <c r="B899" s="230"/>
    </row>
    <row r="900" ht="15.75" customHeight="1">
      <c r="A900" s="230"/>
      <c r="B900" s="230"/>
    </row>
    <row r="901" ht="15.75" customHeight="1">
      <c r="A901" s="230"/>
      <c r="B901" s="230"/>
    </row>
    <row r="902" ht="15.75" customHeight="1">
      <c r="A902" s="230"/>
      <c r="B902" s="230"/>
    </row>
    <row r="903" ht="15.75" customHeight="1">
      <c r="A903" s="230"/>
      <c r="B903" s="230"/>
    </row>
    <row r="904" ht="15.75" customHeight="1">
      <c r="A904" s="230"/>
      <c r="B904" s="230"/>
    </row>
    <row r="905" ht="15.75" customHeight="1">
      <c r="A905" s="230"/>
      <c r="B905" s="230"/>
    </row>
    <row r="906" ht="15.75" customHeight="1">
      <c r="A906" s="230"/>
      <c r="B906" s="230"/>
    </row>
    <row r="907" ht="15.75" customHeight="1">
      <c r="A907" s="230"/>
      <c r="B907" s="230"/>
    </row>
    <row r="908" ht="15.75" customHeight="1">
      <c r="A908" s="230"/>
      <c r="B908" s="230"/>
    </row>
    <row r="909" ht="15.75" customHeight="1">
      <c r="A909" s="230"/>
      <c r="B909" s="230"/>
    </row>
    <row r="910" ht="15.75" customHeight="1">
      <c r="A910" s="230"/>
      <c r="B910" s="230"/>
    </row>
    <row r="911" ht="15.75" customHeight="1">
      <c r="A911" s="230"/>
      <c r="B911" s="230"/>
    </row>
    <row r="912" ht="15.75" customHeight="1">
      <c r="A912" s="230"/>
      <c r="B912" s="230"/>
    </row>
    <row r="913" ht="15.75" customHeight="1">
      <c r="A913" s="230"/>
      <c r="B913" s="230"/>
    </row>
    <row r="914" ht="15.75" customHeight="1">
      <c r="A914" s="230"/>
      <c r="B914" s="230"/>
    </row>
    <row r="915" ht="15.75" customHeight="1">
      <c r="A915" s="230"/>
      <c r="B915" s="230"/>
    </row>
    <row r="916" ht="15.75" customHeight="1">
      <c r="A916" s="230"/>
      <c r="B916" s="230"/>
    </row>
    <row r="917" ht="15.75" customHeight="1">
      <c r="A917" s="230"/>
      <c r="B917" s="230"/>
    </row>
    <row r="918" ht="15.75" customHeight="1">
      <c r="A918" s="230"/>
      <c r="B918" s="230"/>
    </row>
    <row r="919" ht="15.75" customHeight="1">
      <c r="A919" s="230"/>
      <c r="B919" s="230"/>
    </row>
    <row r="920" ht="15.75" customHeight="1">
      <c r="A920" s="230"/>
      <c r="B920" s="230"/>
    </row>
    <row r="921" ht="15.75" customHeight="1">
      <c r="A921" s="230"/>
      <c r="B921" s="230"/>
    </row>
    <row r="922" ht="15.75" customHeight="1">
      <c r="A922" s="230"/>
      <c r="B922" s="230"/>
    </row>
    <row r="923" ht="15.75" customHeight="1">
      <c r="A923" s="230"/>
      <c r="B923" s="230"/>
    </row>
    <row r="924" ht="15.75" customHeight="1">
      <c r="A924" s="230"/>
      <c r="B924" s="230"/>
    </row>
    <row r="925" ht="15.75" customHeight="1">
      <c r="A925" s="230"/>
      <c r="B925" s="230"/>
    </row>
    <row r="926" ht="15.75" customHeight="1">
      <c r="A926" s="230"/>
      <c r="B926" s="230"/>
    </row>
    <row r="927" ht="15.75" customHeight="1">
      <c r="A927" s="230"/>
      <c r="B927" s="230"/>
    </row>
    <row r="928" ht="15.75" customHeight="1">
      <c r="A928" s="230"/>
      <c r="B928" s="230"/>
    </row>
    <row r="929" ht="15.75" customHeight="1">
      <c r="A929" s="230"/>
      <c r="B929" s="230"/>
    </row>
    <row r="930" ht="15.75" customHeight="1">
      <c r="A930" s="230"/>
      <c r="B930" s="230"/>
    </row>
    <row r="931" ht="15.75" customHeight="1">
      <c r="A931" s="230"/>
      <c r="B931" s="230"/>
    </row>
    <row r="932" ht="15.75" customHeight="1">
      <c r="A932" s="230"/>
      <c r="B932" s="230"/>
    </row>
    <row r="933" ht="15.75" customHeight="1">
      <c r="A933" s="230"/>
      <c r="B933" s="230"/>
    </row>
    <row r="934" ht="15.75" customHeight="1">
      <c r="A934" s="230"/>
      <c r="B934" s="230"/>
    </row>
    <row r="935" ht="15.75" customHeight="1">
      <c r="A935" s="230"/>
      <c r="B935" s="230"/>
    </row>
    <row r="936" ht="15.75" customHeight="1">
      <c r="A936" s="230"/>
      <c r="B936" s="230"/>
    </row>
    <row r="937" ht="15.75" customHeight="1">
      <c r="A937" s="230"/>
      <c r="B937" s="230"/>
    </row>
    <row r="938" ht="15.75" customHeight="1">
      <c r="A938" s="230"/>
      <c r="B938" s="230"/>
    </row>
    <row r="939" ht="15.75" customHeight="1">
      <c r="A939" s="230"/>
      <c r="B939" s="230"/>
    </row>
    <row r="940" ht="15.75" customHeight="1">
      <c r="A940" s="230"/>
      <c r="B940" s="230"/>
    </row>
    <row r="941" ht="15.75" customHeight="1">
      <c r="A941" s="230"/>
      <c r="B941" s="230"/>
    </row>
    <row r="942" ht="15.75" customHeight="1">
      <c r="A942" s="230"/>
      <c r="B942" s="230"/>
    </row>
    <row r="943" ht="15.75" customHeight="1">
      <c r="A943" s="230"/>
      <c r="B943" s="230"/>
    </row>
    <row r="944" ht="15.75" customHeight="1">
      <c r="A944" s="230"/>
      <c r="B944" s="230"/>
    </row>
    <row r="945" ht="15.75" customHeight="1">
      <c r="A945" s="230"/>
      <c r="B945" s="230"/>
    </row>
    <row r="946" ht="15.75" customHeight="1">
      <c r="A946" s="230"/>
      <c r="B946" s="230"/>
    </row>
    <row r="947" ht="15.75" customHeight="1">
      <c r="A947" s="230"/>
      <c r="B947" s="230"/>
    </row>
    <row r="948" ht="15.75" customHeight="1">
      <c r="A948" s="230"/>
      <c r="B948" s="230"/>
    </row>
    <row r="949" ht="15.75" customHeight="1">
      <c r="A949" s="230"/>
      <c r="B949" s="230"/>
    </row>
    <row r="950" ht="15.75" customHeight="1">
      <c r="A950" s="230"/>
      <c r="B950" s="230"/>
    </row>
    <row r="951" ht="15.75" customHeight="1">
      <c r="A951" s="230"/>
      <c r="B951" s="230"/>
    </row>
    <row r="952" ht="15.75" customHeight="1">
      <c r="A952" s="230"/>
      <c r="B952" s="230"/>
    </row>
    <row r="953" ht="15.75" customHeight="1">
      <c r="A953" s="230"/>
      <c r="B953" s="230"/>
    </row>
    <row r="954" ht="15.75" customHeight="1">
      <c r="A954" s="230"/>
      <c r="B954" s="230"/>
    </row>
    <row r="955" ht="15.75" customHeight="1">
      <c r="A955" s="230"/>
      <c r="B955" s="230"/>
    </row>
    <row r="956" ht="15.75" customHeight="1">
      <c r="A956" s="230"/>
      <c r="B956" s="230"/>
    </row>
    <row r="957" ht="15.75" customHeight="1">
      <c r="A957" s="230"/>
      <c r="B957" s="230"/>
    </row>
    <row r="958" ht="15.75" customHeight="1">
      <c r="A958" s="230"/>
      <c r="B958" s="230"/>
    </row>
    <row r="959" ht="15.75" customHeight="1">
      <c r="A959" s="230"/>
      <c r="B959" s="230"/>
    </row>
    <row r="960" ht="15.75" customHeight="1">
      <c r="A960" s="230"/>
      <c r="B960" s="230"/>
    </row>
    <row r="961" ht="15.75" customHeight="1">
      <c r="A961" s="230"/>
      <c r="B961" s="230"/>
    </row>
    <row r="962" ht="15.75" customHeight="1">
      <c r="A962" s="230"/>
      <c r="B962" s="230"/>
    </row>
    <row r="963" ht="15.75" customHeight="1">
      <c r="A963" s="230"/>
      <c r="B963" s="230"/>
    </row>
    <row r="964" ht="15.75" customHeight="1">
      <c r="A964" s="230"/>
      <c r="B964" s="230"/>
    </row>
    <row r="965" ht="15.75" customHeight="1">
      <c r="A965" s="230"/>
      <c r="B965" s="230"/>
    </row>
    <row r="966" ht="15.75" customHeight="1">
      <c r="A966" s="230"/>
      <c r="B966" s="230"/>
    </row>
    <row r="967" ht="15.75" customHeight="1">
      <c r="A967" s="230"/>
      <c r="B967" s="230"/>
    </row>
    <row r="968" ht="15.75" customHeight="1">
      <c r="A968" s="230"/>
      <c r="B968" s="230"/>
    </row>
    <row r="969" ht="15.75" customHeight="1">
      <c r="A969" s="230"/>
      <c r="B969" s="230"/>
    </row>
    <row r="970" ht="15.75" customHeight="1">
      <c r="A970" s="230"/>
      <c r="B970" s="230"/>
    </row>
    <row r="971" ht="15.75" customHeight="1">
      <c r="A971" s="230"/>
      <c r="B971" s="230"/>
    </row>
    <row r="972" ht="15.75" customHeight="1">
      <c r="A972" s="230"/>
      <c r="B972" s="230"/>
    </row>
    <row r="973" ht="15.75" customHeight="1">
      <c r="A973" s="230"/>
      <c r="B973" s="230"/>
    </row>
    <row r="974" ht="15.75" customHeight="1">
      <c r="A974" s="230"/>
      <c r="B974" s="230"/>
    </row>
    <row r="975" ht="15.75" customHeight="1">
      <c r="A975" s="230"/>
      <c r="B975" s="230"/>
    </row>
    <row r="976" ht="15.75" customHeight="1">
      <c r="A976" s="230"/>
      <c r="B976" s="230"/>
    </row>
    <row r="977" ht="15.75" customHeight="1">
      <c r="A977" s="230"/>
      <c r="B977" s="230"/>
    </row>
    <row r="978" ht="15.75" customHeight="1">
      <c r="A978" s="230"/>
      <c r="B978" s="230"/>
    </row>
    <row r="979" ht="15.75" customHeight="1">
      <c r="A979" s="230"/>
      <c r="B979" s="230"/>
    </row>
    <row r="980" ht="15.75" customHeight="1">
      <c r="A980" s="230"/>
      <c r="B980" s="230"/>
    </row>
    <row r="981" ht="15.75" customHeight="1">
      <c r="A981" s="230"/>
      <c r="B981" s="230"/>
    </row>
    <row r="982" ht="15.75" customHeight="1">
      <c r="A982" s="230"/>
      <c r="B982" s="230"/>
    </row>
    <row r="983" ht="15.75" customHeight="1">
      <c r="A983" s="230"/>
      <c r="B983" s="230"/>
    </row>
    <row r="984" ht="15.75" customHeight="1">
      <c r="A984" s="230"/>
      <c r="B984" s="230"/>
    </row>
    <row r="985" ht="15.75" customHeight="1">
      <c r="A985" s="230"/>
      <c r="B985" s="230"/>
    </row>
    <row r="986" ht="15.75" customHeight="1">
      <c r="A986" s="230"/>
      <c r="B986" s="230"/>
    </row>
    <row r="987" ht="15.75" customHeight="1">
      <c r="A987" s="230"/>
      <c r="B987" s="230"/>
    </row>
    <row r="988" ht="15.75" customHeight="1">
      <c r="A988" s="230"/>
      <c r="B988" s="230"/>
    </row>
    <row r="989" ht="15.75" customHeight="1">
      <c r="A989" s="230"/>
      <c r="B989" s="230"/>
    </row>
    <row r="990" ht="15.75" customHeight="1">
      <c r="A990" s="230"/>
      <c r="B990" s="230"/>
    </row>
    <row r="991" ht="15.75" customHeight="1">
      <c r="A991" s="230"/>
      <c r="B991" s="230"/>
    </row>
    <row r="992" ht="15.75" customHeight="1">
      <c r="A992" s="230"/>
      <c r="B992" s="230"/>
    </row>
    <row r="993" ht="15.75" customHeight="1">
      <c r="A993" s="230"/>
      <c r="B993" s="230"/>
    </row>
    <row r="994" ht="15.75" customHeight="1">
      <c r="A994" s="230"/>
      <c r="B994" s="230"/>
    </row>
    <row r="995" ht="15.75" customHeight="1">
      <c r="A995" s="230"/>
      <c r="B995" s="230"/>
    </row>
    <row r="996" ht="15.75" customHeight="1">
      <c r="A996" s="230"/>
      <c r="B996" s="230"/>
    </row>
    <row r="997" ht="15.75" customHeight="1">
      <c r="A997" s="230"/>
      <c r="B997" s="230"/>
    </row>
    <row r="998" ht="15.75" customHeight="1">
      <c r="A998" s="230"/>
      <c r="B998" s="230"/>
    </row>
    <row r="999" ht="15.75" customHeight="1">
      <c r="A999" s="230"/>
      <c r="B999" s="230"/>
    </row>
    <row r="1000" ht="15.75" customHeight="1">
      <c r="A1000" s="230"/>
      <c r="B1000" s="230"/>
    </row>
  </sheetData>
  <hyperlinks>
    <hyperlink r:id="rId1" ref="AD2"/>
    <hyperlink r:id="rId2" ref="AD3"/>
    <hyperlink r:id="rId3" ref="AD4"/>
    <hyperlink r:id="rId4" ref="AD6"/>
    <hyperlink r:id="rId5" ref="AD7"/>
    <hyperlink r:id="rId6" ref="AD8"/>
    <hyperlink r:id="rId7" ref="AD9"/>
    <hyperlink r:id="rId8" ref="AD10"/>
    <hyperlink r:id="rId9" ref="AD11"/>
    <hyperlink r:id="rId10" ref="AD12"/>
    <hyperlink r:id="rId11" ref="AD13"/>
    <hyperlink r:id="rId12" ref="AD14"/>
    <hyperlink r:id="rId13" ref="AD15"/>
    <hyperlink r:id="rId14" ref="AD17"/>
    <hyperlink r:id="rId15" ref="AD18"/>
    <hyperlink r:id="rId16" ref="AD19"/>
    <hyperlink r:id="rId17" ref="AD20"/>
    <hyperlink r:id="rId18" ref="AD21"/>
    <hyperlink r:id="rId19" ref="AD22"/>
    <hyperlink r:id="rId20" ref="AD23"/>
    <hyperlink r:id="rId21" ref="AD25"/>
    <hyperlink r:id="rId22" ref="AD26"/>
    <hyperlink r:id="rId23" ref="AD28"/>
    <hyperlink r:id="rId24" ref="AD29"/>
    <hyperlink r:id="rId25" ref="AD30"/>
    <hyperlink r:id="rId26" ref="AD31"/>
    <hyperlink r:id="rId27" ref="AD32"/>
    <hyperlink r:id="rId28" ref="AD33"/>
    <hyperlink r:id="rId29" ref="AD34"/>
    <hyperlink r:id="rId30" ref="AD35"/>
    <hyperlink r:id="rId31" ref="AD36"/>
    <hyperlink r:id="rId32" ref="AD37"/>
    <hyperlink r:id="rId33" ref="AD38"/>
    <hyperlink r:id="rId34" ref="AD39"/>
    <hyperlink r:id="rId35" ref="AD40"/>
    <hyperlink r:id="rId36" ref="AG41"/>
    <hyperlink r:id="rId37" ref="AD44"/>
    <hyperlink r:id="rId38" ref="AD45"/>
    <hyperlink r:id="rId39" ref="AD46"/>
    <hyperlink r:id="rId40" ref="AD50"/>
    <hyperlink r:id="rId41" ref="AD51"/>
    <hyperlink r:id="rId42" ref="AD52"/>
    <hyperlink r:id="rId43" ref="AD53"/>
    <hyperlink r:id="rId44" ref="AD55"/>
    <hyperlink r:id="rId45" ref="AD56"/>
    <hyperlink r:id="rId46" ref="AD57"/>
    <hyperlink r:id="rId47" ref="AD61"/>
    <hyperlink r:id="rId48" ref="AD63"/>
    <hyperlink r:id="rId49" ref="AD64"/>
    <hyperlink r:id="rId50" ref="AD65"/>
    <hyperlink r:id="rId51" ref="AD66"/>
    <hyperlink r:id="rId52" ref="AD67"/>
    <hyperlink r:id="rId53" ref="AD70"/>
    <hyperlink r:id="rId54" ref="AD71"/>
    <hyperlink r:id="rId55" ref="AD72"/>
    <hyperlink r:id="rId56" ref="AD73"/>
    <hyperlink r:id="rId57" ref="AF73"/>
    <hyperlink r:id="rId58" ref="AD74"/>
    <hyperlink r:id="rId59" ref="AF74"/>
    <hyperlink r:id="rId60" ref="AD75"/>
    <hyperlink r:id="rId61" ref="AD76"/>
    <hyperlink r:id="rId62" ref="AF76"/>
    <hyperlink r:id="rId63" ref="AD77"/>
    <hyperlink r:id="rId64" ref="AD78"/>
    <hyperlink r:id="rId65" ref="AF78"/>
    <hyperlink r:id="rId66" ref="AD79"/>
    <hyperlink r:id="rId67" ref="AD80"/>
    <hyperlink r:id="rId68" ref="AD81"/>
    <hyperlink r:id="rId69" ref="AF81"/>
    <hyperlink r:id="rId70" ref="AD82"/>
    <hyperlink r:id="rId71" ref="AD83"/>
    <hyperlink r:id="rId72" ref="AD86"/>
    <hyperlink r:id="rId73" ref="AD87"/>
    <hyperlink r:id="rId74" ref="AD95"/>
    <hyperlink r:id="rId75" ref="AD96"/>
    <hyperlink r:id="rId76" ref="AD97"/>
    <hyperlink r:id="rId77" ref="AD98"/>
    <hyperlink r:id="rId78" ref="AD99"/>
    <hyperlink r:id="rId79" ref="AD100"/>
    <hyperlink r:id="rId80" ref="AD101"/>
    <hyperlink r:id="rId81" ref="AD109"/>
    <hyperlink r:id="rId82" ref="AD110"/>
    <hyperlink r:id="rId83" ref="AD111"/>
    <hyperlink r:id="rId84" ref="AD112"/>
    <hyperlink r:id="rId85" ref="AD113"/>
    <hyperlink r:id="rId86" ref="AD114"/>
    <hyperlink r:id="rId87" ref="AD115"/>
    <hyperlink r:id="rId88" ref="AD117"/>
    <hyperlink r:id="rId89" ref="AD118"/>
    <hyperlink r:id="rId90" ref="AD119"/>
    <hyperlink r:id="rId91" ref="AD120"/>
    <hyperlink r:id="rId92" ref="AD121"/>
    <hyperlink r:id="rId93" ref="AD125"/>
    <hyperlink r:id="rId94" ref="AD126"/>
    <hyperlink r:id="rId95" ref="AD128"/>
    <hyperlink r:id="rId96" ref="AD129"/>
    <hyperlink r:id="rId97" ref="AD130"/>
    <hyperlink r:id="rId98" ref="AD132"/>
    <hyperlink r:id="rId99" ref="AD135"/>
    <hyperlink r:id="rId100" ref="AD138"/>
    <hyperlink r:id="rId101" ref="AD139"/>
    <hyperlink r:id="rId102" ref="AD140"/>
    <hyperlink r:id="rId103" ref="AD142"/>
    <hyperlink r:id="rId104" ref="AD145"/>
    <hyperlink r:id="rId105" ref="AD153"/>
    <hyperlink r:id="rId106" ref="AD159"/>
    <hyperlink r:id="rId107" ref="AD170"/>
    <hyperlink r:id="rId108" ref="AD174"/>
    <hyperlink r:id="rId109" ref="AD175"/>
    <hyperlink r:id="rId110" ref="AD176"/>
    <hyperlink r:id="rId111" ref="AD180"/>
    <hyperlink r:id="rId112" ref="AD182"/>
    <hyperlink r:id="rId113" ref="AF182"/>
    <hyperlink r:id="rId114" ref="AD184"/>
    <hyperlink r:id="rId115" ref="AD185"/>
    <hyperlink r:id="rId116" ref="AD186"/>
    <hyperlink r:id="rId117" ref="AD187"/>
    <hyperlink r:id="rId118" ref="AD188"/>
    <hyperlink r:id="rId119" ref="AD189"/>
    <hyperlink r:id="rId120" location="ixzz5IKRlKWsE" ref="AD191"/>
    <hyperlink r:id="rId121" ref="AD192"/>
    <hyperlink r:id="rId122" ref="AD195"/>
    <hyperlink r:id="rId123" ref="AD197"/>
    <hyperlink r:id="rId124" ref="AD199"/>
    <hyperlink r:id="rId125" ref="AD203"/>
    <hyperlink r:id="rId126" ref="AD207"/>
    <hyperlink r:id="rId127" ref="AD210"/>
    <hyperlink r:id="rId128" ref="AD212"/>
    <hyperlink r:id="rId129" ref="AD221"/>
    <hyperlink r:id="rId130" ref="AD222"/>
    <hyperlink r:id="rId131" ref="AD223"/>
    <hyperlink r:id="rId132" ref="AD225"/>
    <hyperlink r:id="rId133" ref="AD226"/>
    <hyperlink r:id="rId134" ref="AD227"/>
    <hyperlink r:id="rId135" ref="AD228"/>
    <hyperlink r:id="rId136" ref="AD229"/>
    <hyperlink r:id="rId137" ref="AD230"/>
    <hyperlink r:id="rId138" ref="AD231"/>
    <hyperlink r:id="rId139" ref="AD234"/>
    <hyperlink r:id="rId140" ref="AD235"/>
    <hyperlink r:id="rId141" ref="AD236"/>
    <hyperlink r:id="rId142" ref="AD237"/>
    <hyperlink r:id="rId143" ref="AD241"/>
    <hyperlink r:id="rId144" ref="AD242"/>
    <hyperlink r:id="rId145" ref="AD243"/>
    <hyperlink r:id="rId146" ref="AD245"/>
    <hyperlink r:id="rId147" ref="AD246"/>
    <hyperlink r:id="rId148" ref="AD247"/>
    <hyperlink r:id="rId149" ref="AD248"/>
    <hyperlink r:id="rId150" ref="AD249"/>
    <hyperlink r:id="rId151" ref="AD250"/>
    <hyperlink r:id="rId152" ref="AD251"/>
    <hyperlink r:id="rId153" ref="AD252"/>
    <hyperlink r:id="rId154" ref="AD254"/>
    <hyperlink r:id="rId155" ref="AD255"/>
    <hyperlink r:id="rId156" ref="AD256"/>
    <hyperlink r:id="rId157" ref="AD258"/>
    <hyperlink r:id="rId158" ref="AD259"/>
    <hyperlink r:id="rId159" ref="AF259"/>
    <hyperlink r:id="rId160" ref="AD261"/>
    <hyperlink r:id="rId161" ref="AF262"/>
    <hyperlink r:id="rId162" ref="AD265"/>
    <hyperlink r:id="rId163" ref="AF266"/>
    <hyperlink r:id="rId164" ref="AD267"/>
    <hyperlink r:id="rId165" ref="AD268"/>
    <hyperlink r:id="rId166" ref="AD269"/>
    <hyperlink r:id="rId167" ref="AD271"/>
    <hyperlink r:id="rId168" ref="AD273"/>
    <hyperlink r:id="rId169" ref="AD274"/>
    <hyperlink r:id="rId170" ref="AD275"/>
    <hyperlink r:id="rId171" ref="AD276"/>
    <hyperlink r:id="rId172" ref="AD277"/>
    <hyperlink r:id="rId173" ref="AD281"/>
    <hyperlink r:id="rId174" ref="AF281"/>
    <hyperlink r:id="rId175" ref="AD284"/>
    <hyperlink r:id="rId176" ref="AD285"/>
    <hyperlink r:id="rId177" ref="AD286"/>
    <hyperlink r:id="rId178" ref="AD287"/>
    <hyperlink r:id="rId179" ref="AD288"/>
    <hyperlink r:id="rId180" ref="AD294"/>
    <hyperlink r:id="rId181" ref="AD295"/>
    <hyperlink r:id="rId182" ref="AD296"/>
    <hyperlink r:id="rId183" ref="AD299"/>
    <hyperlink r:id="rId184" ref="AD303"/>
    <hyperlink r:id="rId185" ref="AD305"/>
    <hyperlink r:id="rId186" ref="AD306"/>
    <hyperlink r:id="rId187" ref="AD311"/>
    <hyperlink r:id="rId188" ref="AD320"/>
    <hyperlink r:id="rId189" ref="AD321"/>
    <hyperlink r:id="rId190" ref="AD322"/>
    <hyperlink r:id="rId191" ref="AD323"/>
    <hyperlink r:id="rId192" ref="AF324"/>
    <hyperlink r:id="rId193" ref="AD325"/>
    <hyperlink r:id="rId194" ref="AD326"/>
    <hyperlink r:id="rId195" ref="AD328"/>
    <hyperlink r:id="rId196" ref="AD329"/>
    <hyperlink r:id="rId197" ref="AD331"/>
    <hyperlink r:id="rId198" ref="AD335"/>
    <hyperlink r:id="rId199" ref="AD336"/>
    <hyperlink r:id="rId200" ref="AF337"/>
    <hyperlink r:id="rId201" ref="AD338"/>
    <hyperlink r:id="rId202" ref="AF339"/>
    <hyperlink r:id="rId203" ref="AD340"/>
    <hyperlink r:id="rId204" ref="AD341"/>
    <hyperlink r:id="rId205" ref="AD342"/>
    <hyperlink r:id="rId206" ref="AD343"/>
    <hyperlink r:id="rId207" ref="AD346"/>
    <hyperlink r:id="rId208" ref="AD351"/>
    <hyperlink r:id="rId209" ref="AD353"/>
    <hyperlink r:id="rId210" ref="AD354"/>
    <hyperlink r:id="rId211" ref="AD355"/>
    <hyperlink r:id="rId212" ref="AD358"/>
    <hyperlink r:id="rId213" ref="AD359"/>
    <hyperlink r:id="rId214" ref="AD360"/>
    <hyperlink r:id="rId215" ref="AF360"/>
    <hyperlink r:id="rId216" ref="AF361"/>
    <hyperlink r:id="rId217" ref="AD363"/>
    <hyperlink r:id="rId218" ref="AF363"/>
    <hyperlink r:id="rId219" ref="AD364"/>
    <hyperlink r:id="rId220" ref="AF364"/>
    <hyperlink r:id="rId221" ref="AD365"/>
    <hyperlink r:id="rId222" ref="AD366"/>
    <hyperlink r:id="rId223" ref="AD368"/>
    <hyperlink r:id="rId224" ref="AD369"/>
    <hyperlink r:id="rId225" ref="AD370"/>
    <hyperlink r:id="rId226" ref="AD371"/>
    <hyperlink r:id="rId227" ref="AD372"/>
    <hyperlink r:id="rId228" ref="AD376"/>
    <hyperlink r:id="rId229" ref="AD378"/>
    <hyperlink r:id="rId230" ref="AD380"/>
    <hyperlink r:id="rId231" ref="AD381"/>
    <hyperlink r:id="rId232" ref="AD383"/>
    <hyperlink r:id="rId233" ref="AD384"/>
    <hyperlink r:id="rId234" ref="AD385"/>
    <hyperlink r:id="rId235" ref="AD386"/>
    <hyperlink r:id="rId236" ref="AF386"/>
    <hyperlink r:id="rId237" ref="AD387"/>
    <hyperlink r:id="rId238" ref="AD388"/>
    <hyperlink r:id="rId239" ref="AD390"/>
    <hyperlink r:id="rId240" location=":~:text=This%20is%20sought%20as%20one%20of%20the,but%20throughout%20Sarangani%20Bay.%20The%20preparation%20of." ref="AD391"/>
    <hyperlink r:id="rId241" ref="AD392"/>
    <hyperlink r:id="rId242" ref="AD394"/>
    <hyperlink r:id="rId243" ref="AD395"/>
    <hyperlink r:id="rId244" ref="AD396"/>
    <hyperlink r:id="rId245" ref="AD397"/>
    <hyperlink r:id="rId246" ref="AD398"/>
    <hyperlink r:id="rId247" ref="AD399"/>
    <hyperlink r:id="rId248" ref="AD400"/>
    <hyperlink r:id="rId249" ref="AD401"/>
    <hyperlink r:id="rId250" ref="AD402"/>
    <hyperlink r:id="rId251" ref="AD403"/>
    <hyperlink r:id="rId252" ref="AD405"/>
    <hyperlink r:id="rId253" ref="AD406"/>
    <hyperlink r:id="rId254" ref="AD407"/>
    <hyperlink r:id="rId255" ref="AD408"/>
    <hyperlink r:id="rId256" ref="AD409"/>
    <hyperlink r:id="rId257" ref="AG409"/>
    <hyperlink r:id="rId258" ref="AD410"/>
    <hyperlink r:id="rId259" ref="AD411"/>
    <hyperlink r:id="rId260" ref="AD412"/>
    <hyperlink r:id="rId261" ref="AD414"/>
    <hyperlink r:id="rId262" ref="AD415"/>
    <hyperlink r:id="rId263" ref="AD416"/>
    <hyperlink r:id="rId264" ref="AD417"/>
    <hyperlink r:id="rId265" ref="AD418"/>
    <hyperlink r:id="rId266" ref="AD419"/>
    <hyperlink r:id="rId267" ref="AD420"/>
    <hyperlink r:id="rId268" ref="AD421"/>
    <hyperlink r:id="rId269" ref="AD422"/>
    <hyperlink r:id="rId270" ref="AD423"/>
    <hyperlink r:id="rId271" ref="AD424"/>
    <hyperlink r:id="rId272" ref="AD425"/>
    <hyperlink r:id="rId273" ref="AD426"/>
    <hyperlink r:id="rId274" ref="AD427"/>
    <hyperlink r:id="rId275" ref="AD428"/>
    <hyperlink r:id="rId276" ref="AD429"/>
    <hyperlink r:id="rId277" ref="AD430"/>
    <hyperlink r:id="rId278" ref="AD431"/>
    <hyperlink r:id="rId279" ref="AD432"/>
    <hyperlink r:id="rId280" ref="AD435"/>
    <hyperlink r:id="rId281" ref="AD436"/>
    <hyperlink r:id="rId282" ref="AD437"/>
    <hyperlink r:id="rId283" ref="AD438"/>
    <hyperlink r:id="rId284" ref="AD439"/>
    <hyperlink r:id="rId285" ref="AD440"/>
    <hyperlink r:id="rId286" ref="AD441"/>
    <hyperlink r:id="rId287" ref="AD442"/>
    <hyperlink r:id="rId288" ref="AD444"/>
    <hyperlink r:id="rId289" ref="AD445"/>
    <hyperlink r:id="rId290" ref="AD448"/>
    <hyperlink r:id="rId291" ref="AD449"/>
    <hyperlink r:id="rId292" ref="AD450"/>
    <hyperlink r:id="rId293" ref="AD451"/>
    <hyperlink r:id="rId294" ref="AD452"/>
    <hyperlink r:id="rId295" ref="AD453"/>
    <hyperlink r:id="rId296" ref="AD454"/>
    <hyperlink r:id="rId297" ref="AF455"/>
  </hyperlinks>
  <printOptions/>
  <pageMargins bottom="0.75" footer="0.0" header="0.0" left="0.7" right="0.7" top="0.75"/>
  <pageSetup orientation="portrait"/>
  <drawing r:id="rId29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1.22" defaultRowHeight="15.0"/>
  <cols>
    <col customWidth="1" min="1" max="2" width="5.78"/>
    <col customWidth="1" min="3" max="3" width="14.78"/>
    <col customWidth="1" min="4" max="4" width="23.78"/>
    <col customWidth="1" min="5" max="5" width="15.44"/>
    <col customWidth="1" min="6" max="6" width="16.0"/>
    <col customWidth="1" min="7" max="7" width="42.67"/>
    <col customWidth="1" min="8" max="8" width="50.33"/>
    <col customWidth="1" min="9" max="9" width="17.11"/>
    <col customWidth="1" min="10" max="11" width="11.11"/>
    <col customWidth="1" min="12" max="12" width="34.44"/>
    <col customWidth="1" min="13" max="13" width="28.0"/>
    <col customWidth="1" min="14" max="14" width="13.67"/>
    <col customWidth="1" min="15" max="15" width="23.44"/>
    <col customWidth="1" min="16" max="19" width="17.11"/>
    <col customWidth="1" min="20" max="20" width="15.78"/>
    <col customWidth="1" min="21" max="21" width="11.11"/>
    <col customWidth="1" min="22" max="22" width="18.11"/>
    <col customWidth="1" min="23" max="23" width="15.67"/>
    <col customWidth="1" min="24" max="24" width="19.11"/>
    <col customWidth="1" min="25" max="26" width="11.11"/>
    <col customWidth="1" min="27" max="28" width="27.0"/>
    <col customWidth="1" min="29" max="29" width="170.11"/>
    <col customWidth="1" min="30" max="30" width="41.11"/>
    <col customWidth="1" min="31" max="31" width="37.78"/>
    <col customWidth="1" min="32" max="32" width="16.44"/>
    <col customWidth="1" min="33" max="33" width="11.11"/>
  </cols>
  <sheetData>
    <row r="1" ht="38.25" customHeight="1">
      <c r="A1" s="232" t="s">
        <v>3233</v>
      </c>
      <c r="B1" s="233" t="s">
        <v>38</v>
      </c>
      <c r="C1" s="234" t="s">
        <v>51</v>
      </c>
      <c r="D1" s="234" t="s">
        <v>53</v>
      </c>
      <c r="E1" s="234" t="s">
        <v>10</v>
      </c>
      <c r="F1" s="235" t="s">
        <v>56</v>
      </c>
      <c r="G1" s="234" t="s">
        <v>6002</v>
      </c>
      <c r="H1" s="234" t="s">
        <v>7782</v>
      </c>
      <c r="I1" s="236" t="s">
        <v>6004</v>
      </c>
      <c r="J1" s="236" t="s">
        <v>6005</v>
      </c>
      <c r="K1" s="236" t="s">
        <v>6006</v>
      </c>
      <c r="L1" s="234" t="s">
        <v>6001</v>
      </c>
      <c r="M1" s="234" t="s">
        <v>7783</v>
      </c>
      <c r="N1" s="234"/>
      <c r="O1" s="234" t="s">
        <v>7784</v>
      </c>
      <c r="P1" s="234" t="s">
        <v>6016</v>
      </c>
      <c r="Q1" s="237" t="s">
        <v>6017</v>
      </c>
      <c r="R1" s="237" t="s">
        <v>6018</v>
      </c>
      <c r="S1" s="237" t="s">
        <v>6018</v>
      </c>
      <c r="T1" s="234" t="s">
        <v>6019</v>
      </c>
      <c r="U1" s="234" t="s">
        <v>6020</v>
      </c>
      <c r="V1" s="234" t="s">
        <v>6021</v>
      </c>
      <c r="W1" s="234" t="s">
        <v>6022</v>
      </c>
      <c r="X1" s="234" t="s">
        <v>6023</v>
      </c>
      <c r="Y1" s="234" t="s">
        <v>114</v>
      </c>
      <c r="Z1" s="234" t="s">
        <v>116</v>
      </c>
      <c r="AA1" s="234" t="s">
        <v>118</v>
      </c>
      <c r="AB1" s="234" t="s">
        <v>6026</v>
      </c>
      <c r="AC1" s="234" t="s">
        <v>125</v>
      </c>
      <c r="AD1" s="234" t="s">
        <v>6027</v>
      </c>
      <c r="AE1" s="234" t="s">
        <v>129</v>
      </c>
      <c r="AF1" s="234" t="s">
        <v>131</v>
      </c>
      <c r="AG1" s="234"/>
    </row>
    <row r="2">
      <c r="A2" s="238">
        <v>2024.0</v>
      </c>
      <c r="B2" s="230">
        <v>1.0</v>
      </c>
      <c r="C2" s="153" t="s">
        <v>143</v>
      </c>
      <c r="D2" s="153" t="s">
        <v>381</v>
      </c>
      <c r="E2" s="153" t="s">
        <v>2585</v>
      </c>
      <c r="F2" s="153" t="s">
        <v>2586</v>
      </c>
      <c r="G2" s="158" t="s">
        <v>149</v>
      </c>
      <c r="H2" s="158" t="s">
        <v>2587</v>
      </c>
      <c r="I2" s="230">
        <v>2021.0</v>
      </c>
      <c r="J2" s="192" t="s">
        <v>149</v>
      </c>
      <c r="K2" s="192" t="s">
        <v>149</v>
      </c>
      <c r="L2" s="153" t="s">
        <v>151</v>
      </c>
      <c r="M2" s="158" t="s">
        <v>789</v>
      </c>
      <c r="N2" s="158" t="s">
        <v>789</v>
      </c>
      <c r="O2" s="158" t="s">
        <v>6034</v>
      </c>
      <c r="P2" s="158" t="s">
        <v>149</v>
      </c>
      <c r="Q2" s="158" t="s">
        <v>149</v>
      </c>
      <c r="R2" s="158" t="s">
        <v>149</v>
      </c>
      <c r="S2" s="158" t="s">
        <v>149</v>
      </c>
      <c r="T2" s="158" t="s">
        <v>149</v>
      </c>
      <c r="U2" s="158" t="s">
        <v>149</v>
      </c>
      <c r="V2" s="158" t="s">
        <v>149</v>
      </c>
      <c r="W2" s="153" t="s">
        <v>390</v>
      </c>
      <c r="X2" s="153" t="s">
        <v>6035</v>
      </c>
      <c r="Y2" s="158" t="s">
        <v>6036</v>
      </c>
      <c r="Z2" s="153"/>
      <c r="AA2" s="158" t="s">
        <v>2590</v>
      </c>
      <c r="AB2" s="153" t="s">
        <v>6038</v>
      </c>
      <c r="AC2" s="153" t="s">
        <v>6039</v>
      </c>
      <c r="AD2" s="165" t="s">
        <v>2592</v>
      </c>
      <c r="AE2" s="153"/>
      <c r="AF2" s="153"/>
      <c r="AG2" s="153"/>
    </row>
    <row r="3">
      <c r="A3" s="238">
        <v>2024.0</v>
      </c>
      <c r="B3" s="230">
        <v>3.0</v>
      </c>
      <c r="C3" s="153" t="s">
        <v>143</v>
      </c>
      <c r="D3" s="153" t="s">
        <v>381</v>
      </c>
      <c r="E3" s="153" t="s">
        <v>2363</v>
      </c>
      <c r="F3" s="153" t="s">
        <v>2364</v>
      </c>
      <c r="G3" s="158" t="s">
        <v>149</v>
      </c>
      <c r="H3" s="153" t="s">
        <v>2365</v>
      </c>
      <c r="I3" s="230">
        <v>2023.0</v>
      </c>
      <c r="J3" s="192" t="s">
        <v>149</v>
      </c>
      <c r="K3" s="192" t="s">
        <v>149</v>
      </c>
      <c r="L3" s="153" t="s">
        <v>151</v>
      </c>
      <c r="M3" s="153" t="s">
        <v>7935</v>
      </c>
      <c r="N3" s="153" t="s">
        <v>7936</v>
      </c>
      <c r="O3" s="158" t="s">
        <v>6046</v>
      </c>
      <c r="P3" s="153" t="s">
        <v>2367</v>
      </c>
      <c r="Q3" s="158" t="s">
        <v>160</v>
      </c>
      <c r="R3" s="158" t="s">
        <v>184</v>
      </c>
      <c r="S3" s="158" t="s">
        <v>159</v>
      </c>
      <c r="T3" s="158" t="s">
        <v>149</v>
      </c>
      <c r="U3" s="171" t="s">
        <v>149</v>
      </c>
      <c r="V3" s="171" t="s">
        <v>149</v>
      </c>
      <c r="W3" s="153" t="s">
        <v>7937</v>
      </c>
      <c r="X3" s="153" t="s">
        <v>184</v>
      </c>
      <c r="Y3" s="153" t="s">
        <v>6048</v>
      </c>
      <c r="Z3" s="153" t="s">
        <v>2371</v>
      </c>
      <c r="AA3" s="153"/>
      <c r="AB3" s="158" t="s">
        <v>166</v>
      </c>
      <c r="AC3" s="153" t="s">
        <v>2372</v>
      </c>
      <c r="AD3" s="172" t="s">
        <v>2373</v>
      </c>
      <c r="AE3" s="153"/>
      <c r="AF3" s="239"/>
      <c r="AG3" s="153"/>
    </row>
    <row r="4">
      <c r="A4" s="238">
        <v>2024.0</v>
      </c>
      <c r="B4" s="230">
        <v>4.0</v>
      </c>
      <c r="C4" s="153" t="s">
        <v>143</v>
      </c>
      <c r="D4" s="153" t="s">
        <v>381</v>
      </c>
      <c r="E4" s="153" t="s">
        <v>7938</v>
      </c>
      <c r="F4" s="153" t="s">
        <v>383</v>
      </c>
      <c r="G4" s="153" t="s">
        <v>384</v>
      </c>
      <c r="H4" s="153" t="s">
        <v>385</v>
      </c>
      <c r="I4" s="230">
        <v>1986.0</v>
      </c>
      <c r="J4" s="230">
        <v>1985.0</v>
      </c>
      <c r="K4" s="192">
        <v>1987.0</v>
      </c>
      <c r="L4" s="153" t="s">
        <v>151</v>
      </c>
      <c r="M4" s="153" t="s">
        <v>6054</v>
      </c>
      <c r="N4" s="158" t="s">
        <v>6054</v>
      </c>
      <c r="O4" s="158" t="s">
        <v>149</v>
      </c>
      <c r="P4" s="153" t="s">
        <v>390</v>
      </c>
      <c r="Q4" s="158" t="s">
        <v>160</v>
      </c>
      <c r="R4" s="158" t="s">
        <v>6035</v>
      </c>
      <c r="S4" s="158" t="s">
        <v>159</v>
      </c>
      <c r="T4" s="158" t="s">
        <v>149</v>
      </c>
      <c r="U4" s="158" t="s">
        <v>149</v>
      </c>
      <c r="V4" s="153" t="s">
        <v>391</v>
      </c>
      <c r="W4" s="153" t="s">
        <v>390</v>
      </c>
      <c r="X4" s="153" t="s">
        <v>6035</v>
      </c>
      <c r="Y4" s="153" t="s">
        <v>6055</v>
      </c>
      <c r="Z4" s="153"/>
      <c r="AA4" s="153" t="s">
        <v>6056</v>
      </c>
      <c r="AB4" s="158" t="s">
        <v>395</v>
      </c>
      <c r="AC4" s="153" t="s">
        <v>6060</v>
      </c>
      <c r="AD4" s="177" t="s">
        <v>397</v>
      </c>
      <c r="AE4" s="153" t="s">
        <v>398</v>
      </c>
      <c r="AF4" s="153"/>
      <c r="AG4" s="153"/>
    </row>
    <row r="5">
      <c r="A5" s="238">
        <v>2024.0</v>
      </c>
      <c r="B5" s="230">
        <v>5.0</v>
      </c>
      <c r="C5" s="153" t="s">
        <v>143</v>
      </c>
      <c r="D5" s="153" t="s">
        <v>381</v>
      </c>
      <c r="E5" s="153" t="s">
        <v>1681</v>
      </c>
      <c r="F5" s="153" t="s">
        <v>1682</v>
      </c>
      <c r="G5" s="153" t="s">
        <v>1683</v>
      </c>
      <c r="H5" s="153"/>
      <c r="I5" s="192">
        <v>2015.0</v>
      </c>
      <c r="J5" s="230">
        <v>2014.0</v>
      </c>
      <c r="K5" s="230">
        <v>2016.0</v>
      </c>
      <c r="L5" s="153" t="s">
        <v>6062</v>
      </c>
      <c r="M5" s="153" t="s">
        <v>320</v>
      </c>
      <c r="N5" s="158" t="s">
        <v>179</v>
      </c>
      <c r="O5" s="158" t="s">
        <v>6067</v>
      </c>
      <c r="P5" s="153" t="s">
        <v>321</v>
      </c>
      <c r="Q5" s="158" t="s">
        <v>160</v>
      </c>
      <c r="R5" s="158" t="s">
        <v>6035</v>
      </c>
      <c r="S5" s="158" t="s">
        <v>159</v>
      </c>
      <c r="T5" s="158" t="s">
        <v>149</v>
      </c>
      <c r="U5" s="158" t="s">
        <v>149</v>
      </c>
      <c r="V5" s="153" t="s">
        <v>1685</v>
      </c>
      <c r="W5" s="153" t="s">
        <v>1686</v>
      </c>
      <c r="X5" s="158" t="s">
        <v>6068</v>
      </c>
      <c r="Y5" s="153"/>
      <c r="Z5" s="153"/>
      <c r="AA5" s="153"/>
      <c r="AB5" s="158" t="s">
        <v>6069</v>
      </c>
      <c r="AC5" s="153" t="s">
        <v>1300</v>
      </c>
      <c r="AD5" s="153" t="s">
        <v>6070</v>
      </c>
      <c r="AE5" s="153"/>
      <c r="AF5" s="153"/>
      <c r="AG5" s="153"/>
    </row>
    <row r="6">
      <c r="A6" s="238">
        <v>2024.0</v>
      </c>
      <c r="B6" s="230">
        <v>6.0</v>
      </c>
      <c r="C6" s="153" t="s">
        <v>143</v>
      </c>
      <c r="D6" s="153" t="s">
        <v>381</v>
      </c>
      <c r="E6" s="153" t="s">
        <v>400</v>
      </c>
      <c r="F6" s="153" t="s">
        <v>401</v>
      </c>
      <c r="G6" s="153" t="s">
        <v>384</v>
      </c>
      <c r="H6" s="153" t="s">
        <v>7789</v>
      </c>
      <c r="I6" s="230">
        <v>1986.0</v>
      </c>
      <c r="J6" s="230">
        <v>1985.0</v>
      </c>
      <c r="K6" s="230">
        <v>1987.0</v>
      </c>
      <c r="L6" s="153" t="s">
        <v>151</v>
      </c>
      <c r="M6" s="153" t="s">
        <v>6054</v>
      </c>
      <c r="N6" s="158" t="s">
        <v>6054</v>
      </c>
      <c r="O6" s="158" t="s">
        <v>149</v>
      </c>
      <c r="P6" s="153" t="s">
        <v>390</v>
      </c>
      <c r="Q6" s="158" t="s">
        <v>160</v>
      </c>
      <c r="R6" s="158" t="s">
        <v>6035</v>
      </c>
      <c r="S6" s="158" t="s">
        <v>159</v>
      </c>
      <c r="T6" s="158" t="s">
        <v>149</v>
      </c>
      <c r="U6" s="158" t="s">
        <v>149</v>
      </c>
      <c r="V6" s="153" t="s">
        <v>391</v>
      </c>
      <c r="W6" s="153" t="s">
        <v>390</v>
      </c>
      <c r="X6" s="153" t="s">
        <v>6035</v>
      </c>
      <c r="Y6" s="153" t="s">
        <v>6055</v>
      </c>
      <c r="Z6" s="153"/>
      <c r="AA6" s="153"/>
      <c r="AB6" s="158" t="s">
        <v>395</v>
      </c>
      <c r="AC6" s="153" t="s">
        <v>6060</v>
      </c>
      <c r="AD6" s="177" t="s">
        <v>397</v>
      </c>
      <c r="AE6" s="153" t="s">
        <v>398</v>
      </c>
      <c r="AF6" s="153"/>
      <c r="AG6" s="153"/>
    </row>
    <row r="7">
      <c r="A7" s="238">
        <v>2024.0</v>
      </c>
      <c r="B7" s="230">
        <v>7.0</v>
      </c>
      <c r="C7" s="153" t="s">
        <v>143</v>
      </c>
      <c r="D7" s="153" t="s">
        <v>404</v>
      </c>
      <c r="E7" s="153" t="s">
        <v>405</v>
      </c>
      <c r="F7" s="153" t="s">
        <v>406</v>
      </c>
      <c r="G7" s="153" t="s">
        <v>384</v>
      </c>
      <c r="H7" s="153" t="s">
        <v>2836</v>
      </c>
      <c r="I7" s="230">
        <v>1982.0</v>
      </c>
      <c r="J7" s="230">
        <v>1985.0</v>
      </c>
      <c r="K7" s="230">
        <v>1987.0</v>
      </c>
      <c r="L7" s="153" t="s">
        <v>151</v>
      </c>
      <c r="M7" s="153" t="s">
        <v>6076</v>
      </c>
      <c r="N7" s="158" t="s">
        <v>6076</v>
      </c>
      <c r="O7" s="158" t="s">
        <v>149</v>
      </c>
      <c r="P7" s="153" t="s">
        <v>390</v>
      </c>
      <c r="Q7" s="158" t="s">
        <v>160</v>
      </c>
      <c r="R7" s="158" t="s">
        <v>6035</v>
      </c>
      <c r="S7" s="158" t="s">
        <v>159</v>
      </c>
      <c r="T7" s="158" t="s">
        <v>149</v>
      </c>
      <c r="U7" s="158" t="s">
        <v>149</v>
      </c>
      <c r="V7" s="153" t="s">
        <v>7790</v>
      </c>
      <c r="W7" s="153" t="s">
        <v>390</v>
      </c>
      <c r="X7" s="153" t="s">
        <v>6035</v>
      </c>
      <c r="Y7" s="153" t="s">
        <v>6055</v>
      </c>
      <c r="Z7" s="153"/>
      <c r="AA7" s="153"/>
      <c r="AB7" s="158" t="s">
        <v>395</v>
      </c>
      <c r="AC7" s="153" t="s">
        <v>6060</v>
      </c>
      <c r="AD7" s="177" t="s">
        <v>397</v>
      </c>
      <c r="AE7" s="153" t="s">
        <v>398</v>
      </c>
      <c r="AF7" s="153"/>
      <c r="AG7" s="153"/>
    </row>
    <row r="8">
      <c r="A8" s="238">
        <v>2024.0</v>
      </c>
      <c r="B8" s="230">
        <v>8.0</v>
      </c>
      <c r="C8" s="153" t="s">
        <v>143</v>
      </c>
      <c r="D8" s="153" t="s">
        <v>404</v>
      </c>
      <c r="E8" s="153" t="s">
        <v>405</v>
      </c>
      <c r="F8" s="153" t="s">
        <v>406</v>
      </c>
      <c r="G8" s="153" t="s">
        <v>384</v>
      </c>
      <c r="H8" s="153" t="s">
        <v>2836</v>
      </c>
      <c r="I8" s="230">
        <v>1983.0</v>
      </c>
      <c r="J8" s="192">
        <v>1985.0</v>
      </c>
      <c r="K8" s="192">
        <v>1987.0</v>
      </c>
      <c r="L8" s="153" t="s">
        <v>151</v>
      </c>
      <c r="M8" s="153" t="s">
        <v>6079</v>
      </c>
      <c r="N8" s="158" t="s">
        <v>6079</v>
      </c>
      <c r="O8" s="158" t="s">
        <v>149</v>
      </c>
      <c r="P8" s="153" t="s">
        <v>390</v>
      </c>
      <c r="Q8" s="158" t="s">
        <v>160</v>
      </c>
      <c r="R8" s="158" t="s">
        <v>6035</v>
      </c>
      <c r="S8" s="158" t="s">
        <v>159</v>
      </c>
      <c r="T8" s="158" t="s">
        <v>149</v>
      </c>
      <c r="U8" s="158" t="s">
        <v>149</v>
      </c>
      <c r="V8" s="158" t="s">
        <v>2843</v>
      </c>
      <c r="W8" s="153" t="s">
        <v>390</v>
      </c>
      <c r="X8" s="153" t="s">
        <v>6035</v>
      </c>
      <c r="Y8" s="153" t="s">
        <v>6055</v>
      </c>
      <c r="Z8" s="153"/>
      <c r="AA8" s="153"/>
      <c r="AB8" s="153" t="s">
        <v>6084</v>
      </c>
      <c r="AC8" s="153" t="s">
        <v>7939</v>
      </c>
      <c r="AD8" s="165" t="s">
        <v>6080</v>
      </c>
      <c r="AE8" s="153"/>
      <c r="AF8" s="153"/>
      <c r="AG8" s="153"/>
    </row>
    <row r="9">
      <c r="A9" s="238">
        <v>2024.0</v>
      </c>
      <c r="B9" s="230">
        <v>9.0</v>
      </c>
      <c r="C9" s="153" t="s">
        <v>143</v>
      </c>
      <c r="D9" s="153" t="s">
        <v>404</v>
      </c>
      <c r="E9" s="153" t="s">
        <v>405</v>
      </c>
      <c r="F9" s="153" t="s">
        <v>406</v>
      </c>
      <c r="G9" s="153" t="s">
        <v>384</v>
      </c>
      <c r="H9" s="153" t="s">
        <v>407</v>
      </c>
      <c r="I9" s="230">
        <v>1986.0</v>
      </c>
      <c r="J9" s="230">
        <v>1985.0</v>
      </c>
      <c r="K9" s="230">
        <v>1987.0</v>
      </c>
      <c r="L9" s="153" t="s">
        <v>151</v>
      </c>
      <c r="M9" s="153" t="s">
        <v>6054</v>
      </c>
      <c r="N9" s="158" t="s">
        <v>6054</v>
      </c>
      <c r="O9" s="158" t="s">
        <v>149</v>
      </c>
      <c r="P9" s="153" t="s">
        <v>390</v>
      </c>
      <c r="Q9" s="158" t="s">
        <v>160</v>
      </c>
      <c r="R9" s="158" t="s">
        <v>6035</v>
      </c>
      <c r="S9" s="158" t="s">
        <v>159</v>
      </c>
      <c r="T9" s="158" t="s">
        <v>149</v>
      </c>
      <c r="U9" s="158" t="s">
        <v>149</v>
      </c>
      <c r="V9" s="153" t="s">
        <v>391</v>
      </c>
      <c r="W9" s="153" t="s">
        <v>390</v>
      </c>
      <c r="X9" s="153" t="s">
        <v>6035</v>
      </c>
      <c r="Y9" s="153" t="s">
        <v>6055</v>
      </c>
      <c r="Z9" s="153"/>
      <c r="AA9" s="153"/>
      <c r="AB9" s="158" t="s">
        <v>395</v>
      </c>
      <c r="AC9" s="153" t="s">
        <v>6060</v>
      </c>
      <c r="AD9" s="177" t="s">
        <v>397</v>
      </c>
      <c r="AE9" s="153" t="s">
        <v>398</v>
      </c>
      <c r="AF9" s="153"/>
      <c r="AG9" s="153"/>
    </row>
    <row r="10">
      <c r="A10" s="238">
        <v>2024.0</v>
      </c>
      <c r="B10" s="230">
        <v>10.0</v>
      </c>
      <c r="C10" s="153" t="s">
        <v>143</v>
      </c>
      <c r="D10" s="153" t="s">
        <v>404</v>
      </c>
      <c r="E10" s="153" t="s">
        <v>405</v>
      </c>
      <c r="F10" s="153" t="s">
        <v>406</v>
      </c>
      <c r="G10" s="153" t="s">
        <v>384</v>
      </c>
      <c r="H10" s="153" t="s">
        <v>409</v>
      </c>
      <c r="I10" s="230">
        <v>1986.0</v>
      </c>
      <c r="J10" s="230">
        <v>1985.0</v>
      </c>
      <c r="K10" s="230">
        <v>1987.0</v>
      </c>
      <c r="L10" s="153" t="s">
        <v>151</v>
      </c>
      <c r="M10" s="153" t="s">
        <v>6054</v>
      </c>
      <c r="N10" s="158" t="s">
        <v>6054</v>
      </c>
      <c r="O10" s="158" t="s">
        <v>149</v>
      </c>
      <c r="P10" s="153" t="s">
        <v>390</v>
      </c>
      <c r="Q10" s="158" t="s">
        <v>160</v>
      </c>
      <c r="R10" s="158" t="s">
        <v>6035</v>
      </c>
      <c r="S10" s="158" t="s">
        <v>159</v>
      </c>
      <c r="T10" s="158" t="s">
        <v>149</v>
      </c>
      <c r="U10" s="158" t="s">
        <v>149</v>
      </c>
      <c r="V10" s="153" t="s">
        <v>391</v>
      </c>
      <c r="W10" s="153" t="s">
        <v>390</v>
      </c>
      <c r="X10" s="153" t="s">
        <v>6035</v>
      </c>
      <c r="Y10" s="153" t="s">
        <v>6055</v>
      </c>
      <c r="Z10" s="153"/>
      <c r="AA10" s="153" t="s">
        <v>6056</v>
      </c>
      <c r="AB10" s="158" t="s">
        <v>395</v>
      </c>
      <c r="AC10" s="153" t="s">
        <v>6060</v>
      </c>
      <c r="AD10" s="177" t="s">
        <v>397</v>
      </c>
      <c r="AE10" s="153" t="s">
        <v>398</v>
      </c>
      <c r="AF10" s="153"/>
      <c r="AG10" s="153"/>
    </row>
    <row r="11">
      <c r="A11" s="238">
        <v>2024.0</v>
      </c>
      <c r="B11" s="230">
        <v>11.0</v>
      </c>
      <c r="C11" s="153" t="s">
        <v>143</v>
      </c>
      <c r="D11" s="153" t="s">
        <v>404</v>
      </c>
      <c r="E11" s="153" t="s">
        <v>405</v>
      </c>
      <c r="F11" s="153" t="s">
        <v>406</v>
      </c>
      <c r="G11" s="183" t="s">
        <v>149</v>
      </c>
      <c r="H11" s="153" t="s">
        <v>6090</v>
      </c>
      <c r="I11" s="230">
        <v>2013.0</v>
      </c>
      <c r="J11" s="192" t="s">
        <v>149</v>
      </c>
      <c r="K11" s="192" t="s">
        <v>149</v>
      </c>
      <c r="L11" s="153" t="s">
        <v>151</v>
      </c>
      <c r="M11" s="158" t="s">
        <v>153</v>
      </c>
      <c r="N11" s="158" t="s">
        <v>153</v>
      </c>
      <c r="O11" s="158" t="s">
        <v>149</v>
      </c>
      <c r="P11" s="158" t="s">
        <v>390</v>
      </c>
      <c r="Q11" s="158" t="s">
        <v>160</v>
      </c>
      <c r="R11" s="158" t="s">
        <v>6035</v>
      </c>
      <c r="S11" s="158" t="s">
        <v>159</v>
      </c>
      <c r="T11" s="158" t="s">
        <v>149</v>
      </c>
      <c r="U11" s="158" t="s">
        <v>149</v>
      </c>
      <c r="V11" s="158" t="s">
        <v>149</v>
      </c>
      <c r="W11" s="158" t="s">
        <v>390</v>
      </c>
      <c r="X11" s="153" t="s">
        <v>6035</v>
      </c>
      <c r="Y11" s="158" t="s">
        <v>369</v>
      </c>
      <c r="Z11" s="153"/>
      <c r="AA11" s="153"/>
      <c r="AB11" s="158" t="s">
        <v>6091</v>
      </c>
      <c r="AC11" s="153" t="s">
        <v>6092</v>
      </c>
      <c r="AD11" s="172" t="s">
        <v>2599</v>
      </c>
      <c r="AE11" s="153"/>
      <c r="AF11" s="153"/>
      <c r="AG11" s="153"/>
    </row>
    <row r="12">
      <c r="A12" s="238">
        <v>2024.0</v>
      </c>
      <c r="B12" s="230">
        <v>12.0</v>
      </c>
      <c r="C12" s="153" t="s">
        <v>143</v>
      </c>
      <c r="D12" s="153" t="s">
        <v>404</v>
      </c>
      <c r="E12" s="153" t="s">
        <v>7940</v>
      </c>
      <c r="F12" s="153" t="s">
        <v>412</v>
      </c>
      <c r="G12" s="153" t="s">
        <v>384</v>
      </c>
      <c r="H12" s="153" t="s">
        <v>413</v>
      </c>
      <c r="I12" s="230">
        <v>1986.0</v>
      </c>
      <c r="J12" s="230">
        <v>1985.0</v>
      </c>
      <c r="K12" s="230">
        <v>1987.0</v>
      </c>
      <c r="L12" s="153" t="s">
        <v>151</v>
      </c>
      <c r="M12" s="153" t="s">
        <v>6054</v>
      </c>
      <c r="N12" s="158" t="s">
        <v>6054</v>
      </c>
      <c r="O12" s="158" t="s">
        <v>149</v>
      </c>
      <c r="P12" s="153" t="s">
        <v>390</v>
      </c>
      <c r="Q12" s="158" t="s">
        <v>160</v>
      </c>
      <c r="R12" s="158" t="s">
        <v>6035</v>
      </c>
      <c r="S12" s="158" t="s">
        <v>159</v>
      </c>
      <c r="T12" s="158" t="s">
        <v>149</v>
      </c>
      <c r="U12" s="158" t="s">
        <v>149</v>
      </c>
      <c r="V12" s="153" t="s">
        <v>414</v>
      </c>
      <c r="W12" s="153" t="s">
        <v>390</v>
      </c>
      <c r="X12" s="153" t="s">
        <v>6035</v>
      </c>
      <c r="Y12" s="153" t="s">
        <v>6055</v>
      </c>
      <c r="Z12" s="153"/>
      <c r="AA12" s="153" t="s">
        <v>6056</v>
      </c>
      <c r="AB12" s="158" t="s">
        <v>395</v>
      </c>
      <c r="AC12" s="153" t="s">
        <v>6060</v>
      </c>
      <c r="AD12" s="177" t="s">
        <v>397</v>
      </c>
      <c r="AE12" s="153" t="s">
        <v>398</v>
      </c>
      <c r="AF12" s="153"/>
      <c r="AG12" s="153"/>
    </row>
    <row r="13">
      <c r="A13" s="238">
        <v>2024.0</v>
      </c>
      <c r="B13" s="230">
        <v>13.0</v>
      </c>
      <c r="C13" s="153" t="s">
        <v>143</v>
      </c>
      <c r="D13" s="153" t="s">
        <v>404</v>
      </c>
      <c r="E13" s="153" t="s">
        <v>7941</v>
      </c>
      <c r="F13" s="153" t="s">
        <v>412</v>
      </c>
      <c r="G13" s="158" t="s">
        <v>149</v>
      </c>
      <c r="H13" s="158" t="s">
        <v>3047</v>
      </c>
      <c r="I13" s="230">
        <v>2018.0</v>
      </c>
      <c r="J13" s="192" t="s">
        <v>149</v>
      </c>
      <c r="K13" s="192" t="s">
        <v>149</v>
      </c>
      <c r="L13" s="153" t="s">
        <v>151</v>
      </c>
      <c r="M13" s="158" t="s">
        <v>153</v>
      </c>
      <c r="N13" s="158" t="s">
        <v>153</v>
      </c>
      <c r="O13" s="158" t="s">
        <v>149</v>
      </c>
      <c r="P13" s="153" t="s">
        <v>390</v>
      </c>
      <c r="Q13" s="158" t="s">
        <v>160</v>
      </c>
      <c r="R13" s="158" t="s">
        <v>6035</v>
      </c>
      <c r="S13" s="158" t="s">
        <v>159</v>
      </c>
      <c r="T13" s="158" t="s">
        <v>149</v>
      </c>
      <c r="U13" s="158" t="s">
        <v>149</v>
      </c>
      <c r="V13" s="158" t="s">
        <v>149</v>
      </c>
      <c r="W13" s="158" t="s">
        <v>390</v>
      </c>
      <c r="X13" s="153" t="s">
        <v>6035</v>
      </c>
      <c r="Y13" s="158" t="s">
        <v>3048</v>
      </c>
      <c r="Z13" s="153"/>
      <c r="AA13" s="153"/>
      <c r="AB13" s="158" t="s">
        <v>6038</v>
      </c>
      <c r="AC13" s="158" t="s">
        <v>6100</v>
      </c>
      <c r="AD13" s="177" t="s">
        <v>3050</v>
      </c>
      <c r="AE13" s="153"/>
      <c r="AF13" s="153"/>
      <c r="AG13" s="153"/>
    </row>
    <row r="14">
      <c r="A14" s="238">
        <v>2024.0</v>
      </c>
      <c r="B14" s="230">
        <v>14.0</v>
      </c>
      <c r="C14" s="153" t="s">
        <v>143</v>
      </c>
      <c r="D14" s="153" t="s">
        <v>404</v>
      </c>
      <c r="E14" s="153" t="s">
        <v>416</v>
      </c>
      <c r="F14" s="153" t="s">
        <v>417</v>
      </c>
      <c r="G14" s="153" t="s">
        <v>384</v>
      </c>
      <c r="H14" s="153" t="s">
        <v>418</v>
      </c>
      <c r="I14" s="230">
        <v>1986.0</v>
      </c>
      <c r="J14" s="230">
        <v>1985.0</v>
      </c>
      <c r="K14" s="230">
        <v>1987.0</v>
      </c>
      <c r="L14" s="153" t="s">
        <v>151</v>
      </c>
      <c r="M14" s="153" t="s">
        <v>6054</v>
      </c>
      <c r="N14" s="158" t="s">
        <v>6054</v>
      </c>
      <c r="O14" s="158" t="s">
        <v>149</v>
      </c>
      <c r="P14" s="153" t="s">
        <v>390</v>
      </c>
      <c r="Q14" s="158" t="s">
        <v>160</v>
      </c>
      <c r="R14" s="158" t="s">
        <v>6035</v>
      </c>
      <c r="S14" s="158" t="s">
        <v>159</v>
      </c>
      <c r="T14" s="158" t="s">
        <v>149</v>
      </c>
      <c r="U14" s="158" t="s">
        <v>149</v>
      </c>
      <c r="V14" s="153" t="s">
        <v>414</v>
      </c>
      <c r="W14" s="153" t="s">
        <v>390</v>
      </c>
      <c r="X14" s="153" t="s">
        <v>6035</v>
      </c>
      <c r="Y14" s="153" t="s">
        <v>6055</v>
      </c>
      <c r="Z14" s="153"/>
      <c r="AA14" s="153" t="s">
        <v>6056</v>
      </c>
      <c r="AB14" s="158" t="s">
        <v>395</v>
      </c>
      <c r="AC14" s="153" t="s">
        <v>6060</v>
      </c>
      <c r="AD14" s="177" t="s">
        <v>397</v>
      </c>
      <c r="AE14" s="153" t="s">
        <v>398</v>
      </c>
      <c r="AF14" s="153"/>
      <c r="AG14" s="153"/>
    </row>
    <row r="15">
      <c r="A15" s="238">
        <v>2024.0</v>
      </c>
      <c r="B15" s="230">
        <v>15.0</v>
      </c>
      <c r="C15" s="153" t="s">
        <v>143</v>
      </c>
      <c r="D15" s="153" t="s">
        <v>404</v>
      </c>
      <c r="E15" s="153" t="s">
        <v>420</v>
      </c>
      <c r="F15" s="153" t="s">
        <v>421</v>
      </c>
      <c r="G15" s="153" t="s">
        <v>384</v>
      </c>
      <c r="H15" s="153" t="s">
        <v>422</v>
      </c>
      <c r="I15" s="230">
        <v>1986.0</v>
      </c>
      <c r="J15" s="230">
        <v>1985.0</v>
      </c>
      <c r="K15" s="230">
        <v>1987.0</v>
      </c>
      <c r="L15" s="153" t="s">
        <v>151</v>
      </c>
      <c r="M15" s="153" t="s">
        <v>6054</v>
      </c>
      <c r="N15" s="158" t="s">
        <v>6054</v>
      </c>
      <c r="O15" s="158" t="s">
        <v>149</v>
      </c>
      <c r="P15" s="153" t="s">
        <v>390</v>
      </c>
      <c r="Q15" s="158" t="s">
        <v>160</v>
      </c>
      <c r="R15" s="158" t="s">
        <v>6035</v>
      </c>
      <c r="S15" s="158" t="s">
        <v>159</v>
      </c>
      <c r="T15" s="158" t="s">
        <v>149</v>
      </c>
      <c r="U15" s="158" t="s">
        <v>149</v>
      </c>
      <c r="V15" s="153" t="s">
        <v>414</v>
      </c>
      <c r="W15" s="153" t="s">
        <v>390</v>
      </c>
      <c r="X15" s="153" t="s">
        <v>6035</v>
      </c>
      <c r="Y15" s="153" t="s">
        <v>6055</v>
      </c>
      <c r="Z15" s="153"/>
      <c r="AA15" s="153" t="s">
        <v>6056</v>
      </c>
      <c r="AB15" s="158" t="s">
        <v>395</v>
      </c>
      <c r="AC15" s="153" t="s">
        <v>6060</v>
      </c>
      <c r="AD15" s="177" t="s">
        <v>397</v>
      </c>
      <c r="AE15" s="153" t="s">
        <v>398</v>
      </c>
      <c r="AF15" s="153"/>
      <c r="AG15" s="153"/>
    </row>
    <row r="16">
      <c r="A16" s="238">
        <v>2024.0</v>
      </c>
      <c r="B16" s="230">
        <v>16.0</v>
      </c>
      <c r="C16" s="153" t="s">
        <v>143</v>
      </c>
      <c r="D16" s="153" t="s">
        <v>404</v>
      </c>
      <c r="E16" s="153" t="s">
        <v>3052</v>
      </c>
      <c r="F16" s="153" t="s">
        <v>3053</v>
      </c>
      <c r="G16" s="185" t="s">
        <v>149</v>
      </c>
      <c r="H16" s="158" t="s">
        <v>3054</v>
      </c>
      <c r="I16" s="192" t="s">
        <v>149</v>
      </c>
      <c r="J16" s="192" t="s">
        <v>149</v>
      </c>
      <c r="K16" s="192" t="s">
        <v>149</v>
      </c>
      <c r="L16" s="153" t="s">
        <v>151</v>
      </c>
      <c r="M16" s="158" t="s">
        <v>2049</v>
      </c>
      <c r="N16" s="158" t="s">
        <v>2049</v>
      </c>
      <c r="O16" s="158" t="s">
        <v>149</v>
      </c>
      <c r="P16" s="158" t="s">
        <v>3055</v>
      </c>
      <c r="Q16" s="158" t="s">
        <v>160</v>
      </c>
      <c r="R16" s="158" t="s">
        <v>184</v>
      </c>
      <c r="S16" s="158" t="s">
        <v>159</v>
      </c>
      <c r="T16" s="158" t="s">
        <v>149</v>
      </c>
      <c r="U16" s="158" t="s">
        <v>149</v>
      </c>
      <c r="V16" s="158" t="s">
        <v>149</v>
      </c>
      <c r="W16" s="153" t="s">
        <v>3055</v>
      </c>
      <c r="X16" s="158" t="s">
        <v>184</v>
      </c>
      <c r="Y16" s="153"/>
      <c r="Z16" s="153"/>
      <c r="AA16" s="153"/>
      <c r="AB16" s="153" t="s">
        <v>6038</v>
      </c>
      <c r="AC16" s="153" t="s">
        <v>6105</v>
      </c>
      <c r="AD16" s="153"/>
      <c r="AE16" s="153"/>
      <c r="AF16" s="153"/>
      <c r="AG16" s="153"/>
    </row>
    <row r="17">
      <c r="A17" s="238">
        <v>2024.0</v>
      </c>
      <c r="B17" s="230">
        <v>17.0</v>
      </c>
      <c r="C17" s="153" t="s">
        <v>143</v>
      </c>
      <c r="D17" s="153" t="s">
        <v>404</v>
      </c>
      <c r="E17" s="153" t="s">
        <v>424</v>
      </c>
      <c r="F17" s="153" t="s">
        <v>425</v>
      </c>
      <c r="G17" s="153" t="s">
        <v>384</v>
      </c>
      <c r="H17" s="153" t="s">
        <v>426</v>
      </c>
      <c r="I17" s="230">
        <v>1986.0</v>
      </c>
      <c r="J17" s="230">
        <v>1985.0</v>
      </c>
      <c r="K17" s="230">
        <v>1987.0</v>
      </c>
      <c r="L17" s="153" t="s">
        <v>151</v>
      </c>
      <c r="M17" s="153" t="s">
        <v>6054</v>
      </c>
      <c r="N17" s="158" t="s">
        <v>6054</v>
      </c>
      <c r="O17" s="158" t="s">
        <v>149</v>
      </c>
      <c r="P17" s="153" t="s">
        <v>390</v>
      </c>
      <c r="Q17" s="158" t="s">
        <v>160</v>
      </c>
      <c r="R17" s="158" t="s">
        <v>6035</v>
      </c>
      <c r="S17" s="158" t="s">
        <v>159</v>
      </c>
      <c r="T17" s="158" t="s">
        <v>149</v>
      </c>
      <c r="U17" s="158" t="s">
        <v>149</v>
      </c>
      <c r="V17" s="153" t="s">
        <v>391</v>
      </c>
      <c r="W17" s="153" t="s">
        <v>390</v>
      </c>
      <c r="X17" s="153" t="s">
        <v>6035</v>
      </c>
      <c r="Y17" s="153" t="s">
        <v>6055</v>
      </c>
      <c r="Z17" s="153"/>
      <c r="AA17" s="153" t="s">
        <v>6056</v>
      </c>
      <c r="AB17" s="158" t="s">
        <v>395</v>
      </c>
      <c r="AC17" s="153" t="s">
        <v>6060</v>
      </c>
      <c r="AD17" s="177" t="s">
        <v>397</v>
      </c>
      <c r="AE17" s="153" t="s">
        <v>398</v>
      </c>
      <c r="AF17" s="153"/>
      <c r="AG17" s="153"/>
    </row>
    <row r="18">
      <c r="A18" s="238">
        <v>2024.0</v>
      </c>
      <c r="B18" s="230">
        <v>18.0</v>
      </c>
      <c r="C18" s="153" t="s">
        <v>143</v>
      </c>
      <c r="D18" s="153" t="s">
        <v>404</v>
      </c>
      <c r="E18" s="153" t="s">
        <v>428</v>
      </c>
      <c r="F18" s="153" t="s">
        <v>429</v>
      </c>
      <c r="G18" s="153" t="s">
        <v>384</v>
      </c>
      <c r="H18" s="153" t="s">
        <v>6108</v>
      </c>
      <c r="I18" s="230">
        <v>1986.0</v>
      </c>
      <c r="J18" s="230">
        <v>1985.0</v>
      </c>
      <c r="K18" s="230">
        <v>1987.0</v>
      </c>
      <c r="L18" s="153" t="s">
        <v>151</v>
      </c>
      <c r="M18" s="153" t="s">
        <v>6054</v>
      </c>
      <c r="N18" s="158" t="s">
        <v>6054</v>
      </c>
      <c r="O18" s="158" t="s">
        <v>149</v>
      </c>
      <c r="P18" s="153" t="s">
        <v>390</v>
      </c>
      <c r="Q18" s="158" t="s">
        <v>160</v>
      </c>
      <c r="R18" s="158" t="s">
        <v>6035</v>
      </c>
      <c r="S18" s="158" t="s">
        <v>159</v>
      </c>
      <c r="T18" s="158" t="s">
        <v>149</v>
      </c>
      <c r="U18" s="158" t="s">
        <v>149</v>
      </c>
      <c r="V18" s="153" t="s">
        <v>431</v>
      </c>
      <c r="W18" s="153" t="s">
        <v>390</v>
      </c>
      <c r="X18" s="153" t="s">
        <v>6035</v>
      </c>
      <c r="Y18" s="153" t="s">
        <v>6055</v>
      </c>
      <c r="Z18" s="153"/>
      <c r="AA18" s="153"/>
      <c r="AB18" s="158" t="s">
        <v>395</v>
      </c>
      <c r="AC18" s="153" t="s">
        <v>6060</v>
      </c>
      <c r="AD18" s="177" t="s">
        <v>397</v>
      </c>
      <c r="AE18" s="153" t="s">
        <v>398</v>
      </c>
      <c r="AF18" s="153"/>
      <c r="AG18" s="153"/>
    </row>
    <row r="19">
      <c r="A19" s="238">
        <v>2024.0</v>
      </c>
      <c r="B19" s="230">
        <v>20.0</v>
      </c>
      <c r="C19" s="153" t="s">
        <v>143</v>
      </c>
      <c r="D19" s="153" t="s">
        <v>404</v>
      </c>
      <c r="E19" s="158" t="s">
        <v>433</v>
      </c>
      <c r="F19" s="153" t="s">
        <v>434</v>
      </c>
      <c r="G19" s="153" t="s">
        <v>384</v>
      </c>
      <c r="H19" s="153" t="s">
        <v>435</v>
      </c>
      <c r="I19" s="230">
        <v>1986.0</v>
      </c>
      <c r="J19" s="230">
        <v>1985.0</v>
      </c>
      <c r="K19" s="230">
        <v>1987.0</v>
      </c>
      <c r="L19" s="153" t="s">
        <v>151</v>
      </c>
      <c r="M19" s="153" t="s">
        <v>6054</v>
      </c>
      <c r="N19" s="158" t="s">
        <v>6054</v>
      </c>
      <c r="O19" s="158" t="s">
        <v>149</v>
      </c>
      <c r="P19" s="153" t="s">
        <v>390</v>
      </c>
      <c r="Q19" s="158" t="s">
        <v>160</v>
      </c>
      <c r="R19" s="158" t="s">
        <v>6035</v>
      </c>
      <c r="S19" s="158" t="s">
        <v>159</v>
      </c>
      <c r="T19" s="158" t="s">
        <v>149</v>
      </c>
      <c r="U19" s="158" t="s">
        <v>149</v>
      </c>
      <c r="V19" s="153" t="s">
        <v>436</v>
      </c>
      <c r="W19" s="153" t="s">
        <v>390</v>
      </c>
      <c r="X19" s="153" t="s">
        <v>6035</v>
      </c>
      <c r="Y19" s="153" t="s">
        <v>6055</v>
      </c>
      <c r="Z19" s="153"/>
      <c r="AA19" s="153" t="s">
        <v>6056</v>
      </c>
      <c r="AB19" s="158" t="s">
        <v>395</v>
      </c>
      <c r="AC19" s="153" t="s">
        <v>6060</v>
      </c>
      <c r="AD19" s="177" t="s">
        <v>397</v>
      </c>
      <c r="AE19" s="153" t="s">
        <v>398</v>
      </c>
      <c r="AF19" s="153"/>
      <c r="AG19" s="153"/>
    </row>
    <row r="20">
      <c r="A20" s="238">
        <v>2024.0</v>
      </c>
      <c r="B20" s="230">
        <v>21.0</v>
      </c>
      <c r="C20" s="153" t="s">
        <v>143</v>
      </c>
      <c r="D20" s="153" t="s">
        <v>438</v>
      </c>
      <c r="E20" s="153" t="s">
        <v>2845</v>
      </c>
      <c r="F20" s="153" t="s">
        <v>2846</v>
      </c>
      <c r="G20" s="153" t="s">
        <v>384</v>
      </c>
      <c r="H20" s="153" t="s">
        <v>2847</v>
      </c>
      <c r="I20" s="230">
        <v>1982.0</v>
      </c>
      <c r="J20" s="230">
        <v>1985.0</v>
      </c>
      <c r="K20" s="230">
        <v>1987.0</v>
      </c>
      <c r="L20" s="153" t="s">
        <v>151</v>
      </c>
      <c r="M20" s="158" t="s">
        <v>6054</v>
      </c>
      <c r="N20" s="158" t="s">
        <v>6054</v>
      </c>
      <c r="O20" s="158" t="s">
        <v>149</v>
      </c>
      <c r="P20" s="153" t="s">
        <v>390</v>
      </c>
      <c r="Q20" s="158" t="s">
        <v>160</v>
      </c>
      <c r="R20" s="158" t="s">
        <v>6035</v>
      </c>
      <c r="S20" s="158" t="s">
        <v>159</v>
      </c>
      <c r="T20" s="158" t="s">
        <v>149</v>
      </c>
      <c r="U20" s="158" t="s">
        <v>149</v>
      </c>
      <c r="V20" s="153" t="s">
        <v>2848</v>
      </c>
      <c r="W20" s="153" t="s">
        <v>390</v>
      </c>
      <c r="X20" s="153" t="s">
        <v>6035</v>
      </c>
      <c r="Y20" s="153" t="s">
        <v>6055</v>
      </c>
      <c r="Z20" s="153"/>
      <c r="AA20" s="153"/>
      <c r="AB20" s="158" t="s">
        <v>395</v>
      </c>
      <c r="AC20" s="153" t="s">
        <v>6060</v>
      </c>
      <c r="AD20" s="177" t="s">
        <v>397</v>
      </c>
      <c r="AE20" s="153" t="s">
        <v>398</v>
      </c>
      <c r="AF20" s="153"/>
      <c r="AG20" s="153"/>
    </row>
    <row r="21">
      <c r="A21" s="238">
        <v>2024.0</v>
      </c>
      <c r="B21" s="230">
        <v>22.0</v>
      </c>
      <c r="C21" s="153" t="s">
        <v>143</v>
      </c>
      <c r="D21" s="153" t="s">
        <v>438</v>
      </c>
      <c r="E21" s="153" t="s">
        <v>439</v>
      </c>
      <c r="F21" s="153" t="s">
        <v>440</v>
      </c>
      <c r="G21" s="153" t="s">
        <v>384</v>
      </c>
      <c r="H21" s="153" t="s">
        <v>441</v>
      </c>
      <c r="I21" s="230">
        <v>1986.0</v>
      </c>
      <c r="J21" s="230">
        <v>1985.0</v>
      </c>
      <c r="K21" s="230">
        <v>1987.0</v>
      </c>
      <c r="L21" s="153" t="s">
        <v>151</v>
      </c>
      <c r="M21" s="153" t="s">
        <v>6054</v>
      </c>
      <c r="N21" s="158" t="s">
        <v>6054</v>
      </c>
      <c r="O21" s="158" t="s">
        <v>149</v>
      </c>
      <c r="P21" s="153" t="s">
        <v>390</v>
      </c>
      <c r="Q21" s="158" t="s">
        <v>160</v>
      </c>
      <c r="R21" s="158" t="s">
        <v>6035</v>
      </c>
      <c r="S21" s="158" t="s">
        <v>159</v>
      </c>
      <c r="T21" s="158" t="s">
        <v>149</v>
      </c>
      <c r="U21" s="158" t="s">
        <v>149</v>
      </c>
      <c r="V21" s="153" t="s">
        <v>391</v>
      </c>
      <c r="W21" s="153" t="s">
        <v>390</v>
      </c>
      <c r="X21" s="153" t="s">
        <v>6035</v>
      </c>
      <c r="Y21" s="153" t="s">
        <v>6055</v>
      </c>
      <c r="Z21" s="153"/>
      <c r="AA21" s="153"/>
      <c r="AB21" s="158" t="s">
        <v>395</v>
      </c>
      <c r="AC21" s="153" t="s">
        <v>6060</v>
      </c>
      <c r="AD21" s="177" t="s">
        <v>397</v>
      </c>
      <c r="AE21" s="153" t="s">
        <v>398</v>
      </c>
      <c r="AF21" s="153"/>
      <c r="AG21" s="153"/>
    </row>
    <row r="22">
      <c r="A22" s="238">
        <v>2024.0</v>
      </c>
      <c r="B22" s="230">
        <v>23.0</v>
      </c>
      <c r="C22" s="153" t="s">
        <v>143</v>
      </c>
      <c r="D22" s="153" t="s">
        <v>438</v>
      </c>
      <c r="E22" s="153" t="s">
        <v>1633</v>
      </c>
      <c r="F22" s="153" t="s">
        <v>1634</v>
      </c>
      <c r="G22" s="153" t="s">
        <v>1635</v>
      </c>
      <c r="H22" s="153"/>
      <c r="I22" s="230">
        <v>2021.0</v>
      </c>
      <c r="J22" s="192" t="s">
        <v>149</v>
      </c>
      <c r="K22" s="192" t="s">
        <v>149</v>
      </c>
      <c r="L22" s="153" t="s">
        <v>151</v>
      </c>
      <c r="M22" s="158" t="s">
        <v>153</v>
      </c>
      <c r="N22" s="158" t="s">
        <v>153</v>
      </c>
      <c r="O22" s="158" t="s">
        <v>1647</v>
      </c>
      <c r="P22" s="158" t="s">
        <v>158</v>
      </c>
      <c r="Q22" s="158" t="s">
        <v>160</v>
      </c>
      <c r="R22" s="158" t="s">
        <v>6035</v>
      </c>
      <c r="S22" s="158" t="s">
        <v>159</v>
      </c>
      <c r="T22" s="158" t="s">
        <v>149</v>
      </c>
      <c r="U22" s="158" t="s">
        <v>149</v>
      </c>
      <c r="V22" s="158" t="s">
        <v>6127</v>
      </c>
      <c r="W22" s="153" t="s">
        <v>158</v>
      </c>
      <c r="X22" s="153" t="s">
        <v>6035</v>
      </c>
      <c r="Y22" s="158" t="s">
        <v>6128</v>
      </c>
      <c r="Z22" s="158"/>
      <c r="AA22" s="158"/>
      <c r="AB22" s="158" t="s">
        <v>166</v>
      </c>
      <c r="AC22" s="153" t="s">
        <v>1640</v>
      </c>
      <c r="AD22" s="172" t="s">
        <v>1641</v>
      </c>
      <c r="AE22" s="153"/>
      <c r="AF22" s="153"/>
      <c r="AG22" s="153"/>
    </row>
    <row r="23">
      <c r="A23" s="238">
        <v>2024.0</v>
      </c>
      <c r="B23" s="230">
        <v>24.0</v>
      </c>
      <c r="C23" s="153" t="s">
        <v>143</v>
      </c>
      <c r="D23" s="153" t="s">
        <v>438</v>
      </c>
      <c r="E23" s="153" t="s">
        <v>6121</v>
      </c>
      <c r="F23" s="153" t="s">
        <v>1565</v>
      </c>
      <c r="G23" s="153" t="s">
        <v>6122</v>
      </c>
      <c r="H23" s="153"/>
      <c r="I23" s="230">
        <v>2021.0</v>
      </c>
      <c r="J23" s="192" t="s">
        <v>149</v>
      </c>
      <c r="K23" s="192" t="s">
        <v>149</v>
      </c>
      <c r="L23" s="153" t="s">
        <v>151</v>
      </c>
      <c r="M23" s="158" t="s">
        <v>149</v>
      </c>
      <c r="N23" s="158" t="s">
        <v>149</v>
      </c>
      <c r="O23" s="158" t="s">
        <v>6130</v>
      </c>
      <c r="P23" s="153" t="s">
        <v>6124</v>
      </c>
      <c r="Q23" s="158" t="s">
        <v>160</v>
      </c>
      <c r="R23" s="158" t="s">
        <v>271</v>
      </c>
      <c r="S23" s="158" t="s">
        <v>159</v>
      </c>
      <c r="T23" s="158" t="s">
        <v>149</v>
      </c>
      <c r="U23" s="158" t="s">
        <v>149</v>
      </c>
      <c r="V23" s="153" t="s">
        <v>1536</v>
      </c>
      <c r="W23" s="158" t="s">
        <v>6125</v>
      </c>
      <c r="X23" s="153" t="s">
        <v>6035</v>
      </c>
      <c r="Y23" s="158" t="s">
        <v>369</v>
      </c>
      <c r="Z23" s="158" t="s">
        <v>6131</v>
      </c>
      <c r="AA23" s="158"/>
      <c r="AB23" s="158" t="s">
        <v>166</v>
      </c>
      <c r="AC23" s="153" t="s">
        <v>1574</v>
      </c>
      <c r="AD23" s="165" t="s">
        <v>1575</v>
      </c>
      <c r="AE23" s="153"/>
      <c r="AF23" s="153" t="s">
        <v>1577</v>
      </c>
      <c r="AG23" s="153"/>
    </row>
    <row r="24">
      <c r="A24" s="238">
        <v>2024.0</v>
      </c>
      <c r="B24" s="230">
        <v>25.0</v>
      </c>
      <c r="C24" s="153" t="s">
        <v>143</v>
      </c>
      <c r="D24" s="153" t="s">
        <v>438</v>
      </c>
      <c r="E24" s="153" t="s">
        <v>6121</v>
      </c>
      <c r="F24" s="153" t="s">
        <v>1565</v>
      </c>
      <c r="G24" s="153" t="s">
        <v>1635</v>
      </c>
      <c r="H24" s="153"/>
      <c r="I24" s="230">
        <v>2021.0</v>
      </c>
      <c r="J24" s="192" t="s">
        <v>149</v>
      </c>
      <c r="K24" s="192" t="s">
        <v>149</v>
      </c>
      <c r="L24" s="153" t="s">
        <v>151</v>
      </c>
      <c r="M24" s="158" t="s">
        <v>153</v>
      </c>
      <c r="N24" s="158" t="s">
        <v>153</v>
      </c>
      <c r="O24" s="158" t="s">
        <v>1647</v>
      </c>
      <c r="P24" s="158" t="s">
        <v>158</v>
      </c>
      <c r="Q24" s="158" t="s">
        <v>160</v>
      </c>
      <c r="R24" s="158" t="s">
        <v>6035</v>
      </c>
      <c r="S24" s="158" t="s">
        <v>159</v>
      </c>
      <c r="T24" s="158" t="s">
        <v>149</v>
      </c>
      <c r="U24" s="158" t="s">
        <v>149</v>
      </c>
      <c r="V24" s="158" t="s">
        <v>6127</v>
      </c>
      <c r="W24" s="158" t="s">
        <v>158</v>
      </c>
      <c r="X24" s="153" t="s">
        <v>6035</v>
      </c>
      <c r="Y24" s="158" t="s">
        <v>6128</v>
      </c>
      <c r="Z24" s="158"/>
      <c r="AA24" s="153"/>
      <c r="AB24" s="158" t="s">
        <v>166</v>
      </c>
      <c r="AC24" s="153" t="s">
        <v>1640</v>
      </c>
      <c r="AD24" s="153" t="s">
        <v>1641</v>
      </c>
      <c r="AE24" s="153"/>
      <c r="AF24" s="153"/>
      <c r="AG24" s="153"/>
    </row>
    <row r="25">
      <c r="A25" s="238">
        <v>2024.0</v>
      </c>
      <c r="B25" s="230">
        <v>27.0</v>
      </c>
      <c r="C25" s="153" t="s">
        <v>143</v>
      </c>
      <c r="D25" s="153" t="s">
        <v>438</v>
      </c>
      <c r="E25" s="153" t="s">
        <v>443</v>
      </c>
      <c r="F25" s="153" t="s">
        <v>444</v>
      </c>
      <c r="G25" s="153" t="s">
        <v>384</v>
      </c>
      <c r="H25" s="153" t="s">
        <v>445</v>
      </c>
      <c r="I25" s="230">
        <v>1986.0</v>
      </c>
      <c r="J25" s="230">
        <v>1985.0</v>
      </c>
      <c r="K25" s="230">
        <v>1987.0</v>
      </c>
      <c r="L25" s="153" t="s">
        <v>151</v>
      </c>
      <c r="M25" s="158" t="s">
        <v>149</v>
      </c>
      <c r="N25" s="158" t="s">
        <v>149</v>
      </c>
      <c r="O25" s="158" t="s">
        <v>149</v>
      </c>
      <c r="P25" s="153" t="s">
        <v>390</v>
      </c>
      <c r="Q25" s="158" t="s">
        <v>160</v>
      </c>
      <c r="R25" s="158" t="s">
        <v>6035</v>
      </c>
      <c r="S25" s="158" t="s">
        <v>159</v>
      </c>
      <c r="T25" s="158" t="s">
        <v>149</v>
      </c>
      <c r="U25" s="158" t="s">
        <v>149</v>
      </c>
      <c r="V25" s="158" t="s">
        <v>149</v>
      </c>
      <c r="W25" s="153" t="s">
        <v>390</v>
      </c>
      <c r="X25" s="153" t="s">
        <v>6035</v>
      </c>
      <c r="Y25" s="153" t="s">
        <v>6055</v>
      </c>
      <c r="Z25" s="153"/>
      <c r="AA25" s="153"/>
      <c r="AB25" s="158" t="s">
        <v>395</v>
      </c>
      <c r="AC25" s="153" t="s">
        <v>6060</v>
      </c>
      <c r="AD25" s="177" t="s">
        <v>397</v>
      </c>
      <c r="AE25" s="153" t="s">
        <v>398</v>
      </c>
      <c r="AF25" s="153"/>
      <c r="AG25" s="153"/>
    </row>
    <row r="26">
      <c r="A26" s="238">
        <v>2024.0</v>
      </c>
      <c r="B26" s="230">
        <v>28.0</v>
      </c>
      <c r="C26" s="153" t="s">
        <v>143</v>
      </c>
      <c r="D26" s="153" t="s">
        <v>438</v>
      </c>
      <c r="E26" s="153" t="s">
        <v>2723</v>
      </c>
      <c r="F26" s="153" t="s">
        <v>2724</v>
      </c>
      <c r="G26" s="158" t="s">
        <v>149</v>
      </c>
      <c r="H26" s="153"/>
      <c r="I26" s="230">
        <v>2021.0</v>
      </c>
      <c r="J26" s="192" t="s">
        <v>149</v>
      </c>
      <c r="K26" s="192" t="s">
        <v>149</v>
      </c>
      <c r="L26" s="153" t="s">
        <v>151</v>
      </c>
      <c r="M26" s="158" t="s">
        <v>153</v>
      </c>
      <c r="N26" s="158" t="s">
        <v>153</v>
      </c>
      <c r="O26" s="153" t="s">
        <v>6135</v>
      </c>
      <c r="P26" s="158" t="s">
        <v>369</v>
      </c>
      <c r="Q26" s="158" t="s">
        <v>160</v>
      </c>
      <c r="R26" s="158" t="s">
        <v>6035</v>
      </c>
      <c r="S26" s="158" t="s">
        <v>159</v>
      </c>
      <c r="T26" s="158" t="s">
        <v>149</v>
      </c>
      <c r="U26" s="158" t="s">
        <v>149</v>
      </c>
      <c r="V26" s="171" t="s">
        <v>2728</v>
      </c>
      <c r="W26" s="153" t="s">
        <v>369</v>
      </c>
      <c r="X26" s="153" t="s">
        <v>6035</v>
      </c>
      <c r="Y26" s="153"/>
      <c r="Z26" s="153"/>
      <c r="AA26" s="153"/>
      <c r="AB26" s="153" t="s">
        <v>6038</v>
      </c>
      <c r="AC26" s="158" t="s">
        <v>2729</v>
      </c>
      <c r="AD26" s="165" t="s">
        <v>2730</v>
      </c>
      <c r="AE26" s="153" t="s">
        <v>2731</v>
      </c>
      <c r="AF26" s="153"/>
      <c r="AG26" s="153"/>
    </row>
    <row r="27">
      <c r="A27" s="238">
        <v>2024.0</v>
      </c>
      <c r="B27" s="230">
        <v>29.0</v>
      </c>
      <c r="C27" s="153" t="s">
        <v>143</v>
      </c>
      <c r="D27" s="153" t="s">
        <v>438</v>
      </c>
      <c r="E27" s="153" t="s">
        <v>1142</v>
      </c>
      <c r="F27" s="153" t="s">
        <v>1143</v>
      </c>
      <c r="G27" s="153" t="s">
        <v>1144</v>
      </c>
      <c r="H27" s="153"/>
      <c r="I27" s="230">
        <v>2014.0</v>
      </c>
      <c r="J27" s="192">
        <v>2012.0</v>
      </c>
      <c r="K27" s="192">
        <v>2017.0</v>
      </c>
      <c r="L27" s="153" t="s">
        <v>151</v>
      </c>
      <c r="M27" s="158" t="s">
        <v>149</v>
      </c>
      <c r="N27" s="158" t="s">
        <v>149</v>
      </c>
      <c r="O27" s="158" t="s">
        <v>6153</v>
      </c>
      <c r="P27" s="153" t="s">
        <v>1146</v>
      </c>
      <c r="Q27" s="158" t="s">
        <v>6154</v>
      </c>
      <c r="R27" s="158" t="s">
        <v>206</v>
      </c>
      <c r="S27" s="158" t="s">
        <v>159</v>
      </c>
      <c r="T27" s="158" t="s">
        <v>149</v>
      </c>
      <c r="U27" s="158" t="s">
        <v>149</v>
      </c>
      <c r="V27" s="158" t="s">
        <v>149</v>
      </c>
      <c r="W27" s="158" t="s">
        <v>369</v>
      </c>
      <c r="X27" s="153" t="s">
        <v>6035</v>
      </c>
      <c r="Y27" s="153"/>
      <c r="Z27" s="153"/>
      <c r="AA27" s="153"/>
      <c r="AB27" s="153" t="s">
        <v>6084</v>
      </c>
      <c r="AC27" s="153" t="s">
        <v>1148</v>
      </c>
      <c r="AD27" s="153" t="s">
        <v>1149</v>
      </c>
      <c r="AE27" s="153"/>
      <c r="AF27" s="153"/>
      <c r="AG27" s="153"/>
    </row>
    <row r="28">
      <c r="A28" s="238">
        <v>2024.0</v>
      </c>
      <c r="B28" s="230">
        <v>30.0</v>
      </c>
      <c r="C28" s="153" t="s">
        <v>143</v>
      </c>
      <c r="D28" s="153" t="s">
        <v>438</v>
      </c>
      <c r="E28" s="153" t="s">
        <v>2538</v>
      </c>
      <c r="F28" s="153" t="s">
        <v>2539</v>
      </c>
      <c r="G28" s="158" t="s">
        <v>149</v>
      </c>
      <c r="H28" s="153" t="s">
        <v>2540</v>
      </c>
      <c r="I28" s="230">
        <v>2023.0</v>
      </c>
      <c r="J28" s="192" t="s">
        <v>149</v>
      </c>
      <c r="K28" s="192" t="s">
        <v>149</v>
      </c>
      <c r="L28" s="153" t="s">
        <v>151</v>
      </c>
      <c r="M28" s="158" t="s">
        <v>153</v>
      </c>
      <c r="N28" s="158" t="s">
        <v>153</v>
      </c>
      <c r="O28" s="158" t="s">
        <v>6192</v>
      </c>
      <c r="P28" s="153" t="s">
        <v>158</v>
      </c>
      <c r="Q28" s="158" t="s">
        <v>160</v>
      </c>
      <c r="R28" s="158" t="s">
        <v>6035</v>
      </c>
      <c r="S28" s="158" t="s">
        <v>159</v>
      </c>
      <c r="T28" s="158" t="s">
        <v>149</v>
      </c>
      <c r="U28" s="158" t="s">
        <v>149</v>
      </c>
      <c r="V28" s="158" t="s">
        <v>149</v>
      </c>
      <c r="W28" s="153" t="s">
        <v>158</v>
      </c>
      <c r="X28" s="153" t="s">
        <v>6035</v>
      </c>
      <c r="Y28" s="153" t="s">
        <v>369</v>
      </c>
      <c r="Z28" s="153"/>
      <c r="AA28" s="153"/>
      <c r="AB28" s="158" t="s">
        <v>166</v>
      </c>
      <c r="AC28" s="153" t="s">
        <v>2542</v>
      </c>
      <c r="AD28" s="165" t="s">
        <v>2543</v>
      </c>
      <c r="AE28" s="239"/>
      <c r="AF28" s="153"/>
      <c r="AG28" s="153"/>
    </row>
    <row r="29">
      <c r="A29" s="238">
        <v>2024.0</v>
      </c>
      <c r="B29" s="230">
        <v>32.0</v>
      </c>
      <c r="C29" s="153" t="s">
        <v>143</v>
      </c>
      <c r="D29" s="153" t="s">
        <v>438</v>
      </c>
      <c r="E29" s="153" t="s">
        <v>447</v>
      </c>
      <c r="F29" s="153" t="s">
        <v>448</v>
      </c>
      <c r="G29" s="153" t="s">
        <v>384</v>
      </c>
      <c r="H29" s="153" t="s">
        <v>449</v>
      </c>
      <c r="I29" s="230">
        <v>1985.0</v>
      </c>
      <c r="J29" s="230">
        <v>1985.0</v>
      </c>
      <c r="K29" s="230">
        <v>1987.0</v>
      </c>
      <c r="L29" s="153" t="s">
        <v>151</v>
      </c>
      <c r="M29" s="153" t="s">
        <v>6054</v>
      </c>
      <c r="N29" s="158" t="s">
        <v>6054</v>
      </c>
      <c r="O29" s="158" t="s">
        <v>149</v>
      </c>
      <c r="P29" s="153" t="s">
        <v>390</v>
      </c>
      <c r="Q29" s="158" t="s">
        <v>160</v>
      </c>
      <c r="R29" s="158" t="s">
        <v>6035</v>
      </c>
      <c r="S29" s="158" t="s">
        <v>159</v>
      </c>
      <c r="T29" s="158" t="s">
        <v>149</v>
      </c>
      <c r="U29" s="158" t="s">
        <v>149</v>
      </c>
      <c r="V29" s="153" t="s">
        <v>450</v>
      </c>
      <c r="W29" s="153" t="s">
        <v>390</v>
      </c>
      <c r="X29" s="153" t="s">
        <v>6035</v>
      </c>
      <c r="Y29" s="153" t="s">
        <v>6055</v>
      </c>
      <c r="Z29" s="153"/>
      <c r="AA29" s="153"/>
      <c r="AB29" s="158" t="s">
        <v>395</v>
      </c>
      <c r="AC29" s="153" t="s">
        <v>6060</v>
      </c>
      <c r="AD29" s="177" t="s">
        <v>397</v>
      </c>
      <c r="AE29" s="153" t="s">
        <v>398</v>
      </c>
      <c r="AF29" s="153"/>
      <c r="AG29" s="153"/>
    </row>
    <row r="30">
      <c r="A30" s="238">
        <v>2024.0</v>
      </c>
      <c r="B30" s="230">
        <v>33.0</v>
      </c>
      <c r="C30" s="153" t="s">
        <v>143</v>
      </c>
      <c r="D30" s="153" t="s">
        <v>438</v>
      </c>
      <c r="E30" s="153" t="s">
        <v>7942</v>
      </c>
      <c r="F30" s="153" t="s">
        <v>2034</v>
      </c>
      <c r="G30" s="158" t="s">
        <v>149</v>
      </c>
      <c r="H30" s="158" t="s">
        <v>2416</v>
      </c>
      <c r="I30" s="230">
        <v>2014.0</v>
      </c>
      <c r="J30" s="192" t="s">
        <v>149</v>
      </c>
      <c r="K30" s="192" t="s">
        <v>149</v>
      </c>
      <c r="L30" s="153" t="s">
        <v>151</v>
      </c>
      <c r="M30" s="158" t="s">
        <v>6175</v>
      </c>
      <c r="N30" s="158" t="s">
        <v>6175</v>
      </c>
      <c r="O30" s="158" t="s">
        <v>6176</v>
      </c>
      <c r="P30" s="153" t="s">
        <v>1882</v>
      </c>
      <c r="Q30" s="158" t="s">
        <v>160</v>
      </c>
      <c r="R30" s="158" t="s">
        <v>6035</v>
      </c>
      <c r="S30" s="158" t="s">
        <v>159</v>
      </c>
      <c r="T30" s="158" t="s">
        <v>149</v>
      </c>
      <c r="U30" s="158" t="s">
        <v>149</v>
      </c>
      <c r="V30" s="158" t="s">
        <v>2419</v>
      </c>
      <c r="W30" s="153" t="s">
        <v>1882</v>
      </c>
      <c r="X30" s="153" t="s">
        <v>6035</v>
      </c>
      <c r="Y30" s="158" t="s">
        <v>6177</v>
      </c>
      <c r="Z30" s="153"/>
      <c r="AA30" s="153"/>
      <c r="AB30" s="153" t="s">
        <v>6038</v>
      </c>
      <c r="AC30" s="153" t="s">
        <v>6178</v>
      </c>
      <c r="AD30" s="172" t="s">
        <v>2422</v>
      </c>
      <c r="AE30" s="153"/>
      <c r="AF30" s="153"/>
      <c r="AG30" s="153"/>
    </row>
    <row r="31">
      <c r="A31" s="238">
        <v>2024.0</v>
      </c>
      <c r="B31" s="230">
        <v>34.0</v>
      </c>
      <c r="C31" s="153" t="s">
        <v>143</v>
      </c>
      <c r="D31" s="153" t="s">
        <v>438</v>
      </c>
      <c r="E31" s="153" t="s">
        <v>7943</v>
      </c>
      <c r="F31" s="153" t="s">
        <v>2034</v>
      </c>
      <c r="G31" s="153" t="s">
        <v>6144</v>
      </c>
      <c r="H31" s="153" t="s">
        <v>6160</v>
      </c>
      <c r="I31" s="230">
        <v>2022.0</v>
      </c>
      <c r="J31" s="192">
        <v>2011.0</v>
      </c>
      <c r="K31" s="192" t="s">
        <v>149</v>
      </c>
      <c r="L31" s="153" t="s">
        <v>151</v>
      </c>
      <c r="M31" s="153" t="s">
        <v>7944</v>
      </c>
      <c r="N31" s="158" t="s">
        <v>6162</v>
      </c>
      <c r="O31" s="153" t="s">
        <v>6147</v>
      </c>
      <c r="P31" s="153" t="s">
        <v>2038</v>
      </c>
      <c r="Q31" s="158" t="s">
        <v>160</v>
      </c>
      <c r="R31" s="158" t="s">
        <v>6035</v>
      </c>
      <c r="S31" s="158" t="s">
        <v>159</v>
      </c>
      <c r="T31" s="158" t="s">
        <v>149</v>
      </c>
      <c r="U31" s="158" t="s">
        <v>149</v>
      </c>
      <c r="V31" s="153" t="s">
        <v>2039</v>
      </c>
      <c r="W31" s="153" t="s">
        <v>7945</v>
      </c>
      <c r="X31" s="158" t="s">
        <v>271</v>
      </c>
      <c r="Y31" s="153" t="s">
        <v>6165</v>
      </c>
      <c r="Z31" s="153"/>
      <c r="AA31" s="153" t="s">
        <v>6166</v>
      </c>
      <c r="AB31" s="158" t="s">
        <v>166</v>
      </c>
      <c r="AC31" s="153" t="s">
        <v>2043</v>
      </c>
      <c r="AD31" s="172" t="s">
        <v>6149</v>
      </c>
      <c r="AE31" s="153" t="s">
        <v>2045</v>
      </c>
      <c r="AF31" s="153"/>
      <c r="AG31" s="153"/>
    </row>
    <row r="32">
      <c r="A32" s="238">
        <v>2024.0</v>
      </c>
      <c r="B32" s="230">
        <v>35.0</v>
      </c>
      <c r="C32" s="153" t="s">
        <v>143</v>
      </c>
      <c r="D32" s="153" t="s">
        <v>438</v>
      </c>
      <c r="E32" s="153" t="s">
        <v>491</v>
      </c>
      <c r="F32" s="153" t="s">
        <v>1646</v>
      </c>
      <c r="G32" s="153" t="s">
        <v>1635</v>
      </c>
      <c r="H32" s="153"/>
      <c r="I32" s="230">
        <v>2021.0</v>
      </c>
      <c r="J32" s="192" t="s">
        <v>149</v>
      </c>
      <c r="K32" s="192" t="s">
        <v>149</v>
      </c>
      <c r="L32" s="153" t="s">
        <v>151</v>
      </c>
      <c r="M32" s="158" t="s">
        <v>153</v>
      </c>
      <c r="N32" s="158" t="s">
        <v>153</v>
      </c>
      <c r="O32" s="158" t="s">
        <v>1647</v>
      </c>
      <c r="P32" s="158" t="s">
        <v>158</v>
      </c>
      <c r="Q32" s="158" t="s">
        <v>160</v>
      </c>
      <c r="R32" s="158" t="s">
        <v>6035</v>
      </c>
      <c r="S32" s="158" t="s">
        <v>159</v>
      </c>
      <c r="T32" s="158" t="s">
        <v>149</v>
      </c>
      <c r="U32" s="158" t="s">
        <v>149</v>
      </c>
      <c r="V32" s="158" t="s">
        <v>6127</v>
      </c>
      <c r="W32" s="158" t="s">
        <v>158</v>
      </c>
      <c r="X32" s="153" t="s">
        <v>6035</v>
      </c>
      <c r="Y32" s="158" t="s">
        <v>6128</v>
      </c>
      <c r="Z32" s="153"/>
      <c r="AA32" s="153"/>
      <c r="AB32" s="158" t="s">
        <v>166</v>
      </c>
      <c r="AC32" s="153" t="s">
        <v>1640</v>
      </c>
      <c r="AD32" s="172" t="s">
        <v>1641</v>
      </c>
      <c r="AE32" s="153"/>
      <c r="AF32" s="153"/>
      <c r="AG32" s="153"/>
    </row>
    <row r="33">
      <c r="A33" s="238">
        <v>2024.0</v>
      </c>
      <c r="B33" s="230">
        <v>31.0</v>
      </c>
      <c r="C33" s="153" t="s">
        <v>143</v>
      </c>
      <c r="D33" s="153" t="s">
        <v>438</v>
      </c>
      <c r="E33" s="153" t="s">
        <v>2850</v>
      </c>
      <c r="F33" s="153" t="s">
        <v>2851</v>
      </c>
      <c r="G33" s="153" t="s">
        <v>384</v>
      </c>
      <c r="H33" s="153" t="s">
        <v>6181</v>
      </c>
      <c r="I33" s="230">
        <v>1981.0</v>
      </c>
      <c r="J33" s="230">
        <v>1985.0</v>
      </c>
      <c r="K33" s="230">
        <v>1987.0</v>
      </c>
      <c r="L33" s="153" t="s">
        <v>151</v>
      </c>
      <c r="M33" s="158" t="s">
        <v>149</v>
      </c>
      <c r="N33" s="158" t="s">
        <v>149</v>
      </c>
      <c r="O33" s="158" t="s">
        <v>149</v>
      </c>
      <c r="P33" s="153" t="s">
        <v>390</v>
      </c>
      <c r="Q33" s="158" t="s">
        <v>160</v>
      </c>
      <c r="R33" s="158" t="s">
        <v>6035</v>
      </c>
      <c r="S33" s="158" t="s">
        <v>159</v>
      </c>
      <c r="T33" s="158" t="s">
        <v>149</v>
      </c>
      <c r="U33" s="158" t="s">
        <v>149</v>
      </c>
      <c r="V33" s="153" t="s">
        <v>2853</v>
      </c>
      <c r="W33" s="153" t="s">
        <v>390</v>
      </c>
      <c r="X33" s="153" t="s">
        <v>6035</v>
      </c>
      <c r="Y33" s="153" t="s">
        <v>6055</v>
      </c>
      <c r="Z33" s="153"/>
      <c r="AA33" s="153"/>
      <c r="AB33" s="158" t="s">
        <v>395</v>
      </c>
      <c r="AC33" s="153" t="s">
        <v>6060</v>
      </c>
      <c r="AD33" s="177" t="s">
        <v>397</v>
      </c>
      <c r="AE33" s="153" t="s">
        <v>398</v>
      </c>
      <c r="AF33" s="239"/>
      <c r="AG33" s="153" t="s">
        <v>6109</v>
      </c>
    </row>
    <row r="34">
      <c r="A34" s="238">
        <v>2024.0</v>
      </c>
      <c r="B34" s="230">
        <v>36.0</v>
      </c>
      <c r="C34" s="153" t="s">
        <v>143</v>
      </c>
      <c r="D34" s="153" t="s">
        <v>144</v>
      </c>
      <c r="E34" s="153" t="s">
        <v>145</v>
      </c>
      <c r="F34" s="153" t="s">
        <v>146</v>
      </c>
      <c r="G34" s="158" t="s">
        <v>6217</v>
      </c>
      <c r="H34" s="153"/>
      <c r="I34" s="192" t="s">
        <v>149</v>
      </c>
      <c r="J34" s="230">
        <v>1982.0</v>
      </c>
      <c r="K34" s="230">
        <v>1990.0</v>
      </c>
      <c r="L34" s="153" t="s">
        <v>151</v>
      </c>
      <c r="M34" s="158" t="s">
        <v>149</v>
      </c>
      <c r="N34" s="158" t="s">
        <v>149</v>
      </c>
      <c r="O34" s="153" t="s">
        <v>6204</v>
      </c>
      <c r="P34" s="153" t="s">
        <v>2111</v>
      </c>
      <c r="Q34" s="158" t="s">
        <v>6154</v>
      </c>
      <c r="R34" s="158" t="s">
        <v>206</v>
      </c>
      <c r="S34" s="158" t="s">
        <v>159</v>
      </c>
      <c r="T34" s="158" t="s">
        <v>149</v>
      </c>
      <c r="U34" s="158" t="s">
        <v>149</v>
      </c>
      <c r="V34" s="158" t="s">
        <v>149</v>
      </c>
      <c r="W34" s="153" t="s">
        <v>2111</v>
      </c>
      <c r="X34" s="158" t="s">
        <v>206</v>
      </c>
      <c r="Y34" s="153"/>
      <c r="Z34" s="153"/>
      <c r="AA34" s="153"/>
      <c r="AB34" s="158" t="s">
        <v>395</v>
      </c>
      <c r="AC34" s="153" t="s">
        <v>6060</v>
      </c>
      <c r="AD34" s="177" t="s">
        <v>397</v>
      </c>
      <c r="AE34" s="153"/>
      <c r="AF34" s="153"/>
      <c r="AG34" s="153"/>
    </row>
    <row r="35">
      <c r="A35" s="238">
        <v>2024.0</v>
      </c>
      <c r="B35" s="230">
        <v>37.0</v>
      </c>
      <c r="C35" s="153" t="s">
        <v>143</v>
      </c>
      <c r="D35" s="153" t="s">
        <v>144</v>
      </c>
      <c r="E35" s="153" t="s">
        <v>145</v>
      </c>
      <c r="F35" s="153" t="s">
        <v>146</v>
      </c>
      <c r="G35" s="153" t="s">
        <v>384</v>
      </c>
      <c r="H35" s="153" t="s">
        <v>452</v>
      </c>
      <c r="I35" s="230">
        <v>1985.0</v>
      </c>
      <c r="J35" s="230">
        <v>1985.0</v>
      </c>
      <c r="K35" s="230">
        <v>1987.0</v>
      </c>
      <c r="L35" s="153" t="s">
        <v>151</v>
      </c>
      <c r="M35" s="153" t="s">
        <v>6054</v>
      </c>
      <c r="N35" s="158" t="s">
        <v>6054</v>
      </c>
      <c r="O35" s="158" t="s">
        <v>149</v>
      </c>
      <c r="P35" s="153" t="s">
        <v>390</v>
      </c>
      <c r="Q35" s="158" t="s">
        <v>160</v>
      </c>
      <c r="R35" s="158" t="s">
        <v>6035</v>
      </c>
      <c r="S35" s="158" t="s">
        <v>159</v>
      </c>
      <c r="T35" s="158" t="s">
        <v>149</v>
      </c>
      <c r="U35" s="158" t="s">
        <v>149</v>
      </c>
      <c r="V35" s="153" t="s">
        <v>453</v>
      </c>
      <c r="W35" s="153" t="s">
        <v>390</v>
      </c>
      <c r="X35" s="153" t="s">
        <v>6035</v>
      </c>
      <c r="Y35" s="153" t="s">
        <v>6055</v>
      </c>
      <c r="Z35" s="153"/>
      <c r="AA35" s="153" t="s">
        <v>6056</v>
      </c>
      <c r="AB35" s="158" t="s">
        <v>395</v>
      </c>
      <c r="AC35" s="153" t="s">
        <v>6060</v>
      </c>
      <c r="AD35" s="177" t="s">
        <v>397</v>
      </c>
      <c r="AE35" s="153" t="s">
        <v>398</v>
      </c>
      <c r="AF35" s="153"/>
      <c r="AG35" s="153"/>
    </row>
    <row r="36">
      <c r="A36" s="238">
        <v>2024.0</v>
      </c>
      <c r="B36" s="230">
        <v>38.0</v>
      </c>
      <c r="C36" s="153" t="s">
        <v>143</v>
      </c>
      <c r="D36" s="153" t="s">
        <v>144</v>
      </c>
      <c r="E36" s="153" t="s">
        <v>145</v>
      </c>
      <c r="F36" s="153" t="s">
        <v>146</v>
      </c>
      <c r="G36" s="153" t="s">
        <v>147</v>
      </c>
      <c r="H36" s="158" t="s">
        <v>452</v>
      </c>
      <c r="I36" s="230">
        <v>2021.0</v>
      </c>
      <c r="J36" s="192" t="s">
        <v>149</v>
      </c>
      <c r="K36" s="192" t="s">
        <v>149</v>
      </c>
      <c r="L36" s="153" t="s">
        <v>151</v>
      </c>
      <c r="M36" s="158" t="s">
        <v>153</v>
      </c>
      <c r="N36" s="158" t="s">
        <v>153</v>
      </c>
      <c r="O36" s="158" t="s">
        <v>6195</v>
      </c>
      <c r="P36" s="158" t="s">
        <v>158</v>
      </c>
      <c r="Q36" s="158" t="s">
        <v>160</v>
      </c>
      <c r="R36" s="158" t="s">
        <v>6035</v>
      </c>
      <c r="S36" s="158" t="s">
        <v>159</v>
      </c>
      <c r="T36" s="158" t="s">
        <v>149</v>
      </c>
      <c r="U36" s="158" t="s">
        <v>149</v>
      </c>
      <c r="V36" s="158" t="s">
        <v>162</v>
      </c>
      <c r="W36" s="153" t="s">
        <v>158</v>
      </c>
      <c r="X36" s="153" t="s">
        <v>6035</v>
      </c>
      <c r="Y36" s="153" t="s">
        <v>7946</v>
      </c>
      <c r="Z36" s="153"/>
      <c r="AA36" s="153"/>
      <c r="AB36" s="158" t="s">
        <v>166</v>
      </c>
      <c r="AC36" s="153" t="s">
        <v>167</v>
      </c>
      <c r="AD36" s="165" t="s">
        <v>168</v>
      </c>
      <c r="AE36" s="153"/>
      <c r="AF36" s="153"/>
      <c r="AG36" s="153"/>
    </row>
    <row r="37">
      <c r="A37" s="238">
        <v>2024.0</v>
      </c>
      <c r="B37" s="230">
        <v>39.0</v>
      </c>
      <c r="C37" s="153" t="s">
        <v>143</v>
      </c>
      <c r="D37" s="153" t="s">
        <v>144</v>
      </c>
      <c r="E37" s="153" t="s">
        <v>4284</v>
      </c>
      <c r="F37" s="153" t="s">
        <v>222</v>
      </c>
      <c r="G37" s="153" t="s">
        <v>384</v>
      </c>
      <c r="H37" s="153" t="s">
        <v>2855</v>
      </c>
      <c r="I37" s="230">
        <v>1981.0</v>
      </c>
      <c r="J37" s="230">
        <v>1985.0</v>
      </c>
      <c r="K37" s="230">
        <v>1987.0</v>
      </c>
      <c r="L37" s="153" t="s">
        <v>151</v>
      </c>
      <c r="M37" s="158" t="s">
        <v>6054</v>
      </c>
      <c r="N37" s="158" t="s">
        <v>6054</v>
      </c>
      <c r="O37" s="158" t="s">
        <v>149</v>
      </c>
      <c r="P37" s="153" t="s">
        <v>390</v>
      </c>
      <c r="Q37" s="158" t="s">
        <v>160</v>
      </c>
      <c r="R37" s="158" t="s">
        <v>6035</v>
      </c>
      <c r="S37" s="158" t="s">
        <v>159</v>
      </c>
      <c r="T37" s="158" t="s">
        <v>149</v>
      </c>
      <c r="U37" s="158" t="s">
        <v>149</v>
      </c>
      <c r="V37" s="153" t="s">
        <v>2853</v>
      </c>
      <c r="W37" s="153" t="s">
        <v>390</v>
      </c>
      <c r="X37" s="153" t="s">
        <v>6035</v>
      </c>
      <c r="Y37" s="153" t="s">
        <v>6055</v>
      </c>
      <c r="Z37" s="153" t="s">
        <v>6201</v>
      </c>
      <c r="AA37" s="153"/>
      <c r="AB37" s="158" t="s">
        <v>395</v>
      </c>
      <c r="AC37" s="153" t="s">
        <v>6060</v>
      </c>
      <c r="AD37" s="165" t="s">
        <v>397</v>
      </c>
      <c r="AE37" s="153" t="s">
        <v>398</v>
      </c>
      <c r="AF37" s="153"/>
      <c r="AG37" s="153" t="s">
        <v>6109</v>
      </c>
    </row>
    <row r="38">
      <c r="A38" s="238">
        <v>2024.0</v>
      </c>
      <c r="B38" s="230">
        <v>40.0</v>
      </c>
      <c r="C38" s="153" t="s">
        <v>143</v>
      </c>
      <c r="D38" s="153" t="s">
        <v>144</v>
      </c>
      <c r="E38" s="153" t="s">
        <v>4284</v>
      </c>
      <c r="F38" s="153" t="s">
        <v>222</v>
      </c>
      <c r="G38" s="153" t="s">
        <v>384</v>
      </c>
      <c r="H38" s="153" t="s">
        <v>455</v>
      </c>
      <c r="I38" s="230">
        <v>1985.0</v>
      </c>
      <c r="J38" s="230">
        <v>1985.0</v>
      </c>
      <c r="K38" s="230">
        <v>1987.0</v>
      </c>
      <c r="L38" s="153" t="s">
        <v>151</v>
      </c>
      <c r="M38" s="153" t="s">
        <v>6054</v>
      </c>
      <c r="N38" s="158" t="s">
        <v>6054</v>
      </c>
      <c r="O38" s="158" t="s">
        <v>149</v>
      </c>
      <c r="P38" s="153" t="s">
        <v>390</v>
      </c>
      <c r="Q38" s="158" t="s">
        <v>160</v>
      </c>
      <c r="R38" s="158" t="s">
        <v>6035</v>
      </c>
      <c r="S38" s="158" t="s">
        <v>159</v>
      </c>
      <c r="T38" s="158" t="s">
        <v>149</v>
      </c>
      <c r="U38" s="158" t="s">
        <v>149</v>
      </c>
      <c r="V38" s="153" t="s">
        <v>453</v>
      </c>
      <c r="W38" s="153" t="s">
        <v>390</v>
      </c>
      <c r="X38" s="153" t="s">
        <v>6035</v>
      </c>
      <c r="Y38" s="153" t="s">
        <v>6055</v>
      </c>
      <c r="Z38" s="153"/>
      <c r="AA38" s="153"/>
      <c r="AB38" s="158" t="s">
        <v>395</v>
      </c>
      <c r="AC38" s="153" t="s">
        <v>6060</v>
      </c>
      <c r="AD38" s="165" t="s">
        <v>397</v>
      </c>
      <c r="AE38" s="153" t="s">
        <v>398</v>
      </c>
      <c r="AF38" s="153"/>
      <c r="AG38" s="153"/>
    </row>
    <row r="39">
      <c r="A39" s="238">
        <v>2024.0</v>
      </c>
      <c r="B39" s="230">
        <v>41.0</v>
      </c>
      <c r="C39" s="153" t="s">
        <v>143</v>
      </c>
      <c r="D39" s="153" t="s">
        <v>144</v>
      </c>
      <c r="E39" s="153" t="s">
        <v>4284</v>
      </c>
      <c r="F39" s="153" t="s">
        <v>222</v>
      </c>
      <c r="G39" s="153" t="s">
        <v>384</v>
      </c>
      <c r="H39" s="153" t="s">
        <v>457</v>
      </c>
      <c r="I39" s="230">
        <v>1987.0</v>
      </c>
      <c r="J39" s="230">
        <v>1985.0</v>
      </c>
      <c r="K39" s="230">
        <v>1987.0</v>
      </c>
      <c r="L39" s="153" t="s">
        <v>151</v>
      </c>
      <c r="M39" s="153" t="s">
        <v>6054</v>
      </c>
      <c r="N39" s="158" t="s">
        <v>6054</v>
      </c>
      <c r="O39" s="158" t="s">
        <v>149</v>
      </c>
      <c r="P39" s="153" t="s">
        <v>390</v>
      </c>
      <c r="Q39" s="158" t="s">
        <v>160</v>
      </c>
      <c r="R39" s="158" t="s">
        <v>6035</v>
      </c>
      <c r="S39" s="158" t="s">
        <v>159</v>
      </c>
      <c r="T39" s="158" t="s">
        <v>149</v>
      </c>
      <c r="U39" s="158" t="s">
        <v>149</v>
      </c>
      <c r="V39" s="153" t="s">
        <v>391</v>
      </c>
      <c r="W39" s="153" t="s">
        <v>390</v>
      </c>
      <c r="X39" s="153" t="s">
        <v>6035</v>
      </c>
      <c r="Y39" s="153" t="s">
        <v>6055</v>
      </c>
      <c r="Z39" s="153"/>
      <c r="AA39" s="153"/>
      <c r="AB39" s="158" t="s">
        <v>395</v>
      </c>
      <c r="AC39" s="153" t="s">
        <v>6060</v>
      </c>
      <c r="AD39" s="165" t="s">
        <v>397</v>
      </c>
      <c r="AE39" s="153" t="s">
        <v>398</v>
      </c>
      <c r="AF39" s="153"/>
      <c r="AG39" s="153"/>
    </row>
    <row r="40">
      <c r="A40" s="238">
        <v>2024.0</v>
      </c>
      <c r="B40" s="230">
        <v>42.0</v>
      </c>
      <c r="C40" s="153" t="s">
        <v>143</v>
      </c>
      <c r="D40" s="153" t="s">
        <v>144</v>
      </c>
      <c r="E40" s="153" t="s">
        <v>4284</v>
      </c>
      <c r="F40" s="153" t="s">
        <v>222</v>
      </c>
      <c r="G40" s="158" t="s">
        <v>149</v>
      </c>
      <c r="H40" s="153" t="s">
        <v>2897</v>
      </c>
      <c r="I40" s="230">
        <v>1999.0</v>
      </c>
      <c r="J40" s="230">
        <v>1999.0</v>
      </c>
      <c r="K40" s="230">
        <v>2000.0</v>
      </c>
      <c r="L40" s="153" t="s">
        <v>3324</v>
      </c>
      <c r="M40" s="158" t="s">
        <v>2899</v>
      </c>
      <c r="N40" s="158" t="s">
        <v>2899</v>
      </c>
      <c r="O40" s="153" t="s">
        <v>7947</v>
      </c>
      <c r="P40" s="153" t="s">
        <v>2833</v>
      </c>
      <c r="Q40" s="158" t="s">
        <v>160</v>
      </c>
      <c r="R40" s="158" t="s">
        <v>6035</v>
      </c>
      <c r="S40" s="158" t="s">
        <v>204</v>
      </c>
      <c r="T40" s="158" t="s">
        <v>149</v>
      </c>
      <c r="U40" s="158" t="s">
        <v>149</v>
      </c>
      <c r="V40" s="158" t="s">
        <v>149</v>
      </c>
      <c r="W40" s="153" t="s">
        <v>233</v>
      </c>
      <c r="X40" s="158" t="s">
        <v>6068</v>
      </c>
      <c r="Y40" s="153" t="s">
        <v>2901</v>
      </c>
      <c r="Z40" s="153"/>
      <c r="AA40" s="153"/>
      <c r="AB40" s="158" t="s">
        <v>6214</v>
      </c>
      <c r="AC40" s="153" t="s">
        <v>2902</v>
      </c>
      <c r="AD40" s="165" t="s">
        <v>6215</v>
      </c>
      <c r="AE40" s="153" t="s">
        <v>2904</v>
      </c>
      <c r="AF40" s="153"/>
      <c r="AG40" s="153"/>
    </row>
    <row r="41">
      <c r="A41" s="238">
        <v>2024.0</v>
      </c>
      <c r="B41" s="230">
        <v>43.0</v>
      </c>
      <c r="C41" s="153" t="s">
        <v>143</v>
      </c>
      <c r="D41" s="153" t="s">
        <v>144</v>
      </c>
      <c r="E41" s="153" t="s">
        <v>4284</v>
      </c>
      <c r="F41" s="153" t="s">
        <v>222</v>
      </c>
      <c r="G41" s="153" t="s">
        <v>1683</v>
      </c>
      <c r="H41" s="153" t="s">
        <v>223</v>
      </c>
      <c r="I41" s="192">
        <v>2015.0</v>
      </c>
      <c r="J41" s="230">
        <v>2014.0</v>
      </c>
      <c r="K41" s="230">
        <v>2016.0</v>
      </c>
      <c r="L41" s="153" t="s">
        <v>6062</v>
      </c>
      <c r="M41" s="153" t="s">
        <v>320</v>
      </c>
      <c r="N41" s="158" t="s">
        <v>179</v>
      </c>
      <c r="O41" s="158" t="s">
        <v>149</v>
      </c>
      <c r="P41" s="153" t="s">
        <v>321</v>
      </c>
      <c r="Q41" s="158" t="s">
        <v>160</v>
      </c>
      <c r="R41" s="158" t="s">
        <v>6035</v>
      </c>
      <c r="S41" s="158" t="s">
        <v>159</v>
      </c>
      <c r="T41" s="158" t="s">
        <v>149</v>
      </c>
      <c r="U41" s="158" t="s">
        <v>149</v>
      </c>
      <c r="V41" s="153" t="s">
        <v>1698</v>
      </c>
      <c r="W41" s="153" t="s">
        <v>1699</v>
      </c>
      <c r="X41" s="158" t="s">
        <v>6068</v>
      </c>
      <c r="Y41" s="153" t="s">
        <v>1700</v>
      </c>
      <c r="Z41" s="153"/>
      <c r="AA41" s="153"/>
      <c r="AB41" s="153" t="s">
        <v>6084</v>
      </c>
      <c r="AC41" s="153" t="s">
        <v>1300</v>
      </c>
      <c r="AD41" s="153" t="s">
        <v>6070</v>
      </c>
      <c r="AE41" s="153"/>
      <c r="AF41" s="153"/>
      <c r="AG41" s="165" t="s">
        <v>7800</v>
      </c>
    </row>
    <row r="42">
      <c r="A42" s="238">
        <v>2024.0</v>
      </c>
      <c r="B42" s="230">
        <v>44.0</v>
      </c>
      <c r="C42" s="153" t="s">
        <v>143</v>
      </c>
      <c r="D42" s="153" t="s">
        <v>144</v>
      </c>
      <c r="E42" s="153" t="s">
        <v>4284</v>
      </c>
      <c r="F42" s="153" t="s">
        <v>222</v>
      </c>
      <c r="G42" s="153" t="s">
        <v>6235</v>
      </c>
      <c r="H42" s="153" t="s">
        <v>223</v>
      </c>
      <c r="I42" s="230">
        <v>2018.0</v>
      </c>
      <c r="J42" s="248"/>
      <c r="K42" s="248"/>
      <c r="L42" s="153" t="s">
        <v>6221</v>
      </c>
      <c r="M42" s="158" t="s">
        <v>200</v>
      </c>
      <c r="N42" s="158" t="s">
        <v>224</v>
      </c>
      <c r="O42" s="158" t="s">
        <v>225</v>
      </c>
      <c r="P42" s="153" t="s">
        <v>203</v>
      </c>
      <c r="Q42" s="158" t="s">
        <v>6154</v>
      </c>
      <c r="R42" s="158" t="s">
        <v>206</v>
      </c>
      <c r="S42" s="158" t="s">
        <v>159</v>
      </c>
      <c r="T42" s="158" t="s">
        <v>149</v>
      </c>
      <c r="U42" s="158" t="s">
        <v>149</v>
      </c>
      <c r="V42" s="158" t="s">
        <v>149</v>
      </c>
      <c r="W42" s="153" t="s">
        <v>226</v>
      </c>
      <c r="X42" s="158" t="s">
        <v>6068</v>
      </c>
      <c r="Y42" s="153" t="s">
        <v>228</v>
      </c>
      <c r="Z42" s="153"/>
      <c r="AA42" s="153" t="s">
        <v>208</v>
      </c>
      <c r="AB42" s="153" t="s">
        <v>214</v>
      </c>
      <c r="AC42" s="153" t="s">
        <v>214</v>
      </c>
      <c r="AD42" s="153"/>
      <c r="AE42" s="153"/>
      <c r="AF42" s="153"/>
      <c r="AG42" s="153"/>
    </row>
    <row r="43">
      <c r="A43" s="238">
        <v>2024.0</v>
      </c>
      <c r="B43" s="230">
        <v>45.0</v>
      </c>
      <c r="C43" s="153" t="s">
        <v>143</v>
      </c>
      <c r="D43" s="153" t="s">
        <v>144</v>
      </c>
      <c r="E43" s="153" t="s">
        <v>4284</v>
      </c>
      <c r="F43" s="153" t="s">
        <v>222</v>
      </c>
      <c r="G43" s="158" t="s">
        <v>1776</v>
      </c>
      <c r="H43" s="158" t="s">
        <v>223</v>
      </c>
      <c r="I43" s="192">
        <v>2017.0</v>
      </c>
      <c r="J43" s="192" t="s">
        <v>149</v>
      </c>
      <c r="K43" s="192" t="s">
        <v>149</v>
      </c>
      <c r="L43" s="153" t="s">
        <v>6062</v>
      </c>
      <c r="M43" s="158" t="s">
        <v>320</v>
      </c>
      <c r="N43" s="158" t="s">
        <v>179</v>
      </c>
      <c r="O43" s="158" t="s">
        <v>149</v>
      </c>
      <c r="P43" s="158" t="s">
        <v>1777</v>
      </c>
      <c r="Q43" s="158" t="s">
        <v>160</v>
      </c>
      <c r="R43" s="158" t="s">
        <v>184</v>
      </c>
      <c r="S43" s="158" t="s">
        <v>159</v>
      </c>
      <c r="T43" s="158" t="s">
        <v>149</v>
      </c>
      <c r="U43" s="158" t="s">
        <v>149</v>
      </c>
      <c r="V43" s="158" t="s">
        <v>6224</v>
      </c>
      <c r="W43" s="153" t="s">
        <v>228</v>
      </c>
      <c r="X43" s="153" t="s">
        <v>6035</v>
      </c>
      <c r="Y43" s="153" t="s">
        <v>7948</v>
      </c>
      <c r="Z43" s="153" t="s">
        <v>7949</v>
      </c>
      <c r="AA43" s="153"/>
      <c r="AB43" s="153" t="s">
        <v>6084</v>
      </c>
      <c r="AC43" s="153" t="s">
        <v>1300</v>
      </c>
      <c r="AD43" s="153" t="s">
        <v>6070</v>
      </c>
      <c r="AE43" s="153"/>
      <c r="AF43" s="153"/>
      <c r="AG43" s="153"/>
    </row>
    <row r="44">
      <c r="A44" s="238">
        <v>2024.0</v>
      </c>
      <c r="B44" s="230">
        <v>46.0</v>
      </c>
      <c r="C44" s="153" t="s">
        <v>143</v>
      </c>
      <c r="D44" s="153" t="s">
        <v>144</v>
      </c>
      <c r="E44" s="153" t="s">
        <v>4284</v>
      </c>
      <c r="F44" s="153" t="s">
        <v>222</v>
      </c>
      <c r="G44" s="153" t="s">
        <v>934</v>
      </c>
      <c r="H44" s="153"/>
      <c r="I44" s="230">
        <v>2001.0</v>
      </c>
      <c r="J44" s="230">
        <v>2001.0</v>
      </c>
      <c r="K44" s="230">
        <v>2005.0</v>
      </c>
      <c r="L44" s="153" t="s">
        <v>6062</v>
      </c>
      <c r="M44" s="153" t="s">
        <v>3245</v>
      </c>
      <c r="N44" s="158" t="s">
        <v>179</v>
      </c>
      <c r="O44" s="153" t="s">
        <v>939</v>
      </c>
      <c r="P44" s="153" t="s">
        <v>940</v>
      </c>
      <c r="Q44" s="158" t="s">
        <v>160</v>
      </c>
      <c r="R44" s="158" t="s">
        <v>206</v>
      </c>
      <c r="S44" s="158" t="s">
        <v>159</v>
      </c>
      <c r="T44" s="158" t="s">
        <v>149</v>
      </c>
      <c r="U44" s="158" t="s">
        <v>149</v>
      </c>
      <c r="V44" s="158" t="s">
        <v>149</v>
      </c>
      <c r="W44" s="153" t="s">
        <v>233</v>
      </c>
      <c r="X44" s="158" t="s">
        <v>6068</v>
      </c>
      <c r="Y44" s="153"/>
      <c r="Z44" s="153"/>
      <c r="AA44" s="153"/>
      <c r="AB44" s="158" t="s">
        <v>6214</v>
      </c>
      <c r="AC44" s="153" t="s">
        <v>941</v>
      </c>
      <c r="AD44" s="165" t="s">
        <v>942</v>
      </c>
      <c r="AE44" s="153" t="s">
        <v>943</v>
      </c>
      <c r="AF44" s="153"/>
      <c r="AG44" s="153"/>
    </row>
    <row r="45">
      <c r="A45" s="238">
        <v>2024.0</v>
      </c>
      <c r="B45" s="230">
        <v>47.0</v>
      </c>
      <c r="C45" s="153" t="s">
        <v>143</v>
      </c>
      <c r="D45" s="153" t="s">
        <v>144</v>
      </c>
      <c r="E45" s="153" t="s">
        <v>230</v>
      </c>
      <c r="F45" s="153" t="s">
        <v>231</v>
      </c>
      <c r="G45" s="153" t="s">
        <v>384</v>
      </c>
      <c r="H45" s="153" t="s">
        <v>459</v>
      </c>
      <c r="I45" s="230">
        <v>1986.0</v>
      </c>
      <c r="J45" s="230">
        <v>1985.0</v>
      </c>
      <c r="K45" s="230">
        <v>1987.0</v>
      </c>
      <c r="L45" s="153" t="s">
        <v>151</v>
      </c>
      <c r="M45" s="153" t="s">
        <v>6054</v>
      </c>
      <c r="N45" s="158" t="s">
        <v>6054</v>
      </c>
      <c r="O45" s="158" t="s">
        <v>149</v>
      </c>
      <c r="P45" s="153" t="s">
        <v>390</v>
      </c>
      <c r="Q45" s="158" t="s">
        <v>160</v>
      </c>
      <c r="R45" s="158" t="s">
        <v>6035</v>
      </c>
      <c r="S45" s="158" t="s">
        <v>159</v>
      </c>
      <c r="T45" s="158" t="s">
        <v>149</v>
      </c>
      <c r="U45" s="158" t="s">
        <v>149</v>
      </c>
      <c r="V45" s="153" t="s">
        <v>391</v>
      </c>
      <c r="W45" s="153" t="s">
        <v>390</v>
      </c>
      <c r="X45" s="153" t="s">
        <v>6035</v>
      </c>
      <c r="Y45" s="153" t="s">
        <v>6055</v>
      </c>
      <c r="Z45" s="153"/>
      <c r="AA45" s="153" t="s">
        <v>6056</v>
      </c>
      <c r="AB45" s="158" t="s">
        <v>395</v>
      </c>
      <c r="AC45" s="153" t="s">
        <v>6060</v>
      </c>
      <c r="AD45" s="177" t="s">
        <v>397</v>
      </c>
      <c r="AE45" s="153" t="s">
        <v>398</v>
      </c>
      <c r="AF45" s="153"/>
      <c r="AG45" s="153"/>
    </row>
    <row r="46">
      <c r="A46" s="238">
        <v>2024.0</v>
      </c>
      <c r="B46" s="230">
        <v>48.0</v>
      </c>
      <c r="C46" s="153" t="s">
        <v>143</v>
      </c>
      <c r="D46" s="153" t="s">
        <v>144</v>
      </c>
      <c r="E46" s="153" t="s">
        <v>230</v>
      </c>
      <c r="F46" s="153" t="s">
        <v>231</v>
      </c>
      <c r="G46" s="153" t="s">
        <v>384</v>
      </c>
      <c r="H46" s="153" t="s">
        <v>461</v>
      </c>
      <c r="I46" s="230">
        <v>1986.0</v>
      </c>
      <c r="J46" s="230">
        <v>1985.0</v>
      </c>
      <c r="K46" s="230">
        <v>1987.0</v>
      </c>
      <c r="L46" s="153" t="s">
        <v>151</v>
      </c>
      <c r="M46" s="153" t="s">
        <v>6054</v>
      </c>
      <c r="N46" s="158" t="s">
        <v>6054</v>
      </c>
      <c r="O46" s="158" t="s">
        <v>149</v>
      </c>
      <c r="P46" s="153" t="s">
        <v>390</v>
      </c>
      <c r="Q46" s="158" t="s">
        <v>160</v>
      </c>
      <c r="R46" s="158" t="s">
        <v>6035</v>
      </c>
      <c r="S46" s="158" t="s">
        <v>159</v>
      </c>
      <c r="T46" s="158" t="s">
        <v>149</v>
      </c>
      <c r="U46" s="158" t="s">
        <v>149</v>
      </c>
      <c r="V46" s="153" t="s">
        <v>391</v>
      </c>
      <c r="W46" s="153" t="s">
        <v>390</v>
      </c>
      <c r="X46" s="153" t="s">
        <v>6035</v>
      </c>
      <c r="Y46" s="153" t="s">
        <v>6055</v>
      </c>
      <c r="Z46" s="153"/>
      <c r="AA46" s="153"/>
      <c r="AB46" s="158" t="s">
        <v>395</v>
      </c>
      <c r="AC46" s="153" t="s">
        <v>6060</v>
      </c>
      <c r="AD46" s="177" t="s">
        <v>397</v>
      </c>
      <c r="AE46" s="153" t="s">
        <v>398</v>
      </c>
      <c r="AF46" s="153"/>
      <c r="AG46" s="153"/>
    </row>
    <row r="47">
      <c r="A47" s="238">
        <v>2024.0</v>
      </c>
      <c r="B47" s="230">
        <v>49.0</v>
      </c>
      <c r="C47" s="153" t="s">
        <v>143</v>
      </c>
      <c r="D47" s="153" t="s">
        <v>144</v>
      </c>
      <c r="E47" s="153" t="s">
        <v>230</v>
      </c>
      <c r="F47" s="153" t="s">
        <v>231</v>
      </c>
      <c r="G47" s="153" t="s">
        <v>1828</v>
      </c>
      <c r="H47" s="153" t="s">
        <v>6242</v>
      </c>
      <c r="I47" s="230">
        <v>2014.0</v>
      </c>
      <c r="J47" s="230">
        <v>2014.0</v>
      </c>
      <c r="K47" s="230">
        <v>2017.0</v>
      </c>
      <c r="L47" s="153" t="s">
        <v>6221</v>
      </c>
      <c r="M47" s="158" t="s">
        <v>1830</v>
      </c>
      <c r="N47" s="192" t="s">
        <v>1830</v>
      </c>
      <c r="O47" s="153" t="s">
        <v>1831</v>
      </c>
      <c r="P47" s="153" t="s">
        <v>321</v>
      </c>
      <c r="Q47" s="158" t="s">
        <v>160</v>
      </c>
      <c r="R47" s="158" t="s">
        <v>6035</v>
      </c>
      <c r="S47" s="158" t="s">
        <v>204</v>
      </c>
      <c r="T47" s="244">
        <v>2803661.28</v>
      </c>
      <c r="U47" s="158" t="s">
        <v>149</v>
      </c>
      <c r="V47" s="158" t="s">
        <v>149</v>
      </c>
      <c r="W47" s="153" t="s">
        <v>233</v>
      </c>
      <c r="X47" s="158" t="s">
        <v>6068</v>
      </c>
      <c r="Y47" s="153" t="s">
        <v>1833</v>
      </c>
      <c r="Z47" s="153"/>
      <c r="AA47" s="153"/>
      <c r="AB47" s="153" t="s">
        <v>6084</v>
      </c>
      <c r="AC47" s="153" t="s">
        <v>1834</v>
      </c>
      <c r="AD47" s="153" t="s">
        <v>6070</v>
      </c>
      <c r="AE47" s="153" t="s">
        <v>943</v>
      </c>
      <c r="AF47" s="153"/>
      <c r="AG47" s="153"/>
    </row>
    <row r="48">
      <c r="A48" s="238">
        <v>2024.0</v>
      </c>
      <c r="B48" s="230">
        <v>50.0</v>
      </c>
      <c r="C48" s="153" t="s">
        <v>143</v>
      </c>
      <c r="D48" s="153" t="s">
        <v>144</v>
      </c>
      <c r="E48" s="153" t="s">
        <v>230</v>
      </c>
      <c r="F48" s="153" t="s">
        <v>231</v>
      </c>
      <c r="G48" s="153" t="s">
        <v>1846</v>
      </c>
      <c r="H48" s="153"/>
      <c r="I48" s="230">
        <v>2014.0</v>
      </c>
      <c r="J48" s="230">
        <v>2014.0</v>
      </c>
      <c r="K48" s="230">
        <v>2017.0</v>
      </c>
      <c r="L48" s="153" t="s">
        <v>6221</v>
      </c>
      <c r="M48" s="158" t="s">
        <v>1847</v>
      </c>
      <c r="N48" s="158" t="s">
        <v>1847</v>
      </c>
      <c r="O48" s="153" t="s">
        <v>1848</v>
      </c>
      <c r="P48" s="153" t="s">
        <v>321</v>
      </c>
      <c r="Q48" s="158" t="s">
        <v>160</v>
      </c>
      <c r="R48" s="158" t="s">
        <v>6035</v>
      </c>
      <c r="S48" s="158" t="s">
        <v>204</v>
      </c>
      <c r="T48" s="244">
        <v>2682661.5</v>
      </c>
      <c r="U48" s="158" t="s">
        <v>149</v>
      </c>
      <c r="V48" s="158" t="s">
        <v>149</v>
      </c>
      <c r="W48" s="153" t="s">
        <v>233</v>
      </c>
      <c r="X48" s="158" t="s">
        <v>6068</v>
      </c>
      <c r="Y48" s="153" t="s">
        <v>1850</v>
      </c>
      <c r="Z48" s="153" t="s">
        <v>885</v>
      </c>
      <c r="AA48" s="153"/>
      <c r="AB48" s="153" t="s">
        <v>6084</v>
      </c>
      <c r="AC48" s="153" t="s">
        <v>1851</v>
      </c>
      <c r="AD48" s="153" t="s">
        <v>6070</v>
      </c>
      <c r="AE48" s="153" t="s">
        <v>943</v>
      </c>
      <c r="AF48" s="153"/>
      <c r="AG48" s="153"/>
    </row>
    <row r="49">
      <c r="A49" s="238">
        <v>2024.0</v>
      </c>
      <c r="B49" s="230">
        <v>51.0</v>
      </c>
      <c r="C49" s="153" t="s">
        <v>143</v>
      </c>
      <c r="D49" s="153" t="s">
        <v>144</v>
      </c>
      <c r="E49" s="153" t="s">
        <v>230</v>
      </c>
      <c r="F49" s="153" t="s">
        <v>231</v>
      </c>
      <c r="G49" s="153" t="s">
        <v>6235</v>
      </c>
      <c r="H49" s="158" t="s">
        <v>232</v>
      </c>
      <c r="I49" s="230">
        <v>2018.0</v>
      </c>
      <c r="J49" s="230"/>
      <c r="K49" s="230"/>
      <c r="L49" s="153" t="s">
        <v>6221</v>
      </c>
      <c r="M49" s="158" t="s">
        <v>200</v>
      </c>
      <c r="N49" s="158" t="s">
        <v>224</v>
      </c>
      <c r="O49" s="158" t="s">
        <v>225</v>
      </c>
      <c r="P49" s="153" t="s">
        <v>203</v>
      </c>
      <c r="Q49" s="158" t="s">
        <v>6154</v>
      </c>
      <c r="R49" s="158" t="s">
        <v>206</v>
      </c>
      <c r="S49" s="158" t="s">
        <v>159</v>
      </c>
      <c r="T49" s="158" t="s">
        <v>149</v>
      </c>
      <c r="U49" s="158" t="s">
        <v>149</v>
      </c>
      <c r="V49" s="158" t="s">
        <v>149</v>
      </c>
      <c r="W49" s="153" t="s">
        <v>233</v>
      </c>
      <c r="X49" s="158" t="s">
        <v>6068</v>
      </c>
      <c r="Y49" s="153"/>
      <c r="Z49" s="153"/>
      <c r="AA49" s="153" t="s">
        <v>208</v>
      </c>
      <c r="AB49" s="153" t="s">
        <v>214</v>
      </c>
      <c r="AC49" s="153" t="s">
        <v>214</v>
      </c>
      <c r="AD49" s="153"/>
      <c r="AE49" s="153"/>
      <c r="AF49" s="153"/>
      <c r="AG49" s="153"/>
    </row>
    <row r="50">
      <c r="A50" s="238">
        <v>2024.0</v>
      </c>
      <c r="B50" s="230">
        <v>52.0</v>
      </c>
      <c r="C50" s="153" t="s">
        <v>143</v>
      </c>
      <c r="D50" s="153" t="s">
        <v>144</v>
      </c>
      <c r="E50" s="153" t="s">
        <v>230</v>
      </c>
      <c r="F50" s="153" t="s">
        <v>231</v>
      </c>
      <c r="G50" s="153" t="s">
        <v>7950</v>
      </c>
      <c r="H50" s="158" t="s">
        <v>6252</v>
      </c>
      <c r="I50" s="230">
        <v>2001.0</v>
      </c>
      <c r="J50" s="230">
        <v>2001.0</v>
      </c>
      <c r="K50" s="230">
        <v>2005.0</v>
      </c>
      <c r="L50" s="153" t="s">
        <v>6062</v>
      </c>
      <c r="M50" s="153" t="s">
        <v>7951</v>
      </c>
      <c r="N50" s="153" t="s">
        <v>7952</v>
      </c>
      <c r="O50" s="153" t="s">
        <v>939</v>
      </c>
      <c r="P50" s="153" t="s">
        <v>940</v>
      </c>
      <c r="Q50" s="158" t="s">
        <v>6154</v>
      </c>
      <c r="R50" s="158" t="s">
        <v>206</v>
      </c>
      <c r="S50" s="158" t="s">
        <v>159</v>
      </c>
      <c r="T50" s="158" t="s">
        <v>149</v>
      </c>
      <c r="U50" s="158" t="s">
        <v>149</v>
      </c>
      <c r="V50" s="158" t="s">
        <v>149</v>
      </c>
      <c r="W50" s="153" t="s">
        <v>233</v>
      </c>
      <c r="X50" s="158" t="s">
        <v>6068</v>
      </c>
      <c r="Y50" s="153"/>
      <c r="Z50" s="153"/>
      <c r="AA50" s="153"/>
      <c r="AB50" s="158" t="s">
        <v>6214</v>
      </c>
      <c r="AC50" s="153" t="s">
        <v>941</v>
      </c>
      <c r="AD50" s="172" t="s">
        <v>948</v>
      </c>
      <c r="AE50" s="153" t="s">
        <v>943</v>
      </c>
      <c r="AF50" s="153"/>
      <c r="AG50" s="153"/>
    </row>
    <row r="51">
      <c r="A51" s="238">
        <v>2024.0</v>
      </c>
      <c r="B51" s="230">
        <v>54.0</v>
      </c>
      <c r="C51" s="153" t="s">
        <v>143</v>
      </c>
      <c r="D51" s="153" t="s">
        <v>144</v>
      </c>
      <c r="E51" s="153" t="s">
        <v>230</v>
      </c>
      <c r="F51" s="153" t="s">
        <v>231</v>
      </c>
      <c r="G51" s="158" t="s">
        <v>149</v>
      </c>
      <c r="H51" s="158" t="s">
        <v>6260</v>
      </c>
      <c r="I51" s="192">
        <v>2011.0</v>
      </c>
      <c r="J51" s="192">
        <v>2010.0</v>
      </c>
      <c r="K51" s="192" t="s">
        <v>149</v>
      </c>
      <c r="L51" s="153" t="s">
        <v>6259</v>
      </c>
      <c r="M51" s="158" t="s">
        <v>6262</v>
      </c>
      <c r="N51" s="158" t="s">
        <v>2907</v>
      </c>
      <c r="O51" s="153" t="s">
        <v>7953</v>
      </c>
      <c r="P51" s="153" t="s">
        <v>2909</v>
      </c>
      <c r="Q51" s="158" t="s">
        <v>160</v>
      </c>
      <c r="R51" s="158" t="s">
        <v>209</v>
      </c>
      <c r="S51" s="158" t="s">
        <v>204</v>
      </c>
      <c r="T51" s="158" t="s">
        <v>149</v>
      </c>
      <c r="U51" s="158" t="s">
        <v>149</v>
      </c>
      <c r="V51" s="158" t="s">
        <v>149</v>
      </c>
      <c r="W51" s="153" t="s">
        <v>233</v>
      </c>
      <c r="X51" s="158" t="s">
        <v>6068</v>
      </c>
      <c r="Y51" s="153" t="s">
        <v>321</v>
      </c>
      <c r="Z51" s="153"/>
      <c r="AA51" s="153"/>
      <c r="AB51" s="158" t="s">
        <v>6214</v>
      </c>
      <c r="AC51" s="153" t="s">
        <v>2910</v>
      </c>
      <c r="AD51" s="165" t="s">
        <v>2911</v>
      </c>
      <c r="AE51" s="153" t="s">
        <v>1061</v>
      </c>
      <c r="AF51" s="153"/>
      <c r="AG51" s="153"/>
    </row>
    <row r="52">
      <c r="A52" s="238">
        <v>2024.0</v>
      </c>
      <c r="B52" s="230">
        <v>55.0</v>
      </c>
      <c r="C52" s="153" t="s">
        <v>143</v>
      </c>
      <c r="D52" s="153" t="s">
        <v>144</v>
      </c>
      <c r="E52" s="153" t="s">
        <v>230</v>
      </c>
      <c r="F52" s="153" t="s">
        <v>231</v>
      </c>
      <c r="G52" s="153" t="s">
        <v>197</v>
      </c>
      <c r="H52" s="158" t="s">
        <v>6267</v>
      </c>
      <c r="I52" s="230">
        <v>2013.0</v>
      </c>
      <c r="J52" s="230">
        <v>2013.0</v>
      </c>
      <c r="K52" s="230">
        <v>2015.0</v>
      </c>
      <c r="L52" s="153" t="s">
        <v>6221</v>
      </c>
      <c r="M52" s="158" t="s">
        <v>200</v>
      </c>
      <c r="N52" s="158" t="s">
        <v>224</v>
      </c>
      <c r="O52" s="153" t="s">
        <v>6269</v>
      </c>
      <c r="P52" s="153" t="s">
        <v>203</v>
      </c>
      <c r="Q52" s="158" t="s">
        <v>6154</v>
      </c>
      <c r="R52" s="158" t="s">
        <v>206</v>
      </c>
      <c r="S52" s="158" t="s">
        <v>159</v>
      </c>
      <c r="T52" s="158" t="s">
        <v>149</v>
      </c>
      <c r="U52" s="158" t="s">
        <v>149</v>
      </c>
      <c r="V52" s="158" t="s">
        <v>149</v>
      </c>
      <c r="W52" s="153" t="s">
        <v>208</v>
      </c>
      <c r="X52" s="158" t="s">
        <v>6068</v>
      </c>
      <c r="Y52" s="153" t="s">
        <v>7954</v>
      </c>
      <c r="Z52" s="153"/>
      <c r="AA52" s="153"/>
      <c r="AB52" s="158" t="s">
        <v>6214</v>
      </c>
      <c r="AC52" s="153" t="s">
        <v>243</v>
      </c>
      <c r="AD52" s="165" t="s">
        <v>244</v>
      </c>
      <c r="AE52" s="153" t="s">
        <v>245</v>
      </c>
      <c r="AF52" s="153"/>
      <c r="AG52" s="153"/>
    </row>
    <row r="53">
      <c r="A53" s="238">
        <v>2024.0</v>
      </c>
      <c r="B53" s="230">
        <v>56.0</v>
      </c>
      <c r="C53" s="153" t="s">
        <v>143</v>
      </c>
      <c r="D53" s="153" t="s">
        <v>144</v>
      </c>
      <c r="E53" s="153" t="s">
        <v>230</v>
      </c>
      <c r="F53" s="153" t="s">
        <v>231</v>
      </c>
      <c r="G53" s="153" t="s">
        <v>6305</v>
      </c>
      <c r="H53" s="153" t="s">
        <v>247</v>
      </c>
      <c r="I53" s="230">
        <v>2016.0</v>
      </c>
      <c r="J53" s="230">
        <v>2016.0</v>
      </c>
      <c r="K53" s="230">
        <v>2019.0</v>
      </c>
      <c r="L53" s="153" t="s">
        <v>6221</v>
      </c>
      <c r="M53" s="158" t="s">
        <v>200</v>
      </c>
      <c r="N53" s="158" t="s">
        <v>224</v>
      </c>
      <c r="O53" s="153" t="s">
        <v>248</v>
      </c>
      <c r="P53" s="153" t="s">
        <v>203</v>
      </c>
      <c r="Q53" s="158" t="s">
        <v>6154</v>
      </c>
      <c r="R53" s="158" t="s">
        <v>206</v>
      </c>
      <c r="S53" s="158" t="s">
        <v>159</v>
      </c>
      <c r="T53" s="158" t="s">
        <v>149</v>
      </c>
      <c r="U53" s="158" t="s">
        <v>149</v>
      </c>
      <c r="V53" s="158" t="s">
        <v>149</v>
      </c>
      <c r="W53" s="153" t="s">
        <v>208</v>
      </c>
      <c r="X53" s="158" t="s">
        <v>6068</v>
      </c>
      <c r="Y53" s="153" t="s">
        <v>7955</v>
      </c>
      <c r="Z53" s="153"/>
      <c r="AA53" s="153"/>
      <c r="AB53" s="158" t="s">
        <v>6214</v>
      </c>
      <c r="AC53" s="153" t="s">
        <v>250</v>
      </c>
      <c r="AD53" s="165" t="s">
        <v>251</v>
      </c>
      <c r="AE53" s="153" t="s">
        <v>252</v>
      </c>
      <c r="AF53" s="153"/>
      <c r="AG53" s="153"/>
    </row>
    <row r="54">
      <c r="A54" s="238">
        <v>2024.0</v>
      </c>
      <c r="B54" s="192"/>
      <c r="C54" s="158" t="s">
        <v>143</v>
      </c>
      <c r="D54" s="158" t="s">
        <v>144</v>
      </c>
      <c r="E54" s="158" t="s">
        <v>230</v>
      </c>
      <c r="F54" s="158" t="s">
        <v>231</v>
      </c>
      <c r="G54" s="153" t="s">
        <v>7809</v>
      </c>
      <c r="H54" s="158"/>
      <c r="I54" s="192"/>
      <c r="J54" s="192">
        <v>2021.0</v>
      </c>
      <c r="K54" s="192">
        <v>2025.0</v>
      </c>
      <c r="L54" s="158" t="s">
        <v>6221</v>
      </c>
      <c r="M54" s="158" t="s">
        <v>200</v>
      </c>
      <c r="N54" s="158" t="s">
        <v>224</v>
      </c>
      <c r="O54" s="158" t="s">
        <v>149</v>
      </c>
      <c r="P54" s="158" t="s">
        <v>203</v>
      </c>
      <c r="Q54" s="158" t="s">
        <v>6154</v>
      </c>
      <c r="R54" s="158" t="s">
        <v>206</v>
      </c>
      <c r="S54" s="158" t="s">
        <v>159</v>
      </c>
      <c r="T54" s="158" t="s">
        <v>149</v>
      </c>
      <c r="U54" s="158" t="s">
        <v>149</v>
      </c>
      <c r="V54" s="158" t="s">
        <v>149</v>
      </c>
      <c r="W54" s="158" t="s">
        <v>208</v>
      </c>
      <c r="X54" s="158" t="s">
        <v>6068</v>
      </c>
      <c r="Y54" s="158" t="s">
        <v>255</v>
      </c>
      <c r="Z54" s="153"/>
      <c r="AA54" s="153"/>
      <c r="AB54" s="158" t="s">
        <v>214</v>
      </c>
      <c r="AC54" s="158"/>
      <c r="AD54" s="165"/>
      <c r="AE54" s="153"/>
      <c r="AF54" s="153"/>
      <c r="AG54" s="153"/>
    </row>
    <row r="55">
      <c r="A55" s="238">
        <v>2024.0</v>
      </c>
      <c r="B55" s="230">
        <v>57.0</v>
      </c>
      <c r="C55" s="153" t="s">
        <v>143</v>
      </c>
      <c r="D55" s="153" t="s">
        <v>144</v>
      </c>
      <c r="E55" s="153" t="s">
        <v>230</v>
      </c>
      <c r="F55" s="153" t="s">
        <v>231</v>
      </c>
      <c r="G55" s="158" t="s">
        <v>149</v>
      </c>
      <c r="H55" s="158" t="s">
        <v>6283</v>
      </c>
      <c r="I55" s="230">
        <v>2016.0</v>
      </c>
      <c r="J55" s="192" t="s">
        <v>149</v>
      </c>
      <c r="K55" s="192" t="s">
        <v>149</v>
      </c>
      <c r="L55" s="153" t="s">
        <v>7956</v>
      </c>
      <c r="M55" s="153" t="s">
        <v>2913</v>
      </c>
      <c r="N55" s="158" t="s">
        <v>2913</v>
      </c>
      <c r="O55" s="153" t="s">
        <v>7957</v>
      </c>
      <c r="P55" s="153" t="s">
        <v>321</v>
      </c>
      <c r="Q55" s="158" t="s">
        <v>160</v>
      </c>
      <c r="R55" s="158" t="s">
        <v>6035</v>
      </c>
      <c r="S55" s="158" t="s">
        <v>204</v>
      </c>
      <c r="T55" s="158" t="s">
        <v>149</v>
      </c>
      <c r="U55" s="158" t="s">
        <v>149</v>
      </c>
      <c r="V55" s="153" t="s">
        <v>2915</v>
      </c>
      <c r="W55" s="153" t="s">
        <v>233</v>
      </c>
      <c r="X55" s="158" t="s">
        <v>6068</v>
      </c>
      <c r="Y55" s="153"/>
      <c r="Z55" s="153"/>
      <c r="AA55" s="153"/>
      <c r="AB55" s="158" t="s">
        <v>6214</v>
      </c>
      <c r="AC55" s="153" t="s">
        <v>2916</v>
      </c>
      <c r="AD55" s="165" t="s">
        <v>2917</v>
      </c>
      <c r="AE55" s="153" t="s">
        <v>2918</v>
      </c>
      <c r="AF55" s="153"/>
      <c r="AG55" s="153"/>
    </row>
    <row r="56">
      <c r="A56" s="238">
        <v>2024.0</v>
      </c>
      <c r="B56" s="230">
        <v>58.0</v>
      </c>
      <c r="C56" s="153" t="s">
        <v>143</v>
      </c>
      <c r="D56" s="153" t="s">
        <v>144</v>
      </c>
      <c r="E56" s="153" t="s">
        <v>230</v>
      </c>
      <c r="F56" s="153" t="s">
        <v>231</v>
      </c>
      <c r="G56" s="158" t="s">
        <v>149</v>
      </c>
      <c r="H56" s="153" t="s">
        <v>6291</v>
      </c>
      <c r="I56" s="230">
        <v>2011.0</v>
      </c>
      <c r="J56" s="230">
        <v>2010.0</v>
      </c>
      <c r="K56" s="230">
        <v>2012.0</v>
      </c>
      <c r="L56" s="153" t="s">
        <v>6259</v>
      </c>
      <c r="M56" s="153" t="s">
        <v>7958</v>
      </c>
      <c r="N56" s="158" t="s">
        <v>2922</v>
      </c>
      <c r="O56" s="153" t="s">
        <v>7959</v>
      </c>
      <c r="P56" s="153" t="s">
        <v>321</v>
      </c>
      <c r="Q56" s="158" t="s">
        <v>160</v>
      </c>
      <c r="R56" s="158" t="s">
        <v>6035</v>
      </c>
      <c r="S56" s="158" t="s">
        <v>204</v>
      </c>
      <c r="T56" s="158" t="s">
        <v>149</v>
      </c>
      <c r="U56" s="158" t="s">
        <v>149</v>
      </c>
      <c r="V56" s="153" t="s">
        <v>2924</v>
      </c>
      <c r="W56" s="153" t="s">
        <v>233</v>
      </c>
      <c r="X56" s="158" t="s">
        <v>6068</v>
      </c>
      <c r="Y56" s="153"/>
      <c r="Z56" s="153"/>
      <c r="AA56" s="153"/>
      <c r="AB56" s="158" t="s">
        <v>6214</v>
      </c>
      <c r="AC56" s="153" t="s">
        <v>2925</v>
      </c>
      <c r="AD56" s="165" t="s">
        <v>2926</v>
      </c>
      <c r="AE56" s="153" t="s">
        <v>2927</v>
      </c>
      <c r="AF56" s="239"/>
      <c r="AG56" s="153"/>
    </row>
    <row r="57">
      <c r="A57" s="238">
        <v>2024.0</v>
      </c>
      <c r="B57" s="230">
        <v>59.0</v>
      </c>
      <c r="C57" s="153" t="s">
        <v>143</v>
      </c>
      <c r="D57" s="153" t="s">
        <v>144</v>
      </c>
      <c r="E57" s="153" t="s">
        <v>230</v>
      </c>
      <c r="F57" s="153" t="s">
        <v>231</v>
      </c>
      <c r="G57" s="158" t="s">
        <v>149</v>
      </c>
      <c r="H57" s="153" t="s">
        <v>2929</v>
      </c>
      <c r="I57" s="230">
        <v>2015.0</v>
      </c>
      <c r="J57" s="192" t="s">
        <v>149</v>
      </c>
      <c r="K57" s="192" t="s">
        <v>149</v>
      </c>
      <c r="L57" s="153" t="s">
        <v>6221</v>
      </c>
      <c r="M57" s="158" t="s">
        <v>6300</v>
      </c>
      <c r="N57" s="153" t="s">
        <v>7960</v>
      </c>
      <c r="O57" s="153" t="s">
        <v>7961</v>
      </c>
      <c r="P57" s="158" t="s">
        <v>149</v>
      </c>
      <c r="Q57" s="158" t="s">
        <v>149</v>
      </c>
      <c r="R57" s="158" t="s">
        <v>149</v>
      </c>
      <c r="S57" s="158" t="s">
        <v>149</v>
      </c>
      <c r="T57" s="158" t="s">
        <v>149</v>
      </c>
      <c r="U57" s="158" t="s">
        <v>149</v>
      </c>
      <c r="V57" s="153" t="s">
        <v>7962</v>
      </c>
      <c r="W57" s="153" t="s">
        <v>233</v>
      </c>
      <c r="X57" s="158" t="s">
        <v>6068</v>
      </c>
      <c r="Y57" s="153"/>
      <c r="Z57" s="153"/>
      <c r="AA57" s="153"/>
      <c r="AB57" s="158" t="s">
        <v>6214</v>
      </c>
      <c r="AC57" s="153" t="s">
        <v>7963</v>
      </c>
      <c r="AD57" s="177" t="s">
        <v>2934</v>
      </c>
      <c r="AE57" s="153" t="s">
        <v>2935</v>
      </c>
      <c r="AF57" s="239"/>
      <c r="AG57" s="153"/>
    </row>
    <row r="58">
      <c r="A58" s="238">
        <v>2024.0</v>
      </c>
      <c r="B58" s="230">
        <v>60.0</v>
      </c>
      <c r="C58" s="153" t="s">
        <v>143</v>
      </c>
      <c r="D58" s="153" t="s">
        <v>144</v>
      </c>
      <c r="E58" s="153" t="s">
        <v>463</v>
      </c>
      <c r="F58" s="153" t="s">
        <v>464</v>
      </c>
      <c r="G58" s="153" t="s">
        <v>384</v>
      </c>
      <c r="H58" s="153" t="s">
        <v>465</v>
      </c>
      <c r="I58" s="230">
        <v>1985.0</v>
      </c>
      <c r="J58" s="230">
        <v>1985.0</v>
      </c>
      <c r="K58" s="230">
        <v>1987.0</v>
      </c>
      <c r="L58" s="153" t="s">
        <v>151</v>
      </c>
      <c r="M58" s="153" t="s">
        <v>6054</v>
      </c>
      <c r="N58" s="158" t="s">
        <v>6054</v>
      </c>
      <c r="O58" s="158" t="s">
        <v>149</v>
      </c>
      <c r="P58" s="153" t="s">
        <v>390</v>
      </c>
      <c r="Q58" s="158" t="s">
        <v>160</v>
      </c>
      <c r="R58" s="158" t="s">
        <v>6035</v>
      </c>
      <c r="S58" s="158" t="s">
        <v>159</v>
      </c>
      <c r="T58" s="158" t="s">
        <v>149</v>
      </c>
      <c r="U58" s="158" t="s">
        <v>149</v>
      </c>
      <c r="V58" s="153" t="s">
        <v>450</v>
      </c>
      <c r="W58" s="153" t="s">
        <v>390</v>
      </c>
      <c r="X58" s="153" t="s">
        <v>6035</v>
      </c>
      <c r="Y58" s="153" t="s">
        <v>6055</v>
      </c>
      <c r="Z58" s="153"/>
      <c r="AA58" s="153" t="s">
        <v>6056</v>
      </c>
      <c r="AB58" s="158" t="s">
        <v>395</v>
      </c>
      <c r="AC58" s="153" t="s">
        <v>6060</v>
      </c>
      <c r="AD58" s="158" t="s">
        <v>397</v>
      </c>
      <c r="AE58" s="153" t="s">
        <v>398</v>
      </c>
      <c r="AF58" s="153"/>
      <c r="AG58" s="153"/>
    </row>
    <row r="59">
      <c r="A59" s="238">
        <v>2024.0</v>
      </c>
      <c r="B59" s="230">
        <v>61.0</v>
      </c>
      <c r="C59" s="153" t="s">
        <v>143</v>
      </c>
      <c r="D59" s="153" t="s">
        <v>144</v>
      </c>
      <c r="E59" s="153" t="s">
        <v>463</v>
      </c>
      <c r="F59" s="153" t="s">
        <v>464</v>
      </c>
      <c r="G59" s="153" t="s">
        <v>384</v>
      </c>
      <c r="H59" s="153" t="s">
        <v>7964</v>
      </c>
      <c r="I59" s="230">
        <v>1985.0</v>
      </c>
      <c r="J59" s="230">
        <v>1985.0</v>
      </c>
      <c r="K59" s="230">
        <v>1987.0</v>
      </c>
      <c r="L59" s="153" t="s">
        <v>151</v>
      </c>
      <c r="M59" s="153" t="s">
        <v>469</v>
      </c>
      <c r="N59" s="158" t="s">
        <v>469</v>
      </c>
      <c r="O59" s="158" t="s">
        <v>149</v>
      </c>
      <c r="P59" s="153" t="s">
        <v>390</v>
      </c>
      <c r="Q59" s="158" t="s">
        <v>160</v>
      </c>
      <c r="R59" s="158" t="s">
        <v>6035</v>
      </c>
      <c r="S59" s="158" t="s">
        <v>159</v>
      </c>
      <c r="T59" s="158" t="s">
        <v>149</v>
      </c>
      <c r="U59" s="158" t="s">
        <v>149</v>
      </c>
      <c r="V59" s="153" t="s">
        <v>6314</v>
      </c>
      <c r="W59" s="153" t="s">
        <v>390</v>
      </c>
      <c r="X59" s="153" t="s">
        <v>6035</v>
      </c>
      <c r="Y59" s="153" t="s">
        <v>6055</v>
      </c>
      <c r="Z59" s="153"/>
      <c r="AA59" s="153"/>
      <c r="AB59" s="158" t="s">
        <v>395</v>
      </c>
      <c r="AC59" s="153" t="s">
        <v>6060</v>
      </c>
      <c r="AD59" s="158" t="s">
        <v>397</v>
      </c>
      <c r="AE59" s="153" t="s">
        <v>398</v>
      </c>
      <c r="AF59" s="153"/>
      <c r="AG59" s="153"/>
    </row>
    <row r="60">
      <c r="A60" s="238">
        <v>2024.0</v>
      </c>
      <c r="B60" s="230">
        <v>63.0</v>
      </c>
      <c r="C60" s="153" t="s">
        <v>143</v>
      </c>
      <c r="D60" s="153" t="s">
        <v>144</v>
      </c>
      <c r="E60" s="153" t="s">
        <v>693</v>
      </c>
      <c r="F60" s="153" t="s">
        <v>694</v>
      </c>
      <c r="G60" s="158" t="s">
        <v>149</v>
      </c>
      <c r="H60" s="158"/>
      <c r="I60" s="230">
        <v>1978.0</v>
      </c>
      <c r="J60" s="192" t="s">
        <v>149</v>
      </c>
      <c r="K60" s="192" t="s">
        <v>149</v>
      </c>
      <c r="L60" s="153" t="s">
        <v>151</v>
      </c>
      <c r="M60" s="158" t="s">
        <v>6054</v>
      </c>
      <c r="N60" s="158" t="s">
        <v>6054</v>
      </c>
      <c r="O60" s="153" t="s">
        <v>699</v>
      </c>
      <c r="P60" s="153" t="s">
        <v>2111</v>
      </c>
      <c r="Q60" s="158" t="s">
        <v>6154</v>
      </c>
      <c r="R60" s="158" t="s">
        <v>206</v>
      </c>
      <c r="S60" s="158" t="s">
        <v>159</v>
      </c>
      <c r="T60" s="158" t="s">
        <v>149</v>
      </c>
      <c r="U60" s="158" t="s">
        <v>149</v>
      </c>
      <c r="V60" s="153" t="s">
        <v>2938</v>
      </c>
      <c r="W60" s="158" t="s">
        <v>233</v>
      </c>
      <c r="X60" s="158" t="s">
        <v>6068</v>
      </c>
      <c r="Y60" s="158" t="s">
        <v>6320</v>
      </c>
      <c r="Z60" s="158" t="s">
        <v>6321</v>
      </c>
      <c r="AA60" s="158"/>
      <c r="AB60" s="158" t="s">
        <v>395</v>
      </c>
      <c r="AC60" s="153" t="s">
        <v>6060</v>
      </c>
      <c r="AD60" s="158" t="s">
        <v>397</v>
      </c>
      <c r="AE60" s="153" t="s">
        <v>398</v>
      </c>
      <c r="AF60" s="153"/>
      <c r="AG60" s="153"/>
    </row>
    <row r="61">
      <c r="A61" s="238">
        <v>2024.0</v>
      </c>
      <c r="B61" s="230">
        <v>65.0</v>
      </c>
      <c r="C61" s="153" t="s">
        <v>143</v>
      </c>
      <c r="D61" s="153" t="s">
        <v>144</v>
      </c>
      <c r="E61" s="153" t="s">
        <v>693</v>
      </c>
      <c r="F61" s="153" t="s">
        <v>694</v>
      </c>
      <c r="G61" s="153" t="s">
        <v>729</v>
      </c>
      <c r="H61" s="153"/>
      <c r="I61" s="230">
        <v>2004.0</v>
      </c>
      <c r="J61" s="230">
        <v>2004.0</v>
      </c>
      <c r="K61" s="230">
        <v>2009.0</v>
      </c>
      <c r="L61" s="153" t="s">
        <v>6062</v>
      </c>
      <c r="M61" s="153" t="s">
        <v>730</v>
      </c>
      <c r="N61" s="158" t="s">
        <v>730</v>
      </c>
      <c r="O61" s="158" t="s">
        <v>149</v>
      </c>
      <c r="P61" s="158" t="s">
        <v>149</v>
      </c>
      <c r="Q61" s="158" t="s">
        <v>149</v>
      </c>
      <c r="R61" s="158" t="s">
        <v>149</v>
      </c>
      <c r="S61" s="158" t="s">
        <v>149</v>
      </c>
      <c r="T61" s="158" t="s">
        <v>149</v>
      </c>
      <c r="U61" s="158" t="s">
        <v>149</v>
      </c>
      <c r="V61" s="158" t="s">
        <v>149</v>
      </c>
      <c r="W61" s="158" t="s">
        <v>149</v>
      </c>
      <c r="X61" s="158" t="s">
        <v>149</v>
      </c>
      <c r="Y61" s="153"/>
      <c r="Z61" s="153"/>
      <c r="AA61" s="153"/>
      <c r="AB61" s="153" t="s">
        <v>6084</v>
      </c>
      <c r="AC61" s="153" t="s">
        <v>732</v>
      </c>
      <c r="AD61" s="165" t="s">
        <v>733</v>
      </c>
      <c r="AE61" s="153" t="s">
        <v>734</v>
      </c>
      <c r="AF61" s="153"/>
      <c r="AG61" s="153"/>
    </row>
    <row r="62">
      <c r="A62" s="238">
        <v>2024.0</v>
      </c>
      <c r="B62" s="230">
        <v>66.0</v>
      </c>
      <c r="C62" s="153" t="s">
        <v>143</v>
      </c>
      <c r="D62" s="153" t="s">
        <v>144</v>
      </c>
      <c r="E62" s="153" t="s">
        <v>693</v>
      </c>
      <c r="F62" s="153" t="s">
        <v>694</v>
      </c>
      <c r="G62" s="153" t="s">
        <v>695</v>
      </c>
      <c r="H62" s="153" t="s">
        <v>7965</v>
      </c>
      <c r="I62" s="230">
        <v>1991.0</v>
      </c>
      <c r="J62" s="192">
        <v>1991.0</v>
      </c>
      <c r="K62" s="192">
        <v>1991.0</v>
      </c>
      <c r="L62" s="153" t="s">
        <v>151</v>
      </c>
      <c r="M62" s="153" t="s">
        <v>697</v>
      </c>
      <c r="N62" s="158" t="s">
        <v>697</v>
      </c>
      <c r="O62" s="153" t="s">
        <v>699</v>
      </c>
      <c r="P62" s="158" t="s">
        <v>695</v>
      </c>
      <c r="Q62" s="158" t="s">
        <v>6154</v>
      </c>
      <c r="R62" s="158" t="s">
        <v>206</v>
      </c>
      <c r="S62" s="158" t="s">
        <v>204</v>
      </c>
      <c r="T62" s="158" t="s">
        <v>149</v>
      </c>
      <c r="U62" s="158" t="s">
        <v>149</v>
      </c>
      <c r="V62" s="158" t="s">
        <v>700</v>
      </c>
      <c r="W62" s="153" t="s">
        <v>233</v>
      </c>
      <c r="X62" s="158" t="s">
        <v>6068</v>
      </c>
      <c r="Y62" s="153"/>
      <c r="Z62" s="153"/>
      <c r="AA62" s="153"/>
      <c r="AB62" s="158" t="s">
        <v>6214</v>
      </c>
      <c r="AC62" s="153" t="s">
        <v>701</v>
      </c>
      <c r="AD62" s="153" t="s">
        <v>6334</v>
      </c>
      <c r="AE62" s="153" t="s">
        <v>703</v>
      </c>
      <c r="AF62" s="153"/>
      <c r="AG62" s="153"/>
    </row>
    <row r="63">
      <c r="A63" s="238">
        <v>2024.0</v>
      </c>
      <c r="B63" s="230">
        <v>67.0</v>
      </c>
      <c r="C63" s="153" t="s">
        <v>143</v>
      </c>
      <c r="D63" s="153" t="s">
        <v>144</v>
      </c>
      <c r="E63" s="153" t="s">
        <v>693</v>
      </c>
      <c r="F63" s="153" t="s">
        <v>694</v>
      </c>
      <c r="G63" s="153" t="s">
        <v>1377</v>
      </c>
      <c r="H63" s="153" t="s">
        <v>7966</v>
      </c>
      <c r="I63" s="230">
        <v>1994.0</v>
      </c>
      <c r="J63" s="230">
        <v>1994.0</v>
      </c>
      <c r="K63" s="230">
        <v>1995.0</v>
      </c>
      <c r="L63" s="153" t="s">
        <v>6062</v>
      </c>
      <c r="M63" s="153" t="s">
        <v>179</v>
      </c>
      <c r="N63" s="158" t="s">
        <v>179</v>
      </c>
      <c r="O63" s="153" t="s">
        <v>7967</v>
      </c>
      <c r="P63" s="153" t="s">
        <v>1381</v>
      </c>
      <c r="Q63" s="158" t="s">
        <v>6154</v>
      </c>
      <c r="R63" s="158" t="s">
        <v>206</v>
      </c>
      <c r="S63" s="158" t="s">
        <v>204</v>
      </c>
      <c r="T63" s="158" t="s">
        <v>149</v>
      </c>
      <c r="U63" s="158" t="s">
        <v>149</v>
      </c>
      <c r="V63" s="158" t="s">
        <v>149</v>
      </c>
      <c r="W63" s="153" t="s">
        <v>233</v>
      </c>
      <c r="X63" s="158" t="s">
        <v>6068</v>
      </c>
      <c r="Y63" s="153" t="s">
        <v>660</v>
      </c>
      <c r="Z63" s="153"/>
      <c r="AA63" s="153"/>
      <c r="AB63" s="158" t="s">
        <v>6214</v>
      </c>
      <c r="AC63" s="153" t="s">
        <v>1513</v>
      </c>
      <c r="AD63" s="165" t="s">
        <v>6341</v>
      </c>
      <c r="AE63" s="153" t="s">
        <v>1068</v>
      </c>
      <c r="AF63" s="153"/>
      <c r="AG63" s="153"/>
    </row>
    <row r="64">
      <c r="A64" s="238">
        <v>2024.0</v>
      </c>
      <c r="B64" s="230">
        <v>68.0</v>
      </c>
      <c r="C64" s="153" t="s">
        <v>143</v>
      </c>
      <c r="D64" s="153" t="s">
        <v>144</v>
      </c>
      <c r="E64" s="153" t="s">
        <v>693</v>
      </c>
      <c r="F64" s="153" t="s">
        <v>694</v>
      </c>
      <c r="G64" s="158" t="s">
        <v>149</v>
      </c>
      <c r="H64" s="158" t="s">
        <v>2941</v>
      </c>
      <c r="I64" s="192">
        <v>1980.0</v>
      </c>
      <c r="J64" s="230">
        <v>1980.0</v>
      </c>
      <c r="K64" s="230">
        <v>1982.0</v>
      </c>
      <c r="L64" s="153" t="s">
        <v>6062</v>
      </c>
      <c r="M64" s="153" t="s">
        <v>179</v>
      </c>
      <c r="N64" s="158" t="s">
        <v>179</v>
      </c>
      <c r="O64" s="153" t="s">
        <v>7968</v>
      </c>
      <c r="P64" s="158" t="s">
        <v>149</v>
      </c>
      <c r="Q64" s="158" t="s">
        <v>149</v>
      </c>
      <c r="R64" s="158" t="s">
        <v>149</v>
      </c>
      <c r="S64" s="158" t="s">
        <v>204</v>
      </c>
      <c r="T64" s="158" t="s">
        <v>149</v>
      </c>
      <c r="U64" s="158" t="s">
        <v>149</v>
      </c>
      <c r="V64" s="158" t="s">
        <v>149</v>
      </c>
      <c r="W64" s="153" t="s">
        <v>233</v>
      </c>
      <c r="X64" s="158" t="s">
        <v>6068</v>
      </c>
      <c r="Y64" s="153"/>
      <c r="Z64" s="153"/>
      <c r="AA64" s="153"/>
      <c r="AB64" s="158" t="s">
        <v>6214</v>
      </c>
      <c r="AC64" s="153" t="s">
        <v>2943</v>
      </c>
      <c r="AD64" s="177" t="s">
        <v>2944</v>
      </c>
      <c r="AE64" s="153" t="s">
        <v>1068</v>
      </c>
      <c r="AF64" s="153"/>
      <c r="AG64" s="153"/>
    </row>
    <row r="65">
      <c r="A65" s="238">
        <v>2024.0</v>
      </c>
      <c r="B65" s="230">
        <v>69.0</v>
      </c>
      <c r="C65" s="153" t="s">
        <v>143</v>
      </c>
      <c r="D65" s="153" t="s">
        <v>144</v>
      </c>
      <c r="E65" s="153" t="s">
        <v>693</v>
      </c>
      <c r="F65" s="153" t="s">
        <v>694</v>
      </c>
      <c r="G65" s="158" t="s">
        <v>149</v>
      </c>
      <c r="H65" s="153" t="s">
        <v>7969</v>
      </c>
      <c r="I65" s="230">
        <v>1983.0</v>
      </c>
      <c r="J65" s="192">
        <v>1983.0</v>
      </c>
      <c r="K65" s="192">
        <v>1984.0</v>
      </c>
      <c r="L65" s="153" t="s">
        <v>6062</v>
      </c>
      <c r="M65" s="153" t="s">
        <v>179</v>
      </c>
      <c r="N65" s="158" t="s">
        <v>179</v>
      </c>
      <c r="O65" s="158" t="s">
        <v>2947</v>
      </c>
      <c r="P65" s="158" t="s">
        <v>321</v>
      </c>
      <c r="Q65" s="158" t="s">
        <v>160</v>
      </c>
      <c r="R65" s="158" t="s">
        <v>6035</v>
      </c>
      <c r="S65" s="158" t="s">
        <v>204</v>
      </c>
      <c r="T65" s="158" t="s">
        <v>149</v>
      </c>
      <c r="U65" s="158" t="s">
        <v>149</v>
      </c>
      <c r="V65" s="158" t="s">
        <v>149</v>
      </c>
      <c r="W65" s="153" t="s">
        <v>233</v>
      </c>
      <c r="X65" s="158" t="s">
        <v>6068</v>
      </c>
      <c r="Y65" s="153"/>
      <c r="Z65" s="153"/>
      <c r="AA65" s="153"/>
      <c r="AB65" s="158" t="s">
        <v>6214</v>
      </c>
      <c r="AC65" s="153" t="s">
        <v>2948</v>
      </c>
      <c r="AD65" s="177" t="s">
        <v>2949</v>
      </c>
      <c r="AE65" s="153" t="s">
        <v>1068</v>
      </c>
      <c r="AF65" s="153"/>
      <c r="AG65" s="153"/>
    </row>
    <row r="66">
      <c r="A66" s="238">
        <v>2024.0</v>
      </c>
      <c r="B66" s="230">
        <v>70.0</v>
      </c>
      <c r="C66" s="153" t="s">
        <v>143</v>
      </c>
      <c r="D66" s="153" t="s">
        <v>144</v>
      </c>
      <c r="E66" s="153" t="s">
        <v>693</v>
      </c>
      <c r="F66" s="153" t="s">
        <v>694</v>
      </c>
      <c r="G66" s="158" t="s">
        <v>149</v>
      </c>
      <c r="H66" s="153" t="s">
        <v>7970</v>
      </c>
      <c r="I66" s="192">
        <v>1996.0</v>
      </c>
      <c r="J66" s="192">
        <v>1996.0</v>
      </c>
      <c r="K66" s="192">
        <v>1998.0</v>
      </c>
      <c r="L66" s="153" t="s">
        <v>6062</v>
      </c>
      <c r="M66" s="153" t="s">
        <v>6357</v>
      </c>
      <c r="N66" s="158" t="s">
        <v>179</v>
      </c>
      <c r="O66" s="153" t="s">
        <v>7971</v>
      </c>
      <c r="P66" s="158" t="s">
        <v>2953</v>
      </c>
      <c r="Q66" s="158" t="s">
        <v>6154</v>
      </c>
      <c r="R66" s="158" t="s">
        <v>206</v>
      </c>
      <c r="S66" s="158" t="s">
        <v>204</v>
      </c>
      <c r="T66" s="158" t="s">
        <v>149</v>
      </c>
      <c r="U66" s="158" t="s">
        <v>149</v>
      </c>
      <c r="V66" s="158" t="s">
        <v>149</v>
      </c>
      <c r="W66" s="153" t="s">
        <v>233</v>
      </c>
      <c r="X66" s="158" t="s">
        <v>6068</v>
      </c>
      <c r="Y66" s="153"/>
      <c r="Z66" s="153"/>
      <c r="AA66" s="153"/>
      <c r="AB66" s="158" t="s">
        <v>6214</v>
      </c>
      <c r="AC66" s="153" t="s">
        <v>2954</v>
      </c>
      <c r="AD66" s="165" t="s">
        <v>6359</v>
      </c>
      <c r="AE66" s="153" t="s">
        <v>1068</v>
      </c>
      <c r="AF66" s="153"/>
      <c r="AG66" s="153"/>
    </row>
    <row r="67">
      <c r="A67" s="238">
        <v>2024.0</v>
      </c>
      <c r="B67" s="230">
        <v>71.0</v>
      </c>
      <c r="C67" s="153" t="s">
        <v>143</v>
      </c>
      <c r="D67" s="153" t="s">
        <v>144</v>
      </c>
      <c r="E67" s="153" t="s">
        <v>693</v>
      </c>
      <c r="F67" s="153" t="s">
        <v>694</v>
      </c>
      <c r="G67" s="158" t="s">
        <v>149</v>
      </c>
      <c r="H67" s="153" t="s">
        <v>7972</v>
      </c>
      <c r="I67" s="192">
        <v>1998.0</v>
      </c>
      <c r="J67" s="192">
        <v>1998.0</v>
      </c>
      <c r="K67" s="192">
        <v>1998.0</v>
      </c>
      <c r="L67" s="153" t="s">
        <v>6062</v>
      </c>
      <c r="M67" s="153" t="s">
        <v>7973</v>
      </c>
      <c r="N67" s="158" t="s">
        <v>2958</v>
      </c>
      <c r="O67" s="153" t="s">
        <v>7974</v>
      </c>
      <c r="P67" s="158" t="s">
        <v>149</v>
      </c>
      <c r="Q67" s="158" t="s">
        <v>149</v>
      </c>
      <c r="R67" s="158" t="s">
        <v>149</v>
      </c>
      <c r="S67" s="158" t="s">
        <v>149</v>
      </c>
      <c r="T67" s="158" t="s">
        <v>149</v>
      </c>
      <c r="U67" s="158" t="s">
        <v>149</v>
      </c>
      <c r="V67" s="158" t="s">
        <v>149</v>
      </c>
      <c r="W67" s="153" t="s">
        <v>233</v>
      </c>
      <c r="X67" s="158" t="s">
        <v>6068</v>
      </c>
      <c r="Y67" s="153"/>
      <c r="Z67" s="153"/>
      <c r="AA67" s="153"/>
      <c r="AB67" s="158" t="s">
        <v>6214</v>
      </c>
      <c r="AC67" s="153" t="s">
        <v>2960</v>
      </c>
      <c r="AD67" s="165" t="s">
        <v>6366</v>
      </c>
      <c r="AE67" s="153" t="s">
        <v>1068</v>
      </c>
      <c r="AF67" s="153"/>
      <c r="AG67" s="153"/>
    </row>
    <row r="68">
      <c r="A68" s="238">
        <v>2024.0</v>
      </c>
      <c r="B68" s="230">
        <v>72.0</v>
      </c>
      <c r="C68" s="153" t="s">
        <v>143</v>
      </c>
      <c r="D68" s="153" t="s">
        <v>144</v>
      </c>
      <c r="E68" s="153" t="s">
        <v>693</v>
      </c>
      <c r="F68" s="153" t="s">
        <v>694</v>
      </c>
      <c r="G68" s="153" t="s">
        <v>1846</v>
      </c>
      <c r="H68" s="158"/>
      <c r="I68" s="230">
        <v>2014.0</v>
      </c>
      <c r="J68" s="230">
        <v>2014.0</v>
      </c>
      <c r="K68" s="230">
        <v>2017.0</v>
      </c>
      <c r="L68" s="153" t="s">
        <v>6221</v>
      </c>
      <c r="M68" s="158" t="s">
        <v>1847</v>
      </c>
      <c r="N68" s="158" t="s">
        <v>1847</v>
      </c>
      <c r="O68" s="153" t="s">
        <v>1848</v>
      </c>
      <c r="P68" s="153" t="s">
        <v>321</v>
      </c>
      <c r="Q68" s="158" t="s">
        <v>160</v>
      </c>
      <c r="R68" s="158" t="s">
        <v>6035</v>
      </c>
      <c r="S68" s="158" t="s">
        <v>204</v>
      </c>
      <c r="T68" s="240">
        <v>2682661.5</v>
      </c>
      <c r="U68" s="158" t="s">
        <v>149</v>
      </c>
      <c r="V68" s="158" t="s">
        <v>149</v>
      </c>
      <c r="W68" s="153" t="s">
        <v>233</v>
      </c>
      <c r="X68" s="158" t="s">
        <v>6068</v>
      </c>
      <c r="Y68" s="153" t="s">
        <v>1854</v>
      </c>
      <c r="Z68" s="153" t="s">
        <v>885</v>
      </c>
      <c r="AA68" s="153"/>
      <c r="AB68" s="153" t="s">
        <v>6084</v>
      </c>
      <c r="AC68" s="153" t="s">
        <v>1851</v>
      </c>
      <c r="AD68" s="153" t="s">
        <v>6070</v>
      </c>
      <c r="AE68" s="153" t="s">
        <v>943</v>
      </c>
      <c r="AF68" s="153"/>
      <c r="AG68" s="153"/>
    </row>
    <row r="69">
      <c r="A69" s="238">
        <v>2024.0</v>
      </c>
      <c r="B69" s="230">
        <v>73.0</v>
      </c>
      <c r="C69" s="153" t="s">
        <v>143</v>
      </c>
      <c r="D69" s="153" t="s">
        <v>144</v>
      </c>
      <c r="E69" s="153" t="s">
        <v>693</v>
      </c>
      <c r="F69" s="153" t="s">
        <v>694</v>
      </c>
      <c r="G69" s="153" t="s">
        <v>1828</v>
      </c>
      <c r="H69" s="153" t="s">
        <v>6256</v>
      </c>
      <c r="I69" s="230">
        <v>2014.0</v>
      </c>
      <c r="J69" s="230">
        <v>2014.0</v>
      </c>
      <c r="K69" s="230">
        <v>2017.0</v>
      </c>
      <c r="L69" s="153" t="s">
        <v>6221</v>
      </c>
      <c r="M69" s="158" t="s">
        <v>1830</v>
      </c>
      <c r="N69" s="158" t="s">
        <v>1830</v>
      </c>
      <c r="O69" s="153" t="s">
        <v>1831</v>
      </c>
      <c r="P69" s="153" t="s">
        <v>321</v>
      </c>
      <c r="Q69" s="158" t="s">
        <v>160</v>
      </c>
      <c r="R69" s="158" t="s">
        <v>6035</v>
      </c>
      <c r="S69" s="158" t="s">
        <v>204</v>
      </c>
      <c r="T69" s="240">
        <v>2803661.28</v>
      </c>
      <c r="U69" s="158" t="s">
        <v>149</v>
      </c>
      <c r="V69" s="158" t="s">
        <v>149</v>
      </c>
      <c r="W69" s="153" t="s">
        <v>233</v>
      </c>
      <c r="X69" s="158" t="s">
        <v>6068</v>
      </c>
      <c r="Y69" s="153" t="s">
        <v>1837</v>
      </c>
      <c r="Z69" s="153"/>
      <c r="AA69" s="153"/>
      <c r="AB69" s="153" t="s">
        <v>6084</v>
      </c>
      <c r="AC69" s="153" t="s">
        <v>1834</v>
      </c>
      <c r="AD69" s="153" t="s">
        <v>6070</v>
      </c>
      <c r="AE69" s="153" t="s">
        <v>943</v>
      </c>
      <c r="AF69" s="153"/>
      <c r="AG69" s="153"/>
    </row>
    <row r="70">
      <c r="A70" s="238">
        <v>2024.0</v>
      </c>
      <c r="B70" s="230">
        <v>74.0</v>
      </c>
      <c r="C70" s="153" t="s">
        <v>143</v>
      </c>
      <c r="D70" s="153" t="s">
        <v>144</v>
      </c>
      <c r="E70" s="153" t="s">
        <v>693</v>
      </c>
      <c r="F70" s="153" t="s">
        <v>694</v>
      </c>
      <c r="G70" s="158" t="s">
        <v>149</v>
      </c>
      <c r="H70" s="153" t="s">
        <v>7975</v>
      </c>
      <c r="I70" s="192">
        <v>2004.0</v>
      </c>
      <c r="J70" s="192">
        <v>2004.0</v>
      </c>
      <c r="K70" s="192">
        <v>2004.0</v>
      </c>
      <c r="L70" s="158" t="s">
        <v>6259</v>
      </c>
      <c r="M70" s="158" t="s">
        <v>2964</v>
      </c>
      <c r="N70" s="158" t="s">
        <v>2964</v>
      </c>
      <c r="O70" s="153" t="s">
        <v>2965</v>
      </c>
      <c r="P70" s="158" t="s">
        <v>2966</v>
      </c>
      <c r="Q70" s="158" t="s">
        <v>160</v>
      </c>
      <c r="R70" s="158" t="s">
        <v>184</v>
      </c>
      <c r="S70" s="158" t="s">
        <v>204</v>
      </c>
      <c r="T70" s="241" t="s">
        <v>149</v>
      </c>
      <c r="U70" s="158" t="s">
        <v>149</v>
      </c>
      <c r="V70" s="158" t="s">
        <v>2967</v>
      </c>
      <c r="W70" s="153" t="s">
        <v>233</v>
      </c>
      <c r="X70" s="158" t="s">
        <v>6068</v>
      </c>
      <c r="Y70" s="153"/>
      <c r="Z70" s="153"/>
      <c r="AA70" s="153"/>
      <c r="AB70" s="158" t="s">
        <v>6214</v>
      </c>
      <c r="AC70" s="153" t="s">
        <v>2968</v>
      </c>
      <c r="AD70" s="165" t="s">
        <v>2969</v>
      </c>
      <c r="AE70" s="153" t="s">
        <v>2970</v>
      </c>
      <c r="AF70" s="153"/>
      <c r="AG70" s="153"/>
    </row>
    <row r="71">
      <c r="A71" s="238">
        <v>2024.0</v>
      </c>
      <c r="B71" s="230">
        <v>75.0</v>
      </c>
      <c r="C71" s="153" t="s">
        <v>143</v>
      </c>
      <c r="D71" s="153" t="s">
        <v>144</v>
      </c>
      <c r="E71" s="153" t="s">
        <v>693</v>
      </c>
      <c r="F71" s="153" t="s">
        <v>694</v>
      </c>
      <c r="G71" s="158" t="s">
        <v>149</v>
      </c>
      <c r="H71" s="153" t="s">
        <v>7976</v>
      </c>
      <c r="I71" s="192">
        <v>2018.0</v>
      </c>
      <c r="J71" s="192">
        <v>2018.0</v>
      </c>
      <c r="K71" s="192">
        <v>2018.0</v>
      </c>
      <c r="L71" s="158" t="s">
        <v>6259</v>
      </c>
      <c r="M71" s="153" t="s">
        <v>7977</v>
      </c>
      <c r="N71" s="153"/>
      <c r="O71" s="153" t="s">
        <v>2973</v>
      </c>
      <c r="P71" s="158" t="s">
        <v>2974</v>
      </c>
      <c r="Q71" s="158" t="s">
        <v>160</v>
      </c>
      <c r="R71" s="158" t="s">
        <v>209</v>
      </c>
      <c r="S71" s="158" t="s">
        <v>204</v>
      </c>
      <c r="T71" s="241" t="s">
        <v>149</v>
      </c>
      <c r="U71" s="158" t="s">
        <v>149</v>
      </c>
      <c r="V71" s="158" t="s">
        <v>149</v>
      </c>
      <c r="W71" s="158" t="s">
        <v>233</v>
      </c>
      <c r="X71" s="158" t="s">
        <v>6068</v>
      </c>
      <c r="Y71" s="153" t="s">
        <v>321</v>
      </c>
      <c r="Z71" s="153"/>
      <c r="AA71" s="153"/>
      <c r="AB71" s="158" t="s">
        <v>6214</v>
      </c>
      <c r="AC71" s="153" t="s">
        <v>2975</v>
      </c>
      <c r="AD71" s="165" t="s">
        <v>2976</v>
      </c>
      <c r="AE71" s="153" t="s">
        <v>2977</v>
      </c>
      <c r="AF71" s="153"/>
      <c r="AG71" s="153"/>
    </row>
    <row r="72">
      <c r="A72" s="238">
        <v>2024.0</v>
      </c>
      <c r="B72" s="230">
        <v>76.0</v>
      </c>
      <c r="C72" s="153" t="s">
        <v>143</v>
      </c>
      <c r="D72" s="153" t="s">
        <v>144</v>
      </c>
      <c r="E72" s="153" t="s">
        <v>693</v>
      </c>
      <c r="F72" s="153" t="s">
        <v>694</v>
      </c>
      <c r="G72" s="158" t="s">
        <v>149</v>
      </c>
      <c r="H72" s="153" t="s">
        <v>7978</v>
      </c>
      <c r="I72" s="192">
        <v>2005.0</v>
      </c>
      <c r="J72" s="192">
        <v>2005.0</v>
      </c>
      <c r="K72" s="192">
        <v>2006.0</v>
      </c>
      <c r="L72" s="153" t="s">
        <v>6062</v>
      </c>
      <c r="M72" s="158" t="s">
        <v>2980</v>
      </c>
      <c r="N72" s="158" t="s">
        <v>2980</v>
      </c>
      <c r="O72" s="153" t="s">
        <v>7979</v>
      </c>
      <c r="P72" s="158" t="s">
        <v>2982</v>
      </c>
      <c r="Q72" s="158" t="s">
        <v>6154</v>
      </c>
      <c r="R72" s="158" t="s">
        <v>206</v>
      </c>
      <c r="S72" s="158" t="s">
        <v>204</v>
      </c>
      <c r="T72" s="241" t="s">
        <v>149</v>
      </c>
      <c r="U72" s="158" t="s">
        <v>149</v>
      </c>
      <c r="V72" s="158" t="s">
        <v>2983</v>
      </c>
      <c r="W72" s="158" t="s">
        <v>233</v>
      </c>
      <c r="X72" s="158" t="s">
        <v>6068</v>
      </c>
      <c r="Y72" s="153"/>
      <c r="Z72" s="153"/>
      <c r="AA72" s="153"/>
      <c r="AB72" s="158" t="s">
        <v>6214</v>
      </c>
      <c r="AC72" s="153" t="s">
        <v>2984</v>
      </c>
      <c r="AD72" s="172" t="s">
        <v>2985</v>
      </c>
      <c r="AE72" s="153" t="s">
        <v>2986</v>
      </c>
      <c r="AF72" s="153"/>
      <c r="AG72" s="153"/>
    </row>
    <row r="73">
      <c r="A73" s="238">
        <v>2024.0</v>
      </c>
      <c r="B73" s="230">
        <v>77.0</v>
      </c>
      <c r="C73" s="153" t="s">
        <v>143</v>
      </c>
      <c r="D73" s="153" t="s">
        <v>144</v>
      </c>
      <c r="E73" s="153" t="s">
        <v>693</v>
      </c>
      <c r="F73" s="153" t="s">
        <v>694</v>
      </c>
      <c r="G73" s="158" t="s">
        <v>6397</v>
      </c>
      <c r="H73" s="153" t="s">
        <v>7980</v>
      </c>
      <c r="I73" s="230">
        <v>2005.0</v>
      </c>
      <c r="J73" s="230">
        <v>2005.0</v>
      </c>
      <c r="K73" s="192" t="s">
        <v>149</v>
      </c>
      <c r="L73" s="153" t="s">
        <v>6062</v>
      </c>
      <c r="M73" s="153" t="s">
        <v>7981</v>
      </c>
      <c r="N73" s="153" t="s">
        <v>7982</v>
      </c>
      <c r="O73" s="153" t="s">
        <v>1019</v>
      </c>
      <c r="P73" s="153" t="s">
        <v>1020</v>
      </c>
      <c r="Q73" s="158" t="s">
        <v>6154</v>
      </c>
      <c r="R73" s="158" t="s">
        <v>206</v>
      </c>
      <c r="S73" s="158" t="s">
        <v>204</v>
      </c>
      <c r="T73" s="241" t="s">
        <v>149</v>
      </c>
      <c r="U73" s="158" t="s">
        <v>149</v>
      </c>
      <c r="V73" s="158" t="s">
        <v>1021</v>
      </c>
      <c r="W73" s="158" t="s">
        <v>233</v>
      </c>
      <c r="X73" s="158" t="s">
        <v>6068</v>
      </c>
      <c r="Y73" s="153"/>
      <c r="Z73" s="153" t="s">
        <v>1022</v>
      </c>
      <c r="AA73" s="153"/>
      <c r="AB73" s="158" t="s">
        <v>6214</v>
      </c>
      <c r="AC73" s="153" t="s">
        <v>1023</v>
      </c>
      <c r="AD73" s="172" t="s">
        <v>1024</v>
      </c>
      <c r="AE73" s="153" t="s">
        <v>1025</v>
      </c>
      <c r="AF73" s="165" t="s">
        <v>1026</v>
      </c>
      <c r="AG73" s="153"/>
    </row>
    <row r="74">
      <c r="A74" s="238">
        <v>2024.0</v>
      </c>
      <c r="B74" s="230">
        <v>78.0</v>
      </c>
      <c r="C74" s="153" t="s">
        <v>143</v>
      </c>
      <c r="D74" s="153" t="s">
        <v>144</v>
      </c>
      <c r="E74" s="153" t="s">
        <v>693</v>
      </c>
      <c r="F74" s="153" t="s">
        <v>694</v>
      </c>
      <c r="G74" s="158" t="s">
        <v>6397</v>
      </c>
      <c r="H74" s="153" t="s">
        <v>7983</v>
      </c>
      <c r="I74" s="230">
        <v>2005.0</v>
      </c>
      <c r="J74" s="192">
        <v>2005.0</v>
      </c>
      <c r="K74" s="192">
        <v>2007.0</v>
      </c>
      <c r="L74" s="153" t="s">
        <v>6062</v>
      </c>
      <c r="M74" s="153" t="s">
        <v>1029</v>
      </c>
      <c r="N74" s="158" t="s">
        <v>1029</v>
      </c>
      <c r="O74" s="153" t="s">
        <v>1030</v>
      </c>
      <c r="P74" s="158" t="s">
        <v>1020</v>
      </c>
      <c r="Q74" s="158" t="s">
        <v>6154</v>
      </c>
      <c r="R74" s="158" t="s">
        <v>206</v>
      </c>
      <c r="S74" s="158" t="s">
        <v>204</v>
      </c>
      <c r="T74" s="241" t="s">
        <v>149</v>
      </c>
      <c r="U74" s="158" t="s">
        <v>149</v>
      </c>
      <c r="V74" s="153" t="s">
        <v>1031</v>
      </c>
      <c r="W74" s="158" t="s">
        <v>1032</v>
      </c>
      <c r="X74" s="158" t="s">
        <v>6068</v>
      </c>
      <c r="Y74" s="158" t="s">
        <v>233</v>
      </c>
      <c r="Z74" s="153" t="s">
        <v>1022</v>
      </c>
      <c r="AA74" s="153"/>
      <c r="AB74" s="158" t="s">
        <v>6214</v>
      </c>
      <c r="AC74" s="153" t="s">
        <v>1033</v>
      </c>
      <c r="AD74" s="165" t="s">
        <v>1034</v>
      </c>
      <c r="AE74" s="153" t="s">
        <v>1025</v>
      </c>
      <c r="AF74" s="165" t="s">
        <v>1026</v>
      </c>
      <c r="AG74" s="153"/>
    </row>
    <row r="75">
      <c r="A75" s="238">
        <v>2024.0</v>
      </c>
      <c r="B75" s="230">
        <v>79.0</v>
      </c>
      <c r="C75" s="153" t="s">
        <v>143</v>
      </c>
      <c r="D75" s="153" t="s">
        <v>144</v>
      </c>
      <c r="E75" s="153" t="s">
        <v>693</v>
      </c>
      <c r="F75" s="153" t="s">
        <v>694</v>
      </c>
      <c r="G75" s="158" t="s">
        <v>6397</v>
      </c>
      <c r="H75" s="153" t="s">
        <v>6408</v>
      </c>
      <c r="I75" s="230">
        <v>2007.0</v>
      </c>
      <c r="J75" s="192">
        <v>2007.0</v>
      </c>
      <c r="K75" s="230">
        <v>2007.0</v>
      </c>
      <c r="L75" s="153" t="s">
        <v>7984</v>
      </c>
      <c r="M75" s="158" t="s">
        <v>1055</v>
      </c>
      <c r="N75" s="158" t="s">
        <v>1055</v>
      </c>
      <c r="O75" s="153" t="s">
        <v>1056</v>
      </c>
      <c r="P75" s="153" t="s">
        <v>1020</v>
      </c>
      <c r="Q75" s="158" t="s">
        <v>6154</v>
      </c>
      <c r="R75" s="158" t="s">
        <v>206</v>
      </c>
      <c r="S75" s="158" t="s">
        <v>204</v>
      </c>
      <c r="T75" s="241" t="s">
        <v>149</v>
      </c>
      <c r="U75" s="158" t="s">
        <v>149</v>
      </c>
      <c r="V75" s="158" t="s">
        <v>1057</v>
      </c>
      <c r="W75" s="153" t="s">
        <v>233</v>
      </c>
      <c r="X75" s="158" t="s">
        <v>6068</v>
      </c>
      <c r="Y75" s="153"/>
      <c r="Z75" s="153" t="s">
        <v>7985</v>
      </c>
      <c r="AA75" s="153"/>
      <c r="AB75" s="158" t="s">
        <v>6214</v>
      </c>
      <c r="AC75" s="153" t="s">
        <v>1059</v>
      </c>
      <c r="AD75" s="172" t="s">
        <v>1060</v>
      </c>
      <c r="AE75" s="153" t="s">
        <v>1061</v>
      </c>
      <c r="AF75" s="239"/>
      <c r="AG75" s="153"/>
    </row>
    <row r="76">
      <c r="A76" s="238">
        <v>2024.0</v>
      </c>
      <c r="B76" s="230">
        <v>80.0</v>
      </c>
      <c r="C76" s="153" t="s">
        <v>143</v>
      </c>
      <c r="D76" s="153" t="s">
        <v>144</v>
      </c>
      <c r="E76" s="153" t="s">
        <v>693</v>
      </c>
      <c r="F76" s="153" t="s">
        <v>694</v>
      </c>
      <c r="G76" s="158" t="s">
        <v>6397</v>
      </c>
      <c r="H76" s="153" t="s">
        <v>7986</v>
      </c>
      <c r="I76" s="192">
        <v>2007.0</v>
      </c>
      <c r="J76" s="192">
        <v>2007.0</v>
      </c>
      <c r="K76" s="192">
        <v>2008.0</v>
      </c>
      <c r="L76" s="153" t="s">
        <v>6062</v>
      </c>
      <c r="M76" s="158" t="s">
        <v>1038</v>
      </c>
      <c r="N76" s="158" t="s">
        <v>1038</v>
      </c>
      <c r="O76" s="153" t="s">
        <v>1039</v>
      </c>
      <c r="P76" s="153" t="s">
        <v>1020</v>
      </c>
      <c r="Q76" s="158" t="s">
        <v>6154</v>
      </c>
      <c r="R76" s="158" t="s">
        <v>206</v>
      </c>
      <c r="S76" s="158" t="s">
        <v>204</v>
      </c>
      <c r="T76" s="241" t="s">
        <v>149</v>
      </c>
      <c r="U76" s="158" t="s">
        <v>149</v>
      </c>
      <c r="V76" s="158" t="s">
        <v>6416</v>
      </c>
      <c r="W76" s="158" t="s">
        <v>1032</v>
      </c>
      <c r="X76" s="158" t="s">
        <v>6068</v>
      </c>
      <c r="Y76" s="158" t="s">
        <v>233</v>
      </c>
      <c r="Z76" s="153" t="s">
        <v>1022</v>
      </c>
      <c r="AA76" s="153"/>
      <c r="AB76" s="158" t="s">
        <v>6214</v>
      </c>
      <c r="AC76" s="153" t="s">
        <v>1041</v>
      </c>
      <c r="AD76" s="172" t="s">
        <v>1042</v>
      </c>
      <c r="AE76" s="153" t="s">
        <v>1043</v>
      </c>
      <c r="AF76" s="165" t="s">
        <v>1044</v>
      </c>
      <c r="AG76" s="153"/>
    </row>
    <row r="77">
      <c r="A77" s="238">
        <v>2024.0</v>
      </c>
      <c r="B77" s="230">
        <v>81.0</v>
      </c>
      <c r="C77" s="153" t="s">
        <v>143</v>
      </c>
      <c r="D77" s="153" t="s">
        <v>144</v>
      </c>
      <c r="E77" s="153" t="s">
        <v>693</v>
      </c>
      <c r="F77" s="153" t="s">
        <v>694</v>
      </c>
      <c r="G77" s="153" t="s">
        <v>6397</v>
      </c>
      <c r="H77" s="153" t="s">
        <v>6421</v>
      </c>
      <c r="I77" s="192">
        <v>2006.0</v>
      </c>
      <c r="J77" s="192">
        <v>2007.0</v>
      </c>
      <c r="K77" s="192">
        <v>2007.0</v>
      </c>
      <c r="L77" s="153" t="s">
        <v>6062</v>
      </c>
      <c r="M77" s="158" t="s">
        <v>1064</v>
      </c>
      <c r="N77" s="158" t="s">
        <v>1064</v>
      </c>
      <c r="O77" s="153" t="s">
        <v>7987</v>
      </c>
      <c r="P77" s="153" t="s">
        <v>1020</v>
      </c>
      <c r="Q77" s="158" t="s">
        <v>6154</v>
      </c>
      <c r="R77" s="158" t="s">
        <v>206</v>
      </c>
      <c r="S77" s="158" t="s">
        <v>204</v>
      </c>
      <c r="T77" s="241" t="s">
        <v>149</v>
      </c>
      <c r="U77" s="158" t="s">
        <v>149</v>
      </c>
      <c r="V77" s="158" t="s">
        <v>149</v>
      </c>
      <c r="W77" s="153" t="s">
        <v>233</v>
      </c>
      <c r="X77" s="158" t="s">
        <v>6068</v>
      </c>
      <c r="Y77" s="153"/>
      <c r="Z77" s="153"/>
      <c r="AA77" s="153"/>
      <c r="AB77" s="158" t="s">
        <v>6214</v>
      </c>
      <c r="AC77" s="153" t="s">
        <v>1066</v>
      </c>
      <c r="AD77" s="172" t="s">
        <v>1067</v>
      </c>
      <c r="AE77" s="153" t="s">
        <v>1068</v>
      </c>
      <c r="AF77" s="239"/>
      <c r="AG77" s="153"/>
    </row>
    <row r="78">
      <c r="A78" s="238">
        <v>2024.0</v>
      </c>
      <c r="B78" s="230">
        <v>82.0</v>
      </c>
      <c r="C78" s="153" t="s">
        <v>143</v>
      </c>
      <c r="D78" s="153" t="s">
        <v>144</v>
      </c>
      <c r="E78" s="153" t="s">
        <v>693</v>
      </c>
      <c r="F78" s="153" t="s">
        <v>694</v>
      </c>
      <c r="G78" s="153" t="s">
        <v>1022</v>
      </c>
      <c r="H78" s="153" t="s">
        <v>7988</v>
      </c>
      <c r="I78" s="192">
        <v>2005.0</v>
      </c>
      <c r="J78" s="192">
        <v>2005.0</v>
      </c>
      <c r="K78" s="192">
        <v>2007.0</v>
      </c>
      <c r="L78" s="153" t="s">
        <v>6062</v>
      </c>
      <c r="M78" s="153" t="s">
        <v>7989</v>
      </c>
      <c r="N78" s="153" t="s">
        <v>7990</v>
      </c>
      <c r="O78" s="153" t="s">
        <v>7991</v>
      </c>
      <c r="P78" s="153" t="s">
        <v>1022</v>
      </c>
      <c r="Q78" s="158" t="s">
        <v>6154</v>
      </c>
      <c r="R78" s="158" t="s">
        <v>206</v>
      </c>
      <c r="S78" s="158" t="s">
        <v>204</v>
      </c>
      <c r="T78" s="241" t="s">
        <v>149</v>
      </c>
      <c r="U78" s="158" t="s">
        <v>149</v>
      </c>
      <c r="V78" s="158" t="s">
        <v>149</v>
      </c>
      <c r="W78" s="158" t="s">
        <v>1166</v>
      </c>
      <c r="X78" s="158" t="s">
        <v>6068</v>
      </c>
      <c r="Y78" s="158" t="s">
        <v>233</v>
      </c>
      <c r="Z78" s="153" t="s">
        <v>1167</v>
      </c>
      <c r="AA78" s="153"/>
      <c r="AB78" s="158" t="s">
        <v>6214</v>
      </c>
      <c r="AC78" s="153" t="s">
        <v>1168</v>
      </c>
      <c r="AD78" s="172" t="s">
        <v>1169</v>
      </c>
      <c r="AE78" s="153" t="s">
        <v>1077</v>
      </c>
      <c r="AF78" s="165" t="s">
        <v>1170</v>
      </c>
      <c r="AG78" s="153"/>
    </row>
    <row r="79">
      <c r="A79" s="238">
        <v>2024.0</v>
      </c>
      <c r="B79" s="230">
        <v>83.0</v>
      </c>
      <c r="C79" s="153" t="s">
        <v>143</v>
      </c>
      <c r="D79" s="153" t="s">
        <v>144</v>
      </c>
      <c r="E79" s="153" t="s">
        <v>693</v>
      </c>
      <c r="F79" s="153" t="s">
        <v>694</v>
      </c>
      <c r="G79" s="158" t="s">
        <v>149</v>
      </c>
      <c r="H79" s="153" t="s">
        <v>7992</v>
      </c>
      <c r="I79" s="230">
        <v>2010.0</v>
      </c>
      <c r="J79" s="192">
        <v>2010.0</v>
      </c>
      <c r="K79" s="192">
        <v>2010.0</v>
      </c>
      <c r="L79" s="153" t="s">
        <v>7993</v>
      </c>
      <c r="M79" s="158" t="s">
        <v>6439</v>
      </c>
      <c r="N79" s="158" t="s">
        <v>6439</v>
      </c>
      <c r="O79" s="153" t="s">
        <v>2992</v>
      </c>
      <c r="P79" s="153" t="s">
        <v>321</v>
      </c>
      <c r="Q79" s="158" t="s">
        <v>160</v>
      </c>
      <c r="R79" s="158" t="s">
        <v>6035</v>
      </c>
      <c r="S79" s="158" t="s">
        <v>204</v>
      </c>
      <c r="T79" s="241" t="s">
        <v>149</v>
      </c>
      <c r="U79" s="158" t="s">
        <v>149</v>
      </c>
      <c r="V79" s="158" t="s">
        <v>149</v>
      </c>
      <c r="W79" s="158" t="s">
        <v>233</v>
      </c>
      <c r="X79" s="158" t="s">
        <v>6068</v>
      </c>
      <c r="Y79" s="153"/>
      <c r="Z79" s="153"/>
      <c r="AA79" s="153"/>
      <c r="AB79" s="158" t="s">
        <v>6214</v>
      </c>
      <c r="AC79" s="153" t="s">
        <v>2993</v>
      </c>
      <c r="AD79" s="165" t="s">
        <v>2994</v>
      </c>
      <c r="AE79" s="153" t="s">
        <v>1061</v>
      </c>
      <c r="AF79" s="239"/>
      <c r="AG79" s="153"/>
    </row>
    <row r="80">
      <c r="A80" s="238">
        <v>2024.0</v>
      </c>
      <c r="B80" s="230">
        <v>84.0</v>
      </c>
      <c r="C80" s="153" t="s">
        <v>143</v>
      </c>
      <c r="D80" s="153" t="s">
        <v>144</v>
      </c>
      <c r="E80" s="153" t="s">
        <v>693</v>
      </c>
      <c r="F80" s="153" t="s">
        <v>694</v>
      </c>
      <c r="G80" s="158" t="s">
        <v>149</v>
      </c>
      <c r="H80" s="153" t="s">
        <v>7994</v>
      </c>
      <c r="I80" s="230">
        <v>2010.0</v>
      </c>
      <c r="J80" s="230">
        <v>2010.0</v>
      </c>
      <c r="K80" s="230">
        <v>2012.0</v>
      </c>
      <c r="L80" s="153" t="s">
        <v>6062</v>
      </c>
      <c r="M80" s="153" t="s">
        <v>179</v>
      </c>
      <c r="N80" s="153" t="s">
        <v>179</v>
      </c>
      <c r="O80" s="153" t="s">
        <v>7995</v>
      </c>
      <c r="P80" s="153" t="s">
        <v>321</v>
      </c>
      <c r="Q80" s="158" t="s">
        <v>160</v>
      </c>
      <c r="R80" s="158" t="s">
        <v>6035</v>
      </c>
      <c r="S80" s="158" t="s">
        <v>204</v>
      </c>
      <c r="T80" s="241" t="s">
        <v>149</v>
      </c>
      <c r="U80" s="158" t="s">
        <v>149</v>
      </c>
      <c r="V80" s="153" t="s">
        <v>2998</v>
      </c>
      <c r="W80" s="153" t="s">
        <v>233</v>
      </c>
      <c r="X80" s="158" t="s">
        <v>6068</v>
      </c>
      <c r="Y80" s="153" t="s">
        <v>2999</v>
      </c>
      <c r="Z80" s="153"/>
      <c r="AA80" s="153"/>
      <c r="AB80" s="158" t="s">
        <v>6214</v>
      </c>
      <c r="AC80" s="153" t="s">
        <v>3000</v>
      </c>
      <c r="AD80" s="165" t="s">
        <v>3001</v>
      </c>
      <c r="AE80" s="153" t="s">
        <v>245</v>
      </c>
      <c r="AF80" s="239"/>
      <c r="AG80" s="153"/>
    </row>
    <row r="81">
      <c r="A81" s="238">
        <v>2024.0</v>
      </c>
      <c r="B81" s="230">
        <v>85.0</v>
      </c>
      <c r="C81" s="153" t="s">
        <v>143</v>
      </c>
      <c r="D81" s="153" t="s">
        <v>144</v>
      </c>
      <c r="E81" s="153" t="s">
        <v>693</v>
      </c>
      <c r="F81" s="153" t="s">
        <v>694</v>
      </c>
      <c r="G81" s="158" t="s">
        <v>6397</v>
      </c>
      <c r="H81" s="153" t="s">
        <v>7996</v>
      </c>
      <c r="I81" s="230">
        <v>2008.0</v>
      </c>
      <c r="J81" s="230">
        <v>2008.0</v>
      </c>
      <c r="K81" s="230">
        <v>2010.0</v>
      </c>
      <c r="L81" s="153" t="s">
        <v>6259</v>
      </c>
      <c r="M81" s="153" t="s">
        <v>7997</v>
      </c>
      <c r="N81" s="153" t="s">
        <v>7998</v>
      </c>
      <c r="O81" s="153" t="s">
        <v>1073</v>
      </c>
      <c r="P81" s="153" t="s">
        <v>1020</v>
      </c>
      <c r="Q81" s="158" t="s">
        <v>6154</v>
      </c>
      <c r="R81" s="158" t="s">
        <v>206</v>
      </c>
      <c r="S81" s="158" t="s">
        <v>204</v>
      </c>
      <c r="T81" s="241" t="s">
        <v>149</v>
      </c>
      <c r="U81" s="158" t="s">
        <v>149</v>
      </c>
      <c r="V81" s="153" t="s">
        <v>1074</v>
      </c>
      <c r="W81" s="153" t="s">
        <v>233</v>
      </c>
      <c r="X81" s="158" t="s">
        <v>6068</v>
      </c>
      <c r="Y81" s="153"/>
      <c r="Z81" s="153"/>
      <c r="AA81" s="153"/>
      <c r="AB81" s="158" t="s">
        <v>6214</v>
      </c>
      <c r="AC81" s="153" t="s">
        <v>1075</v>
      </c>
      <c r="AD81" s="172" t="s">
        <v>1076</v>
      </c>
      <c r="AE81" s="153" t="s">
        <v>1077</v>
      </c>
      <c r="AF81" s="165" t="s">
        <v>1078</v>
      </c>
      <c r="AG81" s="153"/>
    </row>
    <row r="82">
      <c r="A82" s="238">
        <v>2024.0</v>
      </c>
      <c r="B82" s="230">
        <v>86.0</v>
      </c>
      <c r="C82" s="153" t="s">
        <v>143</v>
      </c>
      <c r="D82" s="153" t="s">
        <v>144</v>
      </c>
      <c r="E82" s="153" t="s">
        <v>693</v>
      </c>
      <c r="F82" s="153" t="s">
        <v>694</v>
      </c>
      <c r="G82" s="158" t="s">
        <v>6397</v>
      </c>
      <c r="H82" s="153" t="s">
        <v>6454</v>
      </c>
      <c r="I82" s="230">
        <v>2006.0</v>
      </c>
      <c r="J82" s="230">
        <v>2006.0</v>
      </c>
      <c r="K82" s="230">
        <v>2007.0</v>
      </c>
      <c r="L82" s="153" t="s">
        <v>6062</v>
      </c>
      <c r="M82" s="158" t="s">
        <v>1048</v>
      </c>
      <c r="N82" s="158" t="s">
        <v>1048</v>
      </c>
      <c r="O82" s="153" t="s">
        <v>1049</v>
      </c>
      <c r="P82" s="153" t="s">
        <v>1020</v>
      </c>
      <c r="Q82" s="158" t="s">
        <v>6154</v>
      </c>
      <c r="R82" s="158" t="s">
        <v>206</v>
      </c>
      <c r="S82" s="158" t="s">
        <v>204</v>
      </c>
      <c r="T82" s="241" t="s">
        <v>149</v>
      </c>
      <c r="U82" s="158" t="s">
        <v>149</v>
      </c>
      <c r="V82" s="153" t="s">
        <v>1050</v>
      </c>
      <c r="W82" s="153" t="s">
        <v>233</v>
      </c>
      <c r="X82" s="158" t="s">
        <v>6068</v>
      </c>
      <c r="Y82" s="153"/>
      <c r="Z82" s="153" t="s">
        <v>1022</v>
      </c>
      <c r="AA82" s="153"/>
      <c r="AB82" s="158" t="s">
        <v>6214</v>
      </c>
      <c r="AC82" s="153" t="s">
        <v>1051</v>
      </c>
      <c r="AD82" s="172" t="s">
        <v>1052</v>
      </c>
      <c r="AE82" s="153" t="s">
        <v>245</v>
      </c>
      <c r="AF82" s="239"/>
      <c r="AG82" s="153"/>
    </row>
    <row r="83">
      <c r="A83" s="238">
        <v>2024.0</v>
      </c>
      <c r="B83" s="230">
        <v>87.0</v>
      </c>
      <c r="C83" s="153" t="s">
        <v>143</v>
      </c>
      <c r="D83" s="153" t="s">
        <v>144</v>
      </c>
      <c r="E83" s="153" t="s">
        <v>693</v>
      </c>
      <c r="F83" s="153" t="s">
        <v>694</v>
      </c>
      <c r="G83" s="158" t="s">
        <v>149</v>
      </c>
      <c r="H83" s="153" t="s">
        <v>7999</v>
      </c>
      <c r="I83" s="230">
        <v>2015.0</v>
      </c>
      <c r="J83" s="192">
        <v>2015.0</v>
      </c>
      <c r="K83" s="192">
        <v>2015.0</v>
      </c>
      <c r="L83" s="153" t="s">
        <v>6221</v>
      </c>
      <c r="M83" s="158" t="s">
        <v>3004</v>
      </c>
      <c r="N83" s="158" t="s">
        <v>3004</v>
      </c>
      <c r="O83" s="153" t="s">
        <v>3005</v>
      </c>
      <c r="P83" s="158" t="s">
        <v>233</v>
      </c>
      <c r="Q83" s="158" t="s">
        <v>160</v>
      </c>
      <c r="R83" s="158" t="s">
        <v>209</v>
      </c>
      <c r="S83" s="158" t="s">
        <v>204</v>
      </c>
      <c r="T83" s="241" t="s">
        <v>149</v>
      </c>
      <c r="U83" s="158" t="s">
        <v>149</v>
      </c>
      <c r="V83" s="158" t="s">
        <v>149</v>
      </c>
      <c r="W83" s="158" t="s">
        <v>233</v>
      </c>
      <c r="X83" s="158" t="s">
        <v>6068</v>
      </c>
      <c r="Y83" s="153"/>
      <c r="Z83" s="153"/>
      <c r="AA83" s="153"/>
      <c r="AB83" s="158" t="s">
        <v>6214</v>
      </c>
      <c r="AC83" s="153" t="s">
        <v>3006</v>
      </c>
      <c r="AD83" s="165" t="s">
        <v>3007</v>
      </c>
      <c r="AE83" s="153" t="s">
        <v>3008</v>
      </c>
      <c r="AF83" s="239"/>
      <c r="AG83" s="153"/>
    </row>
    <row r="84">
      <c r="A84" s="238">
        <v>2024.0</v>
      </c>
      <c r="B84" s="230">
        <v>88.0</v>
      </c>
      <c r="C84" s="153" t="s">
        <v>143</v>
      </c>
      <c r="D84" s="153" t="s">
        <v>144</v>
      </c>
      <c r="E84" s="153" t="s">
        <v>472</v>
      </c>
      <c r="F84" s="153" t="s">
        <v>473</v>
      </c>
      <c r="G84" s="153" t="s">
        <v>384</v>
      </c>
      <c r="H84" s="153" t="s">
        <v>474</v>
      </c>
      <c r="I84" s="230">
        <v>1986.0</v>
      </c>
      <c r="J84" s="230">
        <v>1985.0</v>
      </c>
      <c r="K84" s="230">
        <v>1987.0</v>
      </c>
      <c r="L84" s="153" t="s">
        <v>151</v>
      </c>
      <c r="M84" s="153" t="s">
        <v>6054</v>
      </c>
      <c r="N84" s="158" t="s">
        <v>6054</v>
      </c>
      <c r="O84" s="158" t="s">
        <v>149</v>
      </c>
      <c r="P84" s="153" t="s">
        <v>390</v>
      </c>
      <c r="Q84" s="158" t="s">
        <v>160</v>
      </c>
      <c r="R84" s="158" t="s">
        <v>6035</v>
      </c>
      <c r="S84" s="158" t="s">
        <v>159</v>
      </c>
      <c r="T84" s="158" t="s">
        <v>149</v>
      </c>
      <c r="U84" s="158" t="s">
        <v>149</v>
      </c>
      <c r="V84" s="153" t="s">
        <v>475</v>
      </c>
      <c r="W84" s="153" t="s">
        <v>390</v>
      </c>
      <c r="X84" s="153" t="s">
        <v>6035</v>
      </c>
      <c r="Y84" s="153" t="s">
        <v>6055</v>
      </c>
      <c r="Z84" s="153"/>
      <c r="AA84" s="153" t="s">
        <v>6056</v>
      </c>
      <c r="AB84" s="158" t="s">
        <v>395</v>
      </c>
      <c r="AC84" s="153" t="s">
        <v>6060</v>
      </c>
      <c r="AD84" s="158" t="s">
        <v>397</v>
      </c>
      <c r="AE84" s="153" t="s">
        <v>398</v>
      </c>
      <c r="AF84" s="153"/>
      <c r="AG84" s="153"/>
    </row>
    <row r="85">
      <c r="A85" s="238">
        <v>2024.0</v>
      </c>
      <c r="B85" s="230">
        <v>89.0</v>
      </c>
      <c r="C85" s="153" t="s">
        <v>143</v>
      </c>
      <c r="D85" s="153" t="s">
        <v>144</v>
      </c>
      <c r="E85" s="153" t="s">
        <v>2857</v>
      </c>
      <c r="F85" s="153" t="s">
        <v>2858</v>
      </c>
      <c r="G85" s="153" t="s">
        <v>384</v>
      </c>
      <c r="H85" s="153" t="s">
        <v>6469</v>
      </c>
      <c r="I85" s="230">
        <v>1981.0</v>
      </c>
      <c r="J85" s="230">
        <v>1985.0</v>
      </c>
      <c r="K85" s="230">
        <v>1987.0</v>
      </c>
      <c r="L85" s="153" t="s">
        <v>151</v>
      </c>
      <c r="M85" s="153" t="s">
        <v>6054</v>
      </c>
      <c r="N85" s="158" t="s">
        <v>6054</v>
      </c>
      <c r="O85" s="158" t="s">
        <v>149</v>
      </c>
      <c r="P85" s="153" t="s">
        <v>390</v>
      </c>
      <c r="Q85" s="158" t="s">
        <v>160</v>
      </c>
      <c r="R85" s="158" t="s">
        <v>6035</v>
      </c>
      <c r="S85" s="158" t="s">
        <v>159</v>
      </c>
      <c r="T85" s="158" t="s">
        <v>149</v>
      </c>
      <c r="U85" s="158" t="s">
        <v>149</v>
      </c>
      <c r="V85" s="153" t="s">
        <v>2860</v>
      </c>
      <c r="W85" s="153" t="s">
        <v>390</v>
      </c>
      <c r="X85" s="153" t="s">
        <v>6035</v>
      </c>
      <c r="Y85" s="153" t="s">
        <v>6055</v>
      </c>
      <c r="Z85" s="153"/>
      <c r="AA85" s="153"/>
      <c r="AB85" s="158" t="s">
        <v>395</v>
      </c>
      <c r="AC85" s="153" t="s">
        <v>6060</v>
      </c>
      <c r="AD85" s="158" t="s">
        <v>397</v>
      </c>
      <c r="AE85" s="153" t="s">
        <v>398</v>
      </c>
      <c r="AF85" s="153"/>
      <c r="AG85" s="153" t="s">
        <v>6109</v>
      </c>
    </row>
    <row r="86">
      <c r="A86" s="238">
        <v>2024.0</v>
      </c>
      <c r="B86" s="230">
        <v>90.0</v>
      </c>
      <c r="C86" s="153" t="s">
        <v>143</v>
      </c>
      <c r="D86" s="153" t="s">
        <v>144</v>
      </c>
      <c r="E86" s="153" t="s">
        <v>1649</v>
      </c>
      <c r="F86" s="153" t="s">
        <v>1650</v>
      </c>
      <c r="G86" s="153" t="s">
        <v>1651</v>
      </c>
      <c r="H86" s="158" t="s">
        <v>1652</v>
      </c>
      <c r="I86" s="230">
        <v>2022.0</v>
      </c>
      <c r="J86" s="192" t="s">
        <v>149</v>
      </c>
      <c r="K86" s="192" t="s">
        <v>149</v>
      </c>
      <c r="L86" s="153" t="s">
        <v>151</v>
      </c>
      <c r="M86" s="158" t="s">
        <v>152</v>
      </c>
      <c r="N86" s="158" t="s">
        <v>152</v>
      </c>
      <c r="O86" s="153" t="s">
        <v>8000</v>
      </c>
      <c r="P86" s="153" t="s">
        <v>369</v>
      </c>
      <c r="Q86" s="158" t="s">
        <v>160</v>
      </c>
      <c r="R86" s="158" t="s">
        <v>6035</v>
      </c>
      <c r="S86" s="158" t="s">
        <v>159</v>
      </c>
      <c r="T86" s="158" t="s">
        <v>149</v>
      </c>
      <c r="U86" s="158" t="s">
        <v>149</v>
      </c>
      <c r="V86" s="158" t="s">
        <v>162</v>
      </c>
      <c r="W86" s="153" t="s">
        <v>369</v>
      </c>
      <c r="X86" s="153" t="s">
        <v>6035</v>
      </c>
      <c r="Y86" s="153" t="s">
        <v>6476</v>
      </c>
      <c r="Z86" s="153"/>
      <c r="AA86" s="153"/>
      <c r="AB86" s="158" t="s">
        <v>166</v>
      </c>
      <c r="AC86" s="153" t="s">
        <v>8001</v>
      </c>
      <c r="AD86" s="165" t="s">
        <v>1657</v>
      </c>
      <c r="AE86" s="153"/>
      <c r="AF86" s="153"/>
      <c r="AG86" s="153"/>
    </row>
    <row r="87">
      <c r="A87" s="238">
        <v>2024.0</v>
      </c>
      <c r="B87" s="230">
        <v>91.0</v>
      </c>
      <c r="C87" s="153" t="s">
        <v>143</v>
      </c>
      <c r="D87" s="153" t="s">
        <v>144</v>
      </c>
      <c r="E87" s="153" t="s">
        <v>2545</v>
      </c>
      <c r="F87" s="153" t="s">
        <v>2546</v>
      </c>
      <c r="G87" s="158" t="s">
        <v>149</v>
      </c>
      <c r="H87" s="153"/>
      <c r="I87" s="230">
        <v>2018.0</v>
      </c>
      <c r="J87" s="192" t="s">
        <v>149</v>
      </c>
      <c r="K87" s="192" t="s">
        <v>149</v>
      </c>
      <c r="L87" s="153" t="s">
        <v>151</v>
      </c>
      <c r="M87" s="158" t="s">
        <v>153</v>
      </c>
      <c r="N87" s="158" t="s">
        <v>153</v>
      </c>
      <c r="O87" s="158" t="s">
        <v>6482</v>
      </c>
      <c r="P87" s="158" t="s">
        <v>149</v>
      </c>
      <c r="Q87" s="158" t="s">
        <v>149</v>
      </c>
      <c r="R87" s="158" t="s">
        <v>149</v>
      </c>
      <c r="S87" s="158" t="s">
        <v>159</v>
      </c>
      <c r="T87" s="158" t="s">
        <v>149</v>
      </c>
      <c r="U87" s="158" t="s">
        <v>149</v>
      </c>
      <c r="V87" s="158" t="s">
        <v>2548</v>
      </c>
      <c r="W87" s="158" t="s">
        <v>149</v>
      </c>
      <c r="X87" s="158" t="s">
        <v>149</v>
      </c>
      <c r="Y87" s="153" t="s">
        <v>8002</v>
      </c>
      <c r="Z87" s="153"/>
      <c r="AA87" s="153"/>
      <c r="AB87" s="158" t="s">
        <v>166</v>
      </c>
      <c r="AC87" s="153" t="s">
        <v>6484</v>
      </c>
      <c r="AD87" s="177" t="s">
        <v>6485</v>
      </c>
      <c r="AE87" s="153"/>
      <c r="AF87" s="153"/>
      <c r="AG87" s="153"/>
    </row>
    <row r="88">
      <c r="A88" s="238">
        <v>2024.0</v>
      </c>
      <c r="B88" s="230">
        <v>92.0</v>
      </c>
      <c r="C88" s="153" t="s">
        <v>143</v>
      </c>
      <c r="D88" s="153" t="s">
        <v>144</v>
      </c>
      <c r="E88" s="153" t="s">
        <v>477</v>
      </c>
      <c r="F88" s="153" t="s">
        <v>478</v>
      </c>
      <c r="G88" s="153" t="s">
        <v>384</v>
      </c>
      <c r="H88" s="153" t="s">
        <v>479</v>
      </c>
      <c r="I88" s="230">
        <v>1985.0</v>
      </c>
      <c r="J88" s="230">
        <v>1985.0</v>
      </c>
      <c r="K88" s="230">
        <v>1987.0</v>
      </c>
      <c r="L88" s="153" t="s">
        <v>151</v>
      </c>
      <c r="M88" s="153" t="s">
        <v>6054</v>
      </c>
      <c r="N88" s="158" t="s">
        <v>6054</v>
      </c>
      <c r="O88" s="158" t="s">
        <v>149</v>
      </c>
      <c r="P88" s="153" t="s">
        <v>390</v>
      </c>
      <c r="Q88" s="158" t="s">
        <v>160</v>
      </c>
      <c r="R88" s="158" t="s">
        <v>6035</v>
      </c>
      <c r="S88" s="158" t="s">
        <v>159</v>
      </c>
      <c r="T88" s="158" t="s">
        <v>149</v>
      </c>
      <c r="U88" s="158" t="s">
        <v>149</v>
      </c>
      <c r="V88" s="153" t="s">
        <v>391</v>
      </c>
      <c r="W88" s="153" t="s">
        <v>390</v>
      </c>
      <c r="X88" s="153" t="s">
        <v>6035</v>
      </c>
      <c r="Y88" s="153" t="s">
        <v>6055</v>
      </c>
      <c r="Z88" s="153"/>
      <c r="AA88" s="153" t="s">
        <v>6056</v>
      </c>
      <c r="AB88" s="158" t="s">
        <v>395</v>
      </c>
      <c r="AC88" s="153" t="s">
        <v>6060</v>
      </c>
      <c r="AD88" s="158" t="s">
        <v>397</v>
      </c>
      <c r="AE88" s="153" t="s">
        <v>398</v>
      </c>
      <c r="AF88" s="153"/>
      <c r="AG88" s="153"/>
    </row>
    <row r="89">
      <c r="A89" s="238">
        <v>2024.0</v>
      </c>
      <c r="B89" s="230">
        <v>93.0</v>
      </c>
      <c r="C89" s="153" t="s">
        <v>481</v>
      </c>
      <c r="D89" s="153" t="s">
        <v>482</v>
      </c>
      <c r="E89" s="153" t="s">
        <v>483</v>
      </c>
      <c r="F89" s="153" t="s">
        <v>484</v>
      </c>
      <c r="G89" s="153" t="s">
        <v>384</v>
      </c>
      <c r="H89" s="153" t="s">
        <v>8003</v>
      </c>
      <c r="I89" s="230">
        <v>1986.0</v>
      </c>
      <c r="J89" s="230">
        <v>1985.0</v>
      </c>
      <c r="K89" s="230">
        <v>1987.0</v>
      </c>
      <c r="L89" s="153" t="s">
        <v>151</v>
      </c>
      <c r="M89" s="153" t="s">
        <v>6054</v>
      </c>
      <c r="N89" s="153"/>
      <c r="O89" s="153"/>
      <c r="P89" s="153" t="s">
        <v>390</v>
      </c>
      <c r="Q89" s="153"/>
      <c r="R89" s="153"/>
      <c r="S89" s="153"/>
      <c r="T89" s="153"/>
      <c r="U89" s="153"/>
      <c r="V89" s="153" t="s">
        <v>391</v>
      </c>
      <c r="W89" s="153" t="s">
        <v>390</v>
      </c>
      <c r="X89" s="153" t="s">
        <v>6035</v>
      </c>
      <c r="Y89" s="153" t="s">
        <v>6055</v>
      </c>
      <c r="Z89" s="153"/>
      <c r="AA89" s="153"/>
      <c r="AB89" s="153" t="s">
        <v>8004</v>
      </c>
      <c r="AC89" s="153" t="s">
        <v>6060</v>
      </c>
      <c r="AD89" s="158" t="s">
        <v>397</v>
      </c>
      <c r="AE89" s="153" t="s">
        <v>398</v>
      </c>
      <c r="AF89" s="153"/>
      <c r="AG89" s="153"/>
    </row>
    <row r="90">
      <c r="A90" s="238">
        <v>2024.0</v>
      </c>
      <c r="B90" s="230">
        <v>94.0</v>
      </c>
      <c r="C90" s="153" t="s">
        <v>293</v>
      </c>
      <c r="D90" s="153" t="s">
        <v>1208</v>
      </c>
      <c r="E90" s="153" t="s">
        <v>1209</v>
      </c>
      <c r="F90" s="153" t="s">
        <v>1210</v>
      </c>
      <c r="G90" s="153" t="s">
        <v>6515</v>
      </c>
      <c r="H90" s="153"/>
      <c r="I90" s="230" t="s">
        <v>6113</v>
      </c>
      <c r="J90" s="230">
        <v>2012.0</v>
      </c>
      <c r="K90" s="230">
        <v>2013.0</v>
      </c>
      <c r="L90" s="153" t="s">
        <v>6062</v>
      </c>
      <c r="M90" s="153" t="s">
        <v>320</v>
      </c>
      <c r="N90" s="153"/>
      <c r="O90" s="153" t="s">
        <v>1211</v>
      </c>
      <c r="P90" s="153" t="s">
        <v>321</v>
      </c>
      <c r="Q90" s="153"/>
      <c r="R90" s="153"/>
      <c r="S90" s="153"/>
      <c r="T90" s="153"/>
      <c r="U90" s="153"/>
      <c r="V90" s="153" t="s">
        <v>6496</v>
      </c>
      <c r="W90" s="153" t="s">
        <v>885</v>
      </c>
      <c r="X90" s="153" t="s">
        <v>209</v>
      </c>
      <c r="Y90" s="153" t="s">
        <v>1213</v>
      </c>
      <c r="Z90" s="153"/>
      <c r="AA90" s="153"/>
      <c r="AB90" s="153" t="s">
        <v>6084</v>
      </c>
      <c r="AC90" s="153" t="s">
        <v>1214</v>
      </c>
      <c r="AD90" s="153" t="s">
        <v>6070</v>
      </c>
      <c r="AE90" s="153"/>
      <c r="AF90" s="153"/>
      <c r="AG90" s="153"/>
    </row>
    <row r="91">
      <c r="A91" s="238">
        <v>2024.0</v>
      </c>
      <c r="B91" s="230">
        <v>95.0</v>
      </c>
      <c r="C91" s="153" t="s">
        <v>293</v>
      </c>
      <c r="D91" s="153" t="s">
        <v>1283</v>
      </c>
      <c r="E91" s="153" t="s">
        <v>1284</v>
      </c>
      <c r="F91" s="153" t="s">
        <v>1285</v>
      </c>
      <c r="G91" s="153" t="s">
        <v>1174</v>
      </c>
      <c r="H91" s="153"/>
      <c r="I91" s="230" t="s">
        <v>6113</v>
      </c>
      <c r="J91" s="230">
        <v>2012.0</v>
      </c>
      <c r="K91" s="230">
        <v>2013.0</v>
      </c>
      <c r="L91" s="153" t="s">
        <v>6062</v>
      </c>
      <c r="M91" s="153" t="s">
        <v>320</v>
      </c>
      <c r="N91" s="153"/>
      <c r="O91" s="153"/>
      <c r="P91" s="153" t="s">
        <v>321</v>
      </c>
      <c r="Q91" s="153"/>
      <c r="R91" s="153"/>
      <c r="S91" s="153"/>
      <c r="T91" s="153"/>
      <c r="U91" s="153"/>
      <c r="V91" s="153" t="s">
        <v>6499</v>
      </c>
      <c r="W91" s="153" t="s">
        <v>885</v>
      </c>
      <c r="X91" s="153" t="s">
        <v>209</v>
      </c>
      <c r="Y91" s="153" t="s">
        <v>1287</v>
      </c>
      <c r="Z91" s="153"/>
      <c r="AA91" s="153"/>
      <c r="AB91" s="153" t="s">
        <v>6084</v>
      </c>
      <c r="AC91" s="153" t="s">
        <v>1288</v>
      </c>
      <c r="AD91" s="153" t="s">
        <v>6070</v>
      </c>
      <c r="AE91" s="153"/>
      <c r="AF91" s="153"/>
      <c r="AG91" s="153"/>
    </row>
    <row r="92" ht="15.0" customHeight="1">
      <c r="A92" s="238">
        <v>2024.0</v>
      </c>
      <c r="B92" s="230">
        <v>96.0</v>
      </c>
      <c r="C92" s="153" t="s">
        <v>293</v>
      </c>
      <c r="D92" s="153" t="s">
        <v>1283</v>
      </c>
      <c r="E92" s="153" t="s">
        <v>1284</v>
      </c>
      <c r="F92" s="153" t="s">
        <v>1285</v>
      </c>
      <c r="G92" s="153" t="s">
        <v>1683</v>
      </c>
      <c r="H92" s="153"/>
      <c r="I92" s="230" t="s">
        <v>6113</v>
      </c>
      <c r="J92" s="230">
        <v>2014.0</v>
      </c>
      <c r="K92" s="230">
        <v>2016.0</v>
      </c>
      <c r="L92" s="153" t="s">
        <v>6062</v>
      </c>
      <c r="M92" s="153" t="s">
        <v>320</v>
      </c>
      <c r="N92" s="153"/>
      <c r="O92" s="153"/>
      <c r="P92" s="153" t="s">
        <v>321</v>
      </c>
      <c r="Q92" s="153"/>
      <c r="R92" s="153"/>
      <c r="S92" s="153"/>
      <c r="T92" s="153"/>
      <c r="U92" s="153"/>
      <c r="V92" s="153"/>
      <c r="W92" s="153" t="s">
        <v>1703</v>
      </c>
      <c r="X92" s="153" t="s">
        <v>306</v>
      </c>
      <c r="Y92" s="153" t="s">
        <v>1287</v>
      </c>
      <c r="Z92" s="153"/>
      <c r="AA92" s="153"/>
      <c r="AB92" s="153" t="s">
        <v>6084</v>
      </c>
      <c r="AC92" s="153" t="s">
        <v>1300</v>
      </c>
      <c r="AD92" s="153" t="s">
        <v>6070</v>
      </c>
      <c r="AE92" s="153"/>
      <c r="AF92" s="153"/>
      <c r="AG92" s="153"/>
    </row>
    <row r="93" ht="15.0" customHeight="1">
      <c r="A93" s="238">
        <v>2024.0</v>
      </c>
      <c r="B93" s="230">
        <v>97.0</v>
      </c>
      <c r="C93" s="153" t="s">
        <v>293</v>
      </c>
      <c r="D93" s="153" t="s">
        <v>1283</v>
      </c>
      <c r="E93" s="153" t="s">
        <v>2300</v>
      </c>
      <c r="F93" s="153" t="s">
        <v>2301</v>
      </c>
      <c r="G93" s="153" t="s">
        <v>6113</v>
      </c>
      <c r="H93" s="153"/>
      <c r="I93" s="230">
        <v>1990.0</v>
      </c>
      <c r="J93" s="230"/>
      <c r="K93" s="230"/>
      <c r="L93" s="153" t="s">
        <v>151</v>
      </c>
      <c r="M93" s="153" t="s">
        <v>386</v>
      </c>
      <c r="N93" s="153"/>
      <c r="O93" s="153" t="s">
        <v>6506</v>
      </c>
      <c r="P93" s="153"/>
      <c r="Q93" s="153"/>
      <c r="R93" s="153"/>
      <c r="S93" s="153"/>
      <c r="T93" s="153"/>
      <c r="U93" s="153"/>
      <c r="V93" s="153"/>
      <c r="W93" s="153" t="s">
        <v>2304</v>
      </c>
      <c r="X93" s="153" t="s">
        <v>8005</v>
      </c>
      <c r="Y93" s="153" t="s">
        <v>6507</v>
      </c>
      <c r="Z93" s="153"/>
      <c r="AA93" s="153"/>
      <c r="AB93" s="153" t="s">
        <v>8004</v>
      </c>
      <c r="AC93" s="153" t="s">
        <v>6060</v>
      </c>
      <c r="AD93" s="153" t="s">
        <v>2873</v>
      </c>
      <c r="AE93" s="153"/>
      <c r="AF93" s="153"/>
      <c r="AG93" s="153"/>
    </row>
    <row r="94" ht="15.0" customHeight="1">
      <c r="A94" s="238">
        <v>2024.0</v>
      </c>
      <c r="B94" s="230">
        <v>98.0</v>
      </c>
      <c r="C94" s="153" t="s">
        <v>293</v>
      </c>
      <c r="D94" s="153" t="s">
        <v>1283</v>
      </c>
      <c r="E94" s="153" t="s">
        <v>1375</v>
      </c>
      <c r="F94" s="153" t="s">
        <v>1376</v>
      </c>
      <c r="G94" s="153" t="s">
        <v>1377</v>
      </c>
      <c r="H94" s="153"/>
      <c r="I94" s="230" t="s">
        <v>6113</v>
      </c>
      <c r="J94" s="230">
        <v>1990.0</v>
      </c>
      <c r="K94" s="230">
        <v>1994.0</v>
      </c>
      <c r="L94" s="153" t="s">
        <v>151</v>
      </c>
      <c r="M94" s="153"/>
      <c r="N94" s="153"/>
      <c r="O94" s="153"/>
      <c r="P94" s="153" t="s">
        <v>1381</v>
      </c>
      <c r="Q94" s="153"/>
      <c r="R94" s="153"/>
      <c r="S94" s="153"/>
      <c r="T94" s="153"/>
      <c r="U94" s="153"/>
      <c r="V94" s="153"/>
      <c r="W94" s="153" t="s">
        <v>660</v>
      </c>
      <c r="X94" s="153" t="s">
        <v>6035</v>
      </c>
      <c r="Y94" s="153" t="s">
        <v>369</v>
      </c>
      <c r="Z94" s="153"/>
      <c r="AA94" s="153"/>
      <c r="AB94" s="153" t="s">
        <v>8004</v>
      </c>
      <c r="AC94" s="153" t="s">
        <v>6060</v>
      </c>
      <c r="AD94" s="153" t="s">
        <v>2873</v>
      </c>
      <c r="AE94" s="153" t="s">
        <v>398</v>
      </c>
      <c r="AF94" s="153"/>
      <c r="AG94" s="153"/>
    </row>
    <row r="95" ht="15.0" customHeight="1">
      <c r="A95" s="238">
        <v>2024.0</v>
      </c>
      <c r="B95" s="230">
        <v>99.0</v>
      </c>
      <c r="C95" s="153" t="s">
        <v>293</v>
      </c>
      <c r="D95" s="153" t="s">
        <v>1283</v>
      </c>
      <c r="E95" s="153" t="s">
        <v>1375</v>
      </c>
      <c r="F95" s="153" t="s">
        <v>1376</v>
      </c>
      <c r="G95" s="153" t="s">
        <v>6113</v>
      </c>
      <c r="H95" s="153" t="s">
        <v>3059</v>
      </c>
      <c r="I95" s="230" t="s">
        <v>6113</v>
      </c>
      <c r="J95" s="230"/>
      <c r="K95" s="230"/>
      <c r="L95" s="153" t="s">
        <v>6062</v>
      </c>
      <c r="M95" s="153" t="s">
        <v>320</v>
      </c>
      <c r="N95" s="153"/>
      <c r="O95" s="153"/>
      <c r="P95" s="153" t="s">
        <v>3060</v>
      </c>
      <c r="Q95" s="153"/>
      <c r="R95" s="153"/>
      <c r="S95" s="153"/>
      <c r="T95" s="153"/>
      <c r="U95" s="153"/>
      <c r="V95" s="153"/>
      <c r="W95" s="153" t="s">
        <v>3061</v>
      </c>
      <c r="X95" s="153" t="s">
        <v>6035</v>
      </c>
      <c r="Y95" s="153"/>
      <c r="Z95" s="153"/>
      <c r="AA95" s="153"/>
      <c r="AB95" s="153" t="s">
        <v>6084</v>
      </c>
      <c r="AC95" s="153" t="s">
        <v>3062</v>
      </c>
      <c r="AD95" s="165" t="s">
        <v>3063</v>
      </c>
      <c r="AE95" s="153"/>
      <c r="AF95" s="153"/>
      <c r="AG95" s="153"/>
    </row>
    <row r="96" ht="15.0" customHeight="1">
      <c r="A96" s="238">
        <v>2024.0</v>
      </c>
      <c r="B96" s="230">
        <v>100.0</v>
      </c>
      <c r="C96" s="153" t="s">
        <v>293</v>
      </c>
      <c r="D96" s="153" t="s">
        <v>1283</v>
      </c>
      <c r="E96" s="153" t="s">
        <v>1795</v>
      </c>
      <c r="F96" s="153" t="s">
        <v>1796</v>
      </c>
      <c r="G96" s="153" t="s">
        <v>6113</v>
      </c>
      <c r="H96" s="153"/>
      <c r="I96" s="230">
        <v>2011.0</v>
      </c>
      <c r="J96" s="230"/>
      <c r="K96" s="230"/>
      <c r="L96" s="153" t="s">
        <v>151</v>
      </c>
      <c r="M96" s="153"/>
      <c r="N96" s="153"/>
      <c r="O96" s="153" t="s">
        <v>2735</v>
      </c>
      <c r="P96" s="153"/>
      <c r="Q96" s="153"/>
      <c r="R96" s="153"/>
      <c r="S96" s="153"/>
      <c r="T96" s="153"/>
      <c r="U96" s="153"/>
      <c r="V96" s="153" t="s">
        <v>1984</v>
      </c>
      <c r="W96" s="153" t="s">
        <v>228</v>
      </c>
      <c r="X96" s="153" t="s">
        <v>6035</v>
      </c>
      <c r="Y96" s="153" t="s">
        <v>390</v>
      </c>
      <c r="Z96" s="153"/>
      <c r="AA96" s="153"/>
      <c r="AB96" s="153" t="s">
        <v>8006</v>
      </c>
      <c r="AC96" s="153" t="s">
        <v>2736</v>
      </c>
      <c r="AD96" s="165" t="s">
        <v>2737</v>
      </c>
      <c r="AE96" s="153"/>
      <c r="AF96" s="153"/>
      <c r="AG96" s="153"/>
    </row>
    <row r="97" ht="15.0" customHeight="1">
      <c r="A97" s="238">
        <v>2024.0</v>
      </c>
      <c r="B97" s="230">
        <v>101.0</v>
      </c>
      <c r="C97" s="153" t="s">
        <v>293</v>
      </c>
      <c r="D97" s="153" t="s">
        <v>1283</v>
      </c>
      <c r="E97" s="153" t="s">
        <v>1795</v>
      </c>
      <c r="F97" s="153" t="s">
        <v>1796</v>
      </c>
      <c r="G97" s="153" t="s">
        <v>6113</v>
      </c>
      <c r="H97" s="153" t="s">
        <v>507</v>
      </c>
      <c r="I97" s="230">
        <v>2015.0</v>
      </c>
      <c r="J97" s="230"/>
      <c r="K97" s="230"/>
      <c r="L97" s="153" t="s">
        <v>151</v>
      </c>
      <c r="M97" s="153"/>
      <c r="N97" s="153"/>
      <c r="O97" s="153"/>
      <c r="P97" s="153" t="s">
        <v>158</v>
      </c>
      <c r="Q97" s="153"/>
      <c r="R97" s="153"/>
      <c r="S97" s="153"/>
      <c r="T97" s="153"/>
      <c r="U97" s="153"/>
      <c r="V97" s="153"/>
      <c r="W97" s="153" t="s">
        <v>158</v>
      </c>
      <c r="X97" s="153" t="s">
        <v>6035</v>
      </c>
      <c r="Y97" s="153"/>
      <c r="Z97" s="153"/>
      <c r="AA97" s="153"/>
      <c r="AB97" s="153" t="s">
        <v>7003</v>
      </c>
      <c r="AC97" s="153" t="s">
        <v>3065</v>
      </c>
      <c r="AD97" s="165" t="s">
        <v>3066</v>
      </c>
      <c r="AE97" s="153"/>
      <c r="AF97" s="153"/>
      <c r="AG97" s="153"/>
    </row>
    <row r="98" ht="15.0" customHeight="1">
      <c r="A98" s="238">
        <v>2024.0</v>
      </c>
      <c r="B98" s="230">
        <v>102.0</v>
      </c>
      <c r="C98" s="153" t="s">
        <v>293</v>
      </c>
      <c r="D98" s="153" t="s">
        <v>1283</v>
      </c>
      <c r="E98" s="153" t="s">
        <v>1795</v>
      </c>
      <c r="F98" s="153" t="s">
        <v>1796</v>
      </c>
      <c r="G98" s="153" t="s">
        <v>6113</v>
      </c>
      <c r="H98" s="153" t="s">
        <v>3068</v>
      </c>
      <c r="I98" s="230">
        <v>2017.0</v>
      </c>
      <c r="J98" s="230"/>
      <c r="K98" s="230"/>
      <c r="L98" s="153" t="s">
        <v>151</v>
      </c>
      <c r="M98" s="153"/>
      <c r="N98" s="153"/>
      <c r="O98" s="153"/>
      <c r="P98" s="153" t="s">
        <v>158</v>
      </c>
      <c r="Q98" s="153"/>
      <c r="R98" s="153"/>
      <c r="S98" s="153"/>
      <c r="T98" s="153"/>
      <c r="U98" s="153"/>
      <c r="V98" s="153"/>
      <c r="W98" s="153" t="s">
        <v>158</v>
      </c>
      <c r="X98" s="153" t="s">
        <v>6035</v>
      </c>
      <c r="Y98" s="153"/>
      <c r="Z98" s="153"/>
      <c r="AA98" s="153"/>
      <c r="AB98" s="153" t="s">
        <v>7003</v>
      </c>
      <c r="AC98" s="153" t="s">
        <v>3065</v>
      </c>
      <c r="AD98" s="165" t="s">
        <v>3066</v>
      </c>
      <c r="AE98" s="153"/>
      <c r="AF98" s="153"/>
      <c r="AG98" s="153"/>
    </row>
    <row r="99" ht="15.0" customHeight="1">
      <c r="A99" s="238">
        <v>2024.0</v>
      </c>
      <c r="B99" s="230">
        <v>103.0</v>
      </c>
      <c r="C99" s="153" t="s">
        <v>293</v>
      </c>
      <c r="D99" s="153" t="s">
        <v>1283</v>
      </c>
      <c r="E99" s="153" t="s">
        <v>1795</v>
      </c>
      <c r="F99" s="153" t="s">
        <v>1796</v>
      </c>
      <c r="G99" s="153" t="s">
        <v>1797</v>
      </c>
      <c r="H99" s="153" t="s">
        <v>6522</v>
      </c>
      <c r="I99" s="230">
        <v>2022.0</v>
      </c>
      <c r="J99" s="230"/>
      <c r="K99" s="230"/>
      <c r="L99" s="153" t="s">
        <v>151</v>
      </c>
      <c r="M99" s="153"/>
      <c r="N99" s="153"/>
      <c r="O99" s="153" t="s">
        <v>6523</v>
      </c>
      <c r="P99" s="153" t="s">
        <v>1802</v>
      </c>
      <c r="Q99" s="153"/>
      <c r="R99" s="153"/>
      <c r="S99" s="153"/>
      <c r="T99" s="153"/>
      <c r="U99" s="153"/>
      <c r="V99" s="153"/>
      <c r="W99" s="153" t="s">
        <v>1802</v>
      </c>
      <c r="X99" s="153" t="s">
        <v>8007</v>
      </c>
      <c r="Y99" s="153"/>
      <c r="Z99" s="153"/>
      <c r="AA99" s="153"/>
      <c r="AB99" s="153" t="s">
        <v>6038</v>
      </c>
      <c r="AC99" s="153" t="s">
        <v>1803</v>
      </c>
      <c r="AD99" s="165" t="s">
        <v>1804</v>
      </c>
      <c r="AE99" s="153"/>
      <c r="AF99" s="153"/>
      <c r="AG99" s="153"/>
    </row>
    <row r="100" ht="15.0" customHeight="1">
      <c r="A100" s="238">
        <v>2024.0</v>
      </c>
      <c r="B100" s="230">
        <v>104.0</v>
      </c>
      <c r="C100" s="153" t="s">
        <v>293</v>
      </c>
      <c r="D100" s="153" t="s">
        <v>1283</v>
      </c>
      <c r="E100" s="153" t="s">
        <v>1979</v>
      </c>
      <c r="F100" s="153" t="s">
        <v>1980</v>
      </c>
      <c r="G100" s="153" t="s">
        <v>1981</v>
      </c>
      <c r="H100" s="153" t="s">
        <v>1982</v>
      </c>
      <c r="I100" s="153" t="s">
        <v>6113</v>
      </c>
      <c r="J100" s="230"/>
      <c r="K100" s="230"/>
      <c r="L100" s="153" t="s">
        <v>151</v>
      </c>
      <c r="M100" s="153"/>
      <c r="N100" s="153"/>
      <c r="O100" s="153" t="s">
        <v>819</v>
      </c>
      <c r="P100" s="153"/>
      <c r="Q100" s="153"/>
      <c r="R100" s="153"/>
      <c r="S100" s="153"/>
      <c r="T100" s="153"/>
      <c r="U100" s="153"/>
      <c r="V100" s="153" t="s">
        <v>1984</v>
      </c>
      <c r="W100" s="153" t="s">
        <v>369</v>
      </c>
      <c r="X100" s="153" t="s">
        <v>6035</v>
      </c>
      <c r="Y100" s="153"/>
      <c r="Z100" s="153"/>
      <c r="AA100" s="153"/>
      <c r="AB100" s="153" t="s">
        <v>6084</v>
      </c>
      <c r="AC100" s="153" t="s">
        <v>823</v>
      </c>
      <c r="AD100" s="172" t="s">
        <v>824</v>
      </c>
      <c r="AE100" s="153"/>
      <c r="AF100" s="153"/>
      <c r="AG100" s="153"/>
    </row>
    <row r="101" ht="15.0" customHeight="1">
      <c r="A101" s="238">
        <v>2024.0</v>
      </c>
      <c r="B101" s="230">
        <v>105.0</v>
      </c>
      <c r="C101" s="153" t="s">
        <v>293</v>
      </c>
      <c r="D101" s="153" t="s">
        <v>294</v>
      </c>
      <c r="E101" s="153" t="s">
        <v>2602</v>
      </c>
      <c r="F101" s="153" t="s">
        <v>2603</v>
      </c>
      <c r="G101" s="153" t="s">
        <v>6113</v>
      </c>
      <c r="H101" s="153" t="s">
        <v>2604</v>
      </c>
      <c r="I101" s="153" t="s">
        <v>6113</v>
      </c>
      <c r="J101" s="230"/>
      <c r="K101" s="230"/>
      <c r="L101" s="153" t="s">
        <v>151</v>
      </c>
      <c r="M101" s="153" t="s">
        <v>152</v>
      </c>
      <c r="N101" s="153"/>
      <c r="O101" s="153" t="s">
        <v>2605</v>
      </c>
      <c r="P101" s="153"/>
      <c r="Q101" s="153"/>
      <c r="R101" s="153"/>
      <c r="S101" s="153"/>
      <c r="T101" s="153"/>
      <c r="U101" s="153"/>
      <c r="V101" s="153"/>
      <c r="W101" s="153" t="s">
        <v>369</v>
      </c>
      <c r="X101" s="153" t="s">
        <v>6035</v>
      </c>
      <c r="Y101" s="153"/>
      <c r="Z101" s="153"/>
      <c r="AA101" s="153"/>
      <c r="AB101" s="153" t="s">
        <v>8006</v>
      </c>
      <c r="AC101" s="153" t="s">
        <v>2606</v>
      </c>
      <c r="AD101" s="172" t="s">
        <v>2607</v>
      </c>
      <c r="AE101" s="153"/>
      <c r="AF101" s="153"/>
      <c r="AG101" s="153"/>
    </row>
    <row r="102" ht="15.0" customHeight="1">
      <c r="A102" s="238">
        <v>2024.0</v>
      </c>
      <c r="B102" s="230">
        <v>106.0</v>
      </c>
      <c r="C102" s="153" t="s">
        <v>293</v>
      </c>
      <c r="D102" s="153" t="s">
        <v>294</v>
      </c>
      <c r="E102" s="153" t="s">
        <v>486</v>
      </c>
      <c r="F102" s="153" t="s">
        <v>487</v>
      </c>
      <c r="G102" s="153" t="s">
        <v>384</v>
      </c>
      <c r="H102" s="153" t="s">
        <v>488</v>
      </c>
      <c r="I102" s="230">
        <v>1985.0</v>
      </c>
      <c r="J102" s="230">
        <v>1985.0</v>
      </c>
      <c r="K102" s="230">
        <v>1987.0</v>
      </c>
      <c r="L102" s="153" t="s">
        <v>151</v>
      </c>
      <c r="M102" s="153" t="s">
        <v>6054</v>
      </c>
      <c r="N102" s="153"/>
      <c r="O102" s="153"/>
      <c r="P102" s="153" t="s">
        <v>390</v>
      </c>
      <c r="Q102" s="153"/>
      <c r="R102" s="153"/>
      <c r="S102" s="153"/>
      <c r="T102" s="153"/>
      <c r="U102" s="153"/>
      <c r="V102" s="153" t="s">
        <v>489</v>
      </c>
      <c r="W102" s="153" t="s">
        <v>390</v>
      </c>
      <c r="X102" s="153" t="s">
        <v>6035</v>
      </c>
      <c r="Y102" s="153" t="s">
        <v>6055</v>
      </c>
      <c r="Z102" s="153"/>
      <c r="AA102" s="153"/>
      <c r="AB102" s="153" t="s">
        <v>8004</v>
      </c>
      <c r="AC102" s="153" t="s">
        <v>6060</v>
      </c>
      <c r="AD102" s="153" t="s">
        <v>2873</v>
      </c>
      <c r="AE102" s="153" t="s">
        <v>398</v>
      </c>
      <c r="AF102" s="153"/>
      <c r="AG102" s="153"/>
    </row>
    <row r="103" ht="15.0" customHeight="1">
      <c r="A103" s="238">
        <v>2024.0</v>
      </c>
      <c r="B103" s="230">
        <v>107.0</v>
      </c>
      <c r="C103" s="153" t="s">
        <v>293</v>
      </c>
      <c r="D103" s="153" t="s">
        <v>294</v>
      </c>
      <c r="E103" s="153" t="s">
        <v>295</v>
      </c>
      <c r="F103" s="153" t="s">
        <v>296</v>
      </c>
      <c r="G103" s="153" t="s">
        <v>6553</v>
      </c>
      <c r="H103" s="153"/>
      <c r="I103" s="230">
        <v>2022.0</v>
      </c>
      <c r="J103" s="230">
        <v>2022.0</v>
      </c>
      <c r="K103" s="230">
        <v>2024.0</v>
      </c>
      <c r="L103" s="153" t="s">
        <v>6259</v>
      </c>
      <c r="M103" s="153" t="s">
        <v>1112</v>
      </c>
      <c r="N103" s="153"/>
      <c r="O103" s="153" t="s">
        <v>304</v>
      </c>
      <c r="P103" s="153" t="s">
        <v>8008</v>
      </c>
      <c r="Q103" s="153"/>
      <c r="R103" s="153"/>
      <c r="S103" s="153"/>
      <c r="T103" s="153"/>
      <c r="U103" s="153"/>
      <c r="V103" s="153"/>
      <c r="W103" s="153" t="s">
        <v>6531</v>
      </c>
      <c r="X103" s="153" t="s">
        <v>306</v>
      </c>
      <c r="Y103" s="153" t="s">
        <v>6532</v>
      </c>
      <c r="Z103" s="153" t="s">
        <v>6533</v>
      </c>
      <c r="AA103" s="153"/>
      <c r="AB103" s="153" t="s">
        <v>213</v>
      </c>
      <c r="AC103" s="153" t="s">
        <v>213</v>
      </c>
      <c r="AD103" s="153"/>
      <c r="AE103" s="153" t="s">
        <v>311</v>
      </c>
      <c r="AF103" s="153" t="s">
        <v>312</v>
      </c>
      <c r="AG103" s="153"/>
    </row>
    <row r="104" ht="15.0" customHeight="1">
      <c r="A104" s="238">
        <v>2024.0</v>
      </c>
      <c r="B104" s="230">
        <v>108.0</v>
      </c>
      <c r="C104" s="153" t="s">
        <v>293</v>
      </c>
      <c r="D104" s="153" t="s">
        <v>294</v>
      </c>
      <c r="E104" s="153" t="s">
        <v>950</v>
      </c>
      <c r="F104" s="153" t="s">
        <v>951</v>
      </c>
      <c r="G104" s="153" t="s">
        <v>934</v>
      </c>
      <c r="H104" s="153"/>
      <c r="I104" s="230">
        <v>2001.0</v>
      </c>
      <c r="J104" s="230">
        <v>2001.0</v>
      </c>
      <c r="K104" s="230">
        <v>2005.0</v>
      </c>
      <c r="L104" s="153" t="s">
        <v>6062</v>
      </c>
      <c r="M104" s="153" t="s">
        <v>6276</v>
      </c>
      <c r="N104" s="153"/>
      <c r="O104" s="153" t="s">
        <v>939</v>
      </c>
      <c r="P104" s="153" t="s">
        <v>940</v>
      </c>
      <c r="Q104" s="153"/>
      <c r="R104" s="153"/>
      <c r="S104" s="153"/>
      <c r="T104" s="153"/>
      <c r="U104" s="153"/>
      <c r="V104" s="153"/>
      <c r="W104" s="153" t="s">
        <v>233</v>
      </c>
      <c r="X104" s="153" t="s">
        <v>209</v>
      </c>
      <c r="Y104" s="153"/>
      <c r="Z104" s="153"/>
      <c r="AA104" s="153"/>
      <c r="AB104" s="153" t="s">
        <v>8004</v>
      </c>
      <c r="AC104" s="153" t="s">
        <v>941</v>
      </c>
      <c r="AD104" s="153" t="s">
        <v>942</v>
      </c>
      <c r="AE104" s="153" t="s">
        <v>943</v>
      </c>
      <c r="AF104" s="153"/>
      <c r="AG104" s="153"/>
    </row>
    <row r="105" ht="15.0" customHeight="1">
      <c r="A105" s="238">
        <v>2024.0</v>
      </c>
      <c r="B105" s="230">
        <v>109.0</v>
      </c>
      <c r="C105" s="153" t="s">
        <v>293</v>
      </c>
      <c r="D105" s="153" t="s">
        <v>294</v>
      </c>
      <c r="E105" s="153" t="s">
        <v>3070</v>
      </c>
      <c r="F105" s="153" t="s">
        <v>3071</v>
      </c>
      <c r="G105" s="153" t="s">
        <v>6113</v>
      </c>
      <c r="H105" s="153"/>
      <c r="I105" s="230" t="s">
        <v>6113</v>
      </c>
      <c r="J105" s="230"/>
      <c r="K105" s="230"/>
      <c r="L105" s="153" t="s">
        <v>151</v>
      </c>
      <c r="M105" s="153"/>
      <c r="N105" s="153"/>
      <c r="O105" s="153"/>
      <c r="P105" s="153"/>
      <c r="Q105" s="153"/>
      <c r="R105" s="153"/>
      <c r="S105" s="153"/>
      <c r="T105" s="153"/>
      <c r="U105" s="153"/>
      <c r="V105" s="153" t="s">
        <v>3072</v>
      </c>
      <c r="W105" s="153" t="s">
        <v>228</v>
      </c>
      <c r="X105" s="153" t="s">
        <v>6035</v>
      </c>
      <c r="Y105" s="153" t="s">
        <v>390</v>
      </c>
      <c r="Z105" s="153"/>
      <c r="AA105" s="153"/>
      <c r="AB105" s="153" t="s">
        <v>8006</v>
      </c>
      <c r="AC105" s="153" t="s">
        <v>2736</v>
      </c>
      <c r="AD105" s="153" t="s">
        <v>2737</v>
      </c>
      <c r="AE105" s="153"/>
      <c r="AF105" s="153"/>
      <c r="AG105" s="153"/>
    </row>
    <row r="106" ht="15.0" customHeight="1">
      <c r="A106" s="238">
        <v>2024.0</v>
      </c>
      <c r="B106" s="230">
        <v>110.0</v>
      </c>
      <c r="C106" s="153" t="s">
        <v>293</v>
      </c>
      <c r="D106" s="153" t="s">
        <v>294</v>
      </c>
      <c r="E106" s="153" t="s">
        <v>420</v>
      </c>
      <c r="F106" s="153" t="s">
        <v>708</v>
      </c>
      <c r="G106" s="153" t="s">
        <v>709</v>
      </c>
      <c r="H106" s="153"/>
      <c r="I106" s="230">
        <v>2012.0</v>
      </c>
      <c r="J106" s="230"/>
      <c r="K106" s="230"/>
      <c r="L106" s="153" t="s">
        <v>151</v>
      </c>
      <c r="M106" s="153"/>
      <c r="N106" s="153"/>
      <c r="O106" s="153" t="s">
        <v>710</v>
      </c>
      <c r="P106" s="153" t="s">
        <v>369</v>
      </c>
      <c r="Q106" s="153"/>
      <c r="R106" s="153"/>
      <c r="S106" s="153"/>
      <c r="T106" s="153"/>
      <c r="U106" s="153"/>
      <c r="V106" s="153"/>
      <c r="W106" s="153" t="s">
        <v>369</v>
      </c>
      <c r="X106" s="153" t="s">
        <v>6035</v>
      </c>
      <c r="Y106" s="153" t="s">
        <v>711</v>
      </c>
      <c r="Z106" s="153"/>
      <c r="AA106" s="153"/>
      <c r="AB106" s="153" t="s">
        <v>213</v>
      </c>
      <c r="AC106" s="153" t="s">
        <v>213</v>
      </c>
      <c r="AD106" s="153"/>
      <c r="AE106" s="153" t="s">
        <v>712</v>
      </c>
      <c r="AF106" s="242" t="s">
        <v>7857</v>
      </c>
      <c r="AG106" s="153"/>
    </row>
    <row r="107">
      <c r="A107" s="238">
        <v>2024.0</v>
      </c>
      <c r="B107" s="230">
        <v>111.0</v>
      </c>
      <c r="C107" s="153" t="s">
        <v>293</v>
      </c>
      <c r="D107" s="153" t="s">
        <v>294</v>
      </c>
      <c r="E107" s="153" t="s">
        <v>1291</v>
      </c>
      <c r="F107" s="153" t="s">
        <v>1292</v>
      </c>
      <c r="G107" s="153" t="s">
        <v>1174</v>
      </c>
      <c r="H107" s="153"/>
      <c r="I107" s="230" t="s">
        <v>6113</v>
      </c>
      <c r="J107" s="230">
        <v>2012.0</v>
      </c>
      <c r="K107" s="230">
        <v>2013.0</v>
      </c>
      <c r="L107" s="153" t="s">
        <v>6062</v>
      </c>
      <c r="M107" s="153" t="s">
        <v>320</v>
      </c>
      <c r="N107" s="153"/>
      <c r="O107" s="153"/>
      <c r="P107" s="153" t="s">
        <v>321</v>
      </c>
      <c r="Q107" s="153"/>
      <c r="R107" s="153"/>
      <c r="S107" s="153"/>
      <c r="T107" s="153"/>
      <c r="U107" s="153"/>
      <c r="V107" s="153"/>
      <c r="W107" s="153" t="s">
        <v>885</v>
      </c>
      <c r="X107" s="153" t="s">
        <v>209</v>
      </c>
      <c r="Y107" s="153" t="s">
        <v>1287</v>
      </c>
      <c r="Z107" s="153"/>
      <c r="AA107" s="153"/>
      <c r="AB107" s="153" t="s">
        <v>6084</v>
      </c>
      <c r="AC107" s="200" t="s">
        <v>8009</v>
      </c>
      <c r="AD107" s="153" t="s">
        <v>6070</v>
      </c>
      <c r="AE107" s="153"/>
      <c r="AF107" s="153"/>
      <c r="AG107" s="153"/>
    </row>
    <row r="108">
      <c r="A108" s="238">
        <v>2024.0</v>
      </c>
      <c r="B108" s="230">
        <v>112.0</v>
      </c>
      <c r="C108" s="153" t="s">
        <v>293</v>
      </c>
      <c r="D108" s="153" t="s">
        <v>294</v>
      </c>
      <c r="E108" s="153" t="s">
        <v>1291</v>
      </c>
      <c r="F108" s="153" t="s">
        <v>1292</v>
      </c>
      <c r="G108" s="153" t="s">
        <v>1683</v>
      </c>
      <c r="H108" s="153"/>
      <c r="I108" s="230" t="s">
        <v>6113</v>
      </c>
      <c r="J108" s="230">
        <v>2014.0</v>
      </c>
      <c r="K108" s="230">
        <v>2016.0</v>
      </c>
      <c r="L108" s="153" t="s">
        <v>6062</v>
      </c>
      <c r="M108" s="153" t="s">
        <v>320</v>
      </c>
      <c r="N108" s="153"/>
      <c r="O108" s="153"/>
      <c r="P108" s="153" t="s">
        <v>321</v>
      </c>
      <c r="Q108" s="153"/>
      <c r="R108" s="153"/>
      <c r="S108" s="153"/>
      <c r="T108" s="153"/>
      <c r="U108" s="153"/>
      <c r="V108" s="153" t="s">
        <v>1706</v>
      </c>
      <c r="W108" s="153" t="s">
        <v>1703</v>
      </c>
      <c r="X108" s="153" t="s">
        <v>306</v>
      </c>
      <c r="Y108" s="153" t="s">
        <v>1287</v>
      </c>
      <c r="Z108" s="153"/>
      <c r="AA108" s="153"/>
      <c r="AB108" s="153" t="s">
        <v>6084</v>
      </c>
      <c r="AC108" s="153" t="s">
        <v>1300</v>
      </c>
      <c r="AD108" s="153" t="s">
        <v>6070</v>
      </c>
      <c r="AE108" s="153"/>
      <c r="AF108" s="153"/>
      <c r="AG108" s="153"/>
    </row>
    <row r="109">
      <c r="A109" s="238">
        <v>2024.0</v>
      </c>
      <c r="B109" s="230">
        <v>113.0</v>
      </c>
      <c r="C109" s="153" t="s">
        <v>293</v>
      </c>
      <c r="D109" s="153" t="s">
        <v>294</v>
      </c>
      <c r="E109" s="153" t="s">
        <v>1291</v>
      </c>
      <c r="F109" s="153" t="s">
        <v>1292</v>
      </c>
      <c r="G109" s="153" t="s">
        <v>6113</v>
      </c>
      <c r="H109" s="153"/>
      <c r="I109" s="230">
        <v>2012.0</v>
      </c>
      <c r="J109" s="230"/>
      <c r="K109" s="230"/>
      <c r="L109" s="153" t="s">
        <v>151</v>
      </c>
      <c r="M109" s="153"/>
      <c r="N109" s="153"/>
      <c r="O109" s="153" t="s">
        <v>6551</v>
      </c>
      <c r="P109" s="153" t="s">
        <v>228</v>
      </c>
      <c r="Q109" s="153"/>
      <c r="R109" s="153"/>
      <c r="S109" s="153"/>
      <c r="T109" s="153"/>
      <c r="U109" s="153"/>
      <c r="V109" s="153"/>
      <c r="W109" s="153" t="s">
        <v>228</v>
      </c>
      <c r="X109" s="153" t="s">
        <v>6035</v>
      </c>
      <c r="Y109" s="153" t="s">
        <v>1628</v>
      </c>
      <c r="Z109" s="153"/>
      <c r="AA109" s="153"/>
      <c r="AB109" s="153" t="s">
        <v>8006</v>
      </c>
      <c r="AC109" s="153" t="s">
        <v>2736</v>
      </c>
      <c r="AD109" s="165" t="s">
        <v>2737</v>
      </c>
      <c r="AE109" s="153"/>
      <c r="AF109" s="153"/>
      <c r="AG109" s="153"/>
    </row>
    <row r="110">
      <c r="A110" s="238">
        <v>2024.0</v>
      </c>
      <c r="B110" s="230">
        <v>114.0</v>
      </c>
      <c r="C110" s="153" t="s">
        <v>293</v>
      </c>
      <c r="D110" s="153" t="s">
        <v>294</v>
      </c>
      <c r="E110" s="153" t="s">
        <v>1291</v>
      </c>
      <c r="F110" s="153" t="s">
        <v>1292</v>
      </c>
      <c r="G110" s="153" t="s">
        <v>6113</v>
      </c>
      <c r="H110" s="153"/>
      <c r="I110" s="230">
        <v>2021.0</v>
      </c>
      <c r="J110" s="230"/>
      <c r="K110" s="230"/>
      <c r="L110" s="153" t="s">
        <v>151</v>
      </c>
      <c r="M110" s="153" t="s">
        <v>851</v>
      </c>
      <c r="N110" s="153"/>
      <c r="O110" s="153" t="s">
        <v>6556</v>
      </c>
      <c r="P110" s="153" t="s">
        <v>1941</v>
      </c>
      <c r="Q110" s="153"/>
      <c r="R110" s="153"/>
      <c r="S110" s="153"/>
      <c r="T110" s="153"/>
      <c r="U110" s="153"/>
      <c r="V110" s="153" t="s">
        <v>6557</v>
      </c>
      <c r="W110" s="153" t="s">
        <v>1941</v>
      </c>
      <c r="X110" s="153" t="s">
        <v>8007</v>
      </c>
      <c r="Y110" s="153"/>
      <c r="Z110" s="153" t="s">
        <v>1703</v>
      </c>
      <c r="AA110" s="153"/>
      <c r="AB110" s="153" t="s">
        <v>8006</v>
      </c>
      <c r="AC110" s="153" t="s">
        <v>6558</v>
      </c>
      <c r="AD110" s="165" t="s">
        <v>1945</v>
      </c>
      <c r="AE110" s="153"/>
      <c r="AF110" s="153"/>
      <c r="AG110" s="153"/>
    </row>
    <row r="111">
      <c r="A111" s="238">
        <v>2024.0</v>
      </c>
      <c r="B111" s="230">
        <v>115.0</v>
      </c>
      <c r="C111" s="249" t="s">
        <v>257</v>
      </c>
      <c r="D111" s="249" t="s">
        <v>1387</v>
      </c>
      <c r="E111" s="249" t="s">
        <v>1388</v>
      </c>
      <c r="F111" s="249" t="s">
        <v>1389</v>
      </c>
      <c r="G111" s="249" t="s">
        <v>1377</v>
      </c>
      <c r="H111" s="249"/>
      <c r="I111" s="233" t="s">
        <v>6113</v>
      </c>
      <c r="J111" s="233">
        <v>1990.0</v>
      </c>
      <c r="K111" s="233">
        <v>1994.0</v>
      </c>
      <c r="L111" s="249" t="s">
        <v>151</v>
      </c>
      <c r="M111" s="249"/>
      <c r="N111" s="249"/>
      <c r="O111" s="249"/>
      <c r="P111" s="249" t="s">
        <v>1381</v>
      </c>
      <c r="Q111" s="249"/>
      <c r="R111" s="249"/>
      <c r="S111" s="249"/>
      <c r="T111" s="249"/>
      <c r="U111" s="249"/>
      <c r="V111" s="249"/>
      <c r="W111" s="249" t="s">
        <v>660</v>
      </c>
      <c r="X111" s="249" t="s">
        <v>6035</v>
      </c>
      <c r="Y111" s="249" t="s">
        <v>369</v>
      </c>
      <c r="Z111" s="249"/>
      <c r="AA111" s="249"/>
      <c r="AB111" s="249" t="s">
        <v>8004</v>
      </c>
      <c r="AC111" s="249" t="s">
        <v>6060</v>
      </c>
      <c r="AD111" s="249" t="s">
        <v>2873</v>
      </c>
      <c r="AE111" s="249" t="s">
        <v>398</v>
      </c>
      <c r="AF111" s="249"/>
      <c r="AG111" s="249"/>
    </row>
    <row r="112">
      <c r="A112" s="238">
        <v>2024.0</v>
      </c>
      <c r="B112" s="230">
        <v>116.0</v>
      </c>
      <c r="C112" s="249" t="s">
        <v>257</v>
      </c>
      <c r="D112" s="249" t="s">
        <v>1387</v>
      </c>
      <c r="E112" s="249" t="s">
        <v>447</v>
      </c>
      <c r="F112" s="249" t="s">
        <v>1930</v>
      </c>
      <c r="G112" s="249" t="s">
        <v>1921</v>
      </c>
      <c r="H112" s="249"/>
      <c r="I112" s="233">
        <v>2007.0</v>
      </c>
      <c r="J112" s="233"/>
      <c r="K112" s="233"/>
      <c r="L112" s="249" t="s">
        <v>151</v>
      </c>
      <c r="M112" s="249" t="s">
        <v>851</v>
      </c>
      <c r="N112" s="249"/>
      <c r="O112" s="249" t="s">
        <v>8010</v>
      </c>
      <c r="P112" s="249" t="s">
        <v>1932</v>
      </c>
      <c r="Q112" s="249"/>
      <c r="R112" s="249"/>
      <c r="S112" s="249"/>
      <c r="T112" s="249"/>
      <c r="U112" s="249"/>
      <c r="V112" s="249" t="s">
        <v>1933</v>
      </c>
      <c r="W112" s="249" t="s">
        <v>8011</v>
      </c>
      <c r="X112" s="250" t="s">
        <v>8005</v>
      </c>
      <c r="Y112" s="249"/>
      <c r="Z112" s="249"/>
      <c r="AA112" s="249"/>
      <c r="AB112" s="249" t="s">
        <v>7902</v>
      </c>
      <c r="AC112" s="249" t="s">
        <v>1927</v>
      </c>
      <c r="AD112" s="251" t="s">
        <v>1928</v>
      </c>
      <c r="AE112" s="249"/>
      <c r="AF112" s="249"/>
      <c r="AG112" s="249"/>
    </row>
    <row r="113">
      <c r="A113" s="238">
        <v>2024.0</v>
      </c>
      <c r="B113" s="230">
        <v>117.0</v>
      </c>
      <c r="C113" s="153" t="s">
        <v>257</v>
      </c>
      <c r="D113" s="153" t="s">
        <v>258</v>
      </c>
      <c r="E113" s="153" t="s">
        <v>3075</v>
      </c>
      <c r="F113" s="153" t="s">
        <v>3076</v>
      </c>
      <c r="G113" s="153" t="s">
        <v>6113</v>
      </c>
      <c r="H113" s="153" t="s">
        <v>6560</v>
      </c>
      <c r="I113" s="230">
        <v>2022.0</v>
      </c>
      <c r="J113" s="230"/>
      <c r="K113" s="230"/>
      <c r="L113" s="153" t="s">
        <v>151</v>
      </c>
      <c r="M113" s="153"/>
      <c r="N113" s="153"/>
      <c r="O113" s="153"/>
      <c r="P113" s="153" t="s">
        <v>2664</v>
      </c>
      <c r="Q113" s="153"/>
      <c r="R113" s="153"/>
      <c r="S113" s="153"/>
      <c r="T113" s="153"/>
      <c r="U113" s="153"/>
      <c r="V113" s="153" t="s">
        <v>795</v>
      </c>
      <c r="W113" s="153" t="s">
        <v>3078</v>
      </c>
      <c r="X113" s="153" t="s">
        <v>8005</v>
      </c>
      <c r="Y113" s="153" t="s">
        <v>3079</v>
      </c>
      <c r="Z113" s="153"/>
      <c r="AA113" s="153"/>
      <c r="AB113" s="153" t="s">
        <v>8006</v>
      </c>
      <c r="AC113" s="153" t="s">
        <v>2665</v>
      </c>
      <c r="AD113" s="165" t="s">
        <v>2666</v>
      </c>
      <c r="AE113" s="153"/>
      <c r="AF113" s="153"/>
      <c r="AG113" s="153"/>
    </row>
    <row r="114">
      <c r="A114" s="238">
        <v>2024.0</v>
      </c>
      <c r="B114" s="230">
        <v>118.0</v>
      </c>
      <c r="C114" s="153" t="s">
        <v>257</v>
      </c>
      <c r="D114" s="153" t="s">
        <v>258</v>
      </c>
      <c r="E114" s="153" t="s">
        <v>2424</v>
      </c>
      <c r="F114" s="153" t="s">
        <v>2425</v>
      </c>
      <c r="G114" s="153" t="s">
        <v>6113</v>
      </c>
      <c r="H114" s="153"/>
      <c r="I114" s="230">
        <v>2002.0</v>
      </c>
      <c r="J114" s="230"/>
      <c r="K114" s="230"/>
      <c r="L114" s="153" t="s">
        <v>151</v>
      </c>
      <c r="M114" s="153"/>
      <c r="N114" s="153"/>
      <c r="O114" s="153" t="s">
        <v>6597</v>
      </c>
      <c r="P114" s="153" t="s">
        <v>2429</v>
      </c>
      <c r="Q114" s="153"/>
      <c r="R114" s="153"/>
      <c r="S114" s="153"/>
      <c r="T114" s="153"/>
      <c r="U114" s="153"/>
      <c r="V114" s="153" t="s">
        <v>2431</v>
      </c>
      <c r="W114" s="153" t="s">
        <v>2429</v>
      </c>
      <c r="X114" s="153" t="s">
        <v>8005</v>
      </c>
      <c r="Y114" s="153"/>
      <c r="Z114" s="153"/>
      <c r="AA114" s="153"/>
      <c r="AB114" s="153" t="s">
        <v>7003</v>
      </c>
      <c r="AC114" s="153" t="s">
        <v>2432</v>
      </c>
      <c r="AD114" s="165" t="s">
        <v>2433</v>
      </c>
      <c r="AE114" s="153"/>
      <c r="AF114" s="153"/>
      <c r="AG114" s="153"/>
    </row>
    <row r="115">
      <c r="A115" s="238">
        <v>2024.0</v>
      </c>
      <c r="B115" s="230">
        <v>119.0</v>
      </c>
      <c r="C115" s="153" t="s">
        <v>257</v>
      </c>
      <c r="D115" s="153" t="s">
        <v>258</v>
      </c>
      <c r="E115" s="153" t="s">
        <v>2424</v>
      </c>
      <c r="F115" s="153" t="s">
        <v>2425</v>
      </c>
      <c r="G115" s="153" t="s">
        <v>6113</v>
      </c>
      <c r="H115" s="153"/>
      <c r="I115" s="230">
        <v>2015.0</v>
      </c>
      <c r="J115" s="230"/>
      <c r="K115" s="230"/>
      <c r="L115" s="153" t="s">
        <v>151</v>
      </c>
      <c r="M115" s="153"/>
      <c r="N115" s="153"/>
      <c r="O115" s="153" t="s">
        <v>6597</v>
      </c>
      <c r="P115" s="153" t="s">
        <v>2429</v>
      </c>
      <c r="Q115" s="153"/>
      <c r="R115" s="153"/>
      <c r="S115" s="153"/>
      <c r="T115" s="153"/>
      <c r="U115" s="153"/>
      <c r="V115" s="153" t="s">
        <v>2435</v>
      </c>
      <c r="W115" s="153" t="s">
        <v>2429</v>
      </c>
      <c r="X115" s="153" t="s">
        <v>8005</v>
      </c>
      <c r="Y115" s="153"/>
      <c r="Z115" s="153"/>
      <c r="AA115" s="153"/>
      <c r="AB115" s="153" t="s">
        <v>7003</v>
      </c>
      <c r="AC115" s="153" t="s">
        <v>2432</v>
      </c>
      <c r="AD115" s="165" t="s">
        <v>2433</v>
      </c>
      <c r="AE115" s="153"/>
      <c r="AF115" s="153"/>
      <c r="AG115" s="153"/>
    </row>
    <row r="116">
      <c r="A116" s="238">
        <v>2024.0</v>
      </c>
      <c r="B116" s="230">
        <v>120.0</v>
      </c>
      <c r="C116" s="153" t="s">
        <v>257</v>
      </c>
      <c r="D116" s="153" t="s">
        <v>258</v>
      </c>
      <c r="E116" s="153" t="s">
        <v>2609</v>
      </c>
      <c r="F116" s="153" t="s">
        <v>2610</v>
      </c>
      <c r="G116" s="153" t="s">
        <v>6113</v>
      </c>
      <c r="H116" s="153" t="s">
        <v>8012</v>
      </c>
      <c r="I116" s="230" t="s">
        <v>6113</v>
      </c>
      <c r="J116" s="230"/>
      <c r="K116" s="230"/>
      <c r="L116" s="153" t="s">
        <v>151</v>
      </c>
      <c r="M116" s="153" t="s">
        <v>2612</v>
      </c>
      <c r="N116" s="153"/>
      <c r="O116" s="153" t="s">
        <v>6602</v>
      </c>
      <c r="P116" s="153" t="s">
        <v>2614</v>
      </c>
      <c r="Q116" s="153"/>
      <c r="R116" s="153"/>
      <c r="S116" s="153"/>
      <c r="T116" s="153"/>
      <c r="U116" s="153"/>
      <c r="V116" s="153"/>
      <c r="W116" s="153" t="s">
        <v>2614</v>
      </c>
      <c r="X116" s="153" t="s">
        <v>8007</v>
      </c>
      <c r="Y116" s="153"/>
      <c r="Z116" s="153"/>
      <c r="AA116" s="153"/>
      <c r="AB116" s="153" t="s">
        <v>7003</v>
      </c>
      <c r="AC116" s="153" t="s">
        <v>2615</v>
      </c>
      <c r="AD116" s="165" t="s">
        <v>2616</v>
      </c>
      <c r="AE116" s="153"/>
      <c r="AF116" s="153"/>
      <c r="AG116" s="153"/>
    </row>
    <row r="117">
      <c r="A117" s="238">
        <v>2024.0</v>
      </c>
      <c r="B117" s="230">
        <v>121.0</v>
      </c>
      <c r="C117" s="153" t="s">
        <v>257</v>
      </c>
      <c r="D117" s="153" t="s">
        <v>258</v>
      </c>
      <c r="E117" s="153" t="s">
        <v>6577</v>
      </c>
      <c r="F117" s="153" t="s">
        <v>2310</v>
      </c>
      <c r="G117" s="153" t="s">
        <v>6113</v>
      </c>
      <c r="H117" s="153"/>
      <c r="I117" s="230">
        <v>1990.0</v>
      </c>
      <c r="J117" s="230"/>
      <c r="K117" s="230"/>
      <c r="L117" s="153" t="s">
        <v>151</v>
      </c>
      <c r="M117" s="153"/>
      <c r="N117" s="153"/>
      <c r="O117" s="153" t="s">
        <v>6506</v>
      </c>
      <c r="P117" s="153"/>
      <c r="Q117" s="153"/>
      <c r="R117" s="153"/>
      <c r="S117" s="153"/>
      <c r="T117" s="153"/>
      <c r="U117" s="153"/>
      <c r="V117" s="153"/>
      <c r="W117" s="153" t="s">
        <v>2304</v>
      </c>
      <c r="X117" s="153" t="s">
        <v>8005</v>
      </c>
      <c r="Y117" s="153" t="s">
        <v>8013</v>
      </c>
      <c r="Z117" s="153"/>
      <c r="AA117" s="153"/>
      <c r="AB117" s="153" t="s">
        <v>8004</v>
      </c>
      <c r="AC117" s="153" t="s">
        <v>6060</v>
      </c>
      <c r="AD117" s="172" t="s">
        <v>2873</v>
      </c>
      <c r="AE117" s="153"/>
      <c r="AF117" s="153"/>
      <c r="AG117" s="153"/>
    </row>
    <row r="118">
      <c r="A118" s="238">
        <v>2024.0</v>
      </c>
      <c r="B118" s="230">
        <v>122.0</v>
      </c>
      <c r="C118" s="153" t="s">
        <v>257</v>
      </c>
      <c r="D118" s="153" t="s">
        <v>258</v>
      </c>
      <c r="E118" s="153" t="s">
        <v>1752</v>
      </c>
      <c r="F118" s="153" t="s">
        <v>1753</v>
      </c>
      <c r="G118" s="153" t="s">
        <v>6609</v>
      </c>
      <c r="H118" s="153"/>
      <c r="I118" s="230">
        <v>2019.0</v>
      </c>
      <c r="J118" s="230"/>
      <c r="K118" s="230"/>
      <c r="L118" s="153" t="s">
        <v>151</v>
      </c>
      <c r="M118" s="153" t="s">
        <v>790</v>
      </c>
      <c r="N118" s="153"/>
      <c r="O118" s="153" t="s">
        <v>2513</v>
      </c>
      <c r="P118" s="153" t="s">
        <v>1757</v>
      </c>
      <c r="Q118" s="153"/>
      <c r="R118" s="153"/>
      <c r="S118" s="153"/>
      <c r="T118" s="153"/>
      <c r="U118" s="153"/>
      <c r="V118" s="153" t="s">
        <v>8014</v>
      </c>
      <c r="W118" s="153" t="s">
        <v>1757</v>
      </c>
      <c r="X118" s="153" t="s">
        <v>6035</v>
      </c>
      <c r="Y118" s="153" t="s">
        <v>6582</v>
      </c>
      <c r="Z118" s="153" t="s">
        <v>1759</v>
      </c>
      <c r="AA118" s="153"/>
      <c r="AB118" s="153" t="s">
        <v>8006</v>
      </c>
      <c r="AC118" s="153" t="s">
        <v>1760</v>
      </c>
      <c r="AD118" s="153" t="s">
        <v>6583</v>
      </c>
      <c r="AE118" s="153"/>
      <c r="AF118" s="153"/>
      <c r="AG118" s="153"/>
    </row>
    <row r="119">
      <c r="A119" s="238">
        <v>2024.0</v>
      </c>
      <c r="B119" s="230">
        <v>123.0</v>
      </c>
      <c r="C119" s="153" t="s">
        <v>257</v>
      </c>
      <c r="D119" s="153" t="s">
        <v>258</v>
      </c>
      <c r="E119" s="153" t="s">
        <v>1752</v>
      </c>
      <c r="F119" s="153" t="s">
        <v>1753</v>
      </c>
      <c r="G119" s="153" t="s">
        <v>872</v>
      </c>
      <c r="H119" s="153"/>
      <c r="I119" s="230">
        <v>2009.0</v>
      </c>
      <c r="J119" s="230"/>
      <c r="K119" s="230"/>
      <c r="L119" s="153" t="s">
        <v>151</v>
      </c>
      <c r="M119" s="153"/>
      <c r="N119" s="153"/>
      <c r="O119" s="153"/>
      <c r="P119" s="153" t="s">
        <v>872</v>
      </c>
      <c r="Q119" s="153"/>
      <c r="R119" s="153"/>
      <c r="S119" s="153"/>
      <c r="T119" s="153"/>
      <c r="U119" s="153"/>
      <c r="V119" s="153"/>
      <c r="W119" s="153" t="s">
        <v>872</v>
      </c>
      <c r="X119" s="153" t="s">
        <v>306</v>
      </c>
      <c r="Y119" s="153"/>
      <c r="Z119" s="153"/>
      <c r="AA119" s="153"/>
      <c r="AB119" s="153" t="s">
        <v>7003</v>
      </c>
      <c r="AC119" s="153" t="s">
        <v>1773</v>
      </c>
      <c r="AD119" s="165" t="s">
        <v>875</v>
      </c>
      <c r="AE119" s="153"/>
      <c r="AF119" s="153"/>
      <c r="AG119" s="153"/>
    </row>
    <row r="120">
      <c r="A120" s="238">
        <v>2024.0</v>
      </c>
      <c r="B120" s="230">
        <v>124.0</v>
      </c>
      <c r="C120" s="153" t="s">
        <v>257</v>
      </c>
      <c r="D120" s="153" t="s">
        <v>258</v>
      </c>
      <c r="E120" s="153" t="s">
        <v>1752</v>
      </c>
      <c r="F120" s="153" t="s">
        <v>1753</v>
      </c>
      <c r="G120" s="153" t="s">
        <v>6113</v>
      </c>
      <c r="H120" s="153"/>
      <c r="I120" s="230">
        <v>2022.0</v>
      </c>
      <c r="J120" s="230"/>
      <c r="K120" s="230"/>
      <c r="L120" s="153" t="s">
        <v>151</v>
      </c>
      <c r="M120" s="153"/>
      <c r="N120" s="153"/>
      <c r="O120" s="153" t="s">
        <v>2513</v>
      </c>
      <c r="P120" s="153" t="s">
        <v>6619</v>
      </c>
      <c r="Q120" s="153"/>
      <c r="R120" s="153"/>
      <c r="S120" s="153"/>
      <c r="T120" s="153"/>
      <c r="U120" s="153"/>
      <c r="V120" s="153"/>
      <c r="W120" s="153" t="s">
        <v>761</v>
      </c>
      <c r="X120" s="153" t="s">
        <v>6035</v>
      </c>
      <c r="Y120" s="153" t="s">
        <v>8015</v>
      </c>
      <c r="Z120" s="153"/>
      <c r="AA120" s="153"/>
      <c r="AB120" s="153" t="s">
        <v>8006</v>
      </c>
      <c r="AC120" s="153" t="s">
        <v>8016</v>
      </c>
      <c r="AD120" s="165" t="s">
        <v>8017</v>
      </c>
      <c r="AE120" s="153"/>
      <c r="AF120" s="153"/>
      <c r="AG120" s="153"/>
    </row>
    <row r="121">
      <c r="A121" s="238">
        <v>2024.0</v>
      </c>
      <c r="B121" s="230">
        <v>125.0</v>
      </c>
      <c r="C121" s="153" t="s">
        <v>257</v>
      </c>
      <c r="D121" s="153" t="s">
        <v>258</v>
      </c>
      <c r="E121" s="153" t="s">
        <v>1752</v>
      </c>
      <c r="F121" s="153" t="s">
        <v>1753</v>
      </c>
      <c r="G121" s="153" t="s">
        <v>6587</v>
      </c>
      <c r="H121" s="153"/>
      <c r="I121" s="230">
        <v>2018.0</v>
      </c>
      <c r="J121" s="230"/>
      <c r="K121" s="230"/>
      <c r="L121" s="153" t="s">
        <v>151</v>
      </c>
      <c r="M121" s="153"/>
      <c r="N121" s="153"/>
      <c r="O121" s="153"/>
      <c r="P121" s="153" t="s">
        <v>341</v>
      </c>
      <c r="Q121" s="153"/>
      <c r="R121" s="153"/>
      <c r="S121" s="153"/>
      <c r="T121" s="153"/>
      <c r="U121" s="153"/>
      <c r="V121" s="153"/>
      <c r="W121" s="153" t="s">
        <v>341</v>
      </c>
      <c r="X121" s="153" t="s">
        <v>6035</v>
      </c>
      <c r="Y121" s="153"/>
      <c r="Z121" s="153"/>
      <c r="AA121" s="153"/>
      <c r="AB121" s="153" t="s">
        <v>8006</v>
      </c>
      <c r="AC121" s="153" t="s">
        <v>8018</v>
      </c>
      <c r="AD121" s="165" t="s">
        <v>6622</v>
      </c>
      <c r="AE121" s="239"/>
      <c r="AF121" s="239"/>
      <c r="AG121" s="153"/>
    </row>
    <row r="122">
      <c r="A122" s="238">
        <v>2024.0</v>
      </c>
      <c r="B122" s="230">
        <v>126.0</v>
      </c>
      <c r="C122" s="153" t="s">
        <v>257</v>
      </c>
      <c r="D122" s="153" t="s">
        <v>258</v>
      </c>
      <c r="E122" s="153" t="s">
        <v>1752</v>
      </c>
      <c r="F122" s="153" t="s">
        <v>1753</v>
      </c>
      <c r="G122" s="153" t="s">
        <v>6587</v>
      </c>
      <c r="H122" s="153" t="s">
        <v>6631</v>
      </c>
      <c r="I122" s="230" t="s">
        <v>6113</v>
      </c>
      <c r="J122" s="230"/>
      <c r="K122" s="230"/>
      <c r="L122" s="153" t="s">
        <v>6062</v>
      </c>
      <c r="M122" s="153" t="s">
        <v>320</v>
      </c>
      <c r="N122" s="153"/>
      <c r="O122" s="153"/>
      <c r="P122" s="153" t="s">
        <v>341</v>
      </c>
      <c r="Q122" s="153"/>
      <c r="R122" s="153"/>
      <c r="S122" s="153"/>
      <c r="T122" s="153"/>
      <c r="U122" s="153"/>
      <c r="V122" s="153"/>
      <c r="W122" s="153" t="s">
        <v>341</v>
      </c>
      <c r="X122" s="153" t="s">
        <v>6035</v>
      </c>
      <c r="Y122" s="153"/>
      <c r="Z122" s="153"/>
      <c r="AA122" s="153"/>
      <c r="AB122" s="153" t="s">
        <v>6038</v>
      </c>
      <c r="AC122" s="153" t="s">
        <v>2144</v>
      </c>
      <c r="AD122" s="239" t="s">
        <v>2145</v>
      </c>
      <c r="AE122" s="153"/>
      <c r="AF122" s="153"/>
      <c r="AG122" s="153"/>
    </row>
    <row r="123">
      <c r="A123" s="238">
        <v>2024.0</v>
      </c>
      <c r="B123" s="230">
        <v>127.0</v>
      </c>
      <c r="C123" s="153" t="s">
        <v>257</v>
      </c>
      <c r="D123" s="153" t="s">
        <v>258</v>
      </c>
      <c r="E123" s="153" t="s">
        <v>1752</v>
      </c>
      <c r="F123" s="153" t="s">
        <v>1753</v>
      </c>
      <c r="G123" s="153" t="s">
        <v>2098</v>
      </c>
      <c r="H123" s="153" t="s">
        <v>2099</v>
      </c>
      <c r="I123" s="153" t="s">
        <v>6113</v>
      </c>
      <c r="J123" s="153"/>
      <c r="K123" s="153"/>
      <c r="L123" s="153" t="s">
        <v>151</v>
      </c>
      <c r="M123" s="153"/>
      <c r="N123" s="153"/>
      <c r="O123" s="153"/>
      <c r="P123" s="153"/>
      <c r="Q123" s="153"/>
      <c r="R123" s="153"/>
      <c r="S123" s="153"/>
      <c r="T123" s="153"/>
      <c r="U123" s="153"/>
      <c r="V123" s="153"/>
      <c r="W123" s="153" t="s">
        <v>369</v>
      </c>
      <c r="X123" s="153" t="s">
        <v>6035</v>
      </c>
      <c r="Y123" s="153"/>
      <c r="Z123" s="153"/>
      <c r="AA123" s="153"/>
      <c r="AB123" s="153" t="s">
        <v>6084</v>
      </c>
      <c r="AC123" s="153" t="s">
        <v>823</v>
      </c>
      <c r="AD123" s="165" t="s">
        <v>824</v>
      </c>
      <c r="AE123" s="153"/>
      <c r="AF123" s="153"/>
      <c r="AG123" s="153"/>
    </row>
    <row r="124">
      <c r="A124" s="238">
        <v>2024.0</v>
      </c>
      <c r="B124" s="230">
        <v>128.0</v>
      </c>
      <c r="C124" s="153" t="s">
        <v>257</v>
      </c>
      <c r="D124" s="153" t="s">
        <v>258</v>
      </c>
      <c r="E124" s="153" t="s">
        <v>1890</v>
      </c>
      <c r="F124" s="153" t="s">
        <v>1891</v>
      </c>
      <c r="G124" s="153" t="s">
        <v>1892</v>
      </c>
      <c r="H124" s="153" t="s">
        <v>1893</v>
      </c>
      <c r="I124" s="230">
        <v>2017.0</v>
      </c>
      <c r="J124" s="230"/>
      <c r="K124" s="230"/>
      <c r="L124" s="153" t="s">
        <v>151</v>
      </c>
      <c r="M124" s="153"/>
      <c r="N124" s="153"/>
      <c r="O124" s="153"/>
      <c r="T124" s="153"/>
      <c r="U124" s="153"/>
      <c r="V124" s="153"/>
      <c r="W124" s="158" t="s">
        <v>1897</v>
      </c>
      <c r="X124" s="158" t="s">
        <v>271</v>
      </c>
      <c r="Y124" s="153" t="s">
        <v>341</v>
      </c>
      <c r="Z124" s="153" t="s">
        <v>1896</v>
      </c>
      <c r="AA124" s="153"/>
      <c r="AB124" s="153" t="s">
        <v>7003</v>
      </c>
      <c r="AC124" s="153" t="s">
        <v>1898</v>
      </c>
      <c r="AD124" s="165" t="s">
        <v>1899</v>
      </c>
      <c r="AE124" s="153"/>
      <c r="AF124" s="153"/>
      <c r="AG124" s="153"/>
    </row>
    <row r="125">
      <c r="A125" s="238">
        <v>2024.0</v>
      </c>
      <c r="B125" s="230">
        <v>129.0</v>
      </c>
      <c r="C125" s="153" t="s">
        <v>257</v>
      </c>
      <c r="D125" s="153" t="s">
        <v>258</v>
      </c>
      <c r="E125" s="153" t="s">
        <v>1958</v>
      </c>
      <c r="F125" s="153" t="s">
        <v>1959</v>
      </c>
      <c r="G125" s="153" t="s">
        <v>6113</v>
      </c>
      <c r="H125" s="153"/>
      <c r="I125" s="230">
        <v>2014.0</v>
      </c>
      <c r="J125" s="230"/>
      <c r="K125" s="230"/>
      <c r="L125" s="153" t="s">
        <v>151</v>
      </c>
      <c r="M125" s="153"/>
      <c r="N125" s="153"/>
      <c r="O125" s="153" t="s">
        <v>152</v>
      </c>
      <c r="P125" s="153" t="s">
        <v>369</v>
      </c>
      <c r="Q125" s="153"/>
      <c r="R125" s="153"/>
      <c r="S125" s="153"/>
      <c r="T125" s="153"/>
      <c r="U125" s="153"/>
      <c r="V125" s="153"/>
      <c r="W125" s="153" t="s">
        <v>369</v>
      </c>
      <c r="X125" s="153" t="s">
        <v>6035</v>
      </c>
      <c r="Y125" s="153" t="s">
        <v>390</v>
      </c>
      <c r="Z125" s="153"/>
      <c r="AA125" s="153"/>
      <c r="AB125" s="153" t="s">
        <v>8006</v>
      </c>
      <c r="AC125" s="153" t="s">
        <v>2445</v>
      </c>
      <c r="AD125" s="165" t="s">
        <v>2442</v>
      </c>
      <c r="AE125" s="153"/>
      <c r="AF125" s="153"/>
      <c r="AG125" s="153"/>
    </row>
    <row r="126">
      <c r="A126" s="238">
        <v>2024.0</v>
      </c>
      <c r="B126" s="230">
        <v>130.0</v>
      </c>
      <c r="C126" s="153" t="s">
        <v>257</v>
      </c>
      <c r="D126" s="153" t="s">
        <v>258</v>
      </c>
      <c r="E126" s="153" t="s">
        <v>1958</v>
      </c>
      <c r="F126" s="153" t="s">
        <v>1959</v>
      </c>
      <c r="G126" s="153" t="s">
        <v>6113</v>
      </c>
      <c r="H126" s="153"/>
      <c r="I126" s="230">
        <v>2015.0</v>
      </c>
      <c r="J126" s="230"/>
      <c r="K126" s="230"/>
      <c r="L126" s="153" t="s">
        <v>151</v>
      </c>
      <c r="M126" s="153"/>
      <c r="N126" s="153"/>
      <c r="O126" s="153" t="s">
        <v>152</v>
      </c>
      <c r="P126" s="153" t="s">
        <v>369</v>
      </c>
      <c r="Q126" s="153"/>
      <c r="R126" s="153"/>
      <c r="S126" s="153"/>
      <c r="T126" s="153"/>
      <c r="U126" s="153"/>
      <c r="V126" s="153"/>
      <c r="W126" s="153" t="s">
        <v>369</v>
      </c>
      <c r="X126" s="153" t="s">
        <v>6035</v>
      </c>
      <c r="Y126" s="153" t="s">
        <v>390</v>
      </c>
      <c r="Z126" s="153"/>
      <c r="AA126" s="153"/>
      <c r="AB126" s="153" t="s">
        <v>8006</v>
      </c>
      <c r="AC126" s="153" t="s">
        <v>2445</v>
      </c>
      <c r="AD126" s="153" t="s">
        <v>2446</v>
      </c>
      <c r="AE126" s="153"/>
      <c r="AF126" s="153"/>
      <c r="AG126" s="153"/>
    </row>
    <row r="127">
      <c r="A127" s="238">
        <v>2024.0</v>
      </c>
      <c r="B127" s="230">
        <v>131.0</v>
      </c>
      <c r="C127" s="153" t="s">
        <v>257</v>
      </c>
      <c r="D127" s="153" t="s">
        <v>258</v>
      </c>
      <c r="E127" s="153" t="s">
        <v>1958</v>
      </c>
      <c r="F127" s="153" t="s">
        <v>1959</v>
      </c>
      <c r="G127" s="153" t="s">
        <v>6113</v>
      </c>
      <c r="H127" s="153"/>
      <c r="I127" s="230">
        <v>2016.0</v>
      </c>
      <c r="J127" s="230"/>
      <c r="K127" s="230"/>
      <c r="L127" s="153" t="s">
        <v>151</v>
      </c>
      <c r="M127" s="153"/>
      <c r="N127" s="153"/>
      <c r="O127" s="153" t="s">
        <v>152</v>
      </c>
      <c r="P127" s="153" t="s">
        <v>369</v>
      </c>
      <c r="Q127" s="153"/>
      <c r="R127" s="153"/>
      <c r="S127" s="153"/>
      <c r="T127" s="153"/>
      <c r="U127" s="153"/>
      <c r="V127" s="153"/>
      <c r="W127" s="153" t="s">
        <v>369</v>
      </c>
      <c r="X127" s="153" t="s">
        <v>6035</v>
      </c>
      <c r="Y127" s="153" t="s">
        <v>390</v>
      </c>
      <c r="Z127" s="153"/>
      <c r="AA127" s="153"/>
      <c r="AB127" s="153" t="s">
        <v>8006</v>
      </c>
      <c r="AC127" s="153" t="s">
        <v>2445</v>
      </c>
      <c r="AD127" s="153" t="s">
        <v>2446</v>
      </c>
      <c r="AE127" s="153"/>
      <c r="AF127" s="153"/>
      <c r="AG127" s="153"/>
    </row>
    <row r="128">
      <c r="A128" s="238">
        <v>2024.0</v>
      </c>
      <c r="B128" s="230">
        <v>132.0</v>
      </c>
      <c r="C128" s="153" t="s">
        <v>257</v>
      </c>
      <c r="D128" s="153" t="s">
        <v>258</v>
      </c>
      <c r="E128" s="153" t="s">
        <v>1958</v>
      </c>
      <c r="F128" s="153" t="s">
        <v>1959</v>
      </c>
      <c r="G128" s="153" t="s">
        <v>6235</v>
      </c>
      <c r="H128" s="153"/>
      <c r="I128" s="230">
        <v>2023.0</v>
      </c>
      <c r="J128" s="192">
        <v>2021.0</v>
      </c>
      <c r="K128" s="192">
        <v>2025.0</v>
      </c>
      <c r="L128" s="153" t="s">
        <v>6221</v>
      </c>
      <c r="M128" s="153" t="s">
        <v>200</v>
      </c>
      <c r="N128" s="153"/>
      <c r="O128" s="153"/>
      <c r="P128" s="153" t="s">
        <v>203</v>
      </c>
      <c r="Q128" s="153"/>
      <c r="R128" s="153"/>
      <c r="S128" s="153"/>
      <c r="T128" s="153"/>
      <c r="U128" s="153"/>
      <c r="V128" s="153"/>
      <c r="W128" s="153" t="s">
        <v>208</v>
      </c>
      <c r="X128" s="153" t="s">
        <v>209</v>
      </c>
      <c r="Y128" s="153" t="s">
        <v>6614</v>
      </c>
      <c r="Z128" s="153"/>
      <c r="AA128" s="153"/>
      <c r="AB128" s="153" t="s">
        <v>214</v>
      </c>
      <c r="AC128" s="153" t="s">
        <v>214</v>
      </c>
      <c r="AD128" s="153"/>
      <c r="AE128" s="153"/>
      <c r="AF128" s="153"/>
      <c r="AG128" s="153"/>
    </row>
    <row r="129">
      <c r="A129" s="238">
        <v>2024.0</v>
      </c>
      <c r="B129" s="230">
        <v>133.0</v>
      </c>
      <c r="C129" s="153" t="s">
        <v>257</v>
      </c>
      <c r="D129" s="153" t="s">
        <v>258</v>
      </c>
      <c r="E129" s="153" t="s">
        <v>1255</v>
      </c>
      <c r="F129" s="153" t="s">
        <v>1256</v>
      </c>
      <c r="G129" s="153" t="s">
        <v>1921</v>
      </c>
      <c r="H129" s="153" t="s">
        <v>6617</v>
      </c>
      <c r="I129" s="230" t="s">
        <v>8019</v>
      </c>
      <c r="J129" s="153"/>
      <c r="K129" s="153"/>
      <c r="L129" s="153" t="s">
        <v>151</v>
      </c>
      <c r="M129" s="153" t="s">
        <v>851</v>
      </c>
      <c r="N129" s="153"/>
      <c r="O129" s="153" t="s">
        <v>1923</v>
      </c>
      <c r="P129" s="153" t="s">
        <v>1924</v>
      </c>
      <c r="Q129" s="153"/>
      <c r="R129" s="153"/>
      <c r="S129" s="153"/>
      <c r="T129" s="153"/>
      <c r="U129" s="153"/>
      <c r="V129" s="153" t="s">
        <v>1925</v>
      </c>
      <c r="W129" s="153" t="s">
        <v>1926</v>
      </c>
      <c r="X129" s="153" t="s">
        <v>271</v>
      </c>
      <c r="Y129" s="153"/>
      <c r="Z129" s="153" t="s">
        <v>724</v>
      </c>
      <c r="AA129" s="153"/>
      <c r="AB129" s="153" t="s">
        <v>7902</v>
      </c>
      <c r="AC129" s="153" t="s">
        <v>1927</v>
      </c>
      <c r="AD129" s="165" t="s">
        <v>1928</v>
      </c>
      <c r="AE129" s="153"/>
      <c r="AF129" s="153"/>
      <c r="AG129" s="153"/>
    </row>
    <row r="130">
      <c r="A130" s="238">
        <v>2024.0</v>
      </c>
      <c r="B130" s="230">
        <v>134.0</v>
      </c>
      <c r="C130" s="153" t="s">
        <v>257</v>
      </c>
      <c r="D130" s="153" t="s">
        <v>258</v>
      </c>
      <c r="E130" s="153" t="s">
        <v>1255</v>
      </c>
      <c r="F130" s="153" t="s">
        <v>1256</v>
      </c>
      <c r="G130" s="153" t="s">
        <v>1901</v>
      </c>
      <c r="H130" s="153"/>
      <c r="I130" s="230">
        <v>2017.0</v>
      </c>
      <c r="J130" s="230"/>
      <c r="K130" s="230"/>
      <c r="L130" s="153" t="s">
        <v>6624</v>
      </c>
      <c r="M130" s="153" t="s">
        <v>6288</v>
      </c>
      <c r="N130" s="153"/>
      <c r="O130" s="153" t="s">
        <v>8020</v>
      </c>
      <c r="P130" s="153" t="s">
        <v>1906</v>
      </c>
      <c r="Q130" s="153"/>
      <c r="R130" s="153"/>
      <c r="S130" s="153"/>
      <c r="T130" s="153"/>
      <c r="U130" s="153"/>
      <c r="V130" s="153"/>
      <c r="W130" s="153" t="s">
        <v>1906</v>
      </c>
      <c r="X130" s="153" t="s">
        <v>8007</v>
      </c>
      <c r="Y130" s="153"/>
      <c r="Z130" s="153"/>
      <c r="AA130" s="153"/>
      <c r="AB130" s="153" t="s">
        <v>7902</v>
      </c>
      <c r="AC130" s="153" t="s">
        <v>1907</v>
      </c>
      <c r="AD130" s="165" t="s">
        <v>1908</v>
      </c>
      <c r="AE130" s="153"/>
      <c r="AF130" s="153"/>
      <c r="AG130" s="153"/>
    </row>
    <row r="131">
      <c r="A131" s="238">
        <v>2024.0</v>
      </c>
      <c r="B131" s="230">
        <v>135.0</v>
      </c>
      <c r="C131" s="153" t="s">
        <v>257</v>
      </c>
      <c r="D131" s="153" t="s">
        <v>258</v>
      </c>
      <c r="E131" s="153" t="s">
        <v>1255</v>
      </c>
      <c r="F131" s="153" t="s">
        <v>1256</v>
      </c>
      <c r="G131" s="153" t="s">
        <v>1174</v>
      </c>
      <c r="H131" s="153"/>
      <c r="I131" s="230" t="s">
        <v>6113</v>
      </c>
      <c r="J131" s="230">
        <v>2012.0</v>
      </c>
      <c r="K131" s="230">
        <v>2013.0</v>
      </c>
      <c r="L131" s="153" t="s">
        <v>6062</v>
      </c>
      <c r="M131" s="153" t="s">
        <v>320</v>
      </c>
      <c r="N131" s="153"/>
      <c r="O131" s="153"/>
      <c r="P131" s="153" t="s">
        <v>321</v>
      </c>
      <c r="Q131" s="153"/>
      <c r="R131" s="153"/>
      <c r="S131" s="153"/>
      <c r="T131" s="153"/>
      <c r="U131" s="153"/>
      <c r="V131" s="153" t="s">
        <v>6655</v>
      </c>
      <c r="W131" s="153" t="s">
        <v>885</v>
      </c>
      <c r="X131" s="153" t="s">
        <v>209</v>
      </c>
      <c r="Y131" s="153" t="s">
        <v>1259</v>
      </c>
      <c r="Z131" s="153"/>
      <c r="AA131" s="153"/>
      <c r="AB131" s="153" t="s">
        <v>6084</v>
      </c>
      <c r="AC131" s="153" t="s">
        <v>1260</v>
      </c>
      <c r="AD131" s="153" t="s">
        <v>6070</v>
      </c>
      <c r="AE131" s="153"/>
      <c r="AF131" s="153"/>
      <c r="AG131" s="153"/>
    </row>
    <row r="132">
      <c r="A132" s="238">
        <v>2024.0</v>
      </c>
      <c r="B132" s="230">
        <v>136.0</v>
      </c>
      <c r="C132" s="153" t="s">
        <v>257</v>
      </c>
      <c r="D132" s="153" t="s">
        <v>258</v>
      </c>
      <c r="E132" s="153" t="s">
        <v>1255</v>
      </c>
      <c r="F132" s="153" t="s">
        <v>1256</v>
      </c>
      <c r="G132" s="153" t="s">
        <v>6659</v>
      </c>
      <c r="H132" s="153" t="s">
        <v>8021</v>
      </c>
      <c r="I132" s="230">
        <v>2016.0</v>
      </c>
      <c r="J132" s="230"/>
      <c r="K132" s="230"/>
      <c r="L132" s="153" t="s">
        <v>8022</v>
      </c>
      <c r="M132" s="153" t="s">
        <v>2082</v>
      </c>
      <c r="N132" s="153"/>
      <c r="O132" s="153" t="s">
        <v>6660</v>
      </c>
      <c r="P132" s="153" t="s">
        <v>2084</v>
      </c>
      <c r="Q132" s="153"/>
      <c r="R132" s="153"/>
      <c r="S132" s="153"/>
      <c r="T132" s="153"/>
      <c r="U132" s="153"/>
      <c r="V132" s="153" t="s">
        <v>6637</v>
      </c>
      <c r="W132" s="153" t="s">
        <v>6661</v>
      </c>
      <c r="X132" s="153" t="s">
        <v>8005</v>
      </c>
      <c r="Y132" s="153" t="s">
        <v>2087</v>
      </c>
      <c r="Z132" s="153"/>
      <c r="AA132" s="153"/>
      <c r="AB132" s="153" t="s">
        <v>8006</v>
      </c>
      <c r="AC132" s="153" t="s">
        <v>8023</v>
      </c>
      <c r="AD132" s="165" t="s">
        <v>2090</v>
      </c>
      <c r="AE132" s="153"/>
      <c r="AF132" s="153"/>
      <c r="AG132" s="153"/>
    </row>
    <row r="133">
      <c r="A133" s="238">
        <v>2024.0</v>
      </c>
      <c r="B133" s="230">
        <v>137.0</v>
      </c>
      <c r="C133" s="153" t="s">
        <v>257</v>
      </c>
      <c r="D133" s="153" t="s">
        <v>258</v>
      </c>
      <c r="E133" s="153" t="s">
        <v>259</v>
      </c>
      <c r="F133" s="153" t="s">
        <v>260</v>
      </c>
      <c r="G133" s="153" t="s">
        <v>261</v>
      </c>
      <c r="H133" s="153"/>
      <c r="I133" s="230">
        <v>2012.0</v>
      </c>
      <c r="J133" s="230"/>
      <c r="K133" s="230"/>
      <c r="L133" s="153" t="s">
        <v>6624</v>
      </c>
      <c r="M133" s="153" t="s">
        <v>6666</v>
      </c>
      <c r="N133" s="153"/>
      <c r="O133" s="153" t="s">
        <v>6667</v>
      </c>
      <c r="P133" s="153" t="s">
        <v>270</v>
      </c>
      <c r="Q133" s="153"/>
      <c r="R133" s="153"/>
      <c r="S133" s="153"/>
      <c r="T133" s="153"/>
      <c r="U133" s="153"/>
      <c r="V133" s="153"/>
      <c r="W133" s="153" t="s">
        <v>6643</v>
      </c>
      <c r="X133" s="153" t="s">
        <v>271</v>
      </c>
      <c r="Y133" s="153"/>
      <c r="Z133" s="153"/>
      <c r="AA133" s="153"/>
      <c r="AB133" s="153" t="s">
        <v>8006</v>
      </c>
      <c r="AC133" s="153" t="s">
        <v>274</v>
      </c>
      <c r="AD133" s="172" t="s">
        <v>8024</v>
      </c>
      <c r="AE133" s="153"/>
      <c r="AF133" s="153"/>
      <c r="AG133" s="153"/>
    </row>
    <row r="134">
      <c r="A134" s="238">
        <v>2024.0</v>
      </c>
      <c r="B134" s="230">
        <v>138.0</v>
      </c>
      <c r="C134" s="153" t="s">
        <v>257</v>
      </c>
      <c r="D134" s="153" t="s">
        <v>258</v>
      </c>
      <c r="E134" s="153" t="s">
        <v>259</v>
      </c>
      <c r="F134" s="153" t="s">
        <v>260</v>
      </c>
      <c r="G134" s="153" t="s">
        <v>6113</v>
      </c>
      <c r="H134" s="153"/>
      <c r="I134" s="230">
        <v>2018.0</v>
      </c>
      <c r="J134" s="230"/>
      <c r="K134" s="230"/>
      <c r="L134" s="153" t="s">
        <v>151</v>
      </c>
      <c r="M134" s="153"/>
      <c r="N134" s="153"/>
      <c r="O134" s="153"/>
      <c r="P134" s="153" t="s">
        <v>6671</v>
      </c>
      <c r="Q134" s="153"/>
      <c r="R134" s="153"/>
      <c r="S134" s="153"/>
      <c r="T134" s="153"/>
      <c r="U134" s="153"/>
      <c r="V134" s="153"/>
      <c r="W134" s="153" t="s">
        <v>6672</v>
      </c>
      <c r="X134" s="153" t="s">
        <v>6035</v>
      </c>
      <c r="Y134" s="153" t="s">
        <v>341</v>
      </c>
      <c r="Z134" s="153" t="s">
        <v>6673</v>
      </c>
      <c r="AA134" s="153" t="s">
        <v>3042</v>
      </c>
      <c r="AB134" s="153" t="s">
        <v>7003</v>
      </c>
      <c r="AC134" s="153" t="s">
        <v>3043</v>
      </c>
      <c r="AD134" s="165" t="s">
        <v>3044</v>
      </c>
      <c r="AE134" s="153"/>
      <c r="AF134" s="153"/>
      <c r="AG134" s="153"/>
    </row>
    <row r="135">
      <c r="A135" s="238">
        <v>2024.0</v>
      </c>
      <c r="B135" s="230">
        <v>139.0</v>
      </c>
      <c r="C135" s="153" t="s">
        <v>257</v>
      </c>
      <c r="D135" s="153" t="s">
        <v>258</v>
      </c>
      <c r="E135" s="153" t="s">
        <v>1667</v>
      </c>
      <c r="F135" s="153" t="s">
        <v>3010</v>
      </c>
      <c r="G135" s="153" t="s">
        <v>6113</v>
      </c>
      <c r="H135" s="153"/>
      <c r="I135" s="230">
        <v>1984.0</v>
      </c>
      <c r="J135" s="230"/>
      <c r="K135" s="230"/>
      <c r="L135" s="153" t="s">
        <v>151</v>
      </c>
      <c r="M135" s="153"/>
      <c r="N135" s="153"/>
      <c r="O135" s="153"/>
      <c r="P135" s="153"/>
      <c r="Q135" s="153"/>
      <c r="R135" s="153"/>
      <c r="S135" s="153"/>
      <c r="T135" s="153"/>
      <c r="U135" s="153"/>
      <c r="V135" s="153"/>
      <c r="W135" s="153" t="s">
        <v>6113</v>
      </c>
      <c r="X135" s="153" t="s">
        <v>6113</v>
      </c>
      <c r="Y135" s="153"/>
      <c r="Z135" s="153"/>
      <c r="AA135" s="153"/>
      <c r="AB135" s="153" t="s">
        <v>8004</v>
      </c>
      <c r="AC135" s="153" t="s">
        <v>6060</v>
      </c>
      <c r="AD135" s="153" t="s">
        <v>2873</v>
      </c>
      <c r="AE135" s="153" t="s">
        <v>398</v>
      </c>
      <c r="AF135" s="153"/>
      <c r="AG135" s="153"/>
    </row>
    <row r="136">
      <c r="A136" s="238">
        <v>2024.0</v>
      </c>
      <c r="B136" s="230">
        <v>140.0</v>
      </c>
      <c r="C136" s="153" t="s">
        <v>257</v>
      </c>
      <c r="D136" s="153" t="s">
        <v>258</v>
      </c>
      <c r="E136" s="153" t="s">
        <v>491</v>
      </c>
      <c r="F136" s="153" t="s">
        <v>492</v>
      </c>
      <c r="G136" s="153" t="s">
        <v>384</v>
      </c>
      <c r="H136" s="153" t="s">
        <v>6678</v>
      </c>
      <c r="I136" s="230">
        <v>1982.0</v>
      </c>
      <c r="J136" s="230"/>
      <c r="K136" s="230"/>
      <c r="L136" s="153" t="s">
        <v>151</v>
      </c>
      <c r="M136" s="153" t="s">
        <v>6076</v>
      </c>
      <c r="N136" s="153"/>
      <c r="O136" s="153"/>
      <c r="P136" s="153" t="s">
        <v>390</v>
      </c>
      <c r="Q136" s="153"/>
      <c r="R136" s="153"/>
      <c r="S136" s="153"/>
      <c r="T136" s="153"/>
      <c r="U136" s="153"/>
      <c r="V136" s="153" t="s">
        <v>2862</v>
      </c>
      <c r="W136" s="153" t="s">
        <v>390</v>
      </c>
      <c r="X136" s="153" t="s">
        <v>6035</v>
      </c>
      <c r="Y136" s="153" t="s">
        <v>6055</v>
      </c>
      <c r="Z136" s="153"/>
      <c r="AA136" s="153"/>
      <c r="AB136" s="153" t="s">
        <v>6084</v>
      </c>
      <c r="AC136" s="153" t="s">
        <v>8025</v>
      </c>
      <c r="AD136" s="165" t="s">
        <v>6080</v>
      </c>
      <c r="AE136" s="153"/>
      <c r="AF136" s="153"/>
      <c r="AG136" s="153"/>
    </row>
    <row r="137">
      <c r="A137" s="238">
        <v>2024.0</v>
      </c>
      <c r="B137" s="230">
        <v>141.0</v>
      </c>
      <c r="C137" s="153" t="s">
        <v>257</v>
      </c>
      <c r="D137" s="153" t="s">
        <v>258</v>
      </c>
      <c r="E137" s="153" t="s">
        <v>491</v>
      </c>
      <c r="F137" s="153" t="s">
        <v>492</v>
      </c>
      <c r="G137" s="153" t="s">
        <v>384</v>
      </c>
      <c r="H137" s="153" t="s">
        <v>6678</v>
      </c>
      <c r="I137" s="230">
        <v>1984.0</v>
      </c>
      <c r="J137" s="230"/>
      <c r="K137" s="230"/>
      <c r="L137" s="153" t="s">
        <v>151</v>
      </c>
      <c r="M137" s="153" t="s">
        <v>6054</v>
      </c>
      <c r="N137" s="153"/>
      <c r="O137" s="153"/>
      <c r="P137" s="153" t="s">
        <v>390</v>
      </c>
      <c r="Q137" s="153"/>
      <c r="R137" s="153"/>
      <c r="S137" s="153"/>
      <c r="T137" s="153"/>
      <c r="U137" s="153"/>
      <c r="V137" s="153" t="s">
        <v>450</v>
      </c>
      <c r="W137" s="153" t="s">
        <v>390</v>
      </c>
      <c r="X137" s="153" t="s">
        <v>6035</v>
      </c>
      <c r="Y137" s="153" t="s">
        <v>6055</v>
      </c>
      <c r="Z137" s="153"/>
      <c r="AA137" s="153"/>
      <c r="AB137" s="153" t="s">
        <v>6084</v>
      </c>
      <c r="AC137" s="153" t="s">
        <v>8026</v>
      </c>
      <c r="AD137" s="153" t="s">
        <v>6080</v>
      </c>
      <c r="AE137" s="153"/>
      <c r="AF137" s="153"/>
      <c r="AG137" s="153"/>
    </row>
    <row r="138">
      <c r="A138" s="238">
        <v>2024.0</v>
      </c>
      <c r="B138" s="230">
        <v>142.0</v>
      </c>
      <c r="C138" s="153" t="s">
        <v>257</v>
      </c>
      <c r="D138" s="153" t="s">
        <v>258</v>
      </c>
      <c r="E138" s="153" t="s">
        <v>491</v>
      </c>
      <c r="F138" s="153" t="s">
        <v>492</v>
      </c>
      <c r="G138" s="153" t="s">
        <v>384</v>
      </c>
      <c r="H138" s="153" t="s">
        <v>6678</v>
      </c>
      <c r="I138" s="230">
        <v>1984.0</v>
      </c>
      <c r="J138" s="230"/>
      <c r="K138" s="230"/>
      <c r="L138" s="153" t="s">
        <v>151</v>
      </c>
      <c r="M138" s="153" t="s">
        <v>6054</v>
      </c>
      <c r="N138" s="153"/>
      <c r="O138" s="153"/>
      <c r="P138" s="153" t="s">
        <v>390</v>
      </c>
      <c r="Q138" s="153"/>
      <c r="R138" s="153"/>
      <c r="S138" s="153"/>
      <c r="T138" s="153"/>
      <c r="U138" s="153"/>
      <c r="V138" s="153" t="s">
        <v>6663</v>
      </c>
      <c r="W138" s="153" t="s">
        <v>390</v>
      </c>
      <c r="X138" s="153" t="s">
        <v>6035</v>
      </c>
      <c r="Y138" s="153" t="s">
        <v>6055</v>
      </c>
      <c r="Z138" s="153"/>
      <c r="AA138" s="153"/>
      <c r="AB138" s="153" t="s">
        <v>6084</v>
      </c>
      <c r="AC138" s="153" t="s">
        <v>8027</v>
      </c>
      <c r="AD138" s="153" t="s">
        <v>6080</v>
      </c>
      <c r="AE138" s="153"/>
      <c r="AF138" s="153"/>
      <c r="AG138" s="153"/>
    </row>
    <row r="139">
      <c r="A139" s="238">
        <v>2024.0</v>
      </c>
      <c r="B139" s="230">
        <v>143.0</v>
      </c>
      <c r="C139" s="153" t="s">
        <v>257</v>
      </c>
      <c r="D139" s="153" t="s">
        <v>258</v>
      </c>
      <c r="E139" s="153" t="s">
        <v>491</v>
      </c>
      <c r="F139" s="153" t="s">
        <v>492</v>
      </c>
      <c r="G139" s="153" t="s">
        <v>384</v>
      </c>
      <c r="H139" s="153" t="s">
        <v>6678</v>
      </c>
      <c r="I139" s="230">
        <v>1985.0</v>
      </c>
      <c r="J139" s="230">
        <v>1985.0</v>
      </c>
      <c r="K139" s="230">
        <v>1987.0</v>
      </c>
      <c r="L139" s="153" t="s">
        <v>151</v>
      </c>
      <c r="M139" s="153" t="s">
        <v>6054</v>
      </c>
      <c r="N139" s="153"/>
      <c r="O139" s="153"/>
      <c r="P139" s="153" t="s">
        <v>390</v>
      </c>
      <c r="Q139" s="153"/>
      <c r="R139" s="153"/>
      <c r="S139" s="153"/>
      <c r="T139" s="153"/>
      <c r="U139" s="153"/>
      <c r="V139" s="153" t="s">
        <v>495</v>
      </c>
      <c r="W139" s="153" t="s">
        <v>390</v>
      </c>
      <c r="X139" s="153" t="s">
        <v>6035</v>
      </c>
      <c r="Y139" s="153" t="s">
        <v>6055</v>
      </c>
      <c r="Z139" s="153"/>
      <c r="AA139" s="153"/>
      <c r="AB139" s="153" t="s">
        <v>8004</v>
      </c>
      <c r="AC139" s="153" t="s">
        <v>6060</v>
      </c>
      <c r="AD139" s="153" t="s">
        <v>2873</v>
      </c>
      <c r="AE139" s="153" t="s">
        <v>398</v>
      </c>
      <c r="AF139" s="153"/>
      <c r="AG139" s="153"/>
    </row>
    <row r="140">
      <c r="A140" s="238">
        <v>2024.0</v>
      </c>
      <c r="B140" s="230">
        <v>144.0</v>
      </c>
      <c r="C140" s="153" t="s">
        <v>257</v>
      </c>
      <c r="D140" s="153" t="s">
        <v>258</v>
      </c>
      <c r="E140" s="153" t="s">
        <v>491</v>
      </c>
      <c r="F140" s="153" t="s">
        <v>492</v>
      </c>
      <c r="G140" s="153" t="s">
        <v>1377</v>
      </c>
      <c r="H140" s="153"/>
      <c r="I140" s="230" t="s">
        <v>6113</v>
      </c>
      <c r="J140" s="230">
        <v>1990.0</v>
      </c>
      <c r="K140" s="230">
        <v>1994.0</v>
      </c>
      <c r="L140" s="153" t="s">
        <v>151</v>
      </c>
      <c r="M140" s="153"/>
      <c r="N140" s="153"/>
      <c r="O140" s="153"/>
      <c r="P140" s="153" t="s">
        <v>1381</v>
      </c>
      <c r="Q140" s="153"/>
      <c r="R140" s="153"/>
      <c r="S140" s="153"/>
      <c r="T140" s="153"/>
      <c r="U140" s="153"/>
      <c r="V140" s="153"/>
      <c r="W140" s="153" t="s">
        <v>660</v>
      </c>
      <c r="X140" s="153" t="s">
        <v>6035</v>
      </c>
      <c r="Y140" s="153" t="s">
        <v>369</v>
      </c>
      <c r="Z140" s="153"/>
      <c r="AA140" s="153"/>
      <c r="AB140" s="153" t="s">
        <v>8004</v>
      </c>
      <c r="AC140" s="153" t="s">
        <v>6060</v>
      </c>
      <c r="AD140" s="153" t="s">
        <v>2873</v>
      </c>
      <c r="AE140" s="153" t="s">
        <v>398</v>
      </c>
      <c r="AF140" s="153"/>
      <c r="AG140" s="153"/>
    </row>
    <row r="141">
      <c r="A141" s="238">
        <v>2024.0</v>
      </c>
      <c r="B141" s="230">
        <v>145.0</v>
      </c>
      <c r="C141" s="153" t="s">
        <v>257</v>
      </c>
      <c r="D141" s="153" t="s">
        <v>258</v>
      </c>
      <c r="E141" s="153" t="s">
        <v>491</v>
      </c>
      <c r="F141" s="153" t="s">
        <v>492</v>
      </c>
      <c r="G141" s="153" t="s">
        <v>1174</v>
      </c>
      <c r="H141" s="153"/>
      <c r="I141" s="230" t="s">
        <v>6113</v>
      </c>
      <c r="J141" s="230">
        <v>2012.0</v>
      </c>
      <c r="K141" s="230">
        <v>2013.0</v>
      </c>
      <c r="L141" s="153" t="s">
        <v>6062</v>
      </c>
      <c r="M141" s="153" t="s">
        <v>320</v>
      </c>
      <c r="N141" s="153"/>
      <c r="O141" s="153"/>
      <c r="P141" s="153" t="s">
        <v>321</v>
      </c>
      <c r="Q141" s="153"/>
      <c r="R141" s="153"/>
      <c r="S141" s="153"/>
      <c r="T141" s="153"/>
      <c r="U141" s="153"/>
      <c r="V141" s="153" t="s">
        <v>6695</v>
      </c>
      <c r="W141" s="153" t="s">
        <v>885</v>
      </c>
      <c r="X141" s="153" t="s">
        <v>209</v>
      </c>
      <c r="Y141" s="153" t="s">
        <v>1259</v>
      </c>
      <c r="Z141" s="153"/>
      <c r="AA141" s="153"/>
      <c r="AB141" s="153" t="s">
        <v>6084</v>
      </c>
      <c r="AC141" s="153" t="s">
        <v>1260</v>
      </c>
      <c r="AD141" s="153" t="s">
        <v>6070</v>
      </c>
      <c r="AE141" s="153"/>
      <c r="AF141" s="153"/>
      <c r="AG141" s="153"/>
    </row>
    <row r="142">
      <c r="A142" s="238">
        <v>2024.0</v>
      </c>
      <c r="B142" s="230">
        <v>146.0</v>
      </c>
      <c r="C142" s="153" t="s">
        <v>257</v>
      </c>
      <c r="D142" s="153" t="s">
        <v>258</v>
      </c>
      <c r="E142" s="153" t="s">
        <v>2047</v>
      </c>
      <c r="F142" s="153" t="s">
        <v>2048</v>
      </c>
      <c r="G142" s="153" t="s">
        <v>6144</v>
      </c>
      <c r="H142" s="153"/>
      <c r="I142" s="230">
        <v>2018.0</v>
      </c>
      <c r="J142" s="230"/>
      <c r="K142" s="230"/>
      <c r="L142" s="153" t="s">
        <v>151</v>
      </c>
      <c r="M142" s="153"/>
      <c r="N142" s="153"/>
      <c r="O142" s="153" t="s">
        <v>6698</v>
      </c>
      <c r="P142" s="153" t="s">
        <v>2038</v>
      </c>
      <c r="Q142" s="153"/>
      <c r="R142" s="153"/>
      <c r="S142" s="153"/>
      <c r="T142" s="153"/>
      <c r="U142" s="153"/>
      <c r="V142" s="153"/>
      <c r="W142" s="153" t="s">
        <v>369</v>
      </c>
      <c r="X142" s="153" t="s">
        <v>6035</v>
      </c>
      <c r="Y142" s="153" t="s">
        <v>341</v>
      </c>
      <c r="Z142" s="153" t="s">
        <v>2054</v>
      </c>
      <c r="AA142" s="153"/>
      <c r="AB142" s="153" t="s">
        <v>7902</v>
      </c>
      <c r="AC142" s="153" t="s">
        <v>2055</v>
      </c>
      <c r="AD142" s="165" t="s">
        <v>2056</v>
      </c>
      <c r="AE142" s="153"/>
      <c r="AF142" s="153"/>
      <c r="AG142" s="153"/>
    </row>
    <row r="143">
      <c r="A143" s="238">
        <v>2024.0</v>
      </c>
      <c r="B143" s="230">
        <v>147.0</v>
      </c>
      <c r="C143" s="153" t="s">
        <v>257</v>
      </c>
      <c r="D143" s="153" t="s">
        <v>258</v>
      </c>
      <c r="E143" s="153" t="s">
        <v>447</v>
      </c>
      <c r="F143" s="153" t="s">
        <v>4223</v>
      </c>
      <c r="G143" s="153" t="s">
        <v>6704</v>
      </c>
      <c r="H143" s="153"/>
      <c r="I143" s="230">
        <v>2007.0</v>
      </c>
      <c r="J143" s="230">
        <v>2007.0</v>
      </c>
      <c r="K143" s="230">
        <v>2012.0</v>
      </c>
      <c r="L143" s="153" t="s">
        <v>151</v>
      </c>
      <c r="M143" s="153" t="s">
        <v>8028</v>
      </c>
      <c r="N143" s="153"/>
      <c r="O143" s="153" t="s">
        <v>6705</v>
      </c>
      <c r="P143" s="153"/>
      <c r="Q143" s="153"/>
      <c r="R143" s="153"/>
      <c r="S143" s="153"/>
      <c r="T143" s="153"/>
      <c r="U143" s="153"/>
      <c r="V143" s="153"/>
      <c r="W143" s="153" t="s">
        <v>724</v>
      </c>
      <c r="X143" s="158" t="s">
        <v>8005</v>
      </c>
      <c r="Y143" s="153"/>
      <c r="Z143" s="153" t="s">
        <v>1934</v>
      </c>
      <c r="AA143" s="153"/>
      <c r="AB143" s="153" t="s">
        <v>7902</v>
      </c>
      <c r="AC143" s="153" t="s">
        <v>8029</v>
      </c>
      <c r="AD143" s="165" t="s">
        <v>6706</v>
      </c>
      <c r="AE143" s="153"/>
      <c r="AF143" s="153"/>
      <c r="AG143" s="153"/>
    </row>
    <row r="144">
      <c r="A144" s="238">
        <v>2024.0</v>
      </c>
      <c r="B144" s="230">
        <v>148.0</v>
      </c>
      <c r="C144" s="153" t="s">
        <v>257</v>
      </c>
      <c r="D144" s="153" t="s">
        <v>497</v>
      </c>
      <c r="E144" s="153" t="s">
        <v>1391</v>
      </c>
      <c r="F144" s="153" t="s">
        <v>1392</v>
      </c>
      <c r="G144" s="153" t="s">
        <v>1377</v>
      </c>
      <c r="H144" s="153"/>
      <c r="I144" s="230" t="s">
        <v>6113</v>
      </c>
      <c r="J144" s="230">
        <v>1990.0</v>
      </c>
      <c r="K144" s="230">
        <v>1994.0</v>
      </c>
      <c r="L144" s="153" t="s">
        <v>151</v>
      </c>
      <c r="M144" s="153"/>
      <c r="N144" s="153"/>
      <c r="O144" s="153"/>
      <c r="P144" s="153" t="s">
        <v>1381</v>
      </c>
      <c r="Q144" s="153"/>
      <c r="R144" s="153"/>
      <c r="S144" s="153"/>
      <c r="T144" s="153"/>
      <c r="U144" s="153"/>
      <c r="V144" s="153"/>
      <c r="W144" s="153" t="s">
        <v>660</v>
      </c>
      <c r="X144" s="153" t="s">
        <v>6035</v>
      </c>
      <c r="Y144" s="153" t="s">
        <v>369</v>
      </c>
      <c r="Z144" s="153"/>
      <c r="AA144" s="153"/>
      <c r="AB144" s="153" t="s">
        <v>8004</v>
      </c>
      <c r="AC144" s="153" t="s">
        <v>6060</v>
      </c>
      <c r="AD144" s="153" t="s">
        <v>2873</v>
      </c>
      <c r="AE144" s="153" t="s">
        <v>398</v>
      </c>
      <c r="AF144" s="153"/>
      <c r="AG144" s="153"/>
    </row>
    <row r="145">
      <c r="A145" s="238">
        <v>2024.0</v>
      </c>
      <c r="B145" s="230">
        <v>149.0</v>
      </c>
      <c r="C145" s="153" t="s">
        <v>257</v>
      </c>
      <c r="D145" s="153" t="s">
        <v>497</v>
      </c>
      <c r="E145" s="153" t="s">
        <v>953</v>
      </c>
      <c r="F145" s="153" t="s">
        <v>954</v>
      </c>
      <c r="G145" s="153" t="s">
        <v>934</v>
      </c>
      <c r="H145" s="153"/>
      <c r="I145" s="230">
        <v>2001.0</v>
      </c>
      <c r="J145" s="230">
        <v>2001.0</v>
      </c>
      <c r="K145" s="230">
        <v>2005.0</v>
      </c>
      <c r="L145" s="153" t="s">
        <v>6062</v>
      </c>
      <c r="M145" s="153" t="s">
        <v>6276</v>
      </c>
      <c r="N145" s="153"/>
      <c r="O145" s="153" t="s">
        <v>939</v>
      </c>
      <c r="P145" s="153" t="s">
        <v>940</v>
      </c>
      <c r="Q145" s="153"/>
      <c r="R145" s="153"/>
      <c r="S145" s="153"/>
      <c r="T145" s="153"/>
      <c r="U145" s="153"/>
      <c r="V145" s="153"/>
      <c r="W145" s="153" t="s">
        <v>233</v>
      </c>
      <c r="X145" s="153" t="s">
        <v>209</v>
      </c>
      <c r="Y145" s="153"/>
      <c r="Z145" s="153"/>
      <c r="AA145" s="153"/>
      <c r="AB145" s="158" t="s">
        <v>6214</v>
      </c>
      <c r="AC145" s="153" t="s">
        <v>941</v>
      </c>
      <c r="AD145" s="153" t="s">
        <v>942</v>
      </c>
      <c r="AE145" s="153" t="s">
        <v>943</v>
      </c>
      <c r="AF145" s="153"/>
      <c r="AG145" s="153"/>
    </row>
    <row r="146">
      <c r="A146" s="238">
        <v>2024.0</v>
      </c>
      <c r="B146" s="230">
        <v>150.0</v>
      </c>
      <c r="C146" s="153" t="s">
        <v>257</v>
      </c>
      <c r="D146" s="153" t="s">
        <v>497</v>
      </c>
      <c r="E146" s="153" t="s">
        <v>498</v>
      </c>
      <c r="F146" s="153" t="s">
        <v>499</v>
      </c>
      <c r="G146" s="153" t="s">
        <v>384</v>
      </c>
      <c r="H146" s="153" t="s">
        <v>500</v>
      </c>
      <c r="I146" s="230">
        <v>1986.0</v>
      </c>
      <c r="J146" s="230">
        <v>1985.0</v>
      </c>
      <c r="K146" s="230">
        <v>1987.0</v>
      </c>
      <c r="L146" s="153" t="s">
        <v>151</v>
      </c>
      <c r="M146" s="153" t="s">
        <v>6054</v>
      </c>
      <c r="N146" s="153"/>
      <c r="O146" s="153"/>
      <c r="P146" s="153" t="s">
        <v>390</v>
      </c>
      <c r="Q146" s="153"/>
      <c r="R146" s="153"/>
      <c r="S146" s="153"/>
      <c r="T146" s="153"/>
      <c r="U146" s="153"/>
      <c r="V146" s="153" t="s">
        <v>391</v>
      </c>
      <c r="W146" s="153" t="s">
        <v>390</v>
      </c>
      <c r="X146" s="153" t="s">
        <v>6035</v>
      </c>
      <c r="Y146" s="153" t="s">
        <v>6055</v>
      </c>
      <c r="Z146" s="153"/>
      <c r="AA146" s="153"/>
      <c r="AB146" s="153" t="s">
        <v>8004</v>
      </c>
      <c r="AC146" s="153" t="s">
        <v>6060</v>
      </c>
      <c r="AD146" s="153" t="s">
        <v>2873</v>
      </c>
      <c r="AE146" s="153" t="s">
        <v>398</v>
      </c>
      <c r="AF146" s="153"/>
      <c r="AG146" s="153"/>
    </row>
    <row r="147">
      <c r="A147" s="238">
        <v>2024.0</v>
      </c>
      <c r="B147" s="230">
        <v>151.0</v>
      </c>
      <c r="C147" s="153" t="s">
        <v>257</v>
      </c>
      <c r="D147" s="153" t="s">
        <v>497</v>
      </c>
      <c r="E147" s="153" t="s">
        <v>498</v>
      </c>
      <c r="F147" s="153" t="s">
        <v>499</v>
      </c>
      <c r="G147" s="153" t="s">
        <v>384</v>
      </c>
      <c r="H147" s="153" t="s">
        <v>502</v>
      </c>
      <c r="I147" s="230">
        <v>1986.0</v>
      </c>
      <c r="J147" s="230">
        <v>1985.0</v>
      </c>
      <c r="K147" s="230">
        <v>1987.0</v>
      </c>
      <c r="L147" s="153" t="s">
        <v>151</v>
      </c>
      <c r="M147" s="153" t="s">
        <v>6054</v>
      </c>
      <c r="N147" s="153"/>
      <c r="O147" s="153"/>
      <c r="P147" s="153" t="s">
        <v>390</v>
      </c>
      <c r="Q147" s="153"/>
      <c r="R147" s="153"/>
      <c r="S147" s="153"/>
      <c r="T147" s="153"/>
      <c r="U147" s="153"/>
      <c r="V147" s="153" t="s">
        <v>503</v>
      </c>
      <c r="W147" s="153" t="s">
        <v>390</v>
      </c>
      <c r="X147" s="153" t="s">
        <v>6035</v>
      </c>
      <c r="Y147" s="153" t="s">
        <v>6055</v>
      </c>
      <c r="Z147" s="153"/>
      <c r="AA147" s="153"/>
      <c r="AB147" s="153" t="s">
        <v>8004</v>
      </c>
      <c r="AC147" s="153" t="s">
        <v>6060</v>
      </c>
      <c r="AD147" s="153" t="s">
        <v>2873</v>
      </c>
      <c r="AE147" s="153" t="s">
        <v>398</v>
      </c>
      <c r="AF147" s="153"/>
      <c r="AG147" s="153"/>
    </row>
    <row r="148">
      <c r="A148" s="238">
        <v>2024.0</v>
      </c>
      <c r="B148" s="230">
        <v>152.0</v>
      </c>
      <c r="C148" s="153" t="s">
        <v>257</v>
      </c>
      <c r="D148" s="153" t="s">
        <v>497</v>
      </c>
      <c r="E148" s="153" t="s">
        <v>498</v>
      </c>
      <c r="F148" s="153" t="s">
        <v>499</v>
      </c>
      <c r="G148" s="153" t="s">
        <v>6113</v>
      </c>
      <c r="H148" s="153"/>
      <c r="I148" s="230">
        <v>2005.0</v>
      </c>
      <c r="J148" s="230"/>
      <c r="K148" s="230"/>
      <c r="L148" s="153" t="s">
        <v>151</v>
      </c>
      <c r="M148" s="153" t="s">
        <v>152</v>
      </c>
      <c r="N148" s="153"/>
      <c r="O148" s="153" t="s">
        <v>6717</v>
      </c>
      <c r="P148" s="153" t="s">
        <v>2391</v>
      </c>
      <c r="Q148" s="153"/>
      <c r="R148" s="153"/>
      <c r="S148" s="153"/>
      <c r="T148" s="153"/>
      <c r="U148" s="153"/>
      <c r="V148" s="153"/>
      <c r="W148" s="153" t="s">
        <v>2391</v>
      </c>
      <c r="X148" s="153" t="s">
        <v>271</v>
      </c>
      <c r="Y148" s="153"/>
      <c r="Z148" s="153"/>
      <c r="AA148" s="153"/>
      <c r="AB148" s="153" t="s">
        <v>7003</v>
      </c>
      <c r="AC148" s="153" t="s">
        <v>2393</v>
      </c>
      <c r="AD148" s="165" t="s">
        <v>2394</v>
      </c>
      <c r="AE148" s="153"/>
      <c r="AF148" s="153"/>
      <c r="AG148" s="153"/>
    </row>
    <row r="149">
      <c r="A149" s="238">
        <v>2024.0</v>
      </c>
      <c r="B149" s="230">
        <v>153.0</v>
      </c>
      <c r="C149" s="153" t="s">
        <v>257</v>
      </c>
      <c r="D149" s="153" t="s">
        <v>497</v>
      </c>
      <c r="E149" s="153" t="s">
        <v>505</v>
      </c>
      <c r="F149" s="153" t="s">
        <v>506</v>
      </c>
      <c r="G149" s="153" t="s">
        <v>384</v>
      </c>
      <c r="H149" s="153" t="s">
        <v>507</v>
      </c>
      <c r="I149" s="230">
        <v>1986.0</v>
      </c>
      <c r="J149" s="230">
        <v>1985.0</v>
      </c>
      <c r="K149" s="230">
        <v>1987.0</v>
      </c>
      <c r="L149" s="153" t="s">
        <v>151</v>
      </c>
      <c r="M149" s="153" t="s">
        <v>6054</v>
      </c>
      <c r="N149" s="153"/>
      <c r="O149" s="153"/>
      <c r="P149" s="153" t="s">
        <v>390</v>
      </c>
      <c r="Q149" s="153"/>
      <c r="R149" s="153"/>
      <c r="S149" s="153"/>
      <c r="T149" s="153"/>
      <c r="U149" s="153"/>
      <c r="V149" s="153" t="s">
        <v>508</v>
      </c>
      <c r="W149" s="153" t="s">
        <v>390</v>
      </c>
      <c r="X149" s="153" t="s">
        <v>6035</v>
      </c>
      <c r="Y149" s="153" t="s">
        <v>6055</v>
      </c>
      <c r="Z149" s="153"/>
      <c r="AA149" s="153"/>
      <c r="AB149" s="153" t="s">
        <v>8004</v>
      </c>
      <c r="AC149" s="153" t="s">
        <v>6060</v>
      </c>
      <c r="AD149" s="153" t="s">
        <v>2873</v>
      </c>
      <c r="AE149" s="153" t="s">
        <v>398</v>
      </c>
      <c r="AF149" s="153"/>
      <c r="AG149" s="153"/>
    </row>
    <row r="150">
      <c r="A150" s="238">
        <v>2024.0</v>
      </c>
      <c r="B150" s="230">
        <v>154.0</v>
      </c>
      <c r="C150" s="153" t="s">
        <v>257</v>
      </c>
      <c r="D150" s="153" t="s">
        <v>497</v>
      </c>
      <c r="E150" s="153" t="s">
        <v>505</v>
      </c>
      <c r="F150" s="153" t="s">
        <v>506</v>
      </c>
      <c r="G150" s="153" t="s">
        <v>1377</v>
      </c>
      <c r="H150" s="153" t="s">
        <v>1394</v>
      </c>
      <c r="I150" s="230" t="s">
        <v>6113</v>
      </c>
      <c r="J150" s="230">
        <v>1990.0</v>
      </c>
      <c r="K150" s="230">
        <v>1994.0</v>
      </c>
      <c r="L150" s="153" t="s">
        <v>151</v>
      </c>
      <c r="M150" s="153"/>
      <c r="N150" s="153"/>
      <c r="O150" s="153"/>
      <c r="P150" s="153" t="s">
        <v>1381</v>
      </c>
      <c r="Q150" s="153"/>
      <c r="R150" s="153"/>
      <c r="S150" s="153"/>
      <c r="T150" s="153"/>
      <c r="U150" s="153"/>
      <c r="V150" s="153"/>
      <c r="W150" s="153" t="s">
        <v>660</v>
      </c>
      <c r="X150" s="153" t="s">
        <v>6035</v>
      </c>
      <c r="Y150" s="153" t="s">
        <v>369</v>
      </c>
      <c r="Z150" s="153"/>
      <c r="AA150" s="153"/>
      <c r="AB150" s="153" t="s">
        <v>8004</v>
      </c>
      <c r="AC150" s="153" t="s">
        <v>6060</v>
      </c>
      <c r="AD150" s="153" t="s">
        <v>2873</v>
      </c>
      <c r="AE150" s="153" t="s">
        <v>398</v>
      </c>
      <c r="AF150" s="153"/>
      <c r="AG150" s="153"/>
    </row>
    <row r="151">
      <c r="A151" s="238">
        <v>2024.0</v>
      </c>
      <c r="B151" s="230">
        <v>155.0</v>
      </c>
      <c r="C151" s="153" t="s">
        <v>257</v>
      </c>
      <c r="D151" s="153" t="s">
        <v>497</v>
      </c>
      <c r="E151" s="153" t="s">
        <v>505</v>
      </c>
      <c r="F151" s="153" t="s">
        <v>506</v>
      </c>
      <c r="G151" s="153" t="s">
        <v>1377</v>
      </c>
      <c r="H151" s="153" t="s">
        <v>1396</v>
      </c>
      <c r="I151" s="230" t="s">
        <v>6113</v>
      </c>
      <c r="J151" s="230">
        <v>1990.0</v>
      </c>
      <c r="K151" s="230">
        <v>1994.0</v>
      </c>
      <c r="L151" s="153" t="s">
        <v>151</v>
      </c>
      <c r="M151" s="153"/>
      <c r="N151" s="153"/>
      <c r="O151" s="153"/>
      <c r="P151" s="153" t="s">
        <v>1381</v>
      </c>
      <c r="Q151" s="153"/>
      <c r="R151" s="153"/>
      <c r="S151" s="153"/>
      <c r="T151" s="153"/>
      <c r="U151" s="153"/>
      <c r="V151" s="153"/>
      <c r="W151" s="153" t="s">
        <v>660</v>
      </c>
      <c r="X151" s="153" t="s">
        <v>6035</v>
      </c>
      <c r="Y151" s="153" t="s">
        <v>369</v>
      </c>
      <c r="Z151" s="153"/>
      <c r="AA151" s="153"/>
      <c r="AB151" s="153" t="s">
        <v>8004</v>
      </c>
      <c r="AC151" s="153" t="s">
        <v>6060</v>
      </c>
      <c r="AD151" s="153" t="s">
        <v>2873</v>
      </c>
      <c r="AE151" s="153" t="s">
        <v>398</v>
      </c>
      <c r="AF151" s="153"/>
      <c r="AG151" s="153"/>
    </row>
    <row r="152">
      <c r="A152" s="238">
        <v>2024.0</v>
      </c>
      <c r="B152" s="230">
        <v>156.0</v>
      </c>
      <c r="C152" s="153" t="s">
        <v>257</v>
      </c>
      <c r="D152" s="153" t="s">
        <v>497</v>
      </c>
      <c r="E152" s="153" t="s">
        <v>505</v>
      </c>
      <c r="F152" s="153" t="s">
        <v>506</v>
      </c>
      <c r="G152" s="153" t="s">
        <v>1377</v>
      </c>
      <c r="H152" s="153" t="s">
        <v>1398</v>
      </c>
      <c r="I152" s="230" t="s">
        <v>6113</v>
      </c>
      <c r="J152" s="230">
        <v>1990.0</v>
      </c>
      <c r="K152" s="230">
        <v>1994.0</v>
      </c>
      <c r="L152" s="153" t="s">
        <v>151</v>
      </c>
      <c r="M152" s="153"/>
      <c r="N152" s="153"/>
      <c r="O152" s="153"/>
      <c r="P152" s="153" t="s">
        <v>1381</v>
      </c>
      <c r="Q152" s="153"/>
      <c r="R152" s="153"/>
      <c r="S152" s="153"/>
      <c r="T152" s="153"/>
      <c r="U152" s="153"/>
      <c r="V152" s="153"/>
      <c r="W152" s="153" t="s">
        <v>660</v>
      </c>
      <c r="X152" s="153" t="s">
        <v>6035</v>
      </c>
      <c r="Y152" s="153" t="s">
        <v>369</v>
      </c>
      <c r="Z152" s="153"/>
      <c r="AA152" s="153"/>
      <c r="AB152" s="153" t="s">
        <v>8004</v>
      </c>
      <c r="AC152" s="153" t="s">
        <v>6060</v>
      </c>
      <c r="AD152" s="153" t="s">
        <v>2873</v>
      </c>
      <c r="AE152" s="153" t="s">
        <v>398</v>
      </c>
      <c r="AF152" s="153"/>
      <c r="AG152" s="153"/>
    </row>
    <row r="153">
      <c r="A153" s="238">
        <v>2024.0</v>
      </c>
      <c r="B153" s="230">
        <v>157.0</v>
      </c>
      <c r="C153" s="153" t="s">
        <v>257</v>
      </c>
      <c r="D153" s="153" t="s">
        <v>497</v>
      </c>
      <c r="E153" s="153" t="s">
        <v>505</v>
      </c>
      <c r="F153" s="153" t="s">
        <v>506</v>
      </c>
      <c r="G153" s="153" t="s">
        <v>1377</v>
      </c>
      <c r="H153" s="153" t="s">
        <v>1400</v>
      </c>
      <c r="I153" s="230" t="s">
        <v>6113</v>
      </c>
      <c r="J153" s="230">
        <v>1990.0</v>
      </c>
      <c r="K153" s="230">
        <v>1994.0</v>
      </c>
      <c r="L153" s="153" t="s">
        <v>151</v>
      </c>
      <c r="M153" s="153"/>
      <c r="N153" s="153"/>
      <c r="O153" s="153"/>
      <c r="P153" s="153" t="s">
        <v>1381</v>
      </c>
      <c r="Q153" s="153"/>
      <c r="R153" s="153"/>
      <c r="S153" s="153"/>
      <c r="T153" s="153"/>
      <c r="U153" s="153"/>
      <c r="V153" s="153"/>
      <c r="W153" s="153" t="s">
        <v>660</v>
      </c>
      <c r="X153" s="153" t="s">
        <v>6035</v>
      </c>
      <c r="Y153" s="153" t="s">
        <v>369</v>
      </c>
      <c r="Z153" s="153"/>
      <c r="AA153" s="153"/>
      <c r="AB153" s="153" t="s">
        <v>8004</v>
      </c>
      <c r="AC153" s="153" t="s">
        <v>6060</v>
      </c>
      <c r="AD153" s="153" t="s">
        <v>2873</v>
      </c>
      <c r="AE153" s="153" t="s">
        <v>398</v>
      </c>
      <c r="AF153" s="153"/>
      <c r="AG153" s="153"/>
    </row>
    <row r="154">
      <c r="A154" s="238">
        <v>2024.0</v>
      </c>
      <c r="B154" s="230">
        <v>158.0</v>
      </c>
      <c r="C154" s="153" t="s">
        <v>257</v>
      </c>
      <c r="D154" s="153" t="s">
        <v>497</v>
      </c>
      <c r="E154" s="153" t="s">
        <v>505</v>
      </c>
      <c r="F154" s="153" t="s">
        <v>506</v>
      </c>
      <c r="G154" s="153" t="s">
        <v>1377</v>
      </c>
      <c r="H154" s="153" t="s">
        <v>1402</v>
      </c>
      <c r="I154" s="230" t="s">
        <v>6113</v>
      </c>
      <c r="J154" s="230">
        <v>1990.0</v>
      </c>
      <c r="K154" s="230">
        <v>1994.0</v>
      </c>
      <c r="L154" s="153" t="s">
        <v>151</v>
      </c>
      <c r="M154" s="153"/>
      <c r="N154" s="153"/>
      <c r="O154" s="153"/>
      <c r="P154" s="153" t="s">
        <v>1381</v>
      </c>
      <c r="Q154" s="153"/>
      <c r="R154" s="153"/>
      <c r="S154" s="153"/>
      <c r="T154" s="153"/>
      <c r="U154" s="153"/>
      <c r="V154" s="153"/>
      <c r="W154" s="153" t="s">
        <v>660</v>
      </c>
      <c r="X154" s="153" t="s">
        <v>6035</v>
      </c>
      <c r="Y154" s="153" t="s">
        <v>369</v>
      </c>
      <c r="Z154" s="153"/>
      <c r="AA154" s="153"/>
      <c r="AB154" s="153" t="s">
        <v>8004</v>
      </c>
      <c r="AC154" s="153" t="s">
        <v>6060</v>
      </c>
      <c r="AD154" s="153" t="s">
        <v>2873</v>
      </c>
      <c r="AE154" s="153" t="s">
        <v>398</v>
      </c>
      <c r="AF154" s="153"/>
      <c r="AG154" s="153"/>
    </row>
    <row r="155">
      <c r="A155" s="238">
        <v>2024.0</v>
      </c>
      <c r="B155" s="230">
        <v>159.0</v>
      </c>
      <c r="C155" s="153" t="s">
        <v>257</v>
      </c>
      <c r="D155" s="153" t="s">
        <v>497</v>
      </c>
      <c r="E155" s="153" t="s">
        <v>505</v>
      </c>
      <c r="F155" s="153" t="s">
        <v>506</v>
      </c>
      <c r="G155" s="153" t="s">
        <v>1377</v>
      </c>
      <c r="H155" s="153" t="s">
        <v>1404</v>
      </c>
      <c r="I155" s="230" t="s">
        <v>6113</v>
      </c>
      <c r="J155" s="230">
        <v>1990.0</v>
      </c>
      <c r="K155" s="230">
        <v>1994.0</v>
      </c>
      <c r="L155" s="153" t="s">
        <v>151</v>
      </c>
      <c r="M155" s="153"/>
      <c r="N155" s="153"/>
      <c r="O155" s="153"/>
      <c r="P155" s="153" t="s">
        <v>1381</v>
      </c>
      <c r="Q155" s="153"/>
      <c r="R155" s="153"/>
      <c r="S155" s="153"/>
      <c r="T155" s="153"/>
      <c r="U155" s="153"/>
      <c r="V155" s="153"/>
      <c r="W155" s="153" t="s">
        <v>660</v>
      </c>
      <c r="X155" s="153" t="s">
        <v>6035</v>
      </c>
      <c r="Y155" s="153" t="s">
        <v>369</v>
      </c>
      <c r="Z155" s="153"/>
      <c r="AA155" s="153"/>
      <c r="AB155" s="153" t="s">
        <v>8004</v>
      </c>
      <c r="AC155" s="153" t="s">
        <v>6060</v>
      </c>
      <c r="AD155" s="153" t="s">
        <v>2873</v>
      </c>
      <c r="AE155" s="153" t="s">
        <v>398</v>
      </c>
      <c r="AF155" s="153"/>
      <c r="AG155" s="153"/>
    </row>
    <row r="156">
      <c r="A156" s="238">
        <v>2024.0</v>
      </c>
      <c r="B156" s="230">
        <v>160.0</v>
      </c>
      <c r="C156" s="153" t="s">
        <v>257</v>
      </c>
      <c r="D156" s="153" t="s">
        <v>497</v>
      </c>
      <c r="E156" s="153" t="s">
        <v>1406</v>
      </c>
      <c r="F156" s="153" t="s">
        <v>1407</v>
      </c>
      <c r="G156" s="153" t="s">
        <v>1377</v>
      </c>
      <c r="H156" s="153"/>
      <c r="I156" s="230" t="s">
        <v>6113</v>
      </c>
      <c r="J156" s="230">
        <v>1990.0</v>
      </c>
      <c r="K156" s="230">
        <v>1994.0</v>
      </c>
      <c r="L156" s="153" t="s">
        <v>151</v>
      </c>
      <c r="M156" s="153"/>
      <c r="N156" s="153"/>
      <c r="O156" s="153"/>
      <c r="P156" s="153" t="s">
        <v>1381</v>
      </c>
      <c r="Q156" s="153"/>
      <c r="R156" s="153"/>
      <c r="S156" s="153"/>
      <c r="T156" s="153"/>
      <c r="U156" s="153"/>
      <c r="V156" s="153"/>
      <c r="W156" s="153" t="s">
        <v>660</v>
      </c>
      <c r="X156" s="153" t="s">
        <v>6035</v>
      </c>
      <c r="Y156" s="153" t="s">
        <v>369</v>
      </c>
      <c r="Z156" s="153"/>
      <c r="AA156" s="153"/>
      <c r="AB156" s="153" t="s">
        <v>8004</v>
      </c>
      <c r="AC156" s="153" t="s">
        <v>6060</v>
      </c>
      <c r="AD156" s="153" t="s">
        <v>2873</v>
      </c>
      <c r="AE156" s="153" t="s">
        <v>398</v>
      </c>
      <c r="AF156" s="153"/>
      <c r="AG156" s="153"/>
    </row>
    <row r="157">
      <c r="A157" s="238">
        <v>2024.0</v>
      </c>
      <c r="B157" s="230">
        <v>161.0</v>
      </c>
      <c r="C157" s="153" t="s">
        <v>257</v>
      </c>
      <c r="D157" s="153" t="s">
        <v>497</v>
      </c>
      <c r="E157" s="153" t="s">
        <v>510</v>
      </c>
      <c r="F157" s="153" t="s">
        <v>511</v>
      </c>
      <c r="G157" s="153" t="s">
        <v>384</v>
      </c>
      <c r="H157" s="153" t="s">
        <v>512</v>
      </c>
      <c r="I157" s="230">
        <v>1986.0</v>
      </c>
      <c r="J157" s="230">
        <v>1985.0</v>
      </c>
      <c r="K157" s="230">
        <v>1987.0</v>
      </c>
      <c r="L157" s="153" t="s">
        <v>151</v>
      </c>
      <c r="M157" s="153" t="s">
        <v>6054</v>
      </c>
      <c r="N157" s="153"/>
      <c r="O157" s="153"/>
      <c r="P157" s="153" t="s">
        <v>390</v>
      </c>
      <c r="Q157" s="153"/>
      <c r="R157" s="153"/>
      <c r="S157" s="153"/>
      <c r="T157" s="153"/>
      <c r="U157" s="153"/>
      <c r="V157" s="153" t="s">
        <v>503</v>
      </c>
      <c r="W157" s="153" t="s">
        <v>390</v>
      </c>
      <c r="X157" s="153" t="s">
        <v>6035</v>
      </c>
      <c r="Y157" s="153" t="s">
        <v>6055</v>
      </c>
      <c r="Z157" s="153"/>
      <c r="AA157" s="153"/>
      <c r="AB157" s="153" t="s">
        <v>8004</v>
      </c>
      <c r="AC157" s="153" t="s">
        <v>6060</v>
      </c>
      <c r="AD157" s="153" t="s">
        <v>2873</v>
      </c>
      <c r="AE157" s="153" t="s">
        <v>398</v>
      </c>
      <c r="AF157" s="153"/>
      <c r="AG157" s="153"/>
    </row>
    <row r="158">
      <c r="A158" s="238">
        <v>2024.0</v>
      </c>
      <c r="B158" s="230">
        <v>162.0</v>
      </c>
      <c r="C158" s="153" t="s">
        <v>257</v>
      </c>
      <c r="D158" s="153" t="s">
        <v>497</v>
      </c>
      <c r="E158" s="153" t="s">
        <v>510</v>
      </c>
      <c r="F158" s="153" t="s">
        <v>511</v>
      </c>
      <c r="G158" s="153" t="s">
        <v>6742</v>
      </c>
      <c r="H158" s="153"/>
      <c r="I158" s="230">
        <v>2016.0</v>
      </c>
      <c r="J158" s="230"/>
      <c r="K158" s="230"/>
      <c r="L158" s="153" t="s">
        <v>151</v>
      </c>
      <c r="M158" s="153"/>
      <c r="N158" s="153"/>
      <c r="O158" s="153"/>
      <c r="P158" s="153" t="s">
        <v>1594</v>
      </c>
      <c r="Q158" s="153"/>
      <c r="R158" s="153"/>
      <c r="S158" s="153"/>
      <c r="T158" s="153"/>
      <c r="U158" s="153"/>
      <c r="V158" s="153"/>
      <c r="W158" s="153" t="s">
        <v>6743</v>
      </c>
      <c r="X158" s="153" t="s">
        <v>6035</v>
      </c>
      <c r="Y158" s="153"/>
      <c r="Z158" s="153"/>
      <c r="AA158" s="153"/>
      <c r="AB158" s="153" t="s">
        <v>6038</v>
      </c>
      <c r="AC158" s="153" t="s">
        <v>8030</v>
      </c>
      <c r="AD158" s="165" t="s">
        <v>6744</v>
      </c>
      <c r="AE158" s="153"/>
      <c r="AF158" s="153"/>
      <c r="AG158" s="153"/>
    </row>
    <row r="159">
      <c r="A159" s="238">
        <v>2024.0</v>
      </c>
      <c r="B159" s="230">
        <v>163.0</v>
      </c>
      <c r="C159" s="153" t="s">
        <v>257</v>
      </c>
      <c r="D159" s="153" t="s">
        <v>497</v>
      </c>
      <c r="E159" s="153" t="s">
        <v>472</v>
      </c>
      <c r="F159" s="153" t="s">
        <v>956</v>
      </c>
      <c r="G159" s="153" t="s">
        <v>934</v>
      </c>
      <c r="H159" s="153"/>
      <c r="I159" s="230">
        <v>2001.0</v>
      </c>
      <c r="J159" s="230">
        <v>2001.0</v>
      </c>
      <c r="K159" s="230">
        <v>2005.0</v>
      </c>
      <c r="L159" s="153" t="s">
        <v>6062</v>
      </c>
      <c r="M159" s="153" t="s">
        <v>6276</v>
      </c>
      <c r="N159" s="153"/>
      <c r="O159" s="153" t="s">
        <v>939</v>
      </c>
      <c r="P159" s="153" t="s">
        <v>940</v>
      </c>
      <c r="Q159" s="153"/>
      <c r="R159" s="153"/>
      <c r="S159" s="153"/>
      <c r="T159" s="153"/>
      <c r="U159" s="153"/>
      <c r="V159" s="153"/>
      <c r="W159" s="153" t="s">
        <v>233</v>
      </c>
      <c r="X159" s="153" t="s">
        <v>209</v>
      </c>
      <c r="Y159" s="153"/>
      <c r="Z159" s="153"/>
      <c r="AA159" s="153"/>
      <c r="AB159" s="158" t="s">
        <v>6214</v>
      </c>
      <c r="AC159" s="153" t="s">
        <v>941</v>
      </c>
      <c r="AD159" s="153" t="s">
        <v>942</v>
      </c>
      <c r="AE159" s="153" t="s">
        <v>943</v>
      </c>
      <c r="AF159" s="153"/>
      <c r="AG159" s="153"/>
    </row>
    <row r="160">
      <c r="A160" s="238">
        <v>2024.0</v>
      </c>
      <c r="B160" s="230">
        <v>164.0</v>
      </c>
      <c r="C160" s="153" t="s">
        <v>257</v>
      </c>
      <c r="D160" s="153" t="s">
        <v>497</v>
      </c>
      <c r="E160" s="153" t="s">
        <v>514</v>
      </c>
      <c r="F160" s="153" t="s">
        <v>515</v>
      </c>
      <c r="G160" s="153" t="s">
        <v>384</v>
      </c>
      <c r="H160" s="153" t="s">
        <v>516</v>
      </c>
      <c r="I160" s="230">
        <v>1986.0</v>
      </c>
      <c r="J160" s="230">
        <v>1985.0</v>
      </c>
      <c r="K160" s="230">
        <v>1987.0</v>
      </c>
      <c r="L160" s="153" t="s">
        <v>151</v>
      </c>
      <c r="M160" s="153" t="s">
        <v>6054</v>
      </c>
      <c r="N160" s="153"/>
      <c r="O160" s="153"/>
      <c r="P160" s="153" t="s">
        <v>390</v>
      </c>
      <c r="Q160" s="153"/>
      <c r="R160" s="153"/>
      <c r="S160" s="153"/>
      <c r="T160" s="153"/>
      <c r="U160" s="153"/>
      <c r="V160" s="153" t="s">
        <v>453</v>
      </c>
      <c r="W160" s="153" t="s">
        <v>390</v>
      </c>
      <c r="X160" s="153" t="s">
        <v>6035</v>
      </c>
      <c r="Y160" s="153" t="s">
        <v>6055</v>
      </c>
      <c r="Z160" s="153"/>
      <c r="AA160" s="153"/>
      <c r="AB160" s="153" t="s">
        <v>8004</v>
      </c>
      <c r="AC160" s="153" t="s">
        <v>6060</v>
      </c>
      <c r="AD160" s="153" t="s">
        <v>2873</v>
      </c>
      <c r="AE160" s="153" t="s">
        <v>398</v>
      </c>
      <c r="AF160" s="153"/>
      <c r="AG160" s="153"/>
    </row>
    <row r="161">
      <c r="A161" s="238">
        <v>2024.0</v>
      </c>
      <c r="B161" s="230">
        <v>165.0</v>
      </c>
      <c r="C161" s="153" t="s">
        <v>257</v>
      </c>
      <c r="D161" s="153" t="s">
        <v>497</v>
      </c>
      <c r="E161" s="153" t="s">
        <v>8031</v>
      </c>
      <c r="F161" s="153" t="s">
        <v>1410</v>
      </c>
      <c r="G161" s="153" t="s">
        <v>1377</v>
      </c>
      <c r="H161" s="153" t="s">
        <v>8032</v>
      </c>
      <c r="I161" s="192">
        <v>1992.0</v>
      </c>
      <c r="J161" s="230">
        <v>1990.0</v>
      </c>
      <c r="K161" s="230">
        <v>1994.0</v>
      </c>
      <c r="L161" s="153" t="s">
        <v>151</v>
      </c>
      <c r="M161" s="153"/>
      <c r="N161" s="153"/>
      <c r="O161" s="153"/>
      <c r="P161" s="153" t="s">
        <v>1381</v>
      </c>
      <c r="Q161" s="153"/>
      <c r="R161" s="153"/>
      <c r="S161" s="153"/>
      <c r="T161" s="153"/>
      <c r="U161" s="153"/>
      <c r="V161" s="153"/>
      <c r="W161" s="153" t="s">
        <v>660</v>
      </c>
      <c r="X161" s="153" t="s">
        <v>6035</v>
      </c>
      <c r="Y161" s="153" t="s">
        <v>369</v>
      </c>
      <c r="Z161" s="153"/>
      <c r="AA161" s="153"/>
      <c r="AB161" s="153" t="s">
        <v>8004</v>
      </c>
      <c r="AC161" s="153" t="s">
        <v>6060</v>
      </c>
      <c r="AD161" s="153" t="s">
        <v>2873</v>
      </c>
      <c r="AE161" s="153" t="s">
        <v>398</v>
      </c>
      <c r="AF161" s="153"/>
      <c r="AG161" s="153"/>
    </row>
    <row r="162">
      <c r="A162" s="238">
        <v>2024.0</v>
      </c>
      <c r="B162" s="230">
        <v>166.0</v>
      </c>
      <c r="C162" s="153" t="s">
        <v>257</v>
      </c>
      <c r="D162" s="153" t="s">
        <v>497</v>
      </c>
      <c r="E162" s="153" t="s">
        <v>8031</v>
      </c>
      <c r="F162" s="153" t="s">
        <v>1410</v>
      </c>
      <c r="G162" s="153" t="s">
        <v>1377</v>
      </c>
      <c r="H162" s="153" t="s">
        <v>1413</v>
      </c>
      <c r="I162" s="192">
        <v>1992.0</v>
      </c>
      <c r="J162" s="230">
        <v>1990.0</v>
      </c>
      <c r="K162" s="230">
        <v>1994.0</v>
      </c>
      <c r="L162" s="153" t="s">
        <v>151</v>
      </c>
      <c r="M162" s="153"/>
      <c r="N162" s="153"/>
      <c r="O162" s="153"/>
      <c r="P162" s="153" t="s">
        <v>1381</v>
      </c>
      <c r="Q162" s="153"/>
      <c r="R162" s="153"/>
      <c r="S162" s="153"/>
      <c r="T162" s="153"/>
      <c r="U162" s="153"/>
      <c r="V162" s="153"/>
      <c r="W162" s="153" t="s">
        <v>660</v>
      </c>
      <c r="X162" s="153" t="s">
        <v>6035</v>
      </c>
      <c r="Y162" s="153" t="s">
        <v>369</v>
      </c>
      <c r="Z162" s="153"/>
      <c r="AA162" s="153"/>
      <c r="AB162" s="153" t="s">
        <v>8004</v>
      </c>
      <c r="AC162" s="153" t="s">
        <v>6060</v>
      </c>
      <c r="AD162" s="153" t="s">
        <v>2873</v>
      </c>
      <c r="AE162" s="153" t="s">
        <v>398</v>
      </c>
      <c r="AF162" s="153"/>
      <c r="AG162" s="153"/>
    </row>
    <row r="163">
      <c r="A163" s="238">
        <v>2024.0</v>
      </c>
      <c r="B163" s="230">
        <v>167.0</v>
      </c>
      <c r="C163" s="153" t="s">
        <v>257</v>
      </c>
      <c r="D163" s="153" t="s">
        <v>497</v>
      </c>
      <c r="E163" s="153" t="s">
        <v>1415</v>
      </c>
      <c r="F163" s="153" t="s">
        <v>1416</v>
      </c>
      <c r="G163" s="153" t="s">
        <v>1377</v>
      </c>
      <c r="H163" s="153"/>
      <c r="I163" s="192">
        <v>1992.0</v>
      </c>
      <c r="J163" s="230">
        <v>1990.0</v>
      </c>
      <c r="K163" s="230">
        <v>1994.0</v>
      </c>
      <c r="L163" s="153" t="s">
        <v>151</v>
      </c>
      <c r="M163" s="153"/>
      <c r="N163" s="153"/>
      <c r="O163" s="153"/>
      <c r="P163" s="153" t="s">
        <v>1381</v>
      </c>
      <c r="Q163" s="153"/>
      <c r="R163" s="153"/>
      <c r="S163" s="153"/>
      <c r="T163" s="153"/>
      <c r="U163" s="153"/>
      <c r="V163" s="153"/>
      <c r="W163" s="153" t="s">
        <v>660</v>
      </c>
      <c r="X163" s="153" t="s">
        <v>6035</v>
      </c>
      <c r="Y163" s="153" t="s">
        <v>369</v>
      </c>
      <c r="Z163" s="153"/>
      <c r="AA163" s="153"/>
      <c r="AB163" s="153" t="s">
        <v>8004</v>
      </c>
      <c r="AC163" s="153" t="s">
        <v>6060</v>
      </c>
      <c r="AD163" s="153" t="s">
        <v>2873</v>
      </c>
      <c r="AE163" s="153" t="s">
        <v>398</v>
      </c>
      <c r="AF163" s="153"/>
      <c r="AG163" s="153"/>
    </row>
    <row r="164">
      <c r="A164" s="238">
        <v>2024.0</v>
      </c>
      <c r="B164" s="230">
        <v>168.0</v>
      </c>
      <c r="C164" s="153" t="s">
        <v>257</v>
      </c>
      <c r="D164" s="153" t="s">
        <v>497</v>
      </c>
      <c r="E164" s="153" t="s">
        <v>518</v>
      </c>
      <c r="F164" s="153" t="s">
        <v>519</v>
      </c>
      <c r="G164" s="153" t="s">
        <v>384</v>
      </c>
      <c r="H164" s="153" t="s">
        <v>520</v>
      </c>
      <c r="I164" s="230">
        <v>1986.0</v>
      </c>
      <c r="J164" s="230">
        <v>1985.0</v>
      </c>
      <c r="K164" s="230">
        <v>1987.0</v>
      </c>
      <c r="L164" s="153" t="s">
        <v>151</v>
      </c>
      <c r="M164" s="153" t="s">
        <v>6054</v>
      </c>
      <c r="N164" s="153"/>
      <c r="O164" s="153"/>
      <c r="P164" s="153" t="s">
        <v>390</v>
      </c>
      <c r="Q164" s="153"/>
      <c r="R164" s="153"/>
      <c r="S164" s="153"/>
      <c r="T164" s="153"/>
      <c r="U164" s="153"/>
      <c r="V164" s="153" t="s">
        <v>503</v>
      </c>
      <c r="W164" s="153" t="s">
        <v>390</v>
      </c>
      <c r="X164" s="153" t="s">
        <v>6035</v>
      </c>
      <c r="Y164" s="153" t="s">
        <v>6055</v>
      </c>
      <c r="Z164" s="153"/>
      <c r="AA164" s="153"/>
      <c r="AB164" s="153" t="s">
        <v>8004</v>
      </c>
      <c r="AC164" s="153" t="s">
        <v>6060</v>
      </c>
      <c r="AD164" s="153" t="s">
        <v>2873</v>
      </c>
      <c r="AE164" s="153" t="s">
        <v>398</v>
      </c>
      <c r="AF164" s="153"/>
      <c r="AG164" s="153"/>
    </row>
    <row r="165">
      <c r="A165" s="238">
        <v>2024.0</v>
      </c>
      <c r="B165" s="230">
        <v>169.0</v>
      </c>
      <c r="C165" s="153" t="s">
        <v>257</v>
      </c>
      <c r="D165" s="153" t="s">
        <v>497</v>
      </c>
      <c r="E165" s="153" t="s">
        <v>1418</v>
      </c>
      <c r="F165" s="153" t="s">
        <v>1419</v>
      </c>
      <c r="G165" s="153" t="s">
        <v>1377</v>
      </c>
      <c r="H165" s="153" t="s">
        <v>1420</v>
      </c>
      <c r="I165" s="192">
        <v>1992.0</v>
      </c>
      <c r="J165" s="230">
        <v>1990.0</v>
      </c>
      <c r="K165" s="230">
        <v>1994.0</v>
      </c>
      <c r="L165" s="153" t="s">
        <v>151</v>
      </c>
      <c r="M165" s="153"/>
      <c r="N165" s="153"/>
      <c r="O165" s="153"/>
      <c r="P165" s="153" t="s">
        <v>1381</v>
      </c>
      <c r="Q165" s="153"/>
      <c r="R165" s="153"/>
      <c r="S165" s="153"/>
      <c r="T165" s="153"/>
      <c r="U165" s="153"/>
      <c r="V165" s="153"/>
      <c r="W165" s="153" t="s">
        <v>660</v>
      </c>
      <c r="X165" s="153" t="s">
        <v>6035</v>
      </c>
      <c r="Y165" s="153" t="s">
        <v>369</v>
      </c>
      <c r="Z165" s="153"/>
      <c r="AA165" s="153"/>
      <c r="AB165" s="153" t="s">
        <v>8004</v>
      </c>
      <c r="AC165" s="153" t="s">
        <v>6060</v>
      </c>
      <c r="AD165" s="153" t="s">
        <v>2873</v>
      </c>
      <c r="AE165" s="153" t="s">
        <v>398</v>
      </c>
      <c r="AF165" s="153"/>
      <c r="AG165" s="153"/>
    </row>
    <row r="166">
      <c r="A166" s="238">
        <v>2024.0</v>
      </c>
      <c r="B166" s="230">
        <v>170.0</v>
      </c>
      <c r="C166" s="153" t="s">
        <v>257</v>
      </c>
      <c r="D166" s="153" t="s">
        <v>497</v>
      </c>
      <c r="E166" s="153" t="s">
        <v>1418</v>
      </c>
      <c r="F166" s="153" t="s">
        <v>1419</v>
      </c>
      <c r="G166" s="153" t="s">
        <v>1377</v>
      </c>
      <c r="H166" s="153" t="s">
        <v>1422</v>
      </c>
      <c r="I166" s="192">
        <v>1992.0</v>
      </c>
      <c r="J166" s="230">
        <v>1990.0</v>
      </c>
      <c r="K166" s="230">
        <v>1994.0</v>
      </c>
      <c r="L166" s="153" t="s">
        <v>151</v>
      </c>
      <c r="M166" s="153"/>
      <c r="N166" s="153"/>
      <c r="O166" s="153"/>
      <c r="P166" s="153" t="s">
        <v>1381</v>
      </c>
      <c r="Q166" s="153"/>
      <c r="R166" s="153"/>
      <c r="S166" s="153"/>
      <c r="T166" s="153"/>
      <c r="U166" s="153"/>
      <c r="V166" s="153"/>
      <c r="W166" s="153" t="s">
        <v>660</v>
      </c>
      <c r="X166" s="153" t="s">
        <v>6035</v>
      </c>
      <c r="Y166" s="153" t="s">
        <v>369</v>
      </c>
      <c r="Z166" s="153"/>
      <c r="AA166" s="153"/>
      <c r="AB166" s="153" t="s">
        <v>8004</v>
      </c>
      <c r="AC166" s="153" t="s">
        <v>6060</v>
      </c>
      <c r="AD166" s="153" t="s">
        <v>2873</v>
      </c>
      <c r="AE166" s="153" t="s">
        <v>398</v>
      </c>
      <c r="AF166" s="153"/>
      <c r="AG166" s="153"/>
    </row>
    <row r="167">
      <c r="A167" s="238">
        <v>2024.0</v>
      </c>
      <c r="B167" s="230">
        <v>171.0</v>
      </c>
      <c r="C167" s="153" t="s">
        <v>257</v>
      </c>
      <c r="D167" s="153" t="s">
        <v>497</v>
      </c>
      <c r="E167" s="153" t="s">
        <v>1418</v>
      </c>
      <c r="F167" s="153" t="s">
        <v>1419</v>
      </c>
      <c r="G167" s="153" t="s">
        <v>1377</v>
      </c>
      <c r="H167" s="153" t="s">
        <v>1424</v>
      </c>
      <c r="I167" s="192">
        <v>1992.0</v>
      </c>
      <c r="J167" s="230">
        <v>1990.0</v>
      </c>
      <c r="K167" s="230">
        <v>1994.0</v>
      </c>
      <c r="L167" s="153" t="s">
        <v>151</v>
      </c>
      <c r="M167" s="153"/>
      <c r="N167" s="153"/>
      <c r="O167" s="153"/>
      <c r="P167" s="153" t="s">
        <v>1381</v>
      </c>
      <c r="Q167" s="153"/>
      <c r="R167" s="153"/>
      <c r="S167" s="153"/>
      <c r="T167" s="153"/>
      <c r="U167" s="153"/>
      <c r="V167" s="153"/>
      <c r="W167" s="153" t="s">
        <v>660</v>
      </c>
      <c r="X167" s="153" t="s">
        <v>6035</v>
      </c>
      <c r="Y167" s="153" t="s">
        <v>369</v>
      </c>
      <c r="Z167" s="153"/>
      <c r="AA167" s="153"/>
      <c r="AB167" s="153" t="s">
        <v>8004</v>
      </c>
      <c r="AC167" s="153" t="s">
        <v>6060</v>
      </c>
      <c r="AD167" s="153" t="s">
        <v>2873</v>
      </c>
      <c r="AE167" s="153" t="s">
        <v>398</v>
      </c>
      <c r="AF167" s="153"/>
      <c r="AG167" s="153"/>
    </row>
    <row r="168">
      <c r="A168" s="238">
        <v>2024.0</v>
      </c>
      <c r="B168" s="230">
        <v>172.0</v>
      </c>
      <c r="C168" s="153" t="s">
        <v>257</v>
      </c>
      <c r="D168" s="153" t="s">
        <v>497</v>
      </c>
      <c r="E168" s="153" t="s">
        <v>1418</v>
      </c>
      <c r="F168" s="153" t="s">
        <v>1419</v>
      </c>
      <c r="G168" s="153" t="s">
        <v>1377</v>
      </c>
      <c r="H168" s="153" t="s">
        <v>1426</v>
      </c>
      <c r="I168" s="192">
        <v>1992.0</v>
      </c>
      <c r="J168" s="230">
        <v>1990.0</v>
      </c>
      <c r="K168" s="230">
        <v>1994.0</v>
      </c>
      <c r="L168" s="153" t="s">
        <v>151</v>
      </c>
      <c r="M168" s="153"/>
      <c r="N168" s="153"/>
      <c r="O168" s="153"/>
      <c r="P168" s="153" t="s">
        <v>1381</v>
      </c>
      <c r="Q168" s="153"/>
      <c r="R168" s="153"/>
      <c r="S168" s="153"/>
      <c r="T168" s="153"/>
      <c r="U168" s="153"/>
      <c r="V168" s="153"/>
      <c r="W168" s="153" t="s">
        <v>660</v>
      </c>
      <c r="X168" s="153" t="s">
        <v>6035</v>
      </c>
      <c r="Y168" s="153" t="s">
        <v>369</v>
      </c>
      <c r="Z168" s="153"/>
      <c r="AA168" s="153"/>
      <c r="AB168" s="153" t="s">
        <v>8004</v>
      </c>
      <c r="AC168" s="153" t="s">
        <v>6060</v>
      </c>
      <c r="AD168" s="153" t="s">
        <v>2873</v>
      </c>
      <c r="AE168" s="153" t="s">
        <v>398</v>
      </c>
      <c r="AF168" s="153"/>
      <c r="AG168" s="153"/>
    </row>
    <row r="169">
      <c r="A169" s="238">
        <v>2024.0</v>
      </c>
      <c r="B169" s="230">
        <v>173.0</v>
      </c>
      <c r="C169" s="153" t="s">
        <v>257</v>
      </c>
      <c r="D169" s="153" t="s">
        <v>497</v>
      </c>
      <c r="E169" s="153" t="s">
        <v>1428</v>
      </c>
      <c r="F169" s="153" t="s">
        <v>1429</v>
      </c>
      <c r="G169" s="153" t="s">
        <v>1377</v>
      </c>
      <c r="H169" s="153"/>
      <c r="I169" s="192">
        <v>1992.0</v>
      </c>
      <c r="J169" s="230">
        <v>1990.0</v>
      </c>
      <c r="K169" s="230">
        <v>1994.0</v>
      </c>
      <c r="L169" s="153" t="s">
        <v>151</v>
      </c>
      <c r="M169" s="153"/>
      <c r="N169" s="153"/>
      <c r="O169" s="153"/>
      <c r="P169" s="153" t="s">
        <v>1381</v>
      </c>
      <c r="Q169" s="153"/>
      <c r="R169" s="153"/>
      <c r="S169" s="153"/>
      <c r="T169" s="153"/>
      <c r="U169" s="153"/>
      <c r="V169" s="153"/>
      <c r="W169" s="153" t="s">
        <v>660</v>
      </c>
      <c r="X169" s="153" t="s">
        <v>6035</v>
      </c>
      <c r="Y169" s="153" t="s">
        <v>369</v>
      </c>
      <c r="Z169" s="153"/>
      <c r="AA169" s="153"/>
      <c r="AB169" s="153" t="s">
        <v>8004</v>
      </c>
      <c r="AC169" s="153" t="s">
        <v>6060</v>
      </c>
      <c r="AD169" s="153" t="s">
        <v>2873</v>
      </c>
      <c r="AE169" s="153" t="s">
        <v>398</v>
      </c>
      <c r="AF169" s="153"/>
      <c r="AG169" s="153"/>
    </row>
    <row r="170">
      <c r="A170" s="238">
        <v>2024.0</v>
      </c>
      <c r="B170" s="230">
        <v>174.0</v>
      </c>
      <c r="C170" s="153" t="s">
        <v>257</v>
      </c>
      <c r="D170" s="153" t="s">
        <v>497</v>
      </c>
      <c r="E170" s="153" t="s">
        <v>497</v>
      </c>
      <c r="F170" s="153" t="s">
        <v>1431</v>
      </c>
      <c r="G170" s="153" t="s">
        <v>1377</v>
      </c>
      <c r="H170" s="153" t="s">
        <v>1432</v>
      </c>
      <c r="I170" s="192">
        <v>1992.0</v>
      </c>
      <c r="J170" s="230">
        <v>1990.0</v>
      </c>
      <c r="K170" s="230">
        <v>1994.0</v>
      </c>
      <c r="L170" s="153" t="s">
        <v>151</v>
      </c>
      <c r="M170" s="153"/>
      <c r="N170" s="153"/>
      <c r="O170" s="153"/>
      <c r="P170" s="153" t="s">
        <v>1381</v>
      </c>
      <c r="Q170" s="153"/>
      <c r="R170" s="153"/>
      <c r="S170" s="153"/>
      <c r="T170" s="153"/>
      <c r="U170" s="153"/>
      <c r="V170" s="153"/>
      <c r="W170" s="153" t="s">
        <v>660</v>
      </c>
      <c r="X170" s="153" t="s">
        <v>6035</v>
      </c>
      <c r="Y170" s="153" t="s">
        <v>369</v>
      </c>
      <c r="Z170" s="153"/>
      <c r="AA170" s="153"/>
      <c r="AB170" s="153" t="s">
        <v>8004</v>
      </c>
      <c r="AC170" s="153" t="s">
        <v>6060</v>
      </c>
      <c r="AD170" s="153" t="s">
        <v>2873</v>
      </c>
      <c r="AE170" s="153" t="s">
        <v>398</v>
      </c>
      <c r="AF170" s="153"/>
      <c r="AG170" s="153"/>
    </row>
    <row r="171">
      <c r="A171" s="238">
        <v>2024.0</v>
      </c>
      <c r="B171" s="230">
        <v>175.0</v>
      </c>
      <c r="C171" s="153" t="s">
        <v>257</v>
      </c>
      <c r="D171" s="153" t="s">
        <v>497</v>
      </c>
      <c r="E171" s="153" t="s">
        <v>497</v>
      </c>
      <c r="F171" s="153" t="s">
        <v>1431</v>
      </c>
      <c r="G171" s="153" t="s">
        <v>1377</v>
      </c>
      <c r="H171" s="153" t="s">
        <v>1434</v>
      </c>
      <c r="I171" s="192">
        <v>1992.0</v>
      </c>
      <c r="J171" s="230">
        <v>1990.0</v>
      </c>
      <c r="K171" s="230">
        <v>1994.0</v>
      </c>
      <c r="L171" s="153" t="s">
        <v>151</v>
      </c>
      <c r="M171" s="153"/>
      <c r="N171" s="153"/>
      <c r="O171" s="153"/>
      <c r="P171" s="153" t="s">
        <v>1381</v>
      </c>
      <c r="Q171" s="153"/>
      <c r="R171" s="153"/>
      <c r="S171" s="153"/>
      <c r="T171" s="153"/>
      <c r="U171" s="153"/>
      <c r="V171" s="153"/>
      <c r="W171" s="153" t="s">
        <v>660</v>
      </c>
      <c r="X171" s="153" t="s">
        <v>6035</v>
      </c>
      <c r="Y171" s="153" t="s">
        <v>369</v>
      </c>
      <c r="Z171" s="153"/>
      <c r="AA171" s="153"/>
      <c r="AB171" s="153" t="s">
        <v>8004</v>
      </c>
      <c r="AC171" s="153" t="s">
        <v>6060</v>
      </c>
      <c r="AD171" s="153" t="s">
        <v>2873</v>
      </c>
      <c r="AE171" s="153" t="s">
        <v>398</v>
      </c>
      <c r="AF171" s="153"/>
      <c r="AG171" s="153"/>
    </row>
    <row r="172">
      <c r="A172" s="238">
        <v>2024.0</v>
      </c>
      <c r="B172" s="230">
        <v>176.0</v>
      </c>
      <c r="C172" s="153" t="s">
        <v>257</v>
      </c>
      <c r="D172" s="153" t="s">
        <v>497</v>
      </c>
      <c r="E172" s="153" t="s">
        <v>1436</v>
      </c>
      <c r="F172" s="153" t="s">
        <v>1437</v>
      </c>
      <c r="G172" s="153" t="s">
        <v>1377</v>
      </c>
      <c r="H172" s="153"/>
      <c r="I172" s="192">
        <v>1992.0</v>
      </c>
      <c r="J172" s="230">
        <v>1990.0</v>
      </c>
      <c r="K172" s="230">
        <v>1994.0</v>
      </c>
      <c r="L172" s="153" t="s">
        <v>151</v>
      </c>
      <c r="M172" s="153"/>
      <c r="N172" s="153"/>
      <c r="O172" s="153"/>
      <c r="P172" s="153" t="s">
        <v>1381</v>
      </c>
      <c r="Q172" s="153"/>
      <c r="R172" s="153"/>
      <c r="S172" s="153"/>
      <c r="T172" s="153"/>
      <c r="U172" s="153"/>
      <c r="V172" s="153"/>
      <c r="W172" s="153" t="s">
        <v>660</v>
      </c>
      <c r="X172" s="153" t="s">
        <v>6035</v>
      </c>
      <c r="Y172" s="153" t="s">
        <v>369</v>
      </c>
      <c r="Z172" s="153"/>
      <c r="AA172" s="153"/>
      <c r="AB172" s="153" t="s">
        <v>8004</v>
      </c>
      <c r="AC172" s="153" t="s">
        <v>6060</v>
      </c>
      <c r="AD172" s="153" t="s">
        <v>2873</v>
      </c>
      <c r="AE172" s="153" t="s">
        <v>398</v>
      </c>
      <c r="AF172" s="153"/>
      <c r="AG172" s="153"/>
    </row>
    <row r="173">
      <c r="A173" s="238">
        <v>2024.0</v>
      </c>
      <c r="B173" s="230">
        <v>177.0</v>
      </c>
      <c r="C173" s="153" t="s">
        <v>257</v>
      </c>
      <c r="D173" s="153" t="s">
        <v>497</v>
      </c>
      <c r="E173" s="153" t="s">
        <v>1439</v>
      </c>
      <c r="F173" s="153" t="s">
        <v>1440</v>
      </c>
      <c r="G173" s="153" t="s">
        <v>1377</v>
      </c>
      <c r="H173" s="153"/>
      <c r="I173" s="192">
        <v>1992.0</v>
      </c>
      <c r="J173" s="230">
        <v>1990.0</v>
      </c>
      <c r="K173" s="230">
        <v>1994.0</v>
      </c>
      <c r="L173" s="153" t="s">
        <v>151</v>
      </c>
      <c r="M173" s="153"/>
      <c r="N173" s="153"/>
      <c r="O173" s="153"/>
      <c r="P173" s="153" t="s">
        <v>1381</v>
      </c>
      <c r="Q173" s="153"/>
      <c r="R173" s="153"/>
      <c r="S173" s="153"/>
      <c r="T173" s="153"/>
      <c r="U173" s="153"/>
      <c r="V173" s="153"/>
      <c r="W173" s="153" t="s">
        <v>660</v>
      </c>
      <c r="X173" s="153" t="s">
        <v>6035</v>
      </c>
      <c r="Y173" s="153" t="s">
        <v>369</v>
      </c>
      <c r="Z173" s="153"/>
      <c r="AA173" s="153"/>
      <c r="AB173" s="153" t="s">
        <v>8004</v>
      </c>
      <c r="AC173" s="153" t="s">
        <v>6060</v>
      </c>
      <c r="AD173" s="153" t="s">
        <v>2873</v>
      </c>
      <c r="AE173" s="153" t="s">
        <v>398</v>
      </c>
      <c r="AF173" s="153"/>
      <c r="AG173" s="153"/>
    </row>
    <row r="174">
      <c r="A174" s="238">
        <v>2024.0</v>
      </c>
      <c r="B174" s="230">
        <v>178.0</v>
      </c>
      <c r="C174" s="153" t="s">
        <v>522</v>
      </c>
      <c r="D174" s="153" t="s">
        <v>802</v>
      </c>
      <c r="E174" s="153" t="s">
        <v>1172</v>
      </c>
      <c r="F174" s="153" t="s">
        <v>1173</v>
      </c>
      <c r="G174" s="153" t="s">
        <v>6113</v>
      </c>
      <c r="H174" s="153"/>
      <c r="I174" s="230">
        <v>2021.0</v>
      </c>
      <c r="J174" s="230"/>
      <c r="K174" s="230"/>
      <c r="L174" s="153" t="s">
        <v>6062</v>
      </c>
      <c r="M174" s="153" t="s">
        <v>320</v>
      </c>
      <c r="N174" s="153"/>
      <c r="O174" s="153"/>
      <c r="P174" s="153"/>
      <c r="Q174" s="153"/>
      <c r="R174" s="153"/>
      <c r="S174" s="153"/>
      <c r="T174" s="153"/>
      <c r="U174" s="153"/>
      <c r="V174" s="153"/>
      <c r="W174" s="153" t="s">
        <v>369</v>
      </c>
      <c r="X174" s="153" t="s">
        <v>6035</v>
      </c>
      <c r="Y174" s="153" t="s">
        <v>6793</v>
      </c>
      <c r="Z174" s="153"/>
      <c r="AA174" s="153"/>
      <c r="AB174" s="153" t="s">
        <v>8006</v>
      </c>
      <c r="AC174" s="153" t="s">
        <v>1184</v>
      </c>
      <c r="AD174" s="165" t="s">
        <v>1185</v>
      </c>
      <c r="AE174" s="153"/>
      <c r="AF174" s="153"/>
      <c r="AG174" s="153"/>
    </row>
    <row r="175">
      <c r="A175" s="238">
        <v>2024.0</v>
      </c>
      <c r="B175" s="230">
        <v>179.0</v>
      </c>
      <c r="C175" s="153" t="s">
        <v>522</v>
      </c>
      <c r="D175" s="153" t="s">
        <v>802</v>
      </c>
      <c r="E175" s="153" t="s">
        <v>1187</v>
      </c>
      <c r="F175" s="153" t="s">
        <v>1188</v>
      </c>
      <c r="G175" s="153" t="s">
        <v>6113</v>
      </c>
      <c r="H175" s="153"/>
      <c r="I175" s="230">
        <v>2021.0</v>
      </c>
      <c r="J175" s="230"/>
      <c r="K175" s="230"/>
      <c r="L175" s="153" t="s">
        <v>6062</v>
      </c>
      <c r="M175" s="153" t="s">
        <v>320</v>
      </c>
      <c r="N175" s="153"/>
      <c r="O175" s="153"/>
      <c r="P175" s="153"/>
      <c r="Q175" s="153"/>
      <c r="R175" s="153"/>
      <c r="S175" s="153"/>
      <c r="T175" s="153"/>
      <c r="U175" s="153"/>
      <c r="V175" s="153"/>
      <c r="W175" s="153" t="s">
        <v>369</v>
      </c>
      <c r="X175" s="153" t="s">
        <v>6035</v>
      </c>
      <c r="Y175" s="153" t="s">
        <v>6793</v>
      </c>
      <c r="Z175" s="153"/>
      <c r="AA175" s="153"/>
      <c r="AB175" s="153" t="s">
        <v>8006</v>
      </c>
      <c r="AC175" s="153" t="s">
        <v>1184</v>
      </c>
      <c r="AD175" s="153" t="s">
        <v>1185</v>
      </c>
      <c r="AE175" s="153"/>
      <c r="AF175" s="153"/>
      <c r="AG175" s="153"/>
    </row>
    <row r="176">
      <c r="A176" s="238">
        <v>2024.0</v>
      </c>
      <c r="B176" s="230">
        <v>180.0</v>
      </c>
      <c r="C176" s="153" t="s">
        <v>522</v>
      </c>
      <c r="D176" s="153" t="s">
        <v>802</v>
      </c>
      <c r="E176" s="153" t="s">
        <v>6771</v>
      </c>
      <c r="F176" s="153" t="s">
        <v>803</v>
      </c>
      <c r="G176" s="153" t="s">
        <v>2107</v>
      </c>
      <c r="H176" s="153"/>
      <c r="I176" s="230" t="s">
        <v>6113</v>
      </c>
      <c r="J176" s="230"/>
      <c r="K176" s="230"/>
      <c r="L176" s="153" t="s">
        <v>151</v>
      </c>
      <c r="M176" s="153" t="s">
        <v>152</v>
      </c>
      <c r="N176" s="153"/>
      <c r="O176" s="153" t="s">
        <v>6506</v>
      </c>
      <c r="P176" s="153"/>
      <c r="Q176" s="153"/>
      <c r="R176" s="153"/>
      <c r="S176" s="153"/>
      <c r="T176" s="153"/>
      <c r="U176" s="153"/>
      <c r="V176" s="153"/>
      <c r="W176" s="153" t="s">
        <v>2111</v>
      </c>
      <c r="X176" s="158" t="s">
        <v>8033</v>
      </c>
      <c r="Y176" s="153" t="s">
        <v>660</v>
      </c>
      <c r="Z176" s="153" t="s">
        <v>2112</v>
      </c>
      <c r="AA176" s="153"/>
      <c r="AB176" s="153" t="s">
        <v>8004</v>
      </c>
      <c r="AC176" s="153" t="s">
        <v>6060</v>
      </c>
      <c r="AD176" s="153" t="s">
        <v>2873</v>
      </c>
      <c r="AE176" s="153" t="s">
        <v>398</v>
      </c>
      <c r="AF176" s="153"/>
      <c r="AG176" s="153"/>
    </row>
    <row r="177">
      <c r="A177" s="238">
        <v>2024.0</v>
      </c>
      <c r="B177" s="230">
        <v>181.0</v>
      </c>
      <c r="C177" s="153" t="s">
        <v>522</v>
      </c>
      <c r="D177" s="153" t="s">
        <v>802</v>
      </c>
      <c r="E177" s="153" t="s">
        <v>6771</v>
      </c>
      <c r="F177" s="153" t="s">
        <v>803</v>
      </c>
      <c r="G177" s="153" t="s">
        <v>804</v>
      </c>
      <c r="H177" s="153" t="s">
        <v>6808</v>
      </c>
      <c r="I177" s="230" t="s">
        <v>6113</v>
      </c>
      <c r="J177" s="230">
        <v>1989.0</v>
      </c>
      <c r="K177" s="230">
        <v>1994.0</v>
      </c>
      <c r="L177" s="153" t="s">
        <v>151</v>
      </c>
      <c r="M177" s="153" t="s">
        <v>6779</v>
      </c>
      <c r="N177" s="153"/>
      <c r="O177" s="153" t="s">
        <v>6809</v>
      </c>
      <c r="P177" s="153" t="s">
        <v>6810</v>
      </c>
      <c r="Q177" s="153"/>
      <c r="R177" s="153"/>
      <c r="S177" s="153"/>
      <c r="T177" s="153"/>
      <c r="U177" s="153"/>
      <c r="V177" s="153" t="s">
        <v>6780</v>
      </c>
      <c r="W177" s="153" t="s">
        <v>341</v>
      </c>
      <c r="X177" s="153" t="s">
        <v>6035</v>
      </c>
      <c r="Y177" s="153"/>
      <c r="Z177" s="153"/>
      <c r="AA177" s="153"/>
      <c r="AB177" s="153" t="s">
        <v>8004</v>
      </c>
      <c r="AC177" s="153" t="s">
        <v>6060</v>
      </c>
      <c r="AD177" s="153" t="s">
        <v>2873</v>
      </c>
      <c r="AE177" s="153" t="s">
        <v>398</v>
      </c>
      <c r="AF177" s="153"/>
      <c r="AG177" s="153"/>
    </row>
    <row r="178">
      <c r="A178" s="238">
        <v>2024.0</v>
      </c>
      <c r="B178" s="230">
        <v>182.0</v>
      </c>
      <c r="C178" s="153" t="s">
        <v>522</v>
      </c>
      <c r="D178" s="153" t="s">
        <v>2618</v>
      </c>
      <c r="E178" s="153" t="s">
        <v>2619</v>
      </c>
      <c r="F178" s="153" t="s">
        <v>2620</v>
      </c>
      <c r="G178" s="158" t="s">
        <v>149</v>
      </c>
      <c r="H178" s="153"/>
      <c r="I178" s="230" t="s">
        <v>6113</v>
      </c>
      <c r="J178" s="230"/>
      <c r="K178" s="230"/>
      <c r="L178" s="153" t="s">
        <v>6062</v>
      </c>
      <c r="M178" s="153" t="s">
        <v>2622</v>
      </c>
      <c r="N178" s="153"/>
      <c r="O178" s="153" t="s">
        <v>6812</v>
      </c>
      <c r="P178" s="153" t="s">
        <v>2624</v>
      </c>
      <c r="Q178" s="153"/>
      <c r="R178" s="153"/>
      <c r="S178" s="153"/>
      <c r="T178" s="153"/>
      <c r="U178" s="153"/>
      <c r="V178" s="153"/>
      <c r="W178" s="153" t="s">
        <v>2624</v>
      </c>
      <c r="X178" s="153" t="s">
        <v>8005</v>
      </c>
      <c r="Y178" s="153"/>
      <c r="Z178" s="153"/>
      <c r="AA178" s="153"/>
      <c r="AB178" s="153" t="s">
        <v>7902</v>
      </c>
      <c r="AC178" s="153" t="s">
        <v>2626</v>
      </c>
      <c r="AD178" s="165" t="s">
        <v>2627</v>
      </c>
      <c r="AE178" s="153"/>
      <c r="AF178" s="153"/>
      <c r="AG178" s="153"/>
    </row>
    <row r="179">
      <c r="A179" s="238">
        <v>2024.0</v>
      </c>
      <c r="B179" s="230">
        <v>183.0</v>
      </c>
      <c r="C179" s="153" t="s">
        <v>522</v>
      </c>
      <c r="D179" s="153" t="s">
        <v>1947</v>
      </c>
      <c r="E179" s="153" t="s">
        <v>1948</v>
      </c>
      <c r="F179" s="153" t="s">
        <v>1949</v>
      </c>
      <c r="G179" s="153" t="s">
        <v>1950</v>
      </c>
      <c r="H179" s="153"/>
      <c r="I179" s="230">
        <v>2013.0</v>
      </c>
      <c r="J179" s="230"/>
      <c r="K179" s="230"/>
      <c r="L179" s="153" t="s">
        <v>151</v>
      </c>
      <c r="M179" s="153" t="s">
        <v>851</v>
      </c>
      <c r="N179" s="153"/>
      <c r="O179" s="153"/>
      <c r="P179" s="153" t="s">
        <v>6824</v>
      </c>
      <c r="Q179" s="153"/>
      <c r="R179" s="153"/>
      <c r="S179" s="153"/>
      <c r="T179" s="153"/>
      <c r="U179" s="153"/>
      <c r="V179" s="153" t="s">
        <v>571</v>
      </c>
      <c r="W179" s="153" t="s">
        <v>724</v>
      </c>
      <c r="X179" s="158" t="s">
        <v>8005</v>
      </c>
      <c r="Y179" s="153"/>
      <c r="Z179" s="153"/>
      <c r="AA179" s="153"/>
      <c r="AB179" s="158" t="s">
        <v>6517</v>
      </c>
      <c r="AC179" s="153" t="s">
        <v>726</v>
      </c>
      <c r="AD179" s="165" t="s">
        <v>6825</v>
      </c>
      <c r="AE179" s="153"/>
      <c r="AF179" s="153"/>
      <c r="AG179" s="153"/>
    </row>
    <row r="180">
      <c r="A180" s="238">
        <v>2024.0</v>
      </c>
      <c r="B180" s="230">
        <v>184.0</v>
      </c>
      <c r="C180" s="153" t="s">
        <v>522</v>
      </c>
      <c r="D180" s="153" t="s">
        <v>523</v>
      </c>
      <c r="E180" s="153" t="s">
        <v>922</v>
      </c>
      <c r="F180" s="154" t="s">
        <v>923</v>
      </c>
      <c r="G180" s="153" t="s">
        <v>924</v>
      </c>
      <c r="H180" s="153" t="s">
        <v>925</v>
      </c>
      <c r="I180" s="230">
        <v>2023.0</v>
      </c>
      <c r="J180" s="230">
        <v>2023.0</v>
      </c>
      <c r="K180" s="230"/>
      <c r="L180" s="153" t="s">
        <v>6624</v>
      </c>
      <c r="M180" s="153" t="s">
        <v>8034</v>
      </c>
      <c r="N180" s="153"/>
      <c r="O180" s="153"/>
      <c r="P180" s="153" t="s">
        <v>928</v>
      </c>
      <c r="Q180" s="153"/>
      <c r="R180" s="153"/>
      <c r="S180" s="153"/>
      <c r="T180" s="153"/>
      <c r="U180" s="153"/>
      <c r="V180" s="153"/>
      <c r="W180" s="153" t="s">
        <v>928</v>
      </c>
      <c r="X180" s="153" t="s">
        <v>8005</v>
      </c>
      <c r="Y180" s="153" t="s">
        <v>369</v>
      </c>
      <c r="Z180" s="153" t="s">
        <v>930</v>
      </c>
      <c r="AA180" s="153"/>
      <c r="AB180" s="153" t="s">
        <v>6038</v>
      </c>
      <c r="AC180" s="153" t="s">
        <v>6791</v>
      </c>
      <c r="AD180" s="172" t="s">
        <v>932</v>
      </c>
      <c r="AE180" s="153"/>
      <c r="AF180" s="153"/>
      <c r="AG180" s="153"/>
    </row>
    <row r="181">
      <c r="A181" s="238">
        <v>2024.0</v>
      </c>
      <c r="B181" s="230">
        <v>185.0</v>
      </c>
      <c r="C181" s="153" t="s">
        <v>522</v>
      </c>
      <c r="D181" s="153" t="s">
        <v>523</v>
      </c>
      <c r="E181" s="153" t="s">
        <v>2278</v>
      </c>
      <c r="F181" s="153" t="s">
        <v>2279</v>
      </c>
      <c r="G181" s="153" t="s">
        <v>6795</v>
      </c>
      <c r="H181" s="153"/>
      <c r="I181" s="230">
        <v>2006.0</v>
      </c>
      <c r="J181" s="230"/>
      <c r="K181" s="230"/>
      <c r="L181" s="153" t="s">
        <v>151</v>
      </c>
      <c r="M181" s="153" t="s">
        <v>6827</v>
      </c>
      <c r="N181" s="153"/>
      <c r="O181" s="153" t="s">
        <v>6828</v>
      </c>
      <c r="P181" s="153" t="s">
        <v>2286</v>
      </c>
      <c r="Q181" s="153"/>
      <c r="R181" s="153"/>
      <c r="S181" s="153"/>
      <c r="T181" s="153"/>
      <c r="U181" s="153"/>
      <c r="V181" s="153"/>
      <c r="W181" s="153" t="s">
        <v>6829</v>
      </c>
      <c r="X181" s="158" t="s">
        <v>306</v>
      </c>
      <c r="Y181" s="153"/>
      <c r="Z181" s="153" t="s">
        <v>2287</v>
      </c>
      <c r="AA181" s="153"/>
      <c r="AB181" s="153" t="s">
        <v>7902</v>
      </c>
      <c r="AC181" s="153" t="s">
        <v>2288</v>
      </c>
      <c r="AD181" s="153" t="s">
        <v>6801</v>
      </c>
      <c r="AE181" s="153"/>
      <c r="AF181" s="153"/>
      <c r="AG181" s="153"/>
    </row>
    <row r="182">
      <c r="A182" s="238">
        <v>2024.0</v>
      </c>
      <c r="B182" s="230">
        <v>186.0</v>
      </c>
      <c r="C182" s="153" t="s">
        <v>522</v>
      </c>
      <c r="D182" s="153" t="s">
        <v>523</v>
      </c>
      <c r="E182" s="153" t="s">
        <v>6804</v>
      </c>
      <c r="F182" s="153" t="s">
        <v>525</v>
      </c>
      <c r="G182" s="153" t="s">
        <v>384</v>
      </c>
      <c r="H182" s="153" t="s">
        <v>526</v>
      </c>
      <c r="I182" s="192">
        <v>1985.0</v>
      </c>
      <c r="J182" s="230">
        <v>1985.0</v>
      </c>
      <c r="K182" s="230">
        <v>1987.0</v>
      </c>
      <c r="L182" s="153" t="s">
        <v>151</v>
      </c>
      <c r="M182" s="153" t="s">
        <v>6054</v>
      </c>
      <c r="N182" s="153"/>
      <c r="O182" s="153"/>
      <c r="P182" s="153" t="s">
        <v>390</v>
      </c>
      <c r="Q182" s="153"/>
      <c r="R182" s="153"/>
      <c r="S182" s="153"/>
      <c r="T182" s="153"/>
      <c r="U182" s="153"/>
      <c r="V182" s="153"/>
      <c r="W182" s="153" t="s">
        <v>390</v>
      </c>
      <c r="X182" s="153" t="s">
        <v>6035</v>
      </c>
      <c r="Y182" s="153" t="s">
        <v>6055</v>
      </c>
      <c r="Z182" s="153"/>
      <c r="AA182" s="153"/>
      <c r="AB182" s="153" t="s">
        <v>8004</v>
      </c>
      <c r="AC182" s="153" t="s">
        <v>6060</v>
      </c>
      <c r="AD182" s="153" t="s">
        <v>2873</v>
      </c>
      <c r="AE182" s="153" t="s">
        <v>398</v>
      </c>
      <c r="AF182" s="153"/>
      <c r="AG182" s="153"/>
    </row>
    <row r="183">
      <c r="A183" s="238">
        <v>2024.0</v>
      </c>
      <c r="B183" s="230">
        <v>187.0</v>
      </c>
      <c r="C183" s="153" t="s">
        <v>522</v>
      </c>
      <c r="D183" s="153" t="s">
        <v>523</v>
      </c>
      <c r="E183" s="153" t="s">
        <v>6804</v>
      </c>
      <c r="F183" s="153" t="s">
        <v>525</v>
      </c>
      <c r="G183" s="153" t="s">
        <v>1683</v>
      </c>
      <c r="H183" s="153"/>
      <c r="I183" s="230">
        <v>2014.0</v>
      </c>
      <c r="J183" s="230">
        <v>2014.0</v>
      </c>
      <c r="K183" s="230">
        <v>2016.0</v>
      </c>
      <c r="L183" s="153" t="s">
        <v>6062</v>
      </c>
      <c r="M183" s="153" t="s">
        <v>320</v>
      </c>
      <c r="N183" s="153"/>
      <c r="O183" s="153"/>
      <c r="P183" s="153" t="s">
        <v>321</v>
      </c>
      <c r="Q183" s="153"/>
      <c r="R183" s="153"/>
      <c r="S183" s="153"/>
      <c r="T183" s="153"/>
      <c r="U183" s="153"/>
      <c r="V183" s="153" t="s">
        <v>1709</v>
      </c>
      <c r="W183" s="153" t="s">
        <v>326</v>
      </c>
      <c r="X183" s="153" t="s">
        <v>306</v>
      </c>
      <c r="Y183" s="153"/>
      <c r="Z183" s="153"/>
      <c r="AA183" s="153"/>
      <c r="AB183" s="153" t="s">
        <v>6084</v>
      </c>
      <c r="AC183" s="153" t="s">
        <v>1300</v>
      </c>
      <c r="AD183" s="153" t="s">
        <v>6070</v>
      </c>
      <c r="AE183" s="153"/>
      <c r="AF183" s="153"/>
      <c r="AG183" s="153"/>
    </row>
    <row r="184">
      <c r="A184" s="238">
        <v>2024.0</v>
      </c>
      <c r="B184" s="230">
        <v>188.0</v>
      </c>
      <c r="C184" s="153" t="s">
        <v>522</v>
      </c>
      <c r="D184" s="153" t="s">
        <v>523</v>
      </c>
      <c r="E184" s="153" t="s">
        <v>1964</v>
      </c>
      <c r="F184" s="153" t="s">
        <v>1965</v>
      </c>
      <c r="G184" s="158" t="s">
        <v>149</v>
      </c>
      <c r="H184" s="153"/>
      <c r="I184" s="230">
        <v>2011.0</v>
      </c>
      <c r="J184" s="230"/>
      <c r="K184" s="230"/>
      <c r="L184" s="153" t="s">
        <v>6814</v>
      </c>
      <c r="M184" s="153" t="s">
        <v>6288</v>
      </c>
      <c r="N184" s="153"/>
      <c r="O184" s="153" t="s">
        <v>6843</v>
      </c>
      <c r="P184" s="153" t="s">
        <v>2571</v>
      </c>
      <c r="Q184" s="153"/>
      <c r="R184" s="153"/>
      <c r="S184" s="153"/>
      <c r="T184" s="153"/>
      <c r="U184" s="153"/>
      <c r="V184" s="153" t="s">
        <v>2573</v>
      </c>
      <c r="W184" s="153" t="s">
        <v>2574</v>
      </c>
      <c r="X184" s="153" t="s">
        <v>8005</v>
      </c>
      <c r="Y184" s="153"/>
      <c r="Z184" s="153"/>
      <c r="AA184" s="153"/>
      <c r="AB184" s="153" t="s">
        <v>6084</v>
      </c>
      <c r="AC184" s="153" t="s">
        <v>2576</v>
      </c>
      <c r="AD184" s="165" t="s">
        <v>2577</v>
      </c>
      <c r="AE184" s="153"/>
      <c r="AF184" s="153"/>
      <c r="AG184" s="153"/>
    </row>
    <row r="185">
      <c r="A185" s="238">
        <v>2024.0</v>
      </c>
      <c r="B185" s="230">
        <v>189.0</v>
      </c>
      <c r="C185" s="153" t="s">
        <v>522</v>
      </c>
      <c r="D185" s="153" t="s">
        <v>523</v>
      </c>
      <c r="E185" s="153" t="s">
        <v>1964</v>
      </c>
      <c r="F185" s="153" t="s">
        <v>1965</v>
      </c>
      <c r="G185" s="153" t="s">
        <v>6235</v>
      </c>
      <c r="H185" s="153"/>
      <c r="I185" s="230">
        <v>2024.0</v>
      </c>
      <c r="J185" s="192">
        <v>2021.0</v>
      </c>
      <c r="K185" s="192">
        <v>2025.0</v>
      </c>
      <c r="L185" s="153" t="s">
        <v>6221</v>
      </c>
      <c r="M185" s="153"/>
      <c r="N185" s="153"/>
      <c r="O185" s="153"/>
      <c r="P185" s="153" t="s">
        <v>203</v>
      </c>
      <c r="Q185" s="153"/>
      <c r="R185" s="153"/>
      <c r="S185" s="153"/>
      <c r="T185" s="153"/>
      <c r="U185" s="153"/>
      <c r="V185" s="153"/>
      <c r="W185" s="153" t="s">
        <v>208</v>
      </c>
      <c r="X185" s="153" t="s">
        <v>209</v>
      </c>
      <c r="Y185" s="153" t="s">
        <v>211</v>
      </c>
      <c r="Z185" s="153"/>
      <c r="AA185" s="153"/>
      <c r="AB185" s="153" t="s">
        <v>214</v>
      </c>
      <c r="AC185" s="153" t="s">
        <v>214</v>
      </c>
      <c r="AD185" s="239"/>
      <c r="AE185" s="153"/>
      <c r="AF185" s="153"/>
      <c r="AG185" s="153"/>
    </row>
    <row r="186">
      <c r="A186" s="238">
        <v>2024.0</v>
      </c>
      <c r="B186" s="230">
        <v>190.0</v>
      </c>
      <c r="C186" s="153" t="s">
        <v>522</v>
      </c>
      <c r="D186" s="153" t="s">
        <v>523</v>
      </c>
      <c r="E186" s="153" t="s">
        <v>2114</v>
      </c>
      <c r="F186" s="153" t="s">
        <v>2115</v>
      </c>
      <c r="G186" s="153" t="s">
        <v>2116</v>
      </c>
      <c r="H186" s="153"/>
      <c r="I186" s="230">
        <v>2016.0</v>
      </c>
      <c r="J186" s="230"/>
      <c r="K186" s="230"/>
      <c r="L186" s="153" t="s">
        <v>151</v>
      </c>
      <c r="M186" s="153" t="s">
        <v>2116</v>
      </c>
      <c r="N186" s="153"/>
      <c r="O186" s="153" t="s">
        <v>6849</v>
      </c>
      <c r="P186" s="153" t="s">
        <v>2120</v>
      </c>
      <c r="Q186" s="153"/>
      <c r="R186" s="153"/>
      <c r="S186" s="153"/>
      <c r="T186" s="153"/>
      <c r="U186" s="153"/>
      <c r="V186" s="153"/>
      <c r="W186" s="153" t="s">
        <v>2120</v>
      </c>
      <c r="X186" s="153" t="s">
        <v>306</v>
      </c>
      <c r="Y186" s="153" t="s">
        <v>369</v>
      </c>
      <c r="Z186" s="153"/>
      <c r="AA186" s="153"/>
      <c r="AB186" s="158" t="s">
        <v>1159</v>
      </c>
      <c r="AC186" s="153" t="s">
        <v>6835</v>
      </c>
      <c r="AD186" s="165" t="s">
        <v>2124</v>
      </c>
      <c r="AE186" s="153" t="s">
        <v>2125</v>
      </c>
      <c r="AF186" s="165" t="s">
        <v>2126</v>
      </c>
      <c r="AG186" s="153"/>
    </row>
    <row r="187">
      <c r="A187" s="238">
        <v>2024.0</v>
      </c>
      <c r="B187" s="230">
        <v>191.0</v>
      </c>
      <c r="C187" s="153" t="s">
        <v>522</v>
      </c>
      <c r="D187" s="153" t="s">
        <v>529</v>
      </c>
      <c r="E187" s="153" t="s">
        <v>530</v>
      </c>
      <c r="F187" s="153" t="s">
        <v>531</v>
      </c>
      <c r="G187" s="153" t="s">
        <v>384</v>
      </c>
      <c r="H187" s="153" t="s">
        <v>532</v>
      </c>
      <c r="I187" s="230">
        <v>1985.0</v>
      </c>
      <c r="J187" s="230">
        <v>1985.0</v>
      </c>
      <c r="K187" s="230">
        <v>1987.0</v>
      </c>
      <c r="L187" s="153" t="s">
        <v>151</v>
      </c>
      <c r="M187" s="153" t="s">
        <v>469</v>
      </c>
      <c r="N187" s="153"/>
      <c r="O187" s="153"/>
      <c r="P187" s="153" t="s">
        <v>390</v>
      </c>
      <c r="Q187" s="153"/>
      <c r="R187" s="153"/>
      <c r="S187" s="153"/>
      <c r="T187" s="153"/>
      <c r="U187" s="153"/>
      <c r="V187" s="153" t="s">
        <v>533</v>
      </c>
      <c r="W187" s="153" t="s">
        <v>390</v>
      </c>
      <c r="X187" s="153" t="s">
        <v>6035</v>
      </c>
      <c r="Y187" s="153" t="s">
        <v>6055</v>
      </c>
      <c r="Z187" s="153"/>
      <c r="AA187" s="153"/>
      <c r="AB187" s="153" t="s">
        <v>8004</v>
      </c>
      <c r="AC187" s="153" t="s">
        <v>6060</v>
      </c>
      <c r="AD187" s="153" t="s">
        <v>2873</v>
      </c>
      <c r="AE187" s="153" t="s">
        <v>398</v>
      </c>
      <c r="AF187" s="239"/>
      <c r="AG187" s="153"/>
    </row>
    <row r="188">
      <c r="A188" s="238">
        <v>2024.0</v>
      </c>
      <c r="B188" s="230">
        <v>192.0</v>
      </c>
      <c r="C188" s="153" t="s">
        <v>522</v>
      </c>
      <c r="D188" s="153" t="s">
        <v>529</v>
      </c>
      <c r="E188" s="153" t="s">
        <v>1120</v>
      </c>
      <c r="F188" s="153" t="s">
        <v>1121</v>
      </c>
      <c r="G188" s="153" t="s">
        <v>1122</v>
      </c>
      <c r="H188" s="153"/>
      <c r="I188" s="230">
        <v>2013.0</v>
      </c>
      <c r="J188" s="230"/>
      <c r="K188" s="230"/>
      <c r="L188" s="153" t="s">
        <v>151</v>
      </c>
      <c r="M188" s="153" t="s">
        <v>6076</v>
      </c>
      <c r="N188" s="153"/>
      <c r="O188" s="153"/>
      <c r="P188" s="158" t="s">
        <v>369</v>
      </c>
      <c r="Q188" s="158"/>
      <c r="R188" s="158"/>
      <c r="S188" s="158"/>
      <c r="T188" s="188">
        <v>1000000.0</v>
      </c>
      <c r="U188" s="153"/>
      <c r="V188" s="153" t="s">
        <v>795</v>
      </c>
      <c r="W188" s="153" t="s">
        <v>1127</v>
      </c>
      <c r="X188" s="153" t="s">
        <v>306</v>
      </c>
      <c r="Y188" s="153" t="s">
        <v>369</v>
      </c>
      <c r="Z188" s="153"/>
      <c r="AA188" s="153"/>
      <c r="AB188" s="153" t="s">
        <v>8006</v>
      </c>
      <c r="AC188" s="153" t="s">
        <v>1128</v>
      </c>
      <c r="AD188" s="172" t="s">
        <v>1129</v>
      </c>
      <c r="AE188" s="153"/>
      <c r="AF188" s="239"/>
      <c r="AG188" s="153"/>
    </row>
    <row r="189">
      <c r="A189" s="238">
        <v>2024.0</v>
      </c>
      <c r="B189" s="230">
        <v>193.0</v>
      </c>
      <c r="C189" s="153" t="s">
        <v>7885</v>
      </c>
      <c r="D189" s="153" t="s">
        <v>893</v>
      </c>
      <c r="E189" s="153" t="s">
        <v>1622</v>
      </c>
      <c r="F189" s="153" t="s">
        <v>1623</v>
      </c>
      <c r="G189" s="158" t="s">
        <v>149</v>
      </c>
      <c r="H189" s="153"/>
      <c r="I189" s="230">
        <v>2022.0</v>
      </c>
      <c r="J189" s="230" t="s">
        <v>8035</v>
      </c>
      <c r="K189" s="230"/>
      <c r="L189" s="153" t="s">
        <v>6062</v>
      </c>
      <c r="M189" s="153" t="s">
        <v>320</v>
      </c>
      <c r="N189" s="153"/>
      <c r="O189" s="153" t="s">
        <v>6861</v>
      </c>
      <c r="P189" s="153" t="s">
        <v>1627</v>
      </c>
      <c r="Q189" s="153"/>
      <c r="R189" s="153"/>
      <c r="S189" s="153"/>
      <c r="T189" s="153"/>
      <c r="U189" s="153"/>
      <c r="V189" s="153"/>
      <c r="W189" s="153" t="s">
        <v>1627</v>
      </c>
      <c r="X189" s="153" t="s">
        <v>6035</v>
      </c>
      <c r="Y189" s="153"/>
      <c r="Z189" s="153"/>
      <c r="AA189" s="153"/>
      <c r="AB189" s="153" t="s">
        <v>8006</v>
      </c>
      <c r="AC189" s="153" t="s">
        <v>1630</v>
      </c>
      <c r="AD189" s="153" t="s">
        <v>1631</v>
      </c>
      <c r="AE189" s="153"/>
      <c r="AF189" s="153"/>
      <c r="AG189" s="153"/>
    </row>
    <row r="190">
      <c r="A190" s="238">
        <v>2024.0</v>
      </c>
      <c r="B190" s="230">
        <v>194.0</v>
      </c>
      <c r="C190" s="153" t="s">
        <v>7885</v>
      </c>
      <c r="D190" s="153" t="s">
        <v>893</v>
      </c>
      <c r="E190" s="153" t="s">
        <v>8036</v>
      </c>
      <c r="F190" s="153" t="s">
        <v>1876</v>
      </c>
      <c r="G190" s="158" t="s">
        <v>149</v>
      </c>
      <c r="H190" s="153"/>
      <c r="I190" s="230" t="s">
        <v>6113</v>
      </c>
      <c r="J190" s="230"/>
      <c r="K190" s="230"/>
      <c r="L190" s="153" t="s">
        <v>6062</v>
      </c>
      <c r="M190" s="153" t="s">
        <v>320</v>
      </c>
      <c r="N190" s="153"/>
      <c r="O190" s="153" t="s">
        <v>6863</v>
      </c>
      <c r="P190" s="153" t="s">
        <v>369</v>
      </c>
      <c r="Q190" s="153"/>
      <c r="R190" s="153"/>
      <c r="S190" s="153"/>
      <c r="T190" s="153"/>
      <c r="U190" s="153"/>
      <c r="V190" s="153"/>
      <c r="W190" s="153" t="s">
        <v>369</v>
      </c>
      <c r="X190" s="153" t="s">
        <v>6035</v>
      </c>
      <c r="Y190" s="153" t="s">
        <v>6853</v>
      </c>
      <c r="Z190" s="153" t="s">
        <v>2359</v>
      </c>
      <c r="AA190" s="153"/>
      <c r="AB190" s="153" t="s">
        <v>7902</v>
      </c>
      <c r="AC190" s="153" t="s">
        <v>2360</v>
      </c>
      <c r="AD190" s="172" t="s">
        <v>2361</v>
      </c>
      <c r="AE190" s="153"/>
      <c r="AF190" s="153"/>
      <c r="AG190" s="153"/>
    </row>
    <row r="191">
      <c r="A191" s="238">
        <v>2024.0</v>
      </c>
      <c r="B191" s="192"/>
      <c r="C191" s="158" t="s">
        <v>7885</v>
      </c>
      <c r="D191" s="158" t="s">
        <v>893</v>
      </c>
      <c r="E191" s="158" t="s">
        <v>8036</v>
      </c>
      <c r="F191" s="158" t="s">
        <v>1876</v>
      </c>
      <c r="G191" s="158" t="s">
        <v>1877</v>
      </c>
      <c r="H191" s="158" t="s">
        <v>1878</v>
      </c>
      <c r="I191" s="192">
        <v>2023.0</v>
      </c>
      <c r="J191" s="192">
        <v>2023.0</v>
      </c>
      <c r="K191" s="192">
        <v>2024.0</v>
      </c>
      <c r="L191" s="158" t="s">
        <v>151</v>
      </c>
      <c r="M191" s="158" t="s">
        <v>1880</v>
      </c>
      <c r="N191" s="158" t="s">
        <v>1880</v>
      </c>
      <c r="O191" s="158" t="s">
        <v>1881</v>
      </c>
      <c r="P191" s="158" t="s">
        <v>1882</v>
      </c>
      <c r="Q191" s="158" t="s">
        <v>160</v>
      </c>
      <c r="R191" s="158" t="s">
        <v>6035</v>
      </c>
      <c r="S191" s="158" t="s">
        <v>159</v>
      </c>
      <c r="T191" s="158" t="s">
        <v>149</v>
      </c>
      <c r="U191" s="158" t="s">
        <v>149</v>
      </c>
      <c r="V191" s="158" t="s">
        <v>1883</v>
      </c>
      <c r="W191" s="158" t="s">
        <v>1884</v>
      </c>
      <c r="X191" s="158" t="s">
        <v>6035</v>
      </c>
      <c r="Y191" s="158" t="s">
        <v>1885</v>
      </c>
      <c r="Z191" s="158" t="s">
        <v>1886</v>
      </c>
      <c r="AA191" s="158"/>
      <c r="AB191" s="158" t="s">
        <v>6038</v>
      </c>
      <c r="AC191" s="158" t="s">
        <v>6855</v>
      </c>
      <c r="AD191" s="172" t="s">
        <v>1888</v>
      </c>
      <c r="AE191" s="158"/>
      <c r="AF191" s="158"/>
      <c r="AG191" s="158"/>
    </row>
    <row r="192">
      <c r="A192" s="238">
        <v>2024.0</v>
      </c>
      <c r="B192" s="230">
        <v>195.0</v>
      </c>
      <c r="C192" s="153" t="s">
        <v>7885</v>
      </c>
      <c r="D192" s="153" t="s">
        <v>893</v>
      </c>
      <c r="E192" s="153" t="s">
        <v>2450</v>
      </c>
      <c r="F192" s="153" t="s">
        <v>2451</v>
      </c>
      <c r="G192" s="158" t="s">
        <v>149</v>
      </c>
      <c r="H192" s="153" t="s">
        <v>8037</v>
      </c>
      <c r="I192" s="230" t="s">
        <v>8038</v>
      </c>
      <c r="J192" s="230"/>
      <c r="K192" s="230"/>
      <c r="L192" s="153" t="s">
        <v>151</v>
      </c>
      <c r="M192" s="153" t="s">
        <v>2468</v>
      </c>
      <c r="N192" s="153"/>
      <c r="O192" s="153" t="s">
        <v>2452</v>
      </c>
      <c r="P192" s="153" t="s">
        <v>8039</v>
      </c>
      <c r="Q192" s="153"/>
      <c r="R192" s="153"/>
      <c r="S192" s="153"/>
      <c r="T192" s="153"/>
      <c r="U192" s="153"/>
      <c r="V192" s="153" t="s">
        <v>782</v>
      </c>
      <c r="W192" s="153" t="s">
        <v>390</v>
      </c>
      <c r="X192" s="153" t="s">
        <v>6035</v>
      </c>
      <c r="Y192" s="153" t="s">
        <v>369</v>
      </c>
      <c r="Z192" s="153"/>
      <c r="AA192" s="153"/>
      <c r="AB192" s="153" t="s">
        <v>6038</v>
      </c>
      <c r="AC192" s="153" t="s">
        <v>2454</v>
      </c>
      <c r="AD192" s="172" t="s">
        <v>2455</v>
      </c>
      <c r="AE192" s="153"/>
      <c r="AF192" s="153"/>
      <c r="AG192" s="153"/>
    </row>
    <row r="193">
      <c r="A193" s="238">
        <v>2024.0</v>
      </c>
      <c r="B193" s="230">
        <v>196.0</v>
      </c>
      <c r="C193" s="153" t="s">
        <v>7885</v>
      </c>
      <c r="D193" s="153" t="s">
        <v>893</v>
      </c>
      <c r="E193" s="153" t="s">
        <v>2797</v>
      </c>
      <c r="F193" s="153" t="s">
        <v>2798</v>
      </c>
      <c r="G193" s="158" t="s">
        <v>149</v>
      </c>
      <c r="H193" s="153"/>
      <c r="I193" s="230" t="s">
        <v>6113</v>
      </c>
      <c r="J193" s="230"/>
      <c r="K193" s="230"/>
      <c r="L193" s="153" t="s">
        <v>6062</v>
      </c>
      <c r="M193" s="153" t="s">
        <v>6868</v>
      </c>
      <c r="N193" s="153"/>
      <c r="O193" s="153" t="s">
        <v>699</v>
      </c>
      <c r="P193" s="153" t="s">
        <v>6869</v>
      </c>
      <c r="Q193" s="153"/>
      <c r="R193" s="153"/>
      <c r="S193" s="153"/>
      <c r="T193" s="153"/>
      <c r="U193" s="153"/>
      <c r="V193" s="153"/>
      <c r="W193" s="153" t="s">
        <v>1158</v>
      </c>
      <c r="X193" s="153" t="s">
        <v>209</v>
      </c>
      <c r="Y193" s="153"/>
      <c r="Z193" s="153"/>
      <c r="AA193" s="153"/>
      <c r="AB193" s="158" t="s">
        <v>1159</v>
      </c>
      <c r="AC193" s="153" t="s">
        <v>1160</v>
      </c>
      <c r="AD193" s="165" t="s">
        <v>1161</v>
      </c>
      <c r="AE193" s="153" t="s">
        <v>2803</v>
      </c>
      <c r="AF193" s="153"/>
      <c r="AG193" s="153"/>
    </row>
    <row r="194">
      <c r="A194" s="238">
        <v>2024.0</v>
      </c>
      <c r="B194" s="230">
        <v>197.0</v>
      </c>
      <c r="C194" s="153" t="s">
        <v>7885</v>
      </c>
      <c r="D194" s="153" t="s">
        <v>893</v>
      </c>
      <c r="E194" s="153" t="s">
        <v>894</v>
      </c>
      <c r="F194" s="153" t="s">
        <v>895</v>
      </c>
      <c r="G194" s="153" t="s">
        <v>384</v>
      </c>
      <c r="H194" s="153" t="s">
        <v>2868</v>
      </c>
      <c r="I194" s="230">
        <v>1983.0</v>
      </c>
      <c r="J194" s="230">
        <v>1985.0</v>
      </c>
      <c r="K194" s="230">
        <v>1987.0</v>
      </c>
      <c r="L194" s="153" t="s">
        <v>151</v>
      </c>
      <c r="M194" s="153" t="s">
        <v>469</v>
      </c>
      <c r="N194" s="153"/>
      <c r="O194" s="153"/>
      <c r="P194" s="153" t="s">
        <v>390</v>
      </c>
      <c r="Q194" s="153"/>
      <c r="R194" s="153"/>
      <c r="S194" s="153"/>
      <c r="T194" s="153"/>
      <c r="U194" s="153"/>
      <c r="V194" s="153" t="s">
        <v>2870</v>
      </c>
      <c r="W194" s="153" t="s">
        <v>390</v>
      </c>
      <c r="X194" s="153" t="s">
        <v>6035</v>
      </c>
      <c r="Y194" s="153" t="s">
        <v>6055</v>
      </c>
      <c r="Z194" s="153"/>
      <c r="AA194" s="153"/>
      <c r="AB194" s="153" t="s">
        <v>8004</v>
      </c>
      <c r="AC194" s="153" t="s">
        <v>6060</v>
      </c>
      <c r="AD194" s="153" t="s">
        <v>2873</v>
      </c>
      <c r="AE194" s="153" t="s">
        <v>398</v>
      </c>
      <c r="AF194" s="153"/>
      <c r="AG194" s="153" t="s">
        <v>6109</v>
      </c>
    </row>
    <row r="195">
      <c r="A195" s="238">
        <v>2024.0</v>
      </c>
      <c r="B195" s="230">
        <v>198.0</v>
      </c>
      <c r="C195" s="153" t="s">
        <v>7885</v>
      </c>
      <c r="D195" s="153" t="s">
        <v>893</v>
      </c>
      <c r="E195" s="153" t="s">
        <v>894</v>
      </c>
      <c r="F195" s="153" t="s">
        <v>895</v>
      </c>
      <c r="G195" s="153" t="s">
        <v>8040</v>
      </c>
      <c r="H195" s="153" t="s">
        <v>897</v>
      </c>
      <c r="I195" s="230">
        <v>2013.0</v>
      </c>
      <c r="J195" s="153"/>
      <c r="K195" s="230"/>
      <c r="L195" s="153" t="s">
        <v>6872</v>
      </c>
      <c r="M195" s="153" t="s">
        <v>8041</v>
      </c>
      <c r="N195" s="153"/>
      <c r="O195" s="153" t="s">
        <v>8042</v>
      </c>
      <c r="P195" s="153" t="s">
        <v>901</v>
      </c>
      <c r="Q195" s="153"/>
      <c r="R195" s="153"/>
      <c r="S195" s="153"/>
      <c r="T195" s="153"/>
      <c r="U195" s="153" t="s">
        <v>902</v>
      </c>
      <c r="V195" s="153"/>
      <c r="W195" s="153" t="s">
        <v>901</v>
      </c>
      <c r="X195" s="153" t="s">
        <v>271</v>
      </c>
      <c r="Y195" s="153" t="s">
        <v>6877</v>
      </c>
      <c r="Z195" s="153" t="s">
        <v>904</v>
      </c>
      <c r="AA195" s="153"/>
      <c r="AB195" s="153" t="s">
        <v>8006</v>
      </c>
      <c r="AC195" s="153" t="s">
        <v>905</v>
      </c>
      <c r="AD195" s="165" t="s">
        <v>906</v>
      </c>
      <c r="AE195" s="153"/>
      <c r="AF195" s="153"/>
      <c r="AG195" s="153"/>
    </row>
    <row r="196">
      <c r="A196" s="238">
        <v>2024.0</v>
      </c>
      <c r="B196" s="230">
        <v>199.0</v>
      </c>
      <c r="C196" s="153" t="s">
        <v>7885</v>
      </c>
      <c r="D196" s="153" t="s">
        <v>893</v>
      </c>
      <c r="E196" s="153" t="s">
        <v>8043</v>
      </c>
      <c r="F196" s="153" t="s">
        <v>1152</v>
      </c>
      <c r="G196" s="153" t="s">
        <v>1153</v>
      </c>
      <c r="H196" s="153"/>
      <c r="I196" s="230">
        <v>2016.0</v>
      </c>
      <c r="J196" s="230"/>
      <c r="K196" s="230"/>
      <c r="L196" s="153" t="s">
        <v>6062</v>
      </c>
      <c r="M196" s="153"/>
      <c r="N196" s="153"/>
      <c r="O196" s="153" t="s">
        <v>1157</v>
      </c>
      <c r="P196" s="153"/>
      <c r="Q196" s="153"/>
      <c r="R196" s="153"/>
      <c r="S196" s="153"/>
      <c r="T196" s="153"/>
      <c r="U196" s="153"/>
      <c r="V196" s="153"/>
      <c r="W196" s="153" t="s">
        <v>1158</v>
      </c>
      <c r="X196" s="153" t="s">
        <v>209</v>
      </c>
      <c r="Y196" s="153"/>
      <c r="Z196" s="153"/>
      <c r="AA196" s="153"/>
      <c r="AB196" s="153" t="s">
        <v>8044</v>
      </c>
      <c r="AC196" s="153" t="s">
        <v>1160</v>
      </c>
      <c r="AD196" s="172" t="s">
        <v>1161</v>
      </c>
      <c r="AE196" s="153"/>
      <c r="AF196" s="153"/>
      <c r="AG196" s="153"/>
    </row>
    <row r="197">
      <c r="A197" s="238">
        <v>2024.0</v>
      </c>
      <c r="B197" s="230">
        <v>200.0</v>
      </c>
      <c r="C197" s="153" t="s">
        <v>7885</v>
      </c>
      <c r="D197" s="153" t="s">
        <v>893</v>
      </c>
      <c r="E197" s="153" t="s">
        <v>1442</v>
      </c>
      <c r="F197" s="153" t="s">
        <v>1443</v>
      </c>
      <c r="G197" s="153" t="s">
        <v>1377</v>
      </c>
      <c r="H197" s="153"/>
      <c r="I197" s="192">
        <v>1992.0</v>
      </c>
      <c r="J197" s="230">
        <v>1990.0</v>
      </c>
      <c r="K197" s="230">
        <v>1994.0</v>
      </c>
      <c r="L197" s="153" t="s">
        <v>151</v>
      </c>
      <c r="M197" s="153"/>
      <c r="N197" s="153"/>
      <c r="O197" s="153"/>
      <c r="P197" s="153" t="s">
        <v>1381</v>
      </c>
      <c r="Q197" s="153"/>
      <c r="R197" s="153"/>
      <c r="S197" s="153"/>
      <c r="T197" s="153"/>
      <c r="U197" s="153"/>
      <c r="V197" s="153"/>
      <c r="W197" s="153" t="s">
        <v>660</v>
      </c>
      <c r="X197" s="153" t="s">
        <v>6035</v>
      </c>
      <c r="Y197" s="153" t="s">
        <v>369</v>
      </c>
      <c r="Z197" s="153"/>
      <c r="AA197" s="153"/>
      <c r="AB197" s="153" t="s">
        <v>8004</v>
      </c>
      <c r="AC197" s="153" t="s">
        <v>6060</v>
      </c>
      <c r="AD197" s="153" t="s">
        <v>2873</v>
      </c>
      <c r="AE197" s="153" t="s">
        <v>398</v>
      </c>
      <c r="AF197" s="153"/>
      <c r="AG197" s="153"/>
    </row>
    <row r="198">
      <c r="A198" s="238">
        <v>2024.0</v>
      </c>
      <c r="B198" s="230">
        <v>201.0</v>
      </c>
      <c r="C198" s="153" t="s">
        <v>7885</v>
      </c>
      <c r="D198" s="153" t="s">
        <v>893</v>
      </c>
      <c r="E198" s="153" t="s">
        <v>1442</v>
      </c>
      <c r="F198" s="153" t="s">
        <v>1443</v>
      </c>
      <c r="G198" s="158" t="s">
        <v>149</v>
      </c>
      <c r="H198" s="153"/>
      <c r="I198" s="230">
        <v>1990.0</v>
      </c>
      <c r="J198" s="192" t="s">
        <v>149</v>
      </c>
      <c r="K198" s="192" t="s">
        <v>149</v>
      </c>
      <c r="L198" s="153" t="s">
        <v>151</v>
      </c>
      <c r="M198" s="153"/>
      <c r="N198" s="153"/>
      <c r="O198" s="153" t="s">
        <v>6506</v>
      </c>
      <c r="P198" s="153"/>
      <c r="Q198" s="153"/>
      <c r="R198" s="153"/>
      <c r="S198" s="153"/>
      <c r="T198" s="153"/>
      <c r="U198" s="153"/>
      <c r="V198" s="153"/>
      <c r="W198" s="153" t="s">
        <v>2304</v>
      </c>
      <c r="X198" s="153" t="s">
        <v>8005</v>
      </c>
      <c r="Y198" s="153" t="s">
        <v>6507</v>
      </c>
      <c r="Z198" s="153"/>
      <c r="AA198" s="153"/>
      <c r="AB198" s="153" t="s">
        <v>8004</v>
      </c>
      <c r="AC198" s="153" t="s">
        <v>6060</v>
      </c>
      <c r="AD198" s="153" t="s">
        <v>2873</v>
      </c>
      <c r="AE198" s="153" t="s">
        <v>398</v>
      </c>
      <c r="AF198" s="153"/>
      <c r="AG198" s="153"/>
    </row>
    <row r="199">
      <c r="A199" s="238">
        <v>2024.0</v>
      </c>
      <c r="B199" s="230">
        <v>202.0</v>
      </c>
      <c r="C199" s="153" t="s">
        <v>7885</v>
      </c>
      <c r="D199" s="153" t="s">
        <v>1445</v>
      </c>
      <c r="E199" s="153" t="s">
        <v>2406</v>
      </c>
      <c r="F199" s="153" t="s">
        <v>2407</v>
      </c>
      <c r="G199" s="158" t="s">
        <v>149</v>
      </c>
      <c r="H199" s="153" t="s">
        <v>6888</v>
      </c>
      <c r="I199" s="230">
        <v>2021.0</v>
      </c>
      <c r="J199" s="158" t="s">
        <v>149</v>
      </c>
      <c r="K199" s="192" t="s">
        <v>149</v>
      </c>
      <c r="L199" s="153" t="s">
        <v>151</v>
      </c>
      <c r="M199" s="153" t="s">
        <v>6889</v>
      </c>
      <c r="N199" s="153"/>
      <c r="O199" s="153"/>
      <c r="P199" s="153" t="s">
        <v>369</v>
      </c>
      <c r="Q199" s="153"/>
      <c r="R199" s="153"/>
      <c r="S199" s="153"/>
      <c r="T199" s="153"/>
      <c r="U199" s="153"/>
      <c r="V199" s="153" t="s">
        <v>1336</v>
      </c>
      <c r="W199" s="153" t="s">
        <v>2410</v>
      </c>
      <c r="X199" s="153" t="s">
        <v>6035</v>
      </c>
      <c r="Y199" s="153" t="s">
        <v>2411</v>
      </c>
      <c r="Z199" s="153"/>
      <c r="AA199" s="153" t="s">
        <v>1195</v>
      </c>
      <c r="AB199" s="153" t="s">
        <v>8006</v>
      </c>
      <c r="AC199" s="153" t="s">
        <v>2412</v>
      </c>
      <c r="AD199" s="153" t="s">
        <v>2413</v>
      </c>
      <c r="AE199" s="153"/>
      <c r="AF199" s="153"/>
      <c r="AG199" s="153"/>
    </row>
    <row r="200">
      <c r="A200" s="238">
        <v>2024.0</v>
      </c>
      <c r="B200" s="230">
        <v>203.0</v>
      </c>
      <c r="C200" s="153" t="s">
        <v>7885</v>
      </c>
      <c r="D200" s="153" t="s">
        <v>1445</v>
      </c>
      <c r="E200" s="153" t="s">
        <v>1446</v>
      </c>
      <c r="F200" s="153" t="s">
        <v>1447</v>
      </c>
      <c r="G200" s="153" t="s">
        <v>1377</v>
      </c>
      <c r="H200" s="153" t="s">
        <v>1448</v>
      </c>
      <c r="I200" s="230">
        <v>1992.0</v>
      </c>
      <c r="J200" s="230">
        <v>1990.0</v>
      </c>
      <c r="K200" s="230">
        <v>1994.0</v>
      </c>
      <c r="L200" s="153" t="s">
        <v>151</v>
      </c>
      <c r="M200" s="153"/>
      <c r="N200" s="153"/>
      <c r="O200" s="153"/>
      <c r="P200" s="153" t="s">
        <v>1381</v>
      </c>
      <c r="Q200" s="153"/>
      <c r="R200" s="153"/>
      <c r="S200" s="153"/>
      <c r="T200" s="153"/>
      <c r="U200" s="153"/>
      <c r="V200" s="153"/>
      <c r="W200" s="153" t="s">
        <v>660</v>
      </c>
      <c r="X200" s="153" t="s">
        <v>6035</v>
      </c>
      <c r="Y200" s="153" t="s">
        <v>369</v>
      </c>
      <c r="Z200" s="153"/>
      <c r="AA200" s="153"/>
      <c r="AB200" s="153" t="s">
        <v>8004</v>
      </c>
      <c r="AC200" s="153" t="s">
        <v>6060</v>
      </c>
      <c r="AD200" s="153" t="s">
        <v>2873</v>
      </c>
      <c r="AE200" s="153" t="s">
        <v>398</v>
      </c>
      <c r="AF200" s="153"/>
      <c r="AG200" s="153"/>
    </row>
    <row r="201">
      <c r="A201" s="238">
        <v>2024.0</v>
      </c>
      <c r="B201" s="230">
        <v>204.0</v>
      </c>
      <c r="C201" s="153" t="s">
        <v>7885</v>
      </c>
      <c r="D201" s="153" t="s">
        <v>1089</v>
      </c>
      <c r="E201" s="153" t="s">
        <v>1667</v>
      </c>
      <c r="F201" s="153" t="s">
        <v>1668</v>
      </c>
      <c r="G201" s="153" t="s">
        <v>1659</v>
      </c>
      <c r="H201" s="153"/>
      <c r="I201" s="230" t="s">
        <v>6113</v>
      </c>
      <c r="J201" s="230">
        <v>1990.0</v>
      </c>
      <c r="K201" s="230">
        <v>1992.0</v>
      </c>
      <c r="L201" s="153" t="s">
        <v>151</v>
      </c>
      <c r="M201" s="153" t="s">
        <v>6897</v>
      </c>
      <c r="N201" s="153"/>
      <c r="O201" s="153" t="s">
        <v>1380</v>
      </c>
      <c r="P201" s="153" t="s">
        <v>1663</v>
      </c>
      <c r="Q201" s="153"/>
      <c r="R201" s="153"/>
      <c r="S201" s="153"/>
      <c r="T201" s="153"/>
      <c r="U201" s="153"/>
      <c r="V201" s="153"/>
      <c r="W201" s="153" t="s">
        <v>3307</v>
      </c>
      <c r="X201" s="153" t="s">
        <v>6035</v>
      </c>
      <c r="Y201" s="153" t="s">
        <v>1663</v>
      </c>
      <c r="Z201" s="153"/>
      <c r="AA201" s="153"/>
      <c r="AB201" s="153" t="s">
        <v>8004</v>
      </c>
      <c r="AC201" s="153" t="s">
        <v>6060</v>
      </c>
      <c r="AD201" s="153" t="s">
        <v>2873</v>
      </c>
      <c r="AE201" s="153" t="s">
        <v>398</v>
      </c>
      <c r="AF201" s="153"/>
      <c r="AG201" s="153"/>
    </row>
    <row r="202">
      <c r="A202" s="238">
        <v>2024.0</v>
      </c>
      <c r="B202" s="230">
        <v>205.0</v>
      </c>
      <c r="C202" s="153" t="s">
        <v>7885</v>
      </c>
      <c r="D202" s="153" t="s">
        <v>1089</v>
      </c>
      <c r="E202" s="153" t="s">
        <v>2511</v>
      </c>
      <c r="F202" s="153" t="s">
        <v>2512</v>
      </c>
      <c r="G202" s="158" t="s">
        <v>149</v>
      </c>
      <c r="H202" s="153"/>
      <c r="I202" s="192" t="s">
        <v>149</v>
      </c>
      <c r="J202" s="192" t="s">
        <v>149</v>
      </c>
      <c r="K202" s="192" t="s">
        <v>149</v>
      </c>
      <c r="L202" s="153" t="s">
        <v>151</v>
      </c>
      <c r="M202" s="153"/>
      <c r="N202" s="153"/>
      <c r="O202" s="153" t="s">
        <v>2513</v>
      </c>
      <c r="P202" s="158" t="s">
        <v>149</v>
      </c>
      <c r="Q202" s="158"/>
      <c r="R202" s="158"/>
      <c r="S202" s="158"/>
      <c r="T202" s="158" t="s">
        <v>149</v>
      </c>
      <c r="U202" s="158" t="s">
        <v>149</v>
      </c>
      <c r="V202" s="158" t="s">
        <v>149</v>
      </c>
      <c r="W202" s="153" t="s">
        <v>765</v>
      </c>
      <c r="X202" s="153" t="s">
        <v>6035</v>
      </c>
      <c r="Y202" s="153" t="s">
        <v>390</v>
      </c>
      <c r="Z202" s="153" t="s">
        <v>2514</v>
      </c>
      <c r="AA202" s="153"/>
      <c r="AB202" s="158" t="s">
        <v>6214</v>
      </c>
      <c r="AC202" s="153" t="s">
        <v>2515</v>
      </c>
      <c r="AD202" s="165" t="s">
        <v>2516</v>
      </c>
      <c r="AE202" s="153" t="s">
        <v>2517</v>
      </c>
      <c r="AF202" s="153"/>
      <c r="AG202" s="153"/>
    </row>
    <row r="203">
      <c r="A203" s="238">
        <v>2024.0</v>
      </c>
      <c r="B203" s="230">
        <v>206.0</v>
      </c>
      <c r="C203" s="153" t="s">
        <v>7885</v>
      </c>
      <c r="D203" s="153" t="s">
        <v>1089</v>
      </c>
      <c r="E203" s="153" t="s">
        <v>3081</v>
      </c>
      <c r="F203" s="153" t="s">
        <v>3082</v>
      </c>
      <c r="G203" s="158" t="s">
        <v>149</v>
      </c>
      <c r="H203" s="153"/>
      <c r="I203" s="192" t="s">
        <v>149</v>
      </c>
      <c r="J203" s="192" t="s">
        <v>149</v>
      </c>
      <c r="K203" s="192" t="s">
        <v>149</v>
      </c>
      <c r="L203" s="153" t="s">
        <v>6062</v>
      </c>
      <c r="M203" s="153" t="s">
        <v>6666</v>
      </c>
      <c r="N203" s="153"/>
      <c r="O203" s="158" t="s">
        <v>149</v>
      </c>
      <c r="P203" s="153" t="s">
        <v>3083</v>
      </c>
      <c r="Q203" s="153"/>
      <c r="R203" s="153"/>
      <c r="S203" s="153"/>
      <c r="T203" s="158" t="s">
        <v>149</v>
      </c>
      <c r="U203" s="158" t="s">
        <v>3084</v>
      </c>
      <c r="V203" s="158" t="s">
        <v>149</v>
      </c>
      <c r="W203" s="153" t="s">
        <v>3083</v>
      </c>
      <c r="X203" s="153" t="s">
        <v>306</v>
      </c>
      <c r="Y203" s="153" t="s">
        <v>369</v>
      </c>
      <c r="Z203" s="153"/>
      <c r="AA203" s="153"/>
      <c r="AB203" s="153" t="s">
        <v>6038</v>
      </c>
      <c r="AC203" s="153" t="s">
        <v>3085</v>
      </c>
      <c r="AD203" s="153" t="s">
        <v>6902</v>
      </c>
      <c r="AE203" s="153" t="s">
        <v>3087</v>
      </c>
      <c r="AF203" s="153" t="s">
        <v>3088</v>
      </c>
      <c r="AG203" s="153" t="s">
        <v>6754</v>
      </c>
    </row>
    <row r="204">
      <c r="A204" s="238">
        <v>2024.0</v>
      </c>
      <c r="B204" s="230">
        <v>207.0</v>
      </c>
      <c r="C204" s="153" t="s">
        <v>7885</v>
      </c>
      <c r="D204" s="153" t="s">
        <v>1089</v>
      </c>
      <c r="E204" s="153" t="s">
        <v>1090</v>
      </c>
      <c r="F204" s="153" t="s">
        <v>1091</v>
      </c>
      <c r="G204" s="153" t="s">
        <v>1092</v>
      </c>
      <c r="H204" s="153"/>
      <c r="I204" s="230">
        <v>2021.0</v>
      </c>
      <c r="J204" s="192" t="s">
        <v>149</v>
      </c>
      <c r="K204" s="192" t="s">
        <v>149</v>
      </c>
      <c r="L204" s="153" t="s">
        <v>6062</v>
      </c>
      <c r="M204" s="153"/>
      <c r="N204" s="153"/>
      <c r="O204" s="158" t="s">
        <v>149</v>
      </c>
      <c r="P204" s="153" t="s">
        <v>369</v>
      </c>
      <c r="Q204" s="153"/>
      <c r="R204" s="153"/>
      <c r="S204" s="153"/>
      <c r="T204" s="158" t="s">
        <v>149</v>
      </c>
      <c r="U204" s="158" t="s">
        <v>3084</v>
      </c>
      <c r="V204" s="158" t="s">
        <v>149</v>
      </c>
      <c r="W204" s="153" t="s">
        <v>369</v>
      </c>
      <c r="X204" s="153" t="s">
        <v>6035</v>
      </c>
      <c r="Y204" s="153" t="s">
        <v>1093</v>
      </c>
      <c r="Z204" s="153"/>
      <c r="AA204" s="153"/>
      <c r="AB204" s="153" t="s">
        <v>6038</v>
      </c>
      <c r="AC204" s="153" t="s">
        <v>1094</v>
      </c>
      <c r="AD204" s="172" t="s">
        <v>1095</v>
      </c>
      <c r="AE204" s="153"/>
      <c r="AF204" s="153"/>
      <c r="AG204" s="153"/>
    </row>
    <row r="205">
      <c r="A205" s="238">
        <v>2024.0</v>
      </c>
      <c r="B205" s="230">
        <v>208.0</v>
      </c>
      <c r="C205" s="153" t="s">
        <v>7885</v>
      </c>
      <c r="D205" s="153" t="s">
        <v>1089</v>
      </c>
      <c r="E205" s="153" t="s">
        <v>1324</v>
      </c>
      <c r="F205" s="153" t="s">
        <v>1325</v>
      </c>
      <c r="G205" s="153" t="s">
        <v>1377</v>
      </c>
      <c r="H205" s="153" t="s">
        <v>7895</v>
      </c>
      <c r="I205" s="230" t="s">
        <v>6113</v>
      </c>
      <c r="J205" s="230">
        <v>1990.0</v>
      </c>
      <c r="K205" s="230">
        <v>1994.0</v>
      </c>
      <c r="L205" s="153" t="s">
        <v>151</v>
      </c>
      <c r="M205" s="153"/>
      <c r="N205" s="153"/>
      <c r="O205" s="158" t="s">
        <v>149</v>
      </c>
      <c r="P205" s="153" t="s">
        <v>1381</v>
      </c>
      <c r="Q205" s="153"/>
      <c r="R205" s="153"/>
      <c r="S205" s="153"/>
      <c r="T205" s="158" t="s">
        <v>149</v>
      </c>
      <c r="U205" s="158" t="s">
        <v>149</v>
      </c>
      <c r="V205" s="158" t="s">
        <v>149</v>
      </c>
      <c r="W205" s="153" t="s">
        <v>660</v>
      </c>
      <c r="X205" s="153" t="s">
        <v>6035</v>
      </c>
      <c r="Y205" s="153" t="s">
        <v>369</v>
      </c>
      <c r="Z205" s="153"/>
      <c r="AA205" s="153"/>
      <c r="AB205" s="158" t="s">
        <v>395</v>
      </c>
      <c r="AC205" s="153" t="s">
        <v>6060</v>
      </c>
      <c r="AD205" s="153" t="s">
        <v>2873</v>
      </c>
      <c r="AE205" s="153" t="s">
        <v>398</v>
      </c>
      <c r="AF205" s="153"/>
      <c r="AG205" s="153"/>
    </row>
    <row r="206">
      <c r="A206" s="238">
        <v>2024.0</v>
      </c>
      <c r="B206" s="230">
        <v>209.0</v>
      </c>
      <c r="C206" s="153" t="s">
        <v>7885</v>
      </c>
      <c r="D206" s="153" t="s">
        <v>1089</v>
      </c>
      <c r="E206" s="153" t="s">
        <v>1324</v>
      </c>
      <c r="F206" s="153" t="s">
        <v>1325</v>
      </c>
      <c r="G206" s="158" t="s">
        <v>149</v>
      </c>
      <c r="H206" s="153"/>
      <c r="I206" s="230">
        <v>1989.0</v>
      </c>
      <c r="J206" s="192" t="s">
        <v>149</v>
      </c>
      <c r="K206" s="192" t="s">
        <v>149</v>
      </c>
      <c r="L206" s="153" t="s">
        <v>151</v>
      </c>
      <c r="M206" s="153"/>
      <c r="N206" s="153"/>
      <c r="O206" s="158" t="s">
        <v>149</v>
      </c>
      <c r="P206" s="158" t="s">
        <v>149</v>
      </c>
      <c r="Q206" s="158"/>
      <c r="R206" s="158"/>
      <c r="S206" s="158"/>
      <c r="T206" s="158" t="s">
        <v>149</v>
      </c>
      <c r="U206" s="158" t="s">
        <v>149</v>
      </c>
      <c r="V206" s="158" t="s">
        <v>149</v>
      </c>
      <c r="W206" s="158" t="s">
        <v>149</v>
      </c>
      <c r="X206" s="158" t="s">
        <v>149</v>
      </c>
      <c r="Y206" s="153"/>
      <c r="Z206" s="153"/>
      <c r="AA206" s="153"/>
      <c r="AB206" s="153" t="s">
        <v>8004</v>
      </c>
      <c r="AC206" s="153" t="s">
        <v>6060</v>
      </c>
      <c r="AD206" s="153" t="s">
        <v>2873</v>
      </c>
      <c r="AE206" s="153" t="s">
        <v>398</v>
      </c>
      <c r="AF206" s="153"/>
      <c r="AG206" s="153"/>
    </row>
    <row r="207">
      <c r="A207" s="238">
        <v>2024.0</v>
      </c>
      <c r="B207" s="230">
        <v>210.0</v>
      </c>
      <c r="C207" s="153" t="s">
        <v>7885</v>
      </c>
      <c r="D207" s="153" t="s">
        <v>1089</v>
      </c>
      <c r="E207" s="153" t="s">
        <v>1324</v>
      </c>
      <c r="F207" s="153" t="s">
        <v>1325</v>
      </c>
      <c r="G207" s="153" t="s">
        <v>1309</v>
      </c>
      <c r="H207" s="153"/>
      <c r="I207" s="230">
        <v>2020.0</v>
      </c>
      <c r="J207" s="192">
        <v>2016.0</v>
      </c>
      <c r="K207" s="192">
        <v>2020.0</v>
      </c>
      <c r="L207" s="153" t="s">
        <v>151</v>
      </c>
      <c r="M207" s="153"/>
      <c r="N207" s="153"/>
      <c r="O207" s="158" t="s">
        <v>6910</v>
      </c>
      <c r="P207" s="158" t="s">
        <v>1327</v>
      </c>
      <c r="Q207" s="153"/>
      <c r="R207" s="153"/>
      <c r="S207" s="153"/>
      <c r="T207" s="158" t="s">
        <v>149</v>
      </c>
      <c r="U207" s="158" t="s">
        <v>149</v>
      </c>
      <c r="V207" s="153" t="s">
        <v>1328</v>
      </c>
      <c r="W207" s="153" t="s">
        <v>390</v>
      </c>
      <c r="X207" s="153" t="s">
        <v>6035</v>
      </c>
      <c r="Y207" s="153" t="s">
        <v>6909</v>
      </c>
      <c r="Z207" s="153"/>
      <c r="AA207" s="153"/>
      <c r="AB207" s="153" t="s">
        <v>6084</v>
      </c>
      <c r="AC207" s="153" t="s">
        <v>1330</v>
      </c>
      <c r="AD207" s="153" t="s">
        <v>1331</v>
      </c>
      <c r="AE207" s="153"/>
      <c r="AF207" s="153"/>
      <c r="AG207" s="153"/>
    </row>
    <row r="208">
      <c r="A208" s="238">
        <v>2024.0</v>
      </c>
      <c r="B208" s="230">
        <v>211.0</v>
      </c>
      <c r="C208" s="153" t="s">
        <v>7885</v>
      </c>
      <c r="D208" s="153" t="s">
        <v>1089</v>
      </c>
      <c r="E208" s="153" t="s">
        <v>2457</v>
      </c>
      <c r="F208" s="153" t="s">
        <v>2458</v>
      </c>
      <c r="G208" s="158" t="s">
        <v>149</v>
      </c>
      <c r="H208" s="153"/>
      <c r="I208" s="230">
        <v>2019.0</v>
      </c>
      <c r="J208" s="192" t="s">
        <v>149</v>
      </c>
      <c r="K208" s="192" t="s">
        <v>149</v>
      </c>
      <c r="L208" s="153" t="s">
        <v>6062</v>
      </c>
      <c r="M208" s="153" t="s">
        <v>6666</v>
      </c>
      <c r="N208" s="158" t="s">
        <v>179</v>
      </c>
      <c r="O208" s="153" t="s">
        <v>2459</v>
      </c>
      <c r="P208" s="153" t="s">
        <v>369</v>
      </c>
      <c r="Q208" s="153"/>
      <c r="R208" s="153"/>
      <c r="S208" s="153"/>
      <c r="T208" s="158" t="s">
        <v>149</v>
      </c>
      <c r="U208" s="158" t="s">
        <v>149</v>
      </c>
      <c r="V208" s="158" t="s">
        <v>149</v>
      </c>
      <c r="W208" s="153" t="s">
        <v>2410</v>
      </c>
      <c r="X208" s="153" t="s">
        <v>6035</v>
      </c>
      <c r="Y208" s="153" t="s">
        <v>6912</v>
      </c>
      <c r="Z208" s="153"/>
      <c r="AA208" s="153"/>
      <c r="AB208" s="158" t="s">
        <v>166</v>
      </c>
      <c r="AC208" s="153" t="s">
        <v>2461</v>
      </c>
      <c r="AD208" s="165" t="s">
        <v>2462</v>
      </c>
      <c r="AE208" s="153"/>
      <c r="AF208" s="153"/>
      <c r="AG208" s="153"/>
    </row>
    <row r="209">
      <c r="A209" s="238">
        <v>2024.0</v>
      </c>
      <c r="B209" s="230">
        <v>212.0</v>
      </c>
      <c r="C209" s="153" t="s">
        <v>7885</v>
      </c>
      <c r="D209" s="153" t="s">
        <v>1089</v>
      </c>
      <c r="E209" s="153" t="s">
        <v>1451</v>
      </c>
      <c r="F209" s="153" t="s">
        <v>1452</v>
      </c>
      <c r="G209" s="153" t="s">
        <v>1377</v>
      </c>
      <c r="H209" s="153" t="s">
        <v>1453</v>
      </c>
      <c r="I209" s="192">
        <v>1992.0</v>
      </c>
      <c r="J209" s="230">
        <v>1990.0</v>
      </c>
      <c r="K209" s="230">
        <v>1994.0</v>
      </c>
      <c r="L209" s="153" t="s">
        <v>151</v>
      </c>
      <c r="M209" s="158" t="s">
        <v>149</v>
      </c>
      <c r="N209" s="158" t="s">
        <v>149</v>
      </c>
      <c r="O209" s="158" t="s">
        <v>149</v>
      </c>
      <c r="P209" s="153" t="s">
        <v>1381</v>
      </c>
      <c r="Q209" s="158" t="s">
        <v>6154</v>
      </c>
      <c r="R209" s="158" t="s">
        <v>206</v>
      </c>
      <c r="S209" s="158" t="s">
        <v>159</v>
      </c>
      <c r="T209" s="158" t="s">
        <v>149</v>
      </c>
      <c r="U209" s="158" t="s">
        <v>149</v>
      </c>
      <c r="V209" s="158" t="s">
        <v>149</v>
      </c>
      <c r="W209" s="153" t="s">
        <v>660</v>
      </c>
      <c r="X209" s="153" t="s">
        <v>6035</v>
      </c>
      <c r="Y209" s="153" t="s">
        <v>369</v>
      </c>
      <c r="Z209" s="153"/>
      <c r="AA209" s="153"/>
      <c r="AB209" s="158" t="s">
        <v>395</v>
      </c>
      <c r="AC209" s="153" t="s">
        <v>6060</v>
      </c>
      <c r="AD209" s="153" t="s">
        <v>2873</v>
      </c>
      <c r="AE209" s="153" t="s">
        <v>398</v>
      </c>
      <c r="AF209" s="153"/>
      <c r="AG209" s="153"/>
    </row>
    <row r="210">
      <c r="A210" s="238">
        <v>2024.0</v>
      </c>
      <c r="B210" s="230">
        <v>213.0</v>
      </c>
      <c r="C210" s="153" t="s">
        <v>7885</v>
      </c>
      <c r="D210" s="153" t="s">
        <v>1089</v>
      </c>
      <c r="E210" s="153" t="s">
        <v>1455</v>
      </c>
      <c r="F210" s="153" t="s">
        <v>1456</v>
      </c>
      <c r="G210" s="153" t="s">
        <v>1377</v>
      </c>
      <c r="H210" s="153" t="s">
        <v>1457</v>
      </c>
      <c r="I210" s="192">
        <v>1992.0</v>
      </c>
      <c r="J210" s="230">
        <v>1990.0</v>
      </c>
      <c r="K210" s="230">
        <v>1994.0</v>
      </c>
      <c r="L210" s="153" t="s">
        <v>151</v>
      </c>
      <c r="M210" s="158" t="s">
        <v>149</v>
      </c>
      <c r="N210" s="158" t="s">
        <v>149</v>
      </c>
      <c r="O210" s="158" t="s">
        <v>149</v>
      </c>
      <c r="P210" s="153" t="s">
        <v>1381</v>
      </c>
      <c r="Q210" s="158" t="s">
        <v>6154</v>
      </c>
      <c r="R210" s="158" t="s">
        <v>206</v>
      </c>
      <c r="S210" s="158" t="s">
        <v>159</v>
      </c>
      <c r="T210" s="158" t="s">
        <v>149</v>
      </c>
      <c r="U210" s="158" t="s">
        <v>149</v>
      </c>
      <c r="V210" s="158" t="s">
        <v>149</v>
      </c>
      <c r="W210" s="153" t="s">
        <v>660</v>
      </c>
      <c r="X210" s="153" t="s">
        <v>6035</v>
      </c>
      <c r="Y210" s="153" t="s">
        <v>369</v>
      </c>
      <c r="Z210" s="153"/>
      <c r="AA210" s="153"/>
      <c r="AB210" s="158" t="s">
        <v>395</v>
      </c>
      <c r="AC210" s="153" t="s">
        <v>6060</v>
      </c>
      <c r="AD210" s="153" t="s">
        <v>2873</v>
      </c>
      <c r="AE210" s="153" t="s">
        <v>398</v>
      </c>
      <c r="AF210" s="153"/>
      <c r="AG210" s="153"/>
    </row>
    <row r="211">
      <c r="A211" s="238">
        <v>2024.0</v>
      </c>
      <c r="B211" s="230">
        <v>214.0</v>
      </c>
      <c r="C211" s="153" t="s">
        <v>7885</v>
      </c>
      <c r="D211" s="153" t="s">
        <v>1459</v>
      </c>
      <c r="E211" s="153" t="s">
        <v>2464</v>
      </c>
      <c r="F211" s="153" t="s">
        <v>2465</v>
      </c>
      <c r="G211" s="158" t="s">
        <v>149</v>
      </c>
      <c r="H211" s="153" t="s">
        <v>2466</v>
      </c>
      <c r="I211" s="230">
        <v>2024.0</v>
      </c>
      <c r="J211" s="230">
        <v>2024.0</v>
      </c>
      <c r="K211" s="192" t="s">
        <v>149</v>
      </c>
      <c r="L211" s="153" t="s">
        <v>151</v>
      </c>
      <c r="M211" s="153" t="s">
        <v>2468</v>
      </c>
      <c r="N211" s="158" t="s">
        <v>152</v>
      </c>
      <c r="O211" s="153" t="s">
        <v>2469</v>
      </c>
      <c r="P211" s="153" t="s">
        <v>2470</v>
      </c>
      <c r="Q211" s="158" t="s">
        <v>160</v>
      </c>
      <c r="R211" s="158" t="s">
        <v>184</v>
      </c>
      <c r="S211" s="158" t="s">
        <v>159</v>
      </c>
      <c r="T211" s="158" t="s">
        <v>149</v>
      </c>
      <c r="U211" s="158" t="s">
        <v>149</v>
      </c>
      <c r="V211" s="153" t="s">
        <v>2471</v>
      </c>
      <c r="W211" s="153" t="s">
        <v>2470</v>
      </c>
      <c r="X211" s="153" t="s">
        <v>271</v>
      </c>
      <c r="Y211" s="153" t="s">
        <v>6140</v>
      </c>
      <c r="Z211" s="153"/>
      <c r="AA211" s="153"/>
      <c r="AB211" s="153" t="s">
        <v>6038</v>
      </c>
      <c r="AC211" s="153" t="s">
        <v>2472</v>
      </c>
      <c r="AD211" s="172" t="s">
        <v>2473</v>
      </c>
      <c r="AE211" s="153"/>
      <c r="AF211" s="153"/>
      <c r="AG211" s="153"/>
    </row>
    <row r="212">
      <c r="A212" s="238">
        <v>2024.0</v>
      </c>
      <c r="B212" s="230">
        <v>215.0</v>
      </c>
      <c r="C212" s="153" t="s">
        <v>7885</v>
      </c>
      <c r="D212" s="153" t="s">
        <v>1459</v>
      </c>
      <c r="E212" s="153" t="s">
        <v>1460</v>
      </c>
      <c r="F212" s="153" t="s">
        <v>1461</v>
      </c>
      <c r="G212" s="153" t="s">
        <v>1377</v>
      </c>
      <c r="H212" s="153" t="s">
        <v>1462</v>
      </c>
      <c r="I212" s="192">
        <v>1992.0</v>
      </c>
      <c r="J212" s="230">
        <v>1990.0</v>
      </c>
      <c r="K212" s="230">
        <v>1994.0</v>
      </c>
      <c r="L212" s="153" t="s">
        <v>151</v>
      </c>
      <c r="M212" s="158" t="s">
        <v>149</v>
      </c>
      <c r="N212" s="158" t="s">
        <v>149</v>
      </c>
      <c r="O212" s="158" t="s">
        <v>149</v>
      </c>
      <c r="P212" s="153" t="s">
        <v>1381</v>
      </c>
      <c r="Q212" s="158" t="s">
        <v>6154</v>
      </c>
      <c r="R212" s="158" t="s">
        <v>206</v>
      </c>
      <c r="S212" s="158" t="s">
        <v>159</v>
      </c>
      <c r="T212" s="158" t="s">
        <v>149</v>
      </c>
      <c r="U212" s="158" t="s">
        <v>149</v>
      </c>
      <c r="V212" s="158" t="s">
        <v>149</v>
      </c>
      <c r="W212" s="153" t="s">
        <v>660</v>
      </c>
      <c r="X212" s="153" t="s">
        <v>6035</v>
      </c>
      <c r="Y212" s="153" t="s">
        <v>369</v>
      </c>
      <c r="Z212" s="153"/>
      <c r="AA212" s="153"/>
      <c r="AB212" s="158" t="s">
        <v>395</v>
      </c>
      <c r="AC212" s="153" t="s">
        <v>6060</v>
      </c>
      <c r="AD212" s="153" t="s">
        <v>2873</v>
      </c>
      <c r="AE212" s="153" t="s">
        <v>398</v>
      </c>
      <c r="AF212" s="153"/>
      <c r="AG212" s="153"/>
    </row>
    <row r="213">
      <c r="A213" s="238">
        <v>2024.0</v>
      </c>
      <c r="B213" s="230">
        <v>216.0</v>
      </c>
      <c r="C213" s="153" t="s">
        <v>7885</v>
      </c>
      <c r="D213" s="153" t="s">
        <v>1191</v>
      </c>
      <c r="E213" s="153" t="s">
        <v>1816</v>
      </c>
      <c r="F213" s="153" t="s">
        <v>1817</v>
      </c>
      <c r="G213" s="153" t="s">
        <v>1818</v>
      </c>
      <c r="H213" s="153"/>
      <c r="I213" s="230">
        <v>2017.0</v>
      </c>
      <c r="J213" s="230">
        <v>2017.0</v>
      </c>
      <c r="K213" s="230" t="s">
        <v>149</v>
      </c>
      <c r="L213" s="153" t="s">
        <v>151</v>
      </c>
      <c r="M213" s="153" t="s">
        <v>337</v>
      </c>
      <c r="N213" s="158" t="s">
        <v>337</v>
      </c>
      <c r="O213" s="153" t="s">
        <v>1819</v>
      </c>
      <c r="P213" s="153" t="s">
        <v>1820</v>
      </c>
      <c r="Q213" s="158" t="s">
        <v>160</v>
      </c>
      <c r="R213" s="158" t="s">
        <v>184</v>
      </c>
      <c r="S213" s="158" t="s">
        <v>159</v>
      </c>
      <c r="T213" s="158" t="s">
        <v>149</v>
      </c>
      <c r="U213" s="153" t="s">
        <v>6924</v>
      </c>
      <c r="V213" s="188" t="s">
        <v>1822</v>
      </c>
      <c r="W213" s="153" t="s">
        <v>1823</v>
      </c>
      <c r="X213" s="158" t="s">
        <v>184</v>
      </c>
      <c r="Y213" s="153"/>
      <c r="Z213" s="158" t="s">
        <v>1824</v>
      </c>
      <c r="AA213" s="153"/>
      <c r="AB213" s="158" t="s">
        <v>166</v>
      </c>
      <c r="AC213" s="153" t="s">
        <v>1825</v>
      </c>
      <c r="AD213" s="153" t="s">
        <v>1826</v>
      </c>
      <c r="AE213" s="153"/>
      <c r="AF213" s="153"/>
      <c r="AG213" s="153"/>
    </row>
    <row r="214">
      <c r="A214" s="238">
        <v>2024.0</v>
      </c>
      <c r="B214" s="230">
        <v>217.0</v>
      </c>
      <c r="C214" s="153" t="s">
        <v>7885</v>
      </c>
      <c r="D214" s="153" t="s">
        <v>1191</v>
      </c>
      <c r="E214" s="153" t="s">
        <v>6933</v>
      </c>
      <c r="F214" s="153" t="s">
        <v>2829</v>
      </c>
      <c r="G214" s="158" t="s">
        <v>149</v>
      </c>
      <c r="H214" s="153" t="s">
        <v>6935</v>
      </c>
      <c r="I214" s="230">
        <v>2018.0</v>
      </c>
      <c r="J214" s="230">
        <v>2014.0</v>
      </c>
      <c r="K214" s="230">
        <v>2018.0</v>
      </c>
      <c r="L214" s="153" t="s">
        <v>6062</v>
      </c>
      <c r="M214" s="153" t="s">
        <v>2830</v>
      </c>
      <c r="N214" s="158" t="s">
        <v>179</v>
      </c>
      <c r="O214" s="158" t="s">
        <v>2832</v>
      </c>
      <c r="P214" s="158" t="s">
        <v>2833</v>
      </c>
      <c r="Q214" s="158" t="s">
        <v>160</v>
      </c>
      <c r="R214" s="158" t="s">
        <v>6035</v>
      </c>
      <c r="S214" s="158" t="s">
        <v>149</v>
      </c>
      <c r="T214" s="158" t="s">
        <v>149</v>
      </c>
      <c r="U214" s="158" t="s">
        <v>149</v>
      </c>
      <c r="V214" s="158" t="s">
        <v>149</v>
      </c>
      <c r="W214" s="153" t="s">
        <v>1158</v>
      </c>
      <c r="X214" s="158" t="s">
        <v>6068</v>
      </c>
      <c r="Y214" s="153"/>
      <c r="Z214" s="153"/>
      <c r="AA214" s="153"/>
      <c r="AB214" s="158" t="s">
        <v>1159</v>
      </c>
      <c r="AC214" s="153" t="s">
        <v>1160</v>
      </c>
      <c r="AD214" s="165" t="s">
        <v>1161</v>
      </c>
      <c r="AE214" s="153" t="s">
        <v>2834</v>
      </c>
      <c r="AF214" s="153"/>
      <c r="AG214" s="153"/>
    </row>
    <row r="215">
      <c r="A215" s="238">
        <v>2024.0</v>
      </c>
      <c r="B215" s="230">
        <v>218.0</v>
      </c>
      <c r="C215" s="153" t="s">
        <v>7885</v>
      </c>
      <c r="D215" s="153" t="s">
        <v>1191</v>
      </c>
      <c r="E215" s="153" t="s">
        <v>1987</v>
      </c>
      <c r="F215" s="153" t="s">
        <v>1988</v>
      </c>
      <c r="G215" s="153" t="s">
        <v>384</v>
      </c>
      <c r="H215" s="153" t="s">
        <v>2872</v>
      </c>
      <c r="I215" s="230">
        <v>1984.0</v>
      </c>
      <c r="J215" s="230">
        <v>1985.0</v>
      </c>
      <c r="K215" s="230">
        <v>1987.0</v>
      </c>
      <c r="L215" s="153" t="s">
        <v>151</v>
      </c>
      <c r="M215" s="153" t="s">
        <v>469</v>
      </c>
      <c r="N215" s="158" t="s">
        <v>469</v>
      </c>
      <c r="O215" s="158" t="s">
        <v>149</v>
      </c>
      <c r="P215" s="153" t="s">
        <v>390</v>
      </c>
      <c r="Q215" s="158" t="s">
        <v>160</v>
      </c>
      <c r="R215" s="158" t="s">
        <v>6035</v>
      </c>
      <c r="S215" s="158" t="s">
        <v>159</v>
      </c>
      <c r="T215" s="158" t="s">
        <v>149</v>
      </c>
      <c r="U215" s="158" t="s">
        <v>149</v>
      </c>
      <c r="V215" s="153" t="s">
        <v>2870</v>
      </c>
      <c r="W215" s="153" t="s">
        <v>390</v>
      </c>
      <c r="X215" s="153" t="s">
        <v>6035</v>
      </c>
      <c r="Y215" s="153" t="s">
        <v>6055</v>
      </c>
      <c r="Z215" s="153"/>
      <c r="AA215" s="153"/>
      <c r="AB215" s="158" t="s">
        <v>395</v>
      </c>
      <c r="AC215" s="153" t="s">
        <v>6060</v>
      </c>
      <c r="AD215" s="153" t="s">
        <v>2873</v>
      </c>
      <c r="AE215" s="153" t="s">
        <v>398</v>
      </c>
      <c r="AF215" s="153"/>
      <c r="AG215" s="153" t="s">
        <v>6109</v>
      </c>
    </row>
    <row r="216">
      <c r="A216" s="238">
        <v>2024.0</v>
      </c>
      <c r="B216" s="230">
        <v>219.0</v>
      </c>
      <c r="C216" s="153" t="s">
        <v>7885</v>
      </c>
      <c r="D216" s="153" t="s">
        <v>1191</v>
      </c>
      <c r="E216" s="153" t="s">
        <v>1987</v>
      </c>
      <c r="F216" s="153" t="s">
        <v>1988</v>
      </c>
      <c r="G216" s="153" t="s">
        <v>1989</v>
      </c>
      <c r="H216" s="153"/>
      <c r="I216" s="192" t="s">
        <v>149</v>
      </c>
      <c r="J216" s="230">
        <v>1984.0</v>
      </c>
      <c r="K216" s="230">
        <v>1985.0</v>
      </c>
      <c r="L216" s="153" t="s">
        <v>151</v>
      </c>
      <c r="M216" s="158" t="s">
        <v>6942</v>
      </c>
      <c r="N216" s="158" t="s">
        <v>6076</v>
      </c>
      <c r="O216" s="153" t="s">
        <v>1991</v>
      </c>
      <c r="P216" s="158" t="s">
        <v>149</v>
      </c>
      <c r="Q216" s="158" t="s">
        <v>149</v>
      </c>
      <c r="R216" s="158" t="s">
        <v>149</v>
      </c>
      <c r="S216" s="158" t="s">
        <v>149</v>
      </c>
      <c r="T216" s="158" t="s">
        <v>149</v>
      </c>
      <c r="U216" s="158" t="s">
        <v>149</v>
      </c>
      <c r="V216" s="153" t="s">
        <v>1992</v>
      </c>
      <c r="W216" s="153" t="s">
        <v>1993</v>
      </c>
      <c r="X216" s="153" t="s">
        <v>6035</v>
      </c>
      <c r="Y216" s="153"/>
      <c r="Z216" s="153"/>
      <c r="AA216" s="153"/>
      <c r="AB216" s="153" t="s">
        <v>889</v>
      </c>
      <c r="AC216" s="153" t="s">
        <v>1994</v>
      </c>
      <c r="AD216" s="165" t="s">
        <v>1995</v>
      </c>
      <c r="AE216" s="153" t="s">
        <v>398</v>
      </c>
      <c r="AF216" s="153"/>
      <c r="AG216" s="153"/>
    </row>
    <row r="217">
      <c r="A217" s="238">
        <v>2024.0</v>
      </c>
      <c r="B217" s="230">
        <v>220.0</v>
      </c>
      <c r="C217" s="153" t="s">
        <v>7885</v>
      </c>
      <c r="D217" s="153" t="s">
        <v>1191</v>
      </c>
      <c r="E217" s="153" t="s">
        <v>1120</v>
      </c>
      <c r="F217" s="153" t="s">
        <v>1192</v>
      </c>
      <c r="G217" s="153" t="s">
        <v>1174</v>
      </c>
      <c r="H217" s="153"/>
      <c r="I217" s="192">
        <v>2013.0</v>
      </c>
      <c r="J217" s="230">
        <v>2012.0</v>
      </c>
      <c r="K217" s="230">
        <v>2013.0</v>
      </c>
      <c r="L217" s="153" t="s">
        <v>6062</v>
      </c>
      <c r="M217" s="153" t="s">
        <v>320</v>
      </c>
      <c r="N217" s="158" t="s">
        <v>179</v>
      </c>
      <c r="O217" s="153" t="s">
        <v>1193</v>
      </c>
      <c r="P217" s="153" t="s">
        <v>321</v>
      </c>
      <c r="Q217" s="158" t="s">
        <v>160</v>
      </c>
      <c r="R217" s="158" t="s">
        <v>6035</v>
      </c>
      <c r="S217" s="158" t="s">
        <v>204</v>
      </c>
      <c r="T217" s="158" t="s">
        <v>149</v>
      </c>
      <c r="U217" s="158" t="s">
        <v>149</v>
      </c>
      <c r="V217" s="153" t="s">
        <v>1194</v>
      </c>
      <c r="W217" s="153" t="s">
        <v>1158</v>
      </c>
      <c r="X217" s="158" t="s">
        <v>6068</v>
      </c>
      <c r="Y217" s="153"/>
      <c r="Z217" s="153"/>
      <c r="AA217" s="153" t="s">
        <v>1195</v>
      </c>
      <c r="AB217" s="158" t="s">
        <v>6069</v>
      </c>
      <c r="AC217" s="153" t="s">
        <v>1196</v>
      </c>
      <c r="AD217" s="153" t="s">
        <v>6070</v>
      </c>
      <c r="AE217" s="153"/>
      <c r="AF217" s="153"/>
      <c r="AG217" s="153"/>
    </row>
    <row r="218">
      <c r="A218" s="238">
        <v>2024.0</v>
      </c>
      <c r="B218" s="230">
        <v>221.0</v>
      </c>
      <c r="C218" s="153" t="s">
        <v>7885</v>
      </c>
      <c r="D218" s="153" t="s">
        <v>536</v>
      </c>
      <c r="E218" s="153" t="s">
        <v>6945</v>
      </c>
      <c r="F218" s="153" t="s">
        <v>538</v>
      </c>
      <c r="G218" s="153" t="s">
        <v>384</v>
      </c>
      <c r="H218" s="153" t="s">
        <v>6949</v>
      </c>
      <c r="I218" s="230">
        <v>1985.0</v>
      </c>
      <c r="J218" s="230">
        <v>1985.0</v>
      </c>
      <c r="K218" s="230">
        <v>1987.0</v>
      </c>
      <c r="L218" s="153" t="s">
        <v>151</v>
      </c>
      <c r="M218" s="153" t="s">
        <v>469</v>
      </c>
      <c r="N218" s="158" t="s">
        <v>469</v>
      </c>
      <c r="O218" s="158" t="s">
        <v>149</v>
      </c>
      <c r="P218" s="153" t="s">
        <v>390</v>
      </c>
      <c r="Q218" s="158" t="s">
        <v>160</v>
      </c>
      <c r="R218" s="158" t="s">
        <v>6035</v>
      </c>
      <c r="S218" s="158" t="s">
        <v>159</v>
      </c>
      <c r="T218" s="158" t="s">
        <v>149</v>
      </c>
      <c r="U218" s="158" t="s">
        <v>149</v>
      </c>
      <c r="V218" s="158" t="s">
        <v>149</v>
      </c>
      <c r="W218" s="153" t="s">
        <v>390</v>
      </c>
      <c r="X218" s="153" t="s">
        <v>6035</v>
      </c>
      <c r="Y218" s="153" t="s">
        <v>6055</v>
      </c>
      <c r="Z218" s="153"/>
      <c r="AA218" s="153"/>
      <c r="AB218" s="158" t="s">
        <v>395</v>
      </c>
      <c r="AC218" s="153" t="s">
        <v>6060</v>
      </c>
      <c r="AD218" s="153" t="s">
        <v>2873</v>
      </c>
      <c r="AE218" s="153" t="s">
        <v>398</v>
      </c>
      <c r="AF218" s="153"/>
      <c r="AG218" s="153"/>
    </row>
    <row r="219">
      <c r="A219" s="238">
        <v>2024.0</v>
      </c>
      <c r="B219" s="230">
        <v>222.0</v>
      </c>
      <c r="C219" s="153" t="s">
        <v>7885</v>
      </c>
      <c r="D219" s="153" t="s">
        <v>536</v>
      </c>
      <c r="E219" s="153" t="s">
        <v>6945</v>
      </c>
      <c r="F219" s="153" t="s">
        <v>538</v>
      </c>
      <c r="G219" s="153" t="s">
        <v>384</v>
      </c>
      <c r="H219" s="153" t="s">
        <v>6953</v>
      </c>
      <c r="I219" s="230">
        <v>1985.0</v>
      </c>
      <c r="J219" s="230">
        <v>1985.0</v>
      </c>
      <c r="K219" s="230">
        <v>1987.0</v>
      </c>
      <c r="L219" s="153" t="s">
        <v>151</v>
      </c>
      <c r="M219" s="153" t="s">
        <v>6054</v>
      </c>
      <c r="N219" s="158" t="s">
        <v>6054</v>
      </c>
      <c r="O219" s="158" t="s">
        <v>149</v>
      </c>
      <c r="P219" s="153" t="s">
        <v>390</v>
      </c>
      <c r="Q219" s="158" t="s">
        <v>160</v>
      </c>
      <c r="R219" s="158" t="s">
        <v>6035</v>
      </c>
      <c r="S219" s="158" t="s">
        <v>159</v>
      </c>
      <c r="T219" s="158" t="s">
        <v>149</v>
      </c>
      <c r="U219" s="158" t="s">
        <v>149</v>
      </c>
      <c r="V219" s="153" t="s">
        <v>391</v>
      </c>
      <c r="W219" s="153" t="s">
        <v>390</v>
      </c>
      <c r="X219" s="153" t="s">
        <v>6035</v>
      </c>
      <c r="Y219" s="153" t="s">
        <v>6055</v>
      </c>
      <c r="Z219" s="153"/>
      <c r="AA219" s="153"/>
      <c r="AB219" s="158" t="s">
        <v>395</v>
      </c>
      <c r="AC219" s="153" t="s">
        <v>6060</v>
      </c>
      <c r="AD219" s="153" t="s">
        <v>2873</v>
      </c>
      <c r="AE219" s="153" t="s">
        <v>398</v>
      </c>
      <c r="AF219" s="153"/>
      <c r="AG219" s="153"/>
    </row>
    <row r="220">
      <c r="A220" s="238">
        <v>2024.0</v>
      </c>
      <c r="B220" s="230">
        <v>223.0</v>
      </c>
      <c r="C220" s="153" t="s">
        <v>7885</v>
      </c>
      <c r="D220" s="153" t="s">
        <v>536</v>
      </c>
      <c r="E220" s="153" t="s">
        <v>6945</v>
      </c>
      <c r="F220" s="153" t="s">
        <v>538</v>
      </c>
      <c r="G220" s="153" t="s">
        <v>384</v>
      </c>
      <c r="H220" s="153" t="s">
        <v>6956</v>
      </c>
      <c r="I220" s="230">
        <v>1986.0</v>
      </c>
      <c r="J220" s="230">
        <v>1985.0</v>
      </c>
      <c r="K220" s="230">
        <v>1987.0</v>
      </c>
      <c r="L220" s="153" t="s">
        <v>151</v>
      </c>
      <c r="M220" s="153" t="s">
        <v>6054</v>
      </c>
      <c r="N220" s="158" t="s">
        <v>6054</v>
      </c>
      <c r="O220" s="158" t="s">
        <v>149</v>
      </c>
      <c r="P220" s="153" t="s">
        <v>390</v>
      </c>
      <c r="Q220" s="158" t="s">
        <v>160</v>
      </c>
      <c r="R220" s="158" t="s">
        <v>6035</v>
      </c>
      <c r="S220" s="158" t="s">
        <v>159</v>
      </c>
      <c r="T220" s="158" t="s">
        <v>149</v>
      </c>
      <c r="U220" s="158" t="s">
        <v>149</v>
      </c>
      <c r="V220" s="153" t="s">
        <v>414</v>
      </c>
      <c r="W220" s="153" t="s">
        <v>390</v>
      </c>
      <c r="X220" s="153" t="s">
        <v>6035</v>
      </c>
      <c r="Y220" s="153" t="s">
        <v>6055</v>
      </c>
      <c r="Z220" s="153"/>
      <c r="AA220" s="153"/>
      <c r="AB220" s="158" t="s">
        <v>395</v>
      </c>
      <c r="AC220" s="153" t="s">
        <v>6060</v>
      </c>
      <c r="AD220" s="153" t="s">
        <v>2873</v>
      </c>
      <c r="AE220" s="153" t="s">
        <v>398</v>
      </c>
      <c r="AF220" s="153"/>
      <c r="AG220" s="153"/>
    </row>
    <row r="221">
      <c r="A221" s="238">
        <v>2024.0</v>
      </c>
      <c r="B221" s="230">
        <v>224.0</v>
      </c>
      <c r="C221" s="153" t="s">
        <v>7885</v>
      </c>
      <c r="D221" s="153" t="s">
        <v>536</v>
      </c>
      <c r="E221" s="153" t="s">
        <v>6945</v>
      </c>
      <c r="F221" s="153" t="s">
        <v>538</v>
      </c>
      <c r="G221" s="153" t="s">
        <v>384</v>
      </c>
      <c r="H221" s="153" t="s">
        <v>6959</v>
      </c>
      <c r="I221" s="230">
        <v>1986.0</v>
      </c>
      <c r="J221" s="230">
        <v>1985.0</v>
      </c>
      <c r="K221" s="230">
        <v>1987.0</v>
      </c>
      <c r="L221" s="153" t="s">
        <v>151</v>
      </c>
      <c r="M221" s="153" t="s">
        <v>6054</v>
      </c>
      <c r="N221" s="158" t="s">
        <v>6054</v>
      </c>
      <c r="O221" s="158" t="s">
        <v>149</v>
      </c>
      <c r="P221" s="153" t="s">
        <v>390</v>
      </c>
      <c r="Q221" s="158" t="s">
        <v>160</v>
      </c>
      <c r="R221" s="158" t="s">
        <v>6035</v>
      </c>
      <c r="S221" s="158" t="s">
        <v>159</v>
      </c>
      <c r="T221" s="158" t="s">
        <v>149</v>
      </c>
      <c r="U221" s="158" t="s">
        <v>149</v>
      </c>
      <c r="V221" s="153" t="s">
        <v>548</v>
      </c>
      <c r="W221" s="153" t="s">
        <v>390</v>
      </c>
      <c r="X221" s="153" t="s">
        <v>6035</v>
      </c>
      <c r="Y221" s="153" t="s">
        <v>6055</v>
      </c>
      <c r="Z221" s="153"/>
      <c r="AA221" s="153"/>
      <c r="AB221" s="158" t="s">
        <v>395</v>
      </c>
      <c r="AC221" s="153" t="s">
        <v>6060</v>
      </c>
      <c r="AD221" s="153" t="s">
        <v>2873</v>
      </c>
      <c r="AE221" s="153" t="s">
        <v>398</v>
      </c>
      <c r="AF221" s="153"/>
      <c r="AG221" s="153"/>
    </row>
    <row r="222">
      <c r="A222" s="238">
        <v>2024.0</v>
      </c>
      <c r="B222" s="230">
        <v>225.0</v>
      </c>
      <c r="C222" s="153" t="s">
        <v>7885</v>
      </c>
      <c r="D222" s="153" t="s">
        <v>536</v>
      </c>
      <c r="E222" s="153" t="s">
        <v>6945</v>
      </c>
      <c r="F222" s="153" t="s">
        <v>538</v>
      </c>
      <c r="G222" s="153" t="s">
        <v>384</v>
      </c>
      <c r="H222" s="153" t="s">
        <v>6962</v>
      </c>
      <c r="I222" s="230">
        <v>1986.0</v>
      </c>
      <c r="J222" s="230">
        <v>1985.0</v>
      </c>
      <c r="K222" s="230">
        <v>1987.0</v>
      </c>
      <c r="L222" s="153" t="s">
        <v>151</v>
      </c>
      <c r="M222" s="153" t="s">
        <v>6054</v>
      </c>
      <c r="N222" s="158" t="s">
        <v>6054</v>
      </c>
      <c r="O222" s="158" t="s">
        <v>149</v>
      </c>
      <c r="P222" s="153" t="s">
        <v>390</v>
      </c>
      <c r="Q222" s="158" t="s">
        <v>160</v>
      </c>
      <c r="R222" s="158" t="s">
        <v>6035</v>
      </c>
      <c r="S222" s="158" t="s">
        <v>159</v>
      </c>
      <c r="T222" s="158" t="s">
        <v>149</v>
      </c>
      <c r="U222" s="158" t="s">
        <v>149</v>
      </c>
      <c r="V222" s="153" t="s">
        <v>391</v>
      </c>
      <c r="W222" s="153" t="s">
        <v>390</v>
      </c>
      <c r="X222" s="153" t="s">
        <v>6035</v>
      </c>
      <c r="Y222" s="153" t="s">
        <v>6055</v>
      </c>
      <c r="Z222" s="153"/>
      <c r="AA222" s="153"/>
      <c r="AB222" s="158" t="s">
        <v>395</v>
      </c>
      <c r="AC222" s="153" t="s">
        <v>6060</v>
      </c>
      <c r="AD222" s="153" t="s">
        <v>2873</v>
      </c>
      <c r="AE222" s="153" t="s">
        <v>398</v>
      </c>
      <c r="AF222" s="153"/>
      <c r="AG222" s="153"/>
    </row>
    <row r="223">
      <c r="A223" s="238">
        <v>2024.0</v>
      </c>
      <c r="B223" s="230">
        <v>226.0</v>
      </c>
      <c r="C223" s="153" t="s">
        <v>7885</v>
      </c>
      <c r="D223" s="153" t="s">
        <v>536</v>
      </c>
      <c r="E223" s="153" t="s">
        <v>6945</v>
      </c>
      <c r="F223" s="153" t="s">
        <v>538</v>
      </c>
      <c r="G223" s="153" t="s">
        <v>384</v>
      </c>
      <c r="H223" s="153" t="s">
        <v>6965</v>
      </c>
      <c r="I223" s="230">
        <v>1986.0</v>
      </c>
      <c r="J223" s="230">
        <v>1985.0</v>
      </c>
      <c r="K223" s="230">
        <v>1987.0</v>
      </c>
      <c r="L223" s="153" t="s">
        <v>151</v>
      </c>
      <c r="M223" s="153" t="s">
        <v>6054</v>
      </c>
      <c r="N223" s="158" t="s">
        <v>6054</v>
      </c>
      <c r="O223" s="158" t="s">
        <v>149</v>
      </c>
      <c r="P223" s="153" t="s">
        <v>390</v>
      </c>
      <c r="Q223" s="158" t="s">
        <v>160</v>
      </c>
      <c r="R223" s="158" t="s">
        <v>6035</v>
      </c>
      <c r="S223" s="158" t="s">
        <v>159</v>
      </c>
      <c r="T223" s="158" t="s">
        <v>149</v>
      </c>
      <c r="U223" s="158" t="s">
        <v>149</v>
      </c>
      <c r="V223" s="153" t="s">
        <v>548</v>
      </c>
      <c r="W223" s="153" t="s">
        <v>390</v>
      </c>
      <c r="X223" s="153" t="s">
        <v>6035</v>
      </c>
      <c r="Y223" s="153" t="s">
        <v>6055</v>
      </c>
      <c r="Z223" s="153"/>
      <c r="AA223" s="153"/>
      <c r="AB223" s="158" t="s">
        <v>395</v>
      </c>
      <c r="AC223" s="153" t="s">
        <v>6060</v>
      </c>
      <c r="AD223" s="153" t="s">
        <v>2873</v>
      </c>
      <c r="AE223" s="153" t="s">
        <v>398</v>
      </c>
      <c r="AF223" s="153"/>
      <c r="AG223" s="153"/>
    </row>
    <row r="224">
      <c r="A224" s="238">
        <v>2024.0</v>
      </c>
      <c r="B224" s="230">
        <v>227.0</v>
      </c>
      <c r="C224" s="153" t="s">
        <v>7885</v>
      </c>
      <c r="D224" s="153" t="s">
        <v>536</v>
      </c>
      <c r="E224" s="153" t="s">
        <v>554</v>
      </c>
      <c r="F224" s="153" t="s">
        <v>555</v>
      </c>
      <c r="G224" s="153" t="s">
        <v>384</v>
      </c>
      <c r="H224" s="153" t="s">
        <v>556</v>
      </c>
      <c r="I224" s="230">
        <v>1986.0</v>
      </c>
      <c r="J224" s="230">
        <v>1985.0</v>
      </c>
      <c r="K224" s="230">
        <v>1987.0</v>
      </c>
      <c r="L224" s="153" t="s">
        <v>151</v>
      </c>
      <c r="M224" s="153" t="s">
        <v>6054</v>
      </c>
      <c r="N224" s="158" t="s">
        <v>6054</v>
      </c>
      <c r="O224" s="158" t="s">
        <v>149</v>
      </c>
      <c r="P224" s="153" t="s">
        <v>390</v>
      </c>
      <c r="Q224" s="158" t="s">
        <v>160</v>
      </c>
      <c r="R224" s="158" t="s">
        <v>6035</v>
      </c>
      <c r="S224" s="158" t="s">
        <v>159</v>
      </c>
      <c r="T224" s="158" t="s">
        <v>149</v>
      </c>
      <c r="U224" s="158" t="s">
        <v>149</v>
      </c>
      <c r="V224" s="153" t="s">
        <v>548</v>
      </c>
      <c r="W224" s="153" t="s">
        <v>390</v>
      </c>
      <c r="X224" s="153" t="s">
        <v>6035</v>
      </c>
      <c r="Y224" s="153" t="s">
        <v>6055</v>
      </c>
      <c r="Z224" s="153"/>
      <c r="AA224" s="153"/>
      <c r="AB224" s="158" t="s">
        <v>395</v>
      </c>
      <c r="AC224" s="153" t="s">
        <v>6060</v>
      </c>
      <c r="AD224" s="153" t="s">
        <v>2873</v>
      </c>
      <c r="AE224" s="153" t="s">
        <v>398</v>
      </c>
      <c r="AF224" s="153"/>
      <c r="AG224" s="153"/>
    </row>
    <row r="225">
      <c r="A225" s="238">
        <v>2024.0</v>
      </c>
      <c r="B225" s="230">
        <v>228.0</v>
      </c>
      <c r="C225" s="153" t="s">
        <v>7897</v>
      </c>
      <c r="D225" s="153" t="s">
        <v>315</v>
      </c>
      <c r="E225" s="153" t="s">
        <v>3090</v>
      </c>
      <c r="F225" s="153" t="s">
        <v>3091</v>
      </c>
      <c r="G225" s="158" t="s">
        <v>149</v>
      </c>
      <c r="H225" s="153" t="s">
        <v>6972</v>
      </c>
      <c r="I225" s="230">
        <v>2017.0</v>
      </c>
      <c r="J225" s="192" t="s">
        <v>149</v>
      </c>
      <c r="K225" s="192" t="s">
        <v>149</v>
      </c>
      <c r="L225" s="153" t="s">
        <v>151</v>
      </c>
      <c r="M225" s="158" t="s">
        <v>149</v>
      </c>
      <c r="N225" s="158" t="s">
        <v>149</v>
      </c>
      <c r="O225" s="158" t="s">
        <v>149</v>
      </c>
      <c r="P225" s="153" t="s">
        <v>158</v>
      </c>
      <c r="Q225" s="158" t="s">
        <v>160</v>
      </c>
      <c r="R225" s="158" t="s">
        <v>6035</v>
      </c>
      <c r="S225" s="158" t="s">
        <v>159</v>
      </c>
      <c r="T225" s="158" t="s">
        <v>149</v>
      </c>
      <c r="U225" s="158" t="s">
        <v>149</v>
      </c>
      <c r="V225" s="158" t="s">
        <v>149</v>
      </c>
      <c r="W225" s="153" t="s">
        <v>158</v>
      </c>
      <c r="X225" s="153" t="s">
        <v>6035</v>
      </c>
      <c r="Y225" s="153"/>
      <c r="Z225" s="153"/>
      <c r="AA225" s="153"/>
      <c r="AB225" s="158" t="s">
        <v>166</v>
      </c>
      <c r="AC225" s="153" t="s">
        <v>3092</v>
      </c>
      <c r="AD225" s="172" t="s">
        <v>3093</v>
      </c>
      <c r="AE225" s="153"/>
      <c r="AF225" s="153"/>
      <c r="AG225" s="153"/>
    </row>
    <row r="226">
      <c r="A226" s="238">
        <v>2024.0</v>
      </c>
      <c r="B226" s="230">
        <v>229.0</v>
      </c>
      <c r="C226" s="153" t="s">
        <v>7897</v>
      </c>
      <c r="D226" s="153" t="s">
        <v>315</v>
      </c>
      <c r="E226" s="153" t="s">
        <v>747</v>
      </c>
      <c r="F226" s="153" t="s">
        <v>748</v>
      </c>
      <c r="G226" s="153" t="s">
        <v>6742</v>
      </c>
      <c r="H226" s="153"/>
      <c r="I226" s="230">
        <v>2013.0</v>
      </c>
      <c r="J226" s="192" t="s">
        <v>149</v>
      </c>
      <c r="K226" s="192" t="s">
        <v>149</v>
      </c>
      <c r="L226" s="153" t="s">
        <v>151</v>
      </c>
      <c r="M226" s="158" t="s">
        <v>790</v>
      </c>
      <c r="N226" s="158" t="s">
        <v>790</v>
      </c>
      <c r="O226" s="153" t="s">
        <v>8045</v>
      </c>
      <c r="P226" s="158" t="s">
        <v>1612</v>
      </c>
      <c r="Q226" s="158" t="s">
        <v>160</v>
      </c>
      <c r="R226" s="158" t="s">
        <v>6035</v>
      </c>
      <c r="S226" s="158" t="s">
        <v>159</v>
      </c>
      <c r="T226" s="158" t="s">
        <v>149</v>
      </c>
      <c r="U226" s="158" t="s">
        <v>149</v>
      </c>
      <c r="V226" s="158" t="s">
        <v>149</v>
      </c>
      <c r="W226" s="158" t="s">
        <v>1613</v>
      </c>
      <c r="X226" s="158" t="s">
        <v>662</v>
      </c>
      <c r="Y226" s="153" t="s">
        <v>1594</v>
      </c>
      <c r="Z226" s="153"/>
      <c r="AA226" s="153"/>
      <c r="AB226" s="153" t="s">
        <v>6976</v>
      </c>
      <c r="AC226" s="153" t="s">
        <v>1608</v>
      </c>
      <c r="AD226" s="165" t="s">
        <v>1614</v>
      </c>
      <c r="AE226" s="153"/>
      <c r="AF226" s="153"/>
      <c r="AG226" s="153"/>
    </row>
    <row r="227">
      <c r="A227" s="238">
        <v>2024.0</v>
      </c>
      <c r="B227" s="230">
        <v>230.0</v>
      </c>
      <c r="C227" s="153" t="s">
        <v>7897</v>
      </c>
      <c r="D227" s="153" t="s">
        <v>315</v>
      </c>
      <c r="E227" s="153" t="s">
        <v>747</v>
      </c>
      <c r="F227" s="153" t="s">
        <v>748</v>
      </c>
      <c r="G227" s="158" t="s">
        <v>149</v>
      </c>
      <c r="H227" s="153" t="s">
        <v>6972</v>
      </c>
      <c r="I227" s="230">
        <v>2017.0</v>
      </c>
      <c r="J227" s="158" t="s">
        <v>149</v>
      </c>
      <c r="K227" s="192" t="s">
        <v>149</v>
      </c>
      <c r="L227" s="153" t="s">
        <v>151</v>
      </c>
      <c r="M227" s="158" t="s">
        <v>149</v>
      </c>
      <c r="N227" s="158" t="s">
        <v>149</v>
      </c>
      <c r="O227" s="158" t="s">
        <v>149</v>
      </c>
      <c r="P227" s="153" t="s">
        <v>158</v>
      </c>
      <c r="Q227" s="158" t="s">
        <v>160</v>
      </c>
      <c r="R227" s="158" t="s">
        <v>6035</v>
      </c>
      <c r="S227" s="158" t="s">
        <v>159</v>
      </c>
      <c r="T227" s="158" t="s">
        <v>149</v>
      </c>
      <c r="U227" s="158" t="s">
        <v>149</v>
      </c>
      <c r="V227" s="158" t="s">
        <v>149</v>
      </c>
      <c r="W227" s="153" t="s">
        <v>158</v>
      </c>
      <c r="X227" s="153" t="s">
        <v>6035</v>
      </c>
      <c r="Y227" s="153"/>
      <c r="Z227" s="153"/>
      <c r="AA227" s="153"/>
      <c r="AB227" s="158" t="s">
        <v>166</v>
      </c>
      <c r="AC227" s="153" t="s">
        <v>3092</v>
      </c>
      <c r="AD227" s="165" t="s">
        <v>3093</v>
      </c>
      <c r="AE227" s="153"/>
      <c r="AF227" s="153"/>
      <c r="AG227" s="153"/>
    </row>
    <row r="228">
      <c r="A228" s="238">
        <v>2024.0</v>
      </c>
      <c r="B228" s="230">
        <v>231.0</v>
      </c>
      <c r="C228" s="153" t="s">
        <v>7897</v>
      </c>
      <c r="D228" s="153" t="s">
        <v>315</v>
      </c>
      <c r="E228" s="153" t="s">
        <v>747</v>
      </c>
      <c r="F228" s="153" t="s">
        <v>748</v>
      </c>
      <c r="G228" s="153" t="s">
        <v>749</v>
      </c>
      <c r="H228" s="153"/>
      <c r="I228" s="230">
        <v>2022.0</v>
      </c>
      <c r="J228" s="230">
        <v>2022.0</v>
      </c>
      <c r="K228" s="230">
        <v>2025.0</v>
      </c>
      <c r="L228" s="153" t="s">
        <v>151</v>
      </c>
      <c r="M228" s="158" t="s">
        <v>149</v>
      </c>
      <c r="N228" s="158" t="s">
        <v>149</v>
      </c>
      <c r="O228" s="153" t="s">
        <v>752</v>
      </c>
      <c r="P228" s="153" t="s">
        <v>369</v>
      </c>
      <c r="Q228" s="158" t="s">
        <v>160</v>
      </c>
      <c r="R228" s="158" t="s">
        <v>6035</v>
      </c>
      <c r="S228" s="158" t="s">
        <v>159</v>
      </c>
      <c r="T228" s="158" t="s">
        <v>149</v>
      </c>
      <c r="U228" s="158" t="s">
        <v>149</v>
      </c>
      <c r="V228" s="158" t="s">
        <v>149</v>
      </c>
      <c r="W228" s="153" t="s">
        <v>369</v>
      </c>
      <c r="X228" s="153" t="s">
        <v>6035</v>
      </c>
      <c r="Y228" s="153"/>
      <c r="Z228" s="153"/>
      <c r="AA228" s="153"/>
      <c r="AB228" s="153" t="s">
        <v>213</v>
      </c>
      <c r="AC228" s="153" t="s">
        <v>213</v>
      </c>
      <c r="AD228" s="153"/>
      <c r="AE228" s="153" t="s">
        <v>753</v>
      </c>
      <c r="AF228" s="153" t="s">
        <v>754</v>
      </c>
      <c r="AG228" s="153"/>
    </row>
    <row r="229">
      <c r="A229" s="238">
        <v>2024.0</v>
      </c>
      <c r="B229" s="230">
        <v>232.0</v>
      </c>
      <c r="C229" s="153" t="s">
        <v>7897</v>
      </c>
      <c r="D229" s="153" t="s">
        <v>315</v>
      </c>
      <c r="E229" s="153" t="s">
        <v>3096</v>
      </c>
      <c r="F229" s="153" t="s">
        <v>3097</v>
      </c>
      <c r="G229" s="158" t="s">
        <v>149</v>
      </c>
      <c r="H229" s="153" t="s">
        <v>6985</v>
      </c>
      <c r="I229" s="158" t="s">
        <v>149</v>
      </c>
      <c r="J229" s="158" t="s">
        <v>149</v>
      </c>
      <c r="K229" s="192" t="s">
        <v>149</v>
      </c>
      <c r="L229" s="153" t="s">
        <v>151</v>
      </c>
      <c r="M229" s="153" t="s">
        <v>6054</v>
      </c>
      <c r="N229" s="158" t="s">
        <v>6054</v>
      </c>
      <c r="O229" s="158" t="s">
        <v>149</v>
      </c>
      <c r="P229" s="158" t="s">
        <v>149</v>
      </c>
      <c r="Q229" s="158" t="s">
        <v>149</v>
      </c>
      <c r="R229" s="158" t="s">
        <v>149</v>
      </c>
      <c r="S229" s="158" t="s">
        <v>149</v>
      </c>
      <c r="T229" s="158" t="s">
        <v>149</v>
      </c>
      <c r="U229" s="158" t="s">
        <v>149</v>
      </c>
      <c r="V229" s="158" t="s">
        <v>149</v>
      </c>
      <c r="W229" s="158" t="s">
        <v>149</v>
      </c>
      <c r="X229" s="158" t="s">
        <v>149</v>
      </c>
      <c r="Y229" s="153"/>
      <c r="Z229" s="153"/>
      <c r="AA229" s="153"/>
      <c r="AB229" s="158" t="s">
        <v>1159</v>
      </c>
      <c r="AC229" s="153" t="s">
        <v>3098</v>
      </c>
      <c r="AD229" s="172" t="s">
        <v>3099</v>
      </c>
      <c r="AE229" s="153"/>
      <c r="AF229" s="153"/>
      <c r="AG229" s="153"/>
    </row>
    <row r="230">
      <c r="A230" s="238">
        <v>2024.0</v>
      </c>
      <c r="B230" s="230">
        <v>233.0</v>
      </c>
      <c r="C230" s="153" t="s">
        <v>7897</v>
      </c>
      <c r="D230" s="153" t="s">
        <v>315</v>
      </c>
      <c r="E230" s="153" t="s">
        <v>316</v>
      </c>
      <c r="F230" s="153" t="s">
        <v>317</v>
      </c>
      <c r="G230" s="158" t="s">
        <v>149</v>
      </c>
      <c r="H230" s="153" t="s">
        <v>6990</v>
      </c>
      <c r="I230" s="230">
        <v>2003.0</v>
      </c>
      <c r="J230" s="158" t="s">
        <v>149</v>
      </c>
      <c r="K230" s="192" t="s">
        <v>149</v>
      </c>
      <c r="L230" s="153" t="s">
        <v>151</v>
      </c>
      <c r="M230" s="153" t="s">
        <v>790</v>
      </c>
      <c r="N230" s="153" t="s">
        <v>790</v>
      </c>
      <c r="O230" s="158" t="s">
        <v>149</v>
      </c>
      <c r="P230" s="158" t="s">
        <v>149</v>
      </c>
      <c r="Q230" s="158" t="s">
        <v>149</v>
      </c>
      <c r="R230" s="158" t="s">
        <v>149</v>
      </c>
      <c r="S230" s="158" t="s">
        <v>149</v>
      </c>
      <c r="T230" s="158" t="s">
        <v>149</v>
      </c>
      <c r="U230" s="158" t="s">
        <v>149</v>
      </c>
      <c r="V230" s="158" t="s">
        <v>149</v>
      </c>
      <c r="W230" s="158" t="s">
        <v>149</v>
      </c>
      <c r="X230" s="158" t="s">
        <v>149</v>
      </c>
      <c r="Y230" s="153"/>
      <c r="Z230" s="153"/>
      <c r="AA230" s="153"/>
      <c r="AB230" s="158" t="s">
        <v>1159</v>
      </c>
      <c r="AC230" s="153" t="s">
        <v>3098</v>
      </c>
      <c r="AD230" s="165" t="s">
        <v>3099</v>
      </c>
      <c r="AE230" s="153"/>
      <c r="AF230" s="153"/>
      <c r="AG230" s="153"/>
    </row>
    <row r="231">
      <c r="A231" s="238">
        <v>2024.0</v>
      </c>
      <c r="B231" s="230">
        <v>234.0</v>
      </c>
      <c r="C231" s="153" t="s">
        <v>7897</v>
      </c>
      <c r="D231" s="153" t="s">
        <v>315</v>
      </c>
      <c r="E231" s="153" t="s">
        <v>316</v>
      </c>
      <c r="F231" s="153" t="s">
        <v>317</v>
      </c>
      <c r="G231" s="153" t="s">
        <v>1080</v>
      </c>
      <c r="H231" s="153"/>
      <c r="I231" s="230">
        <v>2022.0</v>
      </c>
      <c r="J231" s="192" t="s">
        <v>149</v>
      </c>
      <c r="K231" s="192" t="s">
        <v>149</v>
      </c>
      <c r="L231" s="153" t="s">
        <v>6062</v>
      </c>
      <c r="M231" s="153" t="s">
        <v>730</v>
      </c>
      <c r="N231" s="153" t="s">
        <v>179</v>
      </c>
      <c r="O231" s="153" t="s">
        <v>6978</v>
      </c>
      <c r="P231" s="153" t="s">
        <v>1084</v>
      </c>
      <c r="Q231" s="158" t="s">
        <v>160</v>
      </c>
      <c r="R231" s="158" t="s">
        <v>184</v>
      </c>
      <c r="S231" s="158" t="s">
        <v>159</v>
      </c>
      <c r="T231" s="158" t="s">
        <v>149</v>
      </c>
      <c r="U231" s="158" t="s">
        <v>149</v>
      </c>
      <c r="V231" s="158" t="s">
        <v>149</v>
      </c>
      <c r="W231" s="153" t="s">
        <v>739</v>
      </c>
      <c r="X231" s="158" t="s">
        <v>306</v>
      </c>
      <c r="Y231" s="153" t="s">
        <v>369</v>
      </c>
      <c r="Z231" s="153" t="s">
        <v>1085</v>
      </c>
      <c r="AA231" s="153"/>
      <c r="AB231" s="158" t="s">
        <v>166</v>
      </c>
      <c r="AC231" s="153" t="s">
        <v>1086</v>
      </c>
      <c r="AD231" s="165" t="s">
        <v>6979</v>
      </c>
      <c r="AE231" s="153"/>
      <c r="AF231" s="153"/>
      <c r="AG231" s="153"/>
    </row>
    <row r="232">
      <c r="A232" s="238">
        <v>2024.0</v>
      </c>
      <c r="B232" s="230">
        <v>235.0</v>
      </c>
      <c r="C232" s="153" t="s">
        <v>7897</v>
      </c>
      <c r="D232" s="153" t="s">
        <v>315</v>
      </c>
      <c r="E232" s="153" t="s">
        <v>316</v>
      </c>
      <c r="F232" s="153" t="s">
        <v>317</v>
      </c>
      <c r="G232" s="153" t="s">
        <v>736</v>
      </c>
      <c r="H232" s="153" t="s">
        <v>6997</v>
      </c>
      <c r="I232" s="230">
        <v>2010.0</v>
      </c>
      <c r="J232" s="192" t="s">
        <v>149</v>
      </c>
      <c r="K232" s="192" t="s">
        <v>149</v>
      </c>
      <c r="L232" s="153" t="s">
        <v>6062</v>
      </c>
      <c r="M232" s="153" t="s">
        <v>730</v>
      </c>
      <c r="N232" s="153" t="s">
        <v>179</v>
      </c>
      <c r="O232" s="158" t="s">
        <v>149</v>
      </c>
      <c r="P232" s="153" t="s">
        <v>738</v>
      </c>
      <c r="Q232" s="158" t="s">
        <v>160</v>
      </c>
      <c r="R232" s="158" t="s">
        <v>184</v>
      </c>
      <c r="S232" s="158" t="s">
        <v>159</v>
      </c>
      <c r="T232" s="158" t="s">
        <v>149</v>
      </c>
      <c r="U232" s="158" t="s">
        <v>149</v>
      </c>
      <c r="V232" s="158" t="s">
        <v>149</v>
      </c>
      <c r="W232" s="153" t="s">
        <v>739</v>
      </c>
      <c r="X232" s="158" t="s">
        <v>306</v>
      </c>
      <c r="Y232" s="153" t="s">
        <v>369</v>
      </c>
      <c r="Z232" s="153" t="s">
        <v>738</v>
      </c>
      <c r="AA232" s="153"/>
      <c r="AB232" s="158" t="s">
        <v>166</v>
      </c>
      <c r="AC232" s="153" t="s">
        <v>6998</v>
      </c>
      <c r="AD232" s="165" t="s">
        <v>741</v>
      </c>
      <c r="AE232" s="153"/>
      <c r="AF232" s="153"/>
      <c r="AG232" s="153"/>
    </row>
    <row r="233">
      <c r="A233" s="238">
        <v>2024.0</v>
      </c>
      <c r="B233" s="230">
        <v>236.0</v>
      </c>
      <c r="C233" s="153" t="s">
        <v>7897</v>
      </c>
      <c r="D233" s="153" t="s">
        <v>315</v>
      </c>
      <c r="E233" s="153" t="s">
        <v>316</v>
      </c>
      <c r="F233" s="153" t="s">
        <v>317</v>
      </c>
      <c r="G233" s="153" t="s">
        <v>736</v>
      </c>
      <c r="H233" s="153" t="s">
        <v>7001</v>
      </c>
      <c r="I233" s="230">
        <v>2011.0</v>
      </c>
      <c r="J233" s="192" t="s">
        <v>149</v>
      </c>
      <c r="K233" s="192" t="s">
        <v>149</v>
      </c>
      <c r="L233" s="153" t="s">
        <v>151</v>
      </c>
      <c r="M233" s="158" t="s">
        <v>149</v>
      </c>
      <c r="N233" s="158" t="s">
        <v>149</v>
      </c>
      <c r="O233" s="158" t="s">
        <v>149</v>
      </c>
      <c r="P233" s="153" t="s">
        <v>745</v>
      </c>
      <c r="Q233" s="158" t="s">
        <v>160</v>
      </c>
      <c r="R233" s="158" t="s">
        <v>184</v>
      </c>
      <c r="S233" s="158" t="s">
        <v>159</v>
      </c>
      <c r="T233" s="158" t="s">
        <v>149</v>
      </c>
      <c r="U233" s="158" t="s">
        <v>149</v>
      </c>
      <c r="V233" s="158" t="s">
        <v>149</v>
      </c>
      <c r="W233" s="153" t="s">
        <v>739</v>
      </c>
      <c r="X233" s="158" t="s">
        <v>306</v>
      </c>
      <c r="Y233" s="153" t="s">
        <v>369</v>
      </c>
      <c r="Z233" s="153"/>
      <c r="AA233" s="153"/>
      <c r="AB233" s="158" t="s">
        <v>166</v>
      </c>
      <c r="AC233" s="153" t="s">
        <v>6998</v>
      </c>
      <c r="AD233" s="165" t="s">
        <v>741</v>
      </c>
      <c r="AE233" s="153"/>
      <c r="AF233" s="153"/>
      <c r="AG233" s="153"/>
    </row>
    <row r="234">
      <c r="A234" s="238">
        <v>2024.0</v>
      </c>
      <c r="B234" s="230">
        <v>237.0</v>
      </c>
      <c r="C234" s="153" t="s">
        <v>7897</v>
      </c>
      <c r="D234" s="153" t="s">
        <v>315</v>
      </c>
      <c r="E234" s="153" t="s">
        <v>316</v>
      </c>
      <c r="F234" s="153" t="s">
        <v>317</v>
      </c>
      <c r="G234" s="158" t="s">
        <v>149</v>
      </c>
      <c r="H234" s="153" t="s">
        <v>6987</v>
      </c>
      <c r="I234" s="192" t="s">
        <v>149</v>
      </c>
      <c r="J234" s="192" t="s">
        <v>149</v>
      </c>
      <c r="K234" s="192" t="s">
        <v>149</v>
      </c>
      <c r="L234" s="153" t="s">
        <v>151</v>
      </c>
      <c r="M234" s="158" t="s">
        <v>337</v>
      </c>
      <c r="N234" s="153" t="s">
        <v>337</v>
      </c>
      <c r="O234" s="158" t="s">
        <v>149</v>
      </c>
      <c r="P234" s="153" t="s">
        <v>3103</v>
      </c>
      <c r="Q234" s="158" t="s">
        <v>160</v>
      </c>
      <c r="R234" s="158" t="s">
        <v>271</v>
      </c>
      <c r="S234" s="158" t="s">
        <v>159</v>
      </c>
      <c r="T234" s="158" t="s">
        <v>149</v>
      </c>
      <c r="U234" s="158" t="s">
        <v>149</v>
      </c>
      <c r="V234" s="153" t="s">
        <v>3104</v>
      </c>
      <c r="W234" s="153" t="s">
        <v>3103</v>
      </c>
      <c r="X234" s="153" t="s">
        <v>271</v>
      </c>
      <c r="Y234" s="153"/>
      <c r="Z234" s="153"/>
      <c r="AA234" s="153"/>
      <c r="AB234" s="153" t="s">
        <v>7003</v>
      </c>
      <c r="AC234" s="153" t="s">
        <v>3105</v>
      </c>
      <c r="AD234" s="165" t="s">
        <v>3106</v>
      </c>
      <c r="AE234" s="153"/>
      <c r="AF234" s="153"/>
      <c r="AG234" s="153"/>
    </row>
    <row r="235">
      <c r="A235" s="238">
        <v>2024.0</v>
      </c>
      <c r="B235" s="230">
        <v>238.0</v>
      </c>
      <c r="C235" s="153" t="s">
        <v>7897</v>
      </c>
      <c r="D235" s="153" t="s">
        <v>315</v>
      </c>
      <c r="E235" s="153" t="s">
        <v>316</v>
      </c>
      <c r="F235" s="153" t="s">
        <v>317</v>
      </c>
      <c r="G235" s="153" t="s">
        <v>318</v>
      </c>
      <c r="H235" s="153"/>
      <c r="I235" s="192" t="s">
        <v>149</v>
      </c>
      <c r="J235" s="192" t="s">
        <v>149</v>
      </c>
      <c r="K235" s="192" t="s">
        <v>149</v>
      </c>
      <c r="L235" s="153" t="s">
        <v>6062</v>
      </c>
      <c r="M235" s="158" t="s">
        <v>149</v>
      </c>
      <c r="N235" s="158" t="s">
        <v>149</v>
      </c>
      <c r="O235" s="158" t="s">
        <v>149</v>
      </c>
      <c r="P235" s="153" t="s">
        <v>321</v>
      </c>
      <c r="Q235" s="158" t="s">
        <v>160</v>
      </c>
      <c r="R235" s="158" t="s">
        <v>6035</v>
      </c>
      <c r="S235" s="158" t="s">
        <v>159</v>
      </c>
      <c r="T235" s="158" t="s">
        <v>149</v>
      </c>
      <c r="U235" s="158" t="s">
        <v>149</v>
      </c>
      <c r="V235" s="158" t="s">
        <v>149</v>
      </c>
      <c r="W235" s="153" t="s">
        <v>324</v>
      </c>
      <c r="X235" s="158" t="s">
        <v>271</v>
      </c>
      <c r="Y235" s="153" t="s">
        <v>325</v>
      </c>
      <c r="Z235" s="153" t="s">
        <v>326</v>
      </c>
      <c r="AA235" s="153"/>
      <c r="AB235" s="158" t="s">
        <v>166</v>
      </c>
      <c r="AC235" s="153" t="s">
        <v>327</v>
      </c>
      <c r="AD235" s="165" t="s">
        <v>328</v>
      </c>
      <c r="AE235" s="153"/>
      <c r="AF235" s="153"/>
      <c r="AG235" s="153"/>
    </row>
    <row r="236">
      <c r="A236" s="238">
        <v>2024.0</v>
      </c>
      <c r="B236" s="230">
        <v>239.0</v>
      </c>
      <c r="C236" s="153" t="s">
        <v>7897</v>
      </c>
      <c r="D236" s="153" t="s">
        <v>315</v>
      </c>
      <c r="E236" s="153" t="s">
        <v>316</v>
      </c>
      <c r="F236" s="153" t="s">
        <v>317</v>
      </c>
      <c r="G236" s="153" t="s">
        <v>850</v>
      </c>
      <c r="H236" s="153"/>
      <c r="I236" s="230">
        <v>2012.0</v>
      </c>
      <c r="J236" s="192" t="s">
        <v>149</v>
      </c>
      <c r="K236" s="192" t="s">
        <v>149</v>
      </c>
      <c r="L236" s="153" t="s">
        <v>151</v>
      </c>
      <c r="M236" s="158" t="s">
        <v>851</v>
      </c>
      <c r="N236" s="153" t="s">
        <v>851</v>
      </c>
      <c r="O236" s="158" t="s">
        <v>149</v>
      </c>
      <c r="P236" s="153" t="s">
        <v>852</v>
      </c>
      <c r="Q236" s="158" t="s">
        <v>160</v>
      </c>
      <c r="R236" s="158" t="s">
        <v>306</v>
      </c>
      <c r="S236" s="158" t="s">
        <v>159</v>
      </c>
      <c r="T236" s="158" t="s">
        <v>149</v>
      </c>
      <c r="U236" s="158" t="s">
        <v>149</v>
      </c>
      <c r="V236" s="188" t="s">
        <v>853</v>
      </c>
      <c r="W236" s="153" t="s">
        <v>326</v>
      </c>
      <c r="X236" s="158" t="s">
        <v>271</v>
      </c>
      <c r="Y236" s="153"/>
      <c r="Z236" s="153" t="s">
        <v>854</v>
      </c>
      <c r="AA236" s="153"/>
      <c r="AB236" s="158" t="s">
        <v>166</v>
      </c>
      <c r="AC236" s="153" t="s">
        <v>855</v>
      </c>
      <c r="AD236" s="153" t="s">
        <v>856</v>
      </c>
      <c r="AE236" s="153"/>
      <c r="AF236" s="153"/>
      <c r="AG236" s="153"/>
    </row>
    <row r="237">
      <c r="A237" s="238">
        <v>2024.0</v>
      </c>
      <c r="B237" s="230">
        <v>240.0</v>
      </c>
      <c r="C237" s="153" t="s">
        <v>7897</v>
      </c>
      <c r="D237" s="153" t="s">
        <v>315</v>
      </c>
      <c r="E237" s="153" t="s">
        <v>316</v>
      </c>
      <c r="F237" s="153" t="s">
        <v>317</v>
      </c>
      <c r="G237" s="153" t="s">
        <v>1174</v>
      </c>
      <c r="H237" s="153"/>
      <c r="I237" s="192" t="s">
        <v>149</v>
      </c>
      <c r="J237" s="230">
        <v>2012.0</v>
      </c>
      <c r="K237" s="230">
        <v>2013.0</v>
      </c>
      <c r="L237" s="153" t="s">
        <v>6062</v>
      </c>
      <c r="M237" s="153" t="s">
        <v>320</v>
      </c>
      <c r="N237" s="158" t="s">
        <v>179</v>
      </c>
      <c r="O237" s="158" t="s">
        <v>149</v>
      </c>
      <c r="P237" s="153" t="s">
        <v>321</v>
      </c>
      <c r="Q237" s="158" t="s">
        <v>160</v>
      </c>
      <c r="R237" s="158" t="s">
        <v>6035</v>
      </c>
      <c r="S237" s="158" t="s">
        <v>159</v>
      </c>
      <c r="T237" s="158" t="s">
        <v>149</v>
      </c>
      <c r="U237" s="158" t="s">
        <v>149</v>
      </c>
      <c r="V237" s="153" t="s">
        <v>1267</v>
      </c>
      <c r="W237" s="153" t="s">
        <v>885</v>
      </c>
      <c r="X237" s="158" t="s">
        <v>6068</v>
      </c>
      <c r="Y237" s="153"/>
      <c r="Z237" s="153" t="s">
        <v>1204</v>
      </c>
      <c r="AA237" s="153"/>
      <c r="AB237" s="158" t="s">
        <v>6069</v>
      </c>
      <c r="AC237" s="153" t="s">
        <v>1268</v>
      </c>
      <c r="AD237" s="153" t="s">
        <v>6070</v>
      </c>
      <c r="AE237" s="153"/>
      <c r="AF237" s="153"/>
      <c r="AG237" s="153"/>
    </row>
    <row r="238">
      <c r="A238" s="238">
        <v>2024.0</v>
      </c>
      <c r="B238" s="230">
        <v>241.0</v>
      </c>
      <c r="C238" s="153" t="s">
        <v>7897</v>
      </c>
      <c r="D238" s="153" t="s">
        <v>315</v>
      </c>
      <c r="E238" s="153" t="s">
        <v>3108</v>
      </c>
      <c r="F238" s="153" t="s">
        <v>3109</v>
      </c>
      <c r="G238" s="158" t="s">
        <v>149</v>
      </c>
      <c r="H238" s="153" t="s">
        <v>6972</v>
      </c>
      <c r="I238" s="230">
        <v>2017.0</v>
      </c>
      <c r="J238" s="158" t="s">
        <v>149</v>
      </c>
      <c r="K238" s="158" t="s">
        <v>149</v>
      </c>
      <c r="L238" s="153" t="s">
        <v>151</v>
      </c>
      <c r="M238" s="158" t="s">
        <v>149</v>
      </c>
      <c r="N238" s="158" t="s">
        <v>149</v>
      </c>
      <c r="O238" s="158" t="s">
        <v>149</v>
      </c>
      <c r="P238" s="153" t="s">
        <v>158</v>
      </c>
      <c r="Q238" s="158" t="s">
        <v>160</v>
      </c>
      <c r="R238" s="158" t="s">
        <v>6035</v>
      </c>
      <c r="S238" s="158" t="s">
        <v>159</v>
      </c>
      <c r="T238" s="158" t="s">
        <v>149</v>
      </c>
      <c r="U238" s="158" t="s">
        <v>149</v>
      </c>
      <c r="V238" s="158" t="s">
        <v>149</v>
      </c>
      <c r="W238" s="153" t="s">
        <v>158</v>
      </c>
      <c r="X238" s="153" t="s">
        <v>6035</v>
      </c>
      <c r="Y238" s="153"/>
      <c r="Z238" s="153"/>
      <c r="AA238" s="153"/>
      <c r="AB238" s="158" t="s">
        <v>166</v>
      </c>
      <c r="AC238" s="153" t="s">
        <v>3092</v>
      </c>
      <c r="AD238" s="172" t="s">
        <v>3093</v>
      </c>
      <c r="AE238" s="153"/>
      <c r="AF238" s="153"/>
      <c r="AG238" s="153"/>
    </row>
    <row r="239">
      <c r="A239" s="238">
        <v>2024.0</v>
      </c>
      <c r="B239" s="230">
        <v>242.0</v>
      </c>
      <c r="C239" s="153" t="s">
        <v>7897</v>
      </c>
      <c r="D239" s="153" t="s">
        <v>315</v>
      </c>
      <c r="E239" s="153" t="s">
        <v>3111</v>
      </c>
      <c r="F239" s="153" t="s">
        <v>3112</v>
      </c>
      <c r="G239" s="158" t="s">
        <v>149</v>
      </c>
      <c r="H239" s="153" t="s">
        <v>7015</v>
      </c>
      <c r="I239" s="158" t="s">
        <v>149</v>
      </c>
      <c r="J239" s="158" t="s">
        <v>149</v>
      </c>
      <c r="K239" s="158" t="s">
        <v>149</v>
      </c>
      <c r="L239" s="153" t="s">
        <v>151</v>
      </c>
      <c r="M239" s="153" t="s">
        <v>3113</v>
      </c>
      <c r="N239" s="158" t="s">
        <v>149</v>
      </c>
      <c r="O239" s="158" t="s">
        <v>149</v>
      </c>
      <c r="P239" s="158" t="s">
        <v>149</v>
      </c>
      <c r="Q239" s="158" t="s">
        <v>149</v>
      </c>
      <c r="R239" s="158" t="s">
        <v>149</v>
      </c>
      <c r="S239" s="158" t="s">
        <v>149</v>
      </c>
      <c r="T239" s="158" t="s">
        <v>149</v>
      </c>
      <c r="U239" s="158" t="s">
        <v>149</v>
      </c>
      <c r="V239" s="158" t="s">
        <v>149</v>
      </c>
      <c r="W239" s="158" t="s">
        <v>149</v>
      </c>
      <c r="X239" s="158" t="s">
        <v>149</v>
      </c>
      <c r="Y239" s="153"/>
      <c r="Z239" s="153"/>
      <c r="AA239" s="153"/>
      <c r="AB239" s="158" t="s">
        <v>1159</v>
      </c>
      <c r="AC239" s="153" t="s">
        <v>3098</v>
      </c>
      <c r="AD239" s="172" t="s">
        <v>3099</v>
      </c>
      <c r="AE239" s="153"/>
      <c r="AF239" s="153"/>
      <c r="AG239" s="153"/>
    </row>
    <row r="240">
      <c r="A240" s="238">
        <v>2024.0</v>
      </c>
      <c r="B240" s="230">
        <v>243.0</v>
      </c>
      <c r="C240" s="153" t="s">
        <v>7897</v>
      </c>
      <c r="D240" s="153" t="s">
        <v>315</v>
      </c>
      <c r="E240" s="153" t="s">
        <v>3115</v>
      </c>
      <c r="F240" s="153" t="s">
        <v>3116</v>
      </c>
      <c r="G240" s="158" t="s">
        <v>149</v>
      </c>
      <c r="H240" s="153" t="s">
        <v>7019</v>
      </c>
      <c r="I240" s="230">
        <v>2017.0</v>
      </c>
      <c r="J240" s="158" t="s">
        <v>149</v>
      </c>
      <c r="K240" s="158" t="s">
        <v>149</v>
      </c>
      <c r="L240" s="153" t="s">
        <v>151</v>
      </c>
      <c r="M240" s="158" t="s">
        <v>149</v>
      </c>
      <c r="N240" s="158" t="s">
        <v>149</v>
      </c>
      <c r="O240" s="158" t="s">
        <v>149</v>
      </c>
      <c r="P240" s="153" t="s">
        <v>158</v>
      </c>
      <c r="Q240" s="158" t="s">
        <v>160</v>
      </c>
      <c r="R240" s="158" t="s">
        <v>6035</v>
      </c>
      <c r="S240" s="158" t="s">
        <v>159</v>
      </c>
      <c r="T240" s="158" t="s">
        <v>149</v>
      </c>
      <c r="U240" s="158" t="s">
        <v>149</v>
      </c>
      <c r="V240" s="158" t="s">
        <v>149</v>
      </c>
      <c r="W240" s="153" t="s">
        <v>158</v>
      </c>
      <c r="X240" s="153" t="s">
        <v>6035</v>
      </c>
      <c r="Y240" s="153"/>
      <c r="Z240" s="153"/>
      <c r="AA240" s="153"/>
      <c r="AB240" s="158" t="s">
        <v>166</v>
      </c>
      <c r="AC240" s="153" t="s">
        <v>3092</v>
      </c>
      <c r="AD240" s="172" t="s">
        <v>3093</v>
      </c>
      <c r="AE240" s="153"/>
      <c r="AF240" s="153"/>
      <c r="AG240" s="153"/>
    </row>
    <row r="241">
      <c r="A241" s="238">
        <v>2024.0</v>
      </c>
      <c r="B241" s="230">
        <v>244.0</v>
      </c>
      <c r="C241" s="153" t="s">
        <v>7897</v>
      </c>
      <c r="D241" s="153" t="s">
        <v>315</v>
      </c>
      <c r="E241" s="153" t="s">
        <v>1199</v>
      </c>
      <c r="F241" s="153" t="s">
        <v>1200</v>
      </c>
      <c r="G241" s="158" t="s">
        <v>149</v>
      </c>
      <c r="H241" s="153" t="s">
        <v>6990</v>
      </c>
      <c r="I241" s="230">
        <v>2003.0</v>
      </c>
      <c r="J241" s="158" t="s">
        <v>149</v>
      </c>
      <c r="K241" s="158" t="s">
        <v>149</v>
      </c>
      <c r="L241" s="153" t="s">
        <v>151</v>
      </c>
      <c r="M241" s="158" t="s">
        <v>3119</v>
      </c>
      <c r="N241" s="158" t="s">
        <v>149</v>
      </c>
      <c r="O241" s="158" t="s">
        <v>149</v>
      </c>
      <c r="P241" s="158" t="s">
        <v>149</v>
      </c>
      <c r="Q241" s="158" t="s">
        <v>149</v>
      </c>
      <c r="R241" s="158" t="s">
        <v>149</v>
      </c>
      <c r="S241" s="158" t="s">
        <v>149</v>
      </c>
      <c r="T241" s="158" t="s">
        <v>149</v>
      </c>
      <c r="U241" s="158" t="s">
        <v>149</v>
      </c>
      <c r="V241" s="153" t="s">
        <v>3120</v>
      </c>
      <c r="W241" s="158" t="s">
        <v>149</v>
      </c>
      <c r="X241" s="158" t="s">
        <v>149</v>
      </c>
      <c r="Y241" s="153"/>
      <c r="Z241" s="153"/>
      <c r="AA241" s="153"/>
      <c r="AB241" s="158" t="s">
        <v>1159</v>
      </c>
      <c r="AC241" s="153" t="s">
        <v>3098</v>
      </c>
      <c r="AD241" s="165" t="s">
        <v>3099</v>
      </c>
      <c r="AE241" s="153"/>
      <c r="AF241" s="153"/>
      <c r="AG241" s="153"/>
    </row>
    <row r="242">
      <c r="A242" s="238">
        <v>2024.0</v>
      </c>
      <c r="B242" s="230">
        <v>245.0</v>
      </c>
      <c r="C242" s="153" t="s">
        <v>7897</v>
      </c>
      <c r="D242" s="153" t="s">
        <v>315</v>
      </c>
      <c r="E242" s="153" t="s">
        <v>1199</v>
      </c>
      <c r="F242" s="153" t="s">
        <v>1200</v>
      </c>
      <c r="G242" s="153" t="s">
        <v>2237</v>
      </c>
      <c r="H242" s="153"/>
      <c r="I242" s="192" t="s">
        <v>149</v>
      </c>
      <c r="J242" s="192" t="s">
        <v>149</v>
      </c>
      <c r="K242" s="192" t="s">
        <v>149</v>
      </c>
      <c r="L242" s="153" t="s">
        <v>6624</v>
      </c>
      <c r="M242" s="153" t="s">
        <v>179</v>
      </c>
      <c r="N242" s="153" t="s">
        <v>179</v>
      </c>
      <c r="O242" s="153" t="s">
        <v>2238</v>
      </c>
      <c r="P242" s="158" t="s">
        <v>149</v>
      </c>
      <c r="Q242" s="158" t="s">
        <v>149</v>
      </c>
      <c r="R242" s="158" t="s">
        <v>149</v>
      </c>
      <c r="S242" s="158" t="s">
        <v>149</v>
      </c>
      <c r="T242" s="158" t="s">
        <v>149</v>
      </c>
      <c r="U242" s="153" t="s">
        <v>2239</v>
      </c>
      <c r="V242" s="153" t="s">
        <v>2240</v>
      </c>
      <c r="W242" s="158" t="s">
        <v>369</v>
      </c>
      <c r="X242" s="153" t="s">
        <v>6035</v>
      </c>
      <c r="Y242" s="158" t="s">
        <v>390</v>
      </c>
      <c r="Z242" s="153"/>
      <c r="AA242" s="153"/>
      <c r="AB242" s="158" t="s">
        <v>1159</v>
      </c>
      <c r="AC242" s="153" t="s">
        <v>2241</v>
      </c>
      <c r="AD242" s="153" t="s">
        <v>7005</v>
      </c>
      <c r="AE242" s="153"/>
      <c r="AF242" s="153"/>
      <c r="AG242" s="153"/>
    </row>
    <row r="243">
      <c r="A243" s="238">
        <v>2024.0</v>
      </c>
      <c r="B243" s="230">
        <v>246.0</v>
      </c>
      <c r="C243" s="153" t="s">
        <v>7897</v>
      </c>
      <c r="D243" s="153" t="s">
        <v>315</v>
      </c>
      <c r="E243" s="153" t="s">
        <v>1199</v>
      </c>
      <c r="F243" s="153" t="s">
        <v>1200</v>
      </c>
      <c r="G243" s="153" t="s">
        <v>1174</v>
      </c>
      <c r="H243" s="153"/>
      <c r="I243" s="192">
        <v>2013.0</v>
      </c>
      <c r="J243" s="230">
        <v>2012.0</v>
      </c>
      <c r="K243" s="230">
        <v>2013.0</v>
      </c>
      <c r="L243" s="153" t="s">
        <v>6062</v>
      </c>
      <c r="M243" s="153" t="s">
        <v>1201</v>
      </c>
      <c r="N243" s="158" t="s">
        <v>179</v>
      </c>
      <c r="O243" s="153" t="s">
        <v>1202</v>
      </c>
      <c r="P243" s="153" t="s">
        <v>321</v>
      </c>
      <c r="Q243" s="158" t="s">
        <v>160</v>
      </c>
      <c r="R243" s="158" t="s">
        <v>6035</v>
      </c>
      <c r="S243" s="158" t="s">
        <v>204</v>
      </c>
      <c r="T243" s="158" t="s">
        <v>149</v>
      </c>
      <c r="U243" s="158" t="s">
        <v>149</v>
      </c>
      <c r="V243" s="153" t="s">
        <v>1203</v>
      </c>
      <c r="W243" s="153" t="s">
        <v>885</v>
      </c>
      <c r="X243" s="158" t="s">
        <v>6068</v>
      </c>
      <c r="Y243" s="153" t="s">
        <v>1204</v>
      </c>
      <c r="Z243" s="153"/>
      <c r="AA243" s="153"/>
      <c r="AB243" s="158" t="s">
        <v>6069</v>
      </c>
      <c r="AC243" s="153" t="s">
        <v>1205</v>
      </c>
      <c r="AD243" s="153" t="s">
        <v>6070</v>
      </c>
      <c r="AE243" s="153"/>
      <c r="AF243" s="153"/>
      <c r="AG243" s="153"/>
    </row>
    <row r="244">
      <c r="A244" s="238">
        <v>2024.0</v>
      </c>
      <c r="B244" s="230">
        <v>247.0</v>
      </c>
      <c r="C244" s="153" t="s">
        <v>7897</v>
      </c>
      <c r="D244" s="153" t="s">
        <v>858</v>
      </c>
      <c r="E244" s="153" t="s">
        <v>1296</v>
      </c>
      <c r="F244" s="153" t="s">
        <v>1297</v>
      </c>
      <c r="G244" s="153" t="s">
        <v>1174</v>
      </c>
      <c r="H244" s="153"/>
      <c r="I244" s="192">
        <v>2013.0</v>
      </c>
      <c r="J244" s="230">
        <v>2012.0</v>
      </c>
      <c r="K244" s="230">
        <v>2013.0</v>
      </c>
      <c r="L244" s="153" t="s">
        <v>6062</v>
      </c>
      <c r="M244" s="153" t="s">
        <v>1201</v>
      </c>
      <c r="N244" s="158" t="s">
        <v>179</v>
      </c>
      <c r="O244" s="158" t="s">
        <v>149</v>
      </c>
      <c r="P244" s="153" t="s">
        <v>321</v>
      </c>
      <c r="Q244" s="158" t="s">
        <v>160</v>
      </c>
      <c r="R244" s="158" t="s">
        <v>6035</v>
      </c>
      <c r="S244" s="158" t="s">
        <v>204</v>
      </c>
      <c r="T244" s="158" t="s">
        <v>149</v>
      </c>
      <c r="U244" s="158" t="s">
        <v>149</v>
      </c>
      <c r="V244" s="153" t="s">
        <v>1298</v>
      </c>
      <c r="W244" s="153" t="s">
        <v>885</v>
      </c>
      <c r="X244" s="158" t="s">
        <v>6068</v>
      </c>
      <c r="Y244" s="153" t="s">
        <v>1299</v>
      </c>
      <c r="Z244" s="153"/>
      <c r="AA244" s="153"/>
      <c r="AB244" s="158" t="s">
        <v>6069</v>
      </c>
      <c r="AC244" s="153" t="s">
        <v>1300</v>
      </c>
      <c r="AD244" s="153" t="s">
        <v>7029</v>
      </c>
      <c r="AE244" s="153"/>
      <c r="AF244" s="153"/>
      <c r="AG244" s="153"/>
    </row>
    <row r="245">
      <c r="A245" s="238">
        <v>2024.0</v>
      </c>
      <c r="B245" s="230">
        <v>248.0</v>
      </c>
      <c r="C245" s="153" t="s">
        <v>7897</v>
      </c>
      <c r="D245" s="153" t="s">
        <v>858</v>
      </c>
      <c r="E245" s="153" t="s">
        <v>1296</v>
      </c>
      <c r="F245" s="153" t="s">
        <v>1297</v>
      </c>
      <c r="G245" s="153" t="s">
        <v>6587</v>
      </c>
      <c r="H245" s="153"/>
      <c r="I245" s="230">
        <v>2016.0</v>
      </c>
      <c r="J245" s="192" t="s">
        <v>149</v>
      </c>
      <c r="K245" s="192" t="s">
        <v>149</v>
      </c>
      <c r="L245" s="158" t="s">
        <v>149</v>
      </c>
      <c r="M245" s="158" t="s">
        <v>149</v>
      </c>
      <c r="N245" s="158" t="s">
        <v>149</v>
      </c>
      <c r="O245" s="153" t="s">
        <v>2147</v>
      </c>
      <c r="P245" s="158" t="s">
        <v>341</v>
      </c>
      <c r="Q245" s="158" t="s">
        <v>160</v>
      </c>
      <c r="R245" s="158" t="s">
        <v>6035</v>
      </c>
      <c r="S245" s="158" t="s">
        <v>159</v>
      </c>
      <c r="T245" s="158" t="s">
        <v>149</v>
      </c>
      <c r="U245" s="158" t="s">
        <v>149</v>
      </c>
      <c r="V245" s="158" t="s">
        <v>149</v>
      </c>
      <c r="W245" s="153" t="s">
        <v>341</v>
      </c>
      <c r="X245" s="153" t="s">
        <v>6035</v>
      </c>
      <c r="Y245" s="153"/>
      <c r="Z245" s="153"/>
      <c r="AA245" s="153"/>
      <c r="AB245" s="153" t="s">
        <v>6038</v>
      </c>
      <c r="AC245" s="153" t="s">
        <v>2148</v>
      </c>
      <c r="AD245" s="165" t="s">
        <v>2149</v>
      </c>
      <c r="AE245" s="239"/>
      <c r="AF245" s="153"/>
      <c r="AG245" s="153"/>
    </row>
    <row r="246">
      <c r="A246" s="238">
        <v>2024.0</v>
      </c>
      <c r="B246" s="230">
        <v>249.0</v>
      </c>
      <c r="C246" s="153" t="s">
        <v>7897</v>
      </c>
      <c r="D246" s="153" t="s">
        <v>858</v>
      </c>
      <c r="E246" s="153" t="s">
        <v>3122</v>
      </c>
      <c r="F246" s="153" t="s">
        <v>3123</v>
      </c>
      <c r="G246" s="158" t="s">
        <v>149</v>
      </c>
      <c r="H246" s="153"/>
      <c r="I246" s="230">
        <v>2015.0</v>
      </c>
      <c r="J246" s="192" t="s">
        <v>149</v>
      </c>
      <c r="K246" s="192" t="s">
        <v>149</v>
      </c>
      <c r="L246" s="153" t="s">
        <v>151</v>
      </c>
      <c r="M246" s="153" t="s">
        <v>7036</v>
      </c>
      <c r="N246" s="158" t="s">
        <v>790</v>
      </c>
      <c r="O246" s="158" t="s">
        <v>149</v>
      </c>
      <c r="P246" s="153" t="s">
        <v>3124</v>
      </c>
      <c r="Q246" s="158" t="s">
        <v>160</v>
      </c>
      <c r="R246" s="158" t="s">
        <v>6035</v>
      </c>
      <c r="S246" s="158" t="s">
        <v>159</v>
      </c>
      <c r="T246" s="158" t="s">
        <v>149</v>
      </c>
      <c r="U246" s="158" t="s">
        <v>149</v>
      </c>
      <c r="V246" s="158" t="s">
        <v>149</v>
      </c>
      <c r="W246" s="153" t="s">
        <v>3124</v>
      </c>
      <c r="X246" s="153" t="s">
        <v>6035</v>
      </c>
      <c r="Y246" s="153" t="s">
        <v>7037</v>
      </c>
      <c r="Z246" s="153"/>
      <c r="AA246" s="153"/>
      <c r="AB246" s="153" t="s">
        <v>6038</v>
      </c>
      <c r="AC246" s="153" t="s">
        <v>3127</v>
      </c>
      <c r="AD246" s="177" t="s">
        <v>3128</v>
      </c>
      <c r="AE246" s="239"/>
      <c r="AF246" s="153"/>
      <c r="AG246" s="153"/>
    </row>
    <row r="247">
      <c r="A247" s="238">
        <v>2024.0</v>
      </c>
      <c r="B247" s="230">
        <v>250.0</v>
      </c>
      <c r="C247" s="153" t="s">
        <v>7897</v>
      </c>
      <c r="D247" s="153" t="s">
        <v>858</v>
      </c>
      <c r="E247" s="153" t="s">
        <v>2660</v>
      </c>
      <c r="F247" s="153" t="s">
        <v>2661</v>
      </c>
      <c r="G247" s="158" t="s">
        <v>149</v>
      </c>
      <c r="H247" s="153" t="s">
        <v>2662</v>
      </c>
      <c r="I247" s="230">
        <v>2022.0</v>
      </c>
      <c r="J247" s="192" t="s">
        <v>149</v>
      </c>
      <c r="K247" s="192" t="s">
        <v>149</v>
      </c>
      <c r="L247" s="153" t="s">
        <v>151</v>
      </c>
      <c r="M247" s="153" t="s">
        <v>7040</v>
      </c>
      <c r="N247" s="158" t="s">
        <v>337</v>
      </c>
      <c r="O247" s="153" t="s">
        <v>2663</v>
      </c>
      <c r="P247" s="153" t="s">
        <v>2664</v>
      </c>
      <c r="Q247" s="158" t="s">
        <v>160</v>
      </c>
      <c r="R247" s="158" t="s">
        <v>184</v>
      </c>
      <c r="S247" s="158" t="s">
        <v>159</v>
      </c>
      <c r="T247" s="158" t="s">
        <v>149</v>
      </c>
      <c r="U247" s="158" t="s">
        <v>149</v>
      </c>
      <c r="V247" s="158" t="s">
        <v>149</v>
      </c>
      <c r="W247" s="153" t="s">
        <v>2664</v>
      </c>
      <c r="X247" s="158" t="s">
        <v>184</v>
      </c>
      <c r="Y247" s="153"/>
      <c r="Z247" s="153"/>
      <c r="AA247" s="153"/>
      <c r="AB247" s="158" t="s">
        <v>166</v>
      </c>
      <c r="AC247" s="153" t="s">
        <v>2665</v>
      </c>
      <c r="AD247" s="172" t="s">
        <v>2666</v>
      </c>
      <c r="AE247" s="239"/>
      <c r="AF247" s="153"/>
      <c r="AG247" s="153"/>
    </row>
    <row r="248">
      <c r="A248" s="238">
        <v>2024.0</v>
      </c>
      <c r="B248" s="230">
        <v>251.0</v>
      </c>
      <c r="C248" s="153" t="s">
        <v>7897</v>
      </c>
      <c r="D248" s="153" t="s">
        <v>858</v>
      </c>
      <c r="E248" s="153" t="s">
        <v>859</v>
      </c>
      <c r="F248" s="153" t="s">
        <v>860</v>
      </c>
      <c r="G248" s="153" t="s">
        <v>861</v>
      </c>
      <c r="H248" s="153"/>
      <c r="I248" s="230">
        <v>1994.0</v>
      </c>
      <c r="J248" s="192" t="s">
        <v>149</v>
      </c>
      <c r="K248" s="192" t="s">
        <v>149</v>
      </c>
      <c r="L248" s="153" t="s">
        <v>151</v>
      </c>
      <c r="M248" s="153" t="s">
        <v>3393</v>
      </c>
      <c r="N248" s="158" t="s">
        <v>3393</v>
      </c>
      <c r="O248" s="153" t="s">
        <v>866</v>
      </c>
      <c r="P248" s="158" t="s">
        <v>149</v>
      </c>
      <c r="Q248" s="158" t="s">
        <v>149</v>
      </c>
      <c r="R248" s="158" t="s">
        <v>149</v>
      </c>
      <c r="S248" s="158" t="s">
        <v>149</v>
      </c>
      <c r="T248" s="158" t="s">
        <v>149</v>
      </c>
      <c r="U248" s="158" t="s">
        <v>149</v>
      </c>
      <c r="V248" s="153" t="s">
        <v>867</v>
      </c>
      <c r="W248" s="153" t="s">
        <v>868</v>
      </c>
      <c r="X248" s="158" t="s">
        <v>869</v>
      </c>
      <c r="Y248" s="153"/>
      <c r="Z248" s="153"/>
      <c r="AA248" s="153"/>
      <c r="AB248" s="158" t="s">
        <v>395</v>
      </c>
      <c r="AC248" s="153" t="s">
        <v>6060</v>
      </c>
      <c r="AD248" s="153" t="s">
        <v>2873</v>
      </c>
      <c r="AE248" s="153" t="s">
        <v>398</v>
      </c>
      <c r="AF248" s="153"/>
      <c r="AG248" s="153"/>
    </row>
    <row r="249">
      <c r="A249" s="238">
        <v>2024.0</v>
      </c>
      <c r="B249" s="230">
        <v>252.0</v>
      </c>
      <c r="C249" s="153" t="s">
        <v>7897</v>
      </c>
      <c r="D249" s="153" t="s">
        <v>1364</v>
      </c>
      <c r="E249" s="153" t="s">
        <v>3917</v>
      </c>
      <c r="F249" s="153" t="s">
        <v>3131</v>
      </c>
      <c r="G249" s="158" t="s">
        <v>149</v>
      </c>
      <c r="H249" s="153" t="s">
        <v>7017</v>
      </c>
      <c r="I249" s="192" t="s">
        <v>149</v>
      </c>
      <c r="J249" s="192" t="s">
        <v>149</v>
      </c>
      <c r="K249" s="192" t="s">
        <v>149</v>
      </c>
      <c r="L249" s="153" t="s">
        <v>151</v>
      </c>
      <c r="M249" s="153" t="s">
        <v>790</v>
      </c>
      <c r="N249" s="158" t="s">
        <v>790</v>
      </c>
      <c r="O249" s="158" t="s">
        <v>149</v>
      </c>
      <c r="P249" s="153" t="s">
        <v>390</v>
      </c>
      <c r="Q249" s="158" t="s">
        <v>160</v>
      </c>
      <c r="R249" s="158" t="s">
        <v>6035</v>
      </c>
      <c r="S249" s="158" t="s">
        <v>159</v>
      </c>
      <c r="T249" s="158" t="s">
        <v>149</v>
      </c>
      <c r="U249" s="158" t="s">
        <v>149</v>
      </c>
      <c r="V249" s="153" t="s">
        <v>3133</v>
      </c>
      <c r="W249" s="153" t="s">
        <v>228</v>
      </c>
      <c r="X249" s="153" t="s">
        <v>6035</v>
      </c>
      <c r="Y249" s="153"/>
      <c r="Z249" s="153"/>
      <c r="AA249" s="153"/>
      <c r="AB249" s="158" t="s">
        <v>6027</v>
      </c>
      <c r="AC249" s="153" t="s">
        <v>3134</v>
      </c>
      <c r="AD249" s="165" t="s">
        <v>3135</v>
      </c>
      <c r="AE249" s="153"/>
      <c r="AF249" s="153"/>
      <c r="AG249" s="153"/>
    </row>
    <row r="250">
      <c r="A250" s="238">
        <v>2024.0</v>
      </c>
      <c r="B250" s="230">
        <v>253.0</v>
      </c>
      <c r="C250" s="153" t="s">
        <v>7897</v>
      </c>
      <c r="D250" s="153" t="s">
        <v>1364</v>
      </c>
      <c r="E250" s="153" t="s">
        <v>7048</v>
      </c>
      <c r="F250" s="153" t="s">
        <v>1366</v>
      </c>
      <c r="G250" s="158" t="s">
        <v>1367</v>
      </c>
      <c r="H250" s="153" t="s">
        <v>7049</v>
      </c>
      <c r="I250" s="158" t="s">
        <v>149</v>
      </c>
      <c r="J250" s="192">
        <v>1999.0</v>
      </c>
      <c r="K250" s="192">
        <v>2005.0</v>
      </c>
      <c r="L250" s="153" t="s">
        <v>151</v>
      </c>
      <c r="M250" s="158" t="s">
        <v>911</v>
      </c>
      <c r="N250" s="158" t="s">
        <v>152</v>
      </c>
      <c r="O250" s="153" t="s">
        <v>1369</v>
      </c>
      <c r="P250" s="158" t="s">
        <v>1370</v>
      </c>
      <c r="Q250" s="158" t="s">
        <v>6154</v>
      </c>
      <c r="R250" s="158" t="s">
        <v>206</v>
      </c>
      <c r="S250" s="158" t="s">
        <v>159</v>
      </c>
      <c r="T250" s="158" t="s">
        <v>149</v>
      </c>
      <c r="U250" s="158" t="s">
        <v>149</v>
      </c>
      <c r="V250" s="153" t="s">
        <v>1371</v>
      </c>
      <c r="W250" s="158" t="s">
        <v>390</v>
      </c>
      <c r="X250" s="158" t="s">
        <v>6035</v>
      </c>
      <c r="Y250" s="153"/>
      <c r="Z250" s="153"/>
      <c r="AA250" s="153"/>
      <c r="AB250" s="158" t="s">
        <v>6214</v>
      </c>
      <c r="AC250" s="153" t="s">
        <v>1372</v>
      </c>
      <c r="AD250" s="172" t="s">
        <v>1373</v>
      </c>
      <c r="AE250" s="153"/>
      <c r="AF250" s="153"/>
      <c r="AG250" s="153"/>
    </row>
    <row r="251">
      <c r="A251" s="238">
        <v>2024.0</v>
      </c>
      <c r="B251" s="230">
        <v>254.0</v>
      </c>
      <c r="C251" s="153" t="s">
        <v>7897</v>
      </c>
      <c r="D251" s="153" t="s">
        <v>558</v>
      </c>
      <c r="E251" s="153" t="s">
        <v>1604</v>
      </c>
      <c r="F251" s="153" t="s">
        <v>1605</v>
      </c>
      <c r="G251" s="153" t="s">
        <v>6742</v>
      </c>
      <c r="H251" s="153"/>
      <c r="I251" s="230">
        <v>2004.0</v>
      </c>
      <c r="J251" s="192" t="s">
        <v>149</v>
      </c>
      <c r="K251" s="192" t="s">
        <v>149</v>
      </c>
      <c r="L251" s="153" t="s">
        <v>151</v>
      </c>
      <c r="M251" s="158" t="s">
        <v>149</v>
      </c>
      <c r="N251" s="158" t="s">
        <v>149</v>
      </c>
      <c r="O251" s="153" t="s">
        <v>793</v>
      </c>
      <c r="P251" s="153" t="s">
        <v>1594</v>
      </c>
      <c r="Q251" s="158" t="s">
        <v>160</v>
      </c>
      <c r="R251" s="158" t="s">
        <v>6035</v>
      </c>
      <c r="S251" s="158" t="s">
        <v>159</v>
      </c>
      <c r="T251" s="158" t="s">
        <v>149</v>
      </c>
      <c r="U251" s="158" t="s">
        <v>149</v>
      </c>
      <c r="V251" s="153" t="s">
        <v>1606</v>
      </c>
      <c r="W251" s="158" t="s">
        <v>369</v>
      </c>
      <c r="X251" s="153" t="s">
        <v>6035</v>
      </c>
      <c r="Y251" s="153"/>
      <c r="Z251" s="153"/>
      <c r="AA251" s="153" t="s">
        <v>1607</v>
      </c>
      <c r="AB251" s="153" t="s">
        <v>6976</v>
      </c>
      <c r="AC251" s="153" t="s">
        <v>1608</v>
      </c>
      <c r="AD251" s="165" t="s">
        <v>1609</v>
      </c>
      <c r="AE251" s="153"/>
      <c r="AF251" s="153"/>
      <c r="AG251" s="153"/>
    </row>
    <row r="252">
      <c r="A252" s="238">
        <v>2024.0</v>
      </c>
      <c r="B252" s="230">
        <v>255.0</v>
      </c>
      <c r="C252" s="153" t="s">
        <v>7897</v>
      </c>
      <c r="D252" s="153" t="s">
        <v>558</v>
      </c>
      <c r="E252" s="153" t="s">
        <v>1604</v>
      </c>
      <c r="F252" s="153" t="s">
        <v>1605</v>
      </c>
      <c r="G252" s="158" t="s">
        <v>149</v>
      </c>
      <c r="H252" s="153" t="s">
        <v>2331</v>
      </c>
      <c r="I252" s="230">
        <v>2014.0</v>
      </c>
      <c r="J252" s="192" t="s">
        <v>149</v>
      </c>
      <c r="K252" s="192" t="s">
        <v>149</v>
      </c>
      <c r="L252" s="153" t="s">
        <v>6624</v>
      </c>
      <c r="M252" s="153" t="s">
        <v>730</v>
      </c>
      <c r="N252" s="158" t="s">
        <v>179</v>
      </c>
      <c r="O252" s="153" t="s">
        <v>1923</v>
      </c>
      <c r="P252" s="153" t="s">
        <v>2332</v>
      </c>
      <c r="Q252" s="158" t="s">
        <v>6154</v>
      </c>
      <c r="R252" s="158" t="s">
        <v>306</v>
      </c>
      <c r="S252" s="158" t="s">
        <v>159</v>
      </c>
      <c r="T252" s="158" t="s">
        <v>149</v>
      </c>
      <c r="U252" s="158" t="s">
        <v>149</v>
      </c>
      <c r="V252" s="153" t="s">
        <v>7055</v>
      </c>
      <c r="W252" s="153" t="s">
        <v>2332</v>
      </c>
      <c r="X252" s="153" t="s">
        <v>306</v>
      </c>
      <c r="Y252" s="153" t="s">
        <v>2334</v>
      </c>
      <c r="Z252" s="153"/>
      <c r="AA252" s="153"/>
      <c r="AB252" s="158" t="s">
        <v>6084</v>
      </c>
      <c r="AC252" s="153" t="s">
        <v>2335</v>
      </c>
      <c r="AD252" s="165" t="s">
        <v>2336</v>
      </c>
      <c r="AE252" s="153"/>
      <c r="AF252" s="153"/>
      <c r="AG252" s="153"/>
    </row>
    <row r="253">
      <c r="A253" s="238">
        <v>2024.0</v>
      </c>
      <c r="B253" s="230">
        <v>256.0</v>
      </c>
      <c r="C253" s="153" t="s">
        <v>7897</v>
      </c>
      <c r="D253" s="153" t="s">
        <v>558</v>
      </c>
      <c r="E253" s="153" t="s">
        <v>1604</v>
      </c>
      <c r="F253" s="153" t="s">
        <v>1605</v>
      </c>
      <c r="G253" s="158" t="s">
        <v>149</v>
      </c>
      <c r="H253" s="153"/>
      <c r="I253" s="230">
        <v>1995.0</v>
      </c>
      <c r="J253" s="192" t="s">
        <v>149</v>
      </c>
      <c r="K253" s="192" t="s">
        <v>149</v>
      </c>
      <c r="L253" s="153" t="s">
        <v>151</v>
      </c>
      <c r="M253" s="158" t="s">
        <v>149</v>
      </c>
      <c r="N253" s="158" t="s">
        <v>149</v>
      </c>
      <c r="O253" s="153" t="s">
        <v>793</v>
      </c>
      <c r="P253" s="153" t="s">
        <v>158</v>
      </c>
      <c r="Q253" s="158" t="s">
        <v>160</v>
      </c>
      <c r="R253" s="158" t="s">
        <v>6035</v>
      </c>
      <c r="S253" s="158" t="s">
        <v>159</v>
      </c>
      <c r="T253" s="158" t="s">
        <v>149</v>
      </c>
      <c r="U253" s="158" t="s">
        <v>149</v>
      </c>
      <c r="V253" s="153" t="s">
        <v>2674</v>
      </c>
      <c r="W253" s="153" t="s">
        <v>158</v>
      </c>
      <c r="X253" s="153" t="s">
        <v>6035</v>
      </c>
      <c r="Y253" s="153"/>
      <c r="Z253" s="153"/>
      <c r="AA253" s="153"/>
      <c r="AB253" s="158" t="s">
        <v>395</v>
      </c>
      <c r="AC253" s="153" t="s">
        <v>2675</v>
      </c>
      <c r="AD253" s="165" t="s">
        <v>2676</v>
      </c>
      <c r="AE253" s="153"/>
      <c r="AF253" s="153"/>
      <c r="AG253" s="153"/>
    </row>
    <row r="254">
      <c r="A254" s="238">
        <v>2024.0</v>
      </c>
      <c r="B254" s="230">
        <v>257.0</v>
      </c>
      <c r="C254" s="153" t="s">
        <v>7897</v>
      </c>
      <c r="D254" s="153" t="s">
        <v>558</v>
      </c>
      <c r="E254" s="153" t="s">
        <v>1616</v>
      </c>
      <c r="F254" s="153" t="s">
        <v>1617</v>
      </c>
      <c r="G254" s="153" t="s">
        <v>6742</v>
      </c>
      <c r="H254" s="153" t="s">
        <v>1618</v>
      </c>
      <c r="I254" s="192" t="s">
        <v>149</v>
      </c>
      <c r="J254" s="192" t="s">
        <v>149</v>
      </c>
      <c r="K254" s="192" t="s">
        <v>149</v>
      </c>
      <c r="L254" s="153" t="s">
        <v>151</v>
      </c>
      <c r="M254" s="158" t="s">
        <v>149</v>
      </c>
      <c r="N254" s="158" t="s">
        <v>149</v>
      </c>
      <c r="O254" s="158" t="s">
        <v>149</v>
      </c>
      <c r="P254" s="153" t="s">
        <v>1594</v>
      </c>
      <c r="Q254" s="158" t="s">
        <v>160</v>
      </c>
      <c r="R254" s="158" t="s">
        <v>6035</v>
      </c>
      <c r="S254" s="158" t="s">
        <v>159</v>
      </c>
      <c r="T254" s="158" t="s">
        <v>149</v>
      </c>
      <c r="U254" s="158" t="s">
        <v>149</v>
      </c>
      <c r="V254" s="158" t="s">
        <v>149</v>
      </c>
      <c r="W254" s="153" t="s">
        <v>369</v>
      </c>
      <c r="X254" s="153" t="s">
        <v>6035</v>
      </c>
      <c r="Y254" s="153"/>
      <c r="Z254" s="153"/>
      <c r="AA254" s="153"/>
      <c r="AB254" s="153" t="s">
        <v>6084</v>
      </c>
      <c r="AC254" s="153" t="s">
        <v>7061</v>
      </c>
      <c r="AD254" s="165" t="s">
        <v>1620</v>
      </c>
      <c r="AE254" s="153"/>
      <c r="AF254" s="153"/>
      <c r="AG254" s="153"/>
    </row>
    <row r="255">
      <c r="A255" s="238">
        <v>2024.0</v>
      </c>
      <c r="B255" s="230">
        <v>258.0</v>
      </c>
      <c r="C255" s="153" t="s">
        <v>7897</v>
      </c>
      <c r="D255" s="153" t="s">
        <v>558</v>
      </c>
      <c r="E255" s="153" t="s">
        <v>3137</v>
      </c>
      <c r="F255" s="153" t="s">
        <v>3138</v>
      </c>
      <c r="G255" s="158" t="s">
        <v>149</v>
      </c>
      <c r="H255" s="153" t="s">
        <v>7031</v>
      </c>
      <c r="I255" s="192" t="s">
        <v>149</v>
      </c>
      <c r="J255" s="192" t="s">
        <v>149</v>
      </c>
      <c r="K255" s="192" t="s">
        <v>149</v>
      </c>
      <c r="L255" s="153" t="s">
        <v>151</v>
      </c>
      <c r="M255" s="158" t="s">
        <v>149</v>
      </c>
      <c r="N255" s="158" t="s">
        <v>149</v>
      </c>
      <c r="O255" s="158" t="s">
        <v>149</v>
      </c>
      <c r="P255" s="158" t="s">
        <v>149</v>
      </c>
      <c r="Q255" s="158" t="s">
        <v>149</v>
      </c>
      <c r="R255" s="158" t="s">
        <v>149</v>
      </c>
      <c r="S255" s="158" t="s">
        <v>149</v>
      </c>
      <c r="T255" s="158" t="s">
        <v>149</v>
      </c>
      <c r="U255" s="158" t="s">
        <v>149</v>
      </c>
      <c r="V255" s="158" t="s">
        <v>149</v>
      </c>
      <c r="W255" s="158" t="s">
        <v>149</v>
      </c>
      <c r="X255" s="158" t="s">
        <v>149</v>
      </c>
      <c r="Y255" s="153"/>
      <c r="Z255" s="153"/>
      <c r="AA255" s="153"/>
      <c r="AB255" s="158" t="s">
        <v>6257</v>
      </c>
      <c r="AC255" s="153" t="s">
        <v>7065</v>
      </c>
      <c r="AD255" s="165" t="s">
        <v>3141</v>
      </c>
      <c r="AE255" s="153"/>
      <c r="AF255" s="153"/>
      <c r="AG255" s="153"/>
    </row>
    <row r="256">
      <c r="A256" s="238">
        <v>2024.0</v>
      </c>
      <c r="B256" s="230">
        <v>259.0</v>
      </c>
      <c r="C256" s="153" t="s">
        <v>7897</v>
      </c>
      <c r="D256" s="153" t="s">
        <v>558</v>
      </c>
      <c r="E256" s="153" t="s">
        <v>786</v>
      </c>
      <c r="F256" s="153" t="s">
        <v>787</v>
      </c>
      <c r="G256" s="153" t="s">
        <v>788</v>
      </c>
      <c r="H256" s="153"/>
      <c r="I256" s="230">
        <v>2015.0</v>
      </c>
      <c r="J256" s="192" t="s">
        <v>149</v>
      </c>
      <c r="K256" s="192" t="s">
        <v>149</v>
      </c>
      <c r="L256" s="153" t="s">
        <v>151</v>
      </c>
      <c r="M256" s="158" t="s">
        <v>790</v>
      </c>
      <c r="N256" s="158" t="s">
        <v>790</v>
      </c>
      <c r="O256" s="153" t="s">
        <v>793</v>
      </c>
      <c r="P256" s="153" t="s">
        <v>794</v>
      </c>
      <c r="Q256" s="158" t="s">
        <v>6154</v>
      </c>
      <c r="R256" s="158" t="s">
        <v>306</v>
      </c>
      <c r="S256" s="158" t="s">
        <v>159</v>
      </c>
      <c r="T256" s="158" t="s">
        <v>149</v>
      </c>
      <c r="U256" s="158" t="s">
        <v>149</v>
      </c>
      <c r="V256" s="153" t="s">
        <v>795</v>
      </c>
      <c r="W256" s="153" t="s">
        <v>796</v>
      </c>
      <c r="X256" s="153" t="s">
        <v>306</v>
      </c>
      <c r="Y256" s="153"/>
      <c r="Z256" s="153"/>
      <c r="AA256" s="153" t="s">
        <v>797</v>
      </c>
      <c r="AB256" s="158" t="s">
        <v>166</v>
      </c>
      <c r="AC256" s="153" t="s">
        <v>798</v>
      </c>
      <c r="AD256" s="165" t="s">
        <v>799</v>
      </c>
      <c r="AE256" s="153"/>
      <c r="AF256" s="153" t="s">
        <v>800</v>
      </c>
      <c r="AG256" s="153"/>
    </row>
    <row r="257">
      <c r="A257" s="238">
        <v>2024.0</v>
      </c>
      <c r="B257" s="230">
        <v>260.0</v>
      </c>
      <c r="C257" s="153" t="s">
        <v>7897</v>
      </c>
      <c r="D257" s="153" t="s">
        <v>558</v>
      </c>
      <c r="E257" s="153" t="s">
        <v>786</v>
      </c>
      <c r="F257" s="153" t="s">
        <v>787</v>
      </c>
      <c r="G257" s="158" t="s">
        <v>149</v>
      </c>
      <c r="H257" s="153" t="s">
        <v>2331</v>
      </c>
      <c r="I257" s="230">
        <v>2014.0</v>
      </c>
      <c r="J257" s="192" t="s">
        <v>149</v>
      </c>
      <c r="K257" s="192" t="s">
        <v>149</v>
      </c>
      <c r="L257" s="153" t="s">
        <v>6624</v>
      </c>
      <c r="M257" s="153" t="s">
        <v>730</v>
      </c>
      <c r="N257" s="158" t="s">
        <v>179</v>
      </c>
      <c r="O257" s="153" t="s">
        <v>1923</v>
      </c>
      <c r="P257" s="153" t="s">
        <v>2332</v>
      </c>
      <c r="Q257" s="158" t="s">
        <v>6154</v>
      </c>
      <c r="R257" s="158" t="s">
        <v>306</v>
      </c>
      <c r="S257" s="158" t="s">
        <v>159</v>
      </c>
      <c r="T257" s="158" t="s">
        <v>149</v>
      </c>
      <c r="U257" s="158" t="s">
        <v>149</v>
      </c>
      <c r="V257" s="158" t="s">
        <v>149</v>
      </c>
      <c r="W257" s="153" t="s">
        <v>2332</v>
      </c>
      <c r="X257" s="153" t="s">
        <v>306</v>
      </c>
      <c r="Y257" s="153" t="s">
        <v>369</v>
      </c>
      <c r="Z257" s="153"/>
      <c r="AA257" s="153"/>
      <c r="AB257" s="153" t="s">
        <v>6084</v>
      </c>
      <c r="AC257" s="153" t="s">
        <v>2335</v>
      </c>
      <c r="AD257" s="153" t="s">
        <v>2336</v>
      </c>
      <c r="AE257" s="153"/>
      <c r="AF257" s="153"/>
      <c r="AG257" s="153"/>
    </row>
    <row r="258">
      <c r="A258" s="238">
        <v>2024.0</v>
      </c>
      <c r="B258" s="230">
        <v>261.0</v>
      </c>
      <c r="C258" s="153" t="s">
        <v>7897</v>
      </c>
      <c r="D258" s="153" t="s">
        <v>558</v>
      </c>
      <c r="E258" s="153" t="s">
        <v>2066</v>
      </c>
      <c r="F258" s="153" t="s">
        <v>2067</v>
      </c>
      <c r="G258" s="158" t="s">
        <v>149</v>
      </c>
      <c r="H258" s="153" t="s">
        <v>2331</v>
      </c>
      <c r="I258" s="230">
        <v>2014.0</v>
      </c>
      <c r="J258" s="192" t="s">
        <v>149</v>
      </c>
      <c r="K258" s="192" t="s">
        <v>149</v>
      </c>
      <c r="L258" s="153" t="s">
        <v>6624</v>
      </c>
      <c r="M258" s="153" t="s">
        <v>730</v>
      </c>
      <c r="N258" s="158" t="s">
        <v>179</v>
      </c>
      <c r="O258" s="153" t="s">
        <v>1923</v>
      </c>
      <c r="P258" s="153" t="s">
        <v>2332</v>
      </c>
      <c r="Q258" s="158" t="s">
        <v>6154</v>
      </c>
      <c r="R258" s="158" t="s">
        <v>306</v>
      </c>
      <c r="S258" s="158" t="s">
        <v>159</v>
      </c>
      <c r="T258" s="158" t="s">
        <v>149</v>
      </c>
      <c r="U258" s="158" t="s">
        <v>149</v>
      </c>
      <c r="V258" s="158" t="s">
        <v>149</v>
      </c>
      <c r="W258" s="153" t="s">
        <v>2332</v>
      </c>
      <c r="X258" s="153" t="s">
        <v>306</v>
      </c>
      <c r="Y258" s="153" t="s">
        <v>369</v>
      </c>
      <c r="Z258" s="153" t="s">
        <v>2339</v>
      </c>
      <c r="AA258" s="153"/>
      <c r="AB258" s="153" t="s">
        <v>6084</v>
      </c>
      <c r="AC258" s="153" t="s">
        <v>2335</v>
      </c>
      <c r="AD258" s="165" t="s">
        <v>2336</v>
      </c>
      <c r="AE258" s="153"/>
      <c r="AF258" s="153"/>
      <c r="AG258" s="153"/>
    </row>
    <row r="259">
      <c r="A259" s="238">
        <v>2024.0</v>
      </c>
      <c r="B259" s="230">
        <v>262.0</v>
      </c>
      <c r="C259" s="153" t="s">
        <v>7897</v>
      </c>
      <c r="D259" s="153" t="s">
        <v>558</v>
      </c>
      <c r="E259" s="153" t="s">
        <v>2066</v>
      </c>
      <c r="F259" s="153" t="s">
        <v>2067</v>
      </c>
      <c r="G259" s="153" t="s">
        <v>2023</v>
      </c>
      <c r="H259" s="153" t="s">
        <v>7081</v>
      </c>
      <c r="I259" s="230">
        <v>2015.0</v>
      </c>
      <c r="J259" s="192" t="s">
        <v>149</v>
      </c>
      <c r="K259" s="192" t="s">
        <v>149</v>
      </c>
      <c r="L259" s="153" t="s">
        <v>151</v>
      </c>
      <c r="M259" s="153" t="s">
        <v>2069</v>
      </c>
      <c r="N259" s="158" t="s">
        <v>2069</v>
      </c>
      <c r="O259" s="158" t="s">
        <v>149</v>
      </c>
      <c r="P259" s="153" t="s">
        <v>2038</v>
      </c>
      <c r="Q259" s="158" t="s">
        <v>160</v>
      </c>
      <c r="R259" s="158" t="s">
        <v>271</v>
      </c>
      <c r="S259" s="158" t="s">
        <v>159</v>
      </c>
      <c r="T259" s="158" t="s">
        <v>149</v>
      </c>
      <c r="U259" s="158" t="s">
        <v>149</v>
      </c>
      <c r="V259" s="158" t="s">
        <v>149</v>
      </c>
      <c r="W259" s="153" t="s">
        <v>2038</v>
      </c>
      <c r="X259" s="153" t="s">
        <v>271</v>
      </c>
      <c r="Y259" s="153"/>
      <c r="Z259" s="153"/>
      <c r="AA259" s="153"/>
      <c r="AB259" s="153" t="s">
        <v>6038</v>
      </c>
      <c r="AC259" s="153" t="s">
        <v>2070</v>
      </c>
      <c r="AD259" s="165" t="s">
        <v>2071</v>
      </c>
      <c r="AE259" s="153"/>
      <c r="AF259" s="153"/>
      <c r="AG259" s="153"/>
    </row>
    <row r="260">
      <c r="A260" s="238">
        <v>2024.0</v>
      </c>
      <c r="B260" s="230">
        <v>263.0</v>
      </c>
      <c r="C260" s="153" t="s">
        <v>7897</v>
      </c>
      <c r="D260" s="153" t="s">
        <v>558</v>
      </c>
      <c r="E260" s="153" t="s">
        <v>3143</v>
      </c>
      <c r="F260" s="153" t="s">
        <v>3144</v>
      </c>
      <c r="G260" s="158" t="s">
        <v>149</v>
      </c>
      <c r="H260" s="153" t="s">
        <v>7044</v>
      </c>
      <c r="I260" s="192" t="s">
        <v>149</v>
      </c>
      <c r="J260" s="192" t="s">
        <v>149</v>
      </c>
      <c r="K260" s="192" t="s">
        <v>149</v>
      </c>
      <c r="L260" s="153" t="s">
        <v>151</v>
      </c>
      <c r="M260" s="158" t="s">
        <v>149</v>
      </c>
      <c r="N260" s="158" t="s">
        <v>149</v>
      </c>
      <c r="O260" s="158" t="s">
        <v>149</v>
      </c>
      <c r="P260" s="158" t="s">
        <v>149</v>
      </c>
      <c r="Q260" s="158" t="s">
        <v>149</v>
      </c>
      <c r="R260" s="158" t="s">
        <v>149</v>
      </c>
      <c r="S260" s="158" t="s">
        <v>149</v>
      </c>
      <c r="T260" s="158" t="s">
        <v>149</v>
      </c>
      <c r="U260" s="158" t="s">
        <v>149</v>
      </c>
      <c r="V260" s="158" t="s">
        <v>149</v>
      </c>
      <c r="W260" s="158" t="s">
        <v>149</v>
      </c>
      <c r="X260" s="158" t="s">
        <v>149</v>
      </c>
      <c r="Y260" s="153"/>
      <c r="Z260" s="153"/>
      <c r="AA260" s="153"/>
      <c r="AB260" s="158" t="s">
        <v>6027</v>
      </c>
      <c r="AC260" s="153" t="s">
        <v>2104</v>
      </c>
      <c r="AD260" s="165" t="s">
        <v>2105</v>
      </c>
      <c r="AE260" s="153"/>
      <c r="AF260" s="153"/>
      <c r="AG260" s="153"/>
    </row>
    <row r="261">
      <c r="A261" s="238">
        <v>2024.0</v>
      </c>
      <c r="B261" s="230">
        <v>264.0</v>
      </c>
      <c r="C261" s="153" t="s">
        <v>7897</v>
      </c>
      <c r="D261" s="153" t="s">
        <v>558</v>
      </c>
      <c r="E261" s="153" t="s">
        <v>559</v>
      </c>
      <c r="F261" s="153" t="s">
        <v>560</v>
      </c>
      <c r="G261" s="153" t="s">
        <v>384</v>
      </c>
      <c r="H261" s="153" t="s">
        <v>561</v>
      </c>
      <c r="I261" s="230">
        <v>1985.0</v>
      </c>
      <c r="J261" s="230">
        <v>1985.0</v>
      </c>
      <c r="K261" s="230">
        <v>1987.0</v>
      </c>
      <c r="L261" s="153" t="s">
        <v>151</v>
      </c>
      <c r="M261" s="153" t="s">
        <v>6054</v>
      </c>
      <c r="N261" s="158" t="s">
        <v>6054</v>
      </c>
      <c r="O261" s="158" t="s">
        <v>149</v>
      </c>
      <c r="P261" s="153" t="s">
        <v>390</v>
      </c>
      <c r="Q261" s="158" t="s">
        <v>160</v>
      </c>
      <c r="R261" s="158" t="s">
        <v>6035</v>
      </c>
      <c r="S261" s="158" t="s">
        <v>149</v>
      </c>
      <c r="T261" s="158" t="s">
        <v>149</v>
      </c>
      <c r="U261" s="158" t="s">
        <v>149</v>
      </c>
      <c r="V261" s="158" t="s">
        <v>149</v>
      </c>
      <c r="W261" s="153" t="s">
        <v>390</v>
      </c>
      <c r="X261" s="153" t="s">
        <v>6035</v>
      </c>
      <c r="Y261" s="153" t="s">
        <v>6055</v>
      </c>
      <c r="Z261" s="153"/>
      <c r="AA261" s="153"/>
      <c r="AB261" s="158" t="s">
        <v>395</v>
      </c>
      <c r="AC261" s="153" t="s">
        <v>6060</v>
      </c>
      <c r="AD261" s="153" t="s">
        <v>2873</v>
      </c>
      <c r="AE261" s="153" t="s">
        <v>398</v>
      </c>
      <c r="AF261" s="153"/>
      <c r="AG261" s="153"/>
    </row>
    <row r="262">
      <c r="A262" s="238">
        <v>2024.0</v>
      </c>
      <c r="B262" s="230">
        <v>265.0</v>
      </c>
      <c r="C262" s="153" t="s">
        <v>7897</v>
      </c>
      <c r="D262" s="153" t="s">
        <v>558</v>
      </c>
      <c r="E262" s="153" t="s">
        <v>2553</v>
      </c>
      <c r="F262" s="153" t="s">
        <v>2554</v>
      </c>
      <c r="G262" s="158" t="s">
        <v>149</v>
      </c>
      <c r="H262" s="153"/>
      <c r="I262" s="230">
        <v>2013.0</v>
      </c>
      <c r="J262" s="192" t="s">
        <v>149</v>
      </c>
      <c r="K262" s="192" t="s">
        <v>149</v>
      </c>
      <c r="L262" s="153" t="s">
        <v>151</v>
      </c>
      <c r="M262" s="158" t="s">
        <v>149</v>
      </c>
      <c r="N262" s="158" t="s">
        <v>149</v>
      </c>
      <c r="O262" s="153" t="s">
        <v>7051</v>
      </c>
      <c r="P262" s="158" t="s">
        <v>149</v>
      </c>
      <c r="Q262" s="158" t="s">
        <v>149</v>
      </c>
      <c r="R262" s="158" t="s">
        <v>149</v>
      </c>
      <c r="S262" s="158" t="s">
        <v>149</v>
      </c>
      <c r="T262" s="158" t="s">
        <v>149</v>
      </c>
      <c r="U262" s="158" t="s">
        <v>149</v>
      </c>
      <c r="V262" s="153" t="s">
        <v>2556</v>
      </c>
      <c r="W262" s="158" t="s">
        <v>149</v>
      </c>
      <c r="X262" s="158" t="s">
        <v>149</v>
      </c>
      <c r="Y262" s="153" t="s">
        <v>2557</v>
      </c>
      <c r="Z262" s="153"/>
      <c r="AA262" s="153"/>
      <c r="AB262" s="158" t="s">
        <v>166</v>
      </c>
      <c r="AC262" s="153" t="s">
        <v>7088</v>
      </c>
      <c r="AD262" s="165" t="s">
        <v>2559</v>
      </c>
      <c r="AE262" s="153"/>
      <c r="AF262" s="153"/>
      <c r="AG262" s="153"/>
    </row>
    <row r="263">
      <c r="A263" s="238">
        <v>2024.0</v>
      </c>
      <c r="B263" s="230">
        <v>266.0</v>
      </c>
      <c r="C263" s="153" t="s">
        <v>7897</v>
      </c>
      <c r="D263" s="153" t="s">
        <v>558</v>
      </c>
      <c r="E263" s="153" t="s">
        <v>959</v>
      </c>
      <c r="F263" s="153" t="s">
        <v>960</v>
      </c>
      <c r="G263" s="158" t="s">
        <v>149</v>
      </c>
      <c r="H263" s="153"/>
      <c r="I263" s="230">
        <v>2015.0</v>
      </c>
      <c r="J263" s="192" t="s">
        <v>149</v>
      </c>
      <c r="K263" s="192" t="s">
        <v>149</v>
      </c>
      <c r="L263" s="153" t="s">
        <v>151</v>
      </c>
      <c r="M263" s="158" t="s">
        <v>149</v>
      </c>
      <c r="N263" s="158" t="s">
        <v>149</v>
      </c>
      <c r="O263" s="153" t="s">
        <v>2668</v>
      </c>
      <c r="P263" s="158" t="s">
        <v>149</v>
      </c>
      <c r="Q263" s="158" t="s">
        <v>149</v>
      </c>
      <c r="R263" s="158" t="s">
        <v>149</v>
      </c>
      <c r="S263" s="158" t="s">
        <v>149</v>
      </c>
      <c r="T263" s="158" t="s">
        <v>149</v>
      </c>
      <c r="U263" s="158" t="s">
        <v>149</v>
      </c>
      <c r="V263" s="158" t="s">
        <v>149</v>
      </c>
      <c r="W263" s="153" t="s">
        <v>1974</v>
      </c>
      <c r="X263" s="153" t="s">
        <v>6035</v>
      </c>
      <c r="Y263" s="153"/>
      <c r="Z263" s="153"/>
      <c r="AA263" s="153"/>
      <c r="AB263" s="158" t="s">
        <v>6214</v>
      </c>
      <c r="AC263" s="153" t="s">
        <v>2669</v>
      </c>
      <c r="AD263" s="165" t="s">
        <v>2670</v>
      </c>
      <c r="AE263" s="153" t="s">
        <v>2671</v>
      </c>
      <c r="AF263" s="165" t="s">
        <v>2672</v>
      </c>
      <c r="AG263" s="153"/>
    </row>
    <row r="264">
      <c r="A264" s="238">
        <v>2024.0</v>
      </c>
      <c r="B264" s="230">
        <v>267.0</v>
      </c>
      <c r="C264" s="153" t="s">
        <v>7897</v>
      </c>
      <c r="D264" s="153" t="s">
        <v>558</v>
      </c>
      <c r="E264" s="153" t="s">
        <v>959</v>
      </c>
      <c r="F264" s="153" t="s">
        <v>960</v>
      </c>
      <c r="G264" s="153" t="s">
        <v>934</v>
      </c>
      <c r="H264" s="153"/>
      <c r="I264" s="230">
        <v>2001.0</v>
      </c>
      <c r="J264" s="230">
        <v>2001.0</v>
      </c>
      <c r="K264" s="230">
        <v>2005.0</v>
      </c>
      <c r="L264" s="153" t="s">
        <v>6062</v>
      </c>
      <c r="M264" s="153" t="s">
        <v>6276</v>
      </c>
      <c r="N264" s="153" t="s">
        <v>179</v>
      </c>
      <c r="O264" s="153" t="s">
        <v>939</v>
      </c>
      <c r="P264" s="153" t="s">
        <v>940</v>
      </c>
      <c r="Q264" s="158" t="s">
        <v>6154</v>
      </c>
      <c r="R264" s="158" t="s">
        <v>206</v>
      </c>
      <c r="S264" s="158" t="s">
        <v>204</v>
      </c>
      <c r="T264" s="158" t="s">
        <v>149</v>
      </c>
      <c r="U264" s="158" t="s">
        <v>149</v>
      </c>
      <c r="V264" s="158" t="s">
        <v>149</v>
      </c>
      <c r="W264" s="153" t="s">
        <v>233</v>
      </c>
      <c r="X264" s="158" t="s">
        <v>6068</v>
      </c>
      <c r="Y264" s="153"/>
      <c r="Z264" s="153"/>
      <c r="AA264" s="153"/>
      <c r="AB264" s="158" t="s">
        <v>6214</v>
      </c>
      <c r="AC264" s="153" t="s">
        <v>941</v>
      </c>
      <c r="AD264" s="153" t="s">
        <v>942</v>
      </c>
      <c r="AE264" s="153" t="s">
        <v>943</v>
      </c>
      <c r="AF264" s="153"/>
      <c r="AG264" s="153"/>
    </row>
    <row r="265">
      <c r="A265" s="238">
        <v>2024.0</v>
      </c>
      <c r="B265" s="230">
        <v>268.0</v>
      </c>
      <c r="C265" s="153" t="s">
        <v>7899</v>
      </c>
      <c r="D265" s="153" t="s">
        <v>563</v>
      </c>
      <c r="E265" s="153" t="s">
        <v>7099</v>
      </c>
      <c r="F265" s="153" t="s">
        <v>2152</v>
      </c>
      <c r="G265" s="153" t="s">
        <v>6587</v>
      </c>
      <c r="H265" s="153" t="s">
        <v>7100</v>
      </c>
      <c r="I265" s="158" t="s">
        <v>149</v>
      </c>
      <c r="J265" s="230">
        <v>2012.0</v>
      </c>
      <c r="K265" s="192" t="s">
        <v>149</v>
      </c>
      <c r="L265" s="153" t="s">
        <v>151</v>
      </c>
      <c r="M265" s="158" t="s">
        <v>149</v>
      </c>
      <c r="N265" s="158" t="s">
        <v>149</v>
      </c>
      <c r="O265" s="153" t="s">
        <v>7101</v>
      </c>
      <c r="P265" s="153" t="s">
        <v>341</v>
      </c>
      <c r="Q265" s="158" t="s">
        <v>160</v>
      </c>
      <c r="R265" s="158" t="s">
        <v>6035</v>
      </c>
      <c r="S265" s="158" t="s">
        <v>159</v>
      </c>
      <c r="T265" s="158" t="s">
        <v>149</v>
      </c>
      <c r="U265" s="158" t="s">
        <v>149</v>
      </c>
      <c r="V265" s="158" t="s">
        <v>149</v>
      </c>
      <c r="W265" s="153" t="s">
        <v>2160</v>
      </c>
      <c r="X265" s="153" t="s">
        <v>6035</v>
      </c>
      <c r="Y265" s="153"/>
      <c r="Z265" s="153"/>
      <c r="AA265" s="153"/>
      <c r="AB265" s="158" t="s">
        <v>166</v>
      </c>
      <c r="AC265" s="153" t="s">
        <v>2161</v>
      </c>
      <c r="AD265" s="172" t="s">
        <v>2162</v>
      </c>
      <c r="AE265" s="153"/>
      <c r="AF265" s="153"/>
      <c r="AG265" s="153"/>
    </row>
    <row r="266">
      <c r="A266" s="238">
        <v>2024.0</v>
      </c>
      <c r="B266" s="230">
        <v>269.0</v>
      </c>
      <c r="C266" s="153" t="s">
        <v>7899</v>
      </c>
      <c r="D266" s="153" t="s">
        <v>563</v>
      </c>
      <c r="E266" s="153" t="s">
        <v>230</v>
      </c>
      <c r="F266" s="153" t="s">
        <v>1713</v>
      </c>
      <c r="G266" s="153" t="s">
        <v>1683</v>
      </c>
      <c r="H266" s="153"/>
      <c r="I266" s="192">
        <v>2015.0</v>
      </c>
      <c r="J266" s="230">
        <v>2014.0</v>
      </c>
      <c r="K266" s="230">
        <v>2016.0</v>
      </c>
      <c r="L266" s="153" t="s">
        <v>6062</v>
      </c>
      <c r="M266" s="153" t="s">
        <v>320</v>
      </c>
      <c r="N266" s="158" t="s">
        <v>179</v>
      </c>
      <c r="O266" s="158" t="s">
        <v>149</v>
      </c>
      <c r="P266" s="153" t="s">
        <v>321</v>
      </c>
      <c r="Q266" s="158" t="s">
        <v>160</v>
      </c>
      <c r="R266" s="158" t="s">
        <v>6035</v>
      </c>
      <c r="S266" s="158" t="s">
        <v>159</v>
      </c>
      <c r="T266" s="158" t="s">
        <v>149</v>
      </c>
      <c r="U266" s="158" t="s">
        <v>149</v>
      </c>
      <c r="V266" s="153" t="s">
        <v>1692</v>
      </c>
      <c r="W266" s="153" t="s">
        <v>1714</v>
      </c>
      <c r="X266" s="158" t="s">
        <v>6068</v>
      </c>
      <c r="Y266" s="153"/>
      <c r="Z266" s="153"/>
      <c r="AA266" s="153"/>
      <c r="AB266" s="158" t="s">
        <v>6069</v>
      </c>
      <c r="AC266" s="153" t="s">
        <v>1300</v>
      </c>
      <c r="AD266" s="153" t="s">
        <v>7029</v>
      </c>
      <c r="AE266" s="153" t="s">
        <v>1716</v>
      </c>
      <c r="AF266" s="165" t="s">
        <v>1717</v>
      </c>
      <c r="AG266" s="153"/>
    </row>
    <row r="267">
      <c r="A267" s="238">
        <v>2024.0</v>
      </c>
      <c r="B267" s="230">
        <v>270.0</v>
      </c>
      <c r="C267" s="153" t="s">
        <v>7899</v>
      </c>
      <c r="D267" s="153" t="s">
        <v>563</v>
      </c>
      <c r="E267" s="153" t="s">
        <v>962</v>
      </c>
      <c r="F267" s="153" t="s">
        <v>963</v>
      </c>
      <c r="G267" s="153" t="s">
        <v>934</v>
      </c>
      <c r="H267" s="153"/>
      <c r="I267" s="230">
        <v>2001.0</v>
      </c>
      <c r="J267" s="230">
        <v>2001.0</v>
      </c>
      <c r="K267" s="230">
        <v>2005.0</v>
      </c>
      <c r="L267" s="153" t="s">
        <v>6062</v>
      </c>
      <c r="M267" s="153" t="s">
        <v>6276</v>
      </c>
      <c r="N267" s="158" t="s">
        <v>179</v>
      </c>
      <c r="O267" s="153" t="s">
        <v>939</v>
      </c>
      <c r="P267" s="153" t="s">
        <v>940</v>
      </c>
      <c r="Q267" s="158" t="s">
        <v>6154</v>
      </c>
      <c r="R267" s="158" t="s">
        <v>206</v>
      </c>
      <c r="S267" s="158" t="s">
        <v>204</v>
      </c>
      <c r="T267" s="158" t="s">
        <v>149</v>
      </c>
      <c r="U267" s="158" t="s">
        <v>149</v>
      </c>
      <c r="V267" s="158" t="s">
        <v>149</v>
      </c>
      <c r="W267" s="153" t="s">
        <v>233</v>
      </c>
      <c r="X267" s="158" t="s">
        <v>6068</v>
      </c>
      <c r="Y267" s="153"/>
      <c r="Z267" s="153"/>
      <c r="AA267" s="153"/>
      <c r="AB267" s="158" t="s">
        <v>6214</v>
      </c>
      <c r="AC267" s="153" t="s">
        <v>941</v>
      </c>
      <c r="AD267" s="153" t="s">
        <v>942</v>
      </c>
      <c r="AE267" s="153" t="s">
        <v>943</v>
      </c>
      <c r="AF267" s="153"/>
      <c r="AG267" s="153"/>
    </row>
    <row r="268">
      <c r="A268" s="238">
        <v>2024.0</v>
      </c>
      <c r="B268" s="230">
        <v>271.0</v>
      </c>
      <c r="C268" s="153" t="s">
        <v>7899</v>
      </c>
      <c r="D268" s="153" t="s">
        <v>563</v>
      </c>
      <c r="E268" s="153" t="s">
        <v>564</v>
      </c>
      <c r="F268" s="153" t="s">
        <v>565</v>
      </c>
      <c r="G268" s="153" t="s">
        <v>384</v>
      </c>
      <c r="H268" s="153" t="s">
        <v>566</v>
      </c>
      <c r="I268" s="230">
        <v>1986.0</v>
      </c>
      <c r="J268" s="230">
        <v>1985.0</v>
      </c>
      <c r="K268" s="230">
        <v>1987.0</v>
      </c>
      <c r="L268" s="153" t="s">
        <v>151</v>
      </c>
      <c r="M268" s="153" t="s">
        <v>6054</v>
      </c>
      <c r="N268" s="158" t="s">
        <v>6054</v>
      </c>
      <c r="O268" s="158" t="s">
        <v>149</v>
      </c>
      <c r="P268" s="153" t="s">
        <v>390</v>
      </c>
      <c r="Q268" s="158" t="s">
        <v>160</v>
      </c>
      <c r="R268" s="158" t="s">
        <v>6035</v>
      </c>
      <c r="S268" s="158" t="s">
        <v>159</v>
      </c>
      <c r="T268" s="158" t="s">
        <v>149</v>
      </c>
      <c r="U268" s="158" t="s">
        <v>149</v>
      </c>
      <c r="V268" s="153" t="s">
        <v>475</v>
      </c>
      <c r="W268" s="153" t="s">
        <v>390</v>
      </c>
      <c r="X268" s="153" t="s">
        <v>6035</v>
      </c>
      <c r="Y268" s="153" t="s">
        <v>6055</v>
      </c>
      <c r="Z268" s="153"/>
      <c r="AA268" s="153"/>
      <c r="AB268" s="158" t="s">
        <v>395</v>
      </c>
      <c r="AC268" s="153" t="s">
        <v>6060</v>
      </c>
      <c r="AD268" s="153" t="s">
        <v>2873</v>
      </c>
      <c r="AE268" s="153" t="s">
        <v>398</v>
      </c>
      <c r="AF268" s="153"/>
      <c r="AG268" s="153"/>
    </row>
    <row r="269">
      <c r="A269" s="238">
        <v>2024.0</v>
      </c>
      <c r="B269" s="230">
        <v>272.0</v>
      </c>
      <c r="C269" s="153" t="s">
        <v>7899</v>
      </c>
      <c r="D269" s="153" t="s">
        <v>563</v>
      </c>
      <c r="E269" s="153" t="s">
        <v>2164</v>
      </c>
      <c r="F269" s="153" t="s">
        <v>2165</v>
      </c>
      <c r="G269" s="153" t="s">
        <v>6587</v>
      </c>
      <c r="H269" s="153" t="s">
        <v>7100</v>
      </c>
      <c r="I269" s="158" t="s">
        <v>149</v>
      </c>
      <c r="J269" s="230">
        <v>2012.0</v>
      </c>
      <c r="K269" s="192" t="s">
        <v>149</v>
      </c>
      <c r="L269" s="153" t="s">
        <v>151</v>
      </c>
      <c r="M269" s="158" t="s">
        <v>149</v>
      </c>
      <c r="N269" s="158" t="s">
        <v>149</v>
      </c>
      <c r="O269" s="153" t="s">
        <v>7101</v>
      </c>
      <c r="P269" s="153" t="s">
        <v>341</v>
      </c>
      <c r="Q269" s="158" t="s">
        <v>160</v>
      </c>
      <c r="R269" s="158" t="s">
        <v>6035</v>
      </c>
      <c r="S269" s="158" t="s">
        <v>159</v>
      </c>
      <c r="T269" s="158" t="s">
        <v>149</v>
      </c>
      <c r="U269" s="158" t="s">
        <v>149</v>
      </c>
      <c r="V269" s="158" t="s">
        <v>149</v>
      </c>
      <c r="W269" s="153" t="s">
        <v>2160</v>
      </c>
      <c r="X269" s="153" t="s">
        <v>6035</v>
      </c>
      <c r="Y269" s="153"/>
      <c r="Z269" s="153"/>
      <c r="AA269" s="153"/>
      <c r="AB269" s="158" t="s">
        <v>166</v>
      </c>
      <c r="AC269" s="153" t="s">
        <v>2161</v>
      </c>
      <c r="AD269" s="172" t="s">
        <v>2162</v>
      </c>
      <c r="AE269" s="153"/>
      <c r="AF269" s="153"/>
      <c r="AG269" s="153"/>
    </row>
    <row r="270">
      <c r="A270" s="238">
        <v>2024.0</v>
      </c>
      <c r="B270" s="230">
        <v>273.0</v>
      </c>
      <c r="C270" s="153" t="s">
        <v>7899</v>
      </c>
      <c r="D270" s="153" t="s">
        <v>563</v>
      </c>
      <c r="E270" s="153" t="s">
        <v>1108</v>
      </c>
      <c r="F270" s="153" t="s">
        <v>1109</v>
      </c>
      <c r="G270" s="153" t="s">
        <v>1174</v>
      </c>
      <c r="H270" s="153"/>
      <c r="I270" s="192">
        <v>2013.0</v>
      </c>
      <c r="J270" s="230">
        <v>2012.0</v>
      </c>
      <c r="K270" s="230">
        <v>2013.0</v>
      </c>
      <c r="L270" s="153" t="s">
        <v>6062</v>
      </c>
      <c r="M270" s="153" t="s">
        <v>320</v>
      </c>
      <c r="N270" s="158" t="s">
        <v>179</v>
      </c>
      <c r="O270" s="158" t="s">
        <v>149</v>
      </c>
      <c r="P270" s="153" t="s">
        <v>321</v>
      </c>
      <c r="Q270" s="158" t="s">
        <v>160</v>
      </c>
      <c r="R270" s="158" t="s">
        <v>6035</v>
      </c>
      <c r="S270" s="158" t="s">
        <v>159</v>
      </c>
      <c r="T270" s="158" t="s">
        <v>149</v>
      </c>
      <c r="U270" s="158" t="s">
        <v>149</v>
      </c>
      <c r="V270" s="153" t="s">
        <v>1303</v>
      </c>
      <c r="W270" s="153" t="s">
        <v>885</v>
      </c>
      <c r="X270" s="158" t="s">
        <v>6068</v>
      </c>
      <c r="Y270" s="153"/>
      <c r="Z270" s="153"/>
      <c r="AA270" s="153"/>
      <c r="AB270" s="158" t="s">
        <v>6069</v>
      </c>
      <c r="AC270" s="153" t="s">
        <v>1304</v>
      </c>
      <c r="AD270" s="153" t="s">
        <v>6070</v>
      </c>
      <c r="AE270" s="153" t="s">
        <v>1280</v>
      </c>
      <c r="AF270" s="165" t="s">
        <v>1281</v>
      </c>
      <c r="AG270" s="153"/>
    </row>
    <row r="271">
      <c r="A271" s="238">
        <v>2024.0</v>
      </c>
      <c r="B271" s="230">
        <v>274.0</v>
      </c>
      <c r="C271" s="153" t="s">
        <v>7899</v>
      </c>
      <c r="D271" s="153" t="s">
        <v>563</v>
      </c>
      <c r="E271" s="153" t="s">
        <v>1108</v>
      </c>
      <c r="F271" s="153" t="s">
        <v>1109</v>
      </c>
      <c r="G271" s="153" t="s">
        <v>6587</v>
      </c>
      <c r="H271" s="153" t="s">
        <v>7100</v>
      </c>
      <c r="I271" s="158" t="s">
        <v>149</v>
      </c>
      <c r="J271" s="230">
        <v>2012.0</v>
      </c>
      <c r="K271" s="192" t="s">
        <v>149</v>
      </c>
      <c r="L271" s="153" t="s">
        <v>151</v>
      </c>
      <c r="M271" s="158" t="s">
        <v>149</v>
      </c>
      <c r="N271" s="158" t="s">
        <v>149</v>
      </c>
      <c r="O271" s="153" t="s">
        <v>7101</v>
      </c>
      <c r="P271" s="153" t="s">
        <v>341</v>
      </c>
      <c r="Q271" s="158" t="s">
        <v>160</v>
      </c>
      <c r="R271" s="158" t="s">
        <v>6035</v>
      </c>
      <c r="S271" s="158" t="s">
        <v>159</v>
      </c>
      <c r="T271" s="158" t="s">
        <v>149</v>
      </c>
      <c r="U271" s="158" t="s">
        <v>149</v>
      </c>
      <c r="V271" s="158" t="s">
        <v>149</v>
      </c>
      <c r="W271" s="153" t="s">
        <v>2160</v>
      </c>
      <c r="X271" s="153" t="s">
        <v>6035</v>
      </c>
      <c r="Y271" s="153"/>
      <c r="Z271" s="153"/>
      <c r="AA271" s="153"/>
      <c r="AB271" s="158" t="s">
        <v>166</v>
      </c>
      <c r="AC271" s="153" t="s">
        <v>2161</v>
      </c>
      <c r="AD271" s="165" t="s">
        <v>2162</v>
      </c>
      <c r="AE271" s="153"/>
      <c r="AF271" s="239"/>
      <c r="AG271" s="153"/>
    </row>
    <row r="272">
      <c r="A272" s="238">
        <v>2024.0</v>
      </c>
      <c r="B272" s="230">
        <v>275.0</v>
      </c>
      <c r="C272" s="153" t="s">
        <v>7899</v>
      </c>
      <c r="D272" s="153" t="s">
        <v>563</v>
      </c>
      <c r="E272" s="153" t="s">
        <v>1108</v>
      </c>
      <c r="F272" s="153" t="s">
        <v>1109</v>
      </c>
      <c r="G272" s="153" t="s">
        <v>1110</v>
      </c>
      <c r="H272" s="153" t="s">
        <v>1111</v>
      </c>
      <c r="I272" s="158" t="s">
        <v>149</v>
      </c>
      <c r="J272" s="192" t="s">
        <v>149</v>
      </c>
      <c r="K272" s="192" t="s">
        <v>149</v>
      </c>
      <c r="L272" s="153" t="s">
        <v>6062</v>
      </c>
      <c r="M272" s="153" t="s">
        <v>1112</v>
      </c>
      <c r="N272" s="158" t="s">
        <v>179</v>
      </c>
      <c r="O272" s="153" t="s">
        <v>1113</v>
      </c>
      <c r="P272" s="158" t="s">
        <v>149</v>
      </c>
      <c r="Q272" s="158" t="s">
        <v>149</v>
      </c>
      <c r="R272" s="158" t="s">
        <v>149</v>
      </c>
      <c r="S272" s="158" t="s">
        <v>149</v>
      </c>
      <c r="T272" s="158" t="s">
        <v>149</v>
      </c>
      <c r="U272" s="158" t="s">
        <v>149</v>
      </c>
      <c r="V272" s="158" t="s">
        <v>149</v>
      </c>
      <c r="W272" s="153" t="s">
        <v>1114</v>
      </c>
      <c r="X272" s="158" t="s">
        <v>184</v>
      </c>
      <c r="Y272" s="153" t="s">
        <v>1115</v>
      </c>
      <c r="Z272" s="153" t="s">
        <v>1116</v>
      </c>
      <c r="AA272" s="153"/>
      <c r="AB272" s="158" t="s">
        <v>6038</v>
      </c>
      <c r="AC272" s="153" t="s">
        <v>1117</v>
      </c>
      <c r="AD272" s="165" t="s">
        <v>1118</v>
      </c>
      <c r="AE272" s="153"/>
      <c r="AF272" s="239"/>
      <c r="AG272" s="153"/>
    </row>
    <row r="273">
      <c r="A273" s="238">
        <v>2024.0</v>
      </c>
      <c r="B273" s="230">
        <v>276.0</v>
      </c>
      <c r="C273" s="153" t="s">
        <v>7899</v>
      </c>
      <c r="D273" s="153" t="s">
        <v>563</v>
      </c>
      <c r="E273" s="153" t="s">
        <v>7090</v>
      </c>
      <c r="F273" s="153" t="s">
        <v>2102</v>
      </c>
      <c r="G273" s="153" t="s">
        <v>2103</v>
      </c>
      <c r="H273" s="153" t="s">
        <v>7091</v>
      </c>
      <c r="I273" s="230">
        <v>1995.0</v>
      </c>
      <c r="J273" s="192" t="s">
        <v>149</v>
      </c>
      <c r="K273" s="192" t="s">
        <v>149</v>
      </c>
      <c r="L273" s="153" t="s">
        <v>151</v>
      </c>
      <c r="M273" s="158" t="s">
        <v>149</v>
      </c>
      <c r="N273" s="158" t="s">
        <v>149</v>
      </c>
      <c r="O273" s="158" t="s">
        <v>149</v>
      </c>
      <c r="P273" s="158" t="s">
        <v>149</v>
      </c>
      <c r="Q273" s="158" t="s">
        <v>149</v>
      </c>
      <c r="R273" s="158" t="s">
        <v>149</v>
      </c>
      <c r="S273" s="158" t="s">
        <v>149</v>
      </c>
      <c r="T273" s="158" t="s">
        <v>149</v>
      </c>
      <c r="U273" s="158" t="s">
        <v>149</v>
      </c>
      <c r="V273" s="158" t="s">
        <v>149</v>
      </c>
      <c r="W273" s="153" t="s">
        <v>369</v>
      </c>
      <c r="X273" s="153" t="s">
        <v>6035</v>
      </c>
      <c r="Y273" s="153"/>
      <c r="Z273" s="153"/>
      <c r="AA273" s="153"/>
      <c r="AB273" s="158" t="s">
        <v>6027</v>
      </c>
      <c r="AC273" s="153" t="s">
        <v>2104</v>
      </c>
      <c r="AD273" s="165" t="s">
        <v>2105</v>
      </c>
      <c r="AE273" s="153"/>
      <c r="AF273" s="153"/>
      <c r="AG273" s="153"/>
    </row>
    <row r="274">
      <c r="A274" s="238">
        <v>2024.0</v>
      </c>
      <c r="B274" s="230">
        <v>277.0</v>
      </c>
      <c r="C274" s="153" t="s">
        <v>7899</v>
      </c>
      <c r="D274" s="153" t="s">
        <v>563</v>
      </c>
      <c r="E274" s="158" t="s">
        <v>7094</v>
      </c>
      <c r="F274" s="153" t="s">
        <v>2876</v>
      </c>
      <c r="G274" s="153" t="s">
        <v>384</v>
      </c>
      <c r="H274" s="153" t="s">
        <v>2877</v>
      </c>
      <c r="I274" s="230">
        <v>1979.0</v>
      </c>
      <c r="J274" s="230">
        <v>1985.0</v>
      </c>
      <c r="K274" s="230">
        <v>1987.0</v>
      </c>
      <c r="L274" s="153" t="s">
        <v>151</v>
      </c>
      <c r="M274" s="153" t="s">
        <v>469</v>
      </c>
      <c r="N274" s="158" t="s">
        <v>469</v>
      </c>
      <c r="O274" s="158" t="s">
        <v>149</v>
      </c>
      <c r="P274" s="153" t="s">
        <v>390</v>
      </c>
      <c r="Q274" s="158" t="s">
        <v>160</v>
      </c>
      <c r="R274" s="158" t="s">
        <v>6035</v>
      </c>
      <c r="S274" s="158" t="s">
        <v>159</v>
      </c>
      <c r="T274" s="158" t="s">
        <v>149</v>
      </c>
      <c r="U274" s="158" t="s">
        <v>149</v>
      </c>
      <c r="V274" s="153" t="s">
        <v>2878</v>
      </c>
      <c r="W274" s="153" t="s">
        <v>390</v>
      </c>
      <c r="X274" s="153" t="s">
        <v>6035</v>
      </c>
      <c r="Y274" s="153" t="s">
        <v>6055</v>
      </c>
      <c r="Z274" s="153"/>
      <c r="AA274" s="153"/>
      <c r="AB274" s="158" t="s">
        <v>395</v>
      </c>
      <c r="AC274" s="153" t="s">
        <v>6060</v>
      </c>
      <c r="AD274" s="153" t="s">
        <v>2873</v>
      </c>
      <c r="AE274" s="153" t="s">
        <v>398</v>
      </c>
      <c r="AF274" s="153"/>
      <c r="AG274" s="153" t="s">
        <v>6109</v>
      </c>
    </row>
    <row r="275">
      <c r="A275" s="238">
        <v>2024.0</v>
      </c>
      <c r="B275" s="230">
        <v>278.0</v>
      </c>
      <c r="C275" s="153" t="s">
        <v>7899</v>
      </c>
      <c r="D275" s="153" t="s">
        <v>563</v>
      </c>
      <c r="E275" s="153" t="s">
        <v>2172</v>
      </c>
      <c r="F275" s="153" t="s">
        <v>2173</v>
      </c>
      <c r="G275" s="153" t="s">
        <v>6587</v>
      </c>
      <c r="H275" s="153" t="s">
        <v>7100</v>
      </c>
      <c r="I275" s="158" t="s">
        <v>149</v>
      </c>
      <c r="J275" s="230">
        <v>2012.0</v>
      </c>
      <c r="K275" s="158" t="s">
        <v>149</v>
      </c>
      <c r="L275" s="153" t="s">
        <v>151</v>
      </c>
      <c r="M275" s="158" t="s">
        <v>149</v>
      </c>
      <c r="N275" s="158" t="s">
        <v>149</v>
      </c>
      <c r="O275" s="153" t="s">
        <v>7101</v>
      </c>
      <c r="P275" s="153" t="s">
        <v>341</v>
      </c>
      <c r="Q275" s="158" t="s">
        <v>160</v>
      </c>
      <c r="R275" s="158" t="s">
        <v>6035</v>
      </c>
      <c r="S275" s="158" t="s">
        <v>149</v>
      </c>
      <c r="T275" s="158" t="s">
        <v>149</v>
      </c>
      <c r="U275" s="158" t="s">
        <v>149</v>
      </c>
      <c r="V275" s="158" t="s">
        <v>149</v>
      </c>
      <c r="W275" s="153" t="s">
        <v>2160</v>
      </c>
      <c r="X275" s="153" t="s">
        <v>6035</v>
      </c>
      <c r="Y275" s="153"/>
      <c r="Z275" s="153"/>
      <c r="AA275" s="153"/>
      <c r="AB275" s="158" t="s">
        <v>166</v>
      </c>
      <c r="AC275" s="153" t="s">
        <v>2161</v>
      </c>
      <c r="AD275" s="172" t="s">
        <v>2162</v>
      </c>
      <c r="AE275" s="153"/>
      <c r="AF275" s="153"/>
      <c r="AG275" s="153"/>
    </row>
    <row r="276">
      <c r="A276" s="238">
        <v>2024.0</v>
      </c>
      <c r="B276" s="230">
        <v>279.0</v>
      </c>
      <c r="C276" s="153" t="s">
        <v>7899</v>
      </c>
      <c r="D276" s="153" t="s">
        <v>194</v>
      </c>
      <c r="E276" s="153" t="s">
        <v>965</v>
      </c>
      <c r="F276" s="153" t="s">
        <v>966</v>
      </c>
      <c r="G276" s="153" t="s">
        <v>934</v>
      </c>
      <c r="H276" s="153"/>
      <c r="I276" s="230">
        <v>2001.0</v>
      </c>
      <c r="J276" s="230">
        <v>2001.0</v>
      </c>
      <c r="K276" s="230">
        <v>2005.0</v>
      </c>
      <c r="L276" s="153" t="s">
        <v>6062</v>
      </c>
      <c r="M276" s="153" t="s">
        <v>6276</v>
      </c>
      <c r="N276" s="158" t="s">
        <v>179</v>
      </c>
      <c r="O276" s="153" t="s">
        <v>939</v>
      </c>
      <c r="P276" s="153" t="s">
        <v>940</v>
      </c>
      <c r="Q276" s="158" t="s">
        <v>6154</v>
      </c>
      <c r="R276" s="158" t="s">
        <v>206</v>
      </c>
      <c r="S276" s="158" t="s">
        <v>204</v>
      </c>
      <c r="T276" s="158" t="s">
        <v>149</v>
      </c>
      <c r="U276" s="158" t="s">
        <v>149</v>
      </c>
      <c r="V276" s="158" t="s">
        <v>149</v>
      </c>
      <c r="W276" s="153" t="s">
        <v>233</v>
      </c>
      <c r="X276" s="158" t="s">
        <v>6068</v>
      </c>
      <c r="Y276" s="153"/>
      <c r="Z276" s="153"/>
      <c r="AA276" s="153"/>
      <c r="AB276" s="158" t="s">
        <v>6214</v>
      </c>
      <c r="AC276" s="153" t="s">
        <v>941</v>
      </c>
      <c r="AD276" s="153" t="s">
        <v>942</v>
      </c>
      <c r="AE276" s="153" t="s">
        <v>943</v>
      </c>
      <c r="AF276" s="153"/>
      <c r="AG276" s="153"/>
    </row>
    <row r="277">
      <c r="A277" s="238">
        <v>2024.0</v>
      </c>
      <c r="B277" s="230">
        <v>280.0</v>
      </c>
      <c r="C277" s="153" t="s">
        <v>7899</v>
      </c>
      <c r="D277" s="153" t="s">
        <v>194</v>
      </c>
      <c r="E277" s="153" t="s">
        <v>1530</v>
      </c>
      <c r="F277" s="153" t="s">
        <v>1531</v>
      </c>
      <c r="G277" s="153" t="s">
        <v>1532</v>
      </c>
      <c r="H277" s="153" t="s">
        <v>1533</v>
      </c>
      <c r="I277" s="158" t="s">
        <v>149</v>
      </c>
      <c r="J277" s="192" t="s">
        <v>149</v>
      </c>
      <c r="K277" s="192" t="s">
        <v>149</v>
      </c>
      <c r="L277" s="153" t="s">
        <v>151</v>
      </c>
      <c r="M277" s="153" t="s">
        <v>1535</v>
      </c>
      <c r="N277" s="158" t="s">
        <v>152</v>
      </c>
      <c r="O277" s="158" t="s">
        <v>149</v>
      </c>
      <c r="P277" s="158" t="s">
        <v>149</v>
      </c>
      <c r="Q277" s="158" t="s">
        <v>149</v>
      </c>
      <c r="R277" s="158" t="s">
        <v>149</v>
      </c>
      <c r="S277" s="158" t="s">
        <v>149</v>
      </c>
      <c r="T277" s="158" t="s">
        <v>149</v>
      </c>
      <c r="U277" s="158" t="s">
        <v>149</v>
      </c>
      <c r="V277" s="153" t="s">
        <v>7139</v>
      </c>
      <c r="W277" s="158" t="s">
        <v>149</v>
      </c>
      <c r="X277" s="158" t="s">
        <v>149</v>
      </c>
      <c r="Y277" s="153"/>
      <c r="Z277" s="153"/>
      <c r="AA277" s="153"/>
      <c r="AB277" s="158" t="s">
        <v>6091</v>
      </c>
      <c r="AC277" s="153" t="s">
        <v>1537</v>
      </c>
      <c r="AD277" s="165" t="s">
        <v>1538</v>
      </c>
      <c r="AE277" s="153"/>
      <c r="AF277" s="153"/>
      <c r="AG277" s="153"/>
    </row>
    <row r="278">
      <c r="A278" s="238">
        <v>2024.0</v>
      </c>
      <c r="B278" s="230">
        <v>281.0</v>
      </c>
      <c r="C278" s="153" t="s">
        <v>7899</v>
      </c>
      <c r="D278" s="153" t="s">
        <v>194</v>
      </c>
      <c r="E278" s="153" t="s">
        <v>2176</v>
      </c>
      <c r="F278" s="153" t="s">
        <v>2177</v>
      </c>
      <c r="G278" s="153" t="s">
        <v>6587</v>
      </c>
      <c r="H278" s="153" t="s">
        <v>7142</v>
      </c>
      <c r="I278" s="158" t="s">
        <v>149</v>
      </c>
      <c r="J278" s="230">
        <v>2012.0</v>
      </c>
      <c r="K278" s="192" t="s">
        <v>149</v>
      </c>
      <c r="L278" s="153" t="s">
        <v>151</v>
      </c>
      <c r="M278" s="158" t="s">
        <v>149</v>
      </c>
      <c r="N278" s="158" t="s">
        <v>149</v>
      </c>
      <c r="O278" s="158" t="s">
        <v>149</v>
      </c>
      <c r="P278" s="153" t="s">
        <v>341</v>
      </c>
      <c r="Q278" s="158" t="s">
        <v>160</v>
      </c>
      <c r="R278" s="158" t="s">
        <v>6035</v>
      </c>
      <c r="S278" s="158" t="s">
        <v>159</v>
      </c>
      <c r="T278" s="158" t="s">
        <v>149</v>
      </c>
      <c r="U278" s="158" t="s">
        <v>149</v>
      </c>
      <c r="V278" s="158" t="s">
        <v>149</v>
      </c>
      <c r="W278" s="153" t="s">
        <v>2160</v>
      </c>
      <c r="X278" s="153" t="s">
        <v>6035</v>
      </c>
      <c r="Y278" s="153"/>
      <c r="Z278" s="153"/>
      <c r="AA278" s="153"/>
      <c r="AB278" s="158" t="s">
        <v>166</v>
      </c>
      <c r="AC278" s="153" t="s">
        <v>2161</v>
      </c>
      <c r="AD278" s="172" t="s">
        <v>2162</v>
      </c>
      <c r="AE278" s="153"/>
      <c r="AF278" s="153"/>
      <c r="AG278" s="153"/>
    </row>
    <row r="279">
      <c r="A279" s="238">
        <v>2024.0</v>
      </c>
      <c r="B279" s="230">
        <v>282.0</v>
      </c>
      <c r="C279" s="153" t="s">
        <v>7899</v>
      </c>
      <c r="D279" s="153" t="s">
        <v>194</v>
      </c>
      <c r="E279" s="153" t="s">
        <v>2181</v>
      </c>
      <c r="F279" s="153" t="s">
        <v>2182</v>
      </c>
      <c r="G279" s="153" t="s">
        <v>6587</v>
      </c>
      <c r="H279" s="153" t="s">
        <v>7142</v>
      </c>
      <c r="I279" s="158" t="s">
        <v>149</v>
      </c>
      <c r="J279" s="230">
        <v>2012.0</v>
      </c>
      <c r="K279" s="192" t="s">
        <v>149</v>
      </c>
      <c r="L279" s="153" t="s">
        <v>151</v>
      </c>
      <c r="M279" s="158" t="s">
        <v>149</v>
      </c>
      <c r="N279" s="158" t="s">
        <v>149</v>
      </c>
      <c r="O279" s="158" t="s">
        <v>149</v>
      </c>
      <c r="P279" s="153" t="s">
        <v>341</v>
      </c>
      <c r="Q279" s="158" t="s">
        <v>160</v>
      </c>
      <c r="R279" s="158" t="s">
        <v>6035</v>
      </c>
      <c r="S279" s="158" t="s">
        <v>159</v>
      </c>
      <c r="T279" s="158" t="s">
        <v>149</v>
      </c>
      <c r="U279" s="158" t="s">
        <v>149</v>
      </c>
      <c r="V279" s="158" t="s">
        <v>149</v>
      </c>
      <c r="W279" s="153" t="s">
        <v>2160</v>
      </c>
      <c r="X279" s="153" t="s">
        <v>6035</v>
      </c>
      <c r="Y279" s="153"/>
      <c r="Z279" s="153"/>
      <c r="AA279" s="153"/>
      <c r="AB279" s="158" t="s">
        <v>166</v>
      </c>
      <c r="AC279" s="153" t="s">
        <v>2161</v>
      </c>
      <c r="AD279" s="172" t="s">
        <v>2162</v>
      </c>
      <c r="AE279" s="153"/>
      <c r="AF279" s="153"/>
      <c r="AG279" s="153"/>
    </row>
    <row r="280">
      <c r="A280" s="238">
        <v>2024.0</v>
      </c>
      <c r="B280" s="230">
        <v>283.0</v>
      </c>
      <c r="C280" s="153" t="s">
        <v>7899</v>
      </c>
      <c r="D280" s="153" t="s">
        <v>194</v>
      </c>
      <c r="E280" s="153" t="s">
        <v>814</v>
      </c>
      <c r="F280" s="153" t="s">
        <v>815</v>
      </c>
      <c r="G280" s="153" t="s">
        <v>816</v>
      </c>
      <c r="H280" s="153"/>
      <c r="I280" s="192">
        <v>1988.0</v>
      </c>
      <c r="J280" s="192">
        <v>1984.0</v>
      </c>
      <c r="K280" s="192">
        <v>1992.0</v>
      </c>
      <c r="L280" s="153" t="s">
        <v>151</v>
      </c>
      <c r="M280" s="158" t="s">
        <v>149</v>
      </c>
      <c r="N280" s="158" t="s">
        <v>149</v>
      </c>
      <c r="O280" s="153" t="s">
        <v>819</v>
      </c>
      <c r="P280" s="153" t="s">
        <v>820</v>
      </c>
      <c r="Q280" s="158" t="s">
        <v>6154</v>
      </c>
      <c r="R280" s="158" t="s">
        <v>206</v>
      </c>
      <c r="S280" s="158" t="s">
        <v>159</v>
      </c>
      <c r="T280" s="158" t="s">
        <v>149</v>
      </c>
      <c r="U280" s="158" t="s">
        <v>149</v>
      </c>
      <c r="V280" s="158" t="s">
        <v>149</v>
      </c>
      <c r="W280" s="153" t="s">
        <v>821</v>
      </c>
      <c r="X280" s="153" t="s">
        <v>6035</v>
      </c>
      <c r="Y280" s="153" t="s">
        <v>822</v>
      </c>
      <c r="Z280" s="153"/>
      <c r="AA280" s="153"/>
      <c r="AB280" s="153" t="s">
        <v>6084</v>
      </c>
      <c r="AC280" s="153" t="s">
        <v>823</v>
      </c>
      <c r="AD280" s="172" t="s">
        <v>824</v>
      </c>
      <c r="AE280" s="153"/>
      <c r="AF280" s="153"/>
      <c r="AG280" s="153"/>
    </row>
    <row r="281">
      <c r="A281" s="238">
        <v>2024.0</v>
      </c>
      <c r="B281" s="230">
        <v>284.0</v>
      </c>
      <c r="C281" s="153" t="s">
        <v>7899</v>
      </c>
      <c r="D281" s="153" t="s">
        <v>194</v>
      </c>
      <c r="E281" s="153" t="s">
        <v>2185</v>
      </c>
      <c r="F281" s="153" t="s">
        <v>2186</v>
      </c>
      <c r="G281" s="153" t="s">
        <v>6587</v>
      </c>
      <c r="H281" s="153" t="s">
        <v>7142</v>
      </c>
      <c r="I281" s="158" t="s">
        <v>149</v>
      </c>
      <c r="J281" s="230">
        <v>2012.0</v>
      </c>
      <c r="K281" s="192" t="s">
        <v>149</v>
      </c>
      <c r="L281" s="153" t="s">
        <v>151</v>
      </c>
      <c r="M281" s="158" t="s">
        <v>149</v>
      </c>
      <c r="N281" s="158" t="s">
        <v>149</v>
      </c>
      <c r="O281" s="153" t="s">
        <v>7101</v>
      </c>
      <c r="P281" s="153" t="s">
        <v>341</v>
      </c>
      <c r="Q281" s="158" t="s">
        <v>160</v>
      </c>
      <c r="R281" s="158" t="s">
        <v>6035</v>
      </c>
      <c r="S281" s="158" t="s">
        <v>159</v>
      </c>
      <c r="T281" s="158" t="s">
        <v>149</v>
      </c>
      <c r="U281" s="158" t="s">
        <v>149</v>
      </c>
      <c r="V281" s="158" t="s">
        <v>149</v>
      </c>
      <c r="W281" s="153" t="s">
        <v>2160</v>
      </c>
      <c r="X281" s="153" t="s">
        <v>6035</v>
      </c>
      <c r="Y281" s="153"/>
      <c r="Z281" s="153"/>
      <c r="AA281" s="153"/>
      <c r="AB281" s="158" t="s">
        <v>166</v>
      </c>
      <c r="AC281" s="153" t="s">
        <v>2161</v>
      </c>
      <c r="AD281" s="172" t="s">
        <v>2162</v>
      </c>
      <c r="AE281" s="153"/>
      <c r="AF281" s="153"/>
      <c r="AG281" s="153"/>
    </row>
    <row r="282">
      <c r="A282" s="238">
        <v>2024.0</v>
      </c>
      <c r="B282" s="230">
        <v>285.0</v>
      </c>
      <c r="C282" s="153" t="s">
        <v>7899</v>
      </c>
      <c r="D282" s="153" t="s">
        <v>194</v>
      </c>
      <c r="E282" s="153" t="s">
        <v>195</v>
      </c>
      <c r="F282" s="153" t="s">
        <v>196</v>
      </c>
      <c r="G282" s="158" t="s">
        <v>149</v>
      </c>
      <c r="H282" s="153"/>
      <c r="I282" s="230">
        <v>2022.0</v>
      </c>
      <c r="J282" s="192" t="s">
        <v>149</v>
      </c>
      <c r="K282" s="192" t="s">
        <v>149</v>
      </c>
      <c r="L282" s="153" t="s">
        <v>6062</v>
      </c>
      <c r="M282" s="153" t="s">
        <v>6666</v>
      </c>
      <c r="N282" s="158" t="s">
        <v>179</v>
      </c>
      <c r="O282" s="158" t="s">
        <v>149</v>
      </c>
      <c r="P282" s="153" t="s">
        <v>3147</v>
      </c>
      <c r="Q282" s="158" t="s">
        <v>160</v>
      </c>
      <c r="R282" s="158" t="s">
        <v>306</v>
      </c>
      <c r="S282" s="158" t="s">
        <v>159</v>
      </c>
      <c r="T282" s="158" t="s">
        <v>149</v>
      </c>
      <c r="U282" s="158" t="s">
        <v>149</v>
      </c>
      <c r="V282" s="158" t="s">
        <v>149</v>
      </c>
      <c r="W282" s="158" t="s">
        <v>3147</v>
      </c>
      <c r="X282" s="153" t="s">
        <v>306</v>
      </c>
      <c r="Y282" s="153"/>
      <c r="Z282" s="153"/>
      <c r="AA282" s="153"/>
      <c r="AB282" s="153" t="s">
        <v>214</v>
      </c>
      <c r="AC282" s="153" t="s">
        <v>214</v>
      </c>
      <c r="AD282" s="153"/>
      <c r="AE282" s="153" t="s">
        <v>3148</v>
      </c>
      <c r="AF282" s="153"/>
      <c r="AG282" s="153"/>
    </row>
    <row r="283">
      <c r="A283" s="238">
        <v>2024.0</v>
      </c>
      <c r="B283" s="252">
        <v>286.0</v>
      </c>
      <c r="C283" s="253" t="s">
        <v>7899</v>
      </c>
      <c r="D283" s="253" t="s">
        <v>194</v>
      </c>
      <c r="E283" s="253" t="s">
        <v>195</v>
      </c>
      <c r="F283" s="253" t="s">
        <v>196</v>
      </c>
      <c r="G283" s="253" t="s">
        <v>3412</v>
      </c>
      <c r="H283" s="253"/>
      <c r="I283" s="252">
        <v>2014.0</v>
      </c>
      <c r="J283" s="252">
        <v>2014.0</v>
      </c>
      <c r="K283" s="252">
        <v>2016.0</v>
      </c>
      <c r="L283" s="253" t="s">
        <v>6221</v>
      </c>
      <c r="M283" s="254" t="s">
        <v>1358</v>
      </c>
      <c r="N283" s="254"/>
      <c r="O283" s="254" t="s">
        <v>149</v>
      </c>
      <c r="P283" s="253" t="s">
        <v>321</v>
      </c>
      <c r="Q283" s="254" t="s">
        <v>160</v>
      </c>
      <c r="R283" s="254" t="s">
        <v>6035</v>
      </c>
      <c r="S283" s="254" t="s">
        <v>204</v>
      </c>
      <c r="T283" s="254" t="s">
        <v>149</v>
      </c>
      <c r="U283" s="254" t="s">
        <v>149</v>
      </c>
      <c r="V283" s="254" t="s">
        <v>149</v>
      </c>
      <c r="W283" s="253" t="s">
        <v>885</v>
      </c>
      <c r="X283" s="254" t="s">
        <v>6068</v>
      </c>
      <c r="Y283" s="253" t="s">
        <v>1858</v>
      </c>
      <c r="Z283" s="253"/>
      <c r="AA283" s="253"/>
      <c r="AB283" s="254" t="s">
        <v>6069</v>
      </c>
      <c r="AC283" s="253" t="s">
        <v>1859</v>
      </c>
      <c r="AD283" s="253" t="s">
        <v>6070</v>
      </c>
      <c r="AE283" s="253" t="s">
        <v>1861</v>
      </c>
      <c r="AF283" s="255" t="s">
        <v>1862</v>
      </c>
      <c r="AG283" s="253"/>
    </row>
    <row r="284">
      <c r="A284" s="238">
        <v>2024.0</v>
      </c>
      <c r="B284" s="230">
        <v>287.0</v>
      </c>
      <c r="C284" s="153" t="s">
        <v>7899</v>
      </c>
      <c r="D284" s="153" t="s">
        <v>194</v>
      </c>
      <c r="E284" s="153" t="s">
        <v>195</v>
      </c>
      <c r="F284" s="153" t="s">
        <v>196</v>
      </c>
      <c r="G284" s="153" t="s">
        <v>6235</v>
      </c>
      <c r="H284" s="153" t="s">
        <v>198</v>
      </c>
      <c r="I284" s="230">
        <v>2024.0</v>
      </c>
      <c r="J284" s="230">
        <v>2021.0</v>
      </c>
      <c r="K284" s="192">
        <v>2025.0</v>
      </c>
      <c r="L284" s="153" t="s">
        <v>6221</v>
      </c>
      <c r="M284" s="158" t="s">
        <v>201</v>
      </c>
      <c r="N284" s="158" t="s">
        <v>224</v>
      </c>
      <c r="O284" s="153" t="s">
        <v>202</v>
      </c>
      <c r="P284" s="153" t="s">
        <v>203</v>
      </c>
      <c r="Q284" s="158" t="s">
        <v>6154</v>
      </c>
      <c r="R284" s="158" t="s">
        <v>206</v>
      </c>
      <c r="S284" s="158" t="s">
        <v>204</v>
      </c>
      <c r="T284" s="158" t="s">
        <v>149</v>
      </c>
      <c r="U284" s="158" t="s">
        <v>149</v>
      </c>
      <c r="V284" s="158" t="s">
        <v>149</v>
      </c>
      <c r="W284" s="153" t="s">
        <v>208</v>
      </c>
      <c r="X284" s="158" t="s">
        <v>6068</v>
      </c>
      <c r="Y284" s="153" t="s">
        <v>6614</v>
      </c>
      <c r="Z284" s="153" t="s">
        <v>212</v>
      </c>
      <c r="AA284" s="153"/>
      <c r="AB284" s="153" t="s">
        <v>214</v>
      </c>
      <c r="AC284" s="153" t="s">
        <v>214</v>
      </c>
      <c r="AD284" s="153"/>
      <c r="AE284" s="153"/>
      <c r="AF284" s="239"/>
      <c r="AG284" s="153"/>
    </row>
    <row r="285">
      <c r="A285" s="238">
        <v>2024.0</v>
      </c>
      <c r="B285" s="230">
        <v>288.0</v>
      </c>
      <c r="C285" s="153" t="s">
        <v>7899</v>
      </c>
      <c r="D285" s="153" t="s">
        <v>194</v>
      </c>
      <c r="E285" s="153" t="s">
        <v>2222</v>
      </c>
      <c r="F285" s="153" t="s">
        <v>2223</v>
      </c>
      <c r="G285" s="153" t="s">
        <v>2224</v>
      </c>
      <c r="H285" s="153" t="s">
        <v>2225</v>
      </c>
      <c r="I285" s="230">
        <v>2019.0</v>
      </c>
      <c r="J285" s="230">
        <v>2019.0</v>
      </c>
      <c r="K285" s="230">
        <v>2023.0</v>
      </c>
      <c r="L285" s="153" t="s">
        <v>7163</v>
      </c>
      <c r="M285" s="153" t="s">
        <v>320</v>
      </c>
      <c r="N285" s="158" t="s">
        <v>179</v>
      </c>
      <c r="O285" s="153" t="s">
        <v>2227</v>
      </c>
      <c r="P285" s="153" t="s">
        <v>2228</v>
      </c>
      <c r="Q285" s="158" t="s">
        <v>160</v>
      </c>
      <c r="R285" s="158" t="s">
        <v>184</v>
      </c>
      <c r="S285" s="158" t="s">
        <v>159</v>
      </c>
      <c r="T285" s="158" t="s">
        <v>149</v>
      </c>
      <c r="U285" s="158" t="s">
        <v>149</v>
      </c>
      <c r="V285" s="158" t="s">
        <v>149</v>
      </c>
      <c r="W285" s="153" t="s">
        <v>2229</v>
      </c>
      <c r="X285" s="153" t="s">
        <v>306</v>
      </c>
      <c r="Y285" s="153" t="s">
        <v>2230</v>
      </c>
      <c r="Z285" s="153" t="s">
        <v>7165</v>
      </c>
      <c r="AA285" s="153" t="s">
        <v>2232</v>
      </c>
      <c r="AB285" s="153" t="s">
        <v>213</v>
      </c>
      <c r="AC285" s="153" t="s">
        <v>213</v>
      </c>
      <c r="AD285" s="165" t="s">
        <v>2233</v>
      </c>
      <c r="AE285" s="153" t="s">
        <v>2234</v>
      </c>
      <c r="AF285" s="165" t="s">
        <v>2235</v>
      </c>
      <c r="AG285" s="153"/>
    </row>
    <row r="286">
      <c r="A286" s="238">
        <v>2024.0</v>
      </c>
      <c r="B286" s="230">
        <v>289.0</v>
      </c>
      <c r="C286" s="153" t="s">
        <v>7899</v>
      </c>
      <c r="D286" s="153" t="s">
        <v>194</v>
      </c>
      <c r="E286" s="153" t="s">
        <v>7114</v>
      </c>
      <c r="F286" s="153" t="s">
        <v>217</v>
      </c>
      <c r="G286" s="153" t="s">
        <v>384</v>
      </c>
      <c r="H286" s="153" t="s">
        <v>2880</v>
      </c>
      <c r="I286" s="230">
        <v>1979.0</v>
      </c>
      <c r="J286" s="230">
        <v>1985.0</v>
      </c>
      <c r="K286" s="230">
        <v>1987.0</v>
      </c>
      <c r="L286" s="153" t="s">
        <v>151</v>
      </c>
      <c r="M286" s="153" t="s">
        <v>6054</v>
      </c>
      <c r="N286" s="158" t="s">
        <v>6054</v>
      </c>
      <c r="O286" s="158" t="s">
        <v>149</v>
      </c>
      <c r="P286" s="153" t="s">
        <v>390</v>
      </c>
      <c r="Q286" s="158" t="s">
        <v>160</v>
      </c>
      <c r="R286" s="158" t="s">
        <v>6035</v>
      </c>
      <c r="S286" s="158" t="s">
        <v>159</v>
      </c>
      <c r="T286" s="158" t="s">
        <v>149</v>
      </c>
      <c r="U286" s="158" t="s">
        <v>149</v>
      </c>
      <c r="V286" s="153" t="s">
        <v>391</v>
      </c>
      <c r="W286" s="153" t="s">
        <v>390</v>
      </c>
      <c r="X286" s="153" t="s">
        <v>6035</v>
      </c>
      <c r="Y286" s="153" t="s">
        <v>6055</v>
      </c>
      <c r="Z286" s="153"/>
      <c r="AA286" s="153"/>
      <c r="AB286" s="158" t="s">
        <v>395</v>
      </c>
      <c r="AC286" s="153" t="s">
        <v>6060</v>
      </c>
      <c r="AD286" s="153" t="s">
        <v>2873</v>
      </c>
      <c r="AE286" s="153" t="s">
        <v>398</v>
      </c>
      <c r="AF286" s="239"/>
      <c r="AG286" s="153" t="s">
        <v>6109</v>
      </c>
    </row>
    <row r="287">
      <c r="A287" s="238">
        <v>2024.0</v>
      </c>
      <c r="B287" s="230">
        <v>290.0</v>
      </c>
      <c r="C287" s="153" t="s">
        <v>7899</v>
      </c>
      <c r="D287" s="153" t="s">
        <v>194</v>
      </c>
      <c r="E287" s="153" t="s">
        <v>7114</v>
      </c>
      <c r="F287" s="153" t="s">
        <v>217</v>
      </c>
      <c r="G287" s="153" t="s">
        <v>384</v>
      </c>
      <c r="H287" s="153" t="s">
        <v>2882</v>
      </c>
      <c r="I287" s="230">
        <v>1982.0</v>
      </c>
      <c r="J287" s="230">
        <v>1985.0</v>
      </c>
      <c r="K287" s="230">
        <v>1987.0</v>
      </c>
      <c r="L287" s="153" t="s">
        <v>151</v>
      </c>
      <c r="M287" s="153" t="s">
        <v>6054</v>
      </c>
      <c r="N287" s="158" t="s">
        <v>6054</v>
      </c>
      <c r="O287" s="158" t="s">
        <v>149</v>
      </c>
      <c r="P287" s="153" t="s">
        <v>390</v>
      </c>
      <c r="Q287" s="158" t="s">
        <v>160</v>
      </c>
      <c r="R287" s="158" t="s">
        <v>6035</v>
      </c>
      <c r="S287" s="158" t="s">
        <v>159</v>
      </c>
      <c r="T287" s="158" t="s">
        <v>149</v>
      </c>
      <c r="U287" s="158" t="s">
        <v>149</v>
      </c>
      <c r="V287" s="153" t="s">
        <v>414</v>
      </c>
      <c r="W287" s="153" t="s">
        <v>390</v>
      </c>
      <c r="X287" s="153" t="s">
        <v>6035</v>
      </c>
      <c r="Y287" s="153" t="s">
        <v>6055</v>
      </c>
      <c r="Z287" s="153"/>
      <c r="AA287" s="153"/>
      <c r="AB287" s="158" t="s">
        <v>395</v>
      </c>
      <c r="AC287" s="153" t="s">
        <v>6060</v>
      </c>
      <c r="AD287" s="153" t="s">
        <v>2873</v>
      </c>
      <c r="AE287" s="153" t="s">
        <v>398</v>
      </c>
      <c r="AF287" s="239"/>
      <c r="AG287" s="153" t="s">
        <v>6109</v>
      </c>
    </row>
    <row r="288">
      <c r="A288" s="238">
        <v>2024.0</v>
      </c>
      <c r="B288" s="230">
        <v>291.0</v>
      </c>
      <c r="C288" s="153" t="s">
        <v>7899</v>
      </c>
      <c r="D288" s="153" t="s">
        <v>194</v>
      </c>
      <c r="E288" s="153" t="s">
        <v>7114</v>
      </c>
      <c r="F288" s="153" t="s">
        <v>217</v>
      </c>
      <c r="G288" s="153" t="s">
        <v>877</v>
      </c>
      <c r="H288" s="153" t="s">
        <v>878</v>
      </c>
      <c r="I288" s="230">
        <v>1997.0</v>
      </c>
      <c r="J288" s="230">
        <v>1997.0</v>
      </c>
      <c r="K288" s="230">
        <v>2000.0</v>
      </c>
      <c r="L288" s="153" t="s">
        <v>6062</v>
      </c>
      <c r="M288" s="153" t="s">
        <v>320</v>
      </c>
      <c r="N288" s="158" t="s">
        <v>179</v>
      </c>
      <c r="O288" s="153" t="s">
        <v>881</v>
      </c>
      <c r="P288" s="153" t="s">
        <v>7120</v>
      </c>
      <c r="Q288" s="158" t="s">
        <v>6154</v>
      </c>
      <c r="R288" s="158" t="s">
        <v>206</v>
      </c>
      <c r="S288" s="158" t="s">
        <v>159</v>
      </c>
      <c r="T288" s="158" t="s">
        <v>149</v>
      </c>
      <c r="U288" s="153" t="s">
        <v>7121</v>
      </c>
      <c r="V288" s="188" t="s">
        <v>884</v>
      </c>
      <c r="W288" s="153" t="s">
        <v>885</v>
      </c>
      <c r="X288" s="158" t="s">
        <v>6068</v>
      </c>
      <c r="Y288" s="153" t="s">
        <v>887</v>
      </c>
      <c r="Z288" s="153"/>
      <c r="AA288" s="153" t="s">
        <v>888</v>
      </c>
      <c r="AB288" s="158" t="s">
        <v>395</v>
      </c>
      <c r="AC288" s="153" t="s">
        <v>7182</v>
      </c>
      <c r="AD288" s="165" t="s">
        <v>942</v>
      </c>
      <c r="AE288" s="153" t="s">
        <v>1280</v>
      </c>
      <c r="AF288" s="153"/>
      <c r="AG288" s="153"/>
    </row>
    <row r="289">
      <c r="A289" s="238">
        <v>2024.0</v>
      </c>
      <c r="B289" s="230">
        <v>292.0</v>
      </c>
      <c r="C289" s="153" t="s">
        <v>7899</v>
      </c>
      <c r="D289" s="153" t="s">
        <v>194</v>
      </c>
      <c r="E289" s="153" t="s">
        <v>7114</v>
      </c>
      <c r="F289" s="153" t="s">
        <v>217</v>
      </c>
      <c r="G289" s="158" t="s">
        <v>149</v>
      </c>
      <c r="H289" s="153" t="s">
        <v>3150</v>
      </c>
      <c r="I289" s="230">
        <v>2014.0</v>
      </c>
      <c r="J289" s="230">
        <v>2014.0</v>
      </c>
      <c r="K289" s="230">
        <v>2015.0</v>
      </c>
      <c r="L289" s="153" t="s">
        <v>6062</v>
      </c>
      <c r="M289" s="153" t="s">
        <v>7185</v>
      </c>
      <c r="N289" s="158" t="s">
        <v>179</v>
      </c>
      <c r="O289" s="158" t="s">
        <v>149</v>
      </c>
      <c r="P289" s="158" t="s">
        <v>149</v>
      </c>
      <c r="Q289" s="158" t="s">
        <v>149</v>
      </c>
      <c r="R289" s="158" t="s">
        <v>149</v>
      </c>
      <c r="S289" s="158" t="s">
        <v>149</v>
      </c>
      <c r="T289" s="158" t="s">
        <v>149</v>
      </c>
      <c r="U289" s="158" t="s">
        <v>149</v>
      </c>
      <c r="V289" s="158" t="s">
        <v>149</v>
      </c>
      <c r="W289" s="153" t="s">
        <v>885</v>
      </c>
      <c r="X289" s="158" t="s">
        <v>6068</v>
      </c>
      <c r="Y289" s="153"/>
      <c r="Z289" s="153"/>
      <c r="AA289" s="153"/>
      <c r="AB289" s="158" t="s">
        <v>7186</v>
      </c>
      <c r="AC289" s="153" t="s">
        <v>3151</v>
      </c>
      <c r="AD289" s="165" t="s">
        <v>7187</v>
      </c>
      <c r="AE289" s="153"/>
      <c r="AF289" s="153"/>
      <c r="AG289" s="153"/>
    </row>
    <row r="290">
      <c r="A290" s="238">
        <v>2024.0</v>
      </c>
      <c r="B290" s="230">
        <v>293.0</v>
      </c>
      <c r="C290" s="153" t="s">
        <v>7899</v>
      </c>
      <c r="D290" s="153" t="s">
        <v>194</v>
      </c>
      <c r="E290" s="153" t="s">
        <v>7114</v>
      </c>
      <c r="F290" s="153" t="s">
        <v>217</v>
      </c>
      <c r="G290" s="158" t="s">
        <v>149</v>
      </c>
      <c r="H290" s="153" t="s">
        <v>218</v>
      </c>
      <c r="I290" s="230">
        <v>2014.0</v>
      </c>
      <c r="J290" s="230">
        <v>2014.0</v>
      </c>
      <c r="K290" s="230">
        <v>2015.0</v>
      </c>
      <c r="L290" s="153" t="s">
        <v>6814</v>
      </c>
      <c r="M290" s="153" t="s">
        <v>7185</v>
      </c>
      <c r="N290" s="158" t="s">
        <v>179</v>
      </c>
      <c r="O290" s="158" t="s">
        <v>149</v>
      </c>
      <c r="P290" s="158" t="s">
        <v>149</v>
      </c>
      <c r="Q290" s="158" t="s">
        <v>149</v>
      </c>
      <c r="R290" s="158" t="s">
        <v>149</v>
      </c>
      <c r="S290" s="158" t="s">
        <v>149</v>
      </c>
      <c r="T290" s="158" t="s">
        <v>149</v>
      </c>
      <c r="U290" s="158" t="s">
        <v>149</v>
      </c>
      <c r="V290" s="158" t="s">
        <v>149</v>
      </c>
      <c r="W290" s="153" t="s">
        <v>885</v>
      </c>
      <c r="X290" s="158" t="s">
        <v>6068</v>
      </c>
      <c r="Y290" s="153"/>
      <c r="Z290" s="153"/>
      <c r="AA290" s="153"/>
      <c r="AB290" s="158" t="s">
        <v>7186</v>
      </c>
      <c r="AC290" s="153" t="s">
        <v>3151</v>
      </c>
      <c r="AD290" s="165" t="s">
        <v>7187</v>
      </c>
      <c r="AE290" s="153"/>
      <c r="AF290" s="153"/>
      <c r="AG290" s="153"/>
    </row>
    <row r="291">
      <c r="A291" s="238">
        <v>2024.0</v>
      </c>
      <c r="B291" s="230">
        <v>294.0</v>
      </c>
      <c r="C291" s="153" t="s">
        <v>7899</v>
      </c>
      <c r="D291" s="153" t="s">
        <v>194</v>
      </c>
      <c r="E291" s="153" t="s">
        <v>7114</v>
      </c>
      <c r="F291" s="153" t="s">
        <v>217</v>
      </c>
      <c r="G291" s="153" t="s">
        <v>2073</v>
      </c>
      <c r="H291" s="153" t="s">
        <v>218</v>
      </c>
      <c r="I291" s="192" t="s">
        <v>149</v>
      </c>
      <c r="J291" s="192" t="s">
        <v>149</v>
      </c>
      <c r="K291" s="192" t="s">
        <v>149</v>
      </c>
      <c r="L291" s="153" t="s">
        <v>6062</v>
      </c>
      <c r="M291" s="153" t="s">
        <v>7193</v>
      </c>
      <c r="N291" s="158" t="s">
        <v>179</v>
      </c>
      <c r="O291" s="153" t="s">
        <v>7132</v>
      </c>
      <c r="P291" s="153" t="s">
        <v>2077</v>
      </c>
      <c r="Q291" s="158" t="s">
        <v>160</v>
      </c>
      <c r="R291" s="158" t="s">
        <v>184</v>
      </c>
      <c r="S291" s="158" t="s">
        <v>159</v>
      </c>
      <c r="T291" s="158" t="s">
        <v>149</v>
      </c>
      <c r="U291" s="158" t="s">
        <v>149</v>
      </c>
      <c r="V291" s="158" t="s">
        <v>149</v>
      </c>
      <c r="W291" s="153" t="s">
        <v>2077</v>
      </c>
      <c r="X291" s="158" t="s">
        <v>184</v>
      </c>
      <c r="Y291" s="153"/>
      <c r="Z291" s="153"/>
      <c r="AA291" s="153"/>
      <c r="AB291" s="158" t="s">
        <v>6091</v>
      </c>
      <c r="AC291" s="153" t="s">
        <v>2078</v>
      </c>
      <c r="AD291" s="165" t="s">
        <v>2079</v>
      </c>
      <c r="AE291" s="153"/>
      <c r="AF291" s="153"/>
      <c r="AG291" s="153"/>
    </row>
    <row r="292">
      <c r="A292" s="238">
        <v>2024.0</v>
      </c>
      <c r="B292" s="230">
        <v>295.0</v>
      </c>
      <c r="C292" s="153" t="s">
        <v>7899</v>
      </c>
      <c r="D292" s="153" t="s">
        <v>194</v>
      </c>
      <c r="E292" s="153" t="s">
        <v>7114</v>
      </c>
      <c r="F292" s="153" t="s">
        <v>217</v>
      </c>
      <c r="G292" s="153" t="s">
        <v>872</v>
      </c>
      <c r="H292" s="153" t="s">
        <v>7198</v>
      </c>
      <c r="I292" s="230">
        <v>2010.0</v>
      </c>
      <c r="J292" s="192" t="s">
        <v>149</v>
      </c>
      <c r="K292" s="192" t="s">
        <v>149</v>
      </c>
      <c r="L292" s="153" t="s">
        <v>6062</v>
      </c>
      <c r="M292" s="153" t="s">
        <v>320</v>
      </c>
      <c r="N292" s="158" t="s">
        <v>149</v>
      </c>
      <c r="O292" s="158" t="s">
        <v>149</v>
      </c>
      <c r="P292" s="153" t="s">
        <v>872</v>
      </c>
      <c r="Q292" s="158" t="s">
        <v>160</v>
      </c>
      <c r="R292" s="158" t="s">
        <v>306</v>
      </c>
      <c r="S292" s="158" t="s">
        <v>159</v>
      </c>
      <c r="T292" s="158" t="s">
        <v>149</v>
      </c>
      <c r="U292" s="158" t="s">
        <v>149</v>
      </c>
      <c r="V292" s="158" t="s">
        <v>149</v>
      </c>
      <c r="W292" s="153" t="s">
        <v>872</v>
      </c>
      <c r="X292" s="158" t="s">
        <v>306</v>
      </c>
      <c r="Y292" s="153"/>
      <c r="Z292" s="153"/>
      <c r="AA292" s="153"/>
      <c r="AB292" s="158" t="s">
        <v>6027</v>
      </c>
      <c r="AC292" s="153" t="s">
        <v>874</v>
      </c>
      <c r="AD292" s="165" t="s">
        <v>875</v>
      </c>
      <c r="AE292" s="153"/>
      <c r="AF292" s="153"/>
      <c r="AG292" s="153"/>
    </row>
    <row r="293">
      <c r="A293" s="238">
        <v>2024.0</v>
      </c>
      <c r="B293" s="252">
        <v>296.0</v>
      </c>
      <c r="C293" s="253" t="s">
        <v>7899</v>
      </c>
      <c r="D293" s="253" t="s">
        <v>194</v>
      </c>
      <c r="E293" s="253" t="s">
        <v>7114</v>
      </c>
      <c r="F293" s="253" t="s">
        <v>217</v>
      </c>
      <c r="G293" s="253" t="s">
        <v>3412</v>
      </c>
      <c r="H293" s="253"/>
      <c r="I293" s="252">
        <v>2014.0</v>
      </c>
      <c r="J293" s="252">
        <v>2014.0</v>
      </c>
      <c r="K293" s="252">
        <v>2016.0</v>
      </c>
      <c r="L293" s="253" t="s">
        <v>6221</v>
      </c>
      <c r="M293" s="254" t="s">
        <v>149</v>
      </c>
      <c r="N293" s="254"/>
      <c r="O293" s="254" t="s">
        <v>149</v>
      </c>
      <c r="P293" s="253" t="s">
        <v>321</v>
      </c>
      <c r="Q293" s="254" t="s">
        <v>160</v>
      </c>
      <c r="R293" s="254" t="s">
        <v>6035</v>
      </c>
      <c r="S293" s="254" t="s">
        <v>204</v>
      </c>
      <c r="T293" s="254" t="s">
        <v>149</v>
      </c>
      <c r="U293" s="254" t="s">
        <v>149</v>
      </c>
      <c r="V293" s="254" t="s">
        <v>149</v>
      </c>
      <c r="W293" s="253" t="s">
        <v>885</v>
      </c>
      <c r="X293" s="254" t="s">
        <v>6068</v>
      </c>
      <c r="Y293" s="253" t="s">
        <v>1858</v>
      </c>
      <c r="Z293" s="253"/>
      <c r="AA293" s="253"/>
      <c r="AB293" s="254" t="s">
        <v>6069</v>
      </c>
      <c r="AC293" s="253" t="s">
        <v>1859</v>
      </c>
      <c r="AD293" s="253" t="s">
        <v>6070</v>
      </c>
      <c r="AE293" s="253" t="s">
        <v>1861</v>
      </c>
      <c r="AF293" s="255" t="s">
        <v>1862</v>
      </c>
      <c r="AG293" s="253"/>
    </row>
    <row r="294">
      <c r="A294" s="238">
        <v>2024.0</v>
      </c>
      <c r="B294" s="230">
        <v>297.0</v>
      </c>
      <c r="C294" s="153" t="s">
        <v>7899</v>
      </c>
      <c r="D294" s="153" t="s">
        <v>194</v>
      </c>
      <c r="E294" s="153" t="s">
        <v>7114</v>
      </c>
      <c r="F294" s="153" t="s">
        <v>217</v>
      </c>
      <c r="G294" s="153" t="s">
        <v>934</v>
      </c>
      <c r="H294" s="153"/>
      <c r="I294" s="230">
        <v>2001.0</v>
      </c>
      <c r="J294" s="230">
        <v>2001.0</v>
      </c>
      <c r="K294" s="230">
        <v>2005.0</v>
      </c>
      <c r="L294" s="153" t="s">
        <v>6062</v>
      </c>
      <c r="M294" s="153" t="s">
        <v>3245</v>
      </c>
      <c r="N294" s="158" t="s">
        <v>179</v>
      </c>
      <c r="O294" s="153" t="s">
        <v>939</v>
      </c>
      <c r="P294" s="153" t="s">
        <v>940</v>
      </c>
      <c r="Q294" s="158" t="s">
        <v>6154</v>
      </c>
      <c r="R294" s="158" t="s">
        <v>206</v>
      </c>
      <c r="S294" s="158" t="s">
        <v>204</v>
      </c>
      <c r="T294" s="158" t="s">
        <v>149</v>
      </c>
      <c r="U294" s="158" t="s">
        <v>149</v>
      </c>
      <c r="V294" s="158" t="s">
        <v>149</v>
      </c>
      <c r="W294" s="153" t="s">
        <v>233</v>
      </c>
      <c r="X294" s="158" t="s">
        <v>6068</v>
      </c>
      <c r="Y294" s="153"/>
      <c r="Z294" s="153"/>
      <c r="AA294" s="153"/>
      <c r="AB294" s="158" t="s">
        <v>6214</v>
      </c>
      <c r="AC294" s="153" t="s">
        <v>941</v>
      </c>
      <c r="AD294" s="153" t="s">
        <v>942</v>
      </c>
      <c r="AE294" s="153" t="s">
        <v>943</v>
      </c>
      <c r="AF294" s="153"/>
      <c r="AG294" s="153"/>
    </row>
    <row r="295">
      <c r="A295" s="238">
        <v>2024.0</v>
      </c>
      <c r="B295" s="230">
        <v>298.0</v>
      </c>
      <c r="C295" s="153" t="s">
        <v>7899</v>
      </c>
      <c r="D295" s="153" t="s">
        <v>194</v>
      </c>
      <c r="E295" s="153" t="s">
        <v>7114</v>
      </c>
      <c r="F295" s="153" t="s">
        <v>217</v>
      </c>
      <c r="G295" s="153" t="s">
        <v>6235</v>
      </c>
      <c r="H295" s="153" t="s">
        <v>218</v>
      </c>
      <c r="I295" s="230">
        <v>2024.0</v>
      </c>
      <c r="J295" s="230">
        <v>2021.0</v>
      </c>
      <c r="K295" s="192">
        <v>2025.0</v>
      </c>
      <c r="L295" s="153" t="s">
        <v>6221</v>
      </c>
      <c r="M295" s="158" t="s">
        <v>201</v>
      </c>
      <c r="N295" s="158" t="s">
        <v>224</v>
      </c>
      <c r="O295" s="153" t="s">
        <v>202</v>
      </c>
      <c r="P295" s="153" t="s">
        <v>203</v>
      </c>
      <c r="Q295" s="158" t="s">
        <v>6154</v>
      </c>
      <c r="R295" s="158" t="s">
        <v>206</v>
      </c>
      <c r="S295" s="158" t="s">
        <v>204</v>
      </c>
      <c r="T295" s="158" t="s">
        <v>149</v>
      </c>
      <c r="U295" s="158" t="s">
        <v>149</v>
      </c>
      <c r="V295" s="158" t="s">
        <v>149</v>
      </c>
      <c r="W295" s="153" t="s">
        <v>208</v>
      </c>
      <c r="X295" s="158" t="s">
        <v>6068</v>
      </c>
      <c r="Y295" s="153" t="s">
        <v>7208</v>
      </c>
      <c r="Z295" s="153" t="s">
        <v>212</v>
      </c>
      <c r="AA295" s="153"/>
      <c r="AB295" s="153" t="s">
        <v>214</v>
      </c>
      <c r="AC295" s="153" t="s">
        <v>214</v>
      </c>
      <c r="AD295" s="153"/>
      <c r="AE295" s="153"/>
      <c r="AF295" s="153"/>
      <c r="AG295" s="153"/>
    </row>
    <row r="296">
      <c r="A296" s="238">
        <v>2024.0</v>
      </c>
      <c r="B296" s="230">
        <v>299.0</v>
      </c>
      <c r="C296" s="153" t="s">
        <v>7899</v>
      </c>
      <c r="D296" s="153" t="s">
        <v>194</v>
      </c>
      <c r="E296" s="153" t="s">
        <v>568</v>
      </c>
      <c r="F296" s="153" t="s">
        <v>569</v>
      </c>
      <c r="G296" s="153" t="s">
        <v>384</v>
      </c>
      <c r="H296" s="153" t="s">
        <v>570</v>
      </c>
      <c r="I296" s="230">
        <v>1986.0</v>
      </c>
      <c r="J296" s="230">
        <v>1985.0</v>
      </c>
      <c r="K296" s="230">
        <v>1987.0</v>
      </c>
      <c r="L296" s="153" t="s">
        <v>151</v>
      </c>
      <c r="M296" s="153" t="s">
        <v>6054</v>
      </c>
      <c r="N296" s="158" t="s">
        <v>6054</v>
      </c>
      <c r="O296" s="158" t="s">
        <v>149</v>
      </c>
      <c r="P296" s="153" t="s">
        <v>390</v>
      </c>
      <c r="Q296" s="158" t="s">
        <v>160</v>
      </c>
      <c r="R296" s="158" t="s">
        <v>6035</v>
      </c>
      <c r="S296" s="158" t="s">
        <v>159</v>
      </c>
      <c r="T296" s="158" t="s">
        <v>149</v>
      </c>
      <c r="U296" s="158" t="s">
        <v>149</v>
      </c>
      <c r="V296" s="153" t="s">
        <v>571</v>
      </c>
      <c r="W296" s="153" t="s">
        <v>390</v>
      </c>
      <c r="X296" s="153" t="s">
        <v>6035</v>
      </c>
      <c r="Y296" s="153" t="s">
        <v>6055</v>
      </c>
      <c r="Z296" s="153"/>
      <c r="AA296" s="153"/>
      <c r="AB296" s="158" t="s">
        <v>395</v>
      </c>
      <c r="AC296" s="153" t="s">
        <v>6060</v>
      </c>
      <c r="AD296" s="153" t="s">
        <v>2873</v>
      </c>
      <c r="AE296" s="153" t="s">
        <v>398</v>
      </c>
      <c r="AF296" s="153"/>
      <c r="AG296" s="153"/>
    </row>
    <row r="297">
      <c r="A297" s="238">
        <v>2024.0</v>
      </c>
      <c r="B297" s="230">
        <v>300.0</v>
      </c>
      <c r="C297" s="153" t="s">
        <v>7899</v>
      </c>
      <c r="D297" s="153" t="s">
        <v>194</v>
      </c>
      <c r="E297" s="153" t="s">
        <v>5384</v>
      </c>
      <c r="F297" s="153" t="s">
        <v>2314</v>
      </c>
      <c r="G297" s="158" t="s">
        <v>149</v>
      </c>
      <c r="H297" s="153"/>
      <c r="I297" s="230">
        <v>1990.0</v>
      </c>
      <c r="J297" s="192" t="s">
        <v>149</v>
      </c>
      <c r="K297" s="192" t="s">
        <v>149</v>
      </c>
      <c r="L297" s="153" t="s">
        <v>151</v>
      </c>
      <c r="M297" s="153" t="s">
        <v>6054</v>
      </c>
      <c r="N297" s="158" t="s">
        <v>6054</v>
      </c>
      <c r="O297" s="153" t="s">
        <v>6506</v>
      </c>
      <c r="P297" s="158" t="s">
        <v>149</v>
      </c>
      <c r="Q297" s="158" t="s">
        <v>149</v>
      </c>
      <c r="R297" s="158" t="s">
        <v>149</v>
      </c>
      <c r="S297" s="158" t="s">
        <v>149</v>
      </c>
      <c r="T297" s="158" t="s">
        <v>149</v>
      </c>
      <c r="U297" s="158" t="s">
        <v>149</v>
      </c>
      <c r="V297" s="158" t="s">
        <v>149</v>
      </c>
      <c r="W297" s="153" t="s">
        <v>2304</v>
      </c>
      <c r="X297" s="158" t="s">
        <v>184</v>
      </c>
      <c r="Y297" s="153"/>
      <c r="Z297" s="153" t="s">
        <v>6507</v>
      </c>
      <c r="AA297" s="153"/>
      <c r="AB297" s="158" t="s">
        <v>395</v>
      </c>
      <c r="AC297" s="153" t="s">
        <v>6060</v>
      </c>
      <c r="AD297" s="153" t="s">
        <v>2873</v>
      </c>
      <c r="AE297" s="153" t="s">
        <v>398</v>
      </c>
      <c r="AF297" s="153"/>
      <c r="AG297" s="153"/>
    </row>
    <row r="298">
      <c r="A298" s="238">
        <v>2024.0</v>
      </c>
      <c r="B298" s="230">
        <v>301.0</v>
      </c>
      <c r="C298" s="153" t="s">
        <v>7899</v>
      </c>
      <c r="D298" s="153" t="s">
        <v>194</v>
      </c>
      <c r="E298" s="153" t="s">
        <v>1587</v>
      </c>
      <c r="F298" s="153" t="s">
        <v>1588</v>
      </c>
      <c r="G298" s="153" t="s">
        <v>7217</v>
      </c>
      <c r="H298" s="153" t="s">
        <v>1590</v>
      </c>
      <c r="I298" s="230">
        <v>2022.0</v>
      </c>
      <c r="J298" s="230">
        <v>2022.0</v>
      </c>
      <c r="K298" s="192" t="s">
        <v>149</v>
      </c>
      <c r="L298" s="153" t="s">
        <v>151</v>
      </c>
      <c r="M298" s="153" t="s">
        <v>1592</v>
      </c>
      <c r="N298" s="158" t="s">
        <v>1592</v>
      </c>
      <c r="O298" s="153" t="s">
        <v>1593</v>
      </c>
      <c r="P298" s="153" t="s">
        <v>1594</v>
      </c>
      <c r="Q298" s="158" t="s">
        <v>160</v>
      </c>
      <c r="R298" s="158" t="s">
        <v>6035</v>
      </c>
      <c r="S298" s="158" t="s">
        <v>159</v>
      </c>
      <c r="T298" s="244" t="s">
        <v>7218</v>
      </c>
      <c r="U298" s="153" t="s">
        <v>7219</v>
      </c>
      <c r="V298" s="153" t="s">
        <v>1597</v>
      </c>
      <c r="W298" s="153" t="s">
        <v>1598</v>
      </c>
      <c r="X298" s="153" t="s">
        <v>6035</v>
      </c>
      <c r="Y298" s="153"/>
      <c r="Z298" s="153" t="s">
        <v>1599</v>
      </c>
      <c r="AA298" s="153" t="s">
        <v>1600</v>
      </c>
      <c r="AB298" s="158" t="s">
        <v>166</v>
      </c>
      <c r="AC298" s="153" t="s">
        <v>1601</v>
      </c>
      <c r="AD298" s="172" t="s">
        <v>1602</v>
      </c>
      <c r="AE298" s="153"/>
      <c r="AF298" s="153"/>
      <c r="AG298" s="153"/>
    </row>
    <row r="299">
      <c r="A299" s="238">
        <v>2024.0</v>
      </c>
      <c r="B299" s="230">
        <v>302.0</v>
      </c>
      <c r="C299" s="153" t="s">
        <v>7899</v>
      </c>
      <c r="D299" s="153" t="s">
        <v>194</v>
      </c>
      <c r="E299" s="153" t="s">
        <v>969</v>
      </c>
      <c r="F299" s="153" t="s">
        <v>970</v>
      </c>
      <c r="G299" s="158" t="s">
        <v>149</v>
      </c>
      <c r="H299" s="153" t="s">
        <v>7222</v>
      </c>
      <c r="I299" s="230">
        <v>2000.0</v>
      </c>
      <c r="J299" s="192" t="s">
        <v>149</v>
      </c>
      <c r="K299" s="192" t="s">
        <v>149</v>
      </c>
      <c r="L299" s="153" t="s">
        <v>6062</v>
      </c>
      <c r="M299" s="153" t="s">
        <v>320</v>
      </c>
      <c r="N299" s="158" t="s">
        <v>179</v>
      </c>
      <c r="O299" s="158" t="s">
        <v>2397</v>
      </c>
      <c r="P299" s="158" t="s">
        <v>149</v>
      </c>
      <c r="Q299" s="158" t="s">
        <v>149</v>
      </c>
      <c r="R299" s="158" t="s">
        <v>149</v>
      </c>
      <c r="S299" s="158" t="s">
        <v>159</v>
      </c>
      <c r="T299" s="158" t="s">
        <v>149</v>
      </c>
      <c r="U299" s="153" t="s">
        <v>7223</v>
      </c>
      <c r="V299" s="153" t="s">
        <v>2399</v>
      </c>
      <c r="W299" s="153" t="s">
        <v>2400</v>
      </c>
      <c r="X299" s="158" t="s">
        <v>306</v>
      </c>
      <c r="Y299" s="153"/>
      <c r="Z299" s="153"/>
      <c r="AA299" s="158" t="s">
        <v>2401</v>
      </c>
      <c r="AB299" s="158" t="s">
        <v>7149</v>
      </c>
      <c r="AC299" s="153" t="s">
        <v>2402</v>
      </c>
      <c r="AD299" s="172" t="s">
        <v>2403</v>
      </c>
      <c r="AE299" s="153" t="s">
        <v>2404</v>
      </c>
      <c r="AF299" s="153"/>
      <c r="AG299" s="153"/>
    </row>
    <row r="300">
      <c r="A300" s="238">
        <v>2024.0</v>
      </c>
      <c r="B300" s="230">
        <v>303.0</v>
      </c>
      <c r="C300" s="153" t="s">
        <v>7899</v>
      </c>
      <c r="D300" s="158" t="s">
        <v>194</v>
      </c>
      <c r="E300" s="158" t="s">
        <v>969</v>
      </c>
      <c r="F300" s="158" t="s">
        <v>970</v>
      </c>
      <c r="G300" s="158" t="s">
        <v>934</v>
      </c>
      <c r="H300" s="158" t="s">
        <v>7900</v>
      </c>
      <c r="I300" s="192">
        <v>2001.0</v>
      </c>
      <c r="J300" s="192">
        <v>2001.0</v>
      </c>
      <c r="K300" s="192">
        <v>2005.0</v>
      </c>
      <c r="L300" s="158" t="s">
        <v>6062</v>
      </c>
      <c r="M300" s="158" t="s">
        <v>3245</v>
      </c>
      <c r="N300" s="158" t="s">
        <v>179</v>
      </c>
      <c r="O300" s="153" t="s">
        <v>939</v>
      </c>
      <c r="P300" s="153" t="s">
        <v>940</v>
      </c>
      <c r="Q300" s="158" t="s">
        <v>6154</v>
      </c>
      <c r="R300" s="158" t="s">
        <v>206</v>
      </c>
      <c r="S300" s="158" t="s">
        <v>159</v>
      </c>
      <c r="T300" s="158" t="s">
        <v>149</v>
      </c>
      <c r="U300" s="158" t="s">
        <v>149</v>
      </c>
      <c r="V300" s="158" t="s">
        <v>149</v>
      </c>
      <c r="W300" s="153" t="s">
        <v>233</v>
      </c>
      <c r="X300" s="158" t="s">
        <v>6068</v>
      </c>
      <c r="Y300" s="153"/>
      <c r="Z300" s="153"/>
      <c r="AA300" s="153"/>
      <c r="AB300" s="158" t="s">
        <v>6214</v>
      </c>
      <c r="AC300" s="153" t="s">
        <v>941</v>
      </c>
      <c r="AD300" s="172" t="s">
        <v>942</v>
      </c>
      <c r="AE300" s="153" t="s">
        <v>943</v>
      </c>
      <c r="AF300" s="158"/>
      <c r="AG300" s="158"/>
    </row>
    <row r="301">
      <c r="A301" s="238">
        <v>2024.0</v>
      </c>
      <c r="B301" s="230">
        <v>304.0</v>
      </c>
      <c r="C301" s="153" t="s">
        <v>7899</v>
      </c>
      <c r="D301" s="153" t="s">
        <v>194</v>
      </c>
      <c r="E301" s="153" t="s">
        <v>573</v>
      </c>
      <c r="F301" s="153" t="s">
        <v>574</v>
      </c>
      <c r="G301" s="153" t="s">
        <v>384</v>
      </c>
      <c r="H301" s="153" t="s">
        <v>575</v>
      </c>
      <c r="I301" s="230">
        <v>1986.0</v>
      </c>
      <c r="J301" s="230">
        <v>1985.0</v>
      </c>
      <c r="K301" s="230">
        <v>1987.0</v>
      </c>
      <c r="L301" s="153" t="s">
        <v>151</v>
      </c>
      <c r="M301" s="158" t="s">
        <v>149</v>
      </c>
      <c r="N301" s="158" t="s">
        <v>149</v>
      </c>
      <c r="O301" s="158" t="s">
        <v>149</v>
      </c>
      <c r="P301" s="153" t="s">
        <v>390</v>
      </c>
      <c r="Q301" s="158" t="s">
        <v>160</v>
      </c>
      <c r="R301" s="158" t="s">
        <v>6035</v>
      </c>
      <c r="S301" s="158" t="s">
        <v>159</v>
      </c>
      <c r="T301" s="158" t="s">
        <v>149</v>
      </c>
      <c r="U301" s="158" t="s">
        <v>149</v>
      </c>
      <c r="V301" s="153" t="s">
        <v>571</v>
      </c>
      <c r="W301" s="153" t="s">
        <v>390</v>
      </c>
      <c r="X301" s="153" t="s">
        <v>6035</v>
      </c>
      <c r="Y301" s="153" t="s">
        <v>6055</v>
      </c>
      <c r="Z301" s="153"/>
      <c r="AA301" s="153"/>
      <c r="AB301" s="158" t="s">
        <v>395</v>
      </c>
      <c r="AC301" s="153" t="s">
        <v>6060</v>
      </c>
      <c r="AD301" s="153" t="s">
        <v>2873</v>
      </c>
      <c r="AE301" s="153" t="s">
        <v>398</v>
      </c>
      <c r="AF301" s="153"/>
      <c r="AG301" s="153"/>
    </row>
    <row r="302">
      <c r="A302" s="238">
        <v>2024.0</v>
      </c>
      <c r="B302" s="230">
        <v>305.0</v>
      </c>
      <c r="C302" s="153" t="s">
        <v>7899</v>
      </c>
      <c r="D302" s="153" t="s">
        <v>194</v>
      </c>
      <c r="E302" s="153" t="s">
        <v>573</v>
      </c>
      <c r="F302" s="153" t="s">
        <v>574</v>
      </c>
      <c r="G302" s="153" t="s">
        <v>384</v>
      </c>
      <c r="H302" s="153" t="s">
        <v>577</v>
      </c>
      <c r="I302" s="230">
        <v>1986.0</v>
      </c>
      <c r="J302" s="230">
        <v>1985.0</v>
      </c>
      <c r="K302" s="230">
        <v>1987.0</v>
      </c>
      <c r="L302" s="153" t="s">
        <v>151</v>
      </c>
      <c r="M302" s="158" t="s">
        <v>149</v>
      </c>
      <c r="N302" s="158" t="s">
        <v>149</v>
      </c>
      <c r="O302" s="158" t="s">
        <v>149</v>
      </c>
      <c r="P302" s="153" t="s">
        <v>390</v>
      </c>
      <c r="Q302" s="158" t="s">
        <v>160</v>
      </c>
      <c r="R302" s="158" t="s">
        <v>6035</v>
      </c>
      <c r="S302" s="158" t="s">
        <v>159</v>
      </c>
      <c r="T302" s="158" t="s">
        <v>149</v>
      </c>
      <c r="U302" s="158" t="s">
        <v>149</v>
      </c>
      <c r="V302" s="153" t="s">
        <v>571</v>
      </c>
      <c r="W302" s="153" t="s">
        <v>390</v>
      </c>
      <c r="X302" s="153" t="s">
        <v>6035</v>
      </c>
      <c r="Y302" s="153" t="s">
        <v>6055</v>
      </c>
      <c r="Z302" s="153"/>
      <c r="AA302" s="153"/>
      <c r="AB302" s="158" t="s">
        <v>395</v>
      </c>
      <c r="AC302" s="153" t="s">
        <v>6060</v>
      </c>
      <c r="AD302" s="153" t="s">
        <v>2873</v>
      </c>
      <c r="AE302" s="153" t="s">
        <v>398</v>
      </c>
      <c r="AF302" s="153"/>
      <c r="AG302" s="153"/>
    </row>
    <row r="303">
      <c r="A303" s="238">
        <v>2024.0</v>
      </c>
      <c r="B303" s="230">
        <v>306.0</v>
      </c>
      <c r="C303" s="153" t="s">
        <v>7899</v>
      </c>
      <c r="D303" s="153" t="s">
        <v>194</v>
      </c>
      <c r="E303" s="153" t="s">
        <v>2189</v>
      </c>
      <c r="F303" s="153" t="s">
        <v>2190</v>
      </c>
      <c r="G303" s="153" t="s">
        <v>6587</v>
      </c>
      <c r="H303" s="153" t="s">
        <v>7142</v>
      </c>
      <c r="I303" s="158" t="s">
        <v>149</v>
      </c>
      <c r="J303" s="230">
        <v>2012.0</v>
      </c>
      <c r="K303" s="158" t="s">
        <v>149</v>
      </c>
      <c r="L303" s="153" t="s">
        <v>151</v>
      </c>
      <c r="M303" s="158" t="s">
        <v>149</v>
      </c>
      <c r="N303" s="158" t="s">
        <v>149</v>
      </c>
      <c r="O303" s="153" t="s">
        <v>7101</v>
      </c>
      <c r="P303" s="153" t="s">
        <v>341</v>
      </c>
      <c r="Q303" s="158" t="s">
        <v>160</v>
      </c>
      <c r="R303" s="158" t="s">
        <v>6035</v>
      </c>
      <c r="S303" s="158" t="s">
        <v>159</v>
      </c>
      <c r="T303" s="158" t="s">
        <v>149</v>
      </c>
      <c r="U303" s="158" t="s">
        <v>149</v>
      </c>
      <c r="V303" s="158" t="s">
        <v>149</v>
      </c>
      <c r="W303" s="153" t="s">
        <v>2160</v>
      </c>
      <c r="X303" s="153" t="s">
        <v>6035</v>
      </c>
      <c r="Y303" s="153"/>
      <c r="Z303" s="153"/>
      <c r="AA303" s="153"/>
      <c r="AB303" s="158" t="s">
        <v>166</v>
      </c>
      <c r="AC303" s="153" t="s">
        <v>2161</v>
      </c>
      <c r="AD303" s="172" t="s">
        <v>2162</v>
      </c>
      <c r="AE303" s="153"/>
      <c r="AF303" s="153"/>
      <c r="AG303" s="153"/>
    </row>
    <row r="304">
      <c r="A304" s="238">
        <v>2024.0</v>
      </c>
      <c r="B304" s="230">
        <v>307.0</v>
      </c>
      <c r="C304" s="153" t="s">
        <v>7901</v>
      </c>
      <c r="D304" s="153" t="s">
        <v>580</v>
      </c>
      <c r="E304" s="158" t="s">
        <v>581</v>
      </c>
      <c r="F304" s="153" t="s">
        <v>582</v>
      </c>
      <c r="G304" s="153" t="s">
        <v>384</v>
      </c>
      <c r="H304" s="153" t="s">
        <v>583</v>
      </c>
      <c r="I304" s="230">
        <v>1986.0</v>
      </c>
      <c r="J304" s="230">
        <v>1985.0</v>
      </c>
      <c r="K304" s="230">
        <v>1987.0</v>
      </c>
      <c r="L304" s="153" t="s">
        <v>151</v>
      </c>
      <c r="M304" s="153" t="s">
        <v>6054</v>
      </c>
      <c r="N304" s="158" t="s">
        <v>6054</v>
      </c>
      <c r="O304" s="158" t="s">
        <v>149</v>
      </c>
      <c r="P304" s="153" t="s">
        <v>390</v>
      </c>
      <c r="Q304" s="158" t="s">
        <v>160</v>
      </c>
      <c r="R304" s="158" t="s">
        <v>6035</v>
      </c>
      <c r="S304" s="158" t="s">
        <v>159</v>
      </c>
      <c r="T304" s="158" t="s">
        <v>149</v>
      </c>
      <c r="U304" s="158" t="s">
        <v>149</v>
      </c>
      <c r="V304" s="153" t="s">
        <v>450</v>
      </c>
      <c r="W304" s="153" t="s">
        <v>390</v>
      </c>
      <c r="X304" s="153" t="s">
        <v>6035</v>
      </c>
      <c r="Y304" s="153" t="s">
        <v>6055</v>
      </c>
      <c r="Z304" s="153"/>
      <c r="AA304" s="153"/>
      <c r="AB304" s="158" t="s">
        <v>395</v>
      </c>
      <c r="AC304" s="153" t="s">
        <v>6060</v>
      </c>
      <c r="AD304" s="153" t="s">
        <v>2873</v>
      </c>
      <c r="AE304" s="153" t="s">
        <v>398</v>
      </c>
      <c r="AF304" s="153"/>
      <c r="AG304" s="153"/>
    </row>
    <row r="305">
      <c r="A305" s="238">
        <v>2024.0</v>
      </c>
      <c r="B305" s="230">
        <v>308.0</v>
      </c>
      <c r="C305" s="153" t="s">
        <v>7901</v>
      </c>
      <c r="D305" s="153" t="s">
        <v>580</v>
      </c>
      <c r="E305" s="153" t="s">
        <v>1540</v>
      </c>
      <c r="F305" s="153" t="s">
        <v>1541</v>
      </c>
      <c r="G305" s="153" t="s">
        <v>1542</v>
      </c>
      <c r="H305" s="153"/>
      <c r="I305" s="230">
        <v>1995.0</v>
      </c>
      <c r="J305" s="230">
        <v>1995.0</v>
      </c>
      <c r="K305" s="230">
        <v>1997.0</v>
      </c>
      <c r="L305" s="153" t="s">
        <v>6062</v>
      </c>
      <c r="M305" s="153" t="s">
        <v>179</v>
      </c>
      <c r="N305" s="158" t="s">
        <v>179</v>
      </c>
      <c r="O305" s="153" t="s">
        <v>1545</v>
      </c>
      <c r="P305" s="153" t="s">
        <v>1546</v>
      </c>
      <c r="Q305" s="158" t="s">
        <v>160</v>
      </c>
      <c r="R305" s="158" t="s">
        <v>306</v>
      </c>
      <c r="S305" s="158" t="s">
        <v>204</v>
      </c>
      <c r="T305" s="158" t="s">
        <v>149</v>
      </c>
      <c r="U305" s="158" t="s">
        <v>149</v>
      </c>
      <c r="V305" s="158" t="s">
        <v>149</v>
      </c>
      <c r="W305" s="153" t="s">
        <v>1547</v>
      </c>
      <c r="X305" s="153" t="s">
        <v>306</v>
      </c>
      <c r="Y305" s="153"/>
      <c r="Z305" s="153"/>
      <c r="AA305" s="153"/>
      <c r="AB305" s="153" t="s">
        <v>213</v>
      </c>
      <c r="AC305" s="153" t="s">
        <v>213</v>
      </c>
      <c r="AD305" s="153"/>
      <c r="AE305" s="153" t="s">
        <v>1548</v>
      </c>
      <c r="AF305" s="153" t="s">
        <v>1549</v>
      </c>
      <c r="AG305" s="153"/>
    </row>
    <row r="306">
      <c r="A306" s="238">
        <v>2024.0</v>
      </c>
      <c r="B306" s="230">
        <v>309.0</v>
      </c>
      <c r="C306" s="153" t="s">
        <v>7901</v>
      </c>
      <c r="D306" s="153" t="s">
        <v>580</v>
      </c>
      <c r="E306" s="153" t="s">
        <v>973</v>
      </c>
      <c r="F306" s="153" t="s">
        <v>974</v>
      </c>
      <c r="G306" s="153" t="s">
        <v>934</v>
      </c>
      <c r="H306" s="153"/>
      <c r="I306" s="230">
        <v>2001.0</v>
      </c>
      <c r="J306" s="230">
        <v>2001.0</v>
      </c>
      <c r="K306" s="230">
        <v>2005.0</v>
      </c>
      <c r="L306" s="153" t="s">
        <v>6062</v>
      </c>
      <c r="M306" s="153" t="s">
        <v>3245</v>
      </c>
      <c r="N306" s="158" t="s">
        <v>179</v>
      </c>
      <c r="O306" s="153" t="s">
        <v>939</v>
      </c>
      <c r="P306" s="153" t="s">
        <v>940</v>
      </c>
      <c r="Q306" s="158" t="s">
        <v>6154</v>
      </c>
      <c r="R306" s="158" t="s">
        <v>206</v>
      </c>
      <c r="S306" s="158" t="s">
        <v>204</v>
      </c>
      <c r="T306" s="158" t="s">
        <v>149</v>
      </c>
      <c r="U306" s="158" t="s">
        <v>149</v>
      </c>
      <c r="V306" s="158" t="s">
        <v>149</v>
      </c>
      <c r="W306" s="153" t="s">
        <v>233</v>
      </c>
      <c r="X306" s="158" t="s">
        <v>6068</v>
      </c>
      <c r="Y306" s="153"/>
      <c r="Z306" s="153"/>
      <c r="AA306" s="153"/>
      <c r="AB306" s="158" t="s">
        <v>6214</v>
      </c>
      <c r="AC306" s="153" t="s">
        <v>941</v>
      </c>
      <c r="AD306" s="153" t="s">
        <v>942</v>
      </c>
      <c r="AE306" s="153" t="s">
        <v>943</v>
      </c>
      <c r="AF306" s="153"/>
      <c r="AG306" s="153"/>
    </row>
    <row r="307">
      <c r="A307" s="238">
        <v>2024.0</v>
      </c>
      <c r="B307" s="230">
        <v>310.0</v>
      </c>
      <c r="C307" s="153" t="s">
        <v>7901</v>
      </c>
      <c r="D307" s="153" t="s">
        <v>580</v>
      </c>
      <c r="E307" s="153" t="s">
        <v>973</v>
      </c>
      <c r="F307" s="153" t="s">
        <v>974</v>
      </c>
      <c r="G307" s="158" t="s">
        <v>149</v>
      </c>
      <c r="H307" s="153" t="s">
        <v>3017</v>
      </c>
      <c r="I307" s="230">
        <v>2013.0</v>
      </c>
      <c r="J307" s="192" t="s">
        <v>149</v>
      </c>
      <c r="K307" s="192" t="s">
        <v>149</v>
      </c>
      <c r="L307" s="153" t="s">
        <v>6062</v>
      </c>
      <c r="M307" s="153" t="s">
        <v>3018</v>
      </c>
      <c r="N307" s="158" t="s">
        <v>179</v>
      </c>
      <c r="O307" s="153" t="s">
        <v>3019</v>
      </c>
      <c r="P307" s="153" t="s">
        <v>1546</v>
      </c>
      <c r="Q307" s="158" t="s">
        <v>160</v>
      </c>
      <c r="R307" s="158" t="s">
        <v>306</v>
      </c>
      <c r="S307" s="158" t="s">
        <v>204</v>
      </c>
      <c r="T307" s="158" t="s">
        <v>149</v>
      </c>
      <c r="U307" s="158" t="s">
        <v>149</v>
      </c>
      <c r="V307" s="158" t="s">
        <v>149</v>
      </c>
      <c r="W307" s="153" t="s">
        <v>3020</v>
      </c>
      <c r="X307" s="158" t="s">
        <v>6068</v>
      </c>
      <c r="Y307" s="153"/>
      <c r="Z307" s="153"/>
      <c r="AA307" s="153"/>
      <c r="AB307" s="158" t="s">
        <v>6214</v>
      </c>
      <c r="AC307" s="153" t="s">
        <v>7242</v>
      </c>
      <c r="AD307" s="165" t="s">
        <v>3022</v>
      </c>
      <c r="AE307" s="153"/>
      <c r="AF307" s="153"/>
      <c r="AG307" s="153"/>
    </row>
    <row r="308">
      <c r="A308" s="238">
        <v>2024.0</v>
      </c>
      <c r="B308" s="230">
        <v>311.0</v>
      </c>
      <c r="C308" s="153" t="s">
        <v>7901</v>
      </c>
      <c r="D308" s="153" t="s">
        <v>580</v>
      </c>
      <c r="E308" s="153" t="s">
        <v>973</v>
      </c>
      <c r="F308" s="153" t="s">
        <v>974</v>
      </c>
      <c r="G308" s="158" t="s">
        <v>149</v>
      </c>
      <c r="H308" s="153" t="s">
        <v>3024</v>
      </c>
      <c r="I308" s="230">
        <v>2013.0</v>
      </c>
      <c r="J308" s="192" t="s">
        <v>149</v>
      </c>
      <c r="K308" s="192" t="s">
        <v>149</v>
      </c>
      <c r="L308" s="153" t="s">
        <v>6062</v>
      </c>
      <c r="M308" s="153" t="s">
        <v>3018</v>
      </c>
      <c r="N308" s="158" t="s">
        <v>179</v>
      </c>
      <c r="O308" s="153" t="s">
        <v>3019</v>
      </c>
      <c r="P308" s="153" t="s">
        <v>1546</v>
      </c>
      <c r="Q308" s="158" t="s">
        <v>160</v>
      </c>
      <c r="R308" s="158" t="s">
        <v>306</v>
      </c>
      <c r="S308" s="158" t="s">
        <v>204</v>
      </c>
      <c r="T308" s="158" t="s">
        <v>149</v>
      </c>
      <c r="U308" s="158" t="s">
        <v>149</v>
      </c>
      <c r="V308" s="158" t="s">
        <v>149</v>
      </c>
      <c r="W308" s="153" t="s">
        <v>3020</v>
      </c>
      <c r="X308" s="158" t="s">
        <v>6068</v>
      </c>
      <c r="Y308" s="153"/>
      <c r="Z308" s="153"/>
      <c r="AA308" s="153"/>
      <c r="AB308" s="158" t="s">
        <v>6214</v>
      </c>
      <c r="AC308" s="153" t="s">
        <v>7242</v>
      </c>
      <c r="AD308" s="153" t="s">
        <v>3022</v>
      </c>
      <c r="AE308" s="153"/>
      <c r="AF308" s="153"/>
      <c r="AG308" s="153"/>
    </row>
    <row r="309">
      <c r="A309" s="238">
        <v>2024.0</v>
      </c>
      <c r="B309" s="230">
        <v>312.0</v>
      </c>
      <c r="C309" s="153" t="s">
        <v>7901</v>
      </c>
      <c r="D309" s="153" t="s">
        <v>580</v>
      </c>
      <c r="E309" s="153" t="s">
        <v>3155</v>
      </c>
      <c r="F309" s="153" t="s">
        <v>3156</v>
      </c>
      <c r="G309" s="158" t="s">
        <v>149</v>
      </c>
      <c r="H309" s="153" t="s">
        <v>7234</v>
      </c>
      <c r="I309" s="192" t="s">
        <v>149</v>
      </c>
      <c r="J309" s="192" t="s">
        <v>149</v>
      </c>
      <c r="K309" s="192" t="s">
        <v>149</v>
      </c>
      <c r="L309" s="153" t="s">
        <v>151</v>
      </c>
      <c r="M309" s="158" t="s">
        <v>149</v>
      </c>
      <c r="N309" s="158" t="s">
        <v>149</v>
      </c>
      <c r="O309" s="158" t="s">
        <v>149</v>
      </c>
      <c r="P309" s="158" t="s">
        <v>149</v>
      </c>
      <c r="Q309" s="158" t="s">
        <v>149</v>
      </c>
      <c r="R309" s="158" t="s">
        <v>149</v>
      </c>
      <c r="S309" s="158" t="s">
        <v>149</v>
      </c>
      <c r="T309" s="158" t="s">
        <v>149</v>
      </c>
      <c r="U309" s="158" t="s">
        <v>149</v>
      </c>
      <c r="V309" s="158" t="s">
        <v>149</v>
      </c>
      <c r="W309" s="158" t="s">
        <v>149</v>
      </c>
      <c r="X309" s="158" t="s">
        <v>149</v>
      </c>
      <c r="Y309" s="153"/>
      <c r="Z309" s="153"/>
      <c r="AA309" s="153"/>
      <c r="AB309" s="153" t="s">
        <v>6084</v>
      </c>
      <c r="AC309" s="153" t="s">
        <v>3158</v>
      </c>
      <c r="AD309" s="165" t="s">
        <v>3159</v>
      </c>
      <c r="AE309" s="153"/>
      <c r="AF309" s="153"/>
      <c r="AG309" s="153"/>
    </row>
    <row r="310">
      <c r="A310" s="238">
        <v>2024.0</v>
      </c>
      <c r="B310" s="230">
        <v>313.0</v>
      </c>
      <c r="C310" s="153" t="s">
        <v>7901</v>
      </c>
      <c r="D310" s="153" t="s">
        <v>580</v>
      </c>
      <c r="E310" s="153" t="s">
        <v>2821</v>
      </c>
      <c r="F310" s="153" t="s">
        <v>2822</v>
      </c>
      <c r="G310" s="158" t="s">
        <v>149</v>
      </c>
      <c r="H310" s="153" t="s">
        <v>2823</v>
      </c>
      <c r="I310" s="158" t="s">
        <v>149</v>
      </c>
      <c r="J310" s="158" t="s">
        <v>149</v>
      </c>
      <c r="K310" s="158" t="s">
        <v>149</v>
      </c>
      <c r="L310" s="153" t="s">
        <v>151</v>
      </c>
      <c r="M310" s="158" t="s">
        <v>149</v>
      </c>
      <c r="N310" s="158" t="s">
        <v>149</v>
      </c>
      <c r="O310" s="153" t="s">
        <v>819</v>
      </c>
      <c r="P310" s="158" t="s">
        <v>149</v>
      </c>
      <c r="Q310" s="158" t="s">
        <v>149</v>
      </c>
      <c r="R310" s="158" t="s">
        <v>149</v>
      </c>
      <c r="S310" s="158" t="s">
        <v>149</v>
      </c>
      <c r="T310" s="158" t="s">
        <v>149</v>
      </c>
      <c r="U310" s="158" t="s">
        <v>149</v>
      </c>
      <c r="V310" s="158" t="s">
        <v>149</v>
      </c>
      <c r="W310" s="153" t="s">
        <v>369</v>
      </c>
      <c r="X310" s="153" t="s">
        <v>6035</v>
      </c>
      <c r="Y310" s="153"/>
      <c r="Z310" s="153"/>
      <c r="AA310" s="153"/>
      <c r="AB310" s="153" t="s">
        <v>6084</v>
      </c>
      <c r="AC310" s="153" t="s">
        <v>823</v>
      </c>
      <c r="AD310" s="172" t="s">
        <v>824</v>
      </c>
      <c r="AE310" s="153"/>
      <c r="AF310" s="153"/>
      <c r="AG310" s="153"/>
    </row>
    <row r="311">
      <c r="A311" s="238">
        <v>2024.0</v>
      </c>
      <c r="B311" s="230">
        <v>314.0</v>
      </c>
      <c r="C311" s="153" t="s">
        <v>7901</v>
      </c>
      <c r="D311" s="153" t="s">
        <v>580</v>
      </c>
      <c r="E311" s="153" t="s">
        <v>3026</v>
      </c>
      <c r="F311" s="153" t="s">
        <v>3027</v>
      </c>
      <c r="G311" s="158" t="s">
        <v>149</v>
      </c>
      <c r="H311" s="153" t="s">
        <v>3028</v>
      </c>
      <c r="I311" s="230">
        <v>2013.0</v>
      </c>
      <c r="J311" s="192" t="s">
        <v>149</v>
      </c>
      <c r="K311" s="192" t="s">
        <v>149</v>
      </c>
      <c r="L311" s="153" t="s">
        <v>6062</v>
      </c>
      <c r="M311" s="153" t="s">
        <v>3018</v>
      </c>
      <c r="N311" s="158" t="s">
        <v>179</v>
      </c>
      <c r="O311" s="153" t="s">
        <v>3019</v>
      </c>
      <c r="P311" s="153" t="s">
        <v>1546</v>
      </c>
      <c r="Q311" s="158" t="s">
        <v>160</v>
      </c>
      <c r="R311" s="158" t="s">
        <v>306</v>
      </c>
      <c r="S311" s="158" t="s">
        <v>204</v>
      </c>
      <c r="T311" s="158" t="s">
        <v>149</v>
      </c>
      <c r="U311" s="158" t="s">
        <v>149</v>
      </c>
      <c r="V311" s="158" t="s">
        <v>149</v>
      </c>
      <c r="W311" s="153" t="s">
        <v>3020</v>
      </c>
      <c r="X311" s="158" t="s">
        <v>6068</v>
      </c>
      <c r="Y311" s="153"/>
      <c r="Z311" s="153"/>
      <c r="AA311" s="153"/>
      <c r="AB311" s="158" t="s">
        <v>6214</v>
      </c>
      <c r="AC311" s="153" t="s">
        <v>7242</v>
      </c>
      <c r="AD311" s="153" t="s">
        <v>3022</v>
      </c>
      <c r="AE311" s="153"/>
      <c r="AF311" s="153"/>
      <c r="AG311" s="153"/>
    </row>
    <row r="312">
      <c r="A312" s="238">
        <v>2024.0</v>
      </c>
      <c r="B312" s="230">
        <v>315.0</v>
      </c>
      <c r="C312" s="153" t="s">
        <v>7901</v>
      </c>
      <c r="D312" s="153" t="s">
        <v>585</v>
      </c>
      <c r="E312" s="153" t="s">
        <v>1464</v>
      </c>
      <c r="F312" s="153" t="s">
        <v>1465</v>
      </c>
      <c r="G312" s="153" t="s">
        <v>1377</v>
      </c>
      <c r="H312" s="153"/>
      <c r="I312" s="192">
        <v>1992.0</v>
      </c>
      <c r="J312" s="230">
        <v>1990.0</v>
      </c>
      <c r="K312" s="230">
        <v>1994.0</v>
      </c>
      <c r="L312" s="153" t="s">
        <v>151</v>
      </c>
      <c r="M312" s="158" t="s">
        <v>149</v>
      </c>
      <c r="N312" s="158" t="s">
        <v>149</v>
      </c>
      <c r="O312" s="158" t="s">
        <v>149</v>
      </c>
      <c r="P312" s="153" t="s">
        <v>1381</v>
      </c>
      <c r="Q312" s="158" t="s">
        <v>6154</v>
      </c>
      <c r="R312" s="158" t="s">
        <v>206</v>
      </c>
      <c r="S312" s="158" t="s">
        <v>159</v>
      </c>
      <c r="T312" s="158" t="s">
        <v>149</v>
      </c>
      <c r="U312" s="158" t="s">
        <v>149</v>
      </c>
      <c r="V312" s="158" t="s">
        <v>149</v>
      </c>
      <c r="W312" s="153" t="s">
        <v>660</v>
      </c>
      <c r="X312" s="153" t="s">
        <v>6035</v>
      </c>
      <c r="Y312" s="153" t="s">
        <v>369</v>
      </c>
      <c r="Z312" s="153"/>
      <c r="AA312" s="153"/>
      <c r="AB312" s="158" t="s">
        <v>395</v>
      </c>
      <c r="AC312" s="153" t="s">
        <v>6060</v>
      </c>
      <c r="AD312" s="153" t="s">
        <v>2873</v>
      </c>
      <c r="AE312" s="153" t="s">
        <v>398</v>
      </c>
      <c r="AF312" s="153"/>
      <c r="AG312" s="153"/>
    </row>
    <row r="313">
      <c r="A313" s="238">
        <v>2024.0</v>
      </c>
      <c r="B313" s="230">
        <v>316.0</v>
      </c>
      <c r="C313" s="153" t="s">
        <v>7901</v>
      </c>
      <c r="D313" s="153" t="s">
        <v>585</v>
      </c>
      <c r="E313" s="153" t="s">
        <v>1467</v>
      </c>
      <c r="F313" s="153" t="s">
        <v>1468</v>
      </c>
      <c r="G313" s="153" t="s">
        <v>1377</v>
      </c>
      <c r="H313" s="153" t="s">
        <v>639</v>
      </c>
      <c r="I313" s="192">
        <v>1992.0</v>
      </c>
      <c r="J313" s="230">
        <v>1990.0</v>
      </c>
      <c r="K313" s="230">
        <v>1994.0</v>
      </c>
      <c r="L313" s="153" t="s">
        <v>151</v>
      </c>
      <c r="M313" s="158" t="s">
        <v>149</v>
      </c>
      <c r="N313" s="158" t="s">
        <v>149</v>
      </c>
      <c r="O313" s="158" t="s">
        <v>149</v>
      </c>
      <c r="P313" s="153" t="s">
        <v>1381</v>
      </c>
      <c r="Q313" s="158" t="s">
        <v>6154</v>
      </c>
      <c r="R313" s="158" t="s">
        <v>206</v>
      </c>
      <c r="S313" s="158" t="s">
        <v>159</v>
      </c>
      <c r="T313" s="158" t="s">
        <v>149</v>
      </c>
      <c r="U313" s="158" t="s">
        <v>149</v>
      </c>
      <c r="V313" s="158" t="s">
        <v>149</v>
      </c>
      <c r="W313" s="153" t="s">
        <v>660</v>
      </c>
      <c r="X313" s="153" t="s">
        <v>6035</v>
      </c>
      <c r="Y313" s="153" t="s">
        <v>369</v>
      </c>
      <c r="Z313" s="153"/>
      <c r="AA313" s="153"/>
      <c r="AB313" s="158" t="s">
        <v>395</v>
      </c>
      <c r="AC313" s="153" t="s">
        <v>6060</v>
      </c>
      <c r="AD313" s="153" t="s">
        <v>2873</v>
      </c>
      <c r="AE313" s="153" t="s">
        <v>398</v>
      </c>
      <c r="AF313" s="153"/>
      <c r="AG313" s="153"/>
    </row>
    <row r="314">
      <c r="A314" s="238">
        <v>2024.0</v>
      </c>
      <c r="B314" s="230">
        <v>317.0</v>
      </c>
      <c r="C314" s="153" t="s">
        <v>7901</v>
      </c>
      <c r="D314" s="153" t="s">
        <v>585</v>
      </c>
      <c r="E314" s="153" t="s">
        <v>1467</v>
      </c>
      <c r="F314" s="153" t="s">
        <v>1468</v>
      </c>
      <c r="G314" s="153" t="s">
        <v>1377</v>
      </c>
      <c r="H314" s="153" t="s">
        <v>1470</v>
      </c>
      <c r="I314" s="192">
        <v>1992.0</v>
      </c>
      <c r="J314" s="230">
        <v>1990.0</v>
      </c>
      <c r="K314" s="230">
        <v>1994.0</v>
      </c>
      <c r="L314" s="153" t="s">
        <v>151</v>
      </c>
      <c r="M314" s="158" t="s">
        <v>149</v>
      </c>
      <c r="N314" s="158" t="s">
        <v>149</v>
      </c>
      <c r="O314" s="158" t="s">
        <v>149</v>
      </c>
      <c r="P314" s="153" t="s">
        <v>1381</v>
      </c>
      <c r="Q314" s="158" t="s">
        <v>6154</v>
      </c>
      <c r="R314" s="158" t="s">
        <v>206</v>
      </c>
      <c r="S314" s="158" t="s">
        <v>159</v>
      </c>
      <c r="T314" s="158" t="s">
        <v>149</v>
      </c>
      <c r="U314" s="158" t="s">
        <v>149</v>
      </c>
      <c r="V314" s="158" t="s">
        <v>149</v>
      </c>
      <c r="W314" s="153" t="s">
        <v>660</v>
      </c>
      <c r="X314" s="153" t="s">
        <v>6035</v>
      </c>
      <c r="Y314" s="153" t="s">
        <v>369</v>
      </c>
      <c r="Z314" s="153"/>
      <c r="AA314" s="153"/>
      <c r="AB314" s="158" t="s">
        <v>395</v>
      </c>
      <c r="AC314" s="153" t="s">
        <v>6060</v>
      </c>
      <c r="AD314" s="153" t="s">
        <v>2873</v>
      </c>
      <c r="AE314" s="153" t="s">
        <v>398</v>
      </c>
      <c r="AF314" s="153"/>
      <c r="AG314" s="153"/>
    </row>
    <row r="315">
      <c r="A315" s="238">
        <v>2024.0</v>
      </c>
      <c r="B315" s="230">
        <v>328.0</v>
      </c>
      <c r="C315" s="153" t="s">
        <v>7901</v>
      </c>
      <c r="D315" s="153" t="s">
        <v>585</v>
      </c>
      <c r="E315" s="153" t="s">
        <v>2805</v>
      </c>
      <c r="F315" s="153" t="s">
        <v>2806</v>
      </c>
      <c r="G315" s="158" t="s">
        <v>149</v>
      </c>
      <c r="H315" s="153" t="s">
        <v>2807</v>
      </c>
      <c r="I315" s="230">
        <v>1996.0</v>
      </c>
      <c r="J315" s="158" t="s">
        <v>149</v>
      </c>
      <c r="K315" s="158" t="s">
        <v>149</v>
      </c>
      <c r="L315" s="153" t="s">
        <v>151</v>
      </c>
      <c r="M315" s="158" t="s">
        <v>149</v>
      </c>
      <c r="N315" s="158" t="s">
        <v>149</v>
      </c>
      <c r="O315" s="158" t="s">
        <v>149</v>
      </c>
      <c r="P315" s="153" t="s">
        <v>2809</v>
      </c>
      <c r="Q315" s="158" t="s">
        <v>160</v>
      </c>
      <c r="R315" s="158" t="s">
        <v>306</v>
      </c>
      <c r="S315" s="158" t="s">
        <v>159</v>
      </c>
      <c r="T315" s="158" t="s">
        <v>149</v>
      </c>
      <c r="U315" s="158" t="s">
        <v>149</v>
      </c>
      <c r="V315" s="153" t="s">
        <v>2810</v>
      </c>
      <c r="W315" s="153" t="s">
        <v>369</v>
      </c>
      <c r="X315" s="153" t="s">
        <v>6035</v>
      </c>
      <c r="Y315" s="153"/>
      <c r="Z315" s="153"/>
      <c r="AA315" s="153"/>
      <c r="AB315" s="153" t="s">
        <v>6084</v>
      </c>
      <c r="AC315" s="153" t="s">
        <v>823</v>
      </c>
      <c r="AD315" s="172" t="s">
        <v>824</v>
      </c>
      <c r="AE315" s="153"/>
      <c r="AF315" s="153"/>
      <c r="AG315" s="153"/>
    </row>
    <row r="316">
      <c r="A316" s="238">
        <v>2024.0</v>
      </c>
      <c r="B316" s="230">
        <v>318.0</v>
      </c>
      <c r="C316" s="153" t="s">
        <v>7901</v>
      </c>
      <c r="D316" s="153" t="s">
        <v>585</v>
      </c>
      <c r="E316" s="153" t="s">
        <v>1472</v>
      </c>
      <c r="F316" s="153" t="s">
        <v>1473</v>
      </c>
      <c r="G316" s="153" t="s">
        <v>1377</v>
      </c>
      <c r="H316" s="153" t="s">
        <v>1474</v>
      </c>
      <c r="I316" s="192">
        <v>1992.0</v>
      </c>
      <c r="J316" s="230">
        <v>1990.0</v>
      </c>
      <c r="K316" s="230">
        <v>1994.0</v>
      </c>
      <c r="L316" s="153" t="s">
        <v>151</v>
      </c>
      <c r="M316" s="158" t="s">
        <v>149</v>
      </c>
      <c r="N316" s="158" t="s">
        <v>149</v>
      </c>
      <c r="O316" s="158" t="s">
        <v>149</v>
      </c>
      <c r="P316" s="153" t="s">
        <v>1381</v>
      </c>
      <c r="Q316" s="158" t="s">
        <v>6154</v>
      </c>
      <c r="R316" s="158" t="s">
        <v>206</v>
      </c>
      <c r="S316" s="158" t="s">
        <v>159</v>
      </c>
      <c r="T316" s="158" t="s">
        <v>149</v>
      </c>
      <c r="U316" s="158" t="s">
        <v>149</v>
      </c>
      <c r="V316" s="158" t="s">
        <v>149</v>
      </c>
      <c r="W316" s="153" t="s">
        <v>660</v>
      </c>
      <c r="X316" s="153" t="s">
        <v>6035</v>
      </c>
      <c r="Y316" s="153" t="s">
        <v>369</v>
      </c>
      <c r="Z316" s="153"/>
      <c r="AA316" s="153"/>
      <c r="AB316" s="158" t="s">
        <v>395</v>
      </c>
      <c r="AC316" s="153" t="s">
        <v>6060</v>
      </c>
      <c r="AD316" s="153" t="s">
        <v>2873</v>
      </c>
      <c r="AE316" s="153" t="s">
        <v>398</v>
      </c>
      <c r="AF316" s="153"/>
      <c r="AG316" s="153"/>
    </row>
    <row r="317">
      <c r="A317" s="238">
        <v>2024.0</v>
      </c>
      <c r="B317" s="230">
        <v>319.0</v>
      </c>
      <c r="C317" s="153" t="s">
        <v>7901</v>
      </c>
      <c r="D317" s="153" t="s">
        <v>585</v>
      </c>
      <c r="E317" s="153" t="s">
        <v>586</v>
      </c>
      <c r="F317" s="153" t="s">
        <v>587</v>
      </c>
      <c r="G317" s="153" t="s">
        <v>384</v>
      </c>
      <c r="H317" s="153" t="s">
        <v>588</v>
      </c>
      <c r="I317" s="230">
        <v>1986.0</v>
      </c>
      <c r="J317" s="230">
        <v>1985.0</v>
      </c>
      <c r="K317" s="230">
        <v>1987.0</v>
      </c>
      <c r="L317" s="153" t="s">
        <v>151</v>
      </c>
      <c r="M317" s="153" t="s">
        <v>6054</v>
      </c>
      <c r="N317" s="158" t="s">
        <v>6054</v>
      </c>
      <c r="O317" s="158" t="s">
        <v>149</v>
      </c>
      <c r="P317" s="153" t="s">
        <v>390</v>
      </c>
      <c r="Q317" s="158" t="s">
        <v>160</v>
      </c>
      <c r="R317" s="158" t="s">
        <v>6035</v>
      </c>
      <c r="S317" s="158" t="s">
        <v>159</v>
      </c>
      <c r="T317" s="158" t="s">
        <v>149</v>
      </c>
      <c r="U317" s="158" t="s">
        <v>149</v>
      </c>
      <c r="V317" s="153" t="s">
        <v>450</v>
      </c>
      <c r="W317" s="153" t="s">
        <v>390</v>
      </c>
      <c r="X317" s="153" t="s">
        <v>6035</v>
      </c>
      <c r="Y317" s="153" t="s">
        <v>6055</v>
      </c>
      <c r="Z317" s="153"/>
      <c r="AA317" s="153"/>
      <c r="AB317" s="158" t="s">
        <v>395</v>
      </c>
      <c r="AC317" s="153" t="s">
        <v>6060</v>
      </c>
      <c r="AD317" s="153" t="s">
        <v>2873</v>
      </c>
      <c r="AE317" s="153" t="s">
        <v>398</v>
      </c>
      <c r="AF317" s="153"/>
      <c r="AG317" s="153"/>
    </row>
    <row r="318">
      <c r="A318" s="238">
        <v>2024.0</v>
      </c>
      <c r="B318" s="230">
        <v>320.0</v>
      </c>
      <c r="C318" s="153" t="s">
        <v>7901</v>
      </c>
      <c r="D318" s="153" t="s">
        <v>585</v>
      </c>
      <c r="E318" s="153" t="s">
        <v>586</v>
      </c>
      <c r="F318" s="153" t="s">
        <v>587</v>
      </c>
      <c r="G318" s="153" t="s">
        <v>1377</v>
      </c>
      <c r="H318" s="153" t="s">
        <v>1476</v>
      </c>
      <c r="I318" s="192">
        <v>1992.0</v>
      </c>
      <c r="J318" s="230">
        <v>1990.0</v>
      </c>
      <c r="K318" s="230">
        <v>1994.0</v>
      </c>
      <c r="L318" s="153" t="s">
        <v>151</v>
      </c>
      <c r="M318" s="158" t="s">
        <v>149</v>
      </c>
      <c r="N318" s="158" t="s">
        <v>149</v>
      </c>
      <c r="O318" s="158" t="s">
        <v>149</v>
      </c>
      <c r="P318" s="153" t="s">
        <v>1381</v>
      </c>
      <c r="Q318" s="158" t="s">
        <v>6154</v>
      </c>
      <c r="R318" s="158" t="s">
        <v>206</v>
      </c>
      <c r="S318" s="158" t="s">
        <v>159</v>
      </c>
      <c r="T318" s="158" t="s">
        <v>149</v>
      </c>
      <c r="U318" s="158" t="s">
        <v>149</v>
      </c>
      <c r="V318" s="158" t="s">
        <v>149</v>
      </c>
      <c r="W318" s="153" t="s">
        <v>660</v>
      </c>
      <c r="X318" s="153" t="s">
        <v>6035</v>
      </c>
      <c r="Y318" s="153" t="s">
        <v>369</v>
      </c>
      <c r="Z318" s="153"/>
      <c r="AA318" s="153"/>
      <c r="AB318" s="158" t="s">
        <v>395</v>
      </c>
      <c r="AC318" s="153" t="s">
        <v>6060</v>
      </c>
      <c r="AD318" s="153" t="s">
        <v>2873</v>
      </c>
      <c r="AE318" s="153" t="s">
        <v>398</v>
      </c>
      <c r="AF318" s="153"/>
      <c r="AG318" s="153"/>
    </row>
    <row r="319">
      <c r="A319" s="238">
        <v>2024.0</v>
      </c>
      <c r="B319" s="230">
        <v>321.0</v>
      </c>
      <c r="C319" s="153" t="s">
        <v>7901</v>
      </c>
      <c r="D319" s="153" t="s">
        <v>585</v>
      </c>
      <c r="E319" s="153" t="s">
        <v>586</v>
      </c>
      <c r="F319" s="153" t="s">
        <v>587</v>
      </c>
      <c r="G319" s="153" t="s">
        <v>1377</v>
      </c>
      <c r="H319" s="153" t="s">
        <v>1478</v>
      </c>
      <c r="I319" s="192">
        <v>1992.0</v>
      </c>
      <c r="J319" s="230">
        <v>1990.0</v>
      </c>
      <c r="K319" s="230">
        <v>1994.0</v>
      </c>
      <c r="L319" s="153" t="s">
        <v>151</v>
      </c>
      <c r="M319" s="158" t="s">
        <v>149</v>
      </c>
      <c r="N319" s="158" t="s">
        <v>149</v>
      </c>
      <c r="O319" s="158" t="s">
        <v>149</v>
      </c>
      <c r="P319" s="153" t="s">
        <v>1381</v>
      </c>
      <c r="Q319" s="158" t="s">
        <v>6154</v>
      </c>
      <c r="R319" s="158" t="s">
        <v>206</v>
      </c>
      <c r="S319" s="158" t="s">
        <v>159</v>
      </c>
      <c r="T319" s="158" t="s">
        <v>149</v>
      </c>
      <c r="U319" s="158" t="s">
        <v>149</v>
      </c>
      <c r="V319" s="158" t="s">
        <v>149</v>
      </c>
      <c r="W319" s="153" t="s">
        <v>660</v>
      </c>
      <c r="X319" s="153" t="s">
        <v>6035</v>
      </c>
      <c r="Y319" s="153" t="s">
        <v>369</v>
      </c>
      <c r="Z319" s="153"/>
      <c r="AA319" s="153"/>
      <c r="AB319" s="158" t="s">
        <v>395</v>
      </c>
      <c r="AC319" s="153" t="s">
        <v>6060</v>
      </c>
      <c r="AD319" s="153" t="s">
        <v>2873</v>
      </c>
      <c r="AE319" s="153" t="s">
        <v>398</v>
      </c>
      <c r="AF319" s="153"/>
      <c r="AG319" s="153"/>
    </row>
    <row r="320">
      <c r="A320" s="238">
        <v>2024.0</v>
      </c>
      <c r="B320" s="230">
        <v>322.0</v>
      </c>
      <c r="C320" s="153" t="s">
        <v>7901</v>
      </c>
      <c r="D320" s="153" t="s">
        <v>585</v>
      </c>
      <c r="E320" s="153" t="s">
        <v>585</v>
      </c>
      <c r="F320" s="153" t="s">
        <v>1480</v>
      </c>
      <c r="G320" s="153" t="s">
        <v>1377</v>
      </c>
      <c r="H320" s="153" t="s">
        <v>1481</v>
      </c>
      <c r="I320" s="192">
        <v>1992.0</v>
      </c>
      <c r="J320" s="230">
        <v>1990.0</v>
      </c>
      <c r="K320" s="230">
        <v>1994.0</v>
      </c>
      <c r="L320" s="153" t="s">
        <v>151</v>
      </c>
      <c r="M320" s="158" t="s">
        <v>149</v>
      </c>
      <c r="N320" s="158" t="s">
        <v>149</v>
      </c>
      <c r="O320" s="158" t="s">
        <v>149</v>
      </c>
      <c r="P320" s="153" t="s">
        <v>1381</v>
      </c>
      <c r="Q320" s="158" t="s">
        <v>6154</v>
      </c>
      <c r="R320" s="158" t="s">
        <v>206</v>
      </c>
      <c r="S320" s="158" t="s">
        <v>159</v>
      </c>
      <c r="T320" s="158" t="s">
        <v>149</v>
      </c>
      <c r="U320" s="158" t="s">
        <v>149</v>
      </c>
      <c r="V320" s="158" t="s">
        <v>149</v>
      </c>
      <c r="W320" s="153" t="s">
        <v>660</v>
      </c>
      <c r="X320" s="153" t="s">
        <v>6035</v>
      </c>
      <c r="Y320" s="153" t="s">
        <v>369</v>
      </c>
      <c r="Z320" s="153"/>
      <c r="AA320" s="153"/>
      <c r="AB320" s="158" t="s">
        <v>395</v>
      </c>
      <c r="AC320" s="153" t="s">
        <v>6060</v>
      </c>
      <c r="AD320" s="153" t="s">
        <v>2873</v>
      </c>
      <c r="AE320" s="153" t="s">
        <v>398</v>
      </c>
      <c r="AF320" s="153"/>
      <c r="AG320" s="153"/>
    </row>
    <row r="321">
      <c r="A321" s="238">
        <v>2024.0</v>
      </c>
      <c r="B321" s="230">
        <v>323.0</v>
      </c>
      <c r="C321" s="153" t="s">
        <v>7901</v>
      </c>
      <c r="D321" s="153" t="s">
        <v>585</v>
      </c>
      <c r="E321" s="153" t="s">
        <v>1483</v>
      </c>
      <c r="F321" s="153" t="s">
        <v>1484</v>
      </c>
      <c r="G321" s="153" t="s">
        <v>1377</v>
      </c>
      <c r="H321" s="153" t="s">
        <v>1485</v>
      </c>
      <c r="I321" s="192">
        <v>1992.0</v>
      </c>
      <c r="J321" s="230">
        <v>1990.0</v>
      </c>
      <c r="K321" s="230">
        <v>1994.0</v>
      </c>
      <c r="L321" s="153" t="s">
        <v>151</v>
      </c>
      <c r="M321" s="158" t="s">
        <v>149</v>
      </c>
      <c r="N321" s="158" t="s">
        <v>149</v>
      </c>
      <c r="O321" s="158" t="s">
        <v>149</v>
      </c>
      <c r="P321" s="153" t="s">
        <v>1381</v>
      </c>
      <c r="Q321" s="158" t="s">
        <v>6154</v>
      </c>
      <c r="R321" s="158" t="s">
        <v>206</v>
      </c>
      <c r="S321" s="158" t="s">
        <v>159</v>
      </c>
      <c r="T321" s="158" t="s">
        <v>149</v>
      </c>
      <c r="U321" s="158" t="s">
        <v>149</v>
      </c>
      <c r="V321" s="158" t="s">
        <v>149</v>
      </c>
      <c r="W321" s="153" t="s">
        <v>660</v>
      </c>
      <c r="X321" s="153" t="s">
        <v>6035</v>
      </c>
      <c r="Y321" s="153" t="s">
        <v>369</v>
      </c>
      <c r="Z321" s="153"/>
      <c r="AA321" s="153"/>
      <c r="AB321" s="158" t="s">
        <v>395</v>
      </c>
      <c r="AC321" s="153" t="s">
        <v>6060</v>
      </c>
      <c r="AD321" s="153" t="s">
        <v>2873</v>
      </c>
      <c r="AE321" s="153" t="s">
        <v>398</v>
      </c>
      <c r="AF321" s="153"/>
      <c r="AG321" s="153"/>
    </row>
    <row r="322">
      <c r="A322" s="238">
        <v>2024.0</v>
      </c>
      <c r="B322" s="230">
        <v>324.0</v>
      </c>
      <c r="C322" s="153" t="s">
        <v>7901</v>
      </c>
      <c r="D322" s="153" t="s">
        <v>585</v>
      </c>
      <c r="E322" s="153" t="s">
        <v>1487</v>
      </c>
      <c r="F322" s="153" t="s">
        <v>1488</v>
      </c>
      <c r="G322" s="153" t="s">
        <v>1377</v>
      </c>
      <c r="H322" s="153" t="s">
        <v>1489</v>
      </c>
      <c r="I322" s="192">
        <v>1992.0</v>
      </c>
      <c r="J322" s="230">
        <v>1990.0</v>
      </c>
      <c r="K322" s="230">
        <v>1994.0</v>
      </c>
      <c r="L322" s="153" t="s">
        <v>151</v>
      </c>
      <c r="M322" s="158" t="s">
        <v>149</v>
      </c>
      <c r="N322" s="158" t="s">
        <v>149</v>
      </c>
      <c r="O322" s="158" t="s">
        <v>149</v>
      </c>
      <c r="P322" s="153" t="s">
        <v>1381</v>
      </c>
      <c r="Q322" s="158" t="s">
        <v>6154</v>
      </c>
      <c r="R322" s="158" t="s">
        <v>206</v>
      </c>
      <c r="S322" s="158" t="s">
        <v>159</v>
      </c>
      <c r="T322" s="158" t="s">
        <v>149</v>
      </c>
      <c r="U322" s="158" t="s">
        <v>149</v>
      </c>
      <c r="V322" s="158" t="s">
        <v>149</v>
      </c>
      <c r="W322" s="153" t="s">
        <v>660</v>
      </c>
      <c r="X322" s="153" t="s">
        <v>6035</v>
      </c>
      <c r="Y322" s="153" t="s">
        <v>369</v>
      </c>
      <c r="Z322" s="153"/>
      <c r="AA322" s="153"/>
      <c r="AB322" s="158" t="s">
        <v>395</v>
      </c>
      <c r="AC322" s="153" t="s">
        <v>6060</v>
      </c>
      <c r="AD322" s="153" t="s">
        <v>2873</v>
      </c>
      <c r="AE322" s="153" t="s">
        <v>398</v>
      </c>
      <c r="AF322" s="153"/>
      <c r="AG322" s="153"/>
    </row>
    <row r="323">
      <c r="A323" s="238">
        <v>2024.0</v>
      </c>
      <c r="B323" s="230">
        <v>325.0</v>
      </c>
      <c r="C323" s="153" t="s">
        <v>7901</v>
      </c>
      <c r="D323" s="153" t="s">
        <v>585</v>
      </c>
      <c r="E323" s="153" t="s">
        <v>7266</v>
      </c>
      <c r="F323" s="153" t="s">
        <v>1492</v>
      </c>
      <c r="G323" s="153" t="s">
        <v>1377</v>
      </c>
      <c r="H323" s="153" t="s">
        <v>635</v>
      </c>
      <c r="I323" s="192">
        <v>1992.0</v>
      </c>
      <c r="J323" s="230">
        <v>1990.0</v>
      </c>
      <c r="K323" s="230">
        <v>1994.0</v>
      </c>
      <c r="L323" s="153" t="s">
        <v>151</v>
      </c>
      <c r="M323" s="158" t="s">
        <v>149</v>
      </c>
      <c r="N323" s="158" t="s">
        <v>149</v>
      </c>
      <c r="O323" s="158" t="s">
        <v>149</v>
      </c>
      <c r="P323" s="153" t="s">
        <v>1381</v>
      </c>
      <c r="Q323" s="158" t="s">
        <v>6154</v>
      </c>
      <c r="R323" s="158" t="s">
        <v>206</v>
      </c>
      <c r="S323" s="158" t="s">
        <v>159</v>
      </c>
      <c r="T323" s="158" t="s">
        <v>149</v>
      </c>
      <c r="U323" s="158" t="s">
        <v>149</v>
      </c>
      <c r="V323" s="158" t="s">
        <v>149</v>
      </c>
      <c r="W323" s="153" t="s">
        <v>660</v>
      </c>
      <c r="X323" s="153" t="s">
        <v>6035</v>
      </c>
      <c r="Y323" s="153" t="s">
        <v>369</v>
      </c>
      <c r="Z323" s="153"/>
      <c r="AA323" s="153"/>
      <c r="AB323" s="158" t="s">
        <v>395</v>
      </c>
      <c r="AC323" s="153" t="s">
        <v>6060</v>
      </c>
      <c r="AD323" s="153" t="s">
        <v>2873</v>
      </c>
      <c r="AE323" s="153" t="s">
        <v>398</v>
      </c>
      <c r="AF323" s="153"/>
      <c r="AG323" s="153"/>
    </row>
    <row r="324">
      <c r="A324" s="238">
        <v>2024.0</v>
      </c>
      <c r="B324" s="230">
        <v>326.0</v>
      </c>
      <c r="C324" s="153" t="s">
        <v>7901</v>
      </c>
      <c r="D324" s="153" t="s">
        <v>714</v>
      </c>
      <c r="E324" s="153" t="s">
        <v>715</v>
      </c>
      <c r="F324" s="153" t="s">
        <v>716</v>
      </c>
      <c r="G324" s="153" t="s">
        <v>717</v>
      </c>
      <c r="H324" s="153"/>
      <c r="I324" s="230">
        <v>2013.0</v>
      </c>
      <c r="J324" s="192" t="s">
        <v>149</v>
      </c>
      <c r="K324" s="192" t="s">
        <v>149</v>
      </c>
      <c r="L324" s="153" t="s">
        <v>151</v>
      </c>
      <c r="M324" s="153" t="s">
        <v>720</v>
      </c>
      <c r="N324" s="158" t="s">
        <v>720</v>
      </c>
      <c r="O324" s="153" t="s">
        <v>723</v>
      </c>
      <c r="P324" s="158" t="s">
        <v>149</v>
      </c>
      <c r="Q324" s="158" t="s">
        <v>149</v>
      </c>
      <c r="R324" s="158" t="s">
        <v>149</v>
      </c>
      <c r="S324" s="158" t="s">
        <v>149</v>
      </c>
      <c r="T324" s="158" t="s">
        <v>149</v>
      </c>
      <c r="U324" s="158" t="s">
        <v>149</v>
      </c>
      <c r="V324" s="158" t="s">
        <v>149</v>
      </c>
      <c r="W324" s="153" t="s">
        <v>724</v>
      </c>
      <c r="X324" s="158" t="s">
        <v>184</v>
      </c>
      <c r="Y324" s="153"/>
      <c r="Z324" s="153" t="s">
        <v>725</v>
      </c>
      <c r="AA324" s="153"/>
      <c r="AB324" s="158" t="s">
        <v>6517</v>
      </c>
      <c r="AC324" s="153" t="s">
        <v>726</v>
      </c>
      <c r="AD324" s="165" t="s">
        <v>727</v>
      </c>
      <c r="AE324" s="153"/>
      <c r="AF324" s="153"/>
      <c r="AG324" s="153"/>
    </row>
    <row r="325">
      <c r="A325" s="238">
        <v>2024.0</v>
      </c>
      <c r="B325" s="230">
        <v>327.0</v>
      </c>
      <c r="C325" s="153" t="s">
        <v>7901</v>
      </c>
      <c r="D325" s="153" t="s">
        <v>714</v>
      </c>
      <c r="E325" s="153" t="s">
        <v>715</v>
      </c>
      <c r="F325" s="153" t="s">
        <v>716</v>
      </c>
      <c r="G325" s="153" t="s">
        <v>1840</v>
      </c>
      <c r="H325" s="153"/>
      <c r="I325" s="230">
        <v>2017.0</v>
      </c>
      <c r="J325" s="192" t="s">
        <v>149</v>
      </c>
      <c r="K325" s="192" t="s">
        <v>149</v>
      </c>
      <c r="L325" s="153" t="s">
        <v>6062</v>
      </c>
      <c r="M325" s="153" t="s">
        <v>1841</v>
      </c>
      <c r="N325" s="158" t="s">
        <v>179</v>
      </c>
      <c r="O325" s="153" t="s">
        <v>1842</v>
      </c>
      <c r="P325" s="158" t="s">
        <v>149</v>
      </c>
      <c r="Q325" s="158" t="s">
        <v>149</v>
      </c>
      <c r="R325" s="158" t="s">
        <v>149</v>
      </c>
      <c r="S325" s="158" t="s">
        <v>149</v>
      </c>
      <c r="T325" s="158" t="s">
        <v>149</v>
      </c>
      <c r="U325" s="158" t="s">
        <v>149</v>
      </c>
      <c r="V325" s="158" t="s">
        <v>149</v>
      </c>
      <c r="W325" s="153" t="s">
        <v>724</v>
      </c>
      <c r="X325" s="158" t="s">
        <v>184</v>
      </c>
      <c r="Y325" s="153"/>
      <c r="Z325" s="153"/>
      <c r="AA325" s="153" t="s">
        <v>1843</v>
      </c>
      <c r="AB325" s="158" t="s">
        <v>6517</v>
      </c>
      <c r="AC325" s="153" t="s">
        <v>726</v>
      </c>
      <c r="AD325" s="165" t="s">
        <v>1844</v>
      </c>
      <c r="AE325" s="153"/>
      <c r="AF325" s="153"/>
      <c r="AG325" s="153"/>
    </row>
    <row r="326">
      <c r="A326" s="238">
        <v>2024.0</v>
      </c>
      <c r="B326" s="230">
        <v>329.0</v>
      </c>
      <c r="C326" s="153" t="s">
        <v>7901</v>
      </c>
      <c r="D326" s="153" t="s">
        <v>1271</v>
      </c>
      <c r="E326" s="153" t="s">
        <v>2812</v>
      </c>
      <c r="F326" s="153" t="s">
        <v>2813</v>
      </c>
      <c r="G326" s="158" t="s">
        <v>149</v>
      </c>
      <c r="H326" s="153"/>
      <c r="I326" s="158" t="s">
        <v>149</v>
      </c>
      <c r="J326" s="158" t="s">
        <v>149</v>
      </c>
      <c r="K326" s="158" t="s">
        <v>149</v>
      </c>
      <c r="L326" s="153" t="s">
        <v>151</v>
      </c>
      <c r="M326" s="158" t="s">
        <v>149</v>
      </c>
      <c r="N326" s="158" t="s">
        <v>149</v>
      </c>
      <c r="O326" s="158" t="s">
        <v>149</v>
      </c>
      <c r="P326" s="158" t="s">
        <v>149</v>
      </c>
      <c r="Q326" s="158" t="s">
        <v>149</v>
      </c>
      <c r="R326" s="158" t="s">
        <v>149</v>
      </c>
      <c r="S326" s="158" t="s">
        <v>149</v>
      </c>
      <c r="T326" s="158" t="s">
        <v>149</v>
      </c>
      <c r="U326" s="158" t="s">
        <v>149</v>
      </c>
      <c r="V326" s="158" t="s">
        <v>149</v>
      </c>
      <c r="W326" s="153" t="s">
        <v>369</v>
      </c>
      <c r="X326" s="153" t="s">
        <v>6035</v>
      </c>
      <c r="Y326" s="153"/>
      <c r="Z326" s="153"/>
      <c r="AA326" s="153"/>
      <c r="AB326" s="153" t="s">
        <v>6084</v>
      </c>
      <c r="AC326" s="153" t="s">
        <v>823</v>
      </c>
      <c r="AD326" s="165" t="s">
        <v>824</v>
      </c>
      <c r="AE326" s="153"/>
      <c r="AF326" s="153"/>
      <c r="AG326" s="153"/>
    </row>
    <row r="327">
      <c r="A327" s="238">
        <v>2024.0</v>
      </c>
      <c r="B327" s="230">
        <v>330.0</v>
      </c>
      <c r="C327" s="153" t="s">
        <v>7901</v>
      </c>
      <c r="D327" s="153" t="s">
        <v>1271</v>
      </c>
      <c r="E327" s="153" t="s">
        <v>3161</v>
      </c>
      <c r="F327" s="154" t="s">
        <v>3162</v>
      </c>
      <c r="G327" s="158" t="s">
        <v>149</v>
      </c>
      <c r="H327" s="153"/>
      <c r="I327" s="230">
        <v>2017.0</v>
      </c>
      <c r="J327" s="230">
        <v>2017.0</v>
      </c>
      <c r="K327" s="158" t="s">
        <v>149</v>
      </c>
      <c r="L327" s="153" t="s">
        <v>6062</v>
      </c>
      <c r="M327" s="153" t="s">
        <v>3163</v>
      </c>
      <c r="N327" s="158" t="s">
        <v>3163</v>
      </c>
      <c r="O327" s="158" t="s">
        <v>149</v>
      </c>
      <c r="P327" s="158" t="s">
        <v>149</v>
      </c>
      <c r="Q327" s="158" t="s">
        <v>149</v>
      </c>
      <c r="R327" s="158" t="s">
        <v>2635</v>
      </c>
      <c r="S327" s="158" t="s">
        <v>149</v>
      </c>
      <c r="T327" s="158" t="s">
        <v>149</v>
      </c>
      <c r="U327" s="158" t="s">
        <v>149</v>
      </c>
      <c r="V327" s="153" t="s">
        <v>7293</v>
      </c>
      <c r="W327" s="153" t="s">
        <v>3165</v>
      </c>
      <c r="X327" s="153" t="s">
        <v>7294</v>
      </c>
      <c r="Y327" s="153"/>
      <c r="Z327" s="153"/>
      <c r="AA327" s="153"/>
      <c r="AB327" s="153" t="s">
        <v>6038</v>
      </c>
      <c r="AC327" s="153" t="s">
        <v>3166</v>
      </c>
      <c r="AD327" s="172" t="s">
        <v>3167</v>
      </c>
      <c r="AE327" s="153" t="s">
        <v>3165</v>
      </c>
      <c r="AF327" s="153"/>
      <c r="AG327" s="153"/>
    </row>
    <row r="328">
      <c r="A328" s="238">
        <v>2024.0</v>
      </c>
      <c r="B328" s="230">
        <v>331.0</v>
      </c>
      <c r="C328" s="153" t="s">
        <v>7901</v>
      </c>
      <c r="D328" s="153" t="s">
        <v>1271</v>
      </c>
      <c r="E328" s="153" t="s">
        <v>1272</v>
      </c>
      <c r="F328" s="153" t="s">
        <v>1273</v>
      </c>
      <c r="G328" s="153" t="s">
        <v>1174</v>
      </c>
      <c r="H328" s="153"/>
      <c r="I328" s="192">
        <v>2013.0</v>
      </c>
      <c r="J328" s="230">
        <v>2012.0</v>
      </c>
      <c r="K328" s="230">
        <v>2013.0</v>
      </c>
      <c r="L328" s="153" t="s">
        <v>6062</v>
      </c>
      <c r="M328" s="153" t="s">
        <v>1274</v>
      </c>
      <c r="N328" s="158" t="s">
        <v>179</v>
      </c>
      <c r="O328" s="158" t="s">
        <v>149</v>
      </c>
      <c r="P328" s="153" t="s">
        <v>321</v>
      </c>
      <c r="Q328" s="158" t="s">
        <v>160</v>
      </c>
      <c r="R328" s="158" t="s">
        <v>6035</v>
      </c>
      <c r="S328" s="158" t="s">
        <v>204</v>
      </c>
      <c r="T328" s="158" t="s">
        <v>149</v>
      </c>
      <c r="U328" s="158" t="s">
        <v>149</v>
      </c>
      <c r="V328" s="153" t="s">
        <v>1275</v>
      </c>
      <c r="W328" s="153" t="s">
        <v>885</v>
      </c>
      <c r="X328" s="158" t="s">
        <v>6068</v>
      </c>
      <c r="Y328" s="153" t="s">
        <v>1276</v>
      </c>
      <c r="Z328" s="153" t="s">
        <v>1277</v>
      </c>
      <c r="AA328" s="153"/>
      <c r="AB328" s="158" t="s">
        <v>6069</v>
      </c>
      <c r="AC328" s="153" t="s">
        <v>1278</v>
      </c>
      <c r="AD328" s="153" t="s">
        <v>6070</v>
      </c>
      <c r="AE328" s="153" t="s">
        <v>1280</v>
      </c>
      <c r="AF328" s="165" t="s">
        <v>1281</v>
      </c>
      <c r="AG328" s="153"/>
    </row>
    <row r="329">
      <c r="A329" s="238">
        <v>2024.0</v>
      </c>
      <c r="B329" s="230">
        <v>332.0</v>
      </c>
      <c r="C329" s="153" t="s">
        <v>7901</v>
      </c>
      <c r="D329" s="153" t="s">
        <v>1271</v>
      </c>
      <c r="E329" s="153" t="s">
        <v>1272</v>
      </c>
      <c r="F329" s="153" t="s">
        <v>1273</v>
      </c>
      <c r="G329" s="153" t="s">
        <v>1746</v>
      </c>
      <c r="H329" s="153"/>
      <c r="I329" s="230">
        <v>2014.0</v>
      </c>
      <c r="J329" s="230">
        <v>2014.0</v>
      </c>
      <c r="K329" s="192" t="s">
        <v>149</v>
      </c>
      <c r="L329" s="153" t="s">
        <v>151</v>
      </c>
      <c r="M329" s="153" t="s">
        <v>605</v>
      </c>
      <c r="N329" s="158" t="s">
        <v>605</v>
      </c>
      <c r="O329" s="153" t="s">
        <v>1747</v>
      </c>
      <c r="P329" s="158" t="s">
        <v>149</v>
      </c>
      <c r="Q329" s="158" t="s">
        <v>149</v>
      </c>
      <c r="R329" s="158" t="s">
        <v>149</v>
      </c>
      <c r="S329" s="158" t="s">
        <v>149</v>
      </c>
      <c r="T329" s="158" t="s">
        <v>149</v>
      </c>
      <c r="U329" s="158" t="s">
        <v>149</v>
      </c>
      <c r="V329" s="153" t="s">
        <v>1748</v>
      </c>
      <c r="W329" s="153" t="s">
        <v>158</v>
      </c>
      <c r="X329" s="153" t="s">
        <v>6035</v>
      </c>
      <c r="Y329" s="153"/>
      <c r="Z329" s="153" t="s">
        <v>158</v>
      </c>
      <c r="AA329" s="153"/>
      <c r="AB329" s="158" t="s">
        <v>7902</v>
      </c>
      <c r="AC329" s="153" t="s">
        <v>7300</v>
      </c>
      <c r="AD329" s="165" t="s">
        <v>1750</v>
      </c>
      <c r="AE329" s="153" t="s">
        <v>1739</v>
      </c>
      <c r="AF329" s="153" t="s">
        <v>1740</v>
      </c>
      <c r="AG329" s="153"/>
    </row>
    <row r="330">
      <c r="A330" s="238">
        <v>2024.0</v>
      </c>
      <c r="B330" s="230">
        <v>333.0</v>
      </c>
      <c r="C330" s="153" t="s">
        <v>7901</v>
      </c>
      <c r="D330" s="153" t="s">
        <v>1271</v>
      </c>
      <c r="E330" s="153" t="s">
        <v>1272</v>
      </c>
      <c r="F330" s="153" t="s">
        <v>1273</v>
      </c>
      <c r="G330" s="158" t="s">
        <v>149</v>
      </c>
      <c r="H330" s="153"/>
      <c r="I330" s="192" t="s">
        <v>149</v>
      </c>
      <c r="J330" s="192" t="s">
        <v>149</v>
      </c>
      <c r="K330" s="192" t="s">
        <v>149</v>
      </c>
      <c r="L330" s="153" t="s">
        <v>6062</v>
      </c>
      <c r="M330" s="153" t="s">
        <v>7273</v>
      </c>
      <c r="N330" s="158" t="s">
        <v>179</v>
      </c>
      <c r="O330" s="153" t="s">
        <v>2475</v>
      </c>
      <c r="P330" s="153" t="s">
        <v>1277</v>
      </c>
      <c r="Q330" s="158" t="s">
        <v>160</v>
      </c>
      <c r="R330" s="158" t="s">
        <v>184</v>
      </c>
      <c r="S330" s="158" t="s">
        <v>159</v>
      </c>
      <c r="T330" s="158" t="s">
        <v>149</v>
      </c>
      <c r="U330" s="158" t="s">
        <v>149</v>
      </c>
      <c r="V330" s="158" t="s">
        <v>149</v>
      </c>
      <c r="W330" s="153" t="s">
        <v>1277</v>
      </c>
      <c r="X330" s="158" t="s">
        <v>184</v>
      </c>
      <c r="Y330" s="153"/>
      <c r="Z330" s="153"/>
      <c r="AA330" s="153"/>
      <c r="AB330" s="153" t="s">
        <v>6038</v>
      </c>
      <c r="AC330" s="153" t="s">
        <v>2476</v>
      </c>
      <c r="AD330" s="165" t="s">
        <v>7305</v>
      </c>
      <c r="AE330" s="153"/>
      <c r="AF330" s="153" t="s">
        <v>2478</v>
      </c>
      <c r="AG330" s="153"/>
    </row>
    <row r="331">
      <c r="A331" s="238">
        <v>2024.0</v>
      </c>
      <c r="B331" s="230">
        <v>334.0</v>
      </c>
      <c r="C331" s="153" t="s">
        <v>7901</v>
      </c>
      <c r="D331" s="153" t="s">
        <v>1271</v>
      </c>
      <c r="E331" s="153" t="s">
        <v>1272</v>
      </c>
      <c r="F331" s="153" t="s">
        <v>1273</v>
      </c>
      <c r="G331" s="153" t="s">
        <v>1732</v>
      </c>
      <c r="H331" s="153"/>
      <c r="I331" s="230">
        <v>2019.0</v>
      </c>
      <c r="J331" s="230">
        <v>2019.0</v>
      </c>
      <c r="K331" s="192" t="s">
        <v>149</v>
      </c>
      <c r="L331" s="153" t="s">
        <v>151</v>
      </c>
      <c r="M331" s="153" t="s">
        <v>1735</v>
      </c>
      <c r="N331" s="158" t="s">
        <v>7310</v>
      </c>
      <c r="O331" s="158" t="s">
        <v>149</v>
      </c>
      <c r="P331" s="153" t="s">
        <v>1736</v>
      </c>
      <c r="Q331" s="158" t="s">
        <v>6154</v>
      </c>
      <c r="R331" s="158" t="s">
        <v>306</v>
      </c>
      <c r="S331" s="158" t="s">
        <v>204</v>
      </c>
      <c r="T331" s="158" t="s">
        <v>149</v>
      </c>
      <c r="U331" s="158" t="s">
        <v>149</v>
      </c>
      <c r="V331" s="158" t="s">
        <v>149</v>
      </c>
      <c r="W331" s="153" t="s">
        <v>1736</v>
      </c>
      <c r="X331" s="158" t="s">
        <v>306</v>
      </c>
      <c r="Y331" s="153"/>
      <c r="Z331" s="153"/>
      <c r="AA331" s="153"/>
      <c r="AB331" s="153" t="s">
        <v>6038</v>
      </c>
      <c r="AC331" s="153" t="s">
        <v>1737</v>
      </c>
      <c r="AD331" s="153" t="s">
        <v>1738</v>
      </c>
      <c r="AE331" s="153" t="s">
        <v>1739</v>
      </c>
      <c r="AF331" s="153" t="s">
        <v>1740</v>
      </c>
      <c r="AG331" s="153"/>
    </row>
    <row r="332">
      <c r="A332" s="238">
        <v>2024.0</v>
      </c>
      <c r="B332" s="230">
        <v>335.0</v>
      </c>
      <c r="C332" s="153" t="s">
        <v>7901</v>
      </c>
      <c r="D332" s="153" t="s">
        <v>1271</v>
      </c>
      <c r="E332" s="153" t="s">
        <v>1272</v>
      </c>
      <c r="F332" s="153" t="s">
        <v>1273</v>
      </c>
      <c r="G332" s="153" t="s">
        <v>1732</v>
      </c>
      <c r="H332" s="153"/>
      <c r="I332" s="230">
        <v>2018.0</v>
      </c>
      <c r="J332" s="230">
        <v>2018.0</v>
      </c>
      <c r="K332" s="192" t="s">
        <v>149</v>
      </c>
      <c r="L332" s="153" t="s">
        <v>151</v>
      </c>
      <c r="M332" s="153" t="s">
        <v>1742</v>
      </c>
      <c r="N332" s="158" t="s">
        <v>7310</v>
      </c>
      <c r="O332" s="158" t="s">
        <v>149</v>
      </c>
      <c r="P332" s="153" t="s">
        <v>1736</v>
      </c>
      <c r="Q332" s="158" t="s">
        <v>6154</v>
      </c>
      <c r="R332" s="158" t="s">
        <v>306</v>
      </c>
      <c r="S332" s="158" t="s">
        <v>204</v>
      </c>
      <c r="T332" s="158" t="s">
        <v>149</v>
      </c>
      <c r="U332" s="158" t="s">
        <v>149</v>
      </c>
      <c r="V332" s="158" t="s">
        <v>149</v>
      </c>
      <c r="W332" s="153" t="s">
        <v>1736</v>
      </c>
      <c r="X332" s="158" t="s">
        <v>306</v>
      </c>
      <c r="Y332" s="153"/>
      <c r="Z332" s="153"/>
      <c r="AA332" s="153"/>
      <c r="AB332" s="153" t="s">
        <v>6038</v>
      </c>
      <c r="AC332" s="153" t="s">
        <v>1743</v>
      </c>
      <c r="AD332" s="165" t="s">
        <v>1744</v>
      </c>
      <c r="AE332" s="153" t="s">
        <v>1739</v>
      </c>
      <c r="AF332" s="153" t="s">
        <v>1740</v>
      </c>
      <c r="AG332" s="153"/>
    </row>
    <row r="333">
      <c r="A333" s="238">
        <v>2024.0</v>
      </c>
      <c r="B333" s="230">
        <v>336.0</v>
      </c>
      <c r="C333" s="153" t="s">
        <v>7901</v>
      </c>
      <c r="D333" s="153" t="s">
        <v>1271</v>
      </c>
      <c r="E333" s="153" t="s">
        <v>1763</v>
      </c>
      <c r="F333" s="153" t="s">
        <v>1764</v>
      </c>
      <c r="G333" s="153" t="s">
        <v>1765</v>
      </c>
      <c r="H333" s="153"/>
      <c r="I333" s="230">
        <v>2022.0</v>
      </c>
      <c r="J333" s="192" t="s">
        <v>149</v>
      </c>
      <c r="K333" s="192" t="s">
        <v>149</v>
      </c>
      <c r="L333" s="153" t="s">
        <v>151</v>
      </c>
      <c r="M333" s="153" t="s">
        <v>6079</v>
      </c>
      <c r="N333" s="158" t="s">
        <v>605</v>
      </c>
      <c r="O333" s="158" t="s">
        <v>1766</v>
      </c>
      <c r="P333" s="153" t="s">
        <v>1736</v>
      </c>
      <c r="Q333" s="158" t="s">
        <v>6154</v>
      </c>
      <c r="R333" s="158" t="s">
        <v>306</v>
      </c>
      <c r="S333" s="158" t="s">
        <v>159</v>
      </c>
      <c r="T333" s="158" t="s">
        <v>149</v>
      </c>
      <c r="U333" s="158" t="s">
        <v>149</v>
      </c>
      <c r="V333" s="158" t="s">
        <v>149</v>
      </c>
      <c r="W333" s="153" t="s">
        <v>1736</v>
      </c>
      <c r="X333" s="158" t="s">
        <v>306</v>
      </c>
      <c r="Y333" s="158" t="s">
        <v>369</v>
      </c>
      <c r="Z333" s="153"/>
      <c r="AA333" s="153"/>
      <c r="AB333" s="153" t="s">
        <v>6038</v>
      </c>
      <c r="AC333" s="153" t="s">
        <v>1767</v>
      </c>
      <c r="AD333" s="165" t="s">
        <v>1768</v>
      </c>
      <c r="AE333" s="153" t="s">
        <v>1739</v>
      </c>
      <c r="AF333" s="153" t="s">
        <v>1740</v>
      </c>
      <c r="AG333" s="153"/>
    </row>
    <row r="334">
      <c r="A334" s="238">
        <v>2024.0</v>
      </c>
      <c r="B334" s="230">
        <v>337.0</v>
      </c>
      <c r="C334" s="153" t="s">
        <v>7901</v>
      </c>
      <c r="D334" s="153" t="s">
        <v>1271</v>
      </c>
      <c r="E334" s="153" t="s">
        <v>1494</v>
      </c>
      <c r="F334" s="153" t="s">
        <v>1495</v>
      </c>
      <c r="G334" s="153" t="s">
        <v>1377</v>
      </c>
      <c r="H334" s="153" t="s">
        <v>7317</v>
      </c>
      <c r="I334" s="192">
        <v>1992.0</v>
      </c>
      <c r="J334" s="230">
        <v>1990.0</v>
      </c>
      <c r="K334" s="230">
        <v>1994.0</v>
      </c>
      <c r="L334" s="153" t="s">
        <v>151</v>
      </c>
      <c r="M334" s="158" t="s">
        <v>149</v>
      </c>
      <c r="N334" s="158" t="s">
        <v>149</v>
      </c>
      <c r="O334" s="158" t="s">
        <v>149</v>
      </c>
      <c r="P334" s="153" t="s">
        <v>1381</v>
      </c>
      <c r="Q334" s="158" t="s">
        <v>6154</v>
      </c>
      <c r="R334" s="158" t="s">
        <v>206</v>
      </c>
      <c r="S334" s="158" t="s">
        <v>159</v>
      </c>
      <c r="T334" s="158" t="s">
        <v>149</v>
      </c>
      <c r="U334" s="158" t="s">
        <v>149</v>
      </c>
      <c r="V334" s="158" t="s">
        <v>149</v>
      </c>
      <c r="W334" s="153" t="s">
        <v>660</v>
      </c>
      <c r="X334" s="153" t="s">
        <v>6035</v>
      </c>
      <c r="Y334" s="153" t="s">
        <v>369</v>
      </c>
      <c r="Z334" s="153"/>
      <c r="AA334" s="153"/>
      <c r="AB334" s="158" t="s">
        <v>395</v>
      </c>
      <c r="AC334" s="153" t="s">
        <v>6060</v>
      </c>
      <c r="AD334" s="153" t="s">
        <v>2873</v>
      </c>
      <c r="AE334" s="153" t="s">
        <v>398</v>
      </c>
      <c r="AF334" s="153"/>
      <c r="AG334" s="153"/>
    </row>
    <row r="335">
      <c r="A335" s="238">
        <v>2024.0</v>
      </c>
      <c r="B335" s="230">
        <v>338.0</v>
      </c>
      <c r="C335" s="153" t="s">
        <v>7901</v>
      </c>
      <c r="D335" s="153" t="s">
        <v>1271</v>
      </c>
      <c r="E335" s="153" t="s">
        <v>2648</v>
      </c>
      <c r="F335" s="153" t="s">
        <v>2649</v>
      </c>
      <c r="G335" s="158" t="s">
        <v>149</v>
      </c>
      <c r="H335" s="153" t="s">
        <v>7320</v>
      </c>
      <c r="I335" s="230">
        <v>2016.0</v>
      </c>
      <c r="J335" s="158" t="s">
        <v>149</v>
      </c>
      <c r="K335" s="158" t="s">
        <v>149</v>
      </c>
      <c r="L335" s="153" t="s">
        <v>6062</v>
      </c>
      <c r="M335" s="158" t="s">
        <v>179</v>
      </c>
      <c r="N335" s="158" t="s">
        <v>179</v>
      </c>
      <c r="O335" s="153" t="s">
        <v>2653</v>
      </c>
      <c r="P335" s="153" t="s">
        <v>158</v>
      </c>
      <c r="Q335" s="158" t="s">
        <v>160</v>
      </c>
      <c r="R335" s="158" t="s">
        <v>6035</v>
      </c>
      <c r="S335" s="158" t="s">
        <v>159</v>
      </c>
      <c r="T335" s="158" t="s">
        <v>149</v>
      </c>
      <c r="U335" s="153" t="s">
        <v>7321</v>
      </c>
      <c r="V335" s="153" t="s">
        <v>2655</v>
      </c>
      <c r="W335" s="153" t="s">
        <v>158</v>
      </c>
      <c r="X335" s="153" t="s">
        <v>6035</v>
      </c>
      <c r="Y335" s="153"/>
      <c r="Z335" s="153" t="s">
        <v>8046</v>
      </c>
      <c r="AA335" s="153"/>
      <c r="AB335" s="158" t="s">
        <v>166</v>
      </c>
      <c r="AC335" s="153" t="s">
        <v>2657</v>
      </c>
      <c r="AD335" s="172" t="s">
        <v>2658</v>
      </c>
      <c r="AE335" s="153"/>
      <c r="AF335" s="153"/>
      <c r="AG335" s="153"/>
    </row>
    <row r="336">
      <c r="A336" s="238">
        <v>2024.0</v>
      </c>
      <c r="B336" s="230">
        <v>339.0</v>
      </c>
      <c r="C336" s="153" t="s">
        <v>7904</v>
      </c>
      <c r="D336" s="153" t="s">
        <v>591</v>
      </c>
      <c r="E336" s="153" t="s">
        <v>7288</v>
      </c>
      <c r="F336" s="153" t="s">
        <v>593</v>
      </c>
      <c r="G336" s="153" t="s">
        <v>384</v>
      </c>
      <c r="H336" s="153" t="s">
        <v>435</v>
      </c>
      <c r="I336" s="230">
        <v>1987.0</v>
      </c>
      <c r="J336" s="230">
        <v>1985.0</v>
      </c>
      <c r="K336" s="230">
        <v>19987.0</v>
      </c>
      <c r="L336" s="153" t="s">
        <v>151</v>
      </c>
      <c r="M336" s="153" t="s">
        <v>469</v>
      </c>
      <c r="N336" s="158" t="s">
        <v>469</v>
      </c>
      <c r="O336" s="158" t="s">
        <v>149</v>
      </c>
      <c r="P336" s="153" t="s">
        <v>390</v>
      </c>
      <c r="Q336" s="158" t="s">
        <v>160</v>
      </c>
      <c r="R336" s="158" t="s">
        <v>6035</v>
      </c>
      <c r="S336" s="158" t="s">
        <v>159</v>
      </c>
      <c r="T336" s="158" t="s">
        <v>149</v>
      </c>
      <c r="U336" s="158" t="s">
        <v>149</v>
      </c>
      <c r="V336" s="158" t="s">
        <v>149</v>
      </c>
      <c r="W336" s="153" t="s">
        <v>390</v>
      </c>
      <c r="X336" s="153" t="s">
        <v>6035</v>
      </c>
      <c r="Y336" s="153" t="s">
        <v>6055</v>
      </c>
      <c r="Z336" s="153"/>
      <c r="AA336" s="153"/>
      <c r="AB336" s="158" t="s">
        <v>395</v>
      </c>
      <c r="AC336" s="153" t="s">
        <v>6060</v>
      </c>
      <c r="AD336" s="153" t="s">
        <v>2873</v>
      </c>
      <c r="AE336" s="153" t="s">
        <v>398</v>
      </c>
      <c r="AF336" s="153"/>
      <c r="AG336" s="153"/>
    </row>
    <row r="337">
      <c r="A337" s="238">
        <v>2024.0</v>
      </c>
      <c r="B337" s="230">
        <v>340.0</v>
      </c>
      <c r="C337" s="153" t="s">
        <v>7904</v>
      </c>
      <c r="D337" s="153" t="s">
        <v>591</v>
      </c>
      <c r="E337" s="153" t="s">
        <v>7288</v>
      </c>
      <c r="F337" s="153" t="s">
        <v>593</v>
      </c>
      <c r="G337" s="153" t="s">
        <v>384</v>
      </c>
      <c r="H337" s="153" t="s">
        <v>596</v>
      </c>
      <c r="I337" s="230">
        <v>1987.0</v>
      </c>
      <c r="J337" s="230">
        <v>1985.0</v>
      </c>
      <c r="K337" s="230">
        <v>1987.0</v>
      </c>
      <c r="L337" s="153" t="s">
        <v>151</v>
      </c>
      <c r="M337" s="153" t="s">
        <v>469</v>
      </c>
      <c r="N337" s="158" t="s">
        <v>469</v>
      </c>
      <c r="O337" s="158" t="s">
        <v>149</v>
      </c>
      <c r="P337" s="153" t="s">
        <v>390</v>
      </c>
      <c r="Q337" s="158" t="s">
        <v>160</v>
      </c>
      <c r="R337" s="158" t="s">
        <v>6035</v>
      </c>
      <c r="S337" s="158" t="s">
        <v>159</v>
      </c>
      <c r="T337" s="158" t="s">
        <v>149</v>
      </c>
      <c r="U337" s="158" t="s">
        <v>149</v>
      </c>
      <c r="V337" s="158" t="s">
        <v>149</v>
      </c>
      <c r="W337" s="153" t="s">
        <v>390</v>
      </c>
      <c r="X337" s="153" t="s">
        <v>6035</v>
      </c>
      <c r="Y337" s="153" t="s">
        <v>6055</v>
      </c>
      <c r="Z337" s="153"/>
      <c r="AA337" s="153"/>
      <c r="AB337" s="158" t="s">
        <v>395</v>
      </c>
      <c r="AC337" s="153" t="s">
        <v>6060</v>
      </c>
      <c r="AD337" s="153" t="s">
        <v>2873</v>
      </c>
      <c r="AE337" s="153" t="s">
        <v>398</v>
      </c>
      <c r="AF337" s="153"/>
      <c r="AG337" s="153"/>
    </row>
    <row r="338">
      <c r="A338" s="238">
        <v>2024.0</v>
      </c>
      <c r="B338" s="230">
        <v>341.0</v>
      </c>
      <c r="C338" s="153" t="s">
        <v>7904</v>
      </c>
      <c r="D338" s="153" t="s">
        <v>591</v>
      </c>
      <c r="E338" s="153" t="s">
        <v>7288</v>
      </c>
      <c r="F338" s="153" t="s">
        <v>593</v>
      </c>
      <c r="G338" s="153" t="s">
        <v>384</v>
      </c>
      <c r="H338" s="153" t="s">
        <v>598</v>
      </c>
      <c r="I338" s="230">
        <v>1987.0</v>
      </c>
      <c r="J338" s="230">
        <v>1985.0</v>
      </c>
      <c r="K338" s="230">
        <v>1987.0</v>
      </c>
      <c r="L338" s="153" t="s">
        <v>151</v>
      </c>
      <c r="M338" s="153" t="s">
        <v>469</v>
      </c>
      <c r="N338" s="158" t="s">
        <v>469</v>
      </c>
      <c r="O338" s="158" t="s">
        <v>149</v>
      </c>
      <c r="P338" s="153" t="s">
        <v>390</v>
      </c>
      <c r="Q338" s="158" t="s">
        <v>160</v>
      </c>
      <c r="R338" s="158" t="s">
        <v>6035</v>
      </c>
      <c r="S338" s="158" t="s">
        <v>159</v>
      </c>
      <c r="T338" s="158" t="s">
        <v>149</v>
      </c>
      <c r="U338" s="158" t="s">
        <v>149</v>
      </c>
      <c r="V338" s="158" t="s">
        <v>149</v>
      </c>
      <c r="W338" s="153" t="s">
        <v>390</v>
      </c>
      <c r="X338" s="153" t="s">
        <v>6035</v>
      </c>
      <c r="Y338" s="153" t="s">
        <v>6055</v>
      </c>
      <c r="Z338" s="153"/>
      <c r="AA338" s="153"/>
      <c r="AB338" s="158" t="s">
        <v>395</v>
      </c>
      <c r="AC338" s="153" t="s">
        <v>6060</v>
      </c>
      <c r="AD338" s="153" t="s">
        <v>2873</v>
      </c>
      <c r="AE338" s="153" t="s">
        <v>398</v>
      </c>
      <c r="AF338" s="153"/>
      <c r="AG338" s="153"/>
    </row>
    <row r="339">
      <c r="A339" s="238">
        <v>2024.0</v>
      </c>
      <c r="B339" s="230">
        <v>342.0</v>
      </c>
      <c r="C339" s="153" t="s">
        <v>7904</v>
      </c>
      <c r="D339" s="153" t="s">
        <v>769</v>
      </c>
      <c r="E339" s="153" t="s">
        <v>7302</v>
      </c>
      <c r="F339" s="153" t="s">
        <v>771</v>
      </c>
      <c r="G339" s="158" t="s">
        <v>149</v>
      </c>
      <c r="H339" s="153" t="s">
        <v>7335</v>
      </c>
      <c r="I339" s="192" t="s">
        <v>149</v>
      </c>
      <c r="J339" s="192" t="s">
        <v>149</v>
      </c>
      <c r="K339" s="192" t="s">
        <v>149</v>
      </c>
      <c r="L339" s="153" t="s">
        <v>151</v>
      </c>
      <c r="M339" s="158" t="s">
        <v>149</v>
      </c>
      <c r="N339" s="158" t="s">
        <v>149</v>
      </c>
      <c r="O339" s="158" t="s">
        <v>149</v>
      </c>
      <c r="P339" s="158" t="s">
        <v>149</v>
      </c>
      <c r="Q339" s="158" t="s">
        <v>149</v>
      </c>
      <c r="R339" s="158" t="s">
        <v>149</v>
      </c>
      <c r="S339" s="158" t="s">
        <v>149</v>
      </c>
      <c r="T339" s="158" t="s">
        <v>149</v>
      </c>
      <c r="U339" s="158" t="s">
        <v>149</v>
      </c>
      <c r="V339" s="158" t="s">
        <v>149</v>
      </c>
      <c r="W339" s="158" t="s">
        <v>149</v>
      </c>
      <c r="X339" s="158" t="s">
        <v>149</v>
      </c>
      <c r="Y339" s="153"/>
      <c r="Z339" s="153"/>
      <c r="AA339" s="153"/>
      <c r="AB339" s="158" t="s">
        <v>6091</v>
      </c>
      <c r="AC339" s="153" t="s">
        <v>3170</v>
      </c>
      <c r="AD339" s="172" t="s">
        <v>3171</v>
      </c>
      <c r="AE339" s="153"/>
      <c r="AF339" s="153"/>
      <c r="AG339" s="153"/>
    </row>
    <row r="340">
      <c r="A340" s="238">
        <v>2024.0</v>
      </c>
      <c r="B340" s="230">
        <v>343.0</v>
      </c>
      <c r="C340" s="153" t="s">
        <v>7904</v>
      </c>
      <c r="D340" s="153" t="s">
        <v>769</v>
      </c>
      <c r="E340" s="153" t="s">
        <v>7302</v>
      </c>
      <c r="F340" s="153" t="s">
        <v>771</v>
      </c>
      <c r="G340" s="153" t="s">
        <v>772</v>
      </c>
      <c r="H340" s="153"/>
      <c r="I340" s="192">
        <v>2021.0</v>
      </c>
      <c r="J340" s="192" t="s">
        <v>149</v>
      </c>
      <c r="K340" s="192" t="s">
        <v>149</v>
      </c>
      <c r="L340" s="153" t="s">
        <v>151</v>
      </c>
      <c r="M340" s="158" t="s">
        <v>149</v>
      </c>
      <c r="N340" s="158" t="s">
        <v>149</v>
      </c>
      <c r="O340" s="158" t="s">
        <v>149</v>
      </c>
      <c r="P340" s="158" t="s">
        <v>149</v>
      </c>
      <c r="Q340" s="158" t="s">
        <v>149</v>
      </c>
      <c r="R340" s="158" t="s">
        <v>149</v>
      </c>
      <c r="S340" s="158" t="s">
        <v>149</v>
      </c>
      <c r="T340" s="158" t="s">
        <v>149</v>
      </c>
      <c r="U340" s="158" t="s">
        <v>149</v>
      </c>
      <c r="V340" s="158" t="s">
        <v>149</v>
      </c>
      <c r="W340" s="153" t="s">
        <v>760</v>
      </c>
      <c r="X340" s="153" t="s">
        <v>6035</v>
      </c>
      <c r="Y340" s="153"/>
      <c r="Z340" s="153" t="s">
        <v>773</v>
      </c>
      <c r="AA340" s="153"/>
      <c r="AB340" s="153" t="s">
        <v>6038</v>
      </c>
      <c r="AC340" s="153" t="s">
        <v>774</v>
      </c>
      <c r="AD340" s="165" t="s">
        <v>775</v>
      </c>
      <c r="AE340" s="153"/>
      <c r="AF340" s="153"/>
      <c r="AG340" s="153"/>
    </row>
    <row r="341">
      <c r="A341" s="238">
        <v>2024.0</v>
      </c>
      <c r="B341" s="230">
        <v>344.0</v>
      </c>
      <c r="C341" s="153" t="s">
        <v>7904</v>
      </c>
      <c r="D341" s="153" t="s">
        <v>769</v>
      </c>
      <c r="E341" s="153" t="s">
        <v>7312</v>
      </c>
      <c r="F341" s="153" t="s">
        <v>1518</v>
      </c>
      <c r="G341" s="153" t="s">
        <v>1683</v>
      </c>
      <c r="H341" s="153"/>
      <c r="I341" s="192">
        <v>2015.0</v>
      </c>
      <c r="J341" s="230">
        <v>2014.0</v>
      </c>
      <c r="K341" s="230">
        <v>2016.0</v>
      </c>
      <c r="L341" s="153" t="s">
        <v>6062</v>
      </c>
      <c r="M341" s="158" t="s">
        <v>149</v>
      </c>
      <c r="N341" s="158" t="s">
        <v>149</v>
      </c>
      <c r="O341" s="158" t="s">
        <v>149</v>
      </c>
      <c r="P341" s="153" t="s">
        <v>321</v>
      </c>
      <c r="Q341" s="158" t="s">
        <v>160</v>
      </c>
      <c r="R341" s="158" t="s">
        <v>6035</v>
      </c>
      <c r="S341" s="158" t="s">
        <v>159</v>
      </c>
      <c r="T341" s="158" t="s">
        <v>149</v>
      </c>
      <c r="U341" s="158" t="s">
        <v>149</v>
      </c>
      <c r="V341" s="153" t="s">
        <v>1719</v>
      </c>
      <c r="W341" s="153" t="s">
        <v>326</v>
      </c>
      <c r="X341" s="158" t="s">
        <v>271</v>
      </c>
      <c r="Y341" s="153" t="s">
        <v>1720</v>
      </c>
      <c r="Z341" s="153"/>
      <c r="AA341" s="153"/>
      <c r="AB341" s="158" t="s">
        <v>6069</v>
      </c>
      <c r="AC341" s="153" t="s">
        <v>1300</v>
      </c>
      <c r="AD341" s="153" t="s">
        <v>7029</v>
      </c>
      <c r="AE341" s="153" t="s">
        <v>1722</v>
      </c>
      <c r="AF341" s="165" t="s">
        <v>1723</v>
      </c>
      <c r="AG341" s="153"/>
    </row>
    <row r="342">
      <c r="A342" s="238">
        <v>2024.0</v>
      </c>
      <c r="B342" s="230">
        <v>345.0</v>
      </c>
      <c r="C342" s="153" t="s">
        <v>7904</v>
      </c>
      <c r="D342" s="153" t="s">
        <v>769</v>
      </c>
      <c r="E342" s="153" t="s">
        <v>7312</v>
      </c>
      <c r="F342" s="153" t="s">
        <v>1518</v>
      </c>
      <c r="G342" s="153" t="s">
        <v>1519</v>
      </c>
      <c r="H342" s="153"/>
      <c r="I342" s="230">
        <v>2020.0</v>
      </c>
      <c r="J342" s="192" t="s">
        <v>149</v>
      </c>
      <c r="K342" s="192" t="s">
        <v>149</v>
      </c>
      <c r="L342" s="153" t="s">
        <v>151</v>
      </c>
      <c r="M342" s="158" t="s">
        <v>3376</v>
      </c>
      <c r="N342" s="158" t="s">
        <v>152</v>
      </c>
      <c r="O342" s="158" t="s">
        <v>1522</v>
      </c>
      <c r="P342" s="158" t="s">
        <v>1523</v>
      </c>
      <c r="Q342" s="158" t="s">
        <v>160</v>
      </c>
      <c r="R342" s="158" t="s">
        <v>6035</v>
      </c>
      <c r="S342" s="158" t="s">
        <v>159</v>
      </c>
      <c r="T342" s="158" t="s">
        <v>149</v>
      </c>
      <c r="U342" s="158" t="s">
        <v>149</v>
      </c>
      <c r="V342" s="158" t="s">
        <v>7344</v>
      </c>
      <c r="W342" s="153" t="s">
        <v>1523</v>
      </c>
      <c r="X342" s="153" t="s">
        <v>6035</v>
      </c>
      <c r="Y342" s="153" t="s">
        <v>7345</v>
      </c>
      <c r="Z342" s="153"/>
      <c r="AA342" s="153"/>
      <c r="AB342" s="158" t="s">
        <v>166</v>
      </c>
      <c r="AC342" s="153" t="s">
        <v>7346</v>
      </c>
      <c r="AD342" s="165" t="s">
        <v>1527</v>
      </c>
      <c r="AE342" s="153"/>
      <c r="AF342" s="153"/>
      <c r="AG342" s="153"/>
    </row>
    <row r="343">
      <c r="A343" s="238">
        <v>2024.0</v>
      </c>
      <c r="B343" s="230">
        <v>346.0</v>
      </c>
      <c r="C343" s="153" t="s">
        <v>7905</v>
      </c>
      <c r="D343" s="153" t="s">
        <v>1725</v>
      </c>
      <c r="E343" s="153" t="s">
        <v>1726</v>
      </c>
      <c r="F343" s="153" t="s">
        <v>1727</v>
      </c>
      <c r="G343" s="153" t="s">
        <v>1683</v>
      </c>
      <c r="H343" s="153"/>
      <c r="I343" s="192">
        <v>2015.0</v>
      </c>
      <c r="J343" s="230">
        <v>2014.0</v>
      </c>
      <c r="K343" s="230">
        <v>2016.0</v>
      </c>
      <c r="L343" s="153" t="s">
        <v>6062</v>
      </c>
      <c r="M343" s="158" t="s">
        <v>149</v>
      </c>
      <c r="N343" s="158" t="s">
        <v>149</v>
      </c>
      <c r="O343" s="158" t="s">
        <v>149</v>
      </c>
      <c r="P343" s="153" t="s">
        <v>321</v>
      </c>
      <c r="Q343" s="158" t="s">
        <v>160</v>
      </c>
      <c r="R343" s="158" t="s">
        <v>6035</v>
      </c>
      <c r="S343" s="158" t="s">
        <v>159</v>
      </c>
      <c r="T343" s="158" t="s">
        <v>149</v>
      </c>
      <c r="U343" s="158" t="s">
        <v>149</v>
      </c>
      <c r="V343" s="153" t="s">
        <v>1728</v>
      </c>
      <c r="W343" s="153" t="s">
        <v>326</v>
      </c>
      <c r="X343" s="158" t="s">
        <v>271</v>
      </c>
      <c r="Y343" s="153" t="s">
        <v>1729</v>
      </c>
      <c r="Z343" s="153"/>
      <c r="AA343" s="153"/>
      <c r="AB343" s="158" t="s">
        <v>6069</v>
      </c>
      <c r="AC343" s="153" t="s">
        <v>1300</v>
      </c>
      <c r="AD343" s="153" t="s">
        <v>7029</v>
      </c>
      <c r="AE343" s="153" t="s">
        <v>1722</v>
      </c>
      <c r="AF343" s="165" t="s">
        <v>1723</v>
      </c>
      <c r="AG343" s="153"/>
    </row>
    <row r="344">
      <c r="A344" s="238">
        <v>2024.0</v>
      </c>
      <c r="B344" s="230">
        <v>347.0</v>
      </c>
      <c r="C344" s="153" t="s">
        <v>7905</v>
      </c>
      <c r="D344" s="153" t="s">
        <v>1725</v>
      </c>
      <c r="E344" s="153" t="s">
        <v>1726</v>
      </c>
      <c r="F344" s="153" t="s">
        <v>1727</v>
      </c>
      <c r="G344" s="153" t="s">
        <v>1785</v>
      </c>
      <c r="H344" s="153" t="s">
        <v>1792</v>
      </c>
      <c r="I344" s="230">
        <v>2013.0</v>
      </c>
      <c r="J344" s="192" t="s">
        <v>149</v>
      </c>
      <c r="K344" s="192" t="s">
        <v>149</v>
      </c>
      <c r="L344" s="153" t="s">
        <v>151</v>
      </c>
      <c r="M344" s="153" t="s">
        <v>851</v>
      </c>
      <c r="N344" s="158" t="s">
        <v>851</v>
      </c>
      <c r="O344" s="158" t="s">
        <v>149</v>
      </c>
      <c r="P344" s="153" t="s">
        <v>341</v>
      </c>
      <c r="Q344" s="158" t="s">
        <v>160</v>
      </c>
      <c r="R344" s="158" t="s">
        <v>6035</v>
      </c>
      <c r="S344" s="158" t="s">
        <v>159</v>
      </c>
      <c r="T344" s="158" t="s">
        <v>149</v>
      </c>
      <c r="U344" s="158" t="s">
        <v>149</v>
      </c>
      <c r="V344" s="158" t="s">
        <v>149</v>
      </c>
      <c r="W344" s="153" t="s">
        <v>369</v>
      </c>
      <c r="X344" s="153" t="s">
        <v>6035</v>
      </c>
      <c r="Y344" s="153" t="s">
        <v>341</v>
      </c>
      <c r="Z344" s="153" t="s">
        <v>1793</v>
      </c>
      <c r="AA344" s="153"/>
      <c r="AB344" s="158" t="s">
        <v>166</v>
      </c>
      <c r="AC344" s="153" t="s">
        <v>1789</v>
      </c>
      <c r="AD344" s="165" t="s">
        <v>1790</v>
      </c>
      <c r="AE344" s="153"/>
      <c r="AF344" s="153"/>
      <c r="AG344" s="153"/>
    </row>
    <row r="345">
      <c r="A345" s="238">
        <v>2024.0</v>
      </c>
      <c r="B345" s="230">
        <v>348.0</v>
      </c>
      <c r="C345" s="153" t="s">
        <v>7905</v>
      </c>
      <c r="D345" s="153" t="s">
        <v>1725</v>
      </c>
      <c r="E345" s="153" t="s">
        <v>1806</v>
      </c>
      <c r="F345" s="153" t="s">
        <v>1807</v>
      </c>
      <c r="G345" s="158" t="s">
        <v>1808</v>
      </c>
      <c r="H345" s="153" t="s">
        <v>1809</v>
      </c>
      <c r="I345" s="230">
        <v>2021.0</v>
      </c>
      <c r="J345" s="192" t="s">
        <v>149</v>
      </c>
      <c r="K345" s="192" t="s">
        <v>149</v>
      </c>
      <c r="L345" s="153" t="s">
        <v>151</v>
      </c>
      <c r="M345" s="158" t="s">
        <v>911</v>
      </c>
      <c r="N345" s="158" t="s">
        <v>152</v>
      </c>
      <c r="O345" s="158" t="s">
        <v>149</v>
      </c>
      <c r="P345" s="158" t="s">
        <v>149</v>
      </c>
      <c r="Q345" s="158" t="s">
        <v>160</v>
      </c>
      <c r="R345" s="158" t="s">
        <v>6035</v>
      </c>
      <c r="S345" s="158" t="s">
        <v>159</v>
      </c>
      <c r="T345" s="158" t="s">
        <v>149</v>
      </c>
      <c r="U345" s="158" t="s">
        <v>149</v>
      </c>
      <c r="V345" s="158" t="s">
        <v>149</v>
      </c>
      <c r="W345" s="153" t="s">
        <v>8047</v>
      </c>
      <c r="X345" s="153" t="s">
        <v>6035</v>
      </c>
      <c r="Y345" s="153" t="s">
        <v>1811</v>
      </c>
      <c r="Z345" s="153" t="s">
        <v>7328</v>
      </c>
      <c r="AA345" s="153"/>
      <c r="AB345" s="158" t="s">
        <v>166</v>
      </c>
      <c r="AC345" s="153" t="s">
        <v>1813</v>
      </c>
      <c r="AD345" s="172" t="s">
        <v>1814</v>
      </c>
      <c r="AE345" s="153"/>
      <c r="AF345" s="153"/>
      <c r="AG345" s="153"/>
    </row>
    <row r="346">
      <c r="A346" s="238">
        <v>2024.0</v>
      </c>
      <c r="B346" s="230">
        <v>349.0</v>
      </c>
      <c r="C346" s="153" t="s">
        <v>7905</v>
      </c>
      <c r="D346" s="153" t="s">
        <v>1725</v>
      </c>
      <c r="E346" s="153" t="s">
        <v>1783</v>
      </c>
      <c r="F346" s="153" t="s">
        <v>1784</v>
      </c>
      <c r="G346" s="158" t="s">
        <v>149</v>
      </c>
      <c r="H346" s="153" t="s">
        <v>2480</v>
      </c>
      <c r="I346" s="230">
        <v>2019.0</v>
      </c>
      <c r="J346" s="192" t="s">
        <v>149</v>
      </c>
      <c r="K346" s="192" t="s">
        <v>149</v>
      </c>
      <c r="L346" s="153" t="s">
        <v>6062</v>
      </c>
      <c r="M346" s="153" t="s">
        <v>2482</v>
      </c>
      <c r="N346" s="158" t="s">
        <v>2482</v>
      </c>
      <c r="O346" s="158" t="s">
        <v>2483</v>
      </c>
      <c r="P346" s="158" t="s">
        <v>149</v>
      </c>
      <c r="Q346" s="158" t="s">
        <v>149</v>
      </c>
      <c r="R346" s="158" t="s">
        <v>184</v>
      </c>
      <c r="S346" s="158" t="s">
        <v>204</v>
      </c>
      <c r="T346" s="158" t="s">
        <v>149</v>
      </c>
      <c r="U346" s="158" t="s">
        <v>149</v>
      </c>
      <c r="V346" s="158" t="s">
        <v>149</v>
      </c>
      <c r="W346" s="153" t="s">
        <v>326</v>
      </c>
      <c r="X346" s="153" t="s">
        <v>271</v>
      </c>
      <c r="Y346" s="153" t="s">
        <v>2484</v>
      </c>
      <c r="Z346" s="153"/>
      <c r="AA346" s="153"/>
      <c r="AB346" s="158" t="s">
        <v>166</v>
      </c>
      <c r="AC346" s="153" t="s">
        <v>2485</v>
      </c>
      <c r="AD346" s="165" t="s">
        <v>2486</v>
      </c>
      <c r="AE346" s="153"/>
      <c r="AF346" s="153"/>
      <c r="AG346" s="153"/>
    </row>
    <row r="347">
      <c r="A347" s="238">
        <v>2024.0</v>
      </c>
      <c r="B347" s="230">
        <v>350.0</v>
      </c>
      <c r="C347" s="153" t="s">
        <v>7905</v>
      </c>
      <c r="D347" s="153" t="s">
        <v>1725</v>
      </c>
      <c r="E347" s="153" t="s">
        <v>1783</v>
      </c>
      <c r="F347" s="153" t="s">
        <v>1784</v>
      </c>
      <c r="G347" s="153" t="s">
        <v>1785</v>
      </c>
      <c r="H347" s="153"/>
      <c r="I347" s="230">
        <v>2013.0</v>
      </c>
      <c r="J347" s="192" t="s">
        <v>149</v>
      </c>
      <c r="K347" s="192" t="s">
        <v>149</v>
      </c>
      <c r="L347" s="153" t="s">
        <v>151</v>
      </c>
      <c r="M347" s="153" t="s">
        <v>851</v>
      </c>
      <c r="N347" s="158" t="s">
        <v>851</v>
      </c>
      <c r="O347" s="158" t="s">
        <v>149</v>
      </c>
      <c r="P347" s="153" t="s">
        <v>341</v>
      </c>
      <c r="Q347" s="158" t="s">
        <v>160</v>
      </c>
      <c r="R347" s="158" t="s">
        <v>6035</v>
      </c>
      <c r="S347" s="158" t="s">
        <v>159</v>
      </c>
      <c r="T347" s="158" t="s">
        <v>149</v>
      </c>
      <c r="U347" s="158" t="s">
        <v>149</v>
      </c>
      <c r="V347" s="153" t="s">
        <v>7368</v>
      </c>
      <c r="W347" s="153" t="s">
        <v>1787</v>
      </c>
      <c r="X347" s="153" t="s">
        <v>6035</v>
      </c>
      <c r="Y347" s="153" t="s">
        <v>1788</v>
      </c>
      <c r="Z347" s="153" t="s">
        <v>724</v>
      </c>
      <c r="AA347" s="153"/>
      <c r="AB347" s="158" t="s">
        <v>166</v>
      </c>
      <c r="AC347" s="153" t="s">
        <v>1789</v>
      </c>
      <c r="AD347" s="165" t="s">
        <v>1790</v>
      </c>
      <c r="AE347" s="153"/>
      <c r="AF347" s="153"/>
      <c r="AG347" s="153"/>
    </row>
    <row r="348">
      <c r="A348" s="238">
        <v>2024.0</v>
      </c>
      <c r="B348" s="230">
        <v>351.0</v>
      </c>
      <c r="C348" s="153" t="s">
        <v>7905</v>
      </c>
      <c r="D348" s="153" t="s">
        <v>600</v>
      </c>
      <c r="E348" s="153" t="s">
        <v>601</v>
      </c>
      <c r="F348" s="153" t="s">
        <v>602</v>
      </c>
      <c r="G348" s="153" t="s">
        <v>384</v>
      </c>
      <c r="H348" s="153" t="s">
        <v>603</v>
      </c>
      <c r="I348" s="230">
        <v>1986.0</v>
      </c>
      <c r="J348" s="230">
        <v>1985.0</v>
      </c>
      <c r="K348" s="230">
        <v>1987.0</v>
      </c>
      <c r="L348" s="153" t="s">
        <v>151</v>
      </c>
      <c r="M348" s="153" t="s">
        <v>6076</v>
      </c>
      <c r="N348" s="158" t="s">
        <v>605</v>
      </c>
      <c r="O348" s="158" t="s">
        <v>149</v>
      </c>
      <c r="P348" s="153" t="s">
        <v>390</v>
      </c>
      <c r="Q348" s="158" t="s">
        <v>160</v>
      </c>
      <c r="R348" s="158" t="s">
        <v>6035</v>
      </c>
      <c r="S348" s="158" t="s">
        <v>159</v>
      </c>
      <c r="T348" s="158" t="s">
        <v>149</v>
      </c>
      <c r="U348" s="158" t="s">
        <v>149</v>
      </c>
      <c r="V348" s="153" t="s">
        <v>606</v>
      </c>
      <c r="W348" s="153" t="s">
        <v>390</v>
      </c>
      <c r="X348" s="153" t="s">
        <v>6035</v>
      </c>
      <c r="Y348" s="153" t="s">
        <v>6055</v>
      </c>
      <c r="Z348" s="153"/>
      <c r="AA348" s="153"/>
      <c r="AB348" s="158" t="s">
        <v>395</v>
      </c>
      <c r="AC348" s="153" t="s">
        <v>6060</v>
      </c>
      <c r="AD348" s="153" t="s">
        <v>2873</v>
      </c>
      <c r="AE348" s="153" t="s">
        <v>398</v>
      </c>
      <c r="AF348" s="153"/>
      <c r="AG348" s="153"/>
    </row>
    <row r="349">
      <c r="A349" s="238">
        <v>2024.0</v>
      </c>
      <c r="B349" s="230">
        <v>352.0</v>
      </c>
      <c r="C349" s="153" t="s">
        <v>7905</v>
      </c>
      <c r="D349" s="153" t="s">
        <v>600</v>
      </c>
      <c r="E349" s="153" t="s">
        <v>601</v>
      </c>
      <c r="F349" s="153" t="s">
        <v>602</v>
      </c>
      <c r="G349" s="153" t="s">
        <v>384</v>
      </c>
      <c r="H349" s="153" t="s">
        <v>608</v>
      </c>
      <c r="I349" s="230">
        <v>1986.0</v>
      </c>
      <c r="J349" s="230">
        <v>1985.0</v>
      </c>
      <c r="K349" s="230">
        <v>1987.0</v>
      </c>
      <c r="L349" s="153" t="s">
        <v>151</v>
      </c>
      <c r="M349" s="153" t="s">
        <v>469</v>
      </c>
      <c r="N349" s="158" t="s">
        <v>469</v>
      </c>
      <c r="O349" s="158" t="s">
        <v>149</v>
      </c>
      <c r="P349" s="153" t="s">
        <v>390</v>
      </c>
      <c r="Q349" s="158" t="s">
        <v>160</v>
      </c>
      <c r="R349" s="158" t="s">
        <v>6035</v>
      </c>
      <c r="S349" s="158" t="s">
        <v>159</v>
      </c>
      <c r="T349" s="158" t="s">
        <v>149</v>
      </c>
      <c r="U349" s="158" t="s">
        <v>149</v>
      </c>
      <c r="V349" s="153" t="s">
        <v>609</v>
      </c>
      <c r="W349" s="153" t="s">
        <v>390</v>
      </c>
      <c r="X349" s="153" t="s">
        <v>6035</v>
      </c>
      <c r="Y349" s="153" t="s">
        <v>6055</v>
      </c>
      <c r="Z349" s="153"/>
      <c r="AA349" s="153"/>
      <c r="AB349" s="158" t="s">
        <v>395</v>
      </c>
      <c r="AC349" s="153" t="s">
        <v>6060</v>
      </c>
      <c r="AD349" s="153" t="s">
        <v>2873</v>
      </c>
      <c r="AE349" s="153" t="s">
        <v>398</v>
      </c>
      <c r="AF349" s="153"/>
      <c r="AG349" s="153"/>
    </row>
    <row r="350">
      <c r="A350" s="238">
        <v>2024.0</v>
      </c>
      <c r="B350" s="230">
        <v>353.0</v>
      </c>
      <c r="C350" s="249" t="s">
        <v>7905</v>
      </c>
      <c r="D350" s="249" t="s">
        <v>600</v>
      </c>
      <c r="E350" s="249" t="s">
        <v>8048</v>
      </c>
      <c r="F350" s="249" t="s">
        <v>602</v>
      </c>
      <c r="G350" s="249" t="s">
        <v>6113</v>
      </c>
      <c r="H350" s="249"/>
      <c r="I350" s="233">
        <v>2018.0</v>
      </c>
      <c r="J350" s="233"/>
      <c r="K350" s="233"/>
      <c r="L350" s="249" t="s">
        <v>151</v>
      </c>
      <c r="M350" s="249" t="s">
        <v>7418</v>
      </c>
      <c r="N350" s="249"/>
      <c r="O350" s="249"/>
      <c r="P350" s="249"/>
      <c r="Q350" s="249"/>
      <c r="R350" s="249"/>
      <c r="S350" s="249"/>
      <c r="T350" s="249"/>
      <c r="U350" s="249"/>
      <c r="V350" s="249"/>
      <c r="W350" s="249" t="s">
        <v>7419</v>
      </c>
      <c r="X350" s="249" t="s">
        <v>271</v>
      </c>
      <c r="Y350" s="249"/>
      <c r="Z350" s="249"/>
      <c r="AA350" s="249"/>
      <c r="AB350" s="249" t="s">
        <v>6038</v>
      </c>
      <c r="AC350" s="249" t="s">
        <v>8049</v>
      </c>
      <c r="AD350" s="256" t="s">
        <v>8050</v>
      </c>
      <c r="AE350" s="249"/>
      <c r="AF350" s="249"/>
      <c r="AG350" s="249"/>
    </row>
    <row r="351">
      <c r="A351" s="238">
        <v>2024.0</v>
      </c>
      <c r="B351" s="230">
        <v>354.0</v>
      </c>
      <c r="C351" s="153" t="s">
        <v>7905</v>
      </c>
      <c r="D351" s="153" t="s">
        <v>600</v>
      </c>
      <c r="E351" s="153" t="s">
        <v>2252</v>
      </c>
      <c r="F351" s="153" t="s">
        <v>2253</v>
      </c>
      <c r="G351" s="153" t="s">
        <v>2254</v>
      </c>
      <c r="H351" s="153" t="s">
        <v>7378</v>
      </c>
      <c r="I351" s="230">
        <v>2008.0</v>
      </c>
      <c r="J351" s="192" t="s">
        <v>149</v>
      </c>
      <c r="K351" s="192" t="s">
        <v>149</v>
      </c>
      <c r="L351" s="158" t="s">
        <v>6624</v>
      </c>
      <c r="M351" s="153" t="s">
        <v>2256</v>
      </c>
      <c r="N351" s="158" t="s">
        <v>2092</v>
      </c>
      <c r="O351" s="158" t="s">
        <v>149</v>
      </c>
      <c r="P351" s="153" t="s">
        <v>2257</v>
      </c>
      <c r="Q351" s="158" t="s">
        <v>6154</v>
      </c>
      <c r="R351" s="158" t="s">
        <v>206</v>
      </c>
      <c r="S351" s="158" t="s">
        <v>159</v>
      </c>
      <c r="T351" s="153" t="s">
        <v>7379</v>
      </c>
      <c r="U351" s="158" t="s">
        <v>149</v>
      </c>
      <c r="V351" s="153" t="s">
        <v>2259</v>
      </c>
      <c r="W351" s="153" t="s">
        <v>2260</v>
      </c>
      <c r="X351" s="153" t="s">
        <v>6035</v>
      </c>
      <c r="Y351" s="153"/>
      <c r="Z351" s="153"/>
      <c r="AA351" s="153" t="s">
        <v>2261</v>
      </c>
      <c r="AB351" s="158" t="s">
        <v>6091</v>
      </c>
      <c r="AC351" s="153" t="s">
        <v>2262</v>
      </c>
      <c r="AD351" s="165" t="s">
        <v>2263</v>
      </c>
      <c r="AE351" s="153"/>
      <c r="AF351" s="153"/>
      <c r="AG351" s="153"/>
    </row>
    <row r="352">
      <c r="A352" s="238">
        <v>2024.0</v>
      </c>
      <c r="B352" s="230">
        <v>355.0</v>
      </c>
      <c r="C352" s="153" t="s">
        <v>7905</v>
      </c>
      <c r="D352" s="153" t="s">
        <v>600</v>
      </c>
      <c r="E352" s="153" t="s">
        <v>1497</v>
      </c>
      <c r="F352" s="153" t="s">
        <v>1498</v>
      </c>
      <c r="G352" s="153" t="s">
        <v>1377</v>
      </c>
      <c r="H352" s="153"/>
      <c r="I352" s="192">
        <v>1993.0</v>
      </c>
      <c r="J352" s="230">
        <v>1990.0</v>
      </c>
      <c r="K352" s="230">
        <v>1994.0</v>
      </c>
      <c r="L352" s="153" t="s">
        <v>151</v>
      </c>
      <c r="M352" s="158" t="s">
        <v>149</v>
      </c>
      <c r="N352" s="158" t="s">
        <v>149</v>
      </c>
      <c r="O352" s="158" t="s">
        <v>149</v>
      </c>
      <c r="P352" s="153" t="s">
        <v>1381</v>
      </c>
      <c r="Q352" s="158" t="s">
        <v>6154</v>
      </c>
      <c r="R352" s="158" t="s">
        <v>206</v>
      </c>
      <c r="S352" s="158" t="s">
        <v>159</v>
      </c>
      <c r="T352" s="158" t="s">
        <v>149</v>
      </c>
      <c r="U352" s="158" t="s">
        <v>149</v>
      </c>
      <c r="V352" s="158" t="s">
        <v>149</v>
      </c>
      <c r="W352" s="153" t="s">
        <v>660</v>
      </c>
      <c r="X352" s="153" t="s">
        <v>6035</v>
      </c>
      <c r="Y352" s="153" t="s">
        <v>369</v>
      </c>
      <c r="Z352" s="153"/>
      <c r="AA352" s="153"/>
      <c r="AB352" s="158" t="s">
        <v>395</v>
      </c>
      <c r="AC352" s="153" t="s">
        <v>6060</v>
      </c>
      <c r="AD352" s="153" t="s">
        <v>2873</v>
      </c>
      <c r="AE352" s="153" t="s">
        <v>398</v>
      </c>
      <c r="AF352" s="153"/>
      <c r="AG352" s="153"/>
    </row>
    <row r="353">
      <c r="A353" s="238">
        <v>2024.0</v>
      </c>
      <c r="B353" s="230">
        <v>356.0</v>
      </c>
      <c r="C353" s="153" t="s">
        <v>7905</v>
      </c>
      <c r="D353" s="153" t="s">
        <v>600</v>
      </c>
      <c r="E353" s="153" t="s">
        <v>1497</v>
      </c>
      <c r="F353" s="153" t="s">
        <v>1498</v>
      </c>
      <c r="G353" s="153" t="s">
        <v>1377</v>
      </c>
      <c r="H353" s="153" t="s">
        <v>7385</v>
      </c>
      <c r="I353" s="192">
        <v>1993.0</v>
      </c>
      <c r="J353" s="230">
        <v>1990.0</v>
      </c>
      <c r="K353" s="230">
        <v>1994.0</v>
      </c>
      <c r="L353" s="153" t="s">
        <v>151</v>
      </c>
      <c r="M353" s="158" t="s">
        <v>149</v>
      </c>
      <c r="N353" s="158" t="s">
        <v>149</v>
      </c>
      <c r="O353" s="158" t="s">
        <v>149</v>
      </c>
      <c r="P353" s="153" t="s">
        <v>1381</v>
      </c>
      <c r="Q353" s="158" t="s">
        <v>6154</v>
      </c>
      <c r="R353" s="158" t="s">
        <v>206</v>
      </c>
      <c r="S353" s="158" t="s">
        <v>159</v>
      </c>
      <c r="T353" s="158" t="s">
        <v>149</v>
      </c>
      <c r="U353" s="158" t="s">
        <v>149</v>
      </c>
      <c r="V353" s="158" t="s">
        <v>149</v>
      </c>
      <c r="W353" s="153" t="s">
        <v>660</v>
      </c>
      <c r="X353" s="153" t="s">
        <v>6035</v>
      </c>
      <c r="Y353" s="153" t="s">
        <v>369</v>
      </c>
      <c r="Z353" s="153"/>
      <c r="AA353" s="153"/>
      <c r="AB353" s="158" t="s">
        <v>395</v>
      </c>
      <c r="AC353" s="153" t="s">
        <v>6060</v>
      </c>
      <c r="AD353" s="153" t="s">
        <v>2873</v>
      </c>
      <c r="AE353" s="153" t="s">
        <v>398</v>
      </c>
      <c r="AF353" s="153"/>
      <c r="AG353" s="153"/>
    </row>
    <row r="354">
      <c r="A354" s="238">
        <v>2024.0</v>
      </c>
      <c r="B354" s="230">
        <v>357.0</v>
      </c>
      <c r="C354" s="153" t="s">
        <v>7905</v>
      </c>
      <c r="D354" s="153" t="s">
        <v>976</v>
      </c>
      <c r="E354" s="153" t="s">
        <v>1502</v>
      </c>
      <c r="F354" s="153" t="s">
        <v>1503</v>
      </c>
      <c r="G354" s="153" t="s">
        <v>1377</v>
      </c>
      <c r="H354" s="153"/>
      <c r="I354" s="192">
        <v>1992.0</v>
      </c>
      <c r="J354" s="230">
        <v>1990.0</v>
      </c>
      <c r="K354" s="230">
        <v>1994.0</v>
      </c>
      <c r="L354" s="153" t="s">
        <v>151</v>
      </c>
      <c r="M354" s="158" t="s">
        <v>149</v>
      </c>
      <c r="N354" s="158" t="s">
        <v>149</v>
      </c>
      <c r="O354" s="158" t="s">
        <v>149</v>
      </c>
      <c r="P354" s="153" t="s">
        <v>1381</v>
      </c>
      <c r="Q354" s="158" t="s">
        <v>6154</v>
      </c>
      <c r="R354" s="158" t="s">
        <v>206</v>
      </c>
      <c r="S354" s="158" t="s">
        <v>159</v>
      </c>
      <c r="T354" s="158" t="s">
        <v>149</v>
      </c>
      <c r="U354" s="158" t="s">
        <v>149</v>
      </c>
      <c r="V354" s="158" t="s">
        <v>149</v>
      </c>
      <c r="W354" s="153" t="s">
        <v>660</v>
      </c>
      <c r="X354" s="153" t="s">
        <v>6035</v>
      </c>
      <c r="Y354" s="153" t="s">
        <v>369</v>
      </c>
      <c r="Z354" s="153"/>
      <c r="AA354" s="153"/>
      <c r="AB354" s="158" t="s">
        <v>395</v>
      </c>
      <c r="AC354" s="153" t="s">
        <v>6060</v>
      </c>
      <c r="AD354" s="153" t="s">
        <v>2873</v>
      </c>
      <c r="AE354" s="153" t="s">
        <v>398</v>
      </c>
      <c r="AF354" s="153"/>
      <c r="AG354" s="153"/>
    </row>
    <row r="355">
      <c r="A355" s="238">
        <v>2024.0</v>
      </c>
      <c r="B355" s="230">
        <v>358.0</v>
      </c>
      <c r="C355" s="153" t="s">
        <v>7905</v>
      </c>
      <c r="D355" s="153" t="s">
        <v>976</v>
      </c>
      <c r="E355" s="153" t="s">
        <v>8051</v>
      </c>
      <c r="F355" s="153" t="s">
        <v>1506</v>
      </c>
      <c r="G355" s="153" t="s">
        <v>1377</v>
      </c>
      <c r="H355" s="153" t="s">
        <v>1507</v>
      </c>
      <c r="I355" s="192" t="s">
        <v>149</v>
      </c>
      <c r="J355" s="230">
        <v>1990.0</v>
      </c>
      <c r="K355" s="230">
        <v>1994.0</v>
      </c>
      <c r="L355" s="153" t="s">
        <v>151</v>
      </c>
      <c r="M355" s="158" t="s">
        <v>149</v>
      </c>
      <c r="N355" s="158" t="s">
        <v>149</v>
      </c>
      <c r="O355" s="158" t="s">
        <v>149</v>
      </c>
      <c r="P355" s="153" t="s">
        <v>1381</v>
      </c>
      <c r="Q355" s="158" t="s">
        <v>6154</v>
      </c>
      <c r="R355" s="158" t="s">
        <v>206</v>
      </c>
      <c r="S355" s="158" t="s">
        <v>159</v>
      </c>
      <c r="T355" s="158" t="s">
        <v>149</v>
      </c>
      <c r="U355" s="158" t="s">
        <v>149</v>
      </c>
      <c r="V355" s="158" t="s">
        <v>149</v>
      </c>
      <c r="W355" s="153" t="s">
        <v>660</v>
      </c>
      <c r="X355" s="153" t="s">
        <v>6035</v>
      </c>
      <c r="Y355" s="153" t="s">
        <v>369</v>
      </c>
      <c r="Z355" s="153"/>
      <c r="AA355" s="153"/>
      <c r="AB355" s="158" t="s">
        <v>395</v>
      </c>
      <c r="AC355" s="153" t="s">
        <v>6060</v>
      </c>
      <c r="AD355" s="153" t="s">
        <v>2873</v>
      </c>
      <c r="AE355" s="153" t="s">
        <v>398</v>
      </c>
      <c r="AF355" s="153"/>
      <c r="AG355" s="153"/>
    </row>
    <row r="356">
      <c r="A356" s="238">
        <v>2024.0</v>
      </c>
      <c r="B356" s="192"/>
      <c r="C356" s="158" t="s">
        <v>7905</v>
      </c>
      <c r="D356" s="158" t="s">
        <v>976</v>
      </c>
      <c r="E356" s="158" t="s">
        <v>2488</v>
      </c>
      <c r="F356" s="158" t="s">
        <v>2489</v>
      </c>
      <c r="G356" s="158" t="s">
        <v>149</v>
      </c>
      <c r="H356" s="158"/>
      <c r="I356" s="192">
        <v>2023.0</v>
      </c>
      <c r="J356" s="192" t="s">
        <v>149</v>
      </c>
      <c r="K356" s="192" t="s">
        <v>149</v>
      </c>
      <c r="L356" s="158" t="s">
        <v>151</v>
      </c>
      <c r="M356" s="158" t="s">
        <v>2491</v>
      </c>
      <c r="N356" s="158" t="s">
        <v>2491</v>
      </c>
      <c r="O356" s="158" t="s">
        <v>1006</v>
      </c>
      <c r="P356" s="158" t="s">
        <v>2492</v>
      </c>
      <c r="Q356" s="158" t="s">
        <v>160</v>
      </c>
      <c r="R356" s="158" t="s">
        <v>209</v>
      </c>
      <c r="S356" s="158" t="s">
        <v>159</v>
      </c>
      <c r="T356" s="158" t="s">
        <v>149</v>
      </c>
      <c r="U356" s="158" t="s">
        <v>149</v>
      </c>
      <c r="V356" s="158" t="s">
        <v>675</v>
      </c>
      <c r="W356" s="158" t="s">
        <v>2493</v>
      </c>
      <c r="X356" s="158" t="s">
        <v>7294</v>
      </c>
      <c r="Y356" s="158"/>
      <c r="Z356" s="158"/>
      <c r="AA356" s="158"/>
      <c r="AB356" s="158" t="s">
        <v>6027</v>
      </c>
      <c r="AC356" s="158" t="s">
        <v>2494</v>
      </c>
      <c r="AD356" s="172" t="s">
        <v>2495</v>
      </c>
      <c r="AE356" s="158"/>
      <c r="AF356" s="158"/>
      <c r="AG356" s="158"/>
    </row>
    <row r="357">
      <c r="A357" s="238">
        <v>2024.0</v>
      </c>
      <c r="B357" s="230">
        <v>359.0</v>
      </c>
      <c r="C357" s="153" t="s">
        <v>7905</v>
      </c>
      <c r="D357" s="153" t="s">
        <v>976</v>
      </c>
      <c r="E357" s="153" t="s">
        <v>977</v>
      </c>
      <c r="F357" s="153" t="s">
        <v>978</v>
      </c>
      <c r="G357" s="153" t="s">
        <v>934</v>
      </c>
      <c r="H357" s="153"/>
      <c r="I357" s="230">
        <v>2001.0</v>
      </c>
      <c r="J357" s="230">
        <v>2001.0</v>
      </c>
      <c r="K357" s="230">
        <v>2005.0</v>
      </c>
      <c r="L357" s="153" t="s">
        <v>6062</v>
      </c>
      <c r="M357" s="153" t="s">
        <v>3245</v>
      </c>
      <c r="N357" s="158" t="s">
        <v>179</v>
      </c>
      <c r="O357" s="153" t="s">
        <v>939</v>
      </c>
      <c r="P357" s="153" t="s">
        <v>940</v>
      </c>
      <c r="Q357" s="158" t="s">
        <v>6154</v>
      </c>
      <c r="R357" s="158" t="s">
        <v>206</v>
      </c>
      <c r="S357" s="158" t="s">
        <v>204</v>
      </c>
      <c r="T357" s="158" t="s">
        <v>149</v>
      </c>
      <c r="U357" s="158" t="s">
        <v>149</v>
      </c>
      <c r="V357" s="158" t="s">
        <v>149</v>
      </c>
      <c r="W357" s="153" t="s">
        <v>233</v>
      </c>
      <c r="X357" s="158" t="s">
        <v>6068</v>
      </c>
      <c r="Y357" s="153"/>
      <c r="Z357" s="153"/>
      <c r="AA357" s="153"/>
      <c r="AB357" s="158" t="s">
        <v>6214</v>
      </c>
      <c r="AC357" s="153" t="s">
        <v>941</v>
      </c>
      <c r="AD357" s="153" t="s">
        <v>942</v>
      </c>
      <c r="AE357" s="153" t="s">
        <v>943</v>
      </c>
      <c r="AF357" s="153"/>
      <c r="AG357" s="153"/>
    </row>
    <row r="358">
      <c r="A358" s="238">
        <v>2024.0</v>
      </c>
      <c r="B358" s="230">
        <v>360.0</v>
      </c>
      <c r="C358" s="153" t="s">
        <v>7905</v>
      </c>
      <c r="D358" s="153" t="s">
        <v>172</v>
      </c>
      <c r="E358" s="153" t="s">
        <v>2128</v>
      </c>
      <c r="F358" s="153" t="s">
        <v>2129</v>
      </c>
      <c r="G358" s="153" t="s">
        <v>2130</v>
      </c>
      <c r="H358" s="153"/>
      <c r="I358" s="230">
        <v>1997.0</v>
      </c>
      <c r="J358" s="192" t="s">
        <v>149</v>
      </c>
      <c r="K358" s="192" t="s">
        <v>149</v>
      </c>
      <c r="L358" s="153" t="s">
        <v>151</v>
      </c>
      <c r="M358" s="153" t="s">
        <v>6054</v>
      </c>
      <c r="N358" s="158" t="s">
        <v>6054</v>
      </c>
      <c r="O358" s="158" t="s">
        <v>149</v>
      </c>
      <c r="P358" s="153" t="s">
        <v>2131</v>
      </c>
      <c r="Q358" s="158" t="s">
        <v>6154</v>
      </c>
      <c r="R358" s="158" t="s">
        <v>206</v>
      </c>
      <c r="S358" s="158" t="s">
        <v>159</v>
      </c>
      <c r="T358" s="158" t="s">
        <v>149</v>
      </c>
      <c r="U358" s="158" t="s">
        <v>149</v>
      </c>
      <c r="V358" s="158" t="s">
        <v>149</v>
      </c>
      <c r="W358" s="153" t="s">
        <v>2132</v>
      </c>
      <c r="X358" s="158" t="s">
        <v>306</v>
      </c>
      <c r="Y358" s="158" t="s">
        <v>2133</v>
      </c>
      <c r="Z358" s="153"/>
      <c r="AA358" s="153"/>
      <c r="AB358" s="158" t="s">
        <v>6027</v>
      </c>
      <c r="AC358" s="153" t="s">
        <v>2134</v>
      </c>
      <c r="AD358" s="172" t="s">
        <v>2135</v>
      </c>
      <c r="AE358" s="153"/>
      <c r="AF358" s="153"/>
      <c r="AG358" s="153"/>
    </row>
    <row r="359">
      <c r="A359" s="238">
        <v>2024.0</v>
      </c>
      <c r="B359" s="230">
        <v>361.0</v>
      </c>
      <c r="C359" s="153" t="s">
        <v>7905</v>
      </c>
      <c r="D359" s="153" t="s">
        <v>172</v>
      </c>
      <c r="E359" s="153" t="s">
        <v>7356</v>
      </c>
      <c r="F359" s="153" t="s">
        <v>1552</v>
      </c>
      <c r="G359" s="153" t="s">
        <v>1553</v>
      </c>
      <c r="H359" s="153" t="s">
        <v>1554</v>
      </c>
      <c r="I359" s="230">
        <v>2021.0</v>
      </c>
      <c r="J359" s="192" t="s">
        <v>149</v>
      </c>
      <c r="K359" s="192" t="s">
        <v>149</v>
      </c>
      <c r="L359" s="153" t="s">
        <v>151</v>
      </c>
      <c r="M359" s="158" t="s">
        <v>1556</v>
      </c>
      <c r="N359" s="158" t="s">
        <v>1556</v>
      </c>
      <c r="O359" s="153" t="s">
        <v>149</v>
      </c>
      <c r="P359" s="153" t="s">
        <v>1557</v>
      </c>
      <c r="Q359" s="158" t="s">
        <v>160</v>
      </c>
      <c r="R359" s="158" t="s">
        <v>271</v>
      </c>
      <c r="S359" s="158" t="s">
        <v>159</v>
      </c>
      <c r="T359" s="158" t="s">
        <v>149</v>
      </c>
      <c r="U359" s="158" t="s">
        <v>149</v>
      </c>
      <c r="V359" s="153" t="s">
        <v>1558</v>
      </c>
      <c r="W359" s="153" t="s">
        <v>1557</v>
      </c>
      <c r="X359" s="153" t="s">
        <v>271</v>
      </c>
      <c r="Y359" s="153" t="s">
        <v>1559</v>
      </c>
      <c r="Z359" s="153" t="s">
        <v>1560</v>
      </c>
      <c r="AA359" s="153"/>
      <c r="AB359" s="153" t="s">
        <v>6038</v>
      </c>
      <c r="AC359" s="153" t="s">
        <v>7409</v>
      </c>
      <c r="AD359" s="172" t="s">
        <v>1562</v>
      </c>
      <c r="AE359" s="153"/>
      <c r="AF359" s="153"/>
      <c r="AG359" s="153"/>
    </row>
    <row r="360">
      <c r="A360" s="238">
        <v>2024.0</v>
      </c>
      <c r="B360" s="230">
        <v>362.0</v>
      </c>
      <c r="C360" s="153" t="s">
        <v>7905</v>
      </c>
      <c r="D360" s="153" t="s">
        <v>172</v>
      </c>
      <c r="E360" s="153" t="s">
        <v>7356</v>
      </c>
      <c r="F360" s="153" t="s">
        <v>1552</v>
      </c>
      <c r="G360" s="158" t="s">
        <v>149</v>
      </c>
      <c r="H360" s="153" t="s">
        <v>2629</v>
      </c>
      <c r="I360" s="230">
        <v>2017.0</v>
      </c>
      <c r="J360" s="230">
        <v>2017.0</v>
      </c>
      <c r="K360" s="192" t="s">
        <v>149</v>
      </c>
      <c r="L360" s="153" t="s">
        <v>151</v>
      </c>
      <c r="M360" s="153" t="s">
        <v>2631</v>
      </c>
      <c r="N360" s="158" t="s">
        <v>2631</v>
      </c>
      <c r="O360" s="153" t="s">
        <v>8052</v>
      </c>
      <c r="P360" s="158" t="s">
        <v>2634</v>
      </c>
      <c r="Q360" s="158" t="s">
        <v>160</v>
      </c>
      <c r="R360" s="158" t="s">
        <v>2635</v>
      </c>
      <c r="S360" s="158" t="s">
        <v>204</v>
      </c>
      <c r="T360" s="158" t="s">
        <v>149</v>
      </c>
      <c r="U360" s="158" t="s">
        <v>149</v>
      </c>
      <c r="V360" s="158" t="s">
        <v>149</v>
      </c>
      <c r="W360" s="153" t="s">
        <v>7413</v>
      </c>
      <c r="X360" s="158" t="s">
        <v>7294</v>
      </c>
      <c r="Y360" s="153" t="s">
        <v>8053</v>
      </c>
      <c r="Z360" s="153"/>
      <c r="AA360" s="153" t="s">
        <v>2638</v>
      </c>
      <c r="AB360" s="158" t="s">
        <v>166</v>
      </c>
      <c r="AC360" s="153" t="s">
        <v>2639</v>
      </c>
      <c r="AD360" s="165" t="s">
        <v>2640</v>
      </c>
      <c r="AE360" s="153"/>
      <c r="AF360" s="153"/>
      <c r="AG360" s="153"/>
    </row>
    <row r="361">
      <c r="A361" s="238">
        <v>2024.0</v>
      </c>
      <c r="B361" s="230">
        <v>363.0</v>
      </c>
      <c r="C361" s="153" t="s">
        <v>7905</v>
      </c>
      <c r="D361" s="153" t="s">
        <v>172</v>
      </c>
      <c r="E361" s="153" t="s">
        <v>611</v>
      </c>
      <c r="F361" s="153" t="s">
        <v>612</v>
      </c>
      <c r="G361" s="153" t="s">
        <v>384</v>
      </c>
      <c r="H361" s="153"/>
      <c r="I361" s="230">
        <v>1986.0</v>
      </c>
      <c r="J361" s="230">
        <v>1985.0</v>
      </c>
      <c r="K361" s="230">
        <v>1987.0</v>
      </c>
      <c r="L361" s="153" t="s">
        <v>151</v>
      </c>
      <c r="M361" s="153" t="s">
        <v>6054</v>
      </c>
      <c r="N361" s="158" t="s">
        <v>6054</v>
      </c>
      <c r="O361" s="158" t="s">
        <v>149</v>
      </c>
      <c r="P361" s="153" t="s">
        <v>390</v>
      </c>
      <c r="Q361" s="158" t="s">
        <v>160</v>
      </c>
      <c r="R361" s="158" t="s">
        <v>6035</v>
      </c>
      <c r="S361" s="158" t="s">
        <v>159</v>
      </c>
      <c r="T361" s="158" t="s">
        <v>149</v>
      </c>
      <c r="U361" s="158" t="s">
        <v>149</v>
      </c>
      <c r="V361" s="158" t="s">
        <v>149</v>
      </c>
      <c r="W361" s="153" t="s">
        <v>390</v>
      </c>
      <c r="X361" s="153" t="s">
        <v>6035</v>
      </c>
      <c r="Y361" s="153" t="s">
        <v>6055</v>
      </c>
      <c r="Z361" s="153"/>
      <c r="AA361" s="153"/>
      <c r="AB361" s="158" t="s">
        <v>395</v>
      </c>
      <c r="AC361" s="153" t="s">
        <v>6060</v>
      </c>
      <c r="AD361" s="153" t="s">
        <v>2873</v>
      </c>
      <c r="AE361" s="153" t="s">
        <v>398</v>
      </c>
      <c r="AF361" s="153"/>
      <c r="AG361" s="153"/>
    </row>
    <row r="362">
      <c r="A362" s="238">
        <v>2024.0</v>
      </c>
      <c r="B362" s="230">
        <v>364.0</v>
      </c>
      <c r="C362" s="153" t="s">
        <v>7905</v>
      </c>
      <c r="D362" s="153" t="s">
        <v>172</v>
      </c>
      <c r="E362" s="153" t="s">
        <v>277</v>
      </c>
      <c r="F362" s="153" t="s">
        <v>278</v>
      </c>
      <c r="G362" s="153" t="s">
        <v>279</v>
      </c>
      <c r="H362" s="153" t="s">
        <v>280</v>
      </c>
      <c r="I362" s="192" t="s">
        <v>149</v>
      </c>
      <c r="J362" s="192" t="s">
        <v>149</v>
      </c>
      <c r="K362" s="192" t="s">
        <v>149</v>
      </c>
      <c r="L362" s="153" t="s">
        <v>151</v>
      </c>
      <c r="M362" s="153" t="s">
        <v>283</v>
      </c>
      <c r="N362" s="158" t="s">
        <v>283</v>
      </c>
      <c r="O362" s="153" t="s">
        <v>286</v>
      </c>
      <c r="P362" s="153" t="s">
        <v>287</v>
      </c>
      <c r="Q362" s="158" t="s">
        <v>160</v>
      </c>
      <c r="R362" s="158" t="s">
        <v>184</v>
      </c>
      <c r="S362" s="158" t="s">
        <v>159</v>
      </c>
      <c r="T362" s="158" t="s">
        <v>149</v>
      </c>
      <c r="U362" s="158" t="s">
        <v>149</v>
      </c>
      <c r="V362" s="158" t="s">
        <v>149</v>
      </c>
      <c r="W362" s="153" t="s">
        <v>287</v>
      </c>
      <c r="X362" s="158" t="s">
        <v>184</v>
      </c>
      <c r="Y362" s="153"/>
      <c r="Z362" s="153" t="s">
        <v>288</v>
      </c>
      <c r="AA362" s="153"/>
      <c r="AB362" s="158" t="s">
        <v>6091</v>
      </c>
      <c r="AC362" s="153" t="s">
        <v>7424</v>
      </c>
      <c r="AD362" s="153" t="s">
        <v>7425</v>
      </c>
      <c r="AE362" s="153"/>
      <c r="AF362" s="153"/>
      <c r="AG362" s="153"/>
    </row>
    <row r="363">
      <c r="A363" s="238">
        <v>2024.0</v>
      </c>
      <c r="B363" s="230">
        <v>365.0</v>
      </c>
      <c r="C363" s="153" t="s">
        <v>7905</v>
      </c>
      <c r="D363" s="153" t="s">
        <v>172</v>
      </c>
      <c r="E363" s="153" t="s">
        <v>2642</v>
      </c>
      <c r="F363" s="153" t="s">
        <v>2643</v>
      </c>
      <c r="G363" s="158" t="s">
        <v>149</v>
      </c>
      <c r="H363" s="153"/>
      <c r="I363" s="230">
        <v>2017.0</v>
      </c>
      <c r="J363" s="230">
        <v>2017.0</v>
      </c>
      <c r="K363" s="192" t="s">
        <v>149</v>
      </c>
      <c r="L363" s="153" t="s">
        <v>151</v>
      </c>
      <c r="M363" s="153" t="s">
        <v>2631</v>
      </c>
      <c r="N363" s="158" t="s">
        <v>2631</v>
      </c>
      <c r="O363" s="153" t="s">
        <v>2644</v>
      </c>
      <c r="P363" s="158" t="s">
        <v>2634</v>
      </c>
      <c r="Q363" s="158" t="s">
        <v>160</v>
      </c>
      <c r="R363" s="158" t="s">
        <v>2635</v>
      </c>
      <c r="S363" s="158" t="s">
        <v>204</v>
      </c>
      <c r="T363" s="158" t="s">
        <v>149</v>
      </c>
      <c r="U363" s="158" t="s">
        <v>149</v>
      </c>
      <c r="V363" s="158" t="s">
        <v>149</v>
      </c>
      <c r="W363" s="153" t="s">
        <v>7413</v>
      </c>
      <c r="X363" s="158" t="s">
        <v>7294</v>
      </c>
      <c r="Y363" s="153" t="s">
        <v>8054</v>
      </c>
      <c r="Z363" s="153"/>
      <c r="AA363" s="153" t="s">
        <v>2638</v>
      </c>
      <c r="AB363" s="158" t="s">
        <v>166</v>
      </c>
      <c r="AC363" s="153" t="s">
        <v>2639</v>
      </c>
      <c r="AD363" s="165" t="s">
        <v>2640</v>
      </c>
      <c r="AE363" s="153"/>
      <c r="AF363" s="153"/>
      <c r="AG363" s="153"/>
    </row>
    <row r="364">
      <c r="A364" s="238">
        <v>2024.0</v>
      </c>
      <c r="B364" s="230">
        <v>366.0</v>
      </c>
      <c r="C364" s="153" t="s">
        <v>7905</v>
      </c>
      <c r="D364" s="153" t="s">
        <v>172</v>
      </c>
      <c r="E364" s="153" t="s">
        <v>2642</v>
      </c>
      <c r="F364" s="153" t="s">
        <v>2643</v>
      </c>
      <c r="G364" s="158" t="s">
        <v>149</v>
      </c>
      <c r="H364" s="153" t="s">
        <v>7375</v>
      </c>
      <c r="I364" s="230">
        <v>2022.0</v>
      </c>
      <c r="J364" s="192" t="s">
        <v>149</v>
      </c>
      <c r="K364" s="192" t="s">
        <v>149</v>
      </c>
      <c r="L364" s="153" t="s">
        <v>6062</v>
      </c>
      <c r="M364" s="153" t="s">
        <v>6666</v>
      </c>
      <c r="N364" s="158" t="s">
        <v>179</v>
      </c>
      <c r="O364" s="158" t="s">
        <v>2815</v>
      </c>
      <c r="P364" s="158" t="s">
        <v>2816</v>
      </c>
      <c r="Q364" s="158" t="s">
        <v>160</v>
      </c>
      <c r="R364" s="158" t="s">
        <v>6035</v>
      </c>
      <c r="S364" s="158" t="s">
        <v>159</v>
      </c>
      <c r="T364" s="158" t="s">
        <v>149</v>
      </c>
      <c r="U364" s="158" t="s">
        <v>149</v>
      </c>
      <c r="V364" s="158" t="s">
        <v>149</v>
      </c>
      <c r="W364" s="158" t="s">
        <v>2816</v>
      </c>
      <c r="X364" s="153" t="s">
        <v>6035</v>
      </c>
      <c r="Y364" s="158" t="s">
        <v>2817</v>
      </c>
      <c r="Z364" s="153"/>
      <c r="AA364" s="153"/>
      <c r="AB364" s="158" t="s">
        <v>166</v>
      </c>
      <c r="AC364" s="153" t="s">
        <v>2818</v>
      </c>
      <c r="AD364" s="165" t="s">
        <v>2819</v>
      </c>
      <c r="AE364" s="153"/>
      <c r="AF364" s="153"/>
      <c r="AG364" s="153"/>
    </row>
    <row r="365">
      <c r="A365" s="238">
        <v>2024.0</v>
      </c>
      <c r="B365" s="230">
        <v>367.0</v>
      </c>
      <c r="C365" s="153" t="s">
        <v>7905</v>
      </c>
      <c r="D365" s="153" t="s">
        <v>172</v>
      </c>
      <c r="E365" s="153" t="s">
        <v>173</v>
      </c>
      <c r="F365" s="153" t="s">
        <v>174</v>
      </c>
      <c r="G365" s="158" t="s">
        <v>149</v>
      </c>
      <c r="H365" s="153" t="s">
        <v>7434</v>
      </c>
      <c r="I365" s="192" t="s">
        <v>149</v>
      </c>
      <c r="J365" s="192" t="s">
        <v>149</v>
      </c>
      <c r="K365" s="192" t="s">
        <v>149</v>
      </c>
      <c r="L365" s="153" t="s">
        <v>151</v>
      </c>
      <c r="M365" s="153" t="s">
        <v>2217</v>
      </c>
      <c r="N365" s="158" t="s">
        <v>2217</v>
      </c>
      <c r="O365" s="158" t="s">
        <v>2751</v>
      </c>
      <c r="P365" s="158" t="s">
        <v>2752</v>
      </c>
      <c r="Q365" s="158" t="s">
        <v>160</v>
      </c>
      <c r="R365" s="158" t="s">
        <v>184</v>
      </c>
      <c r="S365" s="158" t="s">
        <v>159</v>
      </c>
      <c r="T365" s="158" t="s">
        <v>149</v>
      </c>
      <c r="U365" s="158" t="s">
        <v>149</v>
      </c>
      <c r="V365" s="158" t="s">
        <v>149</v>
      </c>
      <c r="W365" s="153" t="s">
        <v>2752</v>
      </c>
      <c r="X365" s="158" t="s">
        <v>184</v>
      </c>
      <c r="Y365" s="158"/>
      <c r="Z365" s="158"/>
      <c r="AA365" s="158"/>
      <c r="AB365" s="158" t="s">
        <v>6038</v>
      </c>
      <c r="AC365" s="153" t="s">
        <v>8055</v>
      </c>
      <c r="AD365" s="165" t="s">
        <v>2754</v>
      </c>
      <c r="AE365" s="153" t="s">
        <v>188</v>
      </c>
      <c r="AF365" s="165" t="s">
        <v>1140</v>
      </c>
      <c r="AG365" s="153"/>
    </row>
    <row r="366">
      <c r="A366" s="238">
        <v>2024.0</v>
      </c>
      <c r="B366" s="230">
        <v>368.0</v>
      </c>
      <c r="C366" s="153" t="s">
        <v>7905</v>
      </c>
      <c r="D366" s="153" t="s">
        <v>172</v>
      </c>
      <c r="E366" s="153" t="s">
        <v>173</v>
      </c>
      <c r="F366" s="153" t="s">
        <v>174</v>
      </c>
      <c r="G366" s="158" t="s">
        <v>149</v>
      </c>
      <c r="H366" s="153" t="s">
        <v>7447</v>
      </c>
      <c r="I366" s="230">
        <v>2017.0</v>
      </c>
      <c r="J366" s="192" t="s">
        <v>149</v>
      </c>
      <c r="K366" s="192" t="s">
        <v>149</v>
      </c>
      <c r="L366" s="153" t="s">
        <v>151</v>
      </c>
      <c r="M366" s="153" t="s">
        <v>2758</v>
      </c>
      <c r="N366" s="158" t="s">
        <v>2758</v>
      </c>
      <c r="O366" s="158" t="s">
        <v>2751</v>
      </c>
      <c r="P366" s="153" t="s">
        <v>2752</v>
      </c>
      <c r="Q366" s="158" t="s">
        <v>160</v>
      </c>
      <c r="R366" s="158" t="s">
        <v>184</v>
      </c>
      <c r="S366" s="158" t="s">
        <v>159</v>
      </c>
      <c r="T366" s="158" t="s">
        <v>149</v>
      </c>
      <c r="U366" s="158" t="s">
        <v>149</v>
      </c>
      <c r="V366" s="158" t="s">
        <v>149</v>
      </c>
      <c r="W366" s="153" t="s">
        <v>2752</v>
      </c>
      <c r="X366" s="158" t="s">
        <v>184</v>
      </c>
      <c r="Y366" s="158"/>
      <c r="Z366" s="158"/>
      <c r="AA366" s="158"/>
      <c r="AB366" s="158" t="s">
        <v>6091</v>
      </c>
      <c r="AC366" s="153" t="s">
        <v>2759</v>
      </c>
      <c r="AD366" s="153" t="s">
        <v>2760</v>
      </c>
      <c r="AE366" s="153" t="s">
        <v>188</v>
      </c>
      <c r="AF366" s="165" t="s">
        <v>1140</v>
      </c>
      <c r="AG366" s="153"/>
    </row>
    <row r="367">
      <c r="A367" s="238">
        <v>2024.0</v>
      </c>
      <c r="B367" s="230">
        <v>369.0</v>
      </c>
      <c r="C367" s="153" t="s">
        <v>7905</v>
      </c>
      <c r="D367" s="153" t="s">
        <v>172</v>
      </c>
      <c r="E367" s="153" t="s">
        <v>173</v>
      </c>
      <c r="F367" s="153" t="s">
        <v>174</v>
      </c>
      <c r="G367" s="153" t="s">
        <v>2081</v>
      </c>
      <c r="H367" s="158" t="s">
        <v>7451</v>
      </c>
      <c r="I367" s="192" t="s">
        <v>149</v>
      </c>
      <c r="J367" s="192">
        <v>2018.0</v>
      </c>
      <c r="K367" s="192" t="s">
        <v>149</v>
      </c>
      <c r="L367" s="153" t="s">
        <v>6062</v>
      </c>
      <c r="M367" s="153" t="s">
        <v>179</v>
      </c>
      <c r="N367" s="158" t="s">
        <v>2092</v>
      </c>
      <c r="O367" s="153" t="s">
        <v>286</v>
      </c>
      <c r="P367" s="153" t="s">
        <v>2093</v>
      </c>
      <c r="Q367" s="158" t="s">
        <v>160</v>
      </c>
      <c r="R367" s="158" t="s">
        <v>184</v>
      </c>
      <c r="S367" s="158" t="s">
        <v>159</v>
      </c>
      <c r="T367" s="158" t="s">
        <v>149</v>
      </c>
      <c r="U367" s="158" t="s">
        <v>149</v>
      </c>
      <c r="V367" s="158" t="s">
        <v>149</v>
      </c>
      <c r="W367" s="153" t="s">
        <v>2094</v>
      </c>
      <c r="X367" s="158" t="s">
        <v>184</v>
      </c>
      <c r="Y367" s="153" t="s">
        <v>369</v>
      </c>
      <c r="Z367" s="153"/>
      <c r="AA367" s="153"/>
      <c r="AB367" s="158" t="s">
        <v>166</v>
      </c>
      <c r="AC367" s="153" t="s">
        <v>2095</v>
      </c>
      <c r="AD367" s="153" t="s">
        <v>7392</v>
      </c>
      <c r="AE367" s="153"/>
      <c r="AF367" s="153"/>
      <c r="AG367" s="153"/>
    </row>
    <row r="368">
      <c r="A368" s="238">
        <v>2024.0</v>
      </c>
      <c r="B368" s="230">
        <v>370.0</v>
      </c>
      <c r="C368" s="153" t="s">
        <v>7905</v>
      </c>
      <c r="D368" s="153" t="s">
        <v>172</v>
      </c>
      <c r="E368" s="153" t="s">
        <v>173</v>
      </c>
      <c r="F368" s="153" t="s">
        <v>174</v>
      </c>
      <c r="G368" s="153" t="s">
        <v>175</v>
      </c>
      <c r="H368" s="153" t="s">
        <v>7455</v>
      </c>
      <c r="I368" s="230">
        <v>2000.0</v>
      </c>
      <c r="J368" s="192">
        <v>2000.0</v>
      </c>
      <c r="K368" s="192" t="s">
        <v>149</v>
      </c>
      <c r="L368" s="153" t="s">
        <v>6062</v>
      </c>
      <c r="M368" s="153" t="s">
        <v>179</v>
      </c>
      <c r="N368" s="158" t="s">
        <v>179</v>
      </c>
      <c r="O368" s="158" t="s">
        <v>7456</v>
      </c>
      <c r="P368" s="153" t="s">
        <v>183</v>
      </c>
      <c r="Q368" s="158" t="s">
        <v>160</v>
      </c>
      <c r="R368" s="158" t="s">
        <v>184</v>
      </c>
      <c r="S368" s="158" t="s">
        <v>159</v>
      </c>
      <c r="T368" s="158" t="s">
        <v>149</v>
      </c>
      <c r="U368" s="158" t="s">
        <v>149</v>
      </c>
      <c r="V368" s="158" t="s">
        <v>149</v>
      </c>
      <c r="W368" s="153" t="s">
        <v>183</v>
      </c>
      <c r="X368" s="158" t="s">
        <v>184</v>
      </c>
      <c r="Y368" s="153"/>
      <c r="Z368" s="153" t="s">
        <v>185</v>
      </c>
      <c r="AA368" s="153"/>
      <c r="AB368" s="158" t="s">
        <v>166</v>
      </c>
      <c r="AC368" s="153" t="s">
        <v>186</v>
      </c>
      <c r="AD368" s="172" t="s">
        <v>187</v>
      </c>
      <c r="AE368" s="153" t="s">
        <v>188</v>
      </c>
      <c r="AF368" s="165" t="s">
        <v>1140</v>
      </c>
      <c r="AG368" s="153"/>
    </row>
    <row r="369">
      <c r="A369" s="238">
        <v>2024.0</v>
      </c>
      <c r="B369" s="230">
        <v>371.0</v>
      </c>
      <c r="C369" s="153" t="s">
        <v>7905</v>
      </c>
      <c r="D369" s="153" t="s">
        <v>172</v>
      </c>
      <c r="E369" s="153" t="s">
        <v>173</v>
      </c>
      <c r="F369" s="153" t="s">
        <v>174</v>
      </c>
      <c r="G369" s="153" t="s">
        <v>1132</v>
      </c>
      <c r="H369" s="153" t="s">
        <v>8056</v>
      </c>
      <c r="I369" s="192" t="s">
        <v>149</v>
      </c>
      <c r="J369" s="192" t="s">
        <v>149</v>
      </c>
      <c r="K369" s="192" t="s">
        <v>149</v>
      </c>
      <c r="L369" s="153" t="s">
        <v>6814</v>
      </c>
      <c r="M369" s="158" t="s">
        <v>7185</v>
      </c>
      <c r="N369" s="153" t="s">
        <v>1134</v>
      </c>
      <c r="O369" s="158" t="s">
        <v>1137</v>
      </c>
      <c r="P369" s="153" t="s">
        <v>183</v>
      </c>
      <c r="Q369" s="158" t="s">
        <v>160</v>
      </c>
      <c r="R369" s="158" t="s">
        <v>184</v>
      </c>
      <c r="S369" s="158" t="s">
        <v>204</v>
      </c>
      <c r="T369" s="158" t="s">
        <v>149</v>
      </c>
      <c r="U369" s="158" t="s">
        <v>149</v>
      </c>
      <c r="V369" s="158" t="s">
        <v>149</v>
      </c>
      <c r="W369" s="153" t="s">
        <v>183</v>
      </c>
      <c r="X369" s="158" t="s">
        <v>184</v>
      </c>
      <c r="Y369" s="153"/>
      <c r="Z369" s="153" t="s">
        <v>185</v>
      </c>
      <c r="AA369" s="153"/>
      <c r="AB369" s="158" t="s">
        <v>6517</v>
      </c>
      <c r="AC369" s="153" t="s">
        <v>1138</v>
      </c>
      <c r="AD369" s="172" t="s">
        <v>1139</v>
      </c>
      <c r="AE369" s="153" t="s">
        <v>188</v>
      </c>
      <c r="AF369" s="165" t="s">
        <v>1140</v>
      </c>
      <c r="AG369" s="153"/>
    </row>
    <row r="370">
      <c r="A370" s="238">
        <v>2024.0</v>
      </c>
      <c r="B370" s="230">
        <v>372.0</v>
      </c>
      <c r="C370" s="153" t="s">
        <v>7905</v>
      </c>
      <c r="D370" s="153" t="s">
        <v>172</v>
      </c>
      <c r="E370" s="153" t="s">
        <v>3173</v>
      </c>
      <c r="F370" s="153" t="s">
        <v>3174</v>
      </c>
      <c r="G370" s="158" t="s">
        <v>149</v>
      </c>
      <c r="H370" s="153" t="s">
        <v>7402</v>
      </c>
      <c r="I370" s="230">
        <v>2016.0</v>
      </c>
      <c r="J370" s="192" t="s">
        <v>149</v>
      </c>
      <c r="K370" s="192" t="s">
        <v>149</v>
      </c>
      <c r="L370" s="153" t="s">
        <v>151</v>
      </c>
      <c r="M370" s="158" t="s">
        <v>149</v>
      </c>
      <c r="N370" s="158" t="s">
        <v>149</v>
      </c>
      <c r="O370" s="158" t="s">
        <v>149</v>
      </c>
      <c r="P370" s="158" t="s">
        <v>149</v>
      </c>
      <c r="Q370" s="158" t="s">
        <v>149</v>
      </c>
      <c r="R370" s="158" t="s">
        <v>149</v>
      </c>
      <c r="S370" s="158" t="s">
        <v>149</v>
      </c>
      <c r="T370" s="158" t="s">
        <v>149</v>
      </c>
      <c r="U370" s="158" t="s">
        <v>149</v>
      </c>
      <c r="V370" s="158" t="s">
        <v>149</v>
      </c>
      <c r="W370" s="158" t="s">
        <v>149</v>
      </c>
      <c r="X370" s="158" t="s">
        <v>149</v>
      </c>
      <c r="Y370" s="153"/>
      <c r="Z370" s="153"/>
      <c r="AA370" s="153"/>
      <c r="AB370" s="158" t="s">
        <v>166</v>
      </c>
      <c r="AC370" s="153" t="s">
        <v>3175</v>
      </c>
      <c r="AD370" s="165" t="s">
        <v>3176</v>
      </c>
      <c r="AE370" s="153"/>
      <c r="AF370" s="153"/>
      <c r="AG370" s="153"/>
    </row>
    <row r="371">
      <c r="A371" s="238">
        <v>2024.0</v>
      </c>
      <c r="B371" s="230">
        <v>373.0</v>
      </c>
      <c r="C371" s="153" t="s">
        <v>7905</v>
      </c>
      <c r="D371" s="153" t="s">
        <v>172</v>
      </c>
      <c r="E371" s="153" t="s">
        <v>2021</v>
      </c>
      <c r="F371" s="153" t="s">
        <v>2022</v>
      </c>
      <c r="G371" s="153" t="s">
        <v>2023</v>
      </c>
      <c r="H371" s="153" t="s">
        <v>7405</v>
      </c>
      <c r="I371" s="230">
        <v>2015.0</v>
      </c>
      <c r="J371" s="192" t="s">
        <v>149</v>
      </c>
      <c r="K371" s="192" t="s">
        <v>149</v>
      </c>
      <c r="L371" s="153" t="s">
        <v>151</v>
      </c>
      <c r="M371" s="153" t="s">
        <v>362</v>
      </c>
      <c r="N371" s="158" t="s">
        <v>2025</v>
      </c>
      <c r="O371" s="153" t="s">
        <v>2026</v>
      </c>
      <c r="P371" s="153" t="s">
        <v>2027</v>
      </c>
      <c r="Q371" s="158" t="s">
        <v>160</v>
      </c>
      <c r="R371" s="158" t="s">
        <v>184</v>
      </c>
      <c r="S371" s="158" t="s">
        <v>159</v>
      </c>
      <c r="T371" s="158" t="s">
        <v>149</v>
      </c>
      <c r="U371" s="158" t="s">
        <v>149</v>
      </c>
      <c r="V371" s="158" t="s">
        <v>149</v>
      </c>
      <c r="W371" s="153" t="s">
        <v>2027</v>
      </c>
      <c r="X371" s="158" t="s">
        <v>271</v>
      </c>
      <c r="Y371" s="158" t="s">
        <v>7470</v>
      </c>
      <c r="Z371" s="158" t="s">
        <v>7471</v>
      </c>
      <c r="AA371" s="153"/>
      <c r="AB371" s="158" t="s">
        <v>166</v>
      </c>
      <c r="AC371" s="153" t="s">
        <v>2030</v>
      </c>
      <c r="AD371" s="165" t="s">
        <v>2031</v>
      </c>
      <c r="AE371" s="153"/>
      <c r="AF371" s="153"/>
      <c r="AG371" s="153"/>
    </row>
    <row r="372">
      <c r="A372" s="238">
        <v>2024.0</v>
      </c>
      <c r="B372" s="230">
        <v>374.0</v>
      </c>
      <c r="C372" s="153" t="s">
        <v>7913</v>
      </c>
      <c r="D372" s="153" t="s">
        <v>331</v>
      </c>
      <c r="E372" s="153" t="s">
        <v>3991</v>
      </c>
      <c r="F372" s="153" t="s">
        <v>981</v>
      </c>
      <c r="G372" s="153" t="s">
        <v>1659</v>
      </c>
      <c r="H372" s="158" t="s">
        <v>7476</v>
      </c>
      <c r="I372" s="192">
        <v>1991.0</v>
      </c>
      <c r="J372" s="230">
        <v>1990.0</v>
      </c>
      <c r="K372" s="230">
        <v>1992.0</v>
      </c>
      <c r="L372" s="153" t="s">
        <v>151</v>
      </c>
      <c r="M372" s="153" t="s">
        <v>6897</v>
      </c>
      <c r="N372" s="158" t="s">
        <v>7067</v>
      </c>
      <c r="O372" s="153" t="s">
        <v>1380</v>
      </c>
      <c r="P372" s="158" t="s">
        <v>321</v>
      </c>
      <c r="Q372" s="158" t="s">
        <v>160</v>
      </c>
      <c r="R372" s="158" t="s">
        <v>6035</v>
      </c>
      <c r="S372" s="158" t="s">
        <v>159</v>
      </c>
      <c r="T372" s="158" t="s">
        <v>149</v>
      </c>
      <c r="U372" s="158" t="s">
        <v>149</v>
      </c>
      <c r="V372" s="158" t="s">
        <v>149</v>
      </c>
      <c r="W372" s="153" t="s">
        <v>1663</v>
      </c>
      <c r="X372" s="153" t="s">
        <v>6035</v>
      </c>
      <c r="Y372" s="153"/>
      <c r="Z372" s="153"/>
      <c r="AA372" s="153"/>
      <c r="AB372" s="158" t="s">
        <v>395</v>
      </c>
      <c r="AC372" s="153" t="s">
        <v>6060</v>
      </c>
      <c r="AD372" s="153" t="s">
        <v>2873</v>
      </c>
      <c r="AE372" s="153"/>
      <c r="AF372" s="153"/>
      <c r="AG372" s="153"/>
    </row>
    <row r="373">
      <c r="A373" s="238">
        <v>2024.0</v>
      </c>
      <c r="B373" s="230">
        <v>375.0</v>
      </c>
      <c r="C373" s="153" t="s">
        <v>7913</v>
      </c>
      <c r="D373" s="153" t="s">
        <v>331</v>
      </c>
      <c r="E373" s="153" t="s">
        <v>3991</v>
      </c>
      <c r="F373" s="153" t="s">
        <v>981</v>
      </c>
      <c r="G373" s="153" t="s">
        <v>2023</v>
      </c>
      <c r="H373" s="153" t="s">
        <v>2058</v>
      </c>
      <c r="I373" s="230">
        <v>2012.0</v>
      </c>
      <c r="J373" s="192" t="s">
        <v>149</v>
      </c>
      <c r="K373" s="192" t="s">
        <v>149</v>
      </c>
      <c r="L373" s="153" t="s">
        <v>151</v>
      </c>
      <c r="M373" s="153" t="s">
        <v>362</v>
      </c>
      <c r="N373" s="158" t="s">
        <v>362</v>
      </c>
      <c r="O373" s="158" t="s">
        <v>149</v>
      </c>
      <c r="P373" s="153" t="s">
        <v>2059</v>
      </c>
      <c r="Q373" s="158" t="s">
        <v>160</v>
      </c>
      <c r="R373" s="158" t="s">
        <v>184</v>
      </c>
      <c r="S373" s="158" t="s">
        <v>159</v>
      </c>
      <c r="T373" s="158" t="s">
        <v>149</v>
      </c>
      <c r="U373" s="158" t="s">
        <v>149</v>
      </c>
      <c r="V373" s="153" t="s">
        <v>2060</v>
      </c>
      <c r="W373" s="153" t="s">
        <v>2038</v>
      </c>
      <c r="X373" s="153" t="s">
        <v>271</v>
      </c>
      <c r="Y373" s="153"/>
      <c r="Z373" s="153" t="s">
        <v>2061</v>
      </c>
      <c r="AA373" s="153"/>
      <c r="AB373" s="158" t="s">
        <v>6091</v>
      </c>
      <c r="AC373" s="153" t="s">
        <v>2062</v>
      </c>
      <c r="AD373" s="165" t="s">
        <v>2063</v>
      </c>
      <c r="AE373" s="153" t="s">
        <v>2064</v>
      </c>
      <c r="AF373" s="153"/>
      <c r="AG373" s="153"/>
    </row>
    <row r="374">
      <c r="A374" s="238">
        <v>2024.0</v>
      </c>
      <c r="B374" s="230">
        <v>376.0</v>
      </c>
      <c r="C374" s="153" t="s">
        <v>7913</v>
      </c>
      <c r="D374" s="153" t="s">
        <v>331</v>
      </c>
      <c r="E374" s="153" t="s">
        <v>3991</v>
      </c>
      <c r="F374" s="153" t="s">
        <v>981</v>
      </c>
      <c r="G374" s="153" t="s">
        <v>989</v>
      </c>
      <c r="H374" s="158" t="s">
        <v>990</v>
      </c>
      <c r="I374" s="230">
        <v>2019.0</v>
      </c>
      <c r="J374" s="192" t="s">
        <v>149</v>
      </c>
      <c r="K374" s="192" t="s">
        <v>149</v>
      </c>
      <c r="L374" s="153" t="s">
        <v>151</v>
      </c>
      <c r="M374" s="153" t="s">
        <v>152</v>
      </c>
      <c r="N374" s="158" t="s">
        <v>991</v>
      </c>
      <c r="O374" s="158" t="s">
        <v>992</v>
      </c>
      <c r="P374" s="153" t="s">
        <v>993</v>
      </c>
      <c r="Q374" s="158" t="s">
        <v>160</v>
      </c>
      <c r="R374" s="158" t="s">
        <v>6035</v>
      </c>
      <c r="S374" s="158" t="s">
        <v>159</v>
      </c>
      <c r="T374" s="158" t="s">
        <v>149</v>
      </c>
      <c r="U374" s="158" t="s">
        <v>149</v>
      </c>
      <c r="V374" s="158" t="s">
        <v>149</v>
      </c>
      <c r="W374" s="153" t="s">
        <v>994</v>
      </c>
      <c r="X374" s="153" t="s">
        <v>6035</v>
      </c>
      <c r="Y374" s="153" t="s">
        <v>8057</v>
      </c>
      <c r="Z374" s="153"/>
      <c r="AA374" s="153"/>
      <c r="AB374" s="153" t="s">
        <v>6038</v>
      </c>
      <c r="AC374" s="153" t="s">
        <v>7485</v>
      </c>
      <c r="AD374" s="165" t="s">
        <v>997</v>
      </c>
      <c r="AE374" s="153"/>
      <c r="AF374" s="153"/>
      <c r="AG374" s="153"/>
    </row>
    <row r="375">
      <c r="A375" s="238">
        <v>2024.0</v>
      </c>
      <c r="B375" s="230">
        <v>377.0</v>
      </c>
      <c r="C375" s="153" t="s">
        <v>7913</v>
      </c>
      <c r="D375" s="153" t="s">
        <v>331</v>
      </c>
      <c r="E375" s="153" t="s">
        <v>3991</v>
      </c>
      <c r="F375" s="153" t="s">
        <v>981</v>
      </c>
      <c r="G375" s="153" t="s">
        <v>2244</v>
      </c>
      <c r="H375" s="153" t="s">
        <v>8058</v>
      </c>
      <c r="I375" s="192" t="s">
        <v>149</v>
      </c>
      <c r="J375" s="192" t="s">
        <v>149</v>
      </c>
      <c r="K375" s="192" t="s">
        <v>149</v>
      </c>
      <c r="L375" s="153" t="s">
        <v>6062</v>
      </c>
      <c r="M375" s="153" t="s">
        <v>6276</v>
      </c>
      <c r="N375" s="158" t="s">
        <v>2246</v>
      </c>
      <c r="O375" s="158" t="s">
        <v>202</v>
      </c>
      <c r="P375" s="158" t="s">
        <v>149</v>
      </c>
      <c r="Q375" s="158" t="s">
        <v>149</v>
      </c>
      <c r="R375" s="158" t="s">
        <v>149</v>
      </c>
      <c r="S375" s="158" t="s">
        <v>159</v>
      </c>
      <c r="T375" s="158" t="s">
        <v>149</v>
      </c>
      <c r="U375" s="158" t="s">
        <v>149</v>
      </c>
      <c r="V375" s="158" t="s">
        <v>149</v>
      </c>
      <c r="W375" s="158" t="s">
        <v>149</v>
      </c>
      <c r="X375" s="158" t="s">
        <v>149</v>
      </c>
      <c r="Y375" s="153"/>
      <c r="Z375" s="153" t="s">
        <v>2247</v>
      </c>
      <c r="AA375" s="153" t="s">
        <v>2248</v>
      </c>
      <c r="AB375" s="158" t="s">
        <v>6091</v>
      </c>
      <c r="AC375" s="153" t="s">
        <v>2249</v>
      </c>
      <c r="AD375" s="165" t="s">
        <v>2250</v>
      </c>
      <c r="AE375" s="153"/>
      <c r="AF375" s="153"/>
      <c r="AG375" s="153"/>
    </row>
    <row r="376">
      <c r="A376" s="238">
        <v>2024.0</v>
      </c>
      <c r="B376" s="230">
        <v>378.0</v>
      </c>
      <c r="C376" s="153" t="s">
        <v>7913</v>
      </c>
      <c r="D376" s="153" t="s">
        <v>331</v>
      </c>
      <c r="E376" s="153" t="s">
        <v>3991</v>
      </c>
      <c r="F376" s="153" t="s">
        <v>981</v>
      </c>
      <c r="G376" s="153" t="s">
        <v>6587</v>
      </c>
      <c r="H376" s="158" t="s">
        <v>7495</v>
      </c>
      <c r="I376" s="192">
        <v>2012.0</v>
      </c>
      <c r="J376" s="230">
        <v>2012.0</v>
      </c>
      <c r="K376" s="192" t="s">
        <v>149</v>
      </c>
      <c r="L376" s="153" t="s">
        <v>6624</v>
      </c>
      <c r="M376" s="153" t="s">
        <v>2218</v>
      </c>
      <c r="N376" s="158" t="s">
        <v>2218</v>
      </c>
      <c r="O376" s="153"/>
      <c r="P376" s="153" t="s">
        <v>341</v>
      </c>
      <c r="Q376" s="158" t="s">
        <v>160</v>
      </c>
      <c r="R376" s="158" t="s">
        <v>6035</v>
      </c>
      <c r="S376" s="158" t="s">
        <v>159</v>
      </c>
      <c r="T376" s="158" t="s">
        <v>149</v>
      </c>
      <c r="U376" s="158" t="s">
        <v>7496</v>
      </c>
      <c r="V376" s="158" t="s">
        <v>149</v>
      </c>
      <c r="W376" s="153" t="s">
        <v>341</v>
      </c>
      <c r="X376" s="153" t="s">
        <v>6035</v>
      </c>
      <c r="Y376" s="153"/>
      <c r="Z376" s="153"/>
      <c r="AA376" s="153"/>
      <c r="AB376" s="158" t="s">
        <v>166</v>
      </c>
      <c r="AC376" s="153" t="s">
        <v>8059</v>
      </c>
      <c r="AD376" s="172" t="s">
        <v>2220</v>
      </c>
      <c r="AE376" s="153"/>
      <c r="AF376" s="153"/>
      <c r="AG376" s="153"/>
    </row>
    <row r="377">
      <c r="A377" s="238">
        <v>2024.0</v>
      </c>
      <c r="B377" s="230">
        <v>379.0</v>
      </c>
      <c r="C377" s="153" t="s">
        <v>7913</v>
      </c>
      <c r="D377" s="153" t="s">
        <v>331</v>
      </c>
      <c r="E377" s="153" t="s">
        <v>3991</v>
      </c>
      <c r="F377" s="153" t="s">
        <v>981</v>
      </c>
      <c r="G377" s="158" t="s">
        <v>149</v>
      </c>
      <c r="H377" s="153" t="s">
        <v>2762</v>
      </c>
      <c r="I377" s="192" t="s">
        <v>149</v>
      </c>
      <c r="J377" s="192" t="s">
        <v>149</v>
      </c>
      <c r="K377" s="192" t="s">
        <v>149</v>
      </c>
      <c r="L377" s="153" t="s">
        <v>151</v>
      </c>
      <c r="M377" s="153" t="s">
        <v>2763</v>
      </c>
      <c r="N377" s="158" t="s">
        <v>2763</v>
      </c>
      <c r="O377" s="153" t="s">
        <v>6863</v>
      </c>
      <c r="P377" s="153" t="s">
        <v>2765</v>
      </c>
      <c r="Q377" s="158" t="s">
        <v>160</v>
      </c>
      <c r="R377" s="158" t="s">
        <v>184</v>
      </c>
      <c r="S377" s="158" t="s">
        <v>159</v>
      </c>
      <c r="T377" s="158" t="s">
        <v>149</v>
      </c>
      <c r="U377" s="158" t="s">
        <v>149</v>
      </c>
      <c r="V377" s="158" t="s">
        <v>149</v>
      </c>
      <c r="W377" s="153" t="s">
        <v>2765</v>
      </c>
      <c r="X377" s="158" t="s">
        <v>184</v>
      </c>
      <c r="Y377" s="153"/>
      <c r="Z377" s="153"/>
      <c r="AA377" s="153"/>
      <c r="AB377" s="158" t="s">
        <v>6517</v>
      </c>
      <c r="AC377" s="153" t="s">
        <v>2766</v>
      </c>
      <c r="AD377" s="165" t="s">
        <v>2767</v>
      </c>
      <c r="AE377" s="153"/>
      <c r="AF377" s="153"/>
      <c r="AG377" s="153"/>
    </row>
    <row r="378">
      <c r="A378" s="238">
        <v>2024.0</v>
      </c>
      <c r="B378" s="230">
        <v>380.0</v>
      </c>
      <c r="C378" s="153" t="s">
        <v>7913</v>
      </c>
      <c r="D378" s="153" t="s">
        <v>331</v>
      </c>
      <c r="E378" s="153" t="s">
        <v>3991</v>
      </c>
      <c r="F378" s="153" t="s">
        <v>981</v>
      </c>
      <c r="G378" s="158" t="s">
        <v>149</v>
      </c>
      <c r="H378" s="153" t="s">
        <v>2519</v>
      </c>
      <c r="I378" s="230">
        <v>2022.0</v>
      </c>
      <c r="J378" s="192">
        <v>2022.0</v>
      </c>
      <c r="K378" s="192" t="s">
        <v>149</v>
      </c>
      <c r="L378" s="153" t="s">
        <v>151</v>
      </c>
      <c r="M378" s="158" t="s">
        <v>670</v>
      </c>
      <c r="N378" s="158" t="s">
        <v>670</v>
      </c>
      <c r="O378" s="153" t="s">
        <v>779</v>
      </c>
      <c r="P378" s="153" t="s">
        <v>2520</v>
      </c>
      <c r="Q378" s="158" t="s">
        <v>160</v>
      </c>
      <c r="R378" s="158" t="s">
        <v>184</v>
      </c>
      <c r="S378" s="158" t="s">
        <v>159</v>
      </c>
      <c r="T378" s="158" t="s">
        <v>149</v>
      </c>
      <c r="U378" s="158" t="s">
        <v>149</v>
      </c>
      <c r="V378" s="153" t="s">
        <v>2521</v>
      </c>
      <c r="W378" s="153" t="s">
        <v>2522</v>
      </c>
      <c r="X378" s="158" t="s">
        <v>184</v>
      </c>
      <c r="Y378" s="153" t="s">
        <v>2523</v>
      </c>
      <c r="Z378" s="153" t="s">
        <v>2524</v>
      </c>
      <c r="AA378" s="153"/>
      <c r="AB378" s="153" t="s">
        <v>6038</v>
      </c>
      <c r="AC378" s="153" t="s">
        <v>2525</v>
      </c>
      <c r="AD378" s="153" t="s">
        <v>2526</v>
      </c>
      <c r="AE378" s="153"/>
      <c r="AF378" s="153"/>
      <c r="AG378" s="153"/>
    </row>
    <row r="379">
      <c r="A379" s="238">
        <v>2024.0</v>
      </c>
      <c r="B379" s="230">
        <v>381.0</v>
      </c>
      <c r="C379" s="153" t="s">
        <v>7913</v>
      </c>
      <c r="D379" s="153" t="s">
        <v>331</v>
      </c>
      <c r="E379" s="153" t="s">
        <v>3991</v>
      </c>
      <c r="F379" s="153" t="s">
        <v>981</v>
      </c>
      <c r="G379" s="153" t="s">
        <v>934</v>
      </c>
      <c r="H379" s="153"/>
      <c r="I379" s="230">
        <v>2001.0</v>
      </c>
      <c r="J379" s="230">
        <v>2001.0</v>
      </c>
      <c r="K379" s="230">
        <v>2005.0</v>
      </c>
      <c r="L379" s="153" t="s">
        <v>6062</v>
      </c>
      <c r="M379" s="153" t="s">
        <v>3245</v>
      </c>
      <c r="N379" s="158" t="s">
        <v>3245</v>
      </c>
      <c r="O379" s="153" t="s">
        <v>939</v>
      </c>
      <c r="P379" s="153" t="s">
        <v>940</v>
      </c>
      <c r="Q379" s="158" t="s">
        <v>6154</v>
      </c>
      <c r="R379" s="158" t="s">
        <v>206</v>
      </c>
      <c r="S379" s="158" t="s">
        <v>204</v>
      </c>
      <c r="T379" s="158" t="s">
        <v>149</v>
      </c>
      <c r="U379" s="158" t="s">
        <v>149</v>
      </c>
      <c r="V379" s="158" t="s">
        <v>149</v>
      </c>
      <c r="W379" s="153" t="s">
        <v>233</v>
      </c>
      <c r="X379" s="158" t="s">
        <v>6068</v>
      </c>
      <c r="Y379" s="153"/>
      <c r="Z379" s="153"/>
      <c r="AA379" s="153"/>
      <c r="AB379" s="158" t="s">
        <v>6214</v>
      </c>
      <c r="AC379" s="153" t="s">
        <v>941</v>
      </c>
      <c r="AD379" s="153" t="s">
        <v>942</v>
      </c>
      <c r="AE379" s="153" t="s">
        <v>943</v>
      </c>
      <c r="AF379" s="153"/>
      <c r="AG379" s="153"/>
    </row>
    <row r="380">
      <c r="A380" s="238">
        <v>2024.0</v>
      </c>
      <c r="B380" s="230">
        <v>382.0</v>
      </c>
      <c r="C380" s="153" t="s">
        <v>7913</v>
      </c>
      <c r="D380" s="153" t="s">
        <v>331</v>
      </c>
      <c r="E380" s="153" t="s">
        <v>8060</v>
      </c>
      <c r="F380" s="153" t="s">
        <v>333</v>
      </c>
      <c r="G380" s="153" t="s">
        <v>334</v>
      </c>
      <c r="H380" s="158" t="s">
        <v>7514</v>
      </c>
      <c r="I380" s="230">
        <v>2007.0</v>
      </c>
      <c r="J380" s="230">
        <v>2007.0</v>
      </c>
      <c r="K380" s="192">
        <v>2016.0</v>
      </c>
      <c r="L380" s="153" t="s">
        <v>151</v>
      </c>
      <c r="M380" s="158" t="s">
        <v>337</v>
      </c>
      <c r="N380" s="158" t="s">
        <v>337</v>
      </c>
      <c r="O380" s="158" t="s">
        <v>338</v>
      </c>
      <c r="P380" s="158" t="s">
        <v>228</v>
      </c>
      <c r="Q380" s="158" t="s">
        <v>160</v>
      </c>
      <c r="R380" s="158" t="s">
        <v>6035</v>
      </c>
      <c r="S380" s="158" t="s">
        <v>159</v>
      </c>
      <c r="T380" s="158" t="s">
        <v>149</v>
      </c>
      <c r="U380" s="153" t="s">
        <v>7503</v>
      </c>
      <c r="V380" s="153" t="s">
        <v>340</v>
      </c>
      <c r="W380" s="153" t="s">
        <v>228</v>
      </c>
      <c r="X380" s="153" t="s">
        <v>6035</v>
      </c>
      <c r="Y380" s="153" t="s">
        <v>341</v>
      </c>
      <c r="Z380" s="153"/>
      <c r="AA380" s="153"/>
      <c r="AB380" s="158" t="s">
        <v>166</v>
      </c>
      <c r="AC380" s="153" t="s">
        <v>342</v>
      </c>
      <c r="AD380" s="153" t="s">
        <v>7505</v>
      </c>
      <c r="AE380" s="153"/>
      <c r="AF380" s="153"/>
      <c r="AG380" s="153"/>
    </row>
    <row r="381">
      <c r="A381" s="238">
        <v>2024.0</v>
      </c>
      <c r="B381" s="230">
        <v>383.0</v>
      </c>
      <c r="C381" s="153" t="s">
        <v>7913</v>
      </c>
      <c r="D381" s="153" t="s">
        <v>331</v>
      </c>
      <c r="E381" s="153" t="s">
        <v>7519</v>
      </c>
      <c r="F381" s="153" t="s">
        <v>333</v>
      </c>
      <c r="G381" s="153" t="s">
        <v>1580</v>
      </c>
      <c r="H381" s="158" t="s">
        <v>1581</v>
      </c>
      <c r="I381" s="192" t="s">
        <v>149</v>
      </c>
      <c r="J381" s="192" t="s">
        <v>149</v>
      </c>
      <c r="K381" s="192" t="s">
        <v>149</v>
      </c>
      <c r="L381" s="153" t="s">
        <v>151</v>
      </c>
      <c r="M381" s="153" t="s">
        <v>362</v>
      </c>
      <c r="N381" s="158" t="s">
        <v>362</v>
      </c>
      <c r="O381" s="153" t="s">
        <v>1582</v>
      </c>
      <c r="P381" s="153" t="s">
        <v>228</v>
      </c>
      <c r="Q381" s="158" t="s">
        <v>160</v>
      </c>
      <c r="R381" s="158" t="s">
        <v>6035</v>
      </c>
      <c r="S381" s="158" t="s">
        <v>159</v>
      </c>
      <c r="T381" s="158" t="s">
        <v>149</v>
      </c>
      <c r="U381" s="158" t="s">
        <v>149</v>
      </c>
      <c r="V381" s="188" t="s">
        <v>1583</v>
      </c>
      <c r="W381" s="153" t="s">
        <v>228</v>
      </c>
      <c r="X381" s="153" t="s">
        <v>6035</v>
      </c>
      <c r="Y381" s="153"/>
      <c r="Z381" s="153"/>
      <c r="AA381" s="153"/>
      <c r="AB381" s="153" t="s">
        <v>6038</v>
      </c>
      <c r="AC381" s="153" t="s">
        <v>1584</v>
      </c>
      <c r="AD381" s="172" t="s">
        <v>1585</v>
      </c>
      <c r="AE381" s="153"/>
      <c r="AF381" s="153"/>
      <c r="AG381" s="153"/>
    </row>
    <row r="382">
      <c r="A382" s="238">
        <v>2024.0</v>
      </c>
      <c r="B382" s="230">
        <v>384.0</v>
      </c>
      <c r="C382" s="153" t="s">
        <v>7913</v>
      </c>
      <c r="D382" s="153" t="s">
        <v>615</v>
      </c>
      <c r="E382" s="153" t="s">
        <v>7511</v>
      </c>
      <c r="F382" s="153" t="s">
        <v>617</v>
      </c>
      <c r="G382" s="153" t="s">
        <v>384</v>
      </c>
      <c r="H382" s="153"/>
      <c r="I382" s="230">
        <v>1986.0</v>
      </c>
      <c r="J382" s="230">
        <v>1985.0</v>
      </c>
      <c r="K382" s="230">
        <v>1987.0</v>
      </c>
      <c r="L382" s="153" t="s">
        <v>151</v>
      </c>
      <c r="M382" s="153" t="s">
        <v>6054</v>
      </c>
      <c r="N382" s="158" t="s">
        <v>6054</v>
      </c>
      <c r="O382" s="158" t="s">
        <v>149</v>
      </c>
      <c r="P382" s="153" t="s">
        <v>390</v>
      </c>
      <c r="Q382" s="158" t="s">
        <v>160</v>
      </c>
      <c r="R382" s="158" t="s">
        <v>6035</v>
      </c>
      <c r="S382" s="158" t="s">
        <v>159</v>
      </c>
      <c r="T382" s="158" t="s">
        <v>149</v>
      </c>
      <c r="U382" s="158" t="s">
        <v>149</v>
      </c>
      <c r="V382" s="158" t="s">
        <v>149</v>
      </c>
      <c r="W382" s="153" t="s">
        <v>390</v>
      </c>
      <c r="X382" s="153" t="s">
        <v>6035</v>
      </c>
      <c r="Y382" s="153" t="s">
        <v>6055</v>
      </c>
      <c r="Z382" s="153"/>
      <c r="AA382" s="153"/>
      <c r="AB382" s="158" t="s">
        <v>395</v>
      </c>
      <c r="AC382" s="153" t="s">
        <v>6060</v>
      </c>
      <c r="AD382" s="153" t="s">
        <v>2873</v>
      </c>
      <c r="AE382" s="153" t="s">
        <v>398</v>
      </c>
      <c r="AF382" s="153"/>
      <c r="AG382" s="153"/>
    </row>
    <row r="383">
      <c r="A383" s="238">
        <v>2024.0</v>
      </c>
      <c r="B383" s="230">
        <v>385.0</v>
      </c>
      <c r="C383" s="153" t="s">
        <v>7913</v>
      </c>
      <c r="D383" s="153" t="s">
        <v>615</v>
      </c>
      <c r="E383" s="153" t="s">
        <v>7511</v>
      </c>
      <c r="F383" s="153" t="s">
        <v>617</v>
      </c>
      <c r="G383" s="153" t="s">
        <v>777</v>
      </c>
      <c r="H383" s="153" t="s">
        <v>7526</v>
      </c>
      <c r="I383" s="230">
        <v>2017.0</v>
      </c>
      <c r="J383" s="192" t="s">
        <v>149</v>
      </c>
      <c r="K383" s="192" t="s">
        <v>149</v>
      </c>
      <c r="L383" s="153" t="s">
        <v>151</v>
      </c>
      <c r="M383" s="158" t="s">
        <v>670</v>
      </c>
      <c r="N383" s="158" t="s">
        <v>670</v>
      </c>
      <c r="O383" s="153" t="s">
        <v>779</v>
      </c>
      <c r="P383" s="153" t="s">
        <v>780</v>
      </c>
      <c r="Q383" s="158" t="s">
        <v>160</v>
      </c>
      <c r="R383" s="158" t="s">
        <v>184</v>
      </c>
      <c r="S383" s="158" t="s">
        <v>159</v>
      </c>
      <c r="T383" s="158" t="s">
        <v>149</v>
      </c>
      <c r="U383" s="158" t="s">
        <v>7527</v>
      </c>
      <c r="V383" s="153" t="s">
        <v>782</v>
      </c>
      <c r="W383" s="153" t="s">
        <v>780</v>
      </c>
      <c r="X383" s="158" t="s">
        <v>184</v>
      </c>
      <c r="Y383" s="153" t="s">
        <v>760</v>
      </c>
      <c r="Z383" s="153" t="s">
        <v>765</v>
      </c>
      <c r="AA383" s="153"/>
      <c r="AB383" s="158" t="s">
        <v>6027</v>
      </c>
      <c r="AC383" s="153" t="s">
        <v>783</v>
      </c>
      <c r="AD383" s="165" t="s">
        <v>784</v>
      </c>
      <c r="AE383" s="153"/>
      <c r="AF383" s="153"/>
      <c r="AG383" s="153"/>
    </row>
    <row r="384">
      <c r="A384" s="238">
        <v>2024.0</v>
      </c>
      <c r="B384" s="230">
        <v>386.0</v>
      </c>
      <c r="C384" s="153" t="s">
        <v>7913</v>
      </c>
      <c r="D384" s="153" t="s">
        <v>615</v>
      </c>
      <c r="E384" s="153" t="s">
        <v>7511</v>
      </c>
      <c r="F384" s="153" t="s">
        <v>617</v>
      </c>
      <c r="G384" s="153" t="s">
        <v>668</v>
      </c>
      <c r="H384" s="153" t="s">
        <v>669</v>
      </c>
      <c r="I384" s="230">
        <v>2017.0</v>
      </c>
      <c r="J384" s="192" t="s">
        <v>149</v>
      </c>
      <c r="K384" s="192" t="s">
        <v>149</v>
      </c>
      <c r="L384" s="153" t="s">
        <v>151</v>
      </c>
      <c r="M384" s="158" t="s">
        <v>670</v>
      </c>
      <c r="N384" s="158" t="s">
        <v>670</v>
      </c>
      <c r="O384" s="158" t="s">
        <v>673</v>
      </c>
      <c r="P384" s="153" t="s">
        <v>674</v>
      </c>
      <c r="Q384" s="158" t="s">
        <v>160</v>
      </c>
      <c r="R384" s="158" t="s">
        <v>6035</v>
      </c>
      <c r="S384" s="158" t="s">
        <v>159</v>
      </c>
      <c r="T384" s="158" t="s">
        <v>149</v>
      </c>
      <c r="U384" s="158" t="s">
        <v>149</v>
      </c>
      <c r="V384" s="153" t="s">
        <v>675</v>
      </c>
      <c r="W384" s="158" t="s">
        <v>674</v>
      </c>
      <c r="X384" s="153" t="s">
        <v>6035</v>
      </c>
      <c r="Y384" s="153" t="s">
        <v>676</v>
      </c>
      <c r="Z384" s="153"/>
      <c r="AA384" s="158" t="s">
        <v>677</v>
      </c>
      <c r="AB384" s="158" t="s">
        <v>6027</v>
      </c>
      <c r="AC384" s="153" t="s">
        <v>678</v>
      </c>
      <c r="AD384" s="153" t="s">
        <v>679</v>
      </c>
      <c r="AE384" s="153"/>
      <c r="AF384" s="153"/>
      <c r="AG384" s="153"/>
    </row>
    <row r="385">
      <c r="A385" s="238">
        <v>2024.0</v>
      </c>
      <c r="B385" s="230">
        <v>387.0</v>
      </c>
      <c r="C385" s="153" t="s">
        <v>7913</v>
      </c>
      <c r="D385" s="153" t="s">
        <v>615</v>
      </c>
      <c r="E385" s="153" t="s">
        <v>7511</v>
      </c>
      <c r="F385" s="153" t="s">
        <v>617</v>
      </c>
      <c r="G385" s="153" t="s">
        <v>668</v>
      </c>
      <c r="H385" s="153" t="s">
        <v>681</v>
      </c>
      <c r="I385" s="230">
        <v>2017.0</v>
      </c>
      <c r="J385" s="192" t="s">
        <v>149</v>
      </c>
      <c r="K385" s="192" t="s">
        <v>149</v>
      </c>
      <c r="L385" s="153" t="s">
        <v>151</v>
      </c>
      <c r="M385" s="158" t="s">
        <v>670</v>
      </c>
      <c r="N385" s="158" t="s">
        <v>670</v>
      </c>
      <c r="O385" s="153" t="s">
        <v>684</v>
      </c>
      <c r="P385" s="153" t="s">
        <v>685</v>
      </c>
      <c r="Q385" s="158" t="s">
        <v>160</v>
      </c>
      <c r="R385" s="158" t="s">
        <v>6035</v>
      </c>
      <c r="S385" s="158" t="s">
        <v>159</v>
      </c>
      <c r="T385" s="158" t="s">
        <v>149</v>
      </c>
      <c r="U385" s="158" t="s">
        <v>149</v>
      </c>
      <c r="V385" s="153" t="s">
        <v>687</v>
      </c>
      <c r="W385" s="153" t="s">
        <v>685</v>
      </c>
      <c r="X385" s="153" t="s">
        <v>6035</v>
      </c>
      <c r="Y385" s="153" t="s">
        <v>688</v>
      </c>
      <c r="Z385" s="153" t="s">
        <v>674</v>
      </c>
      <c r="AA385" s="153"/>
      <c r="AB385" s="158" t="s">
        <v>6038</v>
      </c>
      <c r="AC385" s="153" t="s">
        <v>7534</v>
      </c>
      <c r="AD385" s="165" t="s">
        <v>7535</v>
      </c>
      <c r="AE385" s="153"/>
      <c r="AF385" s="153"/>
      <c r="AG385" s="153"/>
    </row>
    <row r="386">
      <c r="A386" s="238">
        <v>2024.0</v>
      </c>
      <c r="B386" s="230">
        <v>388.0</v>
      </c>
      <c r="C386" s="153" t="s">
        <v>7913</v>
      </c>
      <c r="D386" s="153" t="s">
        <v>615</v>
      </c>
      <c r="E386" s="153" t="s">
        <v>7511</v>
      </c>
      <c r="F386" s="153" t="s">
        <v>617</v>
      </c>
      <c r="G386" s="158" t="s">
        <v>149</v>
      </c>
      <c r="H386" s="153"/>
      <c r="I386" s="230">
        <v>2012.0</v>
      </c>
      <c r="J386" s="192" t="s">
        <v>149</v>
      </c>
      <c r="K386" s="192" t="s">
        <v>149</v>
      </c>
      <c r="L386" s="153" t="s">
        <v>151</v>
      </c>
      <c r="M386" s="158" t="s">
        <v>670</v>
      </c>
      <c r="N386" s="158" t="s">
        <v>670</v>
      </c>
      <c r="O386" s="158" t="s">
        <v>2579</v>
      </c>
      <c r="P386" s="158" t="s">
        <v>149</v>
      </c>
      <c r="Q386" s="158" t="s">
        <v>149</v>
      </c>
      <c r="R386" s="158" t="s">
        <v>149</v>
      </c>
      <c r="S386" s="158" t="s">
        <v>159</v>
      </c>
      <c r="T386" s="158" t="s">
        <v>149</v>
      </c>
      <c r="U386" s="158" t="s">
        <v>149</v>
      </c>
      <c r="V386" s="158" t="s">
        <v>149</v>
      </c>
      <c r="W386" s="158" t="s">
        <v>2580</v>
      </c>
      <c r="X386" s="158" t="s">
        <v>7294</v>
      </c>
      <c r="Y386" s="153"/>
      <c r="Z386" s="153" t="s">
        <v>2581</v>
      </c>
      <c r="AA386" s="153"/>
      <c r="AB386" s="158" t="s">
        <v>6038</v>
      </c>
      <c r="AC386" s="153" t="s">
        <v>2582</v>
      </c>
      <c r="AD386" s="165" t="s">
        <v>2583</v>
      </c>
      <c r="AE386" s="153"/>
      <c r="AF386" s="153"/>
      <c r="AG386" s="153"/>
    </row>
    <row r="387">
      <c r="A387" s="238">
        <v>2024.0</v>
      </c>
      <c r="B387" s="230">
        <v>389.0</v>
      </c>
      <c r="C387" s="158" t="s">
        <v>7913</v>
      </c>
      <c r="D387" s="158" t="s">
        <v>999</v>
      </c>
      <c r="E387" s="158" t="s">
        <v>7530</v>
      </c>
      <c r="F387" s="158" t="s">
        <v>1001</v>
      </c>
      <c r="G387" s="158" t="s">
        <v>1002</v>
      </c>
      <c r="H387" s="158" t="s">
        <v>1003</v>
      </c>
      <c r="I387" s="192">
        <v>2024.0</v>
      </c>
      <c r="J387" s="192">
        <v>2024.0</v>
      </c>
      <c r="K387" s="192" t="s">
        <v>149</v>
      </c>
      <c r="L387" s="158" t="s">
        <v>151</v>
      </c>
      <c r="M387" s="158" t="s">
        <v>1005</v>
      </c>
      <c r="N387" s="158" t="s">
        <v>1005</v>
      </c>
      <c r="O387" s="158" t="s">
        <v>1006</v>
      </c>
      <c r="P387" s="158" t="s">
        <v>1007</v>
      </c>
      <c r="Q387" s="158" t="s">
        <v>6154</v>
      </c>
      <c r="R387" s="158" t="s">
        <v>184</v>
      </c>
      <c r="S387" s="158" t="s">
        <v>159</v>
      </c>
      <c r="T387" s="158" t="s">
        <v>149</v>
      </c>
      <c r="U387" s="158" t="s">
        <v>7543</v>
      </c>
      <c r="V387" s="158" t="s">
        <v>1009</v>
      </c>
      <c r="W387" s="158" t="s">
        <v>1010</v>
      </c>
      <c r="X387" s="158" t="s">
        <v>6068</v>
      </c>
      <c r="Y387" s="158"/>
      <c r="Z387" s="158" t="s">
        <v>1011</v>
      </c>
      <c r="AA387" s="158"/>
      <c r="AB387" s="158" t="s">
        <v>166</v>
      </c>
      <c r="AC387" s="158" t="s">
        <v>8061</v>
      </c>
      <c r="AD387" s="177" t="s">
        <v>1013</v>
      </c>
      <c r="AE387" s="158"/>
      <c r="AF387" s="158"/>
      <c r="AG387" s="158"/>
    </row>
    <row r="388">
      <c r="A388" s="238">
        <v>2024.0</v>
      </c>
      <c r="B388" s="230">
        <v>390.0</v>
      </c>
      <c r="C388" s="153" t="s">
        <v>7913</v>
      </c>
      <c r="D388" s="153" t="s">
        <v>999</v>
      </c>
      <c r="E388" s="153" t="s">
        <v>3178</v>
      </c>
      <c r="F388" s="153" t="s">
        <v>3179</v>
      </c>
      <c r="G388" s="158" t="s">
        <v>149</v>
      </c>
      <c r="H388" s="153" t="s">
        <v>7537</v>
      </c>
      <c r="I388" s="192" t="s">
        <v>149</v>
      </c>
      <c r="J388" s="192" t="s">
        <v>149</v>
      </c>
      <c r="K388" s="192" t="s">
        <v>149</v>
      </c>
      <c r="L388" s="153" t="s">
        <v>151</v>
      </c>
      <c r="M388" s="158" t="s">
        <v>149</v>
      </c>
      <c r="N388" s="158" t="s">
        <v>149</v>
      </c>
      <c r="O388" s="158" t="s">
        <v>149</v>
      </c>
      <c r="P388" s="158" t="s">
        <v>149</v>
      </c>
      <c r="Q388" s="158" t="s">
        <v>149</v>
      </c>
      <c r="R388" s="158" t="s">
        <v>149</v>
      </c>
      <c r="S388" s="158" t="s">
        <v>149</v>
      </c>
      <c r="T388" s="158" t="s">
        <v>149</v>
      </c>
      <c r="U388" s="158" t="s">
        <v>149</v>
      </c>
      <c r="V388" s="158" t="s">
        <v>149</v>
      </c>
      <c r="W388" s="153" t="s">
        <v>369</v>
      </c>
      <c r="X388" s="153" t="s">
        <v>6035</v>
      </c>
      <c r="Y388" s="153"/>
      <c r="Z388" s="153"/>
      <c r="AA388" s="153"/>
      <c r="AB388" s="158" t="s">
        <v>6027</v>
      </c>
      <c r="AC388" s="153" t="s">
        <v>2104</v>
      </c>
      <c r="AD388" s="165" t="s">
        <v>2105</v>
      </c>
      <c r="AE388" s="153"/>
      <c r="AF388" s="153"/>
      <c r="AG388" s="153"/>
    </row>
    <row r="389">
      <c r="A389" s="238">
        <v>2024.0</v>
      </c>
      <c r="B389" s="230">
        <v>391.0</v>
      </c>
      <c r="C389" s="153" t="s">
        <v>7913</v>
      </c>
      <c r="D389" s="153" t="s">
        <v>2265</v>
      </c>
      <c r="E389" s="153" t="s">
        <v>1255</v>
      </c>
      <c r="F389" s="153" t="s">
        <v>2266</v>
      </c>
      <c r="G389" s="153" t="s">
        <v>2267</v>
      </c>
      <c r="H389" s="158" t="s">
        <v>7549</v>
      </c>
      <c r="I389" s="230">
        <v>2023.0</v>
      </c>
      <c r="J389" s="192" t="s">
        <v>149</v>
      </c>
      <c r="K389" s="192" t="s">
        <v>149</v>
      </c>
      <c r="L389" s="153" t="s">
        <v>6062</v>
      </c>
      <c r="M389" s="158" t="s">
        <v>2269</v>
      </c>
      <c r="N389" s="158" t="s">
        <v>2269</v>
      </c>
      <c r="O389" s="158" t="s">
        <v>2270</v>
      </c>
      <c r="P389" s="153" t="s">
        <v>2271</v>
      </c>
      <c r="Q389" s="158" t="s">
        <v>160</v>
      </c>
      <c r="R389" s="158" t="s">
        <v>184</v>
      </c>
      <c r="S389" s="158" t="s">
        <v>159</v>
      </c>
      <c r="T389" s="158" t="s">
        <v>149</v>
      </c>
      <c r="U389" s="158" t="s">
        <v>7550</v>
      </c>
      <c r="V389" s="158" t="s">
        <v>2273</v>
      </c>
      <c r="W389" s="153" t="s">
        <v>2271</v>
      </c>
      <c r="X389" s="153" t="s">
        <v>271</v>
      </c>
      <c r="Y389" s="158" t="s">
        <v>2274</v>
      </c>
      <c r="Z389" s="153"/>
      <c r="AA389" s="153"/>
      <c r="AB389" s="158" t="s">
        <v>6038</v>
      </c>
      <c r="AC389" s="158" t="s">
        <v>8062</v>
      </c>
      <c r="AD389" s="172" t="s">
        <v>2276</v>
      </c>
      <c r="AE389" s="153"/>
      <c r="AF389" s="153"/>
      <c r="AG389" s="153"/>
    </row>
    <row r="390">
      <c r="A390" s="238">
        <v>2024.0</v>
      </c>
      <c r="B390" s="230">
        <v>392.0</v>
      </c>
      <c r="C390" s="153" t="s">
        <v>7920</v>
      </c>
      <c r="D390" s="153" t="s">
        <v>1997</v>
      </c>
      <c r="E390" s="153" t="s">
        <v>8063</v>
      </c>
      <c r="F390" s="153" t="s">
        <v>1999</v>
      </c>
      <c r="G390" s="158" t="s">
        <v>149</v>
      </c>
      <c r="H390" s="153" t="s">
        <v>7560</v>
      </c>
      <c r="I390" s="192" t="s">
        <v>149</v>
      </c>
      <c r="J390" s="192" t="s">
        <v>149</v>
      </c>
      <c r="K390" s="192" t="s">
        <v>149</v>
      </c>
      <c r="L390" s="153" t="s">
        <v>151</v>
      </c>
      <c r="M390" s="153" t="s">
        <v>362</v>
      </c>
      <c r="N390" s="158" t="s">
        <v>362</v>
      </c>
      <c r="O390" s="158" t="s">
        <v>149</v>
      </c>
      <c r="P390" s="158" t="s">
        <v>149</v>
      </c>
      <c r="Q390" s="158" t="s">
        <v>149</v>
      </c>
      <c r="R390" s="158" t="s">
        <v>149</v>
      </c>
      <c r="S390" s="158" t="s">
        <v>149</v>
      </c>
      <c r="T390" s="158" t="s">
        <v>149</v>
      </c>
      <c r="U390" s="158" t="s">
        <v>149</v>
      </c>
      <c r="V390" s="153" t="s">
        <v>3182</v>
      </c>
      <c r="W390" s="158" t="s">
        <v>149</v>
      </c>
      <c r="X390" s="158" t="s">
        <v>149</v>
      </c>
      <c r="Y390" s="153"/>
      <c r="Z390" s="153"/>
      <c r="AA390" s="153"/>
      <c r="AB390" s="158" t="s">
        <v>166</v>
      </c>
      <c r="AC390" s="153" t="s">
        <v>3183</v>
      </c>
      <c r="AD390" s="165" t="s">
        <v>3184</v>
      </c>
      <c r="AE390" s="153"/>
      <c r="AF390" s="153"/>
      <c r="AG390" s="153"/>
    </row>
    <row r="391">
      <c r="A391" s="238">
        <v>2024.0</v>
      </c>
      <c r="B391" s="230">
        <v>393.0</v>
      </c>
      <c r="C391" s="153" t="s">
        <v>7920</v>
      </c>
      <c r="D391" s="153" t="s">
        <v>1997</v>
      </c>
      <c r="E391" s="153" t="s">
        <v>8064</v>
      </c>
      <c r="F391" s="153" t="s">
        <v>1999</v>
      </c>
      <c r="G391" s="153" t="s">
        <v>2000</v>
      </c>
      <c r="H391" s="153" t="s">
        <v>8065</v>
      </c>
      <c r="I391" s="230">
        <v>2005.0</v>
      </c>
      <c r="J391" s="230">
        <v>2005.0</v>
      </c>
      <c r="K391" s="230">
        <v>2008.0</v>
      </c>
      <c r="L391" s="153" t="s">
        <v>151</v>
      </c>
      <c r="M391" s="153" t="s">
        <v>362</v>
      </c>
      <c r="N391" s="158" t="s">
        <v>362</v>
      </c>
      <c r="O391" s="158" t="s">
        <v>2002</v>
      </c>
      <c r="P391" s="158" t="s">
        <v>2003</v>
      </c>
      <c r="Q391" s="158" t="s">
        <v>6154</v>
      </c>
      <c r="R391" s="158" t="s">
        <v>184</v>
      </c>
      <c r="S391" s="158" t="s">
        <v>159</v>
      </c>
      <c r="T391" s="158" t="s">
        <v>149</v>
      </c>
      <c r="U391" s="158" t="s">
        <v>149</v>
      </c>
      <c r="V391" s="229" t="s">
        <v>149</v>
      </c>
      <c r="W391" s="153" t="s">
        <v>2004</v>
      </c>
      <c r="X391" s="153" t="s">
        <v>271</v>
      </c>
      <c r="Y391" s="153"/>
      <c r="Z391" s="153" t="s">
        <v>2005</v>
      </c>
      <c r="AA391" s="153"/>
      <c r="AB391" s="158" t="s">
        <v>166</v>
      </c>
      <c r="AC391" s="153" t="s">
        <v>2006</v>
      </c>
      <c r="AD391" s="172" t="s">
        <v>2007</v>
      </c>
      <c r="AE391" s="153" t="s">
        <v>2008</v>
      </c>
      <c r="AF391" s="165" t="s">
        <v>2009</v>
      </c>
      <c r="AG391" s="153"/>
    </row>
    <row r="392">
      <c r="A392" s="238">
        <v>2024.0</v>
      </c>
      <c r="B392" s="230">
        <v>394.0</v>
      </c>
      <c r="C392" s="153" t="s">
        <v>7920</v>
      </c>
      <c r="D392" s="153" t="s">
        <v>357</v>
      </c>
      <c r="E392" s="153" t="s">
        <v>2011</v>
      </c>
      <c r="F392" s="153" t="s">
        <v>2012</v>
      </c>
      <c r="G392" s="153" t="s">
        <v>2013</v>
      </c>
      <c r="H392" s="153" t="s">
        <v>8066</v>
      </c>
      <c r="I392" s="192">
        <v>1998.0</v>
      </c>
      <c r="J392" s="230">
        <v>1998.0</v>
      </c>
      <c r="K392" s="192" t="s">
        <v>149</v>
      </c>
      <c r="L392" s="153" t="s">
        <v>151</v>
      </c>
      <c r="M392" s="158" t="s">
        <v>149</v>
      </c>
      <c r="N392" s="158" t="s">
        <v>149</v>
      </c>
      <c r="O392" s="158" t="s">
        <v>2015</v>
      </c>
      <c r="P392" s="153" t="s">
        <v>2016</v>
      </c>
      <c r="Q392" s="158" t="s">
        <v>6154</v>
      </c>
      <c r="R392" s="158" t="s">
        <v>206</v>
      </c>
      <c r="S392" s="158" t="s">
        <v>159</v>
      </c>
      <c r="T392" s="158" t="s">
        <v>149</v>
      </c>
      <c r="U392" s="158" t="s">
        <v>149</v>
      </c>
      <c r="V392" s="158" t="s">
        <v>149</v>
      </c>
      <c r="W392" s="153" t="s">
        <v>2017</v>
      </c>
      <c r="X392" s="153" t="s">
        <v>306</v>
      </c>
      <c r="Y392" s="153"/>
      <c r="Z392" s="153"/>
      <c r="AA392" s="153"/>
      <c r="AB392" s="158" t="s">
        <v>6027</v>
      </c>
      <c r="AC392" s="153" t="s">
        <v>2018</v>
      </c>
      <c r="AD392" s="165" t="s">
        <v>2019</v>
      </c>
      <c r="AE392" s="153"/>
      <c r="AF392" s="153"/>
      <c r="AG392" s="153"/>
    </row>
    <row r="393">
      <c r="A393" s="238">
        <v>2024.0</v>
      </c>
      <c r="B393" s="230">
        <v>395.0</v>
      </c>
      <c r="C393" s="153" t="s">
        <v>7920</v>
      </c>
      <c r="D393" s="153" t="s">
        <v>357</v>
      </c>
      <c r="E393" s="153" t="s">
        <v>1689</v>
      </c>
      <c r="F393" s="153" t="s">
        <v>1690</v>
      </c>
      <c r="G393" s="158" t="s">
        <v>149</v>
      </c>
      <c r="H393" s="230">
        <v>2017.0</v>
      </c>
      <c r="I393" s="230">
        <v>2017.0</v>
      </c>
      <c r="J393" s="230">
        <v>2017.0</v>
      </c>
      <c r="K393" s="230">
        <v>2017.0</v>
      </c>
      <c r="L393" s="153" t="s">
        <v>6814</v>
      </c>
      <c r="M393" s="158" t="s">
        <v>320</v>
      </c>
      <c r="N393" s="158" t="s">
        <v>179</v>
      </c>
      <c r="O393" s="153" t="s">
        <v>3030</v>
      </c>
      <c r="P393" s="153" t="s">
        <v>1693</v>
      </c>
      <c r="Q393" s="158" t="s">
        <v>160</v>
      </c>
      <c r="R393" s="158" t="s">
        <v>209</v>
      </c>
      <c r="S393" s="158" t="s">
        <v>204</v>
      </c>
      <c r="T393" s="158" t="s">
        <v>149</v>
      </c>
      <c r="U393" s="158" t="s">
        <v>149</v>
      </c>
      <c r="V393" s="158" t="s">
        <v>149</v>
      </c>
      <c r="W393" s="153" t="s">
        <v>1693</v>
      </c>
      <c r="X393" s="158" t="s">
        <v>6068</v>
      </c>
      <c r="Y393" s="153"/>
      <c r="Z393" s="153"/>
      <c r="AA393" s="153"/>
      <c r="AB393" s="158" t="s">
        <v>7149</v>
      </c>
      <c r="AC393" s="153" t="s">
        <v>3031</v>
      </c>
      <c r="AD393" s="172" t="s">
        <v>7573</v>
      </c>
      <c r="AE393" s="153" t="s">
        <v>3033</v>
      </c>
      <c r="AF393" s="153"/>
      <c r="AG393" s="153"/>
    </row>
    <row r="394">
      <c r="A394" s="238">
        <v>2024.0</v>
      </c>
      <c r="B394" s="230">
        <v>396.0</v>
      </c>
      <c r="C394" s="153" t="s">
        <v>7920</v>
      </c>
      <c r="D394" s="153" t="s">
        <v>357</v>
      </c>
      <c r="E394" s="153" t="s">
        <v>1689</v>
      </c>
      <c r="F394" s="153" t="s">
        <v>1690</v>
      </c>
      <c r="G394" s="153" t="s">
        <v>1683</v>
      </c>
      <c r="H394" s="158" t="s">
        <v>1691</v>
      </c>
      <c r="I394" s="192">
        <v>2014.0</v>
      </c>
      <c r="J394" s="192">
        <v>2014.0</v>
      </c>
      <c r="K394" s="230">
        <v>2016.0</v>
      </c>
      <c r="L394" s="153" t="s">
        <v>6062</v>
      </c>
      <c r="M394" s="153" t="s">
        <v>320</v>
      </c>
      <c r="N394" s="158" t="s">
        <v>179</v>
      </c>
      <c r="O394" s="158" t="s">
        <v>149</v>
      </c>
      <c r="P394" s="153" t="s">
        <v>321</v>
      </c>
      <c r="Q394" s="158" t="s">
        <v>160</v>
      </c>
      <c r="R394" s="158" t="s">
        <v>6035</v>
      </c>
      <c r="S394" s="158" t="s">
        <v>159</v>
      </c>
      <c r="T394" s="158" t="s">
        <v>149</v>
      </c>
      <c r="U394" s="158" t="s">
        <v>149</v>
      </c>
      <c r="V394" s="153" t="s">
        <v>1692</v>
      </c>
      <c r="W394" s="153" t="s">
        <v>1693</v>
      </c>
      <c r="X394" s="158" t="s">
        <v>6068</v>
      </c>
      <c r="Y394" s="153" t="s">
        <v>7580</v>
      </c>
      <c r="Z394" s="153" t="s">
        <v>1695</v>
      </c>
      <c r="AA394" s="153"/>
      <c r="AB394" s="158" t="s">
        <v>6069</v>
      </c>
      <c r="AC394" s="153" t="s">
        <v>1300</v>
      </c>
      <c r="AD394" s="153" t="s">
        <v>7029</v>
      </c>
      <c r="AE394" s="153"/>
      <c r="AF394" s="153"/>
      <c r="AG394" s="153"/>
    </row>
    <row r="395">
      <c r="A395" s="238">
        <v>2024.0</v>
      </c>
      <c r="B395" s="230">
        <v>397.0</v>
      </c>
      <c r="C395" s="158" t="s">
        <v>7920</v>
      </c>
      <c r="D395" s="158" t="s">
        <v>357</v>
      </c>
      <c r="E395" s="158" t="s">
        <v>1689</v>
      </c>
      <c r="F395" s="158" t="s">
        <v>1690</v>
      </c>
      <c r="G395" s="158" t="s">
        <v>149</v>
      </c>
      <c r="H395" s="158" t="s">
        <v>1691</v>
      </c>
      <c r="I395" s="192">
        <v>2020.0</v>
      </c>
      <c r="J395" s="192" t="s">
        <v>149</v>
      </c>
      <c r="K395" s="192" t="s">
        <v>149</v>
      </c>
      <c r="L395" s="158" t="s">
        <v>6062</v>
      </c>
      <c r="M395" s="158" t="s">
        <v>3245</v>
      </c>
      <c r="N395" s="158" t="s">
        <v>179</v>
      </c>
      <c r="O395" s="158" t="s">
        <v>7582</v>
      </c>
      <c r="P395" s="158" t="s">
        <v>2317</v>
      </c>
      <c r="Q395" s="158" t="s">
        <v>160</v>
      </c>
      <c r="R395" s="158" t="s">
        <v>6035</v>
      </c>
      <c r="S395" s="158" t="s">
        <v>159</v>
      </c>
      <c r="T395" s="158" t="s">
        <v>149</v>
      </c>
      <c r="U395" s="158" t="s">
        <v>149</v>
      </c>
      <c r="V395" s="158" t="s">
        <v>7583</v>
      </c>
      <c r="W395" s="158" t="s">
        <v>2317</v>
      </c>
      <c r="X395" s="158" t="s">
        <v>6035</v>
      </c>
      <c r="Y395" s="158" t="s">
        <v>2319</v>
      </c>
      <c r="Z395" s="158"/>
      <c r="AA395" s="158"/>
      <c r="AB395" s="158" t="s">
        <v>166</v>
      </c>
      <c r="AC395" s="158" t="s">
        <v>2320</v>
      </c>
      <c r="AD395" s="177" t="s">
        <v>2321</v>
      </c>
      <c r="AE395" s="158"/>
      <c r="AF395" s="158"/>
      <c r="AG395" s="158"/>
    </row>
    <row r="396">
      <c r="A396" s="238">
        <v>2024.0</v>
      </c>
      <c r="B396" s="230">
        <v>398.0</v>
      </c>
      <c r="C396" s="153" t="s">
        <v>7920</v>
      </c>
      <c r="D396" s="153" t="s">
        <v>357</v>
      </c>
      <c r="E396" s="153" t="s">
        <v>3186</v>
      </c>
      <c r="F396" s="153" t="s">
        <v>3187</v>
      </c>
      <c r="G396" s="158" t="s">
        <v>149</v>
      </c>
      <c r="H396" s="158" t="s">
        <v>3188</v>
      </c>
      <c r="I396" s="192">
        <v>2012.0</v>
      </c>
      <c r="J396" s="158" t="s">
        <v>149</v>
      </c>
      <c r="K396" s="192" t="s">
        <v>149</v>
      </c>
      <c r="L396" s="158" t="s">
        <v>6814</v>
      </c>
      <c r="M396" s="158" t="s">
        <v>179</v>
      </c>
      <c r="N396" s="158" t="s">
        <v>3189</v>
      </c>
      <c r="O396" s="158" t="s">
        <v>149</v>
      </c>
      <c r="P396" s="158" t="s">
        <v>341</v>
      </c>
      <c r="Q396" s="158" t="s">
        <v>160</v>
      </c>
      <c r="R396" s="158" t="s">
        <v>6035</v>
      </c>
      <c r="S396" s="158" t="s">
        <v>159</v>
      </c>
      <c r="T396" s="158" t="s">
        <v>149</v>
      </c>
      <c r="U396" s="158" t="s">
        <v>149</v>
      </c>
      <c r="V396" s="158" t="s">
        <v>149</v>
      </c>
      <c r="W396" s="158" t="s">
        <v>341</v>
      </c>
      <c r="X396" s="158" t="s">
        <v>6035</v>
      </c>
      <c r="Y396" s="153"/>
      <c r="Z396" s="153"/>
      <c r="AA396" s="153"/>
      <c r="AB396" s="158" t="s">
        <v>3277</v>
      </c>
      <c r="AC396" s="158" t="s">
        <v>3190</v>
      </c>
      <c r="AD396" s="172" t="s">
        <v>3191</v>
      </c>
      <c r="AE396" s="153"/>
      <c r="AF396" s="153"/>
      <c r="AG396" s="153"/>
    </row>
    <row r="397">
      <c r="A397" s="238">
        <v>2024.0</v>
      </c>
      <c r="B397" s="230">
        <v>399.0</v>
      </c>
      <c r="C397" s="153" t="s">
        <v>7920</v>
      </c>
      <c r="D397" s="153" t="s">
        <v>357</v>
      </c>
      <c r="E397" s="153" t="s">
        <v>358</v>
      </c>
      <c r="F397" s="153" t="s">
        <v>359</v>
      </c>
      <c r="G397" s="153" t="s">
        <v>360</v>
      </c>
      <c r="H397" s="158"/>
      <c r="I397" s="230">
        <v>2009.0</v>
      </c>
      <c r="J397" s="230">
        <v>2009.0</v>
      </c>
      <c r="K397" s="192" t="s">
        <v>149</v>
      </c>
      <c r="L397" s="153" t="s">
        <v>151</v>
      </c>
      <c r="M397" s="158" t="s">
        <v>362</v>
      </c>
      <c r="N397" s="158" t="s">
        <v>362</v>
      </c>
      <c r="O397" s="158" t="s">
        <v>365</v>
      </c>
      <c r="P397" s="158" t="s">
        <v>366</v>
      </c>
      <c r="Q397" s="158" t="s">
        <v>160</v>
      </c>
      <c r="R397" s="158" t="s">
        <v>306</v>
      </c>
      <c r="S397" s="158" t="s">
        <v>159</v>
      </c>
      <c r="T397" s="158" t="s">
        <v>149</v>
      </c>
      <c r="U397" s="158" t="s">
        <v>149</v>
      </c>
      <c r="V397" s="158" t="s">
        <v>367</v>
      </c>
      <c r="W397" s="158" t="s">
        <v>368</v>
      </c>
      <c r="X397" s="158" t="s">
        <v>306</v>
      </c>
      <c r="Y397" s="158" t="s">
        <v>369</v>
      </c>
      <c r="Z397" s="158" t="s">
        <v>370</v>
      </c>
      <c r="AA397" s="153"/>
      <c r="AB397" s="158" t="s">
        <v>166</v>
      </c>
      <c r="AC397" s="153" t="s">
        <v>371</v>
      </c>
      <c r="AD397" s="165" t="s">
        <v>372</v>
      </c>
      <c r="AE397" s="153"/>
      <c r="AF397" s="153"/>
      <c r="AG397" s="153"/>
    </row>
    <row r="398">
      <c r="A398" s="238">
        <v>2024.0</v>
      </c>
      <c r="B398" s="230">
        <v>400.0</v>
      </c>
      <c r="C398" s="153" t="s">
        <v>7920</v>
      </c>
      <c r="D398" s="153" t="s">
        <v>357</v>
      </c>
      <c r="E398" s="153" t="s">
        <v>358</v>
      </c>
      <c r="F398" s="153" t="s">
        <v>359</v>
      </c>
      <c r="G398" s="158" t="s">
        <v>149</v>
      </c>
      <c r="H398" s="158" t="s">
        <v>7597</v>
      </c>
      <c r="I398" s="230">
        <v>2012.0</v>
      </c>
      <c r="J398" s="192" t="s">
        <v>149</v>
      </c>
      <c r="K398" s="192" t="s">
        <v>149</v>
      </c>
      <c r="L398" s="153" t="s">
        <v>151</v>
      </c>
      <c r="M398" s="153" t="s">
        <v>362</v>
      </c>
      <c r="N398" s="158" t="s">
        <v>362</v>
      </c>
      <c r="O398" s="158" t="s">
        <v>2348</v>
      </c>
      <c r="P398" s="153" t="s">
        <v>2349</v>
      </c>
      <c r="Q398" s="158" t="s">
        <v>6154</v>
      </c>
      <c r="R398" s="158" t="s">
        <v>306</v>
      </c>
      <c r="S398" s="158" t="s">
        <v>159</v>
      </c>
      <c r="T398" s="158" t="s">
        <v>149</v>
      </c>
      <c r="U398" s="158" t="s">
        <v>149</v>
      </c>
      <c r="V398" s="153" t="s">
        <v>2350</v>
      </c>
      <c r="W398" s="153" t="s">
        <v>368</v>
      </c>
      <c r="X398" s="153" t="s">
        <v>306</v>
      </c>
      <c r="Y398" s="153" t="s">
        <v>7593</v>
      </c>
      <c r="Z398" s="153" t="s">
        <v>2352</v>
      </c>
      <c r="AA398" s="153" t="s">
        <v>2353</v>
      </c>
      <c r="AB398" s="158" t="s">
        <v>166</v>
      </c>
      <c r="AC398" s="153" t="s">
        <v>8067</v>
      </c>
      <c r="AD398" s="153" t="s">
        <v>8068</v>
      </c>
      <c r="AE398" s="153"/>
      <c r="AF398" s="153"/>
      <c r="AG398" s="153"/>
    </row>
    <row r="399">
      <c r="A399" s="238">
        <v>2024.0</v>
      </c>
      <c r="B399" s="230">
        <v>401.0</v>
      </c>
      <c r="C399" s="153" t="s">
        <v>7920</v>
      </c>
      <c r="D399" s="153" t="s">
        <v>357</v>
      </c>
      <c r="E399" s="153" t="s">
        <v>375</v>
      </c>
      <c r="F399" s="153" t="s">
        <v>376</v>
      </c>
      <c r="G399" s="153" t="s">
        <v>360</v>
      </c>
      <c r="H399" s="158" t="s">
        <v>7603</v>
      </c>
      <c r="I399" s="230">
        <v>2015.0</v>
      </c>
      <c r="J399" s="192" t="s">
        <v>149</v>
      </c>
      <c r="K399" s="192" t="s">
        <v>149</v>
      </c>
      <c r="L399" s="153" t="s">
        <v>151</v>
      </c>
      <c r="M399" s="153" t="s">
        <v>362</v>
      </c>
      <c r="N399" s="158" t="s">
        <v>362</v>
      </c>
      <c r="O399" s="158" t="s">
        <v>149</v>
      </c>
      <c r="P399" s="158" t="s">
        <v>368</v>
      </c>
      <c r="Q399" s="158" t="s">
        <v>160</v>
      </c>
      <c r="R399" s="158" t="s">
        <v>306</v>
      </c>
      <c r="S399" s="158" t="s">
        <v>159</v>
      </c>
      <c r="T399" s="158" t="s">
        <v>149</v>
      </c>
      <c r="U399" s="158" t="s">
        <v>149</v>
      </c>
      <c r="V399" s="158" t="s">
        <v>7604</v>
      </c>
      <c r="W399" s="153" t="s">
        <v>368</v>
      </c>
      <c r="X399" s="153" t="s">
        <v>306</v>
      </c>
      <c r="Y399" s="153"/>
      <c r="Z399" s="153"/>
      <c r="AA399" s="153"/>
      <c r="AB399" s="158" t="s">
        <v>6027</v>
      </c>
      <c r="AC399" s="153" t="s">
        <v>7605</v>
      </c>
      <c r="AD399" s="172" t="s">
        <v>379</v>
      </c>
      <c r="AE399" s="153"/>
      <c r="AF399" s="153"/>
      <c r="AG399" s="153"/>
    </row>
    <row r="400">
      <c r="A400" s="238">
        <v>2024.0</v>
      </c>
      <c r="B400" s="230">
        <v>402.0</v>
      </c>
      <c r="C400" s="153" t="s">
        <v>7927</v>
      </c>
      <c r="D400" s="153" t="s">
        <v>649</v>
      </c>
      <c r="E400" s="153" t="s">
        <v>1172</v>
      </c>
      <c r="F400" s="153" t="s">
        <v>1969</v>
      </c>
      <c r="G400" s="158" t="s">
        <v>149</v>
      </c>
      <c r="H400" s="153" t="s">
        <v>1971</v>
      </c>
      <c r="I400" s="192" t="s">
        <v>149</v>
      </c>
      <c r="J400" s="192" t="s">
        <v>149</v>
      </c>
      <c r="K400" s="192" t="s">
        <v>149</v>
      </c>
      <c r="L400" s="153" t="s">
        <v>151</v>
      </c>
      <c r="M400" s="158" t="s">
        <v>149</v>
      </c>
      <c r="N400" s="158" t="s">
        <v>149</v>
      </c>
      <c r="O400" s="158" t="s">
        <v>2561</v>
      </c>
      <c r="P400" s="158" t="s">
        <v>149</v>
      </c>
      <c r="Q400" s="158" t="s">
        <v>149</v>
      </c>
      <c r="R400" s="158" t="s">
        <v>149</v>
      </c>
      <c r="S400" s="158" t="s">
        <v>149</v>
      </c>
      <c r="T400" s="158" t="s">
        <v>149</v>
      </c>
      <c r="U400" s="158" t="s">
        <v>149</v>
      </c>
      <c r="V400" s="153" t="s">
        <v>571</v>
      </c>
      <c r="W400" s="153" t="s">
        <v>390</v>
      </c>
      <c r="X400" s="153" t="s">
        <v>6035</v>
      </c>
      <c r="Y400" s="153"/>
      <c r="Z400" s="153"/>
      <c r="AA400" s="153"/>
      <c r="AB400" s="153" t="s">
        <v>6084</v>
      </c>
      <c r="AC400" s="153" t="s">
        <v>2562</v>
      </c>
      <c r="AD400" s="165" t="s">
        <v>2563</v>
      </c>
      <c r="AE400" s="153"/>
      <c r="AF400" s="153"/>
      <c r="AG400" s="153"/>
    </row>
    <row r="401">
      <c r="A401" s="238">
        <v>2024.0</v>
      </c>
      <c r="B401" s="230">
        <v>403.0</v>
      </c>
      <c r="C401" s="153" t="s">
        <v>7927</v>
      </c>
      <c r="D401" s="153" t="s">
        <v>649</v>
      </c>
      <c r="E401" s="153" t="s">
        <v>1172</v>
      </c>
      <c r="F401" s="153" t="s">
        <v>1969</v>
      </c>
      <c r="G401" s="158" t="s">
        <v>149</v>
      </c>
      <c r="H401" s="153" t="s">
        <v>1971</v>
      </c>
      <c r="I401" s="230">
        <v>2022.0</v>
      </c>
      <c r="J401" s="192" t="s">
        <v>149</v>
      </c>
      <c r="K401" s="192" t="s">
        <v>149</v>
      </c>
      <c r="L401" s="153" t="s">
        <v>151</v>
      </c>
      <c r="M401" s="158" t="s">
        <v>911</v>
      </c>
      <c r="N401" s="158" t="s">
        <v>911</v>
      </c>
      <c r="O401" s="158" t="s">
        <v>2497</v>
      </c>
      <c r="P401" s="158" t="s">
        <v>149</v>
      </c>
      <c r="Q401" s="158" t="s">
        <v>149</v>
      </c>
      <c r="R401" s="158" t="s">
        <v>149</v>
      </c>
      <c r="S401" s="158" t="s">
        <v>159</v>
      </c>
      <c r="T401" s="158" t="s">
        <v>149</v>
      </c>
      <c r="U401" s="158" t="s">
        <v>149</v>
      </c>
      <c r="V401" s="153" t="s">
        <v>2498</v>
      </c>
      <c r="W401" s="153" t="s">
        <v>2499</v>
      </c>
      <c r="X401" s="153" t="s">
        <v>6035</v>
      </c>
      <c r="Y401" s="153" t="s">
        <v>760</v>
      </c>
      <c r="Z401" s="153"/>
      <c r="AA401" s="153"/>
      <c r="AB401" s="153" t="s">
        <v>6038</v>
      </c>
      <c r="AC401" s="153" t="s">
        <v>2500</v>
      </c>
      <c r="AD401" s="165" t="s">
        <v>2501</v>
      </c>
      <c r="AE401" s="153"/>
      <c r="AF401" s="153"/>
      <c r="AG401" s="153"/>
    </row>
    <row r="402">
      <c r="A402" s="238">
        <v>2024.0</v>
      </c>
      <c r="B402" s="230">
        <v>404.0</v>
      </c>
      <c r="C402" s="158" t="s">
        <v>7927</v>
      </c>
      <c r="D402" s="158" t="s">
        <v>649</v>
      </c>
      <c r="E402" s="158" t="s">
        <v>1172</v>
      </c>
      <c r="F402" s="158" t="s">
        <v>1969</v>
      </c>
      <c r="G402" s="158" t="s">
        <v>1970</v>
      </c>
      <c r="H402" s="158" t="s">
        <v>1971</v>
      </c>
      <c r="I402" s="192">
        <v>2024.0</v>
      </c>
      <c r="J402" s="192" t="s">
        <v>149</v>
      </c>
      <c r="K402" s="192" t="s">
        <v>149</v>
      </c>
      <c r="L402" s="158" t="s">
        <v>151</v>
      </c>
      <c r="M402" s="158" t="s">
        <v>911</v>
      </c>
      <c r="N402" s="158" t="s">
        <v>911</v>
      </c>
      <c r="O402" s="158" t="s">
        <v>7614</v>
      </c>
      <c r="P402" s="158" t="s">
        <v>1973</v>
      </c>
      <c r="Q402" s="158" t="s">
        <v>160</v>
      </c>
      <c r="R402" s="158" t="s">
        <v>271</v>
      </c>
      <c r="S402" s="158" t="s">
        <v>159</v>
      </c>
      <c r="T402" s="158" t="s">
        <v>149</v>
      </c>
      <c r="U402" s="158" t="s">
        <v>149</v>
      </c>
      <c r="V402" s="158" t="s">
        <v>149</v>
      </c>
      <c r="W402" s="158" t="s">
        <v>1973</v>
      </c>
      <c r="X402" s="158" t="s">
        <v>271</v>
      </c>
      <c r="Y402" s="158" t="s">
        <v>7615</v>
      </c>
      <c r="Z402" s="158" t="s">
        <v>1975</v>
      </c>
      <c r="AA402" s="153"/>
      <c r="AB402" s="158" t="s">
        <v>6038</v>
      </c>
      <c r="AC402" s="158" t="s">
        <v>1976</v>
      </c>
      <c r="AD402" s="177" t="s">
        <v>1977</v>
      </c>
      <c r="AE402" s="153"/>
      <c r="AF402" s="153"/>
      <c r="AG402" s="153"/>
    </row>
    <row r="403">
      <c r="A403" s="238">
        <v>2024.0</v>
      </c>
      <c r="B403" s="230">
        <v>405.0</v>
      </c>
      <c r="C403" s="153" t="s">
        <v>7927</v>
      </c>
      <c r="D403" s="153" t="s">
        <v>649</v>
      </c>
      <c r="E403" s="153" t="s">
        <v>7612</v>
      </c>
      <c r="F403" s="153" t="s">
        <v>2740</v>
      </c>
      <c r="G403" s="158" t="s">
        <v>149</v>
      </c>
      <c r="H403" s="153" t="s">
        <v>2741</v>
      </c>
      <c r="I403" s="230">
        <v>2020.0</v>
      </c>
      <c r="J403" s="192" t="s">
        <v>149</v>
      </c>
      <c r="K403" s="192" t="s">
        <v>149</v>
      </c>
      <c r="L403" s="153" t="s">
        <v>151</v>
      </c>
      <c r="M403" s="158" t="s">
        <v>152</v>
      </c>
      <c r="N403" s="158" t="s">
        <v>152</v>
      </c>
      <c r="O403" s="158" t="s">
        <v>684</v>
      </c>
      <c r="P403" s="158" t="s">
        <v>2742</v>
      </c>
      <c r="Q403" s="158" t="s">
        <v>160</v>
      </c>
      <c r="R403" s="158" t="s">
        <v>6035</v>
      </c>
      <c r="S403" s="158" t="s">
        <v>159</v>
      </c>
      <c r="T403" s="158" t="s">
        <v>149</v>
      </c>
      <c r="U403" s="158" t="s">
        <v>149</v>
      </c>
      <c r="V403" s="153" t="s">
        <v>2273</v>
      </c>
      <c r="W403" s="158" t="s">
        <v>228</v>
      </c>
      <c r="X403" s="153" t="s">
        <v>6035</v>
      </c>
      <c r="Y403" s="158" t="s">
        <v>390</v>
      </c>
      <c r="Z403" s="158" t="s">
        <v>2743</v>
      </c>
      <c r="AA403" s="153"/>
      <c r="AB403" s="153" t="s">
        <v>6038</v>
      </c>
      <c r="AC403" s="153" t="s">
        <v>2744</v>
      </c>
      <c r="AD403" s="165" t="s">
        <v>2745</v>
      </c>
      <c r="AE403" s="153"/>
      <c r="AF403" s="153"/>
      <c r="AG403" s="153"/>
    </row>
    <row r="404">
      <c r="A404" s="238">
        <v>2024.0</v>
      </c>
      <c r="B404" s="230">
        <v>406.0</v>
      </c>
      <c r="C404" s="153" t="s">
        <v>7927</v>
      </c>
      <c r="D404" s="153" t="s">
        <v>649</v>
      </c>
      <c r="E404" s="153" t="s">
        <v>8069</v>
      </c>
      <c r="F404" s="153" t="s">
        <v>651</v>
      </c>
      <c r="G404" s="153" t="s">
        <v>652</v>
      </c>
      <c r="H404" s="153" t="s">
        <v>653</v>
      </c>
      <c r="I404" s="230">
        <v>1987.0</v>
      </c>
      <c r="J404" s="192" t="s">
        <v>149</v>
      </c>
      <c r="K404" s="192" t="s">
        <v>149</v>
      </c>
      <c r="L404" s="153" t="s">
        <v>151</v>
      </c>
      <c r="M404" s="153" t="s">
        <v>7626</v>
      </c>
      <c r="N404" s="158" t="s">
        <v>7626</v>
      </c>
      <c r="O404" s="158" t="s">
        <v>7627</v>
      </c>
      <c r="P404" s="158" t="s">
        <v>659</v>
      </c>
      <c r="Q404" s="158" t="s">
        <v>160</v>
      </c>
      <c r="R404" s="158" t="s">
        <v>6035</v>
      </c>
      <c r="S404" s="158" t="s">
        <v>159</v>
      </c>
      <c r="T404" s="158" t="s">
        <v>149</v>
      </c>
      <c r="U404" s="158" t="s">
        <v>149</v>
      </c>
      <c r="V404" s="158" t="s">
        <v>149</v>
      </c>
      <c r="W404" s="158" t="s">
        <v>661</v>
      </c>
      <c r="X404" s="158" t="s">
        <v>662</v>
      </c>
      <c r="Y404" s="158" t="s">
        <v>7628</v>
      </c>
      <c r="Z404" s="158"/>
      <c r="AA404" s="158"/>
      <c r="AB404" s="158" t="s">
        <v>6517</v>
      </c>
      <c r="AC404" s="153" t="s">
        <v>664</v>
      </c>
      <c r="AD404" s="172" t="s">
        <v>665</v>
      </c>
      <c r="AE404" s="153"/>
      <c r="AF404" s="153"/>
      <c r="AG404" s="153"/>
    </row>
    <row r="405">
      <c r="A405" s="238">
        <v>2024.0</v>
      </c>
      <c r="B405" s="230">
        <v>407.0</v>
      </c>
      <c r="C405" s="158" t="s">
        <v>7927</v>
      </c>
      <c r="D405" s="158" t="s">
        <v>649</v>
      </c>
      <c r="E405" s="158" t="s">
        <v>2503</v>
      </c>
      <c r="F405" s="158" t="s">
        <v>2504</v>
      </c>
      <c r="G405" s="158" t="s">
        <v>149</v>
      </c>
      <c r="H405" s="158" t="s">
        <v>7633</v>
      </c>
      <c r="I405" s="192">
        <v>2019.0</v>
      </c>
      <c r="J405" s="192" t="s">
        <v>149</v>
      </c>
      <c r="K405" s="192" t="s">
        <v>149</v>
      </c>
      <c r="L405" s="158" t="s">
        <v>151</v>
      </c>
      <c r="M405" s="158" t="s">
        <v>149</v>
      </c>
      <c r="N405" s="158" t="s">
        <v>149</v>
      </c>
      <c r="O405" s="158" t="s">
        <v>2506</v>
      </c>
      <c r="P405" s="158" t="s">
        <v>390</v>
      </c>
      <c r="Q405" s="158" t="s">
        <v>160</v>
      </c>
      <c r="R405" s="158" t="s">
        <v>6035</v>
      </c>
      <c r="S405" s="158" t="s">
        <v>159</v>
      </c>
      <c r="T405" s="158" t="s">
        <v>149</v>
      </c>
      <c r="U405" s="158" t="s">
        <v>149</v>
      </c>
      <c r="V405" s="158" t="s">
        <v>2507</v>
      </c>
      <c r="W405" s="158" t="s">
        <v>390</v>
      </c>
      <c r="X405" s="158" t="s">
        <v>6035</v>
      </c>
      <c r="Y405" s="158"/>
      <c r="Z405" s="158"/>
      <c r="AA405" s="158"/>
      <c r="AB405" s="158" t="s">
        <v>6084</v>
      </c>
      <c r="AC405" s="158" t="s">
        <v>2508</v>
      </c>
      <c r="AD405" s="172" t="s">
        <v>2509</v>
      </c>
      <c r="AE405" s="158"/>
      <c r="AF405" s="158"/>
      <c r="AG405" s="158"/>
    </row>
    <row r="406">
      <c r="A406" s="238">
        <v>2024.0</v>
      </c>
      <c r="B406" s="230">
        <v>408.0</v>
      </c>
      <c r="C406" s="153" t="s">
        <v>7927</v>
      </c>
      <c r="D406" s="153" t="s">
        <v>346</v>
      </c>
      <c r="E406" s="153" t="s">
        <v>2291</v>
      </c>
      <c r="F406" s="153" t="s">
        <v>2292</v>
      </c>
      <c r="G406" s="158" t="s">
        <v>149</v>
      </c>
      <c r="H406" s="158" t="s">
        <v>2293</v>
      </c>
      <c r="I406" s="192">
        <v>2019.0</v>
      </c>
      <c r="J406" s="192" t="s">
        <v>149</v>
      </c>
      <c r="K406" s="192" t="s">
        <v>149</v>
      </c>
      <c r="L406" s="158" t="s">
        <v>6062</v>
      </c>
      <c r="M406" s="158" t="s">
        <v>179</v>
      </c>
      <c r="N406" s="158" t="s">
        <v>179</v>
      </c>
      <c r="O406" s="158" t="s">
        <v>2294</v>
      </c>
      <c r="P406" s="158" t="s">
        <v>2295</v>
      </c>
      <c r="Q406" s="158" t="s">
        <v>160</v>
      </c>
      <c r="R406" s="158" t="s">
        <v>184</v>
      </c>
      <c r="S406" s="158" t="s">
        <v>159</v>
      </c>
      <c r="T406" s="158" t="s">
        <v>149</v>
      </c>
      <c r="U406" s="158" t="s">
        <v>149</v>
      </c>
      <c r="V406" s="158" t="s">
        <v>149</v>
      </c>
      <c r="W406" s="158" t="s">
        <v>2295</v>
      </c>
      <c r="X406" s="158" t="s">
        <v>184</v>
      </c>
      <c r="Y406" s="158"/>
      <c r="Z406" s="158" t="s">
        <v>2296</v>
      </c>
      <c r="AA406" s="158"/>
      <c r="AB406" s="158" t="s">
        <v>6027</v>
      </c>
      <c r="AC406" s="153" t="s">
        <v>2297</v>
      </c>
      <c r="AD406" s="172" t="s">
        <v>2298</v>
      </c>
      <c r="AE406" s="153"/>
      <c r="AF406" s="153"/>
      <c r="AG406" s="153"/>
    </row>
    <row r="407">
      <c r="A407" s="238">
        <v>2024.0</v>
      </c>
      <c r="B407" s="230">
        <v>409.0</v>
      </c>
      <c r="C407" s="153" t="s">
        <v>7927</v>
      </c>
      <c r="D407" s="153" t="s">
        <v>346</v>
      </c>
      <c r="E407" s="153" t="s">
        <v>3193</v>
      </c>
      <c r="F407" s="153" t="s">
        <v>3194</v>
      </c>
      <c r="G407" s="158" t="s">
        <v>149</v>
      </c>
      <c r="H407" s="153" t="s">
        <v>7640</v>
      </c>
      <c r="I407" s="192" t="s">
        <v>149</v>
      </c>
      <c r="J407" s="192" t="s">
        <v>149</v>
      </c>
      <c r="K407" s="192" t="s">
        <v>149</v>
      </c>
      <c r="L407" s="153" t="s">
        <v>151</v>
      </c>
      <c r="M407" s="158" t="s">
        <v>911</v>
      </c>
      <c r="N407" s="158" t="s">
        <v>911</v>
      </c>
      <c r="O407" s="158" t="s">
        <v>149</v>
      </c>
      <c r="P407" s="158" t="s">
        <v>149</v>
      </c>
      <c r="Q407" s="158" t="s">
        <v>149</v>
      </c>
      <c r="R407" s="158" t="s">
        <v>149</v>
      </c>
      <c r="S407" s="158" t="s">
        <v>149</v>
      </c>
      <c r="T407" s="158" t="s">
        <v>149</v>
      </c>
      <c r="U407" s="158" t="s">
        <v>149</v>
      </c>
      <c r="V407" s="158" t="s">
        <v>149</v>
      </c>
      <c r="W407" s="158" t="s">
        <v>149</v>
      </c>
      <c r="X407" s="158" t="s">
        <v>149</v>
      </c>
      <c r="Y407" s="153"/>
      <c r="Z407" s="153"/>
      <c r="AA407" s="153"/>
      <c r="AB407" s="158" t="s">
        <v>6027</v>
      </c>
      <c r="AC407" s="153" t="s">
        <v>3195</v>
      </c>
      <c r="AD407" s="165" t="s">
        <v>3196</v>
      </c>
      <c r="AE407" s="153"/>
      <c r="AF407" s="153"/>
      <c r="AG407" s="153"/>
    </row>
    <row r="408">
      <c r="A408" s="238">
        <v>2024.0</v>
      </c>
      <c r="B408" s="230">
        <v>410.0</v>
      </c>
      <c r="C408" s="153" t="s">
        <v>7927</v>
      </c>
      <c r="D408" s="153" t="s">
        <v>346</v>
      </c>
      <c r="E408" s="153" t="s">
        <v>3198</v>
      </c>
      <c r="F408" s="153" t="s">
        <v>3199</v>
      </c>
      <c r="G408" s="158" t="s">
        <v>149</v>
      </c>
      <c r="H408" s="153" t="s">
        <v>3200</v>
      </c>
      <c r="I408" s="230">
        <v>2020.0</v>
      </c>
      <c r="J408" s="192" t="s">
        <v>149</v>
      </c>
      <c r="K408" s="192" t="s">
        <v>149</v>
      </c>
      <c r="L408" s="153" t="s">
        <v>151</v>
      </c>
      <c r="M408" s="158" t="s">
        <v>149</v>
      </c>
      <c r="N408" s="158" t="s">
        <v>149</v>
      </c>
      <c r="O408" s="158" t="s">
        <v>149</v>
      </c>
      <c r="P408" s="158" t="s">
        <v>149</v>
      </c>
      <c r="Q408" s="158" t="s">
        <v>149</v>
      </c>
      <c r="R408" s="158" t="s">
        <v>149</v>
      </c>
      <c r="S408" s="158" t="s">
        <v>149</v>
      </c>
      <c r="T408" s="158" t="s">
        <v>149</v>
      </c>
      <c r="U408" s="158" t="s">
        <v>149</v>
      </c>
      <c r="V408" s="158" t="s">
        <v>571</v>
      </c>
      <c r="W408" s="158" t="s">
        <v>369</v>
      </c>
      <c r="X408" s="158" t="s">
        <v>6035</v>
      </c>
      <c r="Y408" s="158" t="s">
        <v>390</v>
      </c>
      <c r="Z408" s="153"/>
      <c r="AA408" s="153"/>
      <c r="AB408" s="153" t="s">
        <v>6084</v>
      </c>
      <c r="AC408" s="153" t="s">
        <v>3201</v>
      </c>
      <c r="AD408" s="165" t="s">
        <v>3202</v>
      </c>
      <c r="AE408" s="153"/>
      <c r="AF408" s="153"/>
      <c r="AG408" s="153"/>
    </row>
    <row r="409">
      <c r="A409" s="238">
        <v>2024.0</v>
      </c>
      <c r="B409" s="230">
        <v>411.0</v>
      </c>
      <c r="C409" s="153" t="s">
        <v>7927</v>
      </c>
      <c r="D409" s="153" t="s">
        <v>346</v>
      </c>
      <c r="E409" s="153" t="s">
        <v>7647</v>
      </c>
      <c r="F409" s="153" t="s">
        <v>348</v>
      </c>
      <c r="G409" s="153" t="s">
        <v>908</v>
      </c>
      <c r="H409" s="153" t="s">
        <v>8070</v>
      </c>
      <c r="I409" s="230">
        <v>2021.0</v>
      </c>
      <c r="J409" s="192" t="s">
        <v>149</v>
      </c>
      <c r="K409" s="192" t="s">
        <v>149</v>
      </c>
      <c r="L409" s="153" t="s">
        <v>151</v>
      </c>
      <c r="M409" s="158" t="s">
        <v>912</v>
      </c>
      <c r="N409" s="158" t="s">
        <v>912</v>
      </c>
      <c r="O409" s="158" t="s">
        <v>915</v>
      </c>
      <c r="P409" s="158" t="s">
        <v>916</v>
      </c>
      <c r="Q409" s="158" t="s">
        <v>160</v>
      </c>
      <c r="R409" s="158" t="s">
        <v>271</v>
      </c>
      <c r="S409" s="158" t="s">
        <v>159</v>
      </c>
      <c r="T409" s="158" t="s">
        <v>149</v>
      </c>
      <c r="U409" s="158" t="s">
        <v>149</v>
      </c>
      <c r="V409" s="153" t="s">
        <v>917</v>
      </c>
      <c r="W409" s="158" t="s">
        <v>916</v>
      </c>
      <c r="X409" s="158" t="s">
        <v>271</v>
      </c>
      <c r="Y409" s="158" t="s">
        <v>918</v>
      </c>
      <c r="Z409" s="153"/>
      <c r="AA409" s="153"/>
      <c r="AB409" s="158" t="s">
        <v>166</v>
      </c>
      <c r="AC409" s="153" t="s">
        <v>919</v>
      </c>
      <c r="AD409" s="153" t="s">
        <v>7654</v>
      </c>
      <c r="AE409" s="153"/>
      <c r="AF409" s="153"/>
      <c r="AG409" s="153"/>
    </row>
    <row r="410">
      <c r="A410" s="238">
        <v>2024.0</v>
      </c>
      <c r="B410" s="230">
        <v>412.0</v>
      </c>
      <c r="C410" s="153" t="s">
        <v>7927</v>
      </c>
      <c r="D410" s="153" t="s">
        <v>346</v>
      </c>
      <c r="E410" s="153" t="s">
        <v>7647</v>
      </c>
      <c r="F410" s="153" t="s">
        <v>348</v>
      </c>
      <c r="G410" s="153" t="s">
        <v>349</v>
      </c>
      <c r="H410" s="153" t="s">
        <v>350</v>
      </c>
      <c r="I410" s="230">
        <v>2018.0</v>
      </c>
      <c r="J410" s="192" t="s">
        <v>149</v>
      </c>
      <c r="K410" s="192" t="s">
        <v>149</v>
      </c>
      <c r="L410" s="153" t="s">
        <v>151</v>
      </c>
      <c r="M410" s="158" t="s">
        <v>152</v>
      </c>
      <c r="N410" s="158" t="s">
        <v>152</v>
      </c>
      <c r="O410" s="158" t="s">
        <v>6839</v>
      </c>
      <c r="P410" s="158" t="s">
        <v>149</v>
      </c>
      <c r="Q410" s="158" t="s">
        <v>149</v>
      </c>
      <c r="R410" s="158" t="s">
        <v>149</v>
      </c>
      <c r="S410" s="158" t="s">
        <v>159</v>
      </c>
      <c r="T410" s="158" t="s">
        <v>149</v>
      </c>
      <c r="U410" s="158" t="s">
        <v>149</v>
      </c>
      <c r="V410" s="158" t="s">
        <v>149</v>
      </c>
      <c r="W410" s="153" t="s">
        <v>228</v>
      </c>
      <c r="X410" s="153" t="s">
        <v>6035</v>
      </c>
      <c r="Y410" s="153"/>
      <c r="Z410" s="153"/>
      <c r="AA410" s="153"/>
      <c r="AB410" s="158" t="s">
        <v>166</v>
      </c>
      <c r="AC410" s="153" t="s">
        <v>353</v>
      </c>
      <c r="AD410" s="172" t="s">
        <v>354</v>
      </c>
      <c r="AE410" s="153"/>
      <c r="AF410" s="153"/>
      <c r="AG410" s="153"/>
    </row>
    <row r="411">
      <c r="A411" s="238">
        <v>2024.0</v>
      </c>
      <c r="B411" s="230">
        <v>413.0</v>
      </c>
      <c r="C411" s="153" t="s">
        <v>7927</v>
      </c>
      <c r="D411" s="153" t="s">
        <v>346</v>
      </c>
      <c r="E411" s="153" t="s">
        <v>2375</v>
      </c>
      <c r="F411" s="153" t="s">
        <v>2376</v>
      </c>
      <c r="G411" s="158" t="s">
        <v>149</v>
      </c>
      <c r="H411" s="158" t="s">
        <v>2377</v>
      </c>
      <c r="I411" s="192">
        <v>2015.0</v>
      </c>
      <c r="J411" s="192">
        <v>2015.0</v>
      </c>
      <c r="K411" s="192" t="s">
        <v>149</v>
      </c>
      <c r="L411" s="158" t="s">
        <v>6624</v>
      </c>
      <c r="M411" s="158" t="s">
        <v>2378</v>
      </c>
      <c r="N411" s="158" t="s">
        <v>2378</v>
      </c>
      <c r="O411" s="153" t="s">
        <v>2379</v>
      </c>
      <c r="P411" s="153" t="s">
        <v>2380</v>
      </c>
      <c r="Q411" s="158" t="s">
        <v>160</v>
      </c>
      <c r="R411" s="158" t="s">
        <v>184</v>
      </c>
      <c r="S411" s="158" t="s">
        <v>159</v>
      </c>
      <c r="T411" s="158" t="s">
        <v>149</v>
      </c>
      <c r="U411" s="158" t="s">
        <v>149</v>
      </c>
      <c r="V411" s="158" t="s">
        <v>7663</v>
      </c>
      <c r="W411" s="153" t="s">
        <v>2380</v>
      </c>
      <c r="X411" s="158" t="s">
        <v>184</v>
      </c>
      <c r="Y411" s="153"/>
      <c r="Z411" s="153" t="s">
        <v>2382</v>
      </c>
      <c r="AA411" s="153"/>
      <c r="AB411" s="158" t="s">
        <v>166</v>
      </c>
      <c r="AC411" s="153" t="s">
        <v>2383</v>
      </c>
      <c r="AD411" s="165" t="s">
        <v>2384</v>
      </c>
      <c r="AE411" s="153"/>
      <c r="AF411" s="153"/>
      <c r="AG411" s="153"/>
    </row>
    <row r="412">
      <c r="A412" s="238">
        <v>2024.0</v>
      </c>
      <c r="B412" s="230">
        <v>414.0</v>
      </c>
      <c r="C412" s="153" t="s">
        <v>7927</v>
      </c>
      <c r="D412" s="153" t="s">
        <v>3204</v>
      </c>
      <c r="E412" s="153" t="s">
        <v>3205</v>
      </c>
      <c r="F412" s="153" t="s">
        <v>3206</v>
      </c>
      <c r="G412" s="158" t="s">
        <v>149</v>
      </c>
      <c r="H412" s="153" t="s">
        <v>7668</v>
      </c>
      <c r="I412" s="192" t="s">
        <v>149</v>
      </c>
      <c r="J412" s="192" t="s">
        <v>149</v>
      </c>
      <c r="K412" s="192" t="s">
        <v>149</v>
      </c>
      <c r="L412" s="153" t="s">
        <v>151</v>
      </c>
      <c r="M412" s="158" t="s">
        <v>149</v>
      </c>
      <c r="N412" s="158" t="s">
        <v>149</v>
      </c>
      <c r="O412" s="158" t="s">
        <v>149</v>
      </c>
      <c r="P412" s="158" t="s">
        <v>149</v>
      </c>
      <c r="Q412" s="158" t="s">
        <v>149</v>
      </c>
      <c r="R412" s="158" t="s">
        <v>149</v>
      </c>
      <c r="S412" s="158" t="s">
        <v>149</v>
      </c>
      <c r="T412" s="158" t="s">
        <v>149</v>
      </c>
      <c r="U412" s="158" t="s">
        <v>149</v>
      </c>
      <c r="V412" s="158" t="s">
        <v>149</v>
      </c>
      <c r="W412" s="153" t="s">
        <v>3207</v>
      </c>
      <c r="X412" s="158" t="s">
        <v>662</v>
      </c>
      <c r="Y412" s="153"/>
      <c r="Z412" s="153"/>
      <c r="AA412" s="153"/>
      <c r="AB412" s="158" t="s">
        <v>7666</v>
      </c>
      <c r="AC412" s="153" t="s">
        <v>3208</v>
      </c>
      <c r="AD412" s="172" t="s">
        <v>3209</v>
      </c>
      <c r="AE412" s="153"/>
      <c r="AF412" s="153"/>
      <c r="AG412" s="153"/>
    </row>
    <row r="413">
      <c r="A413" s="238">
        <v>2024.0</v>
      </c>
      <c r="B413" s="230">
        <v>415.0</v>
      </c>
      <c r="C413" s="153" t="s">
        <v>7927</v>
      </c>
      <c r="D413" s="153" t="s">
        <v>1910</v>
      </c>
      <c r="E413" s="153" t="s">
        <v>1911</v>
      </c>
      <c r="F413" s="153" t="s">
        <v>1912</v>
      </c>
      <c r="G413" s="153" t="s">
        <v>1913</v>
      </c>
      <c r="H413" s="153"/>
      <c r="I413" s="230" t="s">
        <v>149</v>
      </c>
      <c r="J413" s="230" t="s">
        <v>149</v>
      </c>
      <c r="K413" s="230" t="s">
        <v>149</v>
      </c>
      <c r="L413" s="153" t="s">
        <v>151</v>
      </c>
      <c r="M413" s="158" t="s">
        <v>152</v>
      </c>
      <c r="N413" s="158" t="s">
        <v>152</v>
      </c>
      <c r="O413" s="158" t="s">
        <v>1914</v>
      </c>
      <c r="P413" s="153" t="s">
        <v>1915</v>
      </c>
      <c r="Q413" s="158" t="s">
        <v>160</v>
      </c>
      <c r="R413" s="158" t="s">
        <v>184</v>
      </c>
      <c r="S413" s="158" t="s">
        <v>159</v>
      </c>
      <c r="T413" s="158" t="s">
        <v>149</v>
      </c>
      <c r="U413" s="158" t="s">
        <v>149</v>
      </c>
      <c r="V413" s="158" t="s">
        <v>149</v>
      </c>
      <c r="W413" s="153" t="s">
        <v>1916</v>
      </c>
      <c r="X413" s="153" t="s">
        <v>184</v>
      </c>
      <c r="Y413" s="153"/>
      <c r="Z413" s="158" t="s">
        <v>1917</v>
      </c>
      <c r="AA413" s="158"/>
      <c r="AB413" s="158" t="s">
        <v>6027</v>
      </c>
      <c r="AC413" s="153" t="s">
        <v>1918</v>
      </c>
      <c r="AD413" s="172" t="s">
        <v>1919</v>
      </c>
      <c r="AE413" s="153"/>
      <c r="AF413" s="153"/>
      <c r="AG413" s="153"/>
    </row>
    <row r="414">
      <c r="A414" s="238">
        <v>2024.0</v>
      </c>
      <c r="B414" s="230">
        <v>416.0</v>
      </c>
      <c r="C414" s="153" t="s">
        <v>619</v>
      </c>
      <c r="D414" s="153" t="s">
        <v>620</v>
      </c>
      <c r="E414" s="153" t="s">
        <v>7930</v>
      </c>
      <c r="F414" s="153" t="s">
        <v>7674</v>
      </c>
      <c r="G414" s="153" t="s">
        <v>384</v>
      </c>
      <c r="H414" s="153" t="s">
        <v>7675</v>
      </c>
      <c r="I414" s="192">
        <v>1985.0</v>
      </c>
      <c r="J414" s="230">
        <v>1985.0</v>
      </c>
      <c r="K414" s="230">
        <v>1987.0</v>
      </c>
      <c r="L414" s="153" t="s">
        <v>151</v>
      </c>
      <c r="M414" s="153" t="s">
        <v>6054</v>
      </c>
      <c r="N414" s="158" t="s">
        <v>6054</v>
      </c>
      <c r="O414" s="158" t="s">
        <v>149</v>
      </c>
      <c r="P414" s="153" t="s">
        <v>390</v>
      </c>
      <c r="Q414" s="158" t="s">
        <v>160</v>
      </c>
      <c r="R414" s="158" t="s">
        <v>6035</v>
      </c>
      <c r="S414" s="158" t="s">
        <v>159</v>
      </c>
      <c r="T414" s="158" t="s">
        <v>149</v>
      </c>
      <c r="U414" s="158" t="s">
        <v>149</v>
      </c>
      <c r="V414" s="153" t="s">
        <v>2885</v>
      </c>
      <c r="W414" s="153" t="s">
        <v>390</v>
      </c>
      <c r="X414" s="153" t="s">
        <v>6035</v>
      </c>
      <c r="Y414" s="153" t="s">
        <v>6055</v>
      </c>
      <c r="Z414" s="153"/>
      <c r="AA414" s="153"/>
      <c r="AB414" s="158" t="s">
        <v>395</v>
      </c>
      <c r="AC414" s="153" t="s">
        <v>6060</v>
      </c>
      <c r="AD414" s="177" t="s">
        <v>541</v>
      </c>
      <c r="AE414" s="153" t="s">
        <v>398</v>
      </c>
      <c r="AF414" s="153"/>
      <c r="AG414" s="172" t="s">
        <v>6080</v>
      </c>
    </row>
    <row r="415">
      <c r="A415" s="238">
        <v>2024.0</v>
      </c>
      <c r="B415" s="230">
        <v>417.0</v>
      </c>
      <c r="C415" s="153" t="s">
        <v>619</v>
      </c>
      <c r="D415" s="153" t="s">
        <v>620</v>
      </c>
      <c r="E415" s="153" t="s">
        <v>7930</v>
      </c>
      <c r="F415" s="153" t="s">
        <v>7674</v>
      </c>
      <c r="G415" s="153" t="s">
        <v>384</v>
      </c>
      <c r="H415" s="153" t="s">
        <v>7680</v>
      </c>
      <c r="I415" s="230">
        <v>1985.0</v>
      </c>
      <c r="J415" s="230">
        <v>1985.0</v>
      </c>
      <c r="K415" s="230">
        <v>1987.0</v>
      </c>
      <c r="L415" s="153" t="s">
        <v>151</v>
      </c>
      <c r="M415" s="153" t="s">
        <v>6054</v>
      </c>
      <c r="N415" s="158" t="s">
        <v>6054</v>
      </c>
      <c r="O415" s="158" t="s">
        <v>149</v>
      </c>
      <c r="P415" s="153" t="s">
        <v>390</v>
      </c>
      <c r="Q415" s="158" t="s">
        <v>160</v>
      </c>
      <c r="R415" s="158" t="s">
        <v>6035</v>
      </c>
      <c r="S415" s="158" t="s">
        <v>159</v>
      </c>
      <c r="T415" s="158" t="s">
        <v>149</v>
      </c>
      <c r="U415" s="158" t="s">
        <v>149</v>
      </c>
      <c r="V415" s="153" t="s">
        <v>414</v>
      </c>
      <c r="W415" s="153" t="s">
        <v>390</v>
      </c>
      <c r="X415" s="153" t="s">
        <v>6035</v>
      </c>
      <c r="Y415" s="153" t="s">
        <v>6055</v>
      </c>
      <c r="Z415" s="153"/>
      <c r="AA415" s="153"/>
      <c r="AB415" s="158" t="s">
        <v>395</v>
      </c>
      <c r="AC415" s="153" t="s">
        <v>6060</v>
      </c>
      <c r="AD415" s="177" t="s">
        <v>541</v>
      </c>
      <c r="AE415" s="153" t="s">
        <v>398</v>
      </c>
      <c r="AF415" s="153"/>
      <c r="AG415" s="153"/>
    </row>
    <row r="416">
      <c r="A416" s="238">
        <v>2024.0</v>
      </c>
      <c r="B416" s="230">
        <v>418.0</v>
      </c>
      <c r="C416" s="153" t="s">
        <v>625</v>
      </c>
      <c r="D416" s="153" t="s">
        <v>626</v>
      </c>
      <c r="E416" s="153" t="s">
        <v>627</v>
      </c>
      <c r="F416" s="153" t="s">
        <v>7059</v>
      </c>
      <c r="G416" s="153" t="s">
        <v>384</v>
      </c>
      <c r="H416" s="153" t="s">
        <v>629</v>
      </c>
      <c r="I416" s="192">
        <v>1986.0</v>
      </c>
      <c r="J416" s="230">
        <v>1985.0</v>
      </c>
      <c r="K416" s="230">
        <v>1987.0</v>
      </c>
      <c r="L416" s="153" t="s">
        <v>151</v>
      </c>
      <c r="M416" s="153" t="s">
        <v>6054</v>
      </c>
      <c r="N416" s="158" t="s">
        <v>6054</v>
      </c>
      <c r="O416" s="158" t="s">
        <v>149</v>
      </c>
      <c r="P416" s="153" t="s">
        <v>390</v>
      </c>
      <c r="Q416" s="158" t="s">
        <v>160</v>
      </c>
      <c r="R416" s="158" t="s">
        <v>6035</v>
      </c>
      <c r="S416" s="158" t="s">
        <v>159</v>
      </c>
      <c r="T416" s="158" t="s">
        <v>149</v>
      </c>
      <c r="U416" s="158" t="s">
        <v>149</v>
      </c>
      <c r="V416" s="153" t="s">
        <v>391</v>
      </c>
      <c r="W416" s="153" t="s">
        <v>390</v>
      </c>
      <c r="X416" s="153" t="s">
        <v>6035</v>
      </c>
      <c r="Y416" s="153" t="s">
        <v>6055</v>
      </c>
      <c r="Z416" s="153"/>
      <c r="AA416" s="153"/>
      <c r="AB416" s="158" t="s">
        <v>395</v>
      </c>
      <c r="AC416" s="153" t="s">
        <v>6060</v>
      </c>
      <c r="AD416" s="177" t="s">
        <v>541</v>
      </c>
      <c r="AE416" s="153" t="s">
        <v>398</v>
      </c>
      <c r="AF416" s="153"/>
      <c r="AG416" s="153"/>
    </row>
    <row r="417">
      <c r="A417" s="238">
        <v>2024.0</v>
      </c>
      <c r="B417" s="230">
        <v>419.0</v>
      </c>
      <c r="C417" s="153" t="s">
        <v>625</v>
      </c>
      <c r="D417" s="153" t="s">
        <v>626</v>
      </c>
      <c r="E417" s="153" t="s">
        <v>983</v>
      </c>
      <c r="F417" s="153" t="s">
        <v>7063</v>
      </c>
      <c r="G417" s="158" t="s">
        <v>149</v>
      </c>
      <c r="H417" s="153" t="s">
        <v>2887</v>
      </c>
      <c r="I417" s="230">
        <v>1998.0</v>
      </c>
      <c r="J417" s="230">
        <v>1998.0</v>
      </c>
      <c r="K417" s="230">
        <v>1998.0</v>
      </c>
      <c r="L417" s="153" t="s">
        <v>151</v>
      </c>
      <c r="M417" s="153" t="s">
        <v>2889</v>
      </c>
      <c r="N417" s="158" t="s">
        <v>2889</v>
      </c>
      <c r="O417" s="153" t="s">
        <v>2890</v>
      </c>
      <c r="P417" s="158" t="s">
        <v>149</v>
      </c>
      <c r="Q417" s="158" t="s">
        <v>149</v>
      </c>
      <c r="R417" s="158" t="s">
        <v>149</v>
      </c>
      <c r="S417" s="158" t="s">
        <v>149</v>
      </c>
      <c r="T417" s="158" t="s">
        <v>149</v>
      </c>
      <c r="U417" s="158" t="s">
        <v>149</v>
      </c>
      <c r="V417" s="158" t="s">
        <v>149</v>
      </c>
      <c r="W417" s="158" t="s">
        <v>7685</v>
      </c>
      <c r="X417" s="153" t="s">
        <v>6068</v>
      </c>
      <c r="Y417" s="153"/>
      <c r="Z417" s="153" t="s">
        <v>7686</v>
      </c>
      <c r="AA417" s="153"/>
      <c r="AB417" s="158" t="s">
        <v>6214</v>
      </c>
      <c r="AC417" s="153" t="s">
        <v>2893</v>
      </c>
      <c r="AD417" s="165" t="s">
        <v>2894</v>
      </c>
      <c r="AE417" s="153"/>
      <c r="AF417" s="153"/>
      <c r="AG417" s="153"/>
    </row>
    <row r="418">
      <c r="A418" s="238">
        <v>2024.0</v>
      </c>
      <c r="B418" s="230">
        <v>420.0</v>
      </c>
      <c r="C418" s="153" t="s">
        <v>625</v>
      </c>
      <c r="D418" s="153" t="s">
        <v>626</v>
      </c>
      <c r="E418" s="153" t="s">
        <v>983</v>
      </c>
      <c r="F418" s="153" t="s">
        <v>7063</v>
      </c>
      <c r="G418" s="153" t="s">
        <v>934</v>
      </c>
      <c r="H418" s="153"/>
      <c r="I418" s="230">
        <v>2001.0</v>
      </c>
      <c r="J418" s="230">
        <v>2001.0</v>
      </c>
      <c r="K418" s="230">
        <v>2005.0</v>
      </c>
      <c r="L418" s="153" t="s">
        <v>6062</v>
      </c>
      <c r="M418" s="153" t="s">
        <v>3245</v>
      </c>
      <c r="N418" s="153" t="s">
        <v>179</v>
      </c>
      <c r="O418" s="153" t="s">
        <v>939</v>
      </c>
      <c r="P418" s="153" t="s">
        <v>940</v>
      </c>
      <c r="Q418" s="158" t="s">
        <v>6154</v>
      </c>
      <c r="R418" s="158" t="s">
        <v>206</v>
      </c>
      <c r="S418" s="158" t="s">
        <v>204</v>
      </c>
      <c r="T418" s="158" t="s">
        <v>149</v>
      </c>
      <c r="U418" s="158" t="s">
        <v>149</v>
      </c>
      <c r="V418" s="158" t="s">
        <v>149</v>
      </c>
      <c r="W418" s="153" t="s">
        <v>233</v>
      </c>
      <c r="X418" s="158" t="s">
        <v>6068</v>
      </c>
      <c r="Y418" s="153"/>
      <c r="Z418" s="153"/>
      <c r="AA418" s="153"/>
      <c r="AB418" s="158" t="s">
        <v>6214</v>
      </c>
      <c r="AC418" s="153" t="s">
        <v>941</v>
      </c>
      <c r="AD418" s="153" t="s">
        <v>942</v>
      </c>
      <c r="AE418" s="153" t="s">
        <v>943</v>
      </c>
      <c r="AF418" s="153"/>
      <c r="AG418" s="153"/>
    </row>
    <row r="419">
      <c r="A419" s="238">
        <v>2024.0</v>
      </c>
      <c r="B419" s="230">
        <v>421.0</v>
      </c>
      <c r="C419" s="153" t="s">
        <v>625</v>
      </c>
      <c r="D419" s="153" t="s">
        <v>626</v>
      </c>
      <c r="E419" s="153" t="s">
        <v>5445</v>
      </c>
      <c r="F419" s="153" t="s">
        <v>5446</v>
      </c>
      <c r="G419" s="153" t="s">
        <v>1659</v>
      </c>
      <c r="H419" s="153"/>
      <c r="I419" s="192" t="s">
        <v>149</v>
      </c>
      <c r="J419" s="230">
        <v>1990.0</v>
      </c>
      <c r="K419" s="230">
        <v>1992.0</v>
      </c>
      <c r="L419" s="153" t="s">
        <v>151</v>
      </c>
      <c r="M419" s="153" t="s">
        <v>7067</v>
      </c>
      <c r="N419" s="158" t="s">
        <v>7067</v>
      </c>
      <c r="O419" s="153" t="s">
        <v>1380</v>
      </c>
      <c r="P419" s="153" t="s">
        <v>1673</v>
      </c>
      <c r="Q419" s="158" t="s">
        <v>160</v>
      </c>
      <c r="R419" s="158" t="s">
        <v>6035</v>
      </c>
      <c r="S419" s="158" t="s">
        <v>159</v>
      </c>
      <c r="T419" s="158" t="s">
        <v>149</v>
      </c>
      <c r="U419" s="158" t="s">
        <v>149</v>
      </c>
      <c r="V419" s="158" t="s">
        <v>149</v>
      </c>
      <c r="W419" s="153" t="s">
        <v>1673</v>
      </c>
      <c r="X419" s="153" t="s">
        <v>6035</v>
      </c>
      <c r="Y419" s="153"/>
      <c r="Z419" s="153"/>
      <c r="AA419" s="153"/>
      <c r="AB419" s="158" t="s">
        <v>395</v>
      </c>
      <c r="AC419" s="153" t="s">
        <v>6060</v>
      </c>
      <c r="AD419" s="177" t="s">
        <v>541</v>
      </c>
      <c r="AE419" s="153" t="s">
        <v>398</v>
      </c>
      <c r="AF419" s="153"/>
      <c r="AG419" s="153"/>
    </row>
    <row r="420">
      <c r="A420" s="238">
        <v>2024.0</v>
      </c>
      <c r="B420" s="230">
        <v>422.0</v>
      </c>
      <c r="C420" s="153" t="s">
        <v>625</v>
      </c>
      <c r="D420" s="153" t="s">
        <v>632</v>
      </c>
      <c r="E420" s="153" t="s">
        <v>2678</v>
      </c>
      <c r="F420" s="153" t="s">
        <v>7155</v>
      </c>
      <c r="G420" s="158" t="s">
        <v>149</v>
      </c>
      <c r="H420" s="158" t="s">
        <v>2680</v>
      </c>
      <c r="I420" s="192" t="s">
        <v>149</v>
      </c>
      <c r="J420" s="192" t="s">
        <v>149</v>
      </c>
      <c r="K420" s="192" t="s">
        <v>149</v>
      </c>
      <c r="L420" s="153" t="s">
        <v>151</v>
      </c>
      <c r="M420" s="158" t="s">
        <v>7695</v>
      </c>
      <c r="N420" s="158" t="s">
        <v>7695</v>
      </c>
      <c r="O420" s="158" t="s">
        <v>149</v>
      </c>
      <c r="P420" s="158" t="s">
        <v>149</v>
      </c>
      <c r="Q420" s="158" t="s">
        <v>149</v>
      </c>
      <c r="R420" s="158" t="s">
        <v>149</v>
      </c>
      <c r="S420" s="158" t="s">
        <v>149</v>
      </c>
      <c r="T420" s="158" t="s">
        <v>149</v>
      </c>
      <c r="U420" s="158" t="s">
        <v>7696</v>
      </c>
      <c r="V420" s="158" t="s">
        <v>149</v>
      </c>
      <c r="W420" s="158" t="s">
        <v>149</v>
      </c>
      <c r="X420" s="158" t="s">
        <v>149</v>
      </c>
      <c r="Y420" s="153"/>
      <c r="Z420" s="153"/>
      <c r="AA420" s="153"/>
      <c r="AB420" s="158" t="s">
        <v>395</v>
      </c>
      <c r="AC420" s="153" t="s">
        <v>6060</v>
      </c>
      <c r="AD420" s="177" t="s">
        <v>541</v>
      </c>
      <c r="AE420" s="153" t="s">
        <v>398</v>
      </c>
      <c r="AF420" s="153"/>
      <c r="AG420" s="153"/>
    </row>
    <row r="421">
      <c r="A421" s="238">
        <v>2024.0</v>
      </c>
      <c r="B421" s="230">
        <v>423.0</v>
      </c>
      <c r="C421" s="153" t="s">
        <v>625</v>
      </c>
      <c r="D421" s="153" t="s">
        <v>632</v>
      </c>
      <c r="E421" s="153" t="s">
        <v>2193</v>
      </c>
      <c r="F421" s="153" t="s">
        <v>7699</v>
      </c>
      <c r="G421" s="153" t="s">
        <v>6587</v>
      </c>
      <c r="H421" s="153" t="s">
        <v>7700</v>
      </c>
      <c r="I421" s="158" t="s">
        <v>149</v>
      </c>
      <c r="J421" s="230">
        <v>2012.0</v>
      </c>
      <c r="K421" s="158" t="s">
        <v>149</v>
      </c>
      <c r="L421" s="153" t="s">
        <v>151</v>
      </c>
      <c r="M421" s="158" t="s">
        <v>149</v>
      </c>
      <c r="N421" s="158" t="s">
        <v>149</v>
      </c>
      <c r="O421" s="153" t="s">
        <v>7101</v>
      </c>
      <c r="P421" s="153" t="s">
        <v>341</v>
      </c>
      <c r="Q421" s="158" t="s">
        <v>160</v>
      </c>
      <c r="R421" s="158" t="s">
        <v>6035</v>
      </c>
      <c r="S421" s="158" t="s">
        <v>159</v>
      </c>
      <c r="T421" s="158" t="s">
        <v>149</v>
      </c>
      <c r="U421" s="158" t="s">
        <v>149</v>
      </c>
      <c r="V421" s="158" t="s">
        <v>149</v>
      </c>
      <c r="W421" s="153" t="s">
        <v>2160</v>
      </c>
      <c r="X421" s="153" t="s">
        <v>6035</v>
      </c>
      <c r="Y421" s="153"/>
      <c r="Z421" s="153"/>
      <c r="AA421" s="153"/>
      <c r="AB421" s="158" t="s">
        <v>166</v>
      </c>
      <c r="AC421" s="153" t="s">
        <v>2161</v>
      </c>
      <c r="AD421" s="172" t="s">
        <v>2162</v>
      </c>
      <c r="AE421" s="153"/>
      <c r="AF421" s="153"/>
      <c r="AG421" s="153"/>
    </row>
    <row r="422">
      <c r="A422" s="238">
        <v>2024.0</v>
      </c>
      <c r="B422" s="230">
        <v>424.0</v>
      </c>
      <c r="C422" s="153" t="s">
        <v>625</v>
      </c>
      <c r="D422" s="153" t="s">
        <v>632</v>
      </c>
      <c r="E422" s="153" t="s">
        <v>2687</v>
      </c>
      <c r="F422" s="153" t="s">
        <v>7160</v>
      </c>
      <c r="G422" s="158" t="s">
        <v>149</v>
      </c>
      <c r="H422" s="158" t="s">
        <v>2689</v>
      </c>
      <c r="I422" s="192" t="s">
        <v>149</v>
      </c>
      <c r="J422" s="192" t="s">
        <v>149</v>
      </c>
      <c r="K422" s="192" t="s">
        <v>149</v>
      </c>
      <c r="L422" s="153" t="s">
        <v>151</v>
      </c>
      <c r="M422" s="158" t="s">
        <v>7695</v>
      </c>
      <c r="N422" s="158" t="s">
        <v>7695</v>
      </c>
      <c r="O422" s="158" t="s">
        <v>149</v>
      </c>
      <c r="P422" s="158" t="s">
        <v>149</v>
      </c>
      <c r="Q422" s="158" t="s">
        <v>149</v>
      </c>
      <c r="R422" s="158" t="s">
        <v>149</v>
      </c>
      <c r="S422" s="158" t="s">
        <v>149</v>
      </c>
      <c r="T422" s="158" t="s">
        <v>149</v>
      </c>
      <c r="U422" s="153" t="s">
        <v>7161</v>
      </c>
      <c r="V422" s="158" t="s">
        <v>149</v>
      </c>
      <c r="W422" s="158" t="s">
        <v>149</v>
      </c>
      <c r="X422" s="158" t="s">
        <v>149</v>
      </c>
      <c r="Y422" s="153"/>
      <c r="Z422" s="153"/>
      <c r="AA422" s="153"/>
      <c r="AB422" s="158" t="s">
        <v>395</v>
      </c>
      <c r="AC422" s="153" t="s">
        <v>6060</v>
      </c>
      <c r="AD422" s="177" t="s">
        <v>541</v>
      </c>
      <c r="AE422" s="153" t="s">
        <v>398</v>
      </c>
      <c r="AF422" s="153"/>
      <c r="AG422" s="153"/>
    </row>
    <row r="423">
      <c r="A423" s="238">
        <v>2024.0</v>
      </c>
      <c r="B423" s="230">
        <v>425.0</v>
      </c>
      <c r="C423" s="153" t="s">
        <v>625</v>
      </c>
      <c r="D423" s="153" t="s">
        <v>632</v>
      </c>
      <c r="E423" s="153" t="s">
        <v>2687</v>
      </c>
      <c r="F423" s="153" t="s">
        <v>7160</v>
      </c>
      <c r="G423" s="158" t="s">
        <v>149</v>
      </c>
      <c r="H423" s="158" t="s">
        <v>7707</v>
      </c>
      <c r="I423" s="158" t="s">
        <v>149</v>
      </c>
      <c r="J423" s="158" t="s">
        <v>149</v>
      </c>
      <c r="K423" s="158" t="s">
        <v>149</v>
      </c>
      <c r="L423" s="153" t="s">
        <v>151</v>
      </c>
      <c r="M423" s="153" t="s">
        <v>3211</v>
      </c>
      <c r="N423" s="158" t="s">
        <v>3211</v>
      </c>
      <c r="O423" s="158" t="s">
        <v>149</v>
      </c>
      <c r="P423" s="153" t="s">
        <v>3212</v>
      </c>
      <c r="Q423" s="158" t="s">
        <v>160</v>
      </c>
      <c r="R423" s="158" t="s">
        <v>184</v>
      </c>
      <c r="S423" s="158" t="s">
        <v>159</v>
      </c>
      <c r="T423" s="158" t="s">
        <v>149</v>
      </c>
      <c r="U423" s="158" t="s">
        <v>149</v>
      </c>
      <c r="V423" s="158" t="s">
        <v>149</v>
      </c>
      <c r="W423" s="153" t="s">
        <v>3214</v>
      </c>
      <c r="X423" s="158" t="s">
        <v>184</v>
      </c>
      <c r="Y423" s="153"/>
      <c r="Z423" s="153"/>
      <c r="AA423" s="153"/>
      <c r="AB423" s="158" t="s">
        <v>6038</v>
      </c>
      <c r="AC423" s="153" t="s">
        <v>3215</v>
      </c>
      <c r="AD423" s="165" t="s">
        <v>3216</v>
      </c>
      <c r="AE423" s="153"/>
      <c r="AF423" s="153"/>
      <c r="AG423" s="153"/>
    </row>
    <row r="424">
      <c r="A424" s="238">
        <v>2024.0</v>
      </c>
      <c r="B424" s="230">
        <v>426.0</v>
      </c>
      <c r="C424" s="153" t="s">
        <v>625</v>
      </c>
      <c r="D424" s="153" t="s">
        <v>632</v>
      </c>
      <c r="E424" s="153" t="s">
        <v>2198</v>
      </c>
      <c r="F424" s="153" t="s">
        <v>7710</v>
      </c>
      <c r="G424" s="153" t="s">
        <v>6587</v>
      </c>
      <c r="H424" s="153" t="s">
        <v>7700</v>
      </c>
      <c r="I424" s="158" t="s">
        <v>149</v>
      </c>
      <c r="J424" s="230">
        <v>2012.0</v>
      </c>
      <c r="K424" s="158" t="s">
        <v>149</v>
      </c>
      <c r="L424" s="153" t="s">
        <v>151</v>
      </c>
      <c r="M424" s="158" t="s">
        <v>149</v>
      </c>
      <c r="N424" s="158" t="s">
        <v>149</v>
      </c>
      <c r="O424" s="153" t="s">
        <v>7101</v>
      </c>
      <c r="P424" s="153" t="s">
        <v>341</v>
      </c>
      <c r="Q424" s="158" t="s">
        <v>160</v>
      </c>
      <c r="R424" s="158" t="s">
        <v>6035</v>
      </c>
      <c r="S424" s="158" t="s">
        <v>159</v>
      </c>
      <c r="T424" s="158" t="s">
        <v>149</v>
      </c>
      <c r="U424" s="158" t="s">
        <v>149</v>
      </c>
      <c r="V424" s="158" t="s">
        <v>149</v>
      </c>
      <c r="W424" s="153" t="s">
        <v>2160</v>
      </c>
      <c r="X424" s="153" t="s">
        <v>6035</v>
      </c>
      <c r="Y424" s="153"/>
      <c r="Z424" s="153"/>
      <c r="AA424" s="153"/>
      <c r="AB424" s="158" t="s">
        <v>166</v>
      </c>
      <c r="AC424" s="153" t="s">
        <v>2161</v>
      </c>
      <c r="AD424" s="172" t="s">
        <v>2162</v>
      </c>
      <c r="AE424" s="153"/>
      <c r="AF424" s="153"/>
      <c r="AG424" s="153"/>
    </row>
    <row r="425">
      <c r="A425" s="238">
        <v>2024.0</v>
      </c>
      <c r="B425" s="230">
        <v>427.0</v>
      </c>
      <c r="C425" s="153" t="s">
        <v>625</v>
      </c>
      <c r="D425" s="153" t="s">
        <v>632</v>
      </c>
      <c r="E425" s="153" t="s">
        <v>847</v>
      </c>
      <c r="F425" s="153" t="s">
        <v>7167</v>
      </c>
      <c r="G425" s="158" t="s">
        <v>149</v>
      </c>
      <c r="H425" s="158" t="s">
        <v>2693</v>
      </c>
      <c r="I425" s="192" t="s">
        <v>149</v>
      </c>
      <c r="J425" s="192" t="s">
        <v>149</v>
      </c>
      <c r="K425" s="192" t="s">
        <v>149</v>
      </c>
      <c r="L425" s="153" t="s">
        <v>151</v>
      </c>
      <c r="M425" s="158" t="s">
        <v>7695</v>
      </c>
      <c r="N425" s="158" t="s">
        <v>7695</v>
      </c>
      <c r="O425" s="158" t="s">
        <v>149</v>
      </c>
      <c r="P425" s="158" t="s">
        <v>149</v>
      </c>
      <c r="Q425" s="158" t="s">
        <v>149</v>
      </c>
      <c r="R425" s="158" t="s">
        <v>149</v>
      </c>
      <c r="S425" s="158" t="s">
        <v>149</v>
      </c>
      <c r="T425" s="158" t="s">
        <v>149</v>
      </c>
      <c r="U425" s="153" t="s">
        <v>7168</v>
      </c>
      <c r="V425" s="158" t="s">
        <v>149</v>
      </c>
      <c r="W425" s="158" t="s">
        <v>149</v>
      </c>
      <c r="X425" s="158" t="s">
        <v>149</v>
      </c>
      <c r="Y425" s="153"/>
      <c r="Z425" s="153"/>
      <c r="AA425" s="153"/>
      <c r="AB425" s="158" t="s">
        <v>395</v>
      </c>
      <c r="AC425" s="153" t="s">
        <v>6060</v>
      </c>
      <c r="AD425" s="177" t="s">
        <v>541</v>
      </c>
      <c r="AE425" s="153" t="s">
        <v>398</v>
      </c>
      <c r="AF425" s="153"/>
      <c r="AG425" s="153"/>
    </row>
    <row r="426">
      <c r="A426" s="238">
        <v>2024.0</v>
      </c>
      <c r="B426" s="230">
        <v>428.0</v>
      </c>
      <c r="C426" s="153" t="s">
        <v>625</v>
      </c>
      <c r="D426" s="153" t="s">
        <v>632</v>
      </c>
      <c r="E426" s="153" t="s">
        <v>847</v>
      </c>
      <c r="F426" s="153" t="s">
        <v>7167</v>
      </c>
      <c r="G426" s="158" t="s">
        <v>1097</v>
      </c>
      <c r="H426" s="158" t="s">
        <v>1098</v>
      </c>
      <c r="I426" s="230">
        <v>2022.0</v>
      </c>
      <c r="J426" s="192" t="s">
        <v>149</v>
      </c>
      <c r="K426" s="192" t="s">
        <v>149</v>
      </c>
      <c r="L426" s="153" t="s">
        <v>6062</v>
      </c>
      <c r="M426" s="153" t="s">
        <v>1100</v>
      </c>
      <c r="N426" s="158" t="s">
        <v>7719</v>
      </c>
      <c r="O426" s="158" t="s">
        <v>7720</v>
      </c>
      <c r="P426" s="158" t="s">
        <v>1103</v>
      </c>
      <c r="Q426" s="158" t="s">
        <v>160</v>
      </c>
      <c r="R426" s="158" t="s">
        <v>184</v>
      </c>
      <c r="S426" s="158" t="s">
        <v>159</v>
      </c>
      <c r="T426" s="158" t="s">
        <v>149</v>
      </c>
      <c r="U426" s="158" t="s">
        <v>149</v>
      </c>
      <c r="V426" s="158" t="s">
        <v>149</v>
      </c>
      <c r="W426" s="153" t="s">
        <v>1103</v>
      </c>
      <c r="X426" s="158" t="s">
        <v>184</v>
      </c>
      <c r="Y426" s="153"/>
      <c r="Z426" s="153" t="s">
        <v>8071</v>
      </c>
      <c r="AA426" s="153"/>
      <c r="AB426" s="158" t="s">
        <v>6517</v>
      </c>
      <c r="AC426" s="153" t="s">
        <v>1105</v>
      </c>
      <c r="AD426" s="165" t="s">
        <v>7722</v>
      </c>
      <c r="AE426" s="153"/>
      <c r="AF426" s="153"/>
      <c r="AG426" s="153"/>
    </row>
    <row r="427">
      <c r="A427" s="238">
        <v>2024.0</v>
      </c>
      <c r="B427" s="230">
        <v>429.0</v>
      </c>
      <c r="C427" s="153" t="s">
        <v>625</v>
      </c>
      <c r="D427" s="153" t="s">
        <v>632</v>
      </c>
      <c r="E427" s="153" t="s">
        <v>847</v>
      </c>
      <c r="F427" s="153" t="s">
        <v>7167</v>
      </c>
      <c r="G427" s="158" t="s">
        <v>149</v>
      </c>
      <c r="H427" s="153" t="s">
        <v>8072</v>
      </c>
      <c r="I427" s="192">
        <v>2017.0</v>
      </c>
      <c r="J427" s="158" t="s">
        <v>149</v>
      </c>
      <c r="K427" s="158" t="s">
        <v>149</v>
      </c>
      <c r="L427" s="153" t="s">
        <v>151</v>
      </c>
      <c r="M427" s="153" t="s">
        <v>2630</v>
      </c>
      <c r="N427" s="158" t="s">
        <v>2630</v>
      </c>
      <c r="O427" s="158" t="s">
        <v>149</v>
      </c>
      <c r="P427" s="158" t="s">
        <v>3219</v>
      </c>
      <c r="Q427" s="158" t="s">
        <v>160</v>
      </c>
      <c r="R427" s="158" t="s">
        <v>184</v>
      </c>
      <c r="S427" s="158" t="s">
        <v>159</v>
      </c>
      <c r="T427" s="158" t="s">
        <v>149</v>
      </c>
      <c r="U427" s="158" t="s">
        <v>149</v>
      </c>
      <c r="V427" s="158" t="s">
        <v>7728</v>
      </c>
      <c r="W427" s="158" t="s">
        <v>3221</v>
      </c>
      <c r="X427" s="158" t="s">
        <v>184</v>
      </c>
      <c r="Y427" s="153"/>
      <c r="Z427" s="158"/>
      <c r="AA427" s="153"/>
      <c r="AB427" s="158" t="s">
        <v>6038</v>
      </c>
      <c r="AC427" s="153" t="s">
        <v>3215</v>
      </c>
      <c r="AD427" s="165" t="s">
        <v>3216</v>
      </c>
      <c r="AE427" s="153"/>
      <c r="AF427" s="153"/>
      <c r="AG427" s="153"/>
    </row>
    <row r="428">
      <c r="A428" s="238">
        <v>2024.0</v>
      </c>
      <c r="B428" s="230">
        <v>430.0</v>
      </c>
      <c r="C428" s="153" t="s">
        <v>625</v>
      </c>
      <c r="D428" s="153" t="s">
        <v>632</v>
      </c>
      <c r="E428" s="153" t="s">
        <v>7175</v>
      </c>
      <c r="F428" s="153" t="s">
        <v>7176</v>
      </c>
      <c r="G428" s="158" t="s">
        <v>149</v>
      </c>
      <c r="H428" s="158"/>
      <c r="I428" s="192" t="s">
        <v>149</v>
      </c>
      <c r="J428" s="192" t="s">
        <v>149</v>
      </c>
      <c r="K428" s="192" t="s">
        <v>149</v>
      </c>
      <c r="L428" s="153" t="s">
        <v>151</v>
      </c>
      <c r="M428" s="158" t="s">
        <v>361</v>
      </c>
      <c r="N428" s="158" t="s">
        <v>361</v>
      </c>
      <c r="O428" s="158" t="s">
        <v>2341</v>
      </c>
      <c r="P428" s="158" t="s">
        <v>2342</v>
      </c>
      <c r="Q428" s="158" t="s">
        <v>160</v>
      </c>
      <c r="R428" s="158" t="s">
        <v>184</v>
      </c>
      <c r="S428" s="158" t="s">
        <v>159</v>
      </c>
      <c r="T428" s="158" t="s">
        <v>149</v>
      </c>
      <c r="U428" s="158" t="s">
        <v>149</v>
      </c>
      <c r="V428" s="158" t="s">
        <v>149</v>
      </c>
      <c r="W428" s="153" t="s">
        <v>2343</v>
      </c>
      <c r="X428" s="153" t="s">
        <v>271</v>
      </c>
      <c r="Y428" s="153"/>
      <c r="Z428" s="153" t="s">
        <v>2342</v>
      </c>
      <c r="AA428" s="153"/>
      <c r="AB428" s="158" t="s">
        <v>166</v>
      </c>
      <c r="AC428" s="153" t="s">
        <v>2344</v>
      </c>
      <c r="AD428" s="165" t="s">
        <v>2345</v>
      </c>
      <c r="AE428" s="153"/>
      <c r="AF428" s="153"/>
      <c r="AG428" s="153"/>
    </row>
    <row r="429">
      <c r="A429" s="238">
        <v>2024.0</v>
      </c>
      <c r="B429" s="230">
        <v>431.0</v>
      </c>
      <c r="C429" s="153" t="s">
        <v>625</v>
      </c>
      <c r="D429" s="153" t="s">
        <v>632</v>
      </c>
      <c r="E429" s="153" t="s">
        <v>7175</v>
      </c>
      <c r="F429" s="153" t="s">
        <v>7176</v>
      </c>
      <c r="G429" s="158" t="s">
        <v>149</v>
      </c>
      <c r="H429" s="153" t="s">
        <v>3035</v>
      </c>
      <c r="I429" s="192" t="s">
        <v>149</v>
      </c>
      <c r="J429" s="230">
        <v>1977.0</v>
      </c>
      <c r="K429" s="230">
        <v>1978.0</v>
      </c>
      <c r="L429" s="153" t="s">
        <v>151</v>
      </c>
      <c r="M429" s="153" t="s">
        <v>6054</v>
      </c>
      <c r="N429" s="158" t="s">
        <v>6054</v>
      </c>
      <c r="O429" s="153" t="s">
        <v>699</v>
      </c>
      <c r="P429" s="158" t="s">
        <v>3037</v>
      </c>
      <c r="Q429" s="158" t="s">
        <v>160</v>
      </c>
      <c r="R429" s="158" t="s">
        <v>209</v>
      </c>
      <c r="S429" s="158" t="s">
        <v>204</v>
      </c>
      <c r="T429" s="158" t="s">
        <v>149</v>
      </c>
      <c r="U429" s="158" t="s">
        <v>149</v>
      </c>
      <c r="V429" s="153" t="s">
        <v>3036</v>
      </c>
      <c r="W429" s="153" t="s">
        <v>3037</v>
      </c>
      <c r="X429" s="158" t="s">
        <v>6068</v>
      </c>
      <c r="Y429" s="153" t="s">
        <v>3038</v>
      </c>
      <c r="Z429" s="153"/>
      <c r="AA429" s="153"/>
      <c r="AB429" s="158" t="s">
        <v>395</v>
      </c>
      <c r="AC429" s="153" t="s">
        <v>7733</v>
      </c>
      <c r="AD429" s="177" t="s">
        <v>541</v>
      </c>
      <c r="AE429" s="153" t="s">
        <v>398</v>
      </c>
      <c r="AF429" s="153"/>
      <c r="AG429" s="153"/>
    </row>
    <row r="430">
      <c r="A430" s="238">
        <v>2024.0</v>
      </c>
      <c r="B430" s="230">
        <v>432.0</v>
      </c>
      <c r="C430" s="153" t="s">
        <v>625</v>
      </c>
      <c r="D430" s="153" t="s">
        <v>632</v>
      </c>
      <c r="E430" s="153" t="s">
        <v>7175</v>
      </c>
      <c r="F430" s="153" t="s">
        <v>7176</v>
      </c>
      <c r="G430" s="153" t="s">
        <v>934</v>
      </c>
      <c r="H430" s="153"/>
      <c r="I430" s="230">
        <v>2001.0</v>
      </c>
      <c r="J430" s="230">
        <v>2001.0</v>
      </c>
      <c r="K430" s="230">
        <v>2005.0</v>
      </c>
      <c r="L430" s="153" t="s">
        <v>6062</v>
      </c>
      <c r="M430" s="153" t="s">
        <v>3245</v>
      </c>
      <c r="N430" s="158" t="s">
        <v>179</v>
      </c>
      <c r="O430" s="153" t="s">
        <v>939</v>
      </c>
      <c r="P430" s="153" t="s">
        <v>940</v>
      </c>
      <c r="Q430" s="158" t="s">
        <v>6154</v>
      </c>
      <c r="R430" s="158" t="s">
        <v>206</v>
      </c>
      <c r="S430" s="158" t="s">
        <v>204</v>
      </c>
      <c r="T430" s="158" t="s">
        <v>149</v>
      </c>
      <c r="U430" s="158" t="s">
        <v>149</v>
      </c>
      <c r="V430" s="158" t="s">
        <v>149</v>
      </c>
      <c r="W430" s="153" t="s">
        <v>233</v>
      </c>
      <c r="X430" s="158" t="s">
        <v>6068</v>
      </c>
      <c r="Y430" s="153"/>
      <c r="Z430" s="153"/>
      <c r="AA430" s="153"/>
      <c r="AB430" s="158" t="s">
        <v>6214</v>
      </c>
      <c r="AC430" s="153" t="s">
        <v>941</v>
      </c>
      <c r="AD430" s="172" t="s">
        <v>942</v>
      </c>
      <c r="AE430" s="153" t="s">
        <v>943</v>
      </c>
      <c r="AF430" s="153"/>
      <c r="AG430" s="153"/>
    </row>
    <row r="431">
      <c r="A431" s="238">
        <v>2024.0</v>
      </c>
      <c r="B431" s="230">
        <v>433.0</v>
      </c>
      <c r="C431" s="153" t="s">
        <v>625</v>
      </c>
      <c r="D431" s="153" t="s">
        <v>632</v>
      </c>
      <c r="E431" s="153" t="s">
        <v>2697</v>
      </c>
      <c r="F431" s="153" t="s">
        <v>7189</v>
      </c>
      <c r="G431" s="158" t="s">
        <v>149</v>
      </c>
      <c r="H431" s="158" t="s">
        <v>2699</v>
      </c>
      <c r="I431" s="192" t="s">
        <v>149</v>
      </c>
      <c r="J431" s="192" t="s">
        <v>149</v>
      </c>
      <c r="K431" s="192" t="s">
        <v>149</v>
      </c>
      <c r="L431" s="153" t="s">
        <v>151</v>
      </c>
      <c r="M431" s="158" t="s">
        <v>7695</v>
      </c>
      <c r="N431" s="158" t="s">
        <v>7695</v>
      </c>
      <c r="O431" s="158" t="s">
        <v>149</v>
      </c>
      <c r="P431" s="158" t="s">
        <v>149</v>
      </c>
      <c r="Q431" s="158" t="s">
        <v>149</v>
      </c>
      <c r="R431" s="158" t="s">
        <v>149</v>
      </c>
      <c r="S431" s="158" t="s">
        <v>149</v>
      </c>
      <c r="T431" s="158" t="s">
        <v>149</v>
      </c>
      <c r="U431" s="153" t="s">
        <v>7190</v>
      </c>
      <c r="V431" s="158" t="s">
        <v>149</v>
      </c>
      <c r="W431" s="158" t="s">
        <v>149</v>
      </c>
      <c r="X431" s="158" t="s">
        <v>149</v>
      </c>
      <c r="Y431" s="153"/>
      <c r="Z431" s="153"/>
      <c r="AA431" s="153"/>
      <c r="AB431" s="158" t="s">
        <v>395</v>
      </c>
      <c r="AC431" s="153" t="s">
        <v>6060</v>
      </c>
      <c r="AD431" s="177" t="s">
        <v>541</v>
      </c>
      <c r="AE431" s="153" t="s">
        <v>398</v>
      </c>
      <c r="AF431" s="153"/>
      <c r="AG431" s="153"/>
    </row>
    <row r="432">
      <c r="A432" s="238">
        <v>2024.0</v>
      </c>
      <c r="B432" s="230">
        <v>434.0</v>
      </c>
      <c r="C432" s="153" t="s">
        <v>625</v>
      </c>
      <c r="D432" s="153" t="s">
        <v>632</v>
      </c>
      <c r="E432" s="153" t="s">
        <v>2202</v>
      </c>
      <c r="F432" s="153" t="s">
        <v>7737</v>
      </c>
      <c r="G432" s="153" t="s">
        <v>6587</v>
      </c>
      <c r="H432" s="153" t="s">
        <v>7700</v>
      </c>
      <c r="I432" s="158" t="s">
        <v>149</v>
      </c>
      <c r="J432" s="230">
        <v>2012.0</v>
      </c>
      <c r="K432" s="158" t="s">
        <v>149</v>
      </c>
      <c r="L432" s="153" t="s">
        <v>151</v>
      </c>
      <c r="M432" s="158" t="s">
        <v>149</v>
      </c>
      <c r="N432" s="158" t="s">
        <v>149</v>
      </c>
      <c r="O432" s="153" t="s">
        <v>7101</v>
      </c>
      <c r="P432" s="153" t="s">
        <v>341</v>
      </c>
      <c r="Q432" s="158" t="s">
        <v>160</v>
      </c>
      <c r="R432" s="158" t="s">
        <v>6035</v>
      </c>
      <c r="S432" s="158" t="s">
        <v>159</v>
      </c>
      <c r="T432" s="158" t="s">
        <v>149</v>
      </c>
      <c r="U432" s="158" t="s">
        <v>149</v>
      </c>
      <c r="V432" s="158" t="s">
        <v>149</v>
      </c>
      <c r="W432" s="153" t="s">
        <v>2160</v>
      </c>
      <c r="X432" s="153" t="s">
        <v>6035</v>
      </c>
      <c r="Y432" s="153"/>
      <c r="Z432" s="153"/>
      <c r="AA432" s="153"/>
      <c r="AB432" s="158" t="s">
        <v>166</v>
      </c>
      <c r="AC432" s="153" t="s">
        <v>2161</v>
      </c>
      <c r="AD432" s="165" t="s">
        <v>2162</v>
      </c>
      <c r="AE432" s="153"/>
      <c r="AF432" s="153"/>
      <c r="AG432" s="153"/>
    </row>
    <row r="433">
      <c r="A433" s="238">
        <v>2024.0</v>
      </c>
      <c r="B433" s="230">
        <v>435.0</v>
      </c>
      <c r="C433" s="153" t="s">
        <v>625</v>
      </c>
      <c r="D433" s="153" t="s">
        <v>632</v>
      </c>
      <c r="E433" s="153" t="s">
        <v>1667</v>
      </c>
      <c r="F433" s="153" t="s">
        <v>7195</v>
      </c>
      <c r="G433" s="158" t="s">
        <v>149</v>
      </c>
      <c r="H433" s="158" t="s">
        <v>2704</v>
      </c>
      <c r="I433" s="192" t="s">
        <v>149</v>
      </c>
      <c r="J433" s="192" t="s">
        <v>149</v>
      </c>
      <c r="K433" s="192" t="s">
        <v>149</v>
      </c>
      <c r="L433" s="153" t="s">
        <v>151</v>
      </c>
      <c r="M433" s="158" t="s">
        <v>7695</v>
      </c>
      <c r="N433" s="158" t="s">
        <v>7695</v>
      </c>
      <c r="O433" s="158" t="s">
        <v>149</v>
      </c>
      <c r="P433" s="158" t="s">
        <v>149</v>
      </c>
      <c r="Q433" s="158" t="s">
        <v>149</v>
      </c>
      <c r="R433" s="158" t="s">
        <v>149</v>
      </c>
      <c r="S433" s="158" t="s">
        <v>149</v>
      </c>
      <c r="T433" s="158" t="s">
        <v>149</v>
      </c>
      <c r="U433" s="153" t="s">
        <v>7196</v>
      </c>
      <c r="V433" s="158" t="s">
        <v>149</v>
      </c>
      <c r="W433" s="158" t="s">
        <v>149</v>
      </c>
      <c r="X433" s="158" t="s">
        <v>149</v>
      </c>
      <c r="Y433" s="153"/>
      <c r="Z433" s="153"/>
      <c r="AA433" s="153"/>
      <c r="AB433" s="158" t="s">
        <v>395</v>
      </c>
      <c r="AC433" s="153" t="s">
        <v>6060</v>
      </c>
      <c r="AD433" s="177" t="s">
        <v>541</v>
      </c>
      <c r="AE433" s="153" t="s">
        <v>398</v>
      </c>
      <c r="AF433" s="153"/>
      <c r="AG433" s="153"/>
    </row>
    <row r="434">
      <c r="A434" s="238">
        <v>2024.0</v>
      </c>
      <c r="B434" s="230">
        <v>436.0</v>
      </c>
      <c r="C434" s="153" t="s">
        <v>625</v>
      </c>
      <c r="D434" s="153" t="s">
        <v>632</v>
      </c>
      <c r="E434" s="153" t="s">
        <v>633</v>
      </c>
      <c r="F434" s="153" t="s">
        <v>7200</v>
      </c>
      <c r="G434" s="153" t="s">
        <v>384</v>
      </c>
      <c r="H434" s="153" t="s">
        <v>635</v>
      </c>
      <c r="I434" s="230">
        <v>1986.0</v>
      </c>
      <c r="J434" s="230">
        <v>1985.0</v>
      </c>
      <c r="K434" s="230">
        <v>1987.0</v>
      </c>
      <c r="L434" s="153" t="s">
        <v>151</v>
      </c>
      <c r="M434" s="153" t="s">
        <v>6054</v>
      </c>
      <c r="N434" s="158" t="s">
        <v>6054</v>
      </c>
      <c r="O434" s="158" t="s">
        <v>149</v>
      </c>
      <c r="P434" s="153" t="s">
        <v>390</v>
      </c>
      <c r="Q434" s="158" t="s">
        <v>160</v>
      </c>
      <c r="R434" s="158" t="s">
        <v>6035</v>
      </c>
      <c r="S434" s="158" t="s">
        <v>159</v>
      </c>
      <c r="T434" s="158" t="s">
        <v>149</v>
      </c>
      <c r="U434" s="158" t="s">
        <v>149</v>
      </c>
      <c r="V434" s="153" t="s">
        <v>162</v>
      </c>
      <c r="W434" s="153" t="s">
        <v>390</v>
      </c>
      <c r="X434" s="153" t="s">
        <v>6035</v>
      </c>
      <c r="Y434" s="153" t="s">
        <v>6055</v>
      </c>
      <c r="Z434" s="153"/>
      <c r="AA434" s="153"/>
      <c r="AB434" s="158" t="s">
        <v>395</v>
      </c>
      <c r="AC434" s="153" t="s">
        <v>6060</v>
      </c>
      <c r="AD434" s="177" t="s">
        <v>541</v>
      </c>
      <c r="AE434" s="153" t="s">
        <v>398</v>
      </c>
      <c r="AF434" s="153"/>
      <c r="AG434" s="153"/>
    </row>
    <row r="435">
      <c r="A435" s="238">
        <v>2024.0</v>
      </c>
      <c r="B435" s="230">
        <v>437.0</v>
      </c>
      <c r="C435" s="153" t="s">
        <v>625</v>
      </c>
      <c r="D435" s="153" t="s">
        <v>632</v>
      </c>
      <c r="E435" s="153" t="s">
        <v>633</v>
      </c>
      <c r="F435" s="153" t="s">
        <v>7200</v>
      </c>
      <c r="G435" s="158" t="s">
        <v>149</v>
      </c>
      <c r="H435" s="158" t="s">
        <v>2708</v>
      </c>
      <c r="I435" s="192" t="s">
        <v>149</v>
      </c>
      <c r="J435" s="192" t="s">
        <v>149</v>
      </c>
      <c r="K435" s="192" t="s">
        <v>149</v>
      </c>
      <c r="L435" s="153" t="s">
        <v>151</v>
      </c>
      <c r="M435" s="158" t="s">
        <v>7695</v>
      </c>
      <c r="N435" s="158" t="s">
        <v>7695</v>
      </c>
      <c r="O435" s="158" t="s">
        <v>149</v>
      </c>
      <c r="P435" s="158" t="s">
        <v>149</v>
      </c>
      <c r="Q435" s="158" t="s">
        <v>149</v>
      </c>
      <c r="R435" s="158" t="s">
        <v>149</v>
      </c>
      <c r="S435" s="158" t="s">
        <v>149</v>
      </c>
      <c r="T435" s="158" t="s">
        <v>149</v>
      </c>
      <c r="U435" s="153" t="s">
        <v>7203</v>
      </c>
      <c r="V435" s="158" t="s">
        <v>149</v>
      </c>
      <c r="W435" s="158" t="s">
        <v>149</v>
      </c>
      <c r="X435" s="158" t="s">
        <v>149</v>
      </c>
      <c r="Y435" s="153"/>
      <c r="Z435" s="153"/>
      <c r="AA435" s="153"/>
      <c r="AB435" s="158" t="s">
        <v>395</v>
      </c>
      <c r="AC435" s="153" t="s">
        <v>6060</v>
      </c>
      <c r="AD435" s="172" t="s">
        <v>541</v>
      </c>
      <c r="AE435" s="153" t="s">
        <v>398</v>
      </c>
      <c r="AF435" s="153"/>
      <c r="AG435" s="153"/>
    </row>
    <row r="436">
      <c r="A436" s="238">
        <v>2024.0</v>
      </c>
      <c r="B436" s="230">
        <v>438.0</v>
      </c>
      <c r="C436" s="153" t="s">
        <v>625</v>
      </c>
      <c r="D436" s="153" t="s">
        <v>632</v>
      </c>
      <c r="E436" s="153" t="s">
        <v>2206</v>
      </c>
      <c r="F436" s="153" t="s">
        <v>7742</v>
      </c>
      <c r="G436" s="153" t="s">
        <v>6587</v>
      </c>
      <c r="H436" s="153" t="s">
        <v>7700</v>
      </c>
      <c r="I436" s="158" t="s">
        <v>149</v>
      </c>
      <c r="J436" s="230">
        <v>2012.0</v>
      </c>
      <c r="K436" s="158" t="s">
        <v>149</v>
      </c>
      <c r="L436" s="153" t="s">
        <v>151</v>
      </c>
      <c r="M436" s="158" t="s">
        <v>149</v>
      </c>
      <c r="N436" s="158" t="s">
        <v>149</v>
      </c>
      <c r="O436" s="153" t="s">
        <v>7101</v>
      </c>
      <c r="P436" s="153" t="s">
        <v>341</v>
      </c>
      <c r="Q436" s="158" t="s">
        <v>160</v>
      </c>
      <c r="R436" s="158" t="s">
        <v>6035</v>
      </c>
      <c r="S436" s="158" t="s">
        <v>159</v>
      </c>
      <c r="T436" s="158" t="s">
        <v>149</v>
      </c>
      <c r="U436" s="158" t="s">
        <v>149</v>
      </c>
      <c r="V436" s="158" t="s">
        <v>149</v>
      </c>
      <c r="W436" s="153" t="s">
        <v>2160</v>
      </c>
      <c r="X436" s="153" t="s">
        <v>6035</v>
      </c>
      <c r="Y436" s="153"/>
      <c r="Z436" s="153"/>
      <c r="AA436" s="153"/>
      <c r="AB436" s="158" t="s">
        <v>166</v>
      </c>
      <c r="AC436" s="153" t="s">
        <v>2161</v>
      </c>
      <c r="AD436" s="165" t="s">
        <v>2162</v>
      </c>
      <c r="AE436" s="153"/>
      <c r="AF436" s="153"/>
      <c r="AG436" s="153"/>
    </row>
    <row r="437">
      <c r="A437" s="238">
        <v>2024.0</v>
      </c>
      <c r="B437" s="230">
        <v>439.0</v>
      </c>
      <c r="C437" s="153" t="s">
        <v>625</v>
      </c>
      <c r="D437" s="153" t="s">
        <v>632</v>
      </c>
      <c r="E437" s="153" t="s">
        <v>637</v>
      </c>
      <c r="F437" s="153" t="s">
        <v>7206</v>
      </c>
      <c r="G437" s="153" t="s">
        <v>384</v>
      </c>
      <c r="H437" s="153" t="s">
        <v>639</v>
      </c>
      <c r="I437" s="230">
        <v>1986.0</v>
      </c>
      <c r="J437" s="230">
        <v>1985.0</v>
      </c>
      <c r="K437" s="230">
        <v>1987.0</v>
      </c>
      <c r="L437" s="153" t="s">
        <v>151</v>
      </c>
      <c r="M437" s="153" t="s">
        <v>6054</v>
      </c>
      <c r="N437" s="158" t="s">
        <v>6054</v>
      </c>
      <c r="O437" s="158" t="s">
        <v>149</v>
      </c>
      <c r="P437" s="153" t="s">
        <v>390</v>
      </c>
      <c r="Q437" s="158" t="s">
        <v>160</v>
      </c>
      <c r="R437" s="158" t="s">
        <v>6035</v>
      </c>
      <c r="S437" s="158" t="s">
        <v>159</v>
      </c>
      <c r="T437" s="158" t="s">
        <v>149</v>
      </c>
      <c r="U437" s="158" t="s">
        <v>149</v>
      </c>
      <c r="V437" s="153" t="s">
        <v>640</v>
      </c>
      <c r="W437" s="153" t="s">
        <v>390</v>
      </c>
      <c r="X437" s="153" t="s">
        <v>6035</v>
      </c>
      <c r="Y437" s="153" t="s">
        <v>6055</v>
      </c>
      <c r="Z437" s="153"/>
      <c r="AA437" s="153"/>
      <c r="AB437" s="158" t="s">
        <v>395</v>
      </c>
      <c r="AC437" s="153" t="s">
        <v>6060</v>
      </c>
      <c r="AD437" s="177" t="s">
        <v>541</v>
      </c>
      <c r="AE437" s="153" t="s">
        <v>398</v>
      </c>
      <c r="AF437" s="153"/>
      <c r="AG437" s="153"/>
    </row>
    <row r="438">
      <c r="A438" s="238">
        <v>2024.0</v>
      </c>
      <c r="B438" s="230">
        <v>440.0</v>
      </c>
      <c r="C438" s="153" t="s">
        <v>625</v>
      </c>
      <c r="D438" s="153" t="s">
        <v>632</v>
      </c>
      <c r="E438" s="153" t="s">
        <v>637</v>
      </c>
      <c r="F438" s="153" t="s">
        <v>7206</v>
      </c>
      <c r="G438" s="158" t="s">
        <v>149</v>
      </c>
      <c r="H438" s="158" t="s">
        <v>2712</v>
      </c>
      <c r="I438" s="192" t="s">
        <v>149</v>
      </c>
      <c r="J438" s="192" t="s">
        <v>149</v>
      </c>
      <c r="K438" s="192" t="s">
        <v>149</v>
      </c>
      <c r="L438" s="153" t="s">
        <v>151</v>
      </c>
      <c r="M438" s="158" t="s">
        <v>7695</v>
      </c>
      <c r="N438" s="158" t="s">
        <v>7695</v>
      </c>
      <c r="O438" s="158" t="s">
        <v>149</v>
      </c>
      <c r="P438" s="158" t="s">
        <v>149</v>
      </c>
      <c r="Q438" s="158" t="s">
        <v>149</v>
      </c>
      <c r="R438" s="158" t="s">
        <v>149</v>
      </c>
      <c r="S438" s="158" t="s">
        <v>149</v>
      </c>
      <c r="T438" s="158" t="s">
        <v>149</v>
      </c>
      <c r="U438" s="153" t="s">
        <v>7210</v>
      </c>
      <c r="V438" s="158" t="s">
        <v>149</v>
      </c>
      <c r="W438" s="158" t="s">
        <v>149</v>
      </c>
      <c r="X438" s="158" t="s">
        <v>149</v>
      </c>
      <c r="Y438" s="153"/>
      <c r="Z438" s="153"/>
      <c r="AA438" s="153"/>
      <c r="AB438" s="158" t="s">
        <v>395</v>
      </c>
      <c r="AC438" s="153" t="s">
        <v>6060</v>
      </c>
      <c r="AD438" s="158" t="s">
        <v>541</v>
      </c>
      <c r="AE438" s="153" t="s">
        <v>398</v>
      </c>
      <c r="AF438" s="153"/>
      <c r="AG438" s="153"/>
    </row>
    <row r="439">
      <c r="A439" s="238">
        <v>2024.0</v>
      </c>
      <c r="B439" s="230">
        <v>441.0</v>
      </c>
      <c r="C439" s="153" t="s">
        <v>625</v>
      </c>
      <c r="D439" s="153" t="s">
        <v>632</v>
      </c>
      <c r="E439" s="153" t="s">
        <v>637</v>
      </c>
      <c r="F439" s="153" t="s">
        <v>7206</v>
      </c>
      <c r="G439" s="158" t="s">
        <v>149</v>
      </c>
      <c r="H439" s="158" t="s">
        <v>2716</v>
      </c>
      <c r="I439" s="192" t="s">
        <v>149</v>
      </c>
      <c r="J439" s="192" t="s">
        <v>149</v>
      </c>
      <c r="K439" s="192" t="s">
        <v>149</v>
      </c>
      <c r="L439" s="153" t="s">
        <v>151</v>
      </c>
      <c r="M439" s="158" t="s">
        <v>7695</v>
      </c>
      <c r="N439" s="158" t="s">
        <v>7695</v>
      </c>
      <c r="O439" s="158" t="s">
        <v>149</v>
      </c>
      <c r="P439" s="158" t="s">
        <v>149</v>
      </c>
      <c r="Q439" s="158" t="s">
        <v>149</v>
      </c>
      <c r="R439" s="158" t="s">
        <v>149</v>
      </c>
      <c r="S439" s="158" t="s">
        <v>149</v>
      </c>
      <c r="T439" s="158" t="s">
        <v>149</v>
      </c>
      <c r="U439" s="153" t="s">
        <v>7190</v>
      </c>
      <c r="V439" s="158" t="s">
        <v>149</v>
      </c>
      <c r="W439" s="158" t="s">
        <v>149</v>
      </c>
      <c r="X439" s="158" t="s">
        <v>149</v>
      </c>
      <c r="Y439" s="153"/>
      <c r="Z439" s="153"/>
      <c r="AA439" s="153"/>
      <c r="AB439" s="158" t="s">
        <v>395</v>
      </c>
      <c r="AC439" s="153" t="s">
        <v>6060</v>
      </c>
      <c r="AD439" s="158" t="s">
        <v>541</v>
      </c>
      <c r="AE439" s="153" t="s">
        <v>398</v>
      </c>
      <c r="AF439" s="153"/>
      <c r="AG439" s="153"/>
    </row>
    <row r="440">
      <c r="A440" s="238">
        <v>2024.0</v>
      </c>
      <c r="B440" s="230">
        <v>442.0</v>
      </c>
      <c r="C440" s="153" t="s">
        <v>625</v>
      </c>
      <c r="D440" s="153" t="s">
        <v>632</v>
      </c>
      <c r="E440" s="153" t="s">
        <v>637</v>
      </c>
      <c r="F440" s="153" t="s">
        <v>7206</v>
      </c>
      <c r="G440" s="158" t="s">
        <v>149</v>
      </c>
      <c r="H440" s="158" t="s">
        <v>2719</v>
      </c>
      <c r="I440" s="192" t="s">
        <v>149</v>
      </c>
      <c r="J440" s="192" t="s">
        <v>149</v>
      </c>
      <c r="K440" s="192" t="s">
        <v>149</v>
      </c>
      <c r="L440" s="153" t="s">
        <v>151</v>
      </c>
      <c r="M440" s="158" t="s">
        <v>7695</v>
      </c>
      <c r="N440" s="158" t="s">
        <v>7695</v>
      </c>
      <c r="O440" s="158" t="s">
        <v>149</v>
      </c>
      <c r="P440" s="158" t="s">
        <v>149</v>
      </c>
      <c r="Q440" s="158" t="s">
        <v>149</v>
      </c>
      <c r="R440" s="158" t="s">
        <v>149</v>
      </c>
      <c r="S440" s="158" t="s">
        <v>149</v>
      </c>
      <c r="T440" s="158" t="s">
        <v>149</v>
      </c>
      <c r="U440" s="153" t="s">
        <v>7745</v>
      </c>
      <c r="V440" s="158" t="s">
        <v>149</v>
      </c>
      <c r="W440" s="158" t="s">
        <v>149</v>
      </c>
      <c r="X440" s="158" t="s">
        <v>149</v>
      </c>
      <c r="Y440" s="153"/>
      <c r="Z440" s="153"/>
      <c r="AA440" s="153"/>
      <c r="AB440" s="158" t="s">
        <v>395</v>
      </c>
      <c r="AC440" s="153" t="s">
        <v>6060</v>
      </c>
      <c r="AD440" s="177" t="s">
        <v>541</v>
      </c>
      <c r="AE440" s="153" t="s">
        <v>398</v>
      </c>
      <c r="AF440" s="153"/>
      <c r="AG440" s="153"/>
    </row>
    <row r="441">
      <c r="A441" s="238">
        <v>2024.0</v>
      </c>
      <c r="B441" s="230">
        <v>443.0</v>
      </c>
      <c r="C441" s="153" t="s">
        <v>625</v>
      </c>
      <c r="D441" s="153" t="s">
        <v>632</v>
      </c>
      <c r="E441" s="153" t="s">
        <v>637</v>
      </c>
      <c r="F441" s="153" t="s">
        <v>7206</v>
      </c>
      <c r="G441" s="153" t="s">
        <v>756</v>
      </c>
      <c r="H441" s="153" t="s">
        <v>757</v>
      </c>
      <c r="I441" s="230">
        <v>2016.0</v>
      </c>
      <c r="J441" s="192">
        <v>2016.0</v>
      </c>
      <c r="K441" s="192" t="s">
        <v>149</v>
      </c>
      <c r="L441" s="153" t="s">
        <v>151</v>
      </c>
      <c r="M441" s="153" t="s">
        <v>7747</v>
      </c>
      <c r="N441" s="158" t="s">
        <v>7747</v>
      </c>
      <c r="O441" s="153" t="s">
        <v>759</v>
      </c>
      <c r="P441" s="153" t="s">
        <v>760</v>
      </c>
      <c r="Q441" s="158" t="s">
        <v>160</v>
      </c>
      <c r="R441" s="158" t="s">
        <v>6035</v>
      </c>
      <c r="S441" s="158" t="s">
        <v>159</v>
      </c>
      <c r="T441" s="158" t="s">
        <v>149</v>
      </c>
      <c r="U441" s="158" t="s">
        <v>149</v>
      </c>
      <c r="V441" s="153" t="s">
        <v>7748</v>
      </c>
      <c r="W441" s="153" t="s">
        <v>7749</v>
      </c>
      <c r="X441" s="153" t="s">
        <v>6035</v>
      </c>
      <c r="Y441" s="158" t="s">
        <v>764</v>
      </c>
      <c r="Z441" s="153" t="s">
        <v>765</v>
      </c>
      <c r="AA441" s="153"/>
      <c r="AB441" s="158" t="s">
        <v>166</v>
      </c>
      <c r="AC441" s="153" t="s">
        <v>766</v>
      </c>
      <c r="AD441" s="172" t="s">
        <v>767</v>
      </c>
      <c r="AE441" s="153"/>
      <c r="AF441" s="153"/>
      <c r="AG441" s="153"/>
    </row>
    <row r="442">
      <c r="A442" s="238">
        <v>2024.0</v>
      </c>
      <c r="B442" s="230">
        <v>444.0</v>
      </c>
      <c r="C442" s="153" t="s">
        <v>625</v>
      </c>
      <c r="D442" s="153" t="s">
        <v>826</v>
      </c>
      <c r="E442" s="153" t="s">
        <v>2210</v>
      </c>
      <c r="F442" s="153" t="s">
        <v>2211</v>
      </c>
      <c r="G442" s="153" t="s">
        <v>6587</v>
      </c>
      <c r="H442" s="153" t="s">
        <v>7100</v>
      </c>
      <c r="I442" s="158" t="s">
        <v>149</v>
      </c>
      <c r="J442" s="230">
        <v>2012.0</v>
      </c>
      <c r="K442" s="158" t="s">
        <v>149</v>
      </c>
      <c r="L442" s="153" t="s">
        <v>151</v>
      </c>
      <c r="M442" s="158" t="s">
        <v>149</v>
      </c>
      <c r="N442" s="158" t="s">
        <v>149</v>
      </c>
      <c r="O442" s="153" t="s">
        <v>7101</v>
      </c>
      <c r="P442" s="153" t="s">
        <v>341</v>
      </c>
      <c r="Q442" s="158" t="s">
        <v>160</v>
      </c>
      <c r="R442" s="158" t="s">
        <v>6035</v>
      </c>
      <c r="S442" s="158" t="s">
        <v>159</v>
      </c>
      <c r="T442" s="158" t="s">
        <v>149</v>
      </c>
      <c r="U442" s="158" t="s">
        <v>149</v>
      </c>
      <c r="V442" s="158" t="s">
        <v>149</v>
      </c>
      <c r="W442" s="153" t="s">
        <v>2160</v>
      </c>
      <c r="X442" s="153" t="s">
        <v>6035</v>
      </c>
      <c r="Y442" s="153"/>
      <c r="Z442" s="153"/>
      <c r="AA442" s="153"/>
      <c r="AB442" s="158" t="s">
        <v>166</v>
      </c>
      <c r="AC442" s="153" t="s">
        <v>2161</v>
      </c>
      <c r="AD442" s="165" t="s">
        <v>2162</v>
      </c>
      <c r="AE442" s="153"/>
      <c r="AF442" s="153"/>
      <c r="AG442" s="153"/>
    </row>
    <row r="443">
      <c r="A443" s="238">
        <v>2024.0</v>
      </c>
      <c r="B443" s="230">
        <v>445.0</v>
      </c>
      <c r="C443" s="153" t="s">
        <v>625</v>
      </c>
      <c r="D443" s="153" t="s">
        <v>826</v>
      </c>
      <c r="E443" s="153" t="s">
        <v>827</v>
      </c>
      <c r="F443" s="153" t="s">
        <v>828</v>
      </c>
      <c r="G443" s="153" t="s">
        <v>6587</v>
      </c>
      <c r="H443" s="153" t="s">
        <v>7752</v>
      </c>
      <c r="I443" s="158" t="s">
        <v>149</v>
      </c>
      <c r="J443" s="230">
        <v>2012.0</v>
      </c>
      <c r="K443" s="158" t="s">
        <v>149</v>
      </c>
      <c r="L443" s="153" t="s">
        <v>151</v>
      </c>
      <c r="M443" s="158" t="s">
        <v>149</v>
      </c>
      <c r="N443" s="158" t="s">
        <v>149</v>
      </c>
      <c r="O443" s="153" t="s">
        <v>7101</v>
      </c>
      <c r="P443" s="153" t="s">
        <v>341</v>
      </c>
      <c r="Q443" s="158" t="s">
        <v>160</v>
      </c>
      <c r="R443" s="158" t="s">
        <v>6035</v>
      </c>
      <c r="S443" s="158" t="s">
        <v>159</v>
      </c>
      <c r="T443" s="158" t="s">
        <v>149</v>
      </c>
      <c r="U443" s="158" t="s">
        <v>149</v>
      </c>
      <c r="V443" s="158" t="s">
        <v>149</v>
      </c>
      <c r="W443" s="153" t="s">
        <v>2160</v>
      </c>
      <c r="X443" s="153" t="s">
        <v>6035</v>
      </c>
      <c r="Y443" s="153"/>
      <c r="Z443" s="153"/>
      <c r="AA443" s="153"/>
      <c r="AB443" s="158" t="s">
        <v>166</v>
      </c>
      <c r="AC443" s="153" t="s">
        <v>2161</v>
      </c>
      <c r="AD443" s="165" t="s">
        <v>2162</v>
      </c>
      <c r="AE443" s="153"/>
      <c r="AF443" s="153"/>
      <c r="AG443" s="153"/>
    </row>
    <row r="444">
      <c r="A444" s="238">
        <v>2024.0</v>
      </c>
      <c r="B444" s="230">
        <v>446.0</v>
      </c>
      <c r="C444" s="153" t="s">
        <v>625</v>
      </c>
      <c r="D444" s="153" t="s">
        <v>826</v>
      </c>
      <c r="E444" s="153" t="s">
        <v>827</v>
      </c>
      <c r="F444" s="153" t="s">
        <v>828</v>
      </c>
      <c r="G444" s="158" t="s">
        <v>816</v>
      </c>
      <c r="H444" s="153" t="s">
        <v>829</v>
      </c>
      <c r="I444" s="192">
        <v>1988.0</v>
      </c>
      <c r="J444" s="192">
        <v>1984.0</v>
      </c>
      <c r="K444" s="192">
        <v>1992.0</v>
      </c>
      <c r="L444" s="153" t="s">
        <v>151</v>
      </c>
      <c r="M444" s="158" t="s">
        <v>152</v>
      </c>
      <c r="N444" s="158" t="s">
        <v>152</v>
      </c>
      <c r="O444" s="158" t="s">
        <v>819</v>
      </c>
      <c r="P444" s="158" t="s">
        <v>820</v>
      </c>
      <c r="Q444" s="158" t="s">
        <v>6154</v>
      </c>
      <c r="R444" s="158" t="s">
        <v>206</v>
      </c>
      <c r="S444" s="158" t="s">
        <v>159</v>
      </c>
      <c r="T444" s="158" t="s">
        <v>149</v>
      </c>
      <c r="U444" s="158" t="s">
        <v>149</v>
      </c>
      <c r="V444" s="158" t="s">
        <v>149</v>
      </c>
      <c r="W444" s="158" t="s">
        <v>830</v>
      </c>
      <c r="X444" s="158" t="s">
        <v>6035</v>
      </c>
      <c r="Y444" s="158" t="s">
        <v>822</v>
      </c>
      <c r="Z444" s="153"/>
      <c r="AA444" s="153"/>
      <c r="AB444" s="158" t="s">
        <v>6084</v>
      </c>
      <c r="AC444" s="153" t="s">
        <v>823</v>
      </c>
      <c r="AD444" s="172" t="s">
        <v>824</v>
      </c>
      <c r="AE444" s="153"/>
      <c r="AF444" s="153"/>
      <c r="AG444" s="153"/>
    </row>
    <row r="445">
      <c r="A445" s="238">
        <v>2024.0</v>
      </c>
      <c r="B445" s="230">
        <v>447.0</v>
      </c>
      <c r="C445" s="153" t="s">
        <v>642</v>
      </c>
      <c r="D445" s="153" t="s">
        <v>1333</v>
      </c>
      <c r="E445" s="153" t="s">
        <v>1334</v>
      </c>
      <c r="F445" s="153" t="s">
        <v>1335</v>
      </c>
      <c r="G445" s="153" t="s">
        <v>1309</v>
      </c>
      <c r="H445" s="153"/>
      <c r="I445" s="230">
        <v>2020.0</v>
      </c>
      <c r="J445" s="192">
        <v>2016.0</v>
      </c>
      <c r="K445" s="192">
        <v>2020.0</v>
      </c>
      <c r="L445" s="153" t="s">
        <v>151</v>
      </c>
      <c r="M445" s="158" t="s">
        <v>149</v>
      </c>
      <c r="N445" s="158" t="s">
        <v>149</v>
      </c>
      <c r="O445" s="158" t="s">
        <v>6910</v>
      </c>
      <c r="P445" s="158" t="s">
        <v>1327</v>
      </c>
      <c r="Q445" s="158" t="s">
        <v>6154</v>
      </c>
      <c r="R445" s="158" t="s">
        <v>206</v>
      </c>
      <c r="S445" s="158" t="s">
        <v>159</v>
      </c>
      <c r="T445" s="158" t="s">
        <v>149</v>
      </c>
      <c r="U445" s="158" t="s">
        <v>149</v>
      </c>
      <c r="V445" s="153" t="s">
        <v>1336</v>
      </c>
      <c r="W445" s="153" t="s">
        <v>390</v>
      </c>
      <c r="X445" s="153" t="s">
        <v>6035</v>
      </c>
      <c r="Y445" s="153" t="s">
        <v>369</v>
      </c>
      <c r="Z445" s="153"/>
      <c r="AA445" s="153"/>
      <c r="AB445" s="153" t="s">
        <v>6084</v>
      </c>
      <c r="AC445" s="153" t="s">
        <v>1330</v>
      </c>
      <c r="AD445" s="165" t="s">
        <v>1331</v>
      </c>
      <c r="AE445" s="153"/>
      <c r="AF445" s="153"/>
      <c r="AG445" s="153"/>
    </row>
    <row r="446">
      <c r="A446" s="238">
        <v>2024.0</v>
      </c>
      <c r="B446" s="230">
        <v>448.0</v>
      </c>
      <c r="C446" s="153" t="s">
        <v>642</v>
      </c>
      <c r="D446" s="153" t="s">
        <v>1333</v>
      </c>
      <c r="E446" s="153" t="s">
        <v>1338</v>
      </c>
      <c r="F446" s="153" t="s">
        <v>1339</v>
      </c>
      <c r="G446" s="153" t="s">
        <v>1309</v>
      </c>
      <c r="H446" s="153" t="s">
        <v>1340</v>
      </c>
      <c r="I446" s="230">
        <v>2020.0</v>
      </c>
      <c r="J446" s="192">
        <v>2016.0</v>
      </c>
      <c r="K446" s="192">
        <v>2020.0</v>
      </c>
      <c r="L446" s="153" t="s">
        <v>151</v>
      </c>
      <c r="M446" s="158" t="s">
        <v>149</v>
      </c>
      <c r="N446" s="158" t="s">
        <v>149</v>
      </c>
      <c r="O446" s="158" t="s">
        <v>6910</v>
      </c>
      <c r="P446" s="158" t="s">
        <v>1327</v>
      </c>
      <c r="Q446" s="158" t="s">
        <v>6154</v>
      </c>
      <c r="R446" s="158" t="s">
        <v>206</v>
      </c>
      <c r="S446" s="158" t="s">
        <v>159</v>
      </c>
      <c r="T446" s="158" t="s">
        <v>149</v>
      </c>
      <c r="U446" s="158" t="s">
        <v>149</v>
      </c>
      <c r="V446" s="153" t="s">
        <v>1341</v>
      </c>
      <c r="W446" s="153" t="s">
        <v>390</v>
      </c>
      <c r="X446" s="153" t="s">
        <v>6035</v>
      </c>
      <c r="Y446" s="153" t="s">
        <v>369</v>
      </c>
      <c r="Z446" s="153"/>
      <c r="AA446" s="153"/>
      <c r="AB446" s="153" t="s">
        <v>6084</v>
      </c>
      <c r="AC446" s="153" t="s">
        <v>1330</v>
      </c>
      <c r="AD446" s="172" t="s">
        <v>1331</v>
      </c>
      <c r="AE446" s="153"/>
      <c r="AF446" s="153"/>
      <c r="AG446" s="153"/>
    </row>
    <row r="447">
      <c r="A447" s="238">
        <v>2024.0</v>
      </c>
      <c r="B447" s="192"/>
      <c r="C447" s="158" t="s">
        <v>642</v>
      </c>
      <c r="D447" s="158" t="s">
        <v>1333</v>
      </c>
      <c r="E447" s="158" t="s">
        <v>1338</v>
      </c>
      <c r="F447" s="158" t="s">
        <v>1339</v>
      </c>
      <c r="G447" s="158" t="s">
        <v>1309</v>
      </c>
      <c r="H447" s="158" t="s">
        <v>1344</v>
      </c>
      <c r="I447" s="192">
        <v>2020.0</v>
      </c>
      <c r="J447" s="192">
        <v>2016.0</v>
      </c>
      <c r="K447" s="192">
        <v>2020.0</v>
      </c>
      <c r="L447" s="158" t="s">
        <v>151</v>
      </c>
      <c r="M447" s="158" t="s">
        <v>149</v>
      </c>
      <c r="N447" s="158" t="s">
        <v>149</v>
      </c>
      <c r="O447" s="158" t="s">
        <v>6910</v>
      </c>
      <c r="P447" s="158" t="s">
        <v>1327</v>
      </c>
      <c r="Q447" s="158" t="s">
        <v>6154</v>
      </c>
      <c r="R447" s="158" t="s">
        <v>206</v>
      </c>
      <c r="S447" s="158" t="s">
        <v>159</v>
      </c>
      <c r="T447" s="158" t="s">
        <v>149</v>
      </c>
      <c r="U447" s="158" t="s">
        <v>149</v>
      </c>
      <c r="V447" s="158" t="s">
        <v>1345</v>
      </c>
      <c r="W447" s="158" t="s">
        <v>390</v>
      </c>
      <c r="X447" s="158" t="s">
        <v>6035</v>
      </c>
      <c r="Y447" s="158" t="s">
        <v>369</v>
      </c>
      <c r="Z447" s="158"/>
      <c r="AA447" s="158"/>
      <c r="AB447" s="158" t="s">
        <v>6084</v>
      </c>
      <c r="AC447" s="158" t="s">
        <v>1330</v>
      </c>
      <c r="AD447" s="177" t="s">
        <v>1331</v>
      </c>
      <c r="AE447" s="158"/>
      <c r="AF447" s="158"/>
      <c r="AG447" s="158"/>
    </row>
    <row r="448">
      <c r="A448" s="238">
        <v>2024.0</v>
      </c>
      <c r="B448" s="230">
        <v>449.0</v>
      </c>
      <c r="C448" s="153" t="s">
        <v>642</v>
      </c>
      <c r="D448" s="153" t="s">
        <v>1333</v>
      </c>
      <c r="E448" s="153" t="s">
        <v>1347</v>
      </c>
      <c r="F448" s="153" t="s">
        <v>1348</v>
      </c>
      <c r="G448" s="153" t="s">
        <v>1309</v>
      </c>
      <c r="H448" s="153" t="s">
        <v>1349</v>
      </c>
      <c r="I448" s="230">
        <v>2020.0</v>
      </c>
      <c r="J448" s="192">
        <v>2016.0</v>
      </c>
      <c r="K448" s="192">
        <v>2020.0</v>
      </c>
      <c r="L448" s="153" t="s">
        <v>151</v>
      </c>
      <c r="M448" s="158" t="s">
        <v>149</v>
      </c>
      <c r="N448" s="158" t="s">
        <v>149</v>
      </c>
      <c r="O448" s="158" t="s">
        <v>6910</v>
      </c>
      <c r="P448" s="158" t="s">
        <v>1327</v>
      </c>
      <c r="Q448" s="158" t="s">
        <v>6154</v>
      </c>
      <c r="R448" s="158" t="s">
        <v>206</v>
      </c>
      <c r="S448" s="158" t="s">
        <v>159</v>
      </c>
      <c r="T448" s="158" t="s">
        <v>149</v>
      </c>
      <c r="U448" s="158" t="s">
        <v>149</v>
      </c>
      <c r="V448" s="153" t="s">
        <v>1350</v>
      </c>
      <c r="W448" s="153" t="s">
        <v>390</v>
      </c>
      <c r="X448" s="153" t="s">
        <v>6035</v>
      </c>
      <c r="Y448" s="153" t="s">
        <v>369</v>
      </c>
      <c r="Z448" s="153"/>
      <c r="AA448" s="153"/>
      <c r="AB448" s="153" t="s">
        <v>6084</v>
      </c>
      <c r="AC448" s="153" t="s">
        <v>1330</v>
      </c>
      <c r="AD448" s="153" t="s">
        <v>1331</v>
      </c>
      <c r="AE448" s="153"/>
      <c r="AF448" s="153"/>
      <c r="AG448" s="153"/>
    </row>
    <row r="449">
      <c r="A449" s="238">
        <v>2024.0</v>
      </c>
      <c r="B449" s="230">
        <v>450.0</v>
      </c>
      <c r="C449" s="153" t="s">
        <v>642</v>
      </c>
      <c r="D449" s="153" t="s">
        <v>2528</v>
      </c>
      <c r="E449" s="153" t="s">
        <v>2529</v>
      </c>
      <c r="F449" s="153" t="s">
        <v>2530</v>
      </c>
      <c r="G449" s="158" t="s">
        <v>1309</v>
      </c>
      <c r="H449" s="153" t="s">
        <v>2531</v>
      </c>
      <c r="I449" s="192">
        <v>2022.0</v>
      </c>
      <c r="J449" s="192" t="s">
        <v>149</v>
      </c>
      <c r="K449" s="192" t="s">
        <v>149</v>
      </c>
      <c r="L449" s="153" t="s">
        <v>6062</v>
      </c>
      <c r="M449" s="153" t="s">
        <v>320</v>
      </c>
      <c r="N449" s="158" t="s">
        <v>179</v>
      </c>
      <c r="O449" s="158" t="s">
        <v>1311</v>
      </c>
      <c r="P449" s="158" t="s">
        <v>149</v>
      </c>
      <c r="Q449" s="158" t="s">
        <v>149</v>
      </c>
      <c r="R449" s="158" t="s">
        <v>149</v>
      </c>
      <c r="S449" s="158" t="s">
        <v>159</v>
      </c>
      <c r="T449" s="158" t="s">
        <v>149</v>
      </c>
      <c r="U449" s="158" t="s">
        <v>149</v>
      </c>
      <c r="V449" s="158" t="s">
        <v>1360</v>
      </c>
      <c r="W449" s="158" t="s">
        <v>1314</v>
      </c>
      <c r="X449" s="153" t="s">
        <v>6035</v>
      </c>
      <c r="Y449" s="158" t="s">
        <v>7758</v>
      </c>
      <c r="Z449" s="153"/>
      <c r="AA449" s="153"/>
      <c r="AB449" s="158" t="s">
        <v>166</v>
      </c>
      <c r="AC449" s="158" t="s">
        <v>7759</v>
      </c>
      <c r="AD449" s="177" t="s">
        <v>2535</v>
      </c>
      <c r="AE449" s="153"/>
      <c r="AF449" s="153"/>
      <c r="AG449" s="153"/>
    </row>
    <row r="450">
      <c r="A450" s="238">
        <v>2024.0</v>
      </c>
      <c r="B450" s="192">
        <v>451.0</v>
      </c>
      <c r="C450" s="158" t="s">
        <v>642</v>
      </c>
      <c r="D450" s="158" t="s">
        <v>643</v>
      </c>
      <c r="E450" s="158" t="s">
        <v>7691</v>
      </c>
      <c r="F450" s="158" t="s">
        <v>1308</v>
      </c>
      <c r="G450" s="158" t="s">
        <v>1309</v>
      </c>
      <c r="H450" s="158" t="s">
        <v>1310</v>
      </c>
      <c r="I450" s="192">
        <v>2021.0</v>
      </c>
      <c r="J450" s="192" t="s">
        <v>149</v>
      </c>
      <c r="K450" s="192" t="s">
        <v>149</v>
      </c>
      <c r="L450" s="158" t="s">
        <v>6062</v>
      </c>
      <c r="M450" s="158" t="s">
        <v>320</v>
      </c>
      <c r="N450" s="158" t="s">
        <v>179</v>
      </c>
      <c r="O450" s="158" t="s">
        <v>1311</v>
      </c>
      <c r="P450" s="158" t="s">
        <v>149</v>
      </c>
      <c r="Q450" s="158" t="s">
        <v>149</v>
      </c>
      <c r="R450" s="158" t="s">
        <v>149</v>
      </c>
      <c r="S450" s="158" t="s">
        <v>159</v>
      </c>
      <c r="T450" s="158" t="s">
        <v>149</v>
      </c>
      <c r="U450" s="158" t="s">
        <v>149</v>
      </c>
      <c r="V450" s="158" t="s">
        <v>149</v>
      </c>
      <c r="W450" s="158" t="s">
        <v>1314</v>
      </c>
      <c r="X450" s="158" t="s">
        <v>6035</v>
      </c>
      <c r="Y450" s="158" t="s">
        <v>7758</v>
      </c>
      <c r="Z450" s="158"/>
      <c r="AA450" s="158"/>
      <c r="AB450" s="158" t="s">
        <v>6038</v>
      </c>
      <c r="AC450" s="158" t="s">
        <v>1316</v>
      </c>
      <c r="AD450" s="172" t="s">
        <v>1317</v>
      </c>
      <c r="AE450" s="158"/>
      <c r="AF450" s="158"/>
      <c r="AG450" s="158"/>
    </row>
    <row r="451">
      <c r="A451" s="238">
        <v>2024.0</v>
      </c>
      <c r="B451" s="192"/>
      <c r="C451" s="158" t="s">
        <v>642</v>
      </c>
      <c r="D451" s="158" t="s">
        <v>643</v>
      </c>
      <c r="E451" s="158" t="s">
        <v>7691</v>
      </c>
      <c r="F451" s="158" t="s">
        <v>1308</v>
      </c>
      <c r="G451" s="158" t="s">
        <v>1309</v>
      </c>
      <c r="H451" s="158" t="s">
        <v>1319</v>
      </c>
      <c r="I451" s="192">
        <v>2021.0</v>
      </c>
      <c r="J451" s="192" t="s">
        <v>149</v>
      </c>
      <c r="K451" s="192" t="s">
        <v>149</v>
      </c>
      <c r="L451" s="158" t="s">
        <v>6062</v>
      </c>
      <c r="M451" s="158" t="s">
        <v>320</v>
      </c>
      <c r="N451" s="158" t="s">
        <v>179</v>
      </c>
      <c r="O451" s="158" t="s">
        <v>1311</v>
      </c>
      <c r="P451" s="158" t="s">
        <v>149</v>
      </c>
      <c r="Q451" s="158" t="s">
        <v>149</v>
      </c>
      <c r="R451" s="158" t="s">
        <v>149</v>
      </c>
      <c r="S451" s="158" t="s">
        <v>159</v>
      </c>
      <c r="T451" s="158" t="s">
        <v>149</v>
      </c>
      <c r="U451" s="158" t="s">
        <v>149</v>
      </c>
      <c r="V451" s="158" t="s">
        <v>149</v>
      </c>
      <c r="W451" s="158" t="s">
        <v>1314</v>
      </c>
      <c r="X451" s="158" t="s">
        <v>6035</v>
      </c>
      <c r="Y451" s="158" t="s">
        <v>7758</v>
      </c>
      <c r="Z451" s="158"/>
      <c r="AA451" s="158"/>
      <c r="AB451" s="158" t="s">
        <v>6038</v>
      </c>
      <c r="AC451" s="158" t="s">
        <v>1316</v>
      </c>
      <c r="AD451" s="177" t="s">
        <v>1317</v>
      </c>
      <c r="AE451" s="158"/>
      <c r="AF451" s="158"/>
      <c r="AG451" s="158"/>
    </row>
    <row r="452">
      <c r="A452" s="238">
        <v>2024.0</v>
      </c>
      <c r="B452" s="192"/>
      <c r="C452" s="158" t="s">
        <v>642</v>
      </c>
      <c r="D452" s="158" t="s">
        <v>643</v>
      </c>
      <c r="E452" s="158" t="s">
        <v>7691</v>
      </c>
      <c r="F452" s="158" t="s">
        <v>1308</v>
      </c>
      <c r="G452" s="158" t="s">
        <v>1309</v>
      </c>
      <c r="H452" s="158" t="s">
        <v>1321</v>
      </c>
      <c r="I452" s="192">
        <v>2021.0</v>
      </c>
      <c r="J452" s="192" t="s">
        <v>149</v>
      </c>
      <c r="K452" s="192" t="s">
        <v>149</v>
      </c>
      <c r="L452" s="158" t="s">
        <v>6062</v>
      </c>
      <c r="M452" s="158" t="s">
        <v>320</v>
      </c>
      <c r="N452" s="158" t="s">
        <v>179</v>
      </c>
      <c r="O452" s="158" t="s">
        <v>1311</v>
      </c>
      <c r="P452" s="158" t="s">
        <v>149</v>
      </c>
      <c r="Q452" s="158" t="s">
        <v>149</v>
      </c>
      <c r="R452" s="158" t="s">
        <v>149</v>
      </c>
      <c r="S452" s="158" t="s">
        <v>159</v>
      </c>
      <c r="T452" s="158" t="s">
        <v>149</v>
      </c>
      <c r="U452" s="158" t="s">
        <v>149</v>
      </c>
      <c r="V452" s="158" t="s">
        <v>149</v>
      </c>
      <c r="W452" s="158" t="s">
        <v>1314</v>
      </c>
      <c r="X452" s="158" t="s">
        <v>6035</v>
      </c>
      <c r="Y452" s="158" t="s">
        <v>7758</v>
      </c>
      <c r="Z452" s="158"/>
      <c r="AA452" s="158"/>
      <c r="AB452" s="158" t="s">
        <v>6038</v>
      </c>
      <c r="AC452" s="158" t="s">
        <v>1316</v>
      </c>
      <c r="AD452" s="177" t="s">
        <v>1317</v>
      </c>
      <c r="AE452" s="158"/>
      <c r="AF452" s="158"/>
      <c r="AG452" s="158"/>
    </row>
    <row r="453">
      <c r="A453" s="238">
        <v>2024.0</v>
      </c>
      <c r="B453" s="192"/>
      <c r="C453" s="158" t="s">
        <v>642</v>
      </c>
      <c r="D453" s="158" t="s">
        <v>643</v>
      </c>
      <c r="E453" s="158" t="s">
        <v>7691</v>
      </c>
      <c r="F453" s="158" t="s">
        <v>1308</v>
      </c>
      <c r="G453" s="158" t="s">
        <v>149</v>
      </c>
      <c r="H453" s="158" t="s">
        <v>2323</v>
      </c>
      <c r="I453" s="192">
        <v>2024.0</v>
      </c>
      <c r="J453" s="192" t="s">
        <v>149</v>
      </c>
      <c r="K453" s="192" t="s">
        <v>149</v>
      </c>
      <c r="L453" s="158" t="s">
        <v>6062</v>
      </c>
      <c r="M453" s="158" t="s">
        <v>7762</v>
      </c>
      <c r="N453" s="158" t="s">
        <v>179</v>
      </c>
      <c r="O453" s="158" t="s">
        <v>7763</v>
      </c>
      <c r="P453" s="158" t="s">
        <v>149</v>
      </c>
      <c r="Q453" s="158" t="s">
        <v>149</v>
      </c>
      <c r="R453" s="158" t="s">
        <v>149</v>
      </c>
      <c r="S453" s="158" t="s">
        <v>159</v>
      </c>
      <c r="T453" s="158" t="s">
        <v>149</v>
      </c>
      <c r="U453" s="158" t="s">
        <v>149</v>
      </c>
      <c r="V453" s="158" t="s">
        <v>149</v>
      </c>
      <c r="W453" s="158" t="s">
        <v>1314</v>
      </c>
      <c r="X453" s="158" t="s">
        <v>6035</v>
      </c>
      <c r="Y453" s="158" t="s">
        <v>7758</v>
      </c>
      <c r="Z453" s="158"/>
      <c r="AA453" s="158"/>
      <c r="AB453" s="158" t="s">
        <v>166</v>
      </c>
      <c r="AC453" s="158" t="s">
        <v>7764</v>
      </c>
      <c r="AD453" s="177" t="s">
        <v>2328</v>
      </c>
      <c r="AE453" s="158"/>
      <c r="AF453" s="158"/>
      <c r="AG453" s="158"/>
    </row>
    <row r="454">
      <c r="A454" s="238">
        <v>2024.0</v>
      </c>
      <c r="B454" s="230">
        <v>452.0</v>
      </c>
      <c r="C454" s="153" t="s">
        <v>642</v>
      </c>
      <c r="D454" s="153" t="s">
        <v>643</v>
      </c>
      <c r="E454" s="153" t="s">
        <v>644</v>
      </c>
      <c r="F454" s="153" t="s">
        <v>645</v>
      </c>
      <c r="G454" s="153" t="s">
        <v>384</v>
      </c>
      <c r="H454" s="153" t="s">
        <v>646</v>
      </c>
      <c r="I454" s="230">
        <v>1986.0</v>
      </c>
      <c r="J454" s="230">
        <v>1985.0</v>
      </c>
      <c r="K454" s="230">
        <v>1987.0</v>
      </c>
      <c r="L454" s="153" t="s">
        <v>151</v>
      </c>
      <c r="M454" s="153" t="s">
        <v>6054</v>
      </c>
      <c r="N454" s="158" t="s">
        <v>6054</v>
      </c>
      <c r="O454" s="158" t="s">
        <v>149</v>
      </c>
      <c r="P454" s="153" t="s">
        <v>390</v>
      </c>
      <c r="Q454" s="158" t="s">
        <v>160</v>
      </c>
      <c r="R454" s="158" t="s">
        <v>6035</v>
      </c>
      <c r="S454" s="158" t="s">
        <v>159</v>
      </c>
      <c r="T454" s="158" t="s">
        <v>149</v>
      </c>
      <c r="U454" s="158" t="s">
        <v>149</v>
      </c>
      <c r="V454" s="158" t="s">
        <v>149</v>
      </c>
      <c r="W454" s="153" t="s">
        <v>390</v>
      </c>
      <c r="X454" s="153" t="s">
        <v>6035</v>
      </c>
      <c r="Y454" s="153" t="s">
        <v>6055</v>
      </c>
      <c r="Z454" s="153"/>
      <c r="AA454" s="153"/>
      <c r="AB454" s="158" t="s">
        <v>395</v>
      </c>
      <c r="AC454" s="153" t="s">
        <v>6060</v>
      </c>
      <c r="AD454" s="172" t="s">
        <v>541</v>
      </c>
      <c r="AE454" s="153" t="s">
        <v>398</v>
      </c>
      <c r="AF454" s="153"/>
      <c r="AG454" s="153"/>
    </row>
    <row r="455">
      <c r="A455" s="238">
        <v>2024.0</v>
      </c>
      <c r="B455" s="230">
        <v>453.0</v>
      </c>
      <c r="C455" s="153" t="s">
        <v>642</v>
      </c>
      <c r="D455" s="153" t="s">
        <v>643</v>
      </c>
      <c r="E455" s="153" t="s">
        <v>644</v>
      </c>
      <c r="F455" s="153" t="s">
        <v>645</v>
      </c>
      <c r="G455" s="153" t="s">
        <v>1309</v>
      </c>
      <c r="H455" s="153" t="s">
        <v>1352</v>
      </c>
      <c r="I455" s="230">
        <v>2020.0</v>
      </c>
      <c r="J455" s="192">
        <v>2016.0</v>
      </c>
      <c r="K455" s="192">
        <v>2020.0</v>
      </c>
      <c r="L455" s="153" t="s">
        <v>151</v>
      </c>
      <c r="M455" s="158" t="s">
        <v>149</v>
      </c>
      <c r="N455" s="158" t="s">
        <v>149</v>
      </c>
      <c r="O455" s="158" t="s">
        <v>6910</v>
      </c>
      <c r="P455" s="158" t="s">
        <v>1327</v>
      </c>
      <c r="Q455" s="158" t="s">
        <v>6154</v>
      </c>
      <c r="R455" s="158" t="s">
        <v>206</v>
      </c>
      <c r="S455" s="158" t="s">
        <v>159</v>
      </c>
      <c r="T455" s="158" t="s">
        <v>149</v>
      </c>
      <c r="U455" s="158" t="s">
        <v>149</v>
      </c>
      <c r="V455" s="153" t="s">
        <v>1353</v>
      </c>
      <c r="W455" s="153" t="s">
        <v>390</v>
      </c>
      <c r="X455" s="153" t="s">
        <v>6035</v>
      </c>
      <c r="Y455" s="158" t="s">
        <v>369</v>
      </c>
      <c r="Z455" s="153"/>
      <c r="AA455" s="153"/>
      <c r="AB455" s="153" t="s">
        <v>6084</v>
      </c>
      <c r="AC455" s="153" t="s">
        <v>1330</v>
      </c>
      <c r="AD455" s="177" t="s">
        <v>1331</v>
      </c>
      <c r="AE455" s="153"/>
      <c r="AF455" s="153"/>
      <c r="AG455" s="153"/>
    </row>
    <row r="456">
      <c r="A456" s="238">
        <v>2024.0</v>
      </c>
      <c r="B456" s="192"/>
      <c r="C456" s="158" t="s">
        <v>642</v>
      </c>
      <c r="D456" s="158" t="s">
        <v>643</v>
      </c>
      <c r="E456" s="158" t="s">
        <v>1355</v>
      </c>
      <c r="F456" s="158" t="s">
        <v>1356</v>
      </c>
      <c r="G456" s="158" t="s">
        <v>1309</v>
      </c>
      <c r="H456" s="158" t="s">
        <v>1357</v>
      </c>
      <c r="I456" s="192">
        <v>2020.0</v>
      </c>
      <c r="J456" s="192">
        <v>2016.0</v>
      </c>
      <c r="K456" s="192">
        <v>2020.0</v>
      </c>
      <c r="L456" s="158" t="s">
        <v>6062</v>
      </c>
      <c r="M456" s="158" t="s">
        <v>320</v>
      </c>
      <c r="N456" s="158" t="s">
        <v>179</v>
      </c>
      <c r="O456" s="158" t="s">
        <v>149</v>
      </c>
      <c r="P456" s="158" t="s">
        <v>1327</v>
      </c>
      <c r="Q456" s="158" t="s">
        <v>6154</v>
      </c>
      <c r="R456" s="158" t="s">
        <v>206</v>
      </c>
      <c r="S456" s="158" t="s">
        <v>159</v>
      </c>
      <c r="T456" s="158" t="s">
        <v>149</v>
      </c>
      <c r="U456" s="158" t="s">
        <v>149</v>
      </c>
      <c r="V456" s="158" t="s">
        <v>1360</v>
      </c>
      <c r="W456" s="158" t="s">
        <v>390</v>
      </c>
      <c r="X456" s="158" t="s">
        <v>6035</v>
      </c>
      <c r="Y456" s="158"/>
      <c r="Z456" s="158"/>
      <c r="AA456" s="158"/>
      <c r="AB456" s="158" t="s">
        <v>6084</v>
      </c>
      <c r="AC456" s="158" t="s">
        <v>1330</v>
      </c>
      <c r="AD456" s="172" t="s">
        <v>1331</v>
      </c>
      <c r="AE456" s="158"/>
      <c r="AF456" s="158"/>
      <c r="AG456" s="158"/>
    </row>
    <row r="457">
      <c r="A457" s="238">
        <v>2024.0</v>
      </c>
      <c r="B457" s="230">
        <v>454.0</v>
      </c>
      <c r="C457" s="153" t="s">
        <v>642</v>
      </c>
      <c r="D457" s="153" t="s">
        <v>2769</v>
      </c>
      <c r="E457" s="153" t="s">
        <v>2770</v>
      </c>
      <c r="F457" s="153" t="s">
        <v>2771</v>
      </c>
      <c r="G457" s="158" t="s">
        <v>149</v>
      </c>
      <c r="H457" s="153" t="s">
        <v>7769</v>
      </c>
      <c r="I457" s="230">
        <v>2019.0</v>
      </c>
      <c r="J457" s="192" t="s">
        <v>149</v>
      </c>
      <c r="K457" s="192" t="s">
        <v>149</v>
      </c>
      <c r="L457" s="153" t="s">
        <v>151</v>
      </c>
      <c r="M457" s="158" t="s">
        <v>149</v>
      </c>
      <c r="N457" s="158" t="s">
        <v>149</v>
      </c>
      <c r="O457" s="158" t="s">
        <v>7770</v>
      </c>
      <c r="P457" s="153" t="s">
        <v>2776</v>
      </c>
      <c r="Q457" s="158" t="s">
        <v>160</v>
      </c>
      <c r="R457" s="158" t="s">
        <v>6035</v>
      </c>
      <c r="S457" s="158" t="s">
        <v>159</v>
      </c>
      <c r="T457" s="158" t="s">
        <v>149</v>
      </c>
      <c r="U457" s="158" t="s">
        <v>149</v>
      </c>
      <c r="V457" s="158" t="s">
        <v>149</v>
      </c>
      <c r="W457" s="153" t="s">
        <v>8073</v>
      </c>
      <c r="X457" s="153" t="s">
        <v>6035</v>
      </c>
      <c r="Y457" s="153" t="s">
        <v>390</v>
      </c>
      <c r="Z457" s="153"/>
      <c r="AA457" s="153"/>
      <c r="AB457" s="158" t="s">
        <v>166</v>
      </c>
      <c r="AC457" s="153" t="s">
        <v>7772</v>
      </c>
      <c r="AD457" s="172" t="s">
        <v>2779</v>
      </c>
      <c r="AE457" s="153"/>
      <c r="AF457" s="153"/>
      <c r="AG457" s="153"/>
    </row>
    <row r="458">
      <c r="A458" s="238">
        <v>2024.0</v>
      </c>
      <c r="B458" s="192"/>
      <c r="C458" s="158" t="s">
        <v>642</v>
      </c>
      <c r="D458" s="158" t="s">
        <v>2769</v>
      </c>
      <c r="E458" s="158" t="s">
        <v>2770</v>
      </c>
      <c r="F458" s="158" t="s">
        <v>2771</v>
      </c>
      <c r="G458" s="158" t="s">
        <v>149</v>
      </c>
      <c r="H458" s="158" t="s">
        <v>2782</v>
      </c>
      <c r="I458" s="192">
        <v>2019.0</v>
      </c>
      <c r="J458" s="192" t="s">
        <v>149</v>
      </c>
      <c r="K458" s="192" t="s">
        <v>149</v>
      </c>
      <c r="L458" s="158" t="s">
        <v>151</v>
      </c>
      <c r="M458" s="158" t="s">
        <v>149</v>
      </c>
      <c r="N458" s="158" t="s">
        <v>149</v>
      </c>
      <c r="O458" s="158" t="s">
        <v>7770</v>
      </c>
      <c r="P458" s="158" t="s">
        <v>2776</v>
      </c>
      <c r="Q458" s="158" t="s">
        <v>160</v>
      </c>
      <c r="R458" s="158" t="s">
        <v>6035</v>
      </c>
      <c r="S458" s="158" t="s">
        <v>159</v>
      </c>
      <c r="T458" s="158" t="s">
        <v>149</v>
      </c>
      <c r="U458" s="158" t="s">
        <v>149</v>
      </c>
      <c r="V458" s="158" t="s">
        <v>149</v>
      </c>
      <c r="W458" s="158" t="s">
        <v>2783</v>
      </c>
      <c r="X458" s="158" t="s">
        <v>6035</v>
      </c>
      <c r="Y458" s="158" t="s">
        <v>390</v>
      </c>
      <c r="Z458" s="158"/>
      <c r="AA458" s="158"/>
      <c r="AB458" s="158" t="s">
        <v>166</v>
      </c>
      <c r="AC458" s="158" t="s">
        <v>7772</v>
      </c>
      <c r="AD458" s="177" t="s">
        <v>2779</v>
      </c>
      <c r="AE458" s="158"/>
      <c r="AF458" s="158"/>
      <c r="AG458" s="158"/>
    </row>
    <row r="459">
      <c r="A459" s="238">
        <v>2024.0</v>
      </c>
      <c r="B459" s="230">
        <v>455.0</v>
      </c>
      <c r="C459" s="153" t="s">
        <v>642</v>
      </c>
      <c r="D459" s="153" t="s">
        <v>1217</v>
      </c>
      <c r="E459" s="153" t="s">
        <v>1218</v>
      </c>
      <c r="F459" s="153" t="s">
        <v>1219</v>
      </c>
      <c r="G459" s="158" t="s">
        <v>149</v>
      </c>
      <c r="H459" s="153" t="s">
        <v>3223</v>
      </c>
      <c r="I459" s="230">
        <v>2012.0</v>
      </c>
      <c r="J459" s="192" t="s">
        <v>149</v>
      </c>
      <c r="K459" s="192" t="s">
        <v>149</v>
      </c>
      <c r="L459" s="153" t="s">
        <v>151</v>
      </c>
      <c r="M459" s="153" t="s">
        <v>3399</v>
      </c>
      <c r="N459" s="158" t="s">
        <v>3399</v>
      </c>
      <c r="O459" s="158" t="s">
        <v>149</v>
      </c>
      <c r="P459" s="158" t="s">
        <v>3227</v>
      </c>
      <c r="Q459" s="158" t="s">
        <v>160</v>
      </c>
      <c r="R459" s="158" t="s">
        <v>209</v>
      </c>
      <c r="S459" s="158" t="s">
        <v>149</v>
      </c>
      <c r="T459" s="158" t="s">
        <v>149</v>
      </c>
      <c r="U459" s="158" t="s">
        <v>149</v>
      </c>
      <c r="V459" s="158" t="s">
        <v>149</v>
      </c>
      <c r="W459" s="153" t="s">
        <v>3227</v>
      </c>
      <c r="X459" s="158" t="s">
        <v>6068</v>
      </c>
      <c r="Y459" s="153"/>
      <c r="Z459" s="153" t="s">
        <v>3228</v>
      </c>
      <c r="AA459" s="153"/>
      <c r="AB459" s="158" t="s">
        <v>6091</v>
      </c>
      <c r="AC459" s="153" t="s">
        <v>3229</v>
      </c>
      <c r="AD459" s="172" t="s">
        <v>3230</v>
      </c>
      <c r="AE459" s="153"/>
      <c r="AF459" s="153"/>
      <c r="AG459" s="153"/>
    </row>
    <row r="460">
      <c r="A460" s="238">
        <v>2024.0</v>
      </c>
      <c r="B460" s="192">
        <v>457.0</v>
      </c>
      <c r="C460" s="158" t="s">
        <v>642</v>
      </c>
      <c r="D460" s="158" t="s">
        <v>1217</v>
      </c>
      <c r="E460" s="158" t="s">
        <v>1218</v>
      </c>
      <c r="F460" s="158" t="s">
        <v>1219</v>
      </c>
      <c r="G460" s="158" t="s">
        <v>3413</v>
      </c>
      <c r="H460" s="158" t="s">
        <v>7775</v>
      </c>
      <c r="I460" s="192">
        <v>2014.0</v>
      </c>
      <c r="J460" s="192">
        <v>2014.0</v>
      </c>
      <c r="K460" s="192">
        <v>2017.0</v>
      </c>
      <c r="L460" s="158" t="s">
        <v>6221</v>
      </c>
      <c r="M460" s="158" t="s">
        <v>1867</v>
      </c>
      <c r="N460" s="158" t="s">
        <v>1867</v>
      </c>
      <c r="O460" s="158" t="s">
        <v>1868</v>
      </c>
      <c r="P460" s="158" t="s">
        <v>321</v>
      </c>
      <c r="Q460" s="158" t="s">
        <v>160</v>
      </c>
      <c r="R460" s="158" t="s">
        <v>6035</v>
      </c>
      <c r="S460" s="158" t="s">
        <v>204</v>
      </c>
      <c r="T460" s="158" t="s">
        <v>149</v>
      </c>
      <c r="U460" s="158" t="s">
        <v>149</v>
      </c>
      <c r="V460" s="158" t="s">
        <v>149</v>
      </c>
      <c r="W460" s="158" t="s">
        <v>1224</v>
      </c>
      <c r="X460" s="158" t="s">
        <v>6068</v>
      </c>
      <c r="Y460" s="158" t="s">
        <v>233</v>
      </c>
      <c r="Z460" s="158" t="s">
        <v>1869</v>
      </c>
      <c r="AA460" s="158"/>
      <c r="AB460" s="158" t="s">
        <v>6069</v>
      </c>
      <c r="AC460" s="158" t="s">
        <v>1870</v>
      </c>
      <c r="AD460" s="158" t="s">
        <v>7029</v>
      </c>
      <c r="AE460" s="158" t="s">
        <v>1872</v>
      </c>
      <c r="AF460" s="177" t="s">
        <v>1873</v>
      </c>
      <c r="AG460" s="158"/>
    </row>
    <row r="461">
      <c r="A461" s="238">
        <v>2024.0</v>
      </c>
      <c r="B461" s="230">
        <v>458.0</v>
      </c>
      <c r="C461" s="153" t="s">
        <v>642</v>
      </c>
      <c r="D461" s="153" t="s">
        <v>1217</v>
      </c>
      <c r="E461" s="153" t="s">
        <v>1218</v>
      </c>
      <c r="F461" s="153" t="s">
        <v>1219</v>
      </c>
      <c r="G461" s="158" t="s">
        <v>7934</v>
      </c>
      <c r="H461" s="158" t="s">
        <v>1220</v>
      </c>
      <c r="I461" s="192">
        <v>2012.0</v>
      </c>
      <c r="J461" s="192">
        <v>2012.0</v>
      </c>
      <c r="K461" s="192">
        <v>2013.0</v>
      </c>
      <c r="L461" s="153" t="s">
        <v>6062</v>
      </c>
      <c r="M461" s="158" t="s">
        <v>320</v>
      </c>
      <c r="N461" s="158" t="s">
        <v>179</v>
      </c>
      <c r="O461" s="158" t="s">
        <v>1222</v>
      </c>
      <c r="P461" s="153" t="s">
        <v>321</v>
      </c>
      <c r="Q461" s="158" t="s">
        <v>160</v>
      </c>
      <c r="R461" s="158" t="s">
        <v>6035</v>
      </c>
      <c r="S461" s="158" t="s">
        <v>159</v>
      </c>
      <c r="T461" s="158" t="s">
        <v>149</v>
      </c>
      <c r="U461" s="158" t="s">
        <v>149</v>
      </c>
      <c r="V461" s="158" t="s">
        <v>1223</v>
      </c>
      <c r="W461" s="158" t="s">
        <v>1224</v>
      </c>
      <c r="X461" s="158" t="s">
        <v>6068</v>
      </c>
      <c r="Y461" s="158" t="s">
        <v>1225</v>
      </c>
      <c r="Z461" s="158" t="s">
        <v>1226</v>
      </c>
      <c r="AA461" s="153"/>
      <c r="AB461" s="153" t="s">
        <v>6069</v>
      </c>
      <c r="AC461" s="158" t="s">
        <v>1227</v>
      </c>
      <c r="AD461" s="153" t="s">
        <v>7029</v>
      </c>
      <c r="AE461" s="153"/>
      <c r="AF461" s="165"/>
      <c r="AG461" s="153"/>
    </row>
    <row r="462">
      <c r="A462" s="238">
        <v>2024.0</v>
      </c>
      <c r="B462" s="192"/>
      <c r="C462" s="158" t="s">
        <v>642</v>
      </c>
      <c r="D462" s="158" t="s">
        <v>1217</v>
      </c>
      <c r="E462" s="158" t="s">
        <v>1230</v>
      </c>
      <c r="F462" s="158" t="s">
        <v>1231</v>
      </c>
      <c r="G462" s="158" t="s">
        <v>7934</v>
      </c>
      <c r="H462" s="158" t="s">
        <v>1232</v>
      </c>
      <c r="I462" s="192">
        <v>2012.0</v>
      </c>
      <c r="J462" s="192">
        <v>2012.0</v>
      </c>
      <c r="K462" s="192">
        <v>2013.0</v>
      </c>
      <c r="L462" s="158" t="s">
        <v>6062</v>
      </c>
      <c r="M462" s="158" t="s">
        <v>320</v>
      </c>
      <c r="N462" s="158" t="s">
        <v>179</v>
      </c>
      <c r="O462" s="158" t="s">
        <v>1222</v>
      </c>
      <c r="P462" s="153" t="s">
        <v>321</v>
      </c>
      <c r="Q462" s="158" t="s">
        <v>160</v>
      </c>
      <c r="R462" s="158" t="s">
        <v>6035</v>
      </c>
      <c r="S462" s="158" t="s">
        <v>159</v>
      </c>
      <c r="T462" s="158" t="s">
        <v>149</v>
      </c>
      <c r="U462" s="158" t="s">
        <v>149</v>
      </c>
      <c r="V462" s="158" t="s">
        <v>1233</v>
      </c>
      <c r="W462" s="158" t="s">
        <v>1224</v>
      </c>
      <c r="X462" s="158" t="s">
        <v>6068</v>
      </c>
      <c r="Y462" s="158" t="s">
        <v>1225</v>
      </c>
      <c r="Z462" s="158" t="s">
        <v>1226</v>
      </c>
      <c r="AA462" s="158"/>
      <c r="AB462" s="158" t="s">
        <v>6069</v>
      </c>
      <c r="AC462" s="158" t="s">
        <v>1227</v>
      </c>
      <c r="AD462" s="158" t="s">
        <v>6070</v>
      </c>
      <c r="AE462" s="158"/>
      <c r="AF462" s="177"/>
      <c r="AG462" s="158"/>
    </row>
    <row r="463">
      <c r="A463" s="238">
        <v>2024.0</v>
      </c>
      <c r="B463" s="192"/>
      <c r="C463" s="158" t="s">
        <v>642</v>
      </c>
      <c r="D463" s="158" t="s">
        <v>1217</v>
      </c>
      <c r="E463" s="158" t="s">
        <v>1236</v>
      </c>
      <c r="F463" s="158" t="s">
        <v>1237</v>
      </c>
      <c r="G463" s="158" t="s">
        <v>7934</v>
      </c>
      <c r="H463" s="158" t="s">
        <v>1238</v>
      </c>
      <c r="I463" s="192">
        <v>2012.0</v>
      </c>
      <c r="J463" s="192">
        <v>2012.0</v>
      </c>
      <c r="K463" s="192">
        <v>2013.0</v>
      </c>
      <c r="L463" s="158" t="s">
        <v>6062</v>
      </c>
      <c r="M463" s="158" t="s">
        <v>320</v>
      </c>
      <c r="N463" s="158" t="s">
        <v>179</v>
      </c>
      <c r="O463" s="158" t="s">
        <v>1222</v>
      </c>
      <c r="P463" s="153" t="s">
        <v>321</v>
      </c>
      <c r="Q463" s="158" t="s">
        <v>160</v>
      </c>
      <c r="R463" s="158" t="s">
        <v>6035</v>
      </c>
      <c r="S463" s="158" t="s">
        <v>159</v>
      </c>
      <c r="T463" s="158" t="s">
        <v>149</v>
      </c>
      <c r="U463" s="158" t="s">
        <v>149</v>
      </c>
      <c r="V463" s="158" t="s">
        <v>1239</v>
      </c>
      <c r="W463" s="158" t="s">
        <v>1224</v>
      </c>
      <c r="X463" s="158" t="s">
        <v>6068</v>
      </c>
      <c r="Y463" s="158" t="s">
        <v>1225</v>
      </c>
      <c r="Z463" s="158" t="s">
        <v>1226</v>
      </c>
      <c r="AA463" s="158"/>
      <c r="AB463" s="158" t="s">
        <v>6069</v>
      </c>
      <c r="AC463" s="158" t="s">
        <v>1227</v>
      </c>
      <c r="AD463" s="158" t="s">
        <v>6070</v>
      </c>
      <c r="AE463" s="158"/>
      <c r="AF463" s="177"/>
      <c r="AG463" s="158"/>
    </row>
    <row r="464">
      <c r="A464" s="238">
        <v>2024.0</v>
      </c>
      <c r="B464" s="192"/>
      <c r="C464" s="158" t="s">
        <v>642</v>
      </c>
      <c r="D464" s="158" t="s">
        <v>1217</v>
      </c>
      <c r="E464" s="158" t="s">
        <v>1242</v>
      </c>
      <c r="F464" s="158" t="s">
        <v>1243</v>
      </c>
      <c r="G464" s="158" t="s">
        <v>7934</v>
      </c>
      <c r="H464" s="158" t="s">
        <v>1244</v>
      </c>
      <c r="I464" s="192">
        <v>2012.0</v>
      </c>
      <c r="J464" s="192">
        <v>2012.0</v>
      </c>
      <c r="K464" s="192">
        <v>2013.0</v>
      </c>
      <c r="L464" s="158" t="s">
        <v>6062</v>
      </c>
      <c r="M464" s="158" t="s">
        <v>320</v>
      </c>
      <c r="N464" s="158" t="s">
        <v>179</v>
      </c>
      <c r="O464" s="158" t="s">
        <v>1222</v>
      </c>
      <c r="P464" s="153" t="s">
        <v>321</v>
      </c>
      <c r="Q464" s="158" t="s">
        <v>160</v>
      </c>
      <c r="R464" s="158" t="s">
        <v>6035</v>
      </c>
      <c r="S464" s="158" t="s">
        <v>159</v>
      </c>
      <c r="T464" s="158" t="s">
        <v>149</v>
      </c>
      <c r="U464" s="158" t="s">
        <v>149</v>
      </c>
      <c r="V464" s="158" t="s">
        <v>1245</v>
      </c>
      <c r="W464" s="158" t="s">
        <v>1224</v>
      </c>
      <c r="X464" s="158" t="s">
        <v>6068</v>
      </c>
      <c r="Y464" s="158" t="s">
        <v>1225</v>
      </c>
      <c r="Z464" s="158" t="s">
        <v>1226</v>
      </c>
      <c r="AA464" s="158"/>
      <c r="AB464" s="158" t="s">
        <v>6069</v>
      </c>
      <c r="AC464" s="158" t="s">
        <v>1227</v>
      </c>
      <c r="AD464" s="158" t="s">
        <v>6070</v>
      </c>
      <c r="AE464" s="158"/>
      <c r="AF464" s="177"/>
      <c r="AG464" s="158"/>
    </row>
    <row r="465">
      <c r="A465" s="238">
        <v>2024.0</v>
      </c>
      <c r="B465" s="192"/>
      <c r="C465" s="158" t="s">
        <v>642</v>
      </c>
      <c r="D465" s="158" t="s">
        <v>1217</v>
      </c>
      <c r="E465" s="158" t="s">
        <v>1248</v>
      </c>
      <c r="F465" s="158" t="s">
        <v>1249</v>
      </c>
      <c r="G465" s="158" t="s">
        <v>7934</v>
      </c>
      <c r="H465" s="158" t="s">
        <v>1250</v>
      </c>
      <c r="I465" s="192">
        <v>2012.0</v>
      </c>
      <c r="J465" s="192">
        <v>2012.0</v>
      </c>
      <c r="K465" s="192">
        <v>2013.0</v>
      </c>
      <c r="L465" s="158" t="s">
        <v>6062</v>
      </c>
      <c r="M465" s="158" t="s">
        <v>320</v>
      </c>
      <c r="N465" s="158" t="s">
        <v>179</v>
      </c>
      <c r="O465" s="158" t="s">
        <v>1222</v>
      </c>
      <c r="P465" s="153" t="s">
        <v>321</v>
      </c>
      <c r="Q465" s="158" t="s">
        <v>160</v>
      </c>
      <c r="R465" s="158" t="s">
        <v>6035</v>
      </c>
      <c r="S465" s="158" t="s">
        <v>159</v>
      </c>
      <c r="T465" s="158" t="s">
        <v>149</v>
      </c>
      <c r="U465" s="158" t="s">
        <v>149</v>
      </c>
      <c r="V465" s="158" t="s">
        <v>1252</v>
      </c>
      <c r="W465" s="158" t="s">
        <v>1224</v>
      </c>
      <c r="X465" s="158" t="s">
        <v>6068</v>
      </c>
      <c r="Y465" s="158" t="s">
        <v>1225</v>
      </c>
      <c r="Z465" s="158" t="s">
        <v>1226</v>
      </c>
      <c r="AA465" s="158"/>
      <c r="AB465" s="158" t="s">
        <v>6069</v>
      </c>
      <c r="AC465" s="158" t="s">
        <v>1227</v>
      </c>
      <c r="AD465" s="158" t="s">
        <v>6070</v>
      </c>
      <c r="AE465" s="158"/>
      <c r="AF465" s="158"/>
      <c r="AG465" s="158"/>
    </row>
    <row r="466">
      <c r="A466" s="230"/>
      <c r="B466" s="230"/>
      <c r="C466" s="153"/>
      <c r="D466" s="153"/>
      <c r="E466" s="153"/>
      <c r="F466" s="153"/>
      <c r="G466" s="153"/>
      <c r="H466" s="153"/>
      <c r="I466" s="230"/>
      <c r="J466" s="230"/>
      <c r="K466" s="230"/>
      <c r="L466" s="153"/>
      <c r="M466" s="153"/>
      <c r="N466" s="153"/>
      <c r="O466" s="153"/>
      <c r="P466" s="153"/>
      <c r="Q466" s="153"/>
      <c r="R466" s="153"/>
      <c r="S466" s="153"/>
      <c r="T466" s="153"/>
      <c r="U466" s="153"/>
      <c r="V466" s="153"/>
      <c r="W466" s="153"/>
      <c r="X466" s="153"/>
      <c r="Y466" s="153"/>
      <c r="Z466" s="153"/>
      <c r="AA466" s="153"/>
      <c r="AB466" s="153"/>
      <c r="AC466" s="153"/>
      <c r="AD466" s="153"/>
      <c r="AE466" s="153"/>
      <c r="AF466" s="153"/>
      <c r="AG466" s="153"/>
    </row>
    <row r="467">
      <c r="A467" s="230"/>
      <c r="B467" s="230"/>
      <c r="C467" s="153"/>
      <c r="D467" s="153"/>
      <c r="E467" s="153"/>
      <c r="F467" s="153"/>
      <c r="G467" s="153"/>
      <c r="H467" s="153"/>
      <c r="I467" s="230"/>
      <c r="J467" s="230"/>
      <c r="K467" s="230"/>
      <c r="L467" s="153"/>
      <c r="M467" s="153"/>
      <c r="N467" s="153"/>
      <c r="O467" s="153"/>
      <c r="P467" s="153"/>
      <c r="Q467" s="153"/>
      <c r="R467" s="153"/>
      <c r="S467" s="153"/>
      <c r="T467" s="153"/>
      <c r="U467" s="153"/>
      <c r="V467" s="153"/>
      <c r="W467" s="153"/>
      <c r="X467" s="153"/>
      <c r="Y467" s="153"/>
      <c r="Z467" s="153"/>
      <c r="AA467" s="153"/>
      <c r="AB467" s="153"/>
      <c r="AC467" s="153"/>
      <c r="AD467" s="153"/>
      <c r="AE467" s="153"/>
      <c r="AF467" s="153"/>
      <c r="AG467" s="153"/>
    </row>
    <row r="468">
      <c r="A468" s="230"/>
      <c r="B468" s="230"/>
      <c r="C468" s="153"/>
      <c r="D468" s="153"/>
      <c r="E468" s="153"/>
      <c r="F468" s="153"/>
      <c r="G468" s="153"/>
      <c r="H468" s="153"/>
      <c r="I468" s="230"/>
      <c r="J468" s="230"/>
      <c r="K468" s="230"/>
      <c r="L468" s="153"/>
      <c r="M468" s="153"/>
      <c r="N468" s="153"/>
      <c r="O468" s="153"/>
      <c r="P468" s="153"/>
      <c r="Q468" s="153"/>
      <c r="R468" s="153"/>
      <c r="S468" s="153"/>
      <c r="T468" s="153"/>
      <c r="U468" s="153"/>
      <c r="V468" s="153"/>
      <c r="W468" s="153"/>
      <c r="X468" s="153"/>
      <c r="Y468" s="153"/>
      <c r="Z468" s="153"/>
      <c r="AA468" s="153"/>
      <c r="AB468" s="153"/>
      <c r="AC468" s="153"/>
      <c r="AD468" s="153"/>
      <c r="AE468" s="153"/>
      <c r="AF468" s="153"/>
      <c r="AG468" s="153"/>
    </row>
    <row r="469">
      <c r="A469" s="245"/>
      <c r="B469" s="246"/>
      <c r="C469" s="247"/>
      <c r="D469" s="247"/>
      <c r="E469" s="247"/>
      <c r="F469" s="247"/>
      <c r="G469" s="247"/>
      <c r="H469" s="247"/>
      <c r="I469" s="246"/>
      <c r="J469" s="246"/>
      <c r="K469" s="246"/>
      <c r="L469" s="247"/>
      <c r="M469" s="247"/>
      <c r="N469" s="247"/>
      <c r="O469" s="247"/>
      <c r="P469" s="247"/>
      <c r="Q469" s="247"/>
      <c r="R469" s="247"/>
      <c r="S469" s="247"/>
      <c r="T469" s="247"/>
      <c r="U469" s="247"/>
      <c r="V469" s="247"/>
      <c r="W469" s="247"/>
      <c r="X469" s="247"/>
      <c r="Y469" s="247"/>
      <c r="Z469" s="247"/>
      <c r="AA469" s="247"/>
      <c r="AB469" s="247"/>
      <c r="AC469" s="247"/>
      <c r="AD469" s="247"/>
      <c r="AE469" s="247"/>
      <c r="AF469" s="247"/>
    </row>
    <row r="470">
      <c r="A470" s="245"/>
      <c r="B470" s="246"/>
      <c r="C470" s="247"/>
      <c r="D470" s="247"/>
      <c r="E470" s="247"/>
      <c r="F470" s="247"/>
      <c r="G470" s="247"/>
      <c r="H470" s="247"/>
      <c r="I470" s="246"/>
      <c r="J470" s="246"/>
      <c r="K470" s="246"/>
      <c r="L470" s="247"/>
      <c r="M470" s="247"/>
      <c r="N470" s="247"/>
      <c r="O470" s="247"/>
      <c r="P470" s="247"/>
      <c r="Q470" s="247"/>
      <c r="R470" s="247"/>
      <c r="S470" s="247"/>
      <c r="T470" s="247"/>
      <c r="U470" s="247"/>
      <c r="V470" s="247"/>
      <c r="W470" s="247"/>
      <c r="X470" s="247"/>
      <c r="Y470" s="247"/>
      <c r="Z470" s="247"/>
      <c r="AA470" s="247"/>
      <c r="AB470" s="247"/>
      <c r="AC470" s="247"/>
      <c r="AD470" s="247"/>
      <c r="AE470" s="247"/>
      <c r="AF470" s="247"/>
    </row>
    <row r="471">
      <c r="A471" s="230"/>
      <c r="B471" s="230"/>
      <c r="I471" s="230"/>
      <c r="J471" s="230"/>
      <c r="K471" s="230"/>
    </row>
    <row r="472">
      <c r="A472" s="230"/>
      <c r="B472" s="230"/>
      <c r="I472" s="230"/>
      <c r="J472" s="230"/>
      <c r="K472" s="230"/>
    </row>
    <row r="473">
      <c r="A473" s="230"/>
      <c r="B473" s="230"/>
      <c r="I473" s="230"/>
      <c r="J473" s="230"/>
      <c r="K473" s="230"/>
      <c r="AD473" s="172"/>
    </row>
    <row r="474">
      <c r="A474" s="230"/>
      <c r="B474" s="230"/>
      <c r="I474" s="230"/>
      <c r="J474" s="230"/>
      <c r="K474" s="230"/>
      <c r="AD474" s="172"/>
    </row>
    <row r="475">
      <c r="A475" s="230"/>
      <c r="B475" s="230"/>
      <c r="I475" s="230"/>
      <c r="J475" s="230"/>
      <c r="K475" s="230"/>
      <c r="AD475" s="172"/>
    </row>
    <row r="476">
      <c r="A476" s="230"/>
      <c r="B476" s="230"/>
      <c r="I476" s="230"/>
      <c r="J476" s="230"/>
      <c r="K476" s="230"/>
      <c r="AD476" s="172"/>
    </row>
    <row r="477">
      <c r="A477" s="230"/>
      <c r="B477" s="230"/>
      <c r="I477" s="230"/>
      <c r="J477" s="230"/>
      <c r="K477" s="230"/>
      <c r="AD477" s="172"/>
    </row>
    <row r="478">
      <c r="A478" s="230"/>
      <c r="B478" s="230"/>
      <c r="I478" s="230"/>
      <c r="J478" s="230"/>
      <c r="K478" s="230"/>
      <c r="AD478" s="172"/>
    </row>
    <row r="479">
      <c r="A479" s="230"/>
      <c r="B479" s="230"/>
      <c r="I479" s="230"/>
      <c r="J479" s="230"/>
      <c r="K479" s="230"/>
      <c r="AD479" s="172"/>
    </row>
    <row r="480">
      <c r="A480" s="230"/>
      <c r="B480" s="230"/>
      <c r="I480" s="230"/>
      <c r="J480" s="230"/>
      <c r="K480" s="230"/>
      <c r="AD480" s="172"/>
    </row>
    <row r="481">
      <c r="A481" s="230"/>
      <c r="B481" s="230"/>
      <c r="I481" s="230"/>
      <c r="J481" s="230"/>
      <c r="K481" s="230"/>
      <c r="AD481" s="172"/>
    </row>
    <row r="482">
      <c r="A482" s="230"/>
      <c r="B482" s="230"/>
      <c r="I482" s="230"/>
      <c r="J482" s="230"/>
      <c r="K482" s="230"/>
      <c r="AD482" s="172"/>
    </row>
    <row r="483">
      <c r="A483" s="230"/>
      <c r="B483" s="230"/>
      <c r="I483" s="230"/>
      <c r="J483" s="230"/>
      <c r="K483" s="230"/>
      <c r="AD483" s="172"/>
    </row>
    <row r="484">
      <c r="A484" s="230"/>
      <c r="B484" s="230"/>
      <c r="I484" s="230"/>
      <c r="J484" s="230"/>
      <c r="K484" s="230"/>
      <c r="AD484" s="172"/>
    </row>
    <row r="485">
      <c r="A485" s="230"/>
      <c r="B485" s="230"/>
      <c r="I485" s="230"/>
      <c r="J485" s="230"/>
      <c r="K485" s="230"/>
      <c r="AD485" s="172"/>
    </row>
    <row r="486">
      <c r="A486" s="230"/>
      <c r="B486" s="230"/>
      <c r="I486" s="230"/>
      <c r="J486" s="230"/>
      <c r="K486" s="230"/>
      <c r="AD486" s="172"/>
    </row>
    <row r="487">
      <c r="A487" s="230"/>
      <c r="B487" s="230"/>
      <c r="I487" s="230"/>
      <c r="J487" s="230"/>
      <c r="K487" s="230"/>
      <c r="AD487" s="172"/>
    </row>
    <row r="488">
      <c r="A488" s="230"/>
      <c r="B488" s="230"/>
      <c r="I488" s="230"/>
      <c r="J488" s="230"/>
      <c r="K488" s="230"/>
      <c r="AD488" s="172"/>
    </row>
    <row r="489">
      <c r="A489" s="230"/>
      <c r="B489" s="230"/>
      <c r="I489" s="230"/>
      <c r="J489" s="230"/>
      <c r="K489" s="230"/>
      <c r="AD489" s="172"/>
    </row>
    <row r="490">
      <c r="A490" s="230"/>
      <c r="B490" s="230"/>
      <c r="I490" s="230"/>
      <c r="J490" s="230"/>
      <c r="K490" s="230"/>
      <c r="AD490" s="172"/>
    </row>
    <row r="491">
      <c r="A491" s="230"/>
      <c r="B491" s="230"/>
      <c r="I491" s="230"/>
      <c r="J491" s="230"/>
      <c r="K491" s="230"/>
      <c r="AD491" s="172"/>
    </row>
    <row r="492">
      <c r="A492" s="230"/>
      <c r="B492" s="230"/>
      <c r="I492" s="230"/>
      <c r="J492" s="230"/>
      <c r="K492" s="230"/>
      <c r="AD492" s="172"/>
    </row>
    <row r="493">
      <c r="A493" s="230"/>
      <c r="B493" s="230"/>
      <c r="I493" s="230"/>
      <c r="J493" s="230"/>
      <c r="K493" s="230"/>
      <c r="AD493" s="172"/>
    </row>
    <row r="494">
      <c r="A494" s="230"/>
      <c r="B494" s="230"/>
      <c r="I494" s="230"/>
      <c r="J494" s="230"/>
      <c r="K494" s="230"/>
      <c r="AD494" s="172"/>
    </row>
    <row r="495">
      <c r="A495" s="230"/>
      <c r="B495" s="230"/>
      <c r="I495" s="230"/>
      <c r="J495" s="230"/>
      <c r="K495" s="230"/>
      <c r="AD495" s="172"/>
    </row>
    <row r="496">
      <c r="A496" s="230"/>
      <c r="B496" s="230"/>
      <c r="I496" s="230"/>
      <c r="J496" s="230"/>
      <c r="K496" s="230"/>
      <c r="AD496" s="172"/>
    </row>
    <row r="497">
      <c r="A497" s="230"/>
      <c r="B497" s="230"/>
      <c r="I497" s="230"/>
      <c r="J497" s="230"/>
      <c r="K497" s="230"/>
      <c r="AD497" s="172"/>
    </row>
    <row r="498">
      <c r="A498" s="230"/>
      <c r="B498" s="230"/>
      <c r="I498" s="230"/>
      <c r="J498" s="230"/>
      <c r="K498" s="230"/>
      <c r="AD498" s="172"/>
    </row>
    <row r="499">
      <c r="A499" s="230"/>
      <c r="B499" s="230"/>
      <c r="I499" s="230"/>
      <c r="J499" s="230"/>
      <c r="K499" s="230"/>
      <c r="AD499" s="172"/>
    </row>
    <row r="500">
      <c r="A500" s="230"/>
      <c r="B500" s="230"/>
      <c r="I500" s="230"/>
      <c r="J500" s="230"/>
      <c r="K500" s="230"/>
      <c r="AD500" s="172"/>
    </row>
    <row r="501">
      <c r="A501" s="230"/>
      <c r="B501" s="230"/>
      <c r="I501" s="230"/>
      <c r="J501" s="230"/>
      <c r="K501" s="230"/>
      <c r="AD501" s="172"/>
    </row>
    <row r="502">
      <c r="A502" s="230"/>
      <c r="B502" s="230"/>
      <c r="I502" s="230"/>
      <c r="J502" s="230"/>
      <c r="K502" s="230"/>
      <c r="AD502" s="172"/>
    </row>
    <row r="503">
      <c r="A503" s="230"/>
      <c r="B503" s="230"/>
      <c r="I503" s="230"/>
      <c r="J503" s="230"/>
      <c r="K503" s="230"/>
      <c r="AD503" s="172"/>
    </row>
    <row r="504">
      <c r="A504" s="230"/>
      <c r="B504" s="230"/>
      <c r="I504" s="230"/>
      <c r="J504" s="230"/>
      <c r="K504" s="230"/>
    </row>
    <row r="505">
      <c r="A505" s="230"/>
      <c r="B505" s="230"/>
      <c r="I505" s="230"/>
      <c r="J505" s="230"/>
      <c r="K505" s="230"/>
    </row>
    <row r="506">
      <c r="A506" s="230"/>
      <c r="B506" s="230"/>
      <c r="I506" s="230"/>
      <c r="J506" s="230"/>
      <c r="K506" s="230"/>
    </row>
    <row r="507">
      <c r="A507" s="230"/>
      <c r="B507" s="230"/>
      <c r="I507" s="230"/>
      <c r="J507" s="230"/>
      <c r="K507" s="230"/>
    </row>
    <row r="508">
      <c r="A508" s="230"/>
      <c r="B508" s="230"/>
      <c r="I508" s="230"/>
      <c r="J508" s="230"/>
      <c r="K508" s="230"/>
    </row>
    <row r="509">
      <c r="A509" s="230"/>
      <c r="B509" s="230"/>
      <c r="I509" s="230"/>
      <c r="J509" s="230"/>
      <c r="K509" s="230"/>
    </row>
    <row r="510">
      <c r="A510" s="230"/>
      <c r="B510" s="230"/>
      <c r="I510" s="230"/>
      <c r="J510" s="230"/>
      <c r="K510" s="230"/>
    </row>
    <row r="511">
      <c r="A511" s="230"/>
      <c r="B511" s="230"/>
      <c r="I511" s="230"/>
      <c r="J511" s="230"/>
      <c r="K511" s="230"/>
    </row>
    <row r="512">
      <c r="A512" s="230"/>
      <c r="B512" s="230"/>
      <c r="I512" s="230"/>
      <c r="J512" s="230"/>
      <c r="K512" s="230"/>
    </row>
    <row r="513">
      <c r="A513" s="230"/>
      <c r="B513" s="230"/>
      <c r="I513" s="230"/>
      <c r="J513" s="230"/>
      <c r="K513" s="230"/>
    </row>
    <row r="514">
      <c r="A514" s="230"/>
      <c r="B514" s="230"/>
      <c r="I514" s="230"/>
      <c r="J514" s="230"/>
      <c r="K514" s="230"/>
    </row>
    <row r="515">
      <c r="A515" s="230"/>
      <c r="B515" s="230"/>
      <c r="I515" s="230"/>
      <c r="J515" s="230"/>
      <c r="K515" s="230"/>
    </row>
    <row r="516">
      <c r="A516" s="230"/>
      <c r="B516" s="230"/>
      <c r="I516" s="230"/>
      <c r="J516" s="230"/>
      <c r="K516" s="230"/>
    </row>
    <row r="517">
      <c r="A517" s="230"/>
      <c r="B517" s="230"/>
      <c r="I517" s="230"/>
      <c r="J517" s="230"/>
      <c r="K517" s="230"/>
    </row>
    <row r="518">
      <c r="A518" s="230"/>
      <c r="B518" s="230"/>
      <c r="I518" s="230"/>
      <c r="J518" s="230"/>
      <c r="K518" s="230"/>
    </row>
    <row r="519">
      <c r="A519" s="230"/>
      <c r="B519" s="230"/>
      <c r="I519" s="230"/>
      <c r="J519" s="230"/>
      <c r="K519" s="230"/>
    </row>
    <row r="520">
      <c r="A520" s="230"/>
      <c r="B520" s="230"/>
      <c r="I520" s="230"/>
      <c r="J520" s="230"/>
      <c r="K520" s="230"/>
    </row>
    <row r="521">
      <c r="A521" s="230"/>
      <c r="B521" s="230"/>
      <c r="I521" s="230"/>
      <c r="J521" s="230"/>
      <c r="K521" s="230"/>
    </row>
    <row r="522">
      <c r="A522" s="230"/>
      <c r="B522" s="230"/>
      <c r="I522" s="230"/>
      <c r="J522" s="230"/>
      <c r="K522" s="230"/>
    </row>
    <row r="523">
      <c r="A523" s="230"/>
      <c r="B523" s="230"/>
      <c r="I523" s="230"/>
      <c r="J523" s="230"/>
      <c r="K523" s="230"/>
    </row>
    <row r="524">
      <c r="A524" s="230"/>
      <c r="B524" s="230"/>
      <c r="I524" s="230"/>
      <c r="J524" s="230"/>
      <c r="K524" s="230"/>
    </row>
    <row r="525">
      <c r="A525" s="230"/>
      <c r="B525" s="230"/>
      <c r="I525" s="230"/>
      <c r="J525" s="230"/>
      <c r="K525" s="230"/>
    </row>
    <row r="526">
      <c r="A526" s="230"/>
      <c r="B526" s="230"/>
      <c r="I526" s="230"/>
      <c r="J526" s="230"/>
      <c r="K526" s="230"/>
    </row>
    <row r="527">
      <c r="A527" s="230"/>
      <c r="B527" s="230"/>
      <c r="I527" s="230"/>
      <c r="J527" s="230"/>
      <c r="K527" s="230"/>
    </row>
    <row r="528">
      <c r="A528" s="230"/>
      <c r="B528" s="230"/>
      <c r="I528" s="230"/>
      <c r="J528" s="230"/>
      <c r="K528" s="230"/>
    </row>
    <row r="529">
      <c r="A529" s="230"/>
      <c r="B529" s="230"/>
      <c r="I529" s="230"/>
      <c r="J529" s="230"/>
      <c r="K529" s="230"/>
    </row>
    <row r="530">
      <c r="A530" s="230"/>
      <c r="B530" s="230"/>
      <c r="I530" s="230"/>
      <c r="J530" s="230"/>
      <c r="K530" s="230"/>
    </row>
    <row r="531">
      <c r="A531" s="230"/>
      <c r="B531" s="230"/>
      <c r="I531" s="230"/>
      <c r="J531" s="230"/>
      <c r="K531" s="230"/>
    </row>
    <row r="532">
      <c r="A532" s="230"/>
      <c r="B532" s="230"/>
      <c r="I532" s="230"/>
      <c r="J532" s="230"/>
      <c r="K532" s="230"/>
    </row>
    <row r="533">
      <c r="A533" s="230"/>
      <c r="B533" s="230"/>
      <c r="I533" s="230"/>
      <c r="J533" s="230"/>
      <c r="K533" s="230"/>
    </row>
    <row r="534">
      <c r="A534" s="230"/>
      <c r="B534" s="230"/>
      <c r="I534" s="230"/>
      <c r="J534" s="230"/>
      <c r="K534" s="230"/>
    </row>
    <row r="535">
      <c r="A535" s="230"/>
      <c r="B535" s="230"/>
      <c r="I535" s="230"/>
      <c r="J535" s="230"/>
      <c r="K535" s="230"/>
    </row>
    <row r="536">
      <c r="A536" s="230"/>
      <c r="B536" s="230"/>
      <c r="I536" s="230"/>
      <c r="J536" s="230"/>
      <c r="K536" s="230"/>
    </row>
    <row r="537">
      <c r="A537" s="230"/>
      <c r="B537" s="230"/>
      <c r="I537" s="230"/>
      <c r="J537" s="230"/>
      <c r="K537" s="230"/>
    </row>
    <row r="538">
      <c r="A538" s="230"/>
      <c r="B538" s="230"/>
      <c r="I538" s="230"/>
      <c r="J538" s="230"/>
      <c r="K538" s="230"/>
    </row>
    <row r="539">
      <c r="A539" s="230"/>
      <c r="B539" s="230"/>
      <c r="I539" s="230"/>
      <c r="J539" s="230"/>
      <c r="K539" s="230"/>
    </row>
    <row r="540">
      <c r="A540" s="230"/>
      <c r="B540" s="230"/>
      <c r="I540" s="230"/>
      <c r="J540" s="230"/>
      <c r="K540" s="230"/>
    </row>
    <row r="541">
      <c r="A541" s="230"/>
      <c r="B541" s="230"/>
      <c r="I541" s="230"/>
      <c r="J541" s="230"/>
      <c r="K541" s="230"/>
    </row>
    <row r="542">
      <c r="A542" s="230"/>
      <c r="B542" s="230"/>
      <c r="I542" s="230"/>
      <c r="J542" s="230"/>
      <c r="K542" s="230"/>
    </row>
    <row r="543">
      <c r="A543" s="230"/>
      <c r="B543" s="230"/>
      <c r="I543" s="230"/>
      <c r="J543" s="230"/>
      <c r="K543" s="230"/>
    </row>
    <row r="544">
      <c r="A544" s="230"/>
      <c r="B544" s="230"/>
      <c r="I544" s="230"/>
      <c r="J544" s="230"/>
      <c r="K544" s="230"/>
    </row>
    <row r="545">
      <c r="A545" s="230"/>
      <c r="B545" s="230"/>
      <c r="I545" s="230"/>
      <c r="J545" s="230"/>
      <c r="K545" s="230"/>
    </row>
    <row r="546">
      <c r="A546" s="230"/>
      <c r="B546" s="230"/>
      <c r="I546" s="230"/>
      <c r="J546" s="230"/>
      <c r="K546" s="230"/>
    </row>
    <row r="547">
      <c r="A547" s="230"/>
      <c r="B547" s="230"/>
      <c r="I547" s="230"/>
      <c r="J547" s="230"/>
      <c r="K547" s="230"/>
    </row>
    <row r="548">
      <c r="A548" s="230"/>
      <c r="B548" s="230"/>
      <c r="I548" s="230"/>
      <c r="J548" s="230"/>
      <c r="K548" s="230"/>
    </row>
    <row r="549">
      <c r="A549" s="230"/>
      <c r="B549" s="230"/>
      <c r="I549" s="230"/>
      <c r="J549" s="230"/>
      <c r="K549" s="230"/>
    </row>
    <row r="550">
      <c r="A550" s="230"/>
      <c r="B550" s="230"/>
      <c r="I550" s="230"/>
      <c r="J550" s="230"/>
      <c r="K550" s="230"/>
    </row>
    <row r="551">
      <c r="A551" s="230"/>
      <c r="B551" s="230"/>
      <c r="I551" s="230"/>
      <c r="J551" s="230"/>
      <c r="K551" s="230"/>
    </row>
    <row r="552">
      <c r="A552" s="230"/>
      <c r="B552" s="230"/>
      <c r="I552" s="230"/>
      <c r="J552" s="230"/>
      <c r="K552" s="230"/>
    </row>
    <row r="553">
      <c r="A553" s="230"/>
      <c r="B553" s="230"/>
      <c r="I553" s="230"/>
      <c r="J553" s="230"/>
      <c r="K553" s="230"/>
    </row>
    <row r="554">
      <c r="A554" s="230"/>
      <c r="B554" s="230"/>
      <c r="I554" s="230"/>
      <c r="J554" s="230"/>
      <c r="K554" s="230"/>
    </row>
    <row r="555">
      <c r="A555" s="230"/>
      <c r="B555" s="230"/>
      <c r="I555" s="230"/>
      <c r="J555" s="230"/>
      <c r="K555" s="230"/>
    </row>
    <row r="556">
      <c r="A556" s="230"/>
      <c r="B556" s="230"/>
      <c r="I556" s="230"/>
      <c r="J556" s="230"/>
      <c r="K556" s="230"/>
    </row>
    <row r="557">
      <c r="A557" s="230"/>
      <c r="B557" s="230"/>
      <c r="I557" s="230"/>
      <c r="J557" s="230"/>
      <c r="K557" s="230"/>
    </row>
    <row r="558">
      <c r="A558" s="230"/>
      <c r="B558" s="230"/>
      <c r="I558" s="230"/>
      <c r="J558" s="230"/>
      <c r="K558" s="230"/>
    </row>
    <row r="559">
      <c r="A559" s="230"/>
      <c r="B559" s="230"/>
      <c r="I559" s="230"/>
      <c r="J559" s="230"/>
      <c r="K559" s="230"/>
    </row>
    <row r="560">
      <c r="A560" s="230"/>
      <c r="B560" s="230"/>
      <c r="I560" s="230"/>
      <c r="J560" s="230"/>
      <c r="K560" s="230"/>
    </row>
    <row r="561">
      <c r="A561" s="230"/>
      <c r="B561" s="230"/>
      <c r="I561" s="230"/>
      <c r="J561" s="230"/>
      <c r="K561" s="230"/>
    </row>
    <row r="562">
      <c r="A562" s="230"/>
      <c r="B562" s="230"/>
      <c r="I562" s="230"/>
      <c r="J562" s="230"/>
      <c r="K562" s="230"/>
    </row>
    <row r="563">
      <c r="A563" s="230"/>
      <c r="B563" s="230"/>
      <c r="I563" s="230"/>
      <c r="J563" s="230"/>
      <c r="K563" s="230"/>
    </row>
    <row r="564">
      <c r="A564" s="230"/>
      <c r="B564" s="230"/>
      <c r="I564" s="230"/>
      <c r="J564" s="230"/>
      <c r="K564" s="230"/>
    </row>
    <row r="565">
      <c r="A565" s="230"/>
      <c r="B565" s="230"/>
      <c r="I565" s="230"/>
      <c r="J565" s="230"/>
      <c r="K565" s="230"/>
    </row>
    <row r="566">
      <c r="A566" s="230"/>
      <c r="B566" s="230"/>
      <c r="I566" s="230"/>
      <c r="J566" s="230"/>
      <c r="K566" s="230"/>
    </row>
    <row r="567">
      <c r="A567" s="230"/>
      <c r="B567" s="230"/>
      <c r="I567" s="230"/>
      <c r="J567" s="230"/>
      <c r="K567" s="230"/>
    </row>
    <row r="568">
      <c r="A568" s="230"/>
      <c r="B568" s="230"/>
      <c r="I568" s="230"/>
      <c r="J568" s="230"/>
      <c r="K568" s="230"/>
    </row>
    <row r="569">
      <c r="A569" s="230"/>
      <c r="B569" s="230"/>
      <c r="I569" s="230"/>
      <c r="J569" s="230"/>
      <c r="K569" s="230"/>
    </row>
    <row r="570">
      <c r="A570" s="230"/>
      <c r="B570" s="230"/>
      <c r="I570" s="230"/>
      <c r="J570" s="230"/>
      <c r="K570" s="230"/>
    </row>
    <row r="571">
      <c r="A571" s="230"/>
      <c r="B571" s="230"/>
      <c r="I571" s="230"/>
      <c r="J571" s="230"/>
      <c r="K571" s="230"/>
    </row>
    <row r="572">
      <c r="A572" s="230"/>
      <c r="B572" s="230"/>
      <c r="I572" s="230"/>
      <c r="J572" s="230"/>
      <c r="K572" s="230"/>
    </row>
    <row r="573">
      <c r="A573" s="230"/>
      <c r="B573" s="230"/>
      <c r="I573" s="230"/>
      <c r="J573" s="230"/>
      <c r="K573" s="230"/>
    </row>
    <row r="574">
      <c r="A574" s="230"/>
      <c r="B574" s="230"/>
      <c r="I574" s="230"/>
      <c r="J574" s="230"/>
      <c r="K574" s="230"/>
    </row>
    <row r="575">
      <c r="A575" s="230"/>
      <c r="B575" s="230"/>
      <c r="I575" s="230"/>
      <c r="J575" s="230"/>
      <c r="K575" s="230"/>
    </row>
    <row r="576">
      <c r="A576" s="230"/>
      <c r="B576" s="230"/>
      <c r="I576" s="230"/>
      <c r="J576" s="230"/>
      <c r="K576" s="230"/>
    </row>
    <row r="577">
      <c r="A577" s="230"/>
      <c r="B577" s="230"/>
      <c r="I577" s="230"/>
      <c r="J577" s="230"/>
      <c r="K577" s="230"/>
    </row>
    <row r="578">
      <c r="A578" s="230"/>
      <c r="B578" s="230"/>
      <c r="I578" s="230"/>
      <c r="J578" s="230"/>
      <c r="K578" s="230"/>
    </row>
    <row r="579">
      <c r="A579" s="230"/>
      <c r="B579" s="230"/>
      <c r="I579" s="230"/>
      <c r="J579" s="230"/>
      <c r="K579" s="230"/>
    </row>
    <row r="580">
      <c r="A580" s="230"/>
      <c r="B580" s="230"/>
      <c r="I580" s="230"/>
      <c r="J580" s="230"/>
      <c r="K580" s="230"/>
    </row>
    <row r="581">
      <c r="A581" s="230"/>
      <c r="B581" s="230"/>
      <c r="I581" s="230"/>
      <c r="J581" s="230"/>
      <c r="K581" s="230"/>
    </row>
    <row r="582">
      <c r="A582" s="230"/>
      <c r="B582" s="230"/>
      <c r="I582" s="230"/>
      <c r="J582" s="230"/>
      <c r="K582" s="230"/>
    </row>
    <row r="583">
      <c r="A583" s="230"/>
      <c r="B583" s="230"/>
      <c r="I583" s="230"/>
      <c r="J583" s="230"/>
      <c r="K583" s="230"/>
    </row>
    <row r="584">
      <c r="A584" s="230"/>
      <c r="B584" s="230"/>
      <c r="I584" s="230"/>
      <c r="J584" s="230"/>
      <c r="K584" s="230"/>
    </row>
    <row r="585">
      <c r="A585" s="230"/>
      <c r="B585" s="230"/>
      <c r="I585" s="230"/>
      <c r="J585" s="230"/>
      <c r="K585" s="230"/>
    </row>
    <row r="586">
      <c r="A586" s="230"/>
      <c r="B586" s="230"/>
      <c r="I586" s="230"/>
      <c r="J586" s="230"/>
      <c r="K586" s="230"/>
    </row>
    <row r="587">
      <c r="A587" s="230"/>
      <c r="B587" s="230"/>
      <c r="I587" s="230"/>
      <c r="J587" s="230"/>
      <c r="K587" s="230"/>
    </row>
    <row r="588">
      <c r="A588" s="230"/>
      <c r="B588" s="230"/>
      <c r="I588" s="230"/>
      <c r="J588" s="230"/>
      <c r="K588" s="230"/>
    </row>
    <row r="589">
      <c r="A589" s="230"/>
      <c r="B589" s="230"/>
      <c r="I589" s="230"/>
      <c r="J589" s="230"/>
      <c r="K589" s="230"/>
    </row>
    <row r="590">
      <c r="A590" s="230"/>
      <c r="B590" s="230"/>
      <c r="I590" s="230"/>
      <c r="J590" s="230"/>
      <c r="K590" s="230"/>
    </row>
    <row r="591">
      <c r="A591" s="230"/>
      <c r="B591" s="230"/>
      <c r="I591" s="230"/>
      <c r="J591" s="230"/>
      <c r="K591" s="230"/>
    </row>
    <row r="592">
      <c r="A592" s="230"/>
      <c r="B592" s="230"/>
      <c r="I592" s="230"/>
      <c r="J592" s="230"/>
      <c r="K592" s="230"/>
    </row>
    <row r="593">
      <c r="A593" s="230"/>
      <c r="B593" s="230"/>
      <c r="I593" s="230"/>
      <c r="J593" s="230"/>
      <c r="K593" s="230"/>
    </row>
    <row r="594">
      <c r="A594" s="230"/>
      <c r="B594" s="230"/>
      <c r="I594" s="230"/>
      <c r="J594" s="230"/>
      <c r="K594" s="230"/>
    </row>
    <row r="595">
      <c r="A595" s="230"/>
      <c r="B595" s="230"/>
      <c r="I595" s="230"/>
      <c r="J595" s="230"/>
      <c r="K595" s="230"/>
    </row>
    <row r="596">
      <c r="A596" s="230"/>
      <c r="B596" s="230"/>
      <c r="I596" s="230"/>
      <c r="J596" s="230"/>
      <c r="K596" s="230"/>
    </row>
    <row r="597">
      <c r="A597" s="230"/>
      <c r="B597" s="230"/>
      <c r="I597" s="230"/>
      <c r="J597" s="230"/>
      <c r="K597" s="230"/>
    </row>
    <row r="598">
      <c r="A598" s="230"/>
      <c r="B598" s="230"/>
      <c r="I598" s="230"/>
      <c r="J598" s="230"/>
      <c r="K598" s="230"/>
    </row>
    <row r="599">
      <c r="A599" s="230"/>
      <c r="B599" s="230"/>
      <c r="I599" s="230"/>
      <c r="J599" s="230"/>
      <c r="K599" s="230"/>
    </row>
    <row r="600">
      <c r="A600" s="230"/>
      <c r="B600" s="230"/>
      <c r="I600" s="230"/>
      <c r="J600" s="230"/>
      <c r="K600" s="230"/>
    </row>
    <row r="601">
      <c r="A601" s="230"/>
      <c r="B601" s="230"/>
      <c r="I601" s="230"/>
      <c r="J601" s="230"/>
      <c r="K601" s="230"/>
    </row>
    <row r="602">
      <c r="A602" s="230"/>
      <c r="B602" s="230"/>
      <c r="I602" s="230"/>
      <c r="J602" s="230"/>
      <c r="K602" s="230"/>
    </row>
    <row r="603">
      <c r="A603" s="230"/>
      <c r="B603" s="230"/>
      <c r="I603" s="230"/>
      <c r="J603" s="230"/>
      <c r="K603" s="230"/>
    </row>
    <row r="604">
      <c r="A604" s="230"/>
      <c r="B604" s="230"/>
      <c r="I604" s="230"/>
      <c r="J604" s="230"/>
      <c r="K604" s="230"/>
    </row>
    <row r="605">
      <c r="A605" s="230"/>
      <c r="B605" s="230"/>
      <c r="I605" s="230"/>
      <c r="J605" s="230"/>
      <c r="K605" s="230"/>
    </row>
    <row r="606">
      <c r="A606" s="230"/>
      <c r="B606" s="230"/>
      <c r="I606" s="230"/>
      <c r="J606" s="230"/>
      <c r="K606" s="230"/>
    </row>
    <row r="607">
      <c r="A607" s="230"/>
      <c r="B607" s="230"/>
      <c r="I607" s="230"/>
      <c r="J607" s="230"/>
      <c r="K607" s="230"/>
    </row>
    <row r="608">
      <c r="A608" s="230"/>
      <c r="B608" s="230"/>
      <c r="I608" s="230"/>
      <c r="J608" s="230"/>
      <c r="K608" s="230"/>
    </row>
    <row r="609">
      <c r="A609" s="230"/>
      <c r="B609" s="230"/>
      <c r="I609" s="230"/>
      <c r="J609" s="230"/>
      <c r="K609" s="230"/>
    </row>
    <row r="610">
      <c r="A610" s="230"/>
      <c r="B610" s="230"/>
      <c r="I610" s="230"/>
      <c r="J610" s="230"/>
      <c r="K610" s="230"/>
    </row>
    <row r="611">
      <c r="A611" s="230"/>
      <c r="B611" s="230"/>
      <c r="I611" s="230"/>
      <c r="J611" s="230"/>
      <c r="K611" s="230"/>
    </row>
    <row r="612">
      <c r="A612" s="230"/>
      <c r="B612" s="230"/>
      <c r="I612" s="230"/>
      <c r="J612" s="230"/>
      <c r="K612" s="230"/>
    </row>
    <row r="613">
      <c r="A613" s="230"/>
      <c r="B613" s="230"/>
      <c r="I613" s="230"/>
      <c r="J613" s="230"/>
      <c r="K613" s="230"/>
    </row>
    <row r="614">
      <c r="A614" s="230"/>
      <c r="B614" s="230"/>
      <c r="I614" s="230"/>
      <c r="J614" s="230"/>
      <c r="K614" s="230"/>
    </row>
    <row r="615">
      <c r="A615" s="230"/>
      <c r="B615" s="230"/>
      <c r="I615" s="230"/>
      <c r="J615" s="230"/>
      <c r="K615" s="230"/>
    </row>
    <row r="616">
      <c r="A616" s="230"/>
      <c r="B616" s="230"/>
      <c r="I616" s="230"/>
      <c r="J616" s="230"/>
      <c r="K616" s="230"/>
    </row>
    <row r="617">
      <c r="A617" s="230"/>
      <c r="B617" s="230"/>
      <c r="I617" s="230"/>
      <c r="J617" s="230"/>
      <c r="K617" s="230"/>
    </row>
    <row r="618">
      <c r="A618" s="230"/>
      <c r="B618" s="230"/>
      <c r="I618" s="230"/>
      <c r="J618" s="230"/>
      <c r="K618" s="230"/>
    </row>
    <row r="619">
      <c r="A619" s="230"/>
      <c r="B619" s="230"/>
      <c r="I619" s="230"/>
      <c r="J619" s="230"/>
      <c r="K619" s="230"/>
    </row>
    <row r="620">
      <c r="A620" s="230"/>
      <c r="B620" s="230"/>
      <c r="I620" s="230"/>
      <c r="J620" s="230"/>
      <c r="K620" s="230"/>
    </row>
    <row r="621">
      <c r="A621" s="230"/>
      <c r="B621" s="230"/>
      <c r="I621" s="230"/>
      <c r="J621" s="230"/>
      <c r="K621" s="230"/>
    </row>
    <row r="622">
      <c r="A622" s="230"/>
      <c r="B622" s="230"/>
      <c r="I622" s="230"/>
      <c r="J622" s="230"/>
      <c r="K622" s="230"/>
    </row>
    <row r="623">
      <c r="A623" s="230"/>
      <c r="B623" s="230"/>
      <c r="I623" s="230"/>
      <c r="J623" s="230"/>
      <c r="K623" s="230"/>
    </row>
    <row r="624">
      <c r="A624" s="230"/>
      <c r="B624" s="230"/>
      <c r="I624" s="230"/>
      <c r="J624" s="230"/>
      <c r="K624" s="230"/>
    </row>
    <row r="625">
      <c r="A625" s="230"/>
      <c r="B625" s="230"/>
      <c r="I625" s="230"/>
      <c r="J625" s="230"/>
      <c r="K625" s="230"/>
    </row>
    <row r="626">
      <c r="A626" s="230"/>
      <c r="B626" s="230"/>
      <c r="I626" s="230"/>
      <c r="J626" s="230"/>
      <c r="K626" s="230"/>
    </row>
    <row r="627">
      <c r="A627" s="230"/>
      <c r="B627" s="230"/>
      <c r="I627" s="230"/>
      <c r="J627" s="230"/>
      <c r="K627" s="230"/>
    </row>
    <row r="628">
      <c r="A628" s="230"/>
      <c r="B628" s="230"/>
      <c r="I628" s="230"/>
      <c r="J628" s="230"/>
      <c r="K628" s="230"/>
    </row>
    <row r="629">
      <c r="A629" s="230"/>
      <c r="B629" s="230"/>
      <c r="I629" s="230"/>
      <c r="J629" s="230"/>
      <c r="K629" s="230"/>
    </row>
    <row r="630">
      <c r="A630" s="230"/>
      <c r="B630" s="230"/>
      <c r="I630" s="230"/>
      <c r="J630" s="230"/>
      <c r="K630" s="230"/>
    </row>
    <row r="631">
      <c r="A631" s="230"/>
      <c r="B631" s="230"/>
      <c r="I631" s="230"/>
      <c r="J631" s="230"/>
      <c r="K631" s="230"/>
    </row>
    <row r="632">
      <c r="A632" s="230"/>
      <c r="B632" s="230"/>
      <c r="I632" s="230"/>
      <c r="J632" s="230"/>
      <c r="K632" s="230"/>
    </row>
    <row r="633">
      <c r="A633" s="230"/>
      <c r="B633" s="230"/>
      <c r="I633" s="230"/>
      <c r="J633" s="230"/>
      <c r="K633" s="230"/>
    </row>
    <row r="634">
      <c r="A634" s="230"/>
      <c r="B634" s="230"/>
      <c r="I634" s="230"/>
      <c r="J634" s="230"/>
      <c r="K634" s="230"/>
    </row>
    <row r="635">
      <c r="A635" s="230"/>
      <c r="B635" s="230"/>
      <c r="I635" s="230"/>
      <c r="J635" s="230"/>
      <c r="K635" s="230"/>
    </row>
    <row r="636">
      <c r="A636" s="230"/>
      <c r="B636" s="230"/>
      <c r="I636" s="230"/>
      <c r="J636" s="230"/>
      <c r="K636" s="230"/>
    </row>
    <row r="637">
      <c r="A637" s="230"/>
      <c r="B637" s="230"/>
      <c r="I637" s="230"/>
      <c r="J637" s="230"/>
      <c r="K637" s="230"/>
    </row>
    <row r="638">
      <c r="A638" s="230"/>
      <c r="B638" s="230"/>
      <c r="I638" s="230"/>
      <c r="J638" s="230"/>
      <c r="K638" s="230"/>
    </row>
    <row r="639">
      <c r="A639" s="230"/>
      <c r="B639" s="230"/>
      <c r="I639" s="230"/>
      <c r="J639" s="230"/>
      <c r="K639" s="230"/>
    </row>
    <row r="640">
      <c r="A640" s="230"/>
      <c r="B640" s="230"/>
      <c r="I640" s="230"/>
      <c r="J640" s="230"/>
      <c r="K640" s="230"/>
    </row>
    <row r="641">
      <c r="A641" s="230"/>
      <c r="B641" s="230"/>
      <c r="I641" s="230"/>
      <c r="J641" s="230"/>
      <c r="K641" s="230"/>
    </row>
    <row r="642">
      <c r="A642" s="230"/>
      <c r="B642" s="230"/>
      <c r="I642" s="230"/>
      <c r="J642" s="230"/>
      <c r="K642" s="230"/>
    </row>
    <row r="643">
      <c r="A643" s="230"/>
      <c r="B643" s="230"/>
      <c r="I643" s="230"/>
      <c r="J643" s="230"/>
      <c r="K643" s="230"/>
    </row>
    <row r="644">
      <c r="A644" s="230"/>
      <c r="B644" s="230"/>
      <c r="I644" s="230"/>
      <c r="J644" s="230"/>
      <c r="K644" s="230"/>
    </row>
    <row r="645">
      <c r="A645" s="230"/>
      <c r="B645" s="230"/>
      <c r="I645" s="230"/>
      <c r="J645" s="230"/>
      <c r="K645" s="230"/>
    </row>
    <row r="646">
      <c r="A646" s="230"/>
      <c r="B646" s="230"/>
      <c r="I646" s="230"/>
      <c r="J646" s="230"/>
      <c r="K646" s="230"/>
    </row>
    <row r="647">
      <c r="A647" s="230"/>
      <c r="B647" s="230"/>
      <c r="I647" s="230"/>
      <c r="J647" s="230"/>
      <c r="K647" s="230"/>
    </row>
    <row r="648">
      <c r="A648" s="230"/>
      <c r="B648" s="230"/>
      <c r="I648" s="230"/>
      <c r="J648" s="230"/>
      <c r="K648" s="230"/>
    </row>
    <row r="649">
      <c r="A649" s="230"/>
      <c r="B649" s="230"/>
      <c r="I649" s="230"/>
      <c r="J649" s="230"/>
      <c r="K649" s="230"/>
    </row>
    <row r="650">
      <c r="A650" s="230"/>
      <c r="B650" s="230"/>
      <c r="I650" s="230"/>
      <c r="J650" s="230"/>
      <c r="K650" s="230"/>
    </row>
    <row r="651">
      <c r="A651" s="230"/>
      <c r="B651" s="230"/>
      <c r="I651" s="230"/>
      <c r="J651" s="230"/>
      <c r="K651" s="230"/>
    </row>
    <row r="652">
      <c r="A652" s="230"/>
      <c r="B652" s="230"/>
      <c r="I652" s="230"/>
      <c r="J652" s="230"/>
      <c r="K652" s="230"/>
    </row>
    <row r="653">
      <c r="A653" s="230"/>
      <c r="B653" s="230"/>
      <c r="I653" s="230"/>
      <c r="J653" s="230"/>
      <c r="K653" s="230"/>
    </row>
    <row r="654">
      <c r="A654" s="230"/>
      <c r="B654" s="230"/>
      <c r="I654" s="230"/>
      <c r="J654" s="230"/>
      <c r="K654" s="230"/>
    </row>
    <row r="655">
      <c r="A655" s="230"/>
      <c r="B655" s="230"/>
      <c r="I655" s="230"/>
      <c r="J655" s="230"/>
      <c r="K655" s="230"/>
    </row>
    <row r="656">
      <c r="A656" s="230"/>
      <c r="B656" s="230"/>
      <c r="I656" s="230"/>
      <c r="J656" s="230"/>
      <c r="K656" s="230"/>
    </row>
    <row r="657">
      <c r="A657" s="230"/>
      <c r="B657" s="230"/>
      <c r="I657" s="230"/>
      <c r="J657" s="230"/>
      <c r="K657" s="230"/>
    </row>
    <row r="658">
      <c r="A658" s="230"/>
      <c r="B658" s="230"/>
      <c r="I658" s="230"/>
      <c r="J658" s="230"/>
      <c r="K658" s="230"/>
    </row>
    <row r="659">
      <c r="A659" s="230"/>
      <c r="B659" s="230"/>
      <c r="I659" s="230"/>
      <c r="J659" s="230"/>
      <c r="K659" s="230"/>
    </row>
    <row r="660">
      <c r="A660" s="230"/>
      <c r="B660" s="230"/>
      <c r="I660" s="230"/>
      <c r="J660" s="230"/>
      <c r="K660" s="230"/>
    </row>
    <row r="661">
      <c r="A661" s="230"/>
      <c r="B661" s="230"/>
      <c r="I661" s="230"/>
      <c r="J661" s="230"/>
      <c r="K661" s="230"/>
    </row>
    <row r="662">
      <c r="A662" s="230"/>
      <c r="B662" s="230"/>
      <c r="I662" s="230"/>
      <c r="J662" s="230"/>
      <c r="K662" s="230"/>
    </row>
    <row r="663">
      <c r="A663" s="230"/>
      <c r="B663" s="230"/>
      <c r="I663" s="230"/>
      <c r="J663" s="230"/>
      <c r="K663" s="230"/>
    </row>
    <row r="664">
      <c r="A664" s="230"/>
      <c r="B664" s="230"/>
      <c r="I664" s="230"/>
      <c r="J664" s="230"/>
      <c r="K664" s="230"/>
    </row>
    <row r="665">
      <c r="A665" s="230"/>
      <c r="B665" s="230"/>
      <c r="I665" s="230"/>
      <c r="J665" s="230"/>
      <c r="K665" s="230"/>
    </row>
    <row r="666">
      <c r="A666" s="230"/>
      <c r="B666" s="230"/>
      <c r="I666" s="230"/>
      <c r="J666" s="230"/>
      <c r="K666" s="230"/>
    </row>
    <row r="667">
      <c r="A667" s="230"/>
      <c r="B667" s="230"/>
      <c r="I667" s="230"/>
      <c r="J667" s="230"/>
      <c r="K667" s="230"/>
    </row>
    <row r="668">
      <c r="A668" s="230"/>
      <c r="B668" s="230"/>
      <c r="I668" s="230"/>
      <c r="J668" s="230"/>
      <c r="K668" s="230"/>
    </row>
    <row r="669">
      <c r="A669" s="230"/>
      <c r="B669" s="230"/>
      <c r="I669" s="230"/>
      <c r="J669" s="230"/>
      <c r="K669" s="230"/>
    </row>
    <row r="670">
      <c r="A670" s="230"/>
      <c r="B670" s="230"/>
      <c r="I670" s="230"/>
      <c r="J670" s="230"/>
      <c r="K670" s="230"/>
    </row>
    <row r="671">
      <c r="A671" s="230"/>
      <c r="B671" s="230"/>
      <c r="I671" s="230"/>
      <c r="J671" s="230"/>
      <c r="K671" s="230"/>
    </row>
    <row r="672">
      <c r="A672" s="230"/>
      <c r="B672" s="230"/>
      <c r="I672" s="230"/>
      <c r="J672" s="230"/>
      <c r="K672" s="230"/>
    </row>
    <row r="673">
      <c r="A673" s="230"/>
      <c r="B673" s="230"/>
      <c r="I673" s="230"/>
      <c r="J673" s="230"/>
      <c r="K673" s="230"/>
    </row>
    <row r="674">
      <c r="A674" s="230"/>
      <c r="B674" s="230"/>
      <c r="I674" s="230"/>
      <c r="J674" s="230"/>
      <c r="K674" s="230"/>
    </row>
    <row r="675">
      <c r="A675" s="230"/>
      <c r="B675" s="230"/>
      <c r="I675" s="230"/>
      <c r="J675" s="230"/>
      <c r="K675" s="230"/>
    </row>
    <row r="676">
      <c r="A676" s="230"/>
      <c r="B676" s="230"/>
      <c r="I676" s="230"/>
      <c r="J676" s="230"/>
      <c r="K676" s="230"/>
    </row>
    <row r="677">
      <c r="A677" s="230"/>
      <c r="B677" s="230"/>
      <c r="I677" s="230"/>
      <c r="J677" s="230"/>
      <c r="K677" s="230"/>
    </row>
    <row r="678">
      <c r="A678" s="230"/>
      <c r="B678" s="230"/>
      <c r="I678" s="230"/>
      <c r="J678" s="230"/>
      <c r="K678" s="230"/>
    </row>
    <row r="679">
      <c r="A679" s="230"/>
      <c r="B679" s="230"/>
      <c r="I679" s="230"/>
      <c r="J679" s="230"/>
      <c r="K679" s="230"/>
    </row>
    <row r="680">
      <c r="A680" s="230"/>
      <c r="B680" s="230"/>
      <c r="I680" s="230"/>
      <c r="J680" s="230"/>
      <c r="K680" s="230"/>
    </row>
    <row r="681">
      <c r="A681" s="230"/>
      <c r="B681" s="230"/>
      <c r="I681" s="230"/>
      <c r="J681" s="230"/>
      <c r="K681" s="230"/>
    </row>
    <row r="682">
      <c r="A682" s="230"/>
      <c r="B682" s="230"/>
      <c r="I682" s="230"/>
      <c r="J682" s="230"/>
      <c r="K682" s="230"/>
    </row>
    <row r="683">
      <c r="A683" s="230"/>
      <c r="B683" s="230"/>
      <c r="I683" s="230"/>
      <c r="J683" s="230"/>
      <c r="K683" s="230"/>
    </row>
    <row r="684">
      <c r="A684" s="230"/>
      <c r="B684" s="230"/>
      <c r="I684" s="230"/>
      <c r="J684" s="230"/>
      <c r="K684" s="230"/>
    </row>
    <row r="685">
      <c r="A685" s="230"/>
      <c r="B685" s="230"/>
      <c r="I685" s="230"/>
      <c r="J685" s="230"/>
      <c r="K685" s="230"/>
    </row>
    <row r="686">
      <c r="A686" s="230"/>
      <c r="B686" s="230"/>
      <c r="I686" s="230"/>
      <c r="J686" s="230"/>
      <c r="K686" s="230"/>
    </row>
    <row r="687">
      <c r="A687" s="230"/>
      <c r="B687" s="230"/>
      <c r="I687" s="230"/>
      <c r="J687" s="230"/>
      <c r="K687" s="230"/>
    </row>
    <row r="688">
      <c r="A688" s="230"/>
      <c r="B688" s="230"/>
      <c r="I688" s="230"/>
      <c r="J688" s="230"/>
      <c r="K688" s="230"/>
    </row>
    <row r="689">
      <c r="A689" s="230"/>
      <c r="B689" s="230"/>
      <c r="I689" s="230"/>
      <c r="J689" s="230"/>
      <c r="K689" s="230"/>
    </row>
    <row r="690">
      <c r="A690" s="230"/>
      <c r="B690" s="230"/>
      <c r="I690" s="230"/>
      <c r="J690" s="230"/>
      <c r="K690" s="230"/>
    </row>
    <row r="691">
      <c r="A691" s="230"/>
      <c r="B691" s="230"/>
      <c r="I691" s="230"/>
      <c r="J691" s="230"/>
      <c r="K691" s="230"/>
    </row>
    <row r="692">
      <c r="A692" s="230"/>
      <c r="B692" s="230"/>
      <c r="I692" s="230"/>
      <c r="J692" s="230"/>
      <c r="K692" s="230"/>
    </row>
    <row r="693">
      <c r="A693" s="230"/>
      <c r="B693" s="230"/>
      <c r="I693" s="230"/>
      <c r="J693" s="230"/>
      <c r="K693" s="230"/>
    </row>
    <row r="694">
      <c r="A694" s="230"/>
      <c r="B694" s="230"/>
      <c r="I694" s="230"/>
      <c r="J694" s="230"/>
      <c r="K694" s="230"/>
    </row>
    <row r="695">
      <c r="A695" s="230"/>
      <c r="B695" s="230"/>
      <c r="I695" s="230"/>
      <c r="J695" s="230"/>
      <c r="K695" s="230"/>
    </row>
    <row r="696">
      <c r="A696" s="230"/>
      <c r="B696" s="230"/>
      <c r="I696" s="230"/>
      <c r="J696" s="230"/>
      <c r="K696" s="230"/>
    </row>
    <row r="697">
      <c r="A697" s="230"/>
      <c r="B697" s="230"/>
      <c r="I697" s="230"/>
      <c r="J697" s="230"/>
      <c r="K697" s="230"/>
    </row>
    <row r="698">
      <c r="A698" s="230"/>
      <c r="B698" s="230"/>
      <c r="I698" s="230"/>
      <c r="J698" s="230"/>
      <c r="K698" s="230"/>
    </row>
    <row r="699">
      <c r="A699" s="230"/>
      <c r="B699" s="230"/>
      <c r="I699" s="230"/>
      <c r="J699" s="230"/>
      <c r="K699" s="230"/>
    </row>
    <row r="700">
      <c r="A700" s="230"/>
      <c r="B700" s="230"/>
      <c r="I700" s="230"/>
      <c r="J700" s="230"/>
      <c r="K700" s="230"/>
    </row>
    <row r="701">
      <c r="A701" s="230"/>
      <c r="B701" s="230"/>
      <c r="I701" s="230"/>
      <c r="J701" s="230"/>
      <c r="K701" s="230"/>
    </row>
    <row r="702">
      <c r="A702" s="230"/>
      <c r="B702" s="230"/>
      <c r="I702" s="230"/>
      <c r="J702" s="230"/>
      <c r="K702" s="230"/>
    </row>
    <row r="703">
      <c r="A703" s="230"/>
      <c r="B703" s="230"/>
      <c r="I703" s="230"/>
      <c r="J703" s="230"/>
      <c r="K703" s="230"/>
    </row>
    <row r="704">
      <c r="A704" s="230"/>
      <c r="B704" s="230"/>
      <c r="I704" s="230"/>
      <c r="J704" s="230"/>
      <c r="K704" s="230"/>
    </row>
    <row r="705">
      <c r="A705" s="230"/>
      <c r="B705" s="230"/>
      <c r="I705" s="230"/>
      <c r="J705" s="230"/>
      <c r="K705" s="230"/>
    </row>
    <row r="706">
      <c r="A706" s="230"/>
      <c r="B706" s="230"/>
      <c r="I706" s="230"/>
      <c r="J706" s="230"/>
      <c r="K706" s="230"/>
    </row>
    <row r="707">
      <c r="A707" s="230"/>
      <c r="B707" s="230"/>
      <c r="I707" s="230"/>
      <c r="J707" s="230"/>
      <c r="K707" s="230"/>
    </row>
    <row r="708">
      <c r="A708" s="230"/>
      <c r="B708" s="230"/>
      <c r="I708" s="230"/>
      <c r="J708" s="230"/>
      <c r="K708" s="230"/>
    </row>
    <row r="709">
      <c r="A709" s="230"/>
      <c r="B709" s="230"/>
      <c r="I709" s="230"/>
      <c r="J709" s="230"/>
      <c r="K709" s="230"/>
    </row>
    <row r="710">
      <c r="A710" s="230"/>
      <c r="B710" s="230"/>
      <c r="I710" s="230"/>
      <c r="J710" s="230"/>
      <c r="K710" s="230"/>
    </row>
    <row r="711">
      <c r="A711" s="230"/>
      <c r="B711" s="230"/>
      <c r="I711" s="230"/>
      <c r="J711" s="230"/>
      <c r="K711" s="230"/>
    </row>
    <row r="712">
      <c r="A712" s="230"/>
      <c r="B712" s="230"/>
      <c r="I712" s="230"/>
      <c r="J712" s="230"/>
      <c r="K712" s="230"/>
    </row>
    <row r="713">
      <c r="A713" s="230"/>
      <c r="B713" s="230"/>
      <c r="I713" s="230"/>
      <c r="J713" s="230"/>
      <c r="K713" s="230"/>
    </row>
    <row r="714">
      <c r="A714" s="230"/>
      <c r="B714" s="230"/>
      <c r="I714" s="230"/>
      <c r="J714" s="230"/>
      <c r="K714" s="230"/>
    </row>
    <row r="715">
      <c r="A715" s="230"/>
      <c r="B715" s="230"/>
      <c r="I715" s="230"/>
      <c r="J715" s="230"/>
      <c r="K715" s="230"/>
    </row>
    <row r="716">
      <c r="A716" s="230"/>
      <c r="B716" s="230"/>
      <c r="I716" s="230"/>
      <c r="J716" s="230"/>
      <c r="K716" s="230"/>
    </row>
    <row r="717">
      <c r="A717" s="230"/>
      <c r="B717" s="230"/>
      <c r="I717" s="230"/>
      <c r="J717" s="230"/>
      <c r="K717" s="230"/>
    </row>
    <row r="718">
      <c r="A718" s="230"/>
      <c r="B718" s="230"/>
      <c r="I718" s="230"/>
      <c r="J718" s="230"/>
      <c r="K718" s="230"/>
    </row>
    <row r="719">
      <c r="A719" s="230"/>
      <c r="B719" s="230"/>
      <c r="I719" s="230"/>
      <c r="J719" s="230"/>
      <c r="K719" s="230"/>
    </row>
    <row r="720">
      <c r="A720" s="230"/>
      <c r="B720" s="230"/>
      <c r="I720" s="230"/>
      <c r="J720" s="230"/>
      <c r="K720" s="230"/>
    </row>
    <row r="721">
      <c r="A721" s="230"/>
      <c r="B721" s="230"/>
      <c r="I721" s="230"/>
      <c r="J721" s="230"/>
      <c r="K721" s="230"/>
    </row>
    <row r="722">
      <c r="A722" s="230"/>
      <c r="B722" s="230"/>
      <c r="I722" s="230"/>
      <c r="J722" s="230"/>
      <c r="K722" s="230"/>
    </row>
    <row r="723">
      <c r="A723" s="230"/>
      <c r="B723" s="230"/>
      <c r="I723" s="230"/>
      <c r="J723" s="230"/>
      <c r="K723" s="230"/>
    </row>
    <row r="724">
      <c r="A724" s="230"/>
      <c r="B724" s="230"/>
      <c r="I724" s="230"/>
      <c r="J724" s="230"/>
      <c r="K724" s="230"/>
    </row>
    <row r="725">
      <c r="A725" s="230"/>
      <c r="B725" s="230"/>
      <c r="I725" s="230"/>
      <c r="J725" s="230"/>
      <c r="K725" s="230"/>
    </row>
    <row r="726">
      <c r="A726" s="230"/>
      <c r="B726" s="230"/>
      <c r="I726" s="230"/>
      <c r="J726" s="230"/>
      <c r="K726" s="230"/>
    </row>
    <row r="727">
      <c r="A727" s="230"/>
      <c r="B727" s="230"/>
      <c r="I727" s="230"/>
      <c r="J727" s="230"/>
      <c r="K727" s="230"/>
    </row>
    <row r="728">
      <c r="A728" s="230"/>
      <c r="B728" s="230"/>
      <c r="I728" s="230"/>
      <c r="J728" s="230"/>
      <c r="K728" s="230"/>
    </row>
    <row r="729">
      <c r="A729" s="230"/>
      <c r="B729" s="230"/>
      <c r="I729" s="230"/>
      <c r="J729" s="230"/>
      <c r="K729" s="230"/>
    </row>
    <row r="730">
      <c r="A730" s="230"/>
      <c r="B730" s="230"/>
      <c r="I730" s="230"/>
      <c r="J730" s="230"/>
      <c r="K730" s="230"/>
    </row>
    <row r="731">
      <c r="A731" s="230"/>
      <c r="B731" s="230"/>
      <c r="I731" s="230"/>
      <c r="J731" s="230"/>
      <c r="K731" s="230"/>
    </row>
    <row r="732">
      <c r="A732" s="230"/>
      <c r="B732" s="230"/>
      <c r="I732" s="230"/>
      <c r="J732" s="230"/>
      <c r="K732" s="230"/>
    </row>
    <row r="733">
      <c r="A733" s="230"/>
      <c r="B733" s="230"/>
      <c r="I733" s="230"/>
      <c r="J733" s="230"/>
      <c r="K733" s="230"/>
    </row>
    <row r="734">
      <c r="A734" s="230"/>
      <c r="B734" s="230"/>
      <c r="I734" s="230"/>
      <c r="J734" s="230"/>
      <c r="K734" s="230"/>
    </row>
    <row r="735">
      <c r="A735" s="230"/>
      <c r="B735" s="230"/>
      <c r="I735" s="230"/>
      <c r="J735" s="230"/>
      <c r="K735" s="230"/>
    </row>
    <row r="736">
      <c r="A736" s="230"/>
      <c r="B736" s="230"/>
      <c r="I736" s="230"/>
      <c r="J736" s="230"/>
      <c r="K736" s="230"/>
    </row>
    <row r="737">
      <c r="A737" s="230"/>
      <c r="B737" s="230"/>
      <c r="I737" s="230"/>
      <c r="J737" s="230"/>
      <c r="K737" s="230"/>
    </row>
    <row r="738">
      <c r="A738" s="230"/>
      <c r="B738" s="230"/>
      <c r="I738" s="230"/>
      <c r="J738" s="230"/>
      <c r="K738" s="230"/>
    </row>
    <row r="739">
      <c r="A739" s="230"/>
      <c r="B739" s="230"/>
      <c r="I739" s="230"/>
      <c r="J739" s="230"/>
      <c r="K739" s="230"/>
    </row>
    <row r="740">
      <c r="A740" s="230"/>
      <c r="B740" s="230"/>
      <c r="I740" s="230"/>
      <c r="J740" s="230"/>
      <c r="K740" s="230"/>
    </row>
    <row r="741">
      <c r="A741" s="230"/>
      <c r="B741" s="230"/>
      <c r="I741" s="230"/>
      <c r="J741" s="230"/>
      <c r="K741" s="230"/>
    </row>
    <row r="742">
      <c r="A742" s="230"/>
      <c r="B742" s="230"/>
      <c r="I742" s="230"/>
      <c r="J742" s="230"/>
      <c r="K742" s="230"/>
    </row>
    <row r="743">
      <c r="A743" s="230"/>
      <c r="B743" s="230"/>
      <c r="I743" s="230"/>
      <c r="J743" s="230"/>
      <c r="K743" s="230"/>
    </row>
    <row r="744">
      <c r="A744" s="230"/>
      <c r="B744" s="230"/>
      <c r="I744" s="230"/>
      <c r="J744" s="230"/>
      <c r="K744" s="230"/>
    </row>
    <row r="745">
      <c r="A745" s="230"/>
      <c r="B745" s="230"/>
      <c r="I745" s="230"/>
      <c r="J745" s="230"/>
      <c r="K745" s="230"/>
    </row>
    <row r="746">
      <c r="A746" s="230"/>
      <c r="B746" s="230"/>
      <c r="I746" s="230"/>
      <c r="J746" s="230"/>
      <c r="K746" s="230"/>
    </row>
    <row r="747">
      <c r="A747" s="230"/>
      <c r="B747" s="230"/>
      <c r="I747" s="230"/>
      <c r="J747" s="230"/>
      <c r="K747" s="230"/>
    </row>
    <row r="748">
      <c r="A748" s="230"/>
      <c r="B748" s="230"/>
      <c r="I748" s="230"/>
      <c r="J748" s="230"/>
      <c r="K748" s="230"/>
    </row>
    <row r="749">
      <c r="A749" s="230"/>
      <c r="B749" s="230"/>
      <c r="I749" s="230"/>
      <c r="J749" s="230"/>
      <c r="K749" s="230"/>
    </row>
    <row r="750">
      <c r="A750" s="230"/>
      <c r="B750" s="230"/>
      <c r="I750" s="230"/>
      <c r="J750" s="230"/>
      <c r="K750" s="230"/>
    </row>
    <row r="751">
      <c r="A751" s="230"/>
      <c r="B751" s="230"/>
      <c r="I751" s="230"/>
      <c r="J751" s="230"/>
      <c r="K751" s="230"/>
    </row>
    <row r="752">
      <c r="A752" s="230"/>
      <c r="B752" s="230"/>
      <c r="I752" s="230"/>
      <c r="J752" s="230"/>
      <c r="K752" s="230"/>
    </row>
    <row r="753">
      <c r="A753" s="230"/>
      <c r="B753" s="230"/>
      <c r="I753" s="230"/>
      <c r="J753" s="230"/>
      <c r="K753" s="230"/>
    </row>
    <row r="754">
      <c r="A754" s="230"/>
      <c r="B754" s="230"/>
      <c r="I754" s="230"/>
      <c r="J754" s="230"/>
      <c r="K754" s="230"/>
    </row>
    <row r="755">
      <c r="A755" s="230"/>
      <c r="B755" s="230"/>
      <c r="I755" s="230"/>
      <c r="J755" s="230"/>
      <c r="K755" s="230"/>
    </row>
    <row r="756">
      <c r="A756" s="230"/>
      <c r="B756" s="230"/>
      <c r="I756" s="230"/>
      <c r="J756" s="230"/>
      <c r="K756" s="230"/>
    </row>
    <row r="757">
      <c r="A757" s="230"/>
      <c r="B757" s="230"/>
      <c r="I757" s="230"/>
      <c r="J757" s="230"/>
      <c r="K757" s="230"/>
    </row>
    <row r="758">
      <c r="A758" s="230"/>
      <c r="B758" s="230"/>
      <c r="I758" s="230"/>
      <c r="J758" s="230"/>
      <c r="K758" s="230"/>
    </row>
    <row r="759">
      <c r="A759" s="230"/>
      <c r="B759" s="230"/>
      <c r="I759" s="230"/>
      <c r="J759" s="230"/>
      <c r="K759" s="230"/>
    </row>
    <row r="760">
      <c r="A760" s="230"/>
      <c r="B760" s="230"/>
      <c r="I760" s="230"/>
      <c r="J760" s="230"/>
      <c r="K760" s="230"/>
    </row>
    <row r="761">
      <c r="A761" s="230"/>
      <c r="B761" s="230"/>
      <c r="I761" s="230"/>
      <c r="J761" s="230"/>
      <c r="K761" s="230"/>
    </row>
    <row r="762">
      <c r="A762" s="230"/>
      <c r="B762" s="230"/>
      <c r="I762" s="230"/>
      <c r="J762" s="230"/>
      <c r="K762" s="230"/>
    </row>
    <row r="763">
      <c r="A763" s="230"/>
      <c r="B763" s="230"/>
      <c r="I763" s="230"/>
      <c r="J763" s="230"/>
      <c r="K763" s="230"/>
    </row>
    <row r="764">
      <c r="A764" s="230"/>
      <c r="B764" s="230"/>
      <c r="I764" s="230"/>
      <c r="J764" s="230"/>
      <c r="K764" s="230"/>
    </row>
    <row r="765">
      <c r="A765" s="230"/>
      <c r="B765" s="230"/>
      <c r="I765" s="230"/>
      <c r="J765" s="230"/>
      <c r="K765" s="230"/>
    </row>
    <row r="766">
      <c r="A766" s="230"/>
      <c r="B766" s="230"/>
      <c r="I766" s="230"/>
      <c r="J766" s="230"/>
      <c r="K766" s="230"/>
    </row>
    <row r="767">
      <c r="A767" s="230"/>
      <c r="B767" s="230"/>
      <c r="I767" s="230"/>
      <c r="J767" s="230"/>
      <c r="K767" s="230"/>
    </row>
    <row r="768">
      <c r="A768" s="230"/>
      <c r="B768" s="230"/>
      <c r="I768" s="230"/>
      <c r="J768" s="230"/>
      <c r="K768" s="230"/>
    </row>
    <row r="769">
      <c r="A769" s="230"/>
      <c r="B769" s="230"/>
      <c r="I769" s="230"/>
      <c r="J769" s="230"/>
      <c r="K769" s="230"/>
    </row>
    <row r="770">
      <c r="A770" s="230"/>
      <c r="B770" s="230"/>
      <c r="I770" s="230"/>
      <c r="J770" s="230"/>
      <c r="K770" s="230"/>
    </row>
    <row r="771">
      <c r="A771" s="230"/>
      <c r="B771" s="230"/>
      <c r="I771" s="230"/>
      <c r="J771" s="230"/>
      <c r="K771" s="230"/>
    </row>
    <row r="772">
      <c r="A772" s="230"/>
      <c r="B772" s="230"/>
      <c r="I772" s="230"/>
      <c r="J772" s="230"/>
      <c r="K772" s="230"/>
    </row>
    <row r="773">
      <c r="A773" s="230"/>
      <c r="B773" s="230"/>
      <c r="I773" s="230"/>
      <c r="J773" s="230"/>
      <c r="K773" s="230"/>
    </row>
    <row r="774">
      <c r="A774" s="230"/>
      <c r="B774" s="230"/>
      <c r="I774" s="230"/>
      <c r="J774" s="230"/>
      <c r="K774" s="230"/>
    </row>
    <row r="775">
      <c r="A775" s="230"/>
      <c r="B775" s="230"/>
      <c r="I775" s="230"/>
      <c r="J775" s="230"/>
      <c r="K775" s="230"/>
    </row>
    <row r="776">
      <c r="A776" s="230"/>
      <c r="B776" s="230"/>
      <c r="I776" s="230"/>
      <c r="J776" s="230"/>
      <c r="K776" s="230"/>
    </row>
    <row r="777">
      <c r="A777" s="230"/>
      <c r="B777" s="230"/>
      <c r="I777" s="230"/>
      <c r="J777" s="230"/>
      <c r="K777" s="230"/>
    </row>
    <row r="778">
      <c r="A778" s="230"/>
      <c r="B778" s="230"/>
      <c r="I778" s="230"/>
      <c r="J778" s="230"/>
      <c r="K778" s="230"/>
    </row>
    <row r="779">
      <c r="A779" s="230"/>
      <c r="B779" s="230"/>
      <c r="I779" s="230"/>
      <c r="J779" s="230"/>
      <c r="K779" s="230"/>
    </row>
    <row r="780">
      <c r="A780" s="230"/>
      <c r="B780" s="230"/>
      <c r="I780" s="230"/>
      <c r="J780" s="230"/>
      <c r="K780" s="230"/>
    </row>
    <row r="781">
      <c r="A781" s="230"/>
      <c r="B781" s="230"/>
      <c r="I781" s="230"/>
      <c r="J781" s="230"/>
      <c r="K781" s="230"/>
    </row>
    <row r="782">
      <c r="A782" s="230"/>
      <c r="B782" s="230"/>
      <c r="I782" s="230"/>
      <c r="J782" s="230"/>
      <c r="K782" s="230"/>
    </row>
    <row r="783">
      <c r="A783" s="230"/>
      <c r="B783" s="230"/>
      <c r="I783" s="230"/>
      <c r="J783" s="230"/>
      <c r="K783" s="230"/>
    </row>
    <row r="784">
      <c r="A784" s="230"/>
      <c r="B784" s="230"/>
      <c r="I784" s="230"/>
      <c r="J784" s="230"/>
      <c r="K784" s="230"/>
    </row>
    <row r="785">
      <c r="A785" s="230"/>
      <c r="B785" s="230"/>
      <c r="I785" s="230"/>
      <c r="J785" s="230"/>
      <c r="K785" s="230"/>
    </row>
    <row r="786">
      <c r="A786" s="230"/>
      <c r="B786" s="230"/>
      <c r="I786" s="230"/>
      <c r="J786" s="230"/>
      <c r="K786" s="230"/>
    </row>
    <row r="787">
      <c r="A787" s="230"/>
      <c r="B787" s="230"/>
      <c r="I787" s="230"/>
      <c r="J787" s="230"/>
      <c r="K787" s="230"/>
    </row>
    <row r="788">
      <c r="A788" s="230"/>
      <c r="B788" s="230"/>
      <c r="I788" s="230"/>
      <c r="J788" s="230"/>
      <c r="K788" s="230"/>
    </row>
    <row r="789">
      <c r="A789" s="230"/>
      <c r="B789" s="230"/>
      <c r="I789" s="230"/>
      <c r="J789" s="230"/>
      <c r="K789" s="230"/>
    </row>
    <row r="790">
      <c r="A790" s="230"/>
      <c r="B790" s="230"/>
      <c r="I790" s="230"/>
      <c r="J790" s="230"/>
      <c r="K790" s="230"/>
    </row>
    <row r="791">
      <c r="A791" s="230"/>
      <c r="B791" s="230"/>
      <c r="I791" s="230"/>
      <c r="J791" s="230"/>
      <c r="K791" s="230"/>
    </row>
    <row r="792">
      <c r="A792" s="230"/>
      <c r="B792" s="230"/>
      <c r="I792" s="230"/>
      <c r="J792" s="230"/>
      <c r="K792" s="230"/>
    </row>
    <row r="793">
      <c r="A793" s="230"/>
      <c r="B793" s="230"/>
      <c r="I793" s="230"/>
      <c r="J793" s="230"/>
      <c r="K793" s="230"/>
    </row>
    <row r="794">
      <c r="A794" s="230"/>
      <c r="B794" s="230"/>
      <c r="I794" s="230"/>
      <c r="J794" s="230"/>
      <c r="K794" s="230"/>
    </row>
    <row r="795">
      <c r="A795" s="230"/>
      <c r="B795" s="230"/>
      <c r="I795" s="230"/>
      <c r="J795" s="230"/>
      <c r="K795" s="230"/>
    </row>
    <row r="796">
      <c r="A796" s="230"/>
      <c r="B796" s="230"/>
      <c r="I796" s="230"/>
      <c r="J796" s="230"/>
      <c r="K796" s="230"/>
    </row>
    <row r="797">
      <c r="A797" s="230"/>
      <c r="B797" s="230"/>
      <c r="I797" s="230"/>
      <c r="J797" s="230"/>
      <c r="K797" s="230"/>
    </row>
    <row r="798">
      <c r="A798" s="230"/>
      <c r="B798" s="230"/>
      <c r="I798" s="230"/>
      <c r="J798" s="230"/>
      <c r="K798" s="230"/>
    </row>
    <row r="799">
      <c r="A799" s="230"/>
      <c r="B799" s="230"/>
      <c r="I799" s="230"/>
      <c r="J799" s="230"/>
      <c r="K799" s="230"/>
    </row>
    <row r="800">
      <c r="A800" s="230"/>
      <c r="B800" s="230"/>
      <c r="I800" s="230"/>
      <c r="J800" s="230"/>
      <c r="K800" s="230"/>
    </row>
    <row r="801">
      <c r="A801" s="230"/>
      <c r="B801" s="230"/>
      <c r="I801" s="230"/>
      <c r="J801" s="230"/>
      <c r="K801" s="230"/>
    </row>
    <row r="802">
      <c r="A802" s="230"/>
      <c r="B802" s="230"/>
      <c r="I802" s="230"/>
      <c r="J802" s="230"/>
      <c r="K802" s="230"/>
    </row>
    <row r="803">
      <c r="A803" s="230"/>
      <c r="B803" s="230"/>
      <c r="I803" s="230"/>
      <c r="J803" s="230"/>
      <c r="K803" s="230"/>
    </row>
    <row r="804">
      <c r="A804" s="230"/>
      <c r="B804" s="230"/>
      <c r="I804" s="230"/>
      <c r="J804" s="230"/>
      <c r="K804" s="230"/>
    </row>
    <row r="805">
      <c r="A805" s="230"/>
      <c r="B805" s="230"/>
      <c r="I805" s="230"/>
      <c r="J805" s="230"/>
      <c r="K805" s="230"/>
    </row>
    <row r="806">
      <c r="A806" s="230"/>
      <c r="B806" s="230"/>
      <c r="I806" s="230"/>
      <c r="J806" s="230"/>
      <c r="K806" s="230"/>
    </row>
    <row r="807">
      <c r="A807" s="230"/>
      <c r="B807" s="230"/>
      <c r="I807" s="230"/>
      <c r="J807" s="230"/>
      <c r="K807" s="230"/>
    </row>
    <row r="808">
      <c r="A808" s="230"/>
      <c r="B808" s="230"/>
      <c r="I808" s="230"/>
      <c r="J808" s="230"/>
      <c r="K808" s="230"/>
    </row>
    <row r="809">
      <c r="A809" s="230"/>
      <c r="B809" s="230"/>
      <c r="I809" s="230"/>
      <c r="J809" s="230"/>
      <c r="K809" s="230"/>
    </row>
    <row r="810">
      <c r="A810" s="230"/>
      <c r="B810" s="230"/>
      <c r="I810" s="230"/>
      <c r="J810" s="230"/>
      <c r="K810" s="230"/>
    </row>
    <row r="811">
      <c r="A811" s="230"/>
      <c r="B811" s="230"/>
      <c r="I811" s="230"/>
      <c r="J811" s="230"/>
      <c r="K811" s="230"/>
    </row>
    <row r="812">
      <c r="A812" s="230"/>
      <c r="B812" s="230"/>
      <c r="I812" s="230"/>
      <c r="J812" s="230"/>
      <c r="K812" s="230"/>
    </row>
    <row r="813">
      <c r="A813" s="230"/>
      <c r="B813" s="230"/>
      <c r="I813" s="230"/>
      <c r="J813" s="230"/>
      <c r="K813" s="230"/>
    </row>
    <row r="814">
      <c r="A814" s="230"/>
      <c r="B814" s="230"/>
      <c r="I814" s="230"/>
      <c r="J814" s="230"/>
      <c r="K814" s="230"/>
    </row>
    <row r="815">
      <c r="A815" s="230"/>
      <c r="B815" s="230"/>
      <c r="I815" s="230"/>
      <c r="J815" s="230"/>
      <c r="K815" s="230"/>
    </row>
    <row r="816">
      <c r="A816" s="230"/>
      <c r="B816" s="230"/>
      <c r="I816" s="230"/>
      <c r="J816" s="230"/>
      <c r="K816" s="230"/>
    </row>
    <row r="817">
      <c r="A817" s="230"/>
      <c r="B817" s="230"/>
      <c r="I817" s="230"/>
      <c r="J817" s="230"/>
      <c r="K817" s="230"/>
    </row>
    <row r="818">
      <c r="A818" s="230"/>
      <c r="B818" s="230"/>
      <c r="I818" s="230"/>
      <c r="J818" s="230"/>
      <c r="K818" s="230"/>
    </row>
    <row r="819">
      <c r="A819" s="230"/>
      <c r="B819" s="230"/>
      <c r="I819" s="230"/>
      <c r="J819" s="230"/>
      <c r="K819" s="230"/>
    </row>
    <row r="820">
      <c r="A820" s="230"/>
      <c r="B820" s="230"/>
      <c r="I820" s="230"/>
      <c r="J820" s="230"/>
      <c r="K820" s="230"/>
    </row>
    <row r="821">
      <c r="A821" s="230"/>
      <c r="B821" s="230"/>
      <c r="I821" s="230"/>
      <c r="J821" s="230"/>
      <c r="K821" s="230"/>
    </row>
    <row r="822">
      <c r="A822" s="230"/>
      <c r="B822" s="230"/>
      <c r="I822" s="230"/>
      <c r="J822" s="230"/>
      <c r="K822" s="230"/>
    </row>
    <row r="823">
      <c r="A823" s="230"/>
      <c r="B823" s="230"/>
      <c r="I823" s="230"/>
      <c r="J823" s="230"/>
      <c r="K823" s="230"/>
    </row>
    <row r="824">
      <c r="A824" s="230"/>
      <c r="B824" s="230"/>
      <c r="I824" s="230"/>
      <c r="J824" s="230"/>
      <c r="K824" s="230"/>
    </row>
    <row r="825">
      <c r="A825" s="230"/>
      <c r="B825" s="230"/>
      <c r="I825" s="230"/>
      <c r="J825" s="230"/>
      <c r="K825" s="230"/>
    </row>
    <row r="826">
      <c r="A826" s="230"/>
      <c r="B826" s="230"/>
      <c r="I826" s="230"/>
      <c r="J826" s="230"/>
      <c r="K826" s="230"/>
    </row>
    <row r="827">
      <c r="A827" s="230"/>
      <c r="B827" s="230"/>
      <c r="I827" s="230"/>
      <c r="J827" s="230"/>
      <c r="K827" s="230"/>
    </row>
    <row r="828">
      <c r="A828" s="230"/>
      <c r="B828" s="230"/>
      <c r="I828" s="230"/>
      <c r="J828" s="230"/>
      <c r="K828" s="230"/>
    </row>
    <row r="829">
      <c r="A829" s="230"/>
      <c r="B829" s="230"/>
      <c r="I829" s="230"/>
      <c r="J829" s="230"/>
      <c r="K829" s="230"/>
    </row>
    <row r="830">
      <c r="A830" s="230"/>
      <c r="B830" s="230"/>
      <c r="I830" s="230"/>
      <c r="J830" s="230"/>
      <c r="K830" s="230"/>
    </row>
    <row r="831">
      <c r="A831" s="230"/>
      <c r="B831" s="230"/>
      <c r="I831" s="230"/>
      <c r="J831" s="230"/>
      <c r="K831" s="230"/>
    </row>
    <row r="832">
      <c r="A832" s="230"/>
      <c r="B832" s="230"/>
      <c r="I832" s="230"/>
      <c r="J832" s="230"/>
      <c r="K832" s="230"/>
    </row>
    <row r="833">
      <c r="A833" s="230"/>
      <c r="B833" s="230"/>
      <c r="I833" s="230"/>
      <c r="J833" s="230"/>
      <c r="K833" s="230"/>
    </row>
    <row r="834">
      <c r="A834" s="230"/>
      <c r="B834" s="230"/>
      <c r="I834" s="230"/>
      <c r="J834" s="230"/>
      <c r="K834" s="230"/>
    </row>
    <row r="835">
      <c r="A835" s="230"/>
      <c r="B835" s="230"/>
      <c r="I835" s="230"/>
      <c r="J835" s="230"/>
      <c r="K835" s="230"/>
    </row>
    <row r="836">
      <c r="A836" s="230"/>
      <c r="B836" s="230"/>
      <c r="I836" s="230"/>
      <c r="J836" s="230"/>
      <c r="K836" s="230"/>
    </row>
    <row r="837">
      <c r="A837" s="230"/>
      <c r="B837" s="230"/>
      <c r="I837" s="230"/>
      <c r="J837" s="230"/>
      <c r="K837" s="230"/>
    </row>
    <row r="838">
      <c r="A838" s="230"/>
      <c r="B838" s="230"/>
      <c r="I838" s="230"/>
      <c r="J838" s="230"/>
      <c r="K838" s="230"/>
    </row>
    <row r="839">
      <c r="A839" s="230"/>
      <c r="B839" s="230"/>
      <c r="I839" s="230"/>
      <c r="J839" s="230"/>
      <c r="K839" s="230"/>
    </row>
    <row r="840">
      <c r="A840" s="230"/>
      <c r="B840" s="230"/>
      <c r="I840" s="230"/>
      <c r="J840" s="230"/>
      <c r="K840" s="230"/>
    </row>
    <row r="841">
      <c r="A841" s="230"/>
      <c r="B841" s="230"/>
      <c r="I841" s="230"/>
      <c r="J841" s="230"/>
      <c r="K841" s="230"/>
    </row>
    <row r="842">
      <c r="A842" s="230"/>
      <c r="B842" s="230"/>
      <c r="I842" s="230"/>
      <c r="J842" s="230"/>
      <c r="K842" s="230"/>
    </row>
    <row r="843">
      <c r="A843" s="230"/>
      <c r="B843" s="230"/>
      <c r="I843" s="230"/>
      <c r="J843" s="230"/>
      <c r="K843" s="230"/>
    </row>
    <row r="844">
      <c r="A844" s="230"/>
      <c r="B844" s="230"/>
      <c r="I844" s="230"/>
      <c r="J844" s="230"/>
      <c r="K844" s="230"/>
    </row>
    <row r="845">
      <c r="A845" s="230"/>
      <c r="B845" s="230"/>
      <c r="I845" s="230"/>
      <c r="J845" s="230"/>
      <c r="K845" s="230"/>
    </row>
    <row r="846">
      <c r="A846" s="230"/>
      <c r="B846" s="230"/>
      <c r="I846" s="230"/>
      <c r="J846" s="230"/>
      <c r="K846" s="230"/>
    </row>
    <row r="847">
      <c r="A847" s="230"/>
      <c r="B847" s="230"/>
      <c r="I847" s="230"/>
      <c r="J847" s="230"/>
      <c r="K847" s="230"/>
    </row>
    <row r="848">
      <c r="A848" s="230"/>
      <c r="B848" s="230"/>
      <c r="I848" s="230"/>
      <c r="J848" s="230"/>
      <c r="K848" s="230"/>
    </row>
    <row r="849">
      <c r="A849" s="230"/>
      <c r="B849" s="230"/>
      <c r="I849" s="230"/>
      <c r="J849" s="230"/>
      <c r="K849" s="230"/>
    </row>
    <row r="850">
      <c r="A850" s="230"/>
      <c r="B850" s="230"/>
      <c r="I850" s="230"/>
      <c r="J850" s="230"/>
      <c r="K850" s="230"/>
    </row>
    <row r="851">
      <c r="A851" s="230"/>
      <c r="B851" s="230"/>
      <c r="I851" s="230"/>
      <c r="J851" s="230"/>
      <c r="K851" s="230"/>
    </row>
    <row r="852">
      <c r="A852" s="230"/>
      <c r="B852" s="230"/>
      <c r="I852" s="230"/>
      <c r="J852" s="230"/>
      <c r="K852" s="230"/>
    </row>
    <row r="853">
      <c r="A853" s="230"/>
      <c r="B853" s="230"/>
      <c r="I853" s="230"/>
      <c r="J853" s="230"/>
      <c r="K853" s="230"/>
    </row>
    <row r="854">
      <c r="A854" s="230"/>
      <c r="B854" s="230"/>
      <c r="I854" s="230"/>
      <c r="J854" s="230"/>
      <c r="K854" s="230"/>
    </row>
    <row r="855">
      <c r="A855" s="230"/>
      <c r="B855" s="230"/>
      <c r="I855" s="230"/>
      <c r="J855" s="230"/>
      <c r="K855" s="230"/>
    </row>
    <row r="856">
      <c r="A856" s="230"/>
      <c r="B856" s="230"/>
      <c r="I856" s="230"/>
      <c r="J856" s="230"/>
      <c r="K856" s="230"/>
    </row>
    <row r="857">
      <c r="A857" s="230"/>
      <c r="B857" s="230"/>
      <c r="I857" s="230"/>
      <c r="J857" s="230"/>
      <c r="K857" s="230"/>
    </row>
    <row r="858">
      <c r="A858" s="230"/>
      <c r="B858" s="230"/>
      <c r="I858" s="230"/>
      <c r="J858" s="230"/>
      <c r="K858" s="230"/>
    </row>
    <row r="859">
      <c r="A859" s="230"/>
      <c r="B859" s="230"/>
      <c r="I859" s="230"/>
      <c r="J859" s="230"/>
      <c r="K859" s="230"/>
    </row>
    <row r="860">
      <c r="A860" s="230"/>
      <c r="B860" s="230"/>
      <c r="I860" s="230"/>
      <c r="J860" s="230"/>
      <c r="K860" s="230"/>
    </row>
    <row r="861">
      <c r="A861" s="230"/>
      <c r="B861" s="230"/>
      <c r="I861" s="230"/>
      <c r="J861" s="230"/>
      <c r="K861" s="230"/>
    </row>
    <row r="862">
      <c r="A862" s="230"/>
      <c r="B862" s="230"/>
      <c r="I862" s="230"/>
      <c r="J862" s="230"/>
      <c r="K862" s="230"/>
    </row>
    <row r="863">
      <c r="A863" s="230"/>
      <c r="B863" s="230"/>
      <c r="I863" s="230"/>
      <c r="J863" s="230"/>
      <c r="K863" s="230"/>
    </row>
    <row r="864">
      <c r="A864" s="230"/>
      <c r="B864" s="230"/>
      <c r="I864" s="230"/>
      <c r="J864" s="230"/>
      <c r="K864" s="230"/>
    </row>
    <row r="865">
      <c r="A865" s="230"/>
      <c r="B865" s="230"/>
      <c r="I865" s="230"/>
      <c r="J865" s="230"/>
      <c r="K865" s="230"/>
    </row>
    <row r="866">
      <c r="A866" s="230"/>
      <c r="B866" s="230"/>
      <c r="I866" s="230"/>
      <c r="J866" s="230"/>
      <c r="K866" s="230"/>
    </row>
    <row r="867">
      <c r="A867" s="230"/>
      <c r="B867" s="230"/>
      <c r="I867" s="230"/>
      <c r="J867" s="230"/>
      <c r="K867" s="230"/>
    </row>
    <row r="868">
      <c r="A868" s="230"/>
      <c r="B868" s="230"/>
      <c r="I868" s="230"/>
      <c r="J868" s="230"/>
      <c r="K868" s="230"/>
    </row>
    <row r="869">
      <c r="A869" s="230"/>
      <c r="B869" s="230"/>
      <c r="I869" s="230"/>
      <c r="J869" s="230"/>
      <c r="K869" s="230"/>
    </row>
    <row r="870">
      <c r="A870" s="230"/>
      <c r="B870" s="230"/>
      <c r="I870" s="230"/>
      <c r="J870" s="230"/>
      <c r="K870" s="230"/>
    </row>
    <row r="871">
      <c r="A871" s="230"/>
      <c r="B871" s="230"/>
      <c r="I871" s="230"/>
      <c r="J871" s="230"/>
      <c r="K871" s="230"/>
    </row>
    <row r="872">
      <c r="A872" s="230"/>
      <c r="B872" s="230"/>
      <c r="I872" s="230"/>
      <c r="J872" s="230"/>
      <c r="K872" s="230"/>
    </row>
    <row r="873">
      <c r="A873" s="230"/>
      <c r="B873" s="230"/>
      <c r="I873" s="230"/>
      <c r="J873" s="230"/>
      <c r="K873" s="230"/>
    </row>
    <row r="874">
      <c r="A874" s="230"/>
      <c r="B874" s="230"/>
      <c r="I874" s="230"/>
      <c r="J874" s="230"/>
      <c r="K874" s="230"/>
    </row>
    <row r="875">
      <c r="A875" s="230"/>
      <c r="B875" s="230"/>
      <c r="I875" s="230"/>
      <c r="J875" s="230"/>
      <c r="K875" s="230"/>
    </row>
    <row r="876">
      <c r="A876" s="230"/>
      <c r="B876" s="230"/>
      <c r="I876" s="230"/>
      <c r="J876" s="230"/>
      <c r="K876" s="230"/>
    </row>
    <row r="877">
      <c r="A877" s="230"/>
      <c r="B877" s="230"/>
      <c r="I877" s="230"/>
      <c r="J877" s="230"/>
      <c r="K877" s="230"/>
    </row>
    <row r="878">
      <c r="A878" s="230"/>
      <c r="B878" s="230"/>
      <c r="I878" s="230"/>
      <c r="J878" s="230"/>
      <c r="K878" s="230"/>
    </row>
    <row r="879">
      <c r="A879" s="230"/>
      <c r="B879" s="230"/>
      <c r="I879" s="230"/>
      <c r="J879" s="230"/>
      <c r="K879" s="230"/>
    </row>
    <row r="880">
      <c r="A880" s="230"/>
      <c r="B880" s="230"/>
      <c r="I880" s="230"/>
      <c r="J880" s="230"/>
      <c r="K880" s="230"/>
    </row>
    <row r="881">
      <c r="A881" s="230"/>
      <c r="B881" s="230"/>
      <c r="I881" s="230"/>
      <c r="J881" s="230"/>
      <c r="K881" s="230"/>
    </row>
    <row r="882">
      <c r="A882" s="230"/>
      <c r="B882" s="230"/>
      <c r="I882" s="230"/>
      <c r="J882" s="230"/>
      <c r="K882" s="230"/>
    </row>
    <row r="883">
      <c r="A883" s="230"/>
      <c r="B883" s="230"/>
      <c r="I883" s="230"/>
      <c r="J883" s="230"/>
      <c r="K883" s="230"/>
    </row>
    <row r="884">
      <c r="A884" s="230"/>
      <c r="B884" s="230"/>
      <c r="I884" s="230"/>
      <c r="J884" s="230"/>
      <c r="K884" s="230"/>
    </row>
    <row r="885">
      <c r="A885" s="230"/>
      <c r="B885" s="230"/>
      <c r="I885" s="230"/>
      <c r="J885" s="230"/>
      <c r="K885" s="230"/>
    </row>
    <row r="886">
      <c r="A886" s="230"/>
      <c r="B886" s="230"/>
      <c r="I886" s="230"/>
      <c r="J886" s="230"/>
      <c r="K886" s="230"/>
    </row>
    <row r="887">
      <c r="A887" s="230"/>
      <c r="B887" s="230"/>
      <c r="I887" s="230"/>
      <c r="J887" s="230"/>
      <c r="K887" s="230"/>
    </row>
    <row r="888">
      <c r="A888" s="230"/>
      <c r="B888" s="230"/>
      <c r="I888" s="230"/>
      <c r="J888" s="230"/>
      <c r="K888" s="230"/>
    </row>
    <row r="889">
      <c r="A889" s="230"/>
      <c r="B889" s="230"/>
      <c r="I889" s="230"/>
      <c r="J889" s="230"/>
      <c r="K889" s="230"/>
    </row>
    <row r="890">
      <c r="A890" s="230"/>
      <c r="B890" s="230"/>
      <c r="I890" s="230"/>
      <c r="J890" s="230"/>
      <c r="K890" s="230"/>
    </row>
    <row r="891">
      <c r="A891" s="230"/>
      <c r="B891" s="230"/>
      <c r="I891" s="230"/>
      <c r="J891" s="230"/>
      <c r="K891" s="230"/>
    </row>
    <row r="892">
      <c r="A892" s="230"/>
      <c r="B892" s="230"/>
      <c r="I892" s="230"/>
      <c r="J892" s="230"/>
      <c r="K892" s="230"/>
    </row>
    <row r="893">
      <c r="A893" s="230"/>
      <c r="B893" s="230"/>
      <c r="I893" s="230"/>
      <c r="J893" s="230"/>
      <c r="K893" s="230"/>
    </row>
    <row r="894">
      <c r="A894" s="230"/>
      <c r="B894" s="230"/>
      <c r="I894" s="230"/>
      <c r="J894" s="230"/>
      <c r="K894" s="230"/>
    </row>
    <row r="895">
      <c r="A895" s="230"/>
      <c r="B895" s="230"/>
      <c r="I895" s="230"/>
      <c r="J895" s="230"/>
      <c r="K895" s="230"/>
    </row>
    <row r="896">
      <c r="A896" s="230"/>
      <c r="B896" s="230"/>
      <c r="I896" s="230"/>
      <c r="J896" s="230"/>
      <c r="K896" s="230"/>
    </row>
    <row r="897">
      <c r="A897" s="230"/>
      <c r="B897" s="230"/>
      <c r="I897" s="230"/>
      <c r="J897" s="230"/>
      <c r="K897" s="230"/>
    </row>
    <row r="898">
      <c r="A898" s="230"/>
      <c r="B898" s="230"/>
      <c r="I898" s="230"/>
      <c r="J898" s="230"/>
      <c r="K898" s="230"/>
    </row>
    <row r="899">
      <c r="A899" s="230"/>
      <c r="B899" s="230"/>
      <c r="I899" s="230"/>
      <c r="J899" s="230"/>
      <c r="K899" s="230"/>
    </row>
    <row r="900">
      <c r="A900" s="230"/>
      <c r="B900" s="230"/>
      <c r="I900" s="230"/>
      <c r="J900" s="230"/>
      <c r="K900" s="230"/>
    </row>
    <row r="901">
      <c r="A901" s="230"/>
      <c r="B901" s="230"/>
      <c r="I901" s="230"/>
      <c r="J901" s="230"/>
      <c r="K901" s="230"/>
    </row>
    <row r="902">
      <c r="A902" s="230"/>
      <c r="B902" s="230"/>
      <c r="I902" s="230"/>
      <c r="J902" s="230"/>
      <c r="K902" s="230"/>
    </row>
    <row r="903">
      <c r="A903" s="230"/>
      <c r="B903" s="230"/>
      <c r="I903" s="230"/>
      <c r="J903" s="230"/>
      <c r="K903" s="230"/>
    </row>
    <row r="904">
      <c r="A904" s="230"/>
      <c r="B904" s="230"/>
      <c r="I904" s="230"/>
      <c r="J904" s="230"/>
      <c r="K904" s="230"/>
    </row>
    <row r="905">
      <c r="A905" s="230"/>
      <c r="B905" s="230"/>
      <c r="I905" s="230"/>
      <c r="J905" s="230"/>
      <c r="K905" s="230"/>
    </row>
    <row r="906">
      <c r="A906" s="230"/>
      <c r="B906" s="230"/>
      <c r="I906" s="230"/>
      <c r="J906" s="230"/>
      <c r="K906" s="230"/>
    </row>
    <row r="907">
      <c r="A907" s="230"/>
      <c r="B907" s="230"/>
      <c r="I907" s="230"/>
      <c r="J907" s="230"/>
      <c r="K907" s="230"/>
    </row>
    <row r="908">
      <c r="A908" s="230"/>
      <c r="B908" s="230"/>
      <c r="I908" s="230"/>
      <c r="J908" s="230"/>
      <c r="K908" s="230"/>
    </row>
    <row r="909">
      <c r="A909" s="230"/>
      <c r="B909" s="230"/>
      <c r="I909" s="230"/>
      <c r="J909" s="230"/>
      <c r="K909" s="230"/>
    </row>
    <row r="910">
      <c r="A910" s="230"/>
      <c r="B910" s="230"/>
      <c r="I910" s="230"/>
      <c r="J910" s="230"/>
      <c r="K910" s="230"/>
    </row>
    <row r="911">
      <c r="A911" s="230"/>
      <c r="B911" s="230"/>
      <c r="I911" s="230"/>
      <c r="J911" s="230"/>
      <c r="K911" s="230"/>
    </row>
    <row r="912">
      <c r="A912" s="230"/>
      <c r="B912" s="230"/>
      <c r="I912" s="230"/>
      <c r="J912" s="230"/>
      <c r="K912" s="230"/>
    </row>
    <row r="913">
      <c r="A913" s="230"/>
      <c r="B913" s="230"/>
      <c r="I913" s="230"/>
      <c r="J913" s="230"/>
      <c r="K913" s="230"/>
    </row>
    <row r="914">
      <c r="A914" s="230"/>
      <c r="B914" s="230"/>
      <c r="I914" s="230"/>
      <c r="J914" s="230"/>
      <c r="K914" s="230"/>
    </row>
    <row r="915">
      <c r="A915" s="230"/>
      <c r="B915" s="230"/>
      <c r="I915" s="230"/>
      <c r="J915" s="230"/>
      <c r="K915" s="230"/>
    </row>
    <row r="916">
      <c r="A916" s="230"/>
      <c r="B916" s="230"/>
      <c r="I916" s="230"/>
      <c r="J916" s="230"/>
      <c r="K916" s="230"/>
    </row>
    <row r="917">
      <c r="A917" s="230"/>
      <c r="B917" s="230"/>
      <c r="I917" s="230"/>
      <c r="J917" s="230"/>
      <c r="K917" s="230"/>
    </row>
    <row r="918">
      <c r="A918" s="230"/>
      <c r="B918" s="230"/>
      <c r="I918" s="230"/>
      <c r="J918" s="230"/>
      <c r="K918" s="230"/>
    </row>
    <row r="919">
      <c r="A919" s="230"/>
      <c r="B919" s="230"/>
      <c r="I919" s="230"/>
      <c r="J919" s="230"/>
      <c r="K919" s="230"/>
    </row>
    <row r="920">
      <c r="A920" s="230"/>
      <c r="B920" s="230"/>
      <c r="I920" s="230"/>
      <c r="J920" s="230"/>
      <c r="K920" s="230"/>
    </row>
    <row r="921">
      <c r="A921" s="230"/>
      <c r="B921" s="230"/>
      <c r="I921" s="230"/>
      <c r="J921" s="230"/>
      <c r="K921" s="230"/>
    </row>
    <row r="922">
      <c r="A922" s="230"/>
      <c r="B922" s="230"/>
      <c r="I922" s="230"/>
      <c r="J922" s="230"/>
      <c r="K922" s="230"/>
    </row>
    <row r="923">
      <c r="A923" s="230"/>
      <c r="B923" s="230"/>
      <c r="I923" s="230"/>
      <c r="J923" s="230"/>
      <c r="K923" s="230"/>
    </row>
    <row r="924">
      <c r="A924" s="230"/>
      <c r="B924" s="230"/>
      <c r="I924" s="230"/>
      <c r="J924" s="230"/>
      <c r="K924" s="230"/>
    </row>
    <row r="925">
      <c r="A925" s="230"/>
      <c r="B925" s="230"/>
      <c r="I925" s="230"/>
      <c r="J925" s="230"/>
      <c r="K925" s="230"/>
    </row>
    <row r="926">
      <c r="A926" s="230"/>
      <c r="B926" s="230"/>
      <c r="I926" s="230"/>
      <c r="J926" s="230"/>
      <c r="K926" s="230"/>
    </row>
    <row r="927">
      <c r="A927" s="230"/>
      <c r="B927" s="230"/>
      <c r="I927" s="230"/>
      <c r="J927" s="230"/>
      <c r="K927" s="230"/>
    </row>
    <row r="928">
      <c r="A928" s="230"/>
      <c r="B928" s="230"/>
      <c r="I928" s="230"/>
      <c r="J928" s="230"/>
      <c r="K928" s="230"/>
    </row>
    <row r="929">
      <c r="A929" s="230"/>
      <c r="B929" s="230"/>
      <c r="I929" s="230"/>
      <c r="J929" s="230"/>
      <c r="K929" s="230"/>
    </row>
    <row r="930">
      <c r="A930" s="230"/>
      <c r="B930" s="230"/>
      <c r="I930" s="230"/>
      <c r="J930" s="230"/>
      <c r="K930" s="230"/>
    </row>
    <row r="931">
      <c r="A931" s="230"/>
      <c r="B931" s="230"/>
      <c r="I931" s="230"/>
      <c r="J931" s="230"/>
      <c r="K931" s="230"/>
    </row>
    <row r="932">
      <c r="A932" s="230"/>
      <c r="B932" s="230"/>
      <c r="I932" s="230"/>
      <c r="J932" s="230"/>
      <c r="K932" s="230"/>
    </row>
    <row r="933">
      <c r="A933" s="230"/>
      <c r="B933" s="230"/>
      <c r="I933" s="230"/>
      <c r="J933" s="230"/>
      <c r="K933" s="230"/>
    </row>
    <row r="934">
      <c r="A934" s="230"/>
      <c r="B934" s="230"/>
      <c r="I934" s="230"/>
      <c r="J934" s="230"/>
      <c r="K934" s="230"/>
    </row>
    <row r="935">
      <c r="A935" s="230"/>
      <c r="B935" s="230"/>
      <c r="I935" s="230"/>
      <c r="J935" s="230"/>
      <c r="K935" s="230"/>
    </row>
    <row r="936">
      <c r="A936" s="230"/>
      <c r="B936" s="230"/>
      <c r="I936" s="230"/>
      <c r="J936" s="230"/>
      <c r="K936" s="230"/>
    </row>
    <row r="937">
      <c r="A937" s="230"/>
      <c r="B937" s="230"/>
      <c r="I937" s="230"/>
      <c r="J937" s="230"/>
      <c r="K937" s="230"/>
    </row>
    <row r="938">
      <c r="A938" s="230"/>
      <c r="B938" s="230"/>
      <c r="I938" s="230"/>
      <c r="J938" s="230"/>
      <c r="K938" s="230"/>
    </row>
    <row r="939">
      <c r="A939" s="230"/>
      <c r="B939" s="230"/>
      <c r="I939" s="230"/>
      <c r="J939" s="230"/>
      <c r="K939" s="230"/>
    </row>
    <row r="940">
      <c r="A940" s="230"/>
      <c r="B940" s="230"/>
      <c r="I940" s="230"/>
      <c r="J940" s="230"/>
      <c r="K940" s="230"/>
    </row>
    <row r="941">
      <c r="A941" s="230"/>
      <c r="B941" s="230"/>
      <c r="I941" s="230"/>
      <c r="J941" s="230"/>
      <c r="K941" s="230"/>
    </row>
    <row r="942">
      <c r="A942" s="230"/>
      <c r="B942" s="230"/>
      <c r="I942" s="230"/>
      <c r="J942" s="230"/>
      <c r="K942" s="230"/>
    </row>
    <row r="943">
      <c r="A943" s="230"/>
      <c r="B943" s="230"/>
      <c r="I943" s="230"/>
      <c r="J943" s="230"/>
      <c r="K943" s="230"/>
    </row>
    <row r="944">
      <c r="A944" s="230"/>
      <c r="B944" s="230"/>
      <c r="I944" s="230"/>
      <c r="J944" s="230"/>
      <c r="K944" s="230"/>
    </row>
    <row r="945">
      <c r="A945" s="230"/>
      <c r="B945" s="230"/>
      <c r="I945" s="230"/>
      <c r="J945" s="230"/>
      <c r="K945" s="230"/>
    </row>
    <row r="946">
      <c r="A946" s="230"/>
      <c r="B946" s="230"/>
      <c r="I946" s="230"/>
      <c r="J946" s="230"/>
      <c r="K946" s="230"/>
    </row>
    <row r="947">
      <c r="A947" s="230"/>
      <c r="B947" s="230"/>
      <c r="I947" s="230"/>
      <c r="J947" s="230"/>
      <c r="K947" s="230"/>
    </row>
    <row r="948">
      <c r="A948" s="230"/>
      <c r="B948" s="230"/>
      <c r="I948" s="230"/>
      <c r="J948" s="230"/>
      <c r="K948" s="230"/>
    </row>
    <row r="949">
      <c r="A949" s="230"/>
      <c r="B949" s="230"/>
      <c r="I949" s="230"/>
      <c r="J949" s="230"/>
      <c r="K949" s="230"/>
    </row>
    <row r="950">
      <c r="A950" s="230"/>
      <c r="B950" s="230"/>
      <c r="I950" s="230"/>
      <c r="J950" s="230"/>
      <c r="K950" s="230"/>
    </row>
    <row r="951">
      <c r="A951" s="230"/>
      <c r="B951" s="230"/>
      <c r="I951" s="230"/>
      <c r="J951" s="230"/>
      <c r="K951" s="230"/>
    </row>
    <row r="952">
      <c r="A952" s="230"/>
      <c r="B952" s="230"/>
      <c r="I952" s="230"/>
      <c r="J952" s="230"/>
      <c r="K952" s="230"/>
    </row>
    <row r="953">
      <c r="A953" s="230"/>
      <c r="B953" s="230"/>
      <c r="I953" s="230"/>
      <c r="J953" s="230"/>
      <c r="K953" s="230"/>
    </row>
    <row r="954">
      <c r="A954" s="230"/>
      <c r="B954" s="230"/>
      <c r="I954" s="230"/>
      <c r="J954" s="230"/>
      <c r="K954" s="230"/>
    </row>
    <row r="955">
      <c r="A955" s="230"/>
      <c r="B955" s="230"/>
      <c r="I955" s="230"/>
      <c r="J955" s="230"/>
      <c r="K955" s="230"/>
    </row>
    <row r="956">
      <c r="A956" s="230"/>
      <c r="B956" s="230"/>
      <c r="I956" s="230"/>
      <c r="J956" s="230"/>
      <c r="K956" s="230"/>
    </row>
    <row r="957">
      <c r="A957" s="230"/>
      <c r="B957" s="230"/>
      <c r="I957" s="230"/>
      <c r="J957" s="230"/>
      <c r="K957" s="230"/>
    </row>
    <row r="958">
      <c r="A958" s="230"/>
      <c r="B958" s="230"/>
      <c r="I958" s="230"/>
      <c r="J958" s="230"/>
      <c r="K958" s="230"/>
    </row>
    <row r="959">
      <c r="A959" s="230"/>
      <c r="B959" s="230"/>
      <c r="I959" s="230"/>
      <c r="J959" s="230"/>
      <c r="K959" s="230"/>
    </row>
    <row r="960">
      <c r="A960" s="230"/>
      <c r="B960" s="230"/>
      <c r="I960" s="230"/>
      <c r="J960" s="230"/>
      <c r="K960" s="230"/>
    </row>
    <row r="961">
      <c r="A961" s="230"/>
      <c r="B961" s="230"/>
      <c r="I961" s="230"/>
      <c r="J961" s="230"/>
      <c r="K961" s="230"/>
    </row>
    <row r="962">
      <c r="A962" s="230"/>
      <c r="B962" s="230"/>
      <c r="I962" s="230"/>
      <c r="J962" s="230"/>
      <c r="K962" s="230"/>
    </row>
    <row r="963">
      <c r="A963" s="230"/>
      <c r="B963" s="230"/>
      <c r="I963" s="230"/>
      <c r="J963" s="230"/>
      <c r="K963" s="230"/>
    </row>
    <row r="964">
      <c r="A964" s="230"/>
      <c r="B964" s="230"/>
      <c r="I964" s="230"/>
      <c r="J964" s="230"/>
      <c r="K964" s="230"/>
    </row>
    <row r="965">
      <c r="A965" s="230"/>
      <c r="B965" s="230"/>
      <c r="I965" s="230"/>
      <c r="J965" s="230"/>
      <c r="K965" s="230"/>
    </row>
    <row r="966">
      <c r="A966" s="230"/>
      <c r="B966" s="230"/>
      <c r="I966" s="230"/>
      <c r="J966" s="230"/>
      <c r="K966" s="230"/>
    </row>
    <row r="967">
      <c r="A967" s="230"/>
      <c r="B967" s="230"/>
      <c r="I967" s="230"/>
      <c r="J967" s="230"/>
      <c r="K967" s="230"/>
    </row>
    <row r="968">
      <c r="A968" s="230"/>
      <c r="B968" s="230"/>
      <c r="I968" s="230"/>
      <c r="J968" s="230"/>
      <c r="K968" s="230"/>
    </row>
    <row r="969">
      <c r="A969" s="230"/>
      <c r="B969" s="230"/>
      <c r="I969" s="230"/>
      <c r="J969" s="230"/>
      <c r="K969" s="230"/>
    </row>
    <row r="970">
      <c r="A970" s="230"/>
      <c r="B970" s="230"/>
      <c r="I970" s="230"/>
      <c r="J970" s="230"/>
      <c r="K970" s="230"/>
    </row>
    <row r="971">
      <c r="A971" s="230"/>
      <c r="B971" s="230"/>
      <c r="I971" s="230"/>
      <c r="J971" s="230"/>
      <c r="K971" s="230"/>
    </row>
    <row r="972">
      <c r="A972" s="230"/>
      <c r="B972" s="230"/>
      <c r="I972" s="230"/>
      <c r="J972" s="230"/>
      <c r="K972" s="230"/>
    </row>
    <row r="973">
      <c r="A973" s="230"/>
      <c r="B973" s="230"/>
      <c r="I973" s="230"/>
      <c r="J973" s="230"/>
      <c r="K973" s="230"/>
    </row>
    <row r="974">
      <c r="A974" s="230"/>
      <c r="B974" s="230"/>
      <c r="I974" s="230"/>
      <c r="J974" s="230"/>
      <c r="K974" s="230"/>
    </row>
    <row r="975">
      <c r="A975" s="230"/>
      <c r="B975" s="230"/>
      <c r="I975" s="230"/>
      <c r="J975" s="230"/>
      <c r="K975" s="230"/>
    </row>
    <row r="976">
      <c r="A976" s="230"/>
      <c r="B976" s="230"/>
      <c r="I976" s="230"/>
      <c r="J976" s="230"/>
      <c r="K976" s="230"/>
    </row>
    <row r="977">
      <c r="A977" s="230"/>
      <c r="B977" s="230"/>
      <c r="I977" s="230"/>
      <c r="J977" s="230"/>
      <c r="K977" s="230"/>
    </row>
    <row r="978">
      <c r="A978" s="230"/>
      <c r="B978" s="230"/>
      <c r="I978" s="230"/>
      <c r="J978" s="230"/>
      <c r="K978" s="230"/>
    </row>
    <row r="979">
      <c r="A979" s="230"/>
      <c r="B979" s="230"/>
      <c r="I979" s="230"/>
      <c r="J979" s="230"/>
      <c r="K979" s="230"/>
    </row>
    <row r="980">
      <c r="A980" s="230"/>
      <c r="B980" s="230"/>
      <c r="I980" s="230"/>
      <c r="J980" s="230"/>
      <c r="K980" s="230"/>
    </row>
    <row r="981">
      <c r="A981" s="230"/>
      <c r="B981" s="230"/>
      <c r="I981" s="230"/>
      <c r="J981" s="230"/>
      <c r="K981" s="230"/>
    </row>
    <row r="982">
      <c r="A982" s="230"/>
      <c r="B982" s="230"/>
      <c r="I982" s="230"/>
      <c r="J982" s="230"/>
      <c r="K982" s="230"/>
    </row>
    <row r="983">
      <c r="A983" s="230"/>
      <c r="B983" s="230"/>
      <c r="I983" s="230"/>
      <c r="J983" s="230"/>
      <c r="K983" s="230"/>
    </row>
    <row r="984">
      <c r="A984" s="230"/>
      <c r="B984" s="230"/>
      <c r="I984" s="230"/>
      <c r="J984" s="230"/>
      <c r="K984" s="230"/>
    </row>
    <row r="985">
      <c r="A985" s="230"/>
      <c r="B985" s="230"/>
      <c r="I985" s="230"/>
      <c r="J985" s="230"/>
      <c r="K985" s="230"/>
    </row>
    <row r="986">
      <c r="A986" s="230"/>
      <c r="B986" s="230"/>
      <c r="I986" s="230"/>
      <c r="J986" s="230"/>
      <c r="K986" s="230"/>
    </row>
    <row r="987">
      <c r="A987" s="230"/>
      <c r="B987" s="230"/>
      <c r="I987" s="230"/>
      <c r="J987" s="230"/>
      <c r="K987" s="230"/>
    </row>
    <row r="988">
      <c r="A988" s="230"/>
      <c r="B988" s="230"/>
      <c r="I988" s="230"/>
      <c r="J988" s="230"/>
      <c r="K988" s="230"/>
    </row>
    <row r="989">
      <c r="A989" s="230"/>
      <c r="B989" s="230"/>
      <c r="I989" s="230"/>
      <c r="J989" s="230"/>
      <c r="K989" s="230"/>
    </row>
    <row r="990">
      <c r="A990" s="230"/>
      <c r="B990" s="230"/>
      <c r="I990" s="230"/>
      <c r="J990" s="230"/>
      <c r="K990" s="230"/>
    </row>
    <row r="991">
      <c r="A991" s="230"/>
      <c r="B991" s="230"/>
      <c r="I991" s="230"/>
      <c r="J991" s="230"/>
      <c r="K991" s="230"/>
    </row>
    <row r="992">
      <c r="A992" s="230"/>
      <c r="B992" s="230"/>
      <c r="I992" s="230"/>
      <c r="J992" s="230"/>
      <c r="K992" s="230"/>
    </row>
    <row r="993">
      <c r="A993" s="230"/>
      <c r="B993" s="230"/>
      <c r="I993" s="230"/>
      <c r="J993" s="230"/>
      <c r="K993" s="230"/>
    </row>
    <row r="994">
      <c r="A994" s="230"/>
      <c r="B994" s="230"/>
      <c r="I994" s="230"/>
      <c r="J994" s="230"/>
      <c r="K994" s="230"/>
    </row>
    <row r="995">
      <c r="A995" s="230"/>
      <c r="B995" s="230"/>
      <c r="I995" s="230"/>
      <c r="J995" s="230"/>
      <c r="K995" s="230"/>
    </row>
    <row r="996">
      <c r="A996" s="230"/>
      <c r="B996" s="230"/>
      <c r="I996" s="230"/>
      <c r="J996" s="230"/>
      <c r="K996" s="230"/>
    </row>
    <row r="997">
      <c r="A997" s="230"/>
      <c r="B997" s="230"/>
      <c r="I997" s="230"/>
      <c r="J997" s="230"/>
      <c r="K997" s="230"/>
    </row>
    <row r="998">
      <c r="A998" s="230"/>
      <c r="B998" s="230"/>
      <c r="I998" s="230"/>
      <c r="J998" s="230"/>
      <c r="K998" s="230"/>
    </row>
    <row r="999">
      <c r="A999" s="230"/>
      <c r="B999" s="230"/>
      <c r="I999" s="230"/>
      <c r="J999" s="230"/>
      <c r="K999" s="230"/>
    </row>
    <row r="1000">
      <c r="A1000" s="230"/>
      <c r="B1000" s="230"/>
      <c r="I1000" s="230"/>
      <c r="J1000" s="230"/>
      <c r="K1000" s="230"/>
    </row>
    <row r="1001">
      <c r="A1001" s="230"/>
      <c r="B1001" s="230"/>
      <c r="I1001" s="230"/>
      <c r="J1001" s="230"/>
      <c r="K1001" s="230"/>
    </row>
    <row r="1002">
      <c r="A1002" s="230"/>
      <c r="B1002" s="230"/>
      <c r="I1002" s="230"/>
      <c r="J1002" s="230"/>
      <c r="K1002" s="230"/>
    </row>
    <row r="1003" ht="15.75" customHeight="1">
      <c r="A1003" s="230"/>
      <c r="B1003" s="230"/>
      <c r="I1003" s="230"/>
      <c r="J1003" s="230"/>
      <c r="K1003" s="230"/>
    </row>
    <row r="1004" ht="15.75" customHeight="1">
      <c r="A1004" s="230"/>
      <c r="B1004" s="230"/>
      <c r="I1004" s="230"/>
      <c r="J1004" s="230"/>
      <c r="K1004" s="230"/>
    </row>
    <row r="1005" ht="15.75" customHeight="1">
      <c r="A1005" s="230"/>
      <c r="B1005" s="230"/>
      <c r="I1005" s="230"/>
      <c r="J1005" s="230"/>
      <c r="K1005" s="230"/>
    </row>
    <row r="1006" ht="15.75" customHeight="1">
      <c r="A1006" s="230"/>
      <c r="B1006" s="230"/>
      <c r="I1006" s="230"/>
      <c r="J1006" s="230"/>
      <c r="K1006" s="230"/>
    </row>
    <row r="1007" ht="15.75" customHeight="1">
      <c r="A1007" s="230"/>
      <c r="B1007" s="230"/>
      <c r="I1007" s="230"/>
      <c r="J1007" s="230"/>
      <c r="K1007" s="230"/>
    </row>
    <row r="1008" ht="15.75" customHeight="1">
      <c r="A1008" s="230"/>
      <c r="B1008" s="230"/>
      <c r="I1008" s="230"/>
      <c r="J1008" s="230"/>
      <c r="K1008" s="230"/>
    </row>
  </sheetData>
  <autoFilter ref="$B$1:$AG$415"/>
  <hyperlinks>
    <hyperlink r:id="rId1" ref="AD2"/>
    <hyperlink r:id="rId2" ref="AD3"/>
    <hyperlink r:id="rId3" ref="AD4"/>
    <hyperlink r:id="rId4" ref="AD6"/>
    <hyperlink r:id="rId5" ref="AD7"/>
    <hyperlink r:id="rId6" ref="AD8"/>
    <hyperlink r:id="rId7" ref="AD9"/>
    <hyperlink r:id="rId8" ref="AD10"/>
    <hyperlink r:id="rId9" ref="AD11"/>
    <hyperlink r:id="rId10" ref="AD12"/>
    <hyperlink r:id="rId11" ref="AD13"/>
    <hyperlink r:id="rId12" ref="AD14"/>
    <hyperlink r:id="rId13" ref="AD15"/>
    <hyperlink r:id="rId14" ref="AD17"/>
    <hyperlink r:id="rId15" ref="AD18"/>
    <hyperlink r:id="rId16" ref="AD19"/>
    <hyperlink r:id="rId17" ref="AD20"/>
    <hyperlink r:id="rId18" ref="AD21"/>
    <hyperlink r:id="rId19" ref="AD22"/>
    <hyperlink r:id="rId20" ref="AD23"/>
    <hyperlink r:id="rId21" ref="AD25"/>
    <hyperlink r:id="rId22" ref="AD26"/>
    <hyperlink r:id="rId23" ref="AD28"/>
    <hyperlink r:id="rId24" ref="AD29"/>
    <hyperlink r:id="rId25" ref="AD30"/>
    <hyperlink r:id="rId26" ref="AD31"/>
    <hyperlink r:id="rId27" ref="AD32"/>
    <hyperlink r:id="rId28" ref="AD33"/>
    <hyperlink r:id="rId29" ref="AD34"/>
    <hyperlink r:id="rId30" ref="AD35"/>
    <hyperlink r:id="rId31" ref="AD36"/>
    <hyperlink r:id="rId32" ref="AD37"/>
    <hyperlink r:id="rId33" ref="AD38"/>
    <hyperlink r:id="rId34" ref="AD39"/>
    <hyperlink r:id="rId35" ref="AD40"/>
    <hyperlink r:id="rId36" ref="AG41"/>
    <hyperlink r:id="rId37" ref="AD44"/>
    <hyperlink r:id="rId38" ref="AD45"/>
    <hyperlink r:id="rId39" ref="AD46"/>
    <hyperlink r:id="rId40" ref="AD50"/>
    <hyperlink r:id="rId41" ref="AD51"/>
    <hyperlink r:id="rId42" ref="AD52"/>
    <hyperlink r:id="rId43" ref="AD53"/>
    <hyperlink r:id="rId44" ref="AD55"/>
    <hyperlink r:id="rId45" ref="AD56"/>
    <hyperlink r:id="rId46" ref="AD57"/>
    <hyperlink r:id="rId47" ref="AD61"/>
    <hyperlink r:id="rId48" ref="AD63"/>
    <hyperlink r:id="rId49" ref="AD64"/>
    <hyperlink r:id="rId50" ref="AD65"/>
    <hyperlink r:id="rId51" ref="AD66"/>
    <hyperlink r:id="rId52" ref="AD67"/>
    <hyperlink r:id="rId53" ref="AD70"/>
    <hyperlink r:id="rId54" ref="AD71"/>
    <hyperlink r:id="rId55" ref="AD72"/>
    <hyperlink r:id="rId56" ref="AD73"/>
    <hyperlink r:id="rId57" ref="AF73"/>
    <hyperlink r:id="rId58" ref="AD74"/>
    <hyperlink r:id="rId59" ref="AF74"/>
    <hyperlink r:id="rId60" ref="AD75"/>
    <hyperlink r:id="rId61" ref="AD76"/>
    <hyperlink r:id="rId62" ref="AF76"/>
    <hyperlink r:id="rId63" ref="AD77"/>
    <hyperlink r:id="rId64" ref="AD78"/>
    <hyperlink r:id="rId65" ref="AF78"/>
    <hyperlink r:id="rId66" ref="AD79"/>
    <hyperlink r:id="rId67" ref="AD80"/>
    <hyperlink r:id="rId68" ref="AD81"/>
    <hyperlink r:id="rId69" ref="AF81"/>
    <hyperlink r:id="rId70" ref="AD82"/>
    <hyperlink r:id="rId71" ref="AD83"/>
    <hyperlink r:id="rId72" ref="AD86"/>
    <hyperlink r:id="rId73" ref="AD87"/>
    <hyperlink r:id="rId74" ref="AD95"/>
    <hyperlink r:id="rId75" ref="AD96"/>
    <hyperlink r:id="rId76" ref="AD97"/>
    <hyperlink r:id="rId77" ref="AD98"/>
    <hyperlink r:id="rId78" ref="AD99"/>
    <hyperlink r:id="rId79" ref="AD100"/>
    <hyperlink r:id="rId80" ref="AD101"/>
    <hyperlink r:id="rId81" ref="AD109"/>
    <hyperlink r:id="rId82" ref="AD110"/>
    <hyperlink r:id="rId83" ref="AD112"/>
    <hyperlink r:id="rId84" ref="AD113"/>
    <hyperlink r:id="rId85" ref="AD114"/>
    <hyperlink r:id="rId86" ref="AD115"/>
    <hyperlink r:id="rId87" ref="AD116"/>
    <hyperlink r:id="rId88" ref="AD117"/>
    <hyperlink r:id="rId89" ref="AD119"/>
    <hyperlink r:id="rId90" ref="AD120"/>
    <hyperlink r:id="rId91" ref="AD121"/>
    <hyperlink r:id="rId92" ref="AD123"/>
    <hyperlink r:id="rId93" ref="AD124"/>
    <hyperlink r:id="rId94" ref="AD125"/>
    <hyperlink r:id="rId95" ref="AD129"/>
    <hyperlink r:id="rId96" ref="AD130"/>
    <hyperlink r:id="rId97" ref="AD132"/>
    <hyperlink r:id="rId98" ref="AD133"/>
    <hyperlink r:id="rId99" ref="AD134"/>
    <hyperlink r:id="rId100" ref="AD136"/>
    <hyperlink r:id="rId101" ref="AD142"/>
    <hyperlink r:id="rId102" ref="AD143"/>
    <hyperlink r:id="rId103" ref="AD148"/>
    <hyperlink r:id="rId104" ref="AD158"/>
    <hyperlink r:id="rId105" ref="AD174"/>
    <hyperlink r:id="rId106" ref="AD178"/>
    <hyperlink r:id="rId107" ref="AD179"/>
    <hyperlink r:id="rId108" ref="AD180"/>
    <hyperlink r:id="rId109" ref="AD184"/>
    <hyperlink r:id="rId110" ref="AD186"/>
    <hyperlink r:id="rId111" ref="AF186"/>
    <hyperlink r:id="rId112" ref="AD188"/>
    <hyperlink r:id="rId113" ref="AD190"/>
    <hyperlink r:id="rId114" ref="AD191"/>
    <hyperlink r:id="rId115" ref="AD192"/>
    <hyperlink r:id="rId116" ref="AD193"/>
    <hyperlink r:id="rId117" location="ixzz5IKRlKWsE" ref="AD195"/>
    <hyperlink r:id="rId118" ref="AD196"/>
    <hyperlink r:id="rId119" ref="AD202"/>
    <hyperlink r:id="rId120" ref="AD204"/>
    <hyperlink r:id="rId121" ref="AD208"/>
    <hyperlink r:id="rId122" ref="AD211"/>
    <hyperlink r:id="rId123" ref="AD214"/>
    <hyperlink r:id="rId124" ref="AD216"/>
    <hyperlink r:id="rId125" ref="AD225"/>
    <hyperlink r:id="rId126" ref="AD226"/>
    <hyperlink r:id="rId127" ref="AD227"/>
    <hyperlink r:id="rId128" ref="AD229"/>
    <hyperlink r:id="rId129" ref="AD230"/>
    <hyperlink r:id="rId130" ref="AD231"/>
    <hyperlink r:id="rId131" ref="AD232"/>
    <hyperlink r:id="rId132" ref="AD233"/>
    <hyperlink r:id="rId133" ref="AD234"/>
    <hyperlink r:id="rId134" ref="AD235"/>
    <hyperlink r:id="rId135" ref="AD238"/>
    <hyperlink r:id="rId136" ref="AD239"/>
    <hyperlink r:id="rId137" ref="AD240"/>
    <hyperlink r:id="rId138" ref="AD241"/>
    <hyperlink r:id="rId139" ref="AD245"/>
    <hyperlink r:id="rId140" ref="AD246"/>
    <hyperlink r:id="rId141" ref="AD247"/>
    <hyperlink r:id="rId142" ref="AD249"/>
    <hyperlink r:id="rId143" ref="AD250"/>
    <hyperlink r:id="rId144" ref="AD251"/>
    <hyperlink r:id="rId145" ref="AD252"/>
    <hyperlink r:id="rId146" ref="AD253"/>
    <hyperlink r:id="rId147" ref="AD254"/>
    <hyperlink r:id="rId148" ref="AD255"/>
    <hyperlink r:id="rId149" ref="AD256"/>
    <hyperlink r:id="rId150" ref="AD258"/>
    <hyperlink r:id="rId151" ref="AD259"/>
    <hyperlink r:id="rId152" ref="AD260"/>
    <hyperlink r:id="rId153" ref="AD262"/>
    <hyperlink r:id="rId154" ref="AD263"/>
    <hyperlink r:id="rId155" ref="AF263"/>
    <hyperlink r:id="rId156" ref="AD265"/>
    <hyperlink r:id="rId157" ref="AF266"/>
    <hyperlink r:id="rId158" ref="AD269"/>
    <hyperlink r:id="rId159" ref="AF270"/>
    <hyperlink r:id="rId160" ref="AD271"/>
    <hyperlink r:id="rId161" ref="AD272"/>
    <hyperlink r:id="rId162" ref="AD273"/>
    <hyperlink r:id="rId163" ref="AD275"/>
    <hyperlink r:id="rId164" ref="AD277"/>
    <hyperlink r:id="rId165" ref="AD278"/>
    <hyperlink r:id="rId166" ref="AD279"/>
    <hyperlink r:id="rId167" ref="AD280"/>
    <hyperlink r:id="rId168" ref="AD281"/>
    <hyperlink r:id="rId169" ref="AD285"/>
    <hyperlink r:id="rId170" ref="AF285"/>
    <hyperlink r:id="rId171" ref="AD288"/>
    <hyperlink r:id="rId172" ref="AD289"/>
    <hyperlink r:id="rId173" ref="AD290"/>
    <hyperlink r:id="rId174" ref="AD291"/>
    <hyperlink r:id="rId175" ref="AD292"/>
    <hyperlink r:id="rId176" ref="AD298"/>
    <hyperlink r:id="rId177" ref="AD299"/>
    <hyperlink r:id="rId178" ref="AD300"/>
    <hyperlink r:id="rId179" ref="AD303"/>
    <hyperlink r:id="rId180" ref="AD307"/>
    <hyperlink r:id="rId181" ref="AD309"/>
    <hyperlink r:id="rId182" ref="AD310"/>
    <hyperlink r:id="rId183" ref="AD315"/>
    <hyperlink r:id="rId184" ref="AD324"/>
    <hyperlink r:id="rId185" ref="AD325"/>
    <hyperlink r:id="rId186" ref="AD326"/>
    <hyperlink r:id="rId187" ref="AD327"/>
    <hyperlink r:id="rId188" ref="AF328"/>
    <hyperlink r:id="rId189" ref="AD329"/>
    <hyperlink r:id="rId190" ref="AD330"/>
    <hyperlink r:id="rId191" ref="AD332"/>
    <hyperlink r:id="rId192" ref="AD333"/>
    <hyperlink r:id="rId193" ref="AD335"/>
    <hyperlink r:id="rId194" ref="AD339"/>
    <hyperlink r:id="rId195" ref="AD340"/>
    <hyperlink r:id="rId196" ref="AF341"/>
    <hyperlink r:id="rId197" ref="AD342"/>
    <hyperlink r:id="rId198" ref="AF343"/>
    <hyperlink r:id="rId199" ref="AD344"/>
    <hyperlink r:id="rId200" ref="AD345"/>
    <hyperlink r:id="rId201" ref="AD346"/>
    <hyperlink r:id="rId202" ref="AD347"/>
    <hyperlink r:id="rId203" ref="AD350"/>
    <hyperlink r:id="rId204" ref="AD351"/>
    <hyperlink r:id="rId205" ref="AD356"/>
    <hyperlink r:id="rId206" ref="AD358"/>
    <hyperlink r:id="rId207" ref="AD359"/>
    <hyperlink r:id="rId208" ref="AD360"/>
    <hyperlink r:id="rId209" ref="AD363"/>
    <hyperlink r:id="rId210" ref="AD364"/>
    <hyperlink r:id="rId211" ref="AD365"/>
    <hyperlink r:id="rId212" ref="AF365"/>
    <hyperlink r:id="rId213" ref="AF366"/>
    <hyperlink r:id="rId214" ref="AD368"/>
    <hyperlink r:id="rId215" ref="AF368"/>
    <hyperlink r:id="rId216" ref="AD369"/>
    <hyperlink r:id="rId217" ref="AF369"/>
    <hyperlink r:id="rId218" ref="AD370"/>
    <hyperlink r:id="rId219" ref="AD371"/>
    <hyperlink r:id="rId220" ref="AD373"/>
    <hyperlink r:id="rId221" ref="AD374"/>
    <hyperlink r:id="rId222" ref="AD375"/>
    <hyperlink r:id="rId223" ref="AD376"/>
    <hyperlink r:id="rId224" ref="AD377"/>
    <hyperlink r:id="rId225" ref="AD381"/>
    <hyperlink r:id="rId226" ref="AD383"/>
    <hyperlink r:id="rId227" ref="AD385"/>
    <hyperlink r:id="rId228" ref="AD386"/>
    <hyperlink r:id="rId229" ref="AD388"/>
    <hyperlink r:id="rId230" ref="AD389"/>
    <hyperlink r:id="rId231" ref="AD390"/>
    <hyperlink r:id="rId232" ref="AD391"/>
    <hyperlink r:id="rId233" ref="AF391"/>
    <hyperlink r:id="rId234" ref="AD392"/>
    <hyperlink r:id="rId235" ref="AD393"/>
    <hyperlink r:id="rId236" ref="AD395"/>
    <hyperlink r:id="rId237" location=":~:text=This%20is%20sought%20as%20one%20of%20the,but%20throughout%20Sarangani%20Bay.%20The%20preparation%20of." ref="AD396"/>
    <hyperlink r:id="rId238" ref="AD397"/>
    <hyperlink r:id="rId239" ref="AD399"/>
    <hyperlink r:id="rId240" ref="AD400"/>
    <hyperlink r:id="rId241" ref="AD401"/>
    <hyperlink r:id="rId242" ref="AD402"/>
    <hyperlink r:id="rId243" ref="AD403"/>
    <hyperlink r:id="rId244" ref="AD404"/>
    <hyperlink r:id="rId245" ref="AD405"/>
    <hyperlink r:id="rId246" ref="AD406"/>
    <hyperlink r:id="rId247" ref="AD407"/>
    <hyperlink r:id="rId248" ref="AD408"/>
    <hyperlink r:id="rId249" ref="AD410"/>
    <hyperlink r:id="rId250" ref="AD411"/>
    <hyperlink r:id="rId251" ref="AD412"/>
    <hyperlink r:id="rId252" ref="AD413"/>
    <hyperlink r:id="rId253" ref="AD414"/>
    <hyperlink r:id="rId254" ref="AG414"/>
    <hyperlink r:id="rId255" ref="AD415"/>
    <hyperlink r:id="rId256" ref="AD416"/>
    <hyperlink r:id="rId257" ref="AD417"/>
    <hyperlink r:id="rId258" ref="AD419"/>
    <hyperlink r:id="rId259" ref="AD420"/>
    <hyperlink r:id="rId260" ref="AD421"/>
    <hyperlink r:id="rId261" ref="AD422"/>
    <hyperlink r:id="rId262" ref="AD423"/>
    <hyperlink r:id="rId263" ref="AD424"/>
    <hyperlink r:id="rId264" ref="AD425"/>
    <hyperlink r:id="rId265" ref="AD426"/>
    <hyperlink r:id="rId266" ref="AD427"/>
    <hyperlink r:id="rId267" ref="AD428"/>
    <hyperlink r:id="rId268" ref="AD429"/>
    <hyperlink r:id="rId269" ref="AD430"/>
    <hyperlink r:id="rId270" ref="AD431"/>
    <hyperlink r:id="rId271" ref="AD432"/>
    <hyperlink r:id="rId272" ref="AD433"/>
    <hyperlink r:id="rId273" ref="AD434"/>
    <hyperlink r:id="rId274" ref="AD435"/>
    <hyperlink r:id="rId275" ref="AD436"/>
    <hyperlink r:id="rId276" ref="AD437"/>
    <hyperlink r:id="rId277" ref="AD440"/>
    <hyperlink r:id="rId278" ref="AD441"/>
    <hyperlink r:id="rId279" ref="AD442"/>
    <hyperlink r:id="rId280" ref="AD443"/>
    <hyperlink r:id="rId281" ref="AD444"/>
    <hyperlink r:id="rId282" ref="AD445"/>
    <hyperlink r:id="rId283" ref="AD446"/>
    <hyperlink r:id="rId284" ref="AD447"/>
    <hyperlink r:id="rId285" ref="AD449"/>
    <hyperlink r:id="rId286" ref="AD450"/>
    <hyperlink r:id="rId287" ref="AD453"/>
    <hyperlink r:id="rId288" ref="AD454"/>
    <hyperlink r:id="rId289" ref="AD455"/>
    <hyperlink r:id="rId290" ref="AD456"/>
    <hyperlink r:id="rId291" ref="AD457"/>
    <hyperlink r:id="rId292" ref="AD458"/>
    <hyperlink r:id="rId293" ref="AD459"/>
    <hyperlink r:id="rId294" ref="AF460"/>
  </hyperlinks>
  <printOptions/>
  <pageMargins bottom="0.75" footer="0.0" header="0.0" left="0.7" right="0.7" top="0.75"/>
  <pageSetup orientation="portrait"/>
  <drawing r:id="rId29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5.78"/>
    <col customWidth="1" min="2" max="2" width="11.22"/>
    <col customWidth="1" min="3" max="3" width="16.11"/>
    <col customWidth="1" min="4" max="4" width="11.22"/>
    <col customWidth="1" min="5" max="5" width="16.0"/>
    <col customWidth="1" min="6" max="6" width="32.22"/>
    <col customWidth="1" min="7" max="7" width="39.78"/>
    <col customWidth="1" min="15" max="15" width="19.44"/>
    <col customWidth="1" min="25" max="25" width="16.44"/>
  </cols>
  <sheetData>
    <row r="1" ht="38.25" customHeight="1">
      <c r="A1" s="257" t="s">
        <v>38</v>
      </c>
      <c r="B1" s="257" t="s">
        <v>51</v>
      </c>
      <c r="C1" s="257" t="s">
        <v>53</v>
      </c>
      <c r="D1" s="257" t="s">
        <v>10</v>
      </c>
      <c r="E1" s="257" t="s">
        <v>8074</v>
      </c>
      <c r="F1" s="257" t="s">
        <v>8075</v>
      </c>
      <c r="G1" s="257" t="s">
        <v>8076</v>
      </c>
      <c r="H1" s="257" t="s">
        <v>8077</v>
      </c>
      <c r="I1" s="257" t="s">
        <v>8078</v>
      </c>
      <c r="J1" s="257" t="s">
        <v>6006</v>
      </c>
      <c r="K1" s="257" t="s">
        <v>8079</v>
      </c>
      <c r="L1" s="257" t="s">
        <v>8080</v>
      </c>
      <c r="M1" s="257" t="s">
        <v>8081</v>
      </c>
      <c r="N1" s="257" t="s">
        <v>8082</v>
      </c>
      <c r="O1" s="257" t="s">
        <v>8083</v>
      </c>
      <c r="P1" s="257" t="s">
        <v>6017</v>
      </c>
      <c r="Q1" s="257" t="s">
        <v>6018</v>
      </c>
      <c r="R1" s="257" t="s">
        <v>8084</v>
      </c>
      <c r="S1" s="257" t="s">
        <v>8085</v>
      </c>
      <c r="T1" s="257" t="s">
        <v>8086</v>
      </c>
      <c r="U1" s="257" t="s">
        <v>8087</v>
      </c>
      <c r="V1" s="257" t="s">
        <v>8088</v>
      </c>
      <c r="W1" s="257" t="s">
        <v>8089</v>
      </c>
      <c r="X1" s="257" t="s">
        <v>114</v>
      </c>
      <c r="Y1" s="257" t="s">
        <v>116</v>
      </c>
      <c r="Z1" s="257" t="s">
        <v>118</v>
      </c>
      <c r="AA1" s="257" t="s">
        <v>125</v>
      </c>
      <c r="AB1" s="257" t="s">
        <v>6027</v>
      </c>
      <c r="AC1" s="257" t="s">
        <v>129</v>
      </c>
      <c r="AD1" s="257" t="s">
        <v>131</v>
      </c>
      <c r="AE1" s="257" t="s">
        <v>8090</v>
      </c>
      <c r="AF1" s="257" t="s">
        <v>8091</v>
      </c>
    </row>
    <row r="2">
      <c r="A2" s="258">
        <v>1.0</v>
      </c>
      <c r="B2" s="259" t="s">
        <v>143</v>
      </c>
      <c r="C2" s="259" t="s">
        <v>381</v>
      </c>
      <c r="D2" s="259" t="s">
        <v>2585</v>
      </c>
      <c r="E2" s="259" t="s">
        <v>2586</v>
      </c>
      <c r="F2" s="259" t="s">
        <v>149</v>
      </c>
      <c r="G2" s="260"/>
      <c r="H2" s="258">
        <v>2021.0</v>
      </c>
      <c r="I2" s="258">
        <v>2021.0</v>
      </c>
      <c r="J2" s="259" t="s">
        <v>149</v>
      </c>
      <c r="K2" s="259" t="s">
        <v>151</v>
      </c>
      <c r="L2" s="259" t="s">
        <v>149</v>
      </c>
      <c r="M2" s="259" t="s">
        <v>149</v>
      </c>
      <c r="N2" s="259" t="s">
        <v>149</v>
      </c>
      <c r="O2" s="259" t="s">
        <v>149</v>
      </c>
      <c r="P2" s="259" t="s">
        <v>149</v>
      </c>
      <c r="Q2" s="259" t="s">
        <v>149</v>
      </c>
      <c r="R2" s="259" t="s">
        <v>149</v>
      </c>
      <c r="S2" s="259" t="s">
        <v>149</v>
      </c>
      <c r="T2" s="259" t="s">
        <v>149</v>
      </c>
      <c r="U2" s="259" t="s">
        <v>149</v>
      </c>
      <c r="V2" s="259" t="s">
        <v>149</v>
      </c>
      <c r="W2" s="259" t="s">
        <v>149</v>
      </c>
      <c r="X2" s="260"/>
      <c r="Y2" s="260"/>
      <c r="Z2" s="260"/>
      <c r="AA2" s="259" t="s">
        <v>8092</v>
      </c>
      <c r="AC2" s="260"/>
      <c r="AD2" s="260"/>
      <c r="AE2" s="258">
        <v>1.0</v>
      </c>
      <c r="AF2" s="260"/>
    </row>
    <row r="3">
      <c r="A3" s="258">
        <v>2.0</v>
      </c>
      <c r="B3" s="259" t="s">
        <v>143</v>
      </c>
      <c r="C3" s="259" t="s">
        <v>381</v>
      </c>
      <c r="D3" s="259" t="s">
        <v>2363</v>
      </c>
      <c r="E3" s="259" t="s">
        <v>2364</v>
      </c>
      <c r="F3" s="259" t="s">
        <v>6041</v>
      </c>
      <c r="H3" s="258">
        <v>2011.0</v>
      </c>
      <c r="I3" s="258">
        <v>2011.0</v>
      </c>
      <c r="J3" s="259" t="s">
        <v>149</v>
      </c>
      <c r="K3" s="259" t="s">
        <v>151</v>
      </c>
      <c r="L3" s="259" t="s">
        <v>149</v>
      </c>
      <c r="M3" s="259" t="s">
        <v>149</v>
      </c>
      <c r="N3" s="259" t="s">
        <v>149</v>
      </c>
      <c r="O3" s="261" t="s">
        <v>149</v>
      </c>
      <c r="P3" s="261" t="s">
        <v>149</v>
      </c>
      <c r="Q3" s="261" t="s">
        <v>149</v>
      </c>
      <c r="R3" s="259" t="s">
        <v>149</v>
      </c>
      <c r="S3" s="259" t="s">
        <v>149</v>
      </c>
      <c r="T3" s="259" t="s">
        <v>149</v>
      </c>
      <c r="U3" s="259" t="s">
        <v>149</v>
      </c>
      <c r="V3" s="259" t="s">
        <v>149</v>
      </c>
      <c r="W3" s="259" t="s">
        <v>149</v>
      </c>
      <c r="X3" s="260"/>
      <c r="Y3" s="262"/>
      <c r="Z3" s="260"/>
      <c r="AA3" s="259" t="s">
        <v>8092</v>
      </c>
      <c r="AC3" s="260"/>
      <c r="AD3" s="260"/>
      <c r="AE3" s="258">
        <v>1.0</v>
      </c>
      <c r="AF3" s="260"/>
    </row>
    <row r="4">
      <c r="A4" s="258">
        <v>3.0</v>
      </c>
      <c r="B4" s="259" t="s">
        <v>143</v>
      </c>
      <c r="C4" s="259" t="s">
        <v>381</v>
      </c>
      <c r="D4" s="259" t="s">
        <v>8093</v>
      </c>
      <c r="E4" s="259" t="s">
        <v>383</v>
      </c>
      <c r="F4" s="259" t="s">
        <v>384</v>
      </c>
      <c r="G4" s="259" t="s">
        <v>385</v>
      </c>
      <c r="H4" s="258">
        <v>1986.0</v>
      </c>
      <c r="I4" s="258">
        <v>1985.0</v>
      </c>
      <c r="J4" s="258">
        <v>1987.0</v>
      </c>
      <c r="K4" s="259" t="s">
        <v>151</v>
      </c>
      <c r="L4" s="259" t="s">
        <v>6054</v>
      </c>
      <c r="M4" s="259" t="s">
        <v>6054</v>
      </c>
      <c r="N4" s="259" t="s">
        <v>149</v>
      </c>
      <c r="O4" s="259" t="s">
        <v>390</v>
      </c>
      <c r="P4" s="259" t="s">
        <v>160</v>
      </c>
      <c r="Q4" s="259" t="s">
        <v>6035</v>
      </c>
      <c r="R4" s="259" t="s">
        <v>159</v>
      </c>
      <c r="S4" s="259" t="s">
        <v>149</v>
      </c>
      <c r="T4" s="259" t="s">
        <v>149</v>
      </c>
      <c r="U4" s="259" t="s">
        <v>391</v>
      </c>
      <c r="V4" s="259" t="s">
        <v>390</v>
      </c>
      <c r="W4" s="259" t="s">
        <v>6035</v>
      </c>
      <c r="X4" s="259" t="s">
        <v>6055</v>
      </c>
      <c r="Z4" s="259" t="s">
        <v>6056</v>
      </c>
      <c r="AA4" s="259" t="s">
        <v>395</v>
      </c>
      <c r="AB4" s="263" t="s">
        <v>2873</v>
      </c>
      <c r="AC4" s="259" t="s">
        <v>398</v>
      </c>
      <c r="AE4" s="258">
        <v>1.0</v>
      </c>
      <c r="AF4" s="260"/>
    </row>
    <row r="5">
      <c r="A5" s="258">
        <v>4.0</v>
      </c>
      <c r="B5" s="259" t="s">
        <v>143</v>
      </c>
      <c r="C5" s="259" t="s">
        <v>381</v>
      </c>
      <c r="D5" s="259" t="s">
        <v>1681</v>
      </c>
      <c r="E5" s="259" t="s">
        <v>1682</v>
      </c>
      <c r="F5" s="259" t="s">
        <v>1683</v>
      </c>
      <c r="H5" s="258">
        <v>2015.0</v>
      </c>
      <c r="I5" s="258">
        <v>2014.0</v>
      </c>
      <c r="J5" s="258">
        <v>2016.0</v>
      </c>
      <c r="K5" s="259" t="s">
        <v>6062</v>
      </c>
      <c r="L5" s="259" t="s">
        <v>320</v>
      </c>
      <c r="M5" s="259" t="s">
        <v>179</v>
      </c>
      <c r="N5" s="259" t="s">
        <v>149</v>
      </c>
      <c r="O5" s="259" t="s">
        <v>321</v>
      </c>
      <c r="P5" s="259" t="s">
        <v>160</v>
      </c>
      <c r="Q5" s="259" t="s">
        <v>6035</v>
      </c>
      <c r="R5" s="259" t="s">
        <v>159</v>
      </c>
      <c r="S5" s="259" t="s">
        <v>149</v>
      </c>
      <c r="T5" s="259" t="s">
        <v>149</v>
      </c>
      <c r="U5" s="259" t="s">
        <v>1685</v>
      </c>
      <c r="V5" s="259" t="s">
        <v>1686</v>
      </c>
      <c r="W5" s="259" t="s">
        <v>6068</v>
      </c>
      <c r="X5" s="260"/>
      <c r="Y5" s="260"/>
      <c r="Z5" s="260"/>
      <c r="AA5" s="259" t="s">
        <v>8092</v>
      </c>
      <c r="AC5" s="260"/>
      <c r="AD5" s="260"/>
      <c r="AE5" s="258">
        <v>1.0</v>
      </c>
      <c r="AF5" s="260"/>
    </row>
    <row r="6">
      <c r="A6" s="258">
        <v>5.0</v>
      </c>
      <c r="B6" s="259" t="s">
        <v>143</v>
      </c>
      <c r="C6" s="259" t="s">
        <v>381</v>
      </c>
      <c r="D6" s="259" t="s">
        <v>400</v>
      </c>
      <c r="E6" s="259" t="s">
        <v>401</v>
      </c>
      <c r="F6" s="259" t="s">
        <v>384</v>
      </c>
      <c r="G6" s="259" t="s">
        <v>402</v>
      </c>
      <c r="H6" s="258">
        <v>1986.0</v>
      </c>
      <c r="I6" s="258">
        <v>1985.0</v>
      </c>
      <c r="J6" s="258">
        <v>1987.0</v>
      </c>
      <c r="K6" s="259" t="s">
        <v>151</v>
      </c>
      <c r="L6" s="259" t="s">
        <v>6054</v>
      </c>
      <c r="M6" s="259" t="s">
        <v>6054</v>
      </c>
      <c r="N6" s="259" t="s">
        <v>149</v>
      </c>
      <c r="O6" s="259" t="s">
        <v>390</v>
      </c>
      <c r="P6" s="259" t="s">
        <v>160</v>
      </c>
      <c r="Q6" s="259" t="s">
        <v>6035</v>
      </c>
      <c r="R6" s="259" t="s">
        <v>159</v>
      </c>
      <c r="S6" s="259" t="s">
        <v>149</v>
      </c>
      <c r="T6" s="259" t="s">
        <v>149</v>
      </c>
      <c r="U6" s="259" t="s">
        <v>391</v>
      </c>
      <c r="V6" s="259" t="s">
        <v>390</v>
      </c>
      <c r="W6" s="259" t="s">
        <v>6035</v>
      </c>
      <c r="X6" s="259" t="s">
        <v>6055</v>
      </c>
      <c r="AA6" s="259" t="s">
        <v>395</v>
      </c>
      <c r="AB6" s="263" t="s">
        <v>2873</v>
      </c>
      <c r="AC6" s="259" t="s">
        <v>398</v>
      </c>
      <c r="AE6" s="258">
        <v>1.0</v>
      </c>
      <c r="AF6" s="260"/>
    </row>
    <row r="7">
      <c r="A7" s="258">
        <v>6.0</v>
      </c>
      <c r="B7" s="259" t="s">
        <v>143</v>
      </c>
      <c r="C7" s="259" t="s">
        <v>404</v>
      </c>
      <c r="D7" s="259" t="s">
        <v>405</v>
      </c>
      <c r="E7" s="259" t="s">
        <v>406</v>
      </c>
      <c r="F7" s="259" t="s">
        <v>384</v>
      </c>
      <c r="G7" s="259" t="s">
        <v>2836</v>
      </c>
      <c r="H7" s="258">
        <v>1982.0</v>
      </c>
      <c r="I7" s="258">
        <v>1985.0</v>
      </c>
      <c r="J7" s="258">
        <v>1987.0</v>
      </c>
      <c r="K7" s="259" t="s">
        <v>151</v>
      </c>
      <c r="L7" s="259" t="s">
        <v>605</v>
      </c>
      <c r="M7" s="259" t="s">
        <v>605</v>
      </c>
      <c r="N7" s="259" t="s">
        <v>149</v>
      </c>
      <c r="O7" s="259" t="s">
        <v>390</v>
      </c>
      <c r="P7" s="259" t="s">
        <v>160</v>
      </c>
      <c r="Q7" s="259" t="s">
        <v>6035</v>
      </c>
      <c r="R7" s="259" t="s">
        <v>159</v>
      </c>
      <c r="S7" s="259" t="s">
        <v>149</v>
      </c>
      <c r="T7" s="259" t="s">
        <v>149</v>
      </c>
      <c r="U7" s="259" t="s">
        <v>6074</v>
      </c>
      <c r="V7" s="259" t="s">
        <v>390</v>
      </c>
      <c r="W7" s="259" t="s">
        <v>6035</v>
      </c>
      <c r="X7" s="259" t="s">
        <v>6055</v>
      </c>
      <c r="AA7" s="259" t="s">
        <v>395</v>
      </c>
      <c r="AB7" s="263" t="s">
        <v>2873</v>
      </c>
      <c r="AC7" s="259" t="s">
        <v>398</v>
      </c>
      <c r="AE7" s="258">
        <v>1.0</v>
      </c>
      <c r="AF7" s="260"/>
    </row>
    <row r="8">
      <c r="A8" s="258">
        <v>7.0</v>
      </c>
      <c r="B8" s="260"/>
      <c r="C8" s="259" t="s">
        <v>404</v>
      </c>
      <c r="D8" s="259" t="s">
        <v>405</v>
      </c>
      <c r="E8" s="259" t="s">
        <v>406</v>
      </c>
      <c r="F8" s="259" t="s">
        <v>384</v>
      </c>
      <c r="G8" s="259" t="s">
        <v>2836</v>
      </c>
      <c r="H8" s="258">
        <v>1983.0</v>
      </c>
      <c r="I8" s="259" t="s">
        <v>149</v>
      </c>
      <c r="J8" s="259" t="s">
        <v>149</v>
      </c>
      <c r="K8" s="259" t="s">
        <v>151</v>
      </c>
      <c r="L8" s="259" t="s">
        <v>6079</v>
      </c>
      <c r="M8" s="259" t="s">
        <v>6079</v>
      </c>
      <c r="N8" s="259" t="s">
        <v>149</v>
      </c>
      <c r="O8" s="259" t="s">
        <v>390</v>
      </c>
      <c r="P8" s="259" t="s">
        <v>160</v>
      </c>
      <c r="Q8" s="259" t="s">
        <v>6035</v>
      </c>
      <c r="R8" s="259" t="s">
        <v>159</v>
      </c>
      <c r="S8" s="259" t="s">
        <v>149</v>
      </c>
      <c r="T8" s="259" t="s">
        <v>149</v>
      </c>
      <c r="U8" s="259" t="s">
        <v>2843</v>
      </c>
      <c r="V8" s="259" t="s">
        <v>390</v>
      </c>
      <c r="W8" s="259" t="s">
        <v>6035</v>
      </c>
      <c r="X8" s="259" t="s">
        <v>6055</v>
      </c>
      <c r="AA8" s="259" t="s">
        <v>6027</v>
      </c>
      <c r="AB8" s="263" t="s">
        <v>6080</v>
      </c>
      <c r="AE8" s="258">
        <v>1.0</v>
      </c>
      <c r="AF8" s="260"/>
    </row>
    <row r="9">
      <c r="A9" s="258">
        <v>8.0</v>
      </c>
      <c r="B9" s="259" t="s">
        <v>143</v>
      </c>
      <c r="C9" s="259" t="s">
        <v>404</v>
      </c>
      <c r="D9" s="259" t="s">
        <v>405</v>
      </c>
      <c r="E9" s="259" t="s">
        <v>406</v>
      </c>
      <c r="F9" s="259" t="s">
        <v>384</v>
      </c>
      <c r="G9" s="259" t="s">
        <v>407</v>
      </c>
      <c r="H9" s="258">
        <v>1986.0</v>
      </c>
      <c r="I9" s="258">
        <v>1985.0</v>
      </c>
      <c r="J9" s="258">
        <v>1987.0</v>
      </c>
      <c r="K9" s="259" t="s">
        <v>151</v>
      </c>
      <c r="L9" s="259" t="s">
        <v>6054</v>
      </c>
      <c r="M9" s="259" t="s">
        <v>6054</v>
      </c>
      <c r="N9" s="259" t="s">
        <v>149</v>
      </c>
      <c r="O9" s="259" t="s">
        <v>390</v>
      </c>
      <c r="P9" s="259" t="s">
        <v>160</v>
      </c>
      <c r="Q9" s="259" t="s">
        <v>6035</v>
      </c>
      <c r="R9" s="259" t="s">
        <v>159</v>
      </c>
      <c r="S9" s="259" t="s">
        <v>149</v>
      </c>
      <c r="T9" s="259" t="s">
        <v>149</v>
      </c>
      <c r="U9" s="259" t="s">
        <v>391</v>
      </c>
      <c r="V9" s="259" t="s">
        <v>390</v>
      </c>
      <c r="W9" s="259" t="s">
        <v>6035</v>
      </c>
      <c r="X9" s="259" t="s">
        <v>6055</v>
      </c>
      <c r="AA9" s="259" t="s">
        <v>395</v>
      </c>
      <c r="AB9" s="263" t="s">
        <v>2873</v>
      </c>
      <c r="AC9" s="259" t="s">
        <v>398</v>
      </c>
      <c r="AE9" s="258">
        <v>1.0</v>
      </c>
      <c r="AF9" s="260"/>
    </row>
    <row r="10">
      <c r="A10" s="258">
        <v>9.0</v>
      </c>
      <c r="B10" s="259" t="s">
        <v>143</v>
      </c>
      <c r="C10" s="259" t="s">
        <v>404</v>
      </c>
      <c r="D10" s="259" t="s">
        <v>405</v>
      </c>
      <c r="E10" s="259" t="s">
        <v>406</v>
      </c>
      <c r="F10" s="259" t="s">
        <v>384</v>
      </c>
      <c r="G10" s="259" t="s">
        <v>409</v>
      </c>
      <c r="H10" s="258">
        <v>1986.0</v>
      </c>
      <c r="I10" s="258">
        <v>1985.0</v>
      </c>
      <c r="J10" s="258">
        <v>1987.0</v>
      </c>
      <c r="K10" s="259" t="s">
        <v>151</v>
      </c>
      <c r="L10" s="259" t="s">
        <v>6054</v>
      </c>
      <c r="M10" s="259" t="s">
        <v>6054</v>
      </c>
      <c r="N10" s="259" t="s">
        <v>149</v>
      </c>
      <c r="O10" s="259" t="s">
        <v>390</v>
      </c>
      <c r="P10" s="259" t="s">
        <v>160</v>
      </c>
      <c r="Q10" s="259" t="s">
        <v>6035</v>
      </c>
      <c r="R10" s="259" t="s">
        <v>159</v>
      </c>
      <c r="S10" s="259" t="s">
        <v>149</v>
      </c>
      <c r="T10" s="259" t="s">
        <v>149</v>
      </c>
      <c r="U10" s="259" t="s">
        <v>391</v>
      </c>
      <c r="V10" s="259" t="s">
        <v>390</v>
      </c>
      <c r="W10" s="259" t="s">
        <v>6035</v>
      </c>
      <c r="X10" s="259" t="s">
        <v>6055</v>
      </c>
      <c r="Z10" s="259" t="s">
        <v>6056</v>
      </c>
      <c r="AA10" s="259" t="s">
        <v>395</v>
      </c>
      <c r="AB10" s="263" t="s">
        <v>2873</v>
      </c>
      <c r="AC10" s="259" t="s">
        <v>398</v>
      </c>
      <c r="AE10" s="258">
        <v>1.0</v>
      </c>
      <c r="AF10" s="260"/>
    </row>
    <row r="11">
      <c r="A11" s="258">
        <v>10.0</v>
      </c>
      <c r="B11" s="259" t="s">
        <v>143</v>
      </c>
      <c r="C11" s="259" t="s">
        <v>404</v>
      </c>
      <c r="D11" s="259" t="s">
        <v>405</v>
      </c>
      <c r="E11" s="259" t="s">
        <v>406</v>
      </c>
      <c r="F11" s="259" t="s">
        <v>149</v>
      </c>
      <c r="G11" s="260"/>
      <c r="H11" s="258">
        <v>2013.0</v>
      </c>
      <c r="I11" s="259" t="s">
        <v>149</v>
      </c>
      <c r="J11" s="259" t="s">
        <v>149</v>
      </c>
      <c r="K11" s="259" t="s">
        <v>151</v>
      </c>
      <c r="L11" s="259" t="s">
        <v>149</v>
      </c>
      <c r="M11" s="259" t="s">
        <v>149</v>
      </c>
      <c r="N11" s="259" t="s">
        <v>149</v>
      </c>
      <c r="O11" s="259" t="s">
        <v>149</v>
      </c>
      <c r="P11" s="259" t="s">
        <v>149</v>
      </c>
      <c r="Q11" s="259" t="s">
        <v>149</v>
      </c>
      <c r="R11" s="259" t="s">
        <v>149</v>
      </c>
      <c r="S11" s="259" t="s">
        <v>149</v>
      </c>
      <c r="T11" s="259" t="s">
        <v>149</v>
      </c>
      <c r="U11" s="259" t="s">
        <v>149</v>
      </c>
      <c r="V11" s="259" t="s">
        <v>149</v>
      </c>
      <c r="W11" s="259" t="s">
        <v>149</v>
      </c>
      <c r="X11" s="260"/>
      <c r="Y11" s="260"/>
      <c r="Z11" s="260"/>
      <c r="AA11" s="259" t="s">
        <v>8092</v>
      </c>
      <c r="AC11" s="260"/>
      <c r="AD11" s="260"/>
      <c r="AE11" s="258">
        <v>1.0</v>
      </c>
      <c r="AF11" s="260"/>
    </row>
    <row r="12">
      <c r="A12" s="258">
        <v>11.0</v>
      </c>
      <c r="B12" s="259" t="s">
        <v>143</v>
      </c>
      <c r="C12" s="259" t="s">
        <v>404</v>
      </c>
      <c r="D12" s="259" t="s">
        <v>8094</v>
      </c>
      <c r="E12" s="259" t="s">
        <v>412</v>
      </c>
      <c r="F12" s="259" t="s">
        <v>384</v>
      </c>
      <c r="G12" s="259" t="s">
        <v>413</v>
      </c>
      <c r="H12" s="258">
        <v>1986.0</v>
      </c>
      <c r="I12" s="258">
        <v>1985.0</v>
      </c>
      <c r="J12" s="258">
        <v>1987.0</v>
      </c>
      <c r="K12" s="259" t="s">
        <v>151</v>
      </c>
      <c r="L12" s="259" t="s">
        <v>6054</v>
      </c>
      <c r="M12" s="259" t="s">
        <v>6054</v>
      </c>
      <c r="N12" s="259" t="s">
        <v>149</v>
      </c>
      <c r="O12" s="259" t="s">
        <v>390</v>
      </c>
      <c r="P12" s="259" t="s">
        <v>160</v>
      </c>
      <c r="Q12" s="259" t="s">
        <v>6035</v>
      </c>
      <c r="R12" s="259" t="s">
        <v>159</v>
      </c>
      <c r="S12" s="259" t="s">
        <v>149</v>
      </c>
      <c r="T12" s="259" t="s">
        <v>149</v>
      </c>
      <c r="U12" s="259" t="s">
        <v>414</v>
      </c>
      <c r="V12" s="259" t="s">
        <v>390</v>
      </c>
      <c r="W12" s="259" t="s">
        <v>6035</v>
      </c>
      <c r="X12" s="259" t="s">
        <v>6055</v>
      </c>
      <c r="Z12" s="259" t="s">
        <v>6056</v>
      </c>
      <c r="AA12" s="259" t="s">
        <v>395</v>
      </c>
      <c r="AB12" s="263" t="s">
        <v>2873</v>
      </c>
      <c r="AC12" s="259" t="s">
        <v>398</v>
      </c>
      <c r="AE12" s="258">
        <v>1.0</v>
      </c>
      <c r="AF12" s="260"/>
    </row>
    <row r="13">
      <c r="A13" s="258">
        <v>12.0</v>
      </c>
      <c r="B13" s="259" t="s">
        <v>143</v>
      </c>
      <c r="C13" s="259" t="s">
        <v>404</v>
      </c>
      <c r="D13" s="259" t="s">
        <v>8094</v>
      </c>
      <c r="E13" s="259" t="s">
        <v>412</v>
      </c>
      <c r="F13" s="259" t="s">
        <v>149</v>
      </c>
      <c r="G13" s="260"/>
      <c r="H13" s="258">
        <v>2018.0</v>
      </c>
      <c r="I13" s="259" t="s">
        <v>149</v>
      </c>
      <c r="J13" s="259" t="s">
        <v>149</v>
      </c>
      <c r="K13" s="259" t="s">
        <v>151</v>
      </c>
      <c r="L13" s="259" t="s">
        <v>149</v>
      </c>
      <c r="M13" s="259" t="s">
        <v>149</v>
      </c>
      <c r="N13" s="259" t="s">
        <v>149</v>
      </c>
      <c r="O13" s="259" t="s">
        <v>390</v>
      </c>
      <c r="P13" s="259" t="s">
        <v>160</v>
      </c>
      <c r="Q13" s="259" t="s">
        <v>6035</v>
      </c>
      <c r="R13" s="259" t="s">
        <v>159</v>
      </c>
      <c r="S13" s="259" t="s">
        <v>149</v>
      </c>
      <c r="T13" s="259" t="s">
        <v>149</v>
      </c>
      <c r="U13" s="259" t="s">
        <v>149</v>
      </c>
      <c r="V13" s="259" t="s">
        <v>390</v>
      </c>
      <c r="W13" s="259" t="s">
        <v>6035</v>
      </c>
      <c r="Y13" s="260"/>
      <c r="Z13" s="260"/>
      <c r="AA13" s="259" t="s">
        <v>8092</v>
      </c>
      <c r="AC13" s="260"/>
      <c r="AD13" s="260"/>
      <c r="AE13" s="258">
        <v>1.0</v>
      </c>
      <c r="AF13" s="260"/>
    </row>
    <row r="14">
      <c r="A14" s="258">
        <v>13.0</v>
      </c>
      <c r="B14" s="259" t="s">
        <v>143</v>
      </c>
      <c r="C14" s="259" t="s">
        <v>404</v>
      </c>
      <c r="D14" s="259" t="s">
        <v>416</v>
      </c>
      <c r="E14" s="259" t="s">
        <v>417</v>
      </c>
      <c r="F14" s="259" t="s">
        <v>384</v>
      </c>
      <c r="G14" s="259" t="s">
        <v>418</v>
      </c>
      <c r="H14" s="258">
        <v>1986.0</v>
      </c>
      <c r="I14" s="258">
        <v>1985.0</v>
      </c>
      <c r="J14" s="258">
        <v>1987.0</v>
      </c>
      <c r="K14" s="259" t="s">
        <v>151</v>
      </c>
      <c r="L14" s="259" t="s">
        <v>6054</v>
      </c>
      <c r="M14" s="259" t="s">
        <v>6054</v>
      </c>
      <c r="N14" s="259" t="s">
        <v>149</v>
      </c>
      <c r="O14" s="259" t="s">
        <v>390</v>
      </c>
      <c r="P14" s="259" t="s">
        <v>160</v>
      </c>
      <c r="Q14" s="259" t="s">
        <v>6035</v>
      </c>
      <c r="R14" s="259" t="s">
        <v>159</v>
      </c>
      <c r="S14" s="259" t="s">
        <v>149</v>
      </c>
      <c r="T14" s="259" t="s">
        <v>149</v>
      </c>
      <c r="U14" s="259" t="s">
        <v>414</v>
      </c>
      <c r="V14" s="259" t="s">
        <v>390</v>
      </c>
      <c r="W14" s="259" t="s">
        <v>6035</v>
      </c>
      <c r="X14" s="259" t="s">
        <v>6055</v>
      </c>
      <c r="Z14" s="259" t="s">
        <v>6056</v>
      </c>
      <c r="AA14" s="259" t="s">
        <v>395</v>
      </c>
      <c r="AB14" s="263" t="s">
        <v>2873</v>
      </c>
      <c r="AC14" s="259" t="s">
        <v>398</v>
      </c>
      <c r="AE14" s="258">
        <v>1.0</v>
      </c>
      <c r="AF14" s="260"/>
    </row>
    <row r="15">
      <c r="A15" s="258">
        <v>14.0</v>
      </c>
      <c r="B15" s="259" t="s">
        <v>143</v>
      </c>
      <c r="C15" s="259" t="s">
        <v>404</v>
      </c>
      <c r="D15" s="259" t="s">
        <v>420</v>
      </c>
      <c r="E15" s="259" t="s">
        <v>421</v>
      </c>
      <c r="F15" s="259" t="s">
        <v>384</v>
      </c>
      <c r="G15" s="259" t="s">
        <v>422</v>
      </c>
      <c r="H15" s="258">
        <v>1986.0</v>
      </c>
      <c r="I15" s="258">
        <v>1985.0</v>
      </c>
      <c r="J15" s="258">
        <v>1987.0</v>
      </c>
      <c r="K15" s="259" t="s">
        <v>151</v>
      </c>
      <c r="L15" s="259" t="s">
        <v>6054</v>
      </c>
      <c r="M15" s="259" t="s">
        <v>6054</v>
      </c>
      <c r="N15" s="259" t="s">
        <v>149</v>
      </c>
      <c r="O15" s="259" t="s">
        <v>390</v>
      </c>
      <c r="P15" s="259" t="s">
        <v>160</v>
      </c>
      <c r="Q15" s="259" t="s">
        <v>6035</v>
      </c>
      <c r="R15" s="259" t="s">
        <v>159</v>
      </c>
      <c r="S15" s="259" t="s">
        <v>149</v>
      </c>
      <c r="T15" s="259" t="s">
        <v>149</v>
      </c>
      <c r="U15" s="259" t="s">
        <v>414</v>
      </c>
      <c r="V15" s="259" t="s">
        <v>390</v>
      </c>
      <c r="W15" s="259" t="s">
        <v>6035</v>
      </c>
      <c r="X15" s="259" t="s">
        <v>6055</v>
      </c>
      <c r="Z15" s="259" t="s">
        <v>6056</v>
      </c>
      <c r="AA15" s="259" t="s">
        <v>395</v>
      </c>
      <c r="AB15" s="263" t="s">
        <v>2873</v>
      </c>
      <c r="AC15" s="259" t="s">
        <v>398</v>
      </c>
      <c r="AE15" s="258">
        <v>1.0</v>
      </c>
      <c r="AF15" s="260"/>
    </row>
    <row r="16">
      <c r="A16" s="258">
        <v>15.0</v>
      </c>
      <c r="B16" s="259" t="s">
        <v>143</v>
      </c>
      <c r="C16" s="259" t="s">
        <v>404</v>
      </c>
      <c r="D16" s="259" t="s">
        <v>3052</v>
      </c>
      <c r="E16" s="259" t="s">
        <v>3053</v>
      </c>
      <c r="F16" s="259" t="s">
        <v>149</v>
      </c>
      <c r="G16" s="259" t="s">
        <v>6104</v>
      </c>
      <c r="H16" s="259" t="s">
        <v>149</v>
      </c>
      <c r="I16" s="259" t="s">
        <v>149</v>
      </c>
      <c r="J16" s="259" t="s">
        <v>149</v>
      </c>
      <c r="K16" s="259" t="s">
        <v>151</v>
      </c>
      <c r="L16" s="259" t="s">
        <v>149</v>
      </c>
      <c r="M16" s="259" t="s">
        <v>149</v>
      </c>
      <c r="N16" s="259" t="s">
        <v>149</v>
      </c>
      <c r="O16" s="259" t="s">
        <v>149</v>
      </c>
      <c r="P16" s="259" t="s">
        <v>149</v>
      </c>
      <c r="Q16" s="259" t="s">
        <v>149</v>
      </c>
      <c r="R16" s="259" t="s">
        <v>149</v>
      </c>
      <c r="S16" s="259" t="s">
        <v>149</v>
      </c>
      <c r="T16" s="259" t="s">
        <v>149</v>
      </c>
      <c r="U16" s="259" t="s">
        <v>149</v>
      </c>
      <c r="V16" s="259" t="s">
        <v>149</v>
      </c>
      <c r="W16" s="259" t="s">
        <v>149</v>
      </c>
      <c r="X16" s="260"/>
      <c r="Y16" s="260"/>
      <c r="Z16" s="260"/>
      <c r="AA16" s="259" t="s">
        <v>8092</v>
      </c>
      <c r="AC16" s="260"/>
      <c r="AD16" s="260"/>
      <c r="AE16" s="258">
        <v>1.0</v>
      </c>
      <c r="AF16" s="260"/>
    </row>
    <row r="17">
      <c r="A17" s="258">
        <v>16.0</v>
      </c>
      <c r="B17" s="259" t="s">
        <v>143</v>
      </c>
      <c r="C17" s="259" t="s">
        <v>404</v>
      </c>
      <c r="D17" s="259" t="s">
        <v>424</v>
      </c>
      <c r="E17" s="259" t="s">
        <v>425</v>
      </c>
      <c r="F17" s="259" t="s">
        <v>384</v>
      </c>
      <c r="G17" s="259" t="s">
        <v>426</v>
      </c>
      <c r="H17" s="258">
        <v>1986.0</v>
      </c>
      <c r="I17" s="258">
        <v>1985.0</v>
      </c>
      <c r="J17" s="258">
        <v>1987.0</v>
      </c>
      <c r="K17" s="259" t="s">
        <v>151</v>
      </c>
      <c r="L17" s="259" t="s">
        <v>6054</v>
      </c>
      <c r="M17" s="259" t="s">
        <v>6054</v>
      </c>
      <c r="N17" s="259" t="s">
        <v>149</v>
      </c>
      <c r="O17" s="259" t="s">
        <v>390</v>
      </c>
      <c r="P17" s="259" t="s">
        <v>160</v>
      </c>
      <c r="Q17" s="259" t="s">
        <v>6035</v>
      </c>
      <c r="R17" s="259" t="s">
        <v>159</v>
      </c>
      <c r="S17" s="259" t="s">
        <v>149</v>
      </c>
      <c r="T17" s="259" t="s">
        <v>149</v>
      </c>
      <c r="U17" s="259" t="s">
        <v>391</v>
      </c>
      <c r="V17" s="259" t="s">
        <v>390</v>
      </c>
      <c r="W17" s="259" t="s">
        <v>6035</v>
      </c>
      <c r="X17" s="259" t="s">
        <v>6055</v>
      </c>
      <c r="Z17" s="259" t="s">
        <v>6056</v>
      </c>
      <c r="AA17" s="259" t="s">
        <v>395</v>
      </c>
      <c r="AB17" s="263" t="s">
        <v>2873</v>
      </c>
      <c r="AC17" s="259" t="s">
        <v>398</v>
      </c>
      <c r="AE17" s="258">
        <v>1.0</v>
      </c>
      <c r="AF17" s="260"/>
    </row>
    <row r="18">
      <c r="A18" s="258">
        <v>17.0</v>
      </c>
      <c r="B18" s="259" t="s">
        <v>143</v>
      </c>
      <c r="C18" s="259" t="s">
        <v>404</v>
      </c>
      <c r="D18" s="259" t="s">
        <v>428</v>
      </c>
      <c r="E18" s="259" t="s">
        <v>429</v>
      </c>
      <c r="F18" s="259" t="s">
        <v>384</v>
      </c>
      <c r="G18" s="259" t="s">
        <v>6108</v>
      </c>
      <c r="H18" s="258">
        <v>1986.0</v>
      </c>
      <c r="I18" s="258">
        <v>1985.0</v>
      </c>
      <c r="J18" s="258">
        <v>1987.0</v>
      </c>
      <c r="K18" s="259" t="s">
        <v>151</v>
      </c>
      <c r="L18" s="259" t="s">
        <v>6054</v>
      </c>
      <c r="M18" s="259" t="s">
        <v>6054</v>
      </c>
      <c r="N18" s="259" t="s">
        <v>149</v>
      </c>
      <c r="O18" s="259" t="s">
        <v>390</v>
      </c>
      <c r="P18" s="259" t="s">
        <v>160</v>
      </c>
      <c r="Q18" s="259" t="s">
        <v>6035</v>
      </c>
      <c r="R18" s="259" t="s">
        <v>159</v>
      </c>
      <c r="S18" s="259" t="s">
        <v>149</v>
      </c>
      <c r="T18" s="259" t="s">
        <v>149</v>
      </c>
      <c r="U18" s="259" t="s">
        <v>431</v>
      </c>
      <c r="V18" s="259" t="s">
        <v>390</v>
      </c>
      <c r="W18" s="259" t="s">
        <v>6035</v>
      </c>
      <c r="X18" s="259" t="s">
        <v>6055</v>
      </c>
      <c r="AA18" s="259" t="s">
        <v>395</v>
      </c>
      <c r="AB18" s="263" t="s">
        <v>2873</v>
      </c>
      <c r="AC18" s="259" t="s">
        <v>398</v>
      </c>
      <c r="AE18" s="258">
        <v>1.0</v>
      </c>
      <c r="AF18" s="260"/>
    </row>
    <row r="19">
      <c r="A19" s="258">
        <v>18.0</v>
      </c>
      <c r="B19" s="259" t="s">
        <v>143</v>
      </c>
      <c r="C19" s="259" t="s">
        <v>404</v>
      </c>
      <c r="D19" s="259" t="s">
        <v>428</v>
      </c>
      <c r="E19" s="259" t="s">
        <v>429</v>
      </c>
      <c r="F19" s="259" t="s">
        <v>149</v>
      </c>
      <c r="G19" s="260"/>
      <c r="H19" s="258">
        <v>2011.0</v>
      </c>
      <c r="I19" s="258">
        <v>2010.0</v>
      </c>
      <c r="J19" s="258">
        <v>2011.0</v>
      </c>
      <c r="K19" s="259" t="s">
        <v>151</v>
      </c>
      <c r="L19" s="259" t="s">
        <v>149</v>
      </c>
      <c r="M19" s="259" t="s">
        <v>149</v>
      </c>
      <c r="N19" s="259" t="s">
        <v>149</v>
      </c>
      <c r="O19" s="259" t="s">
        <v>390</v>
      </c>
      <c r="P19" s="259" t="s">
        <v>160</v>
      </c>
      <c r="Q19" s="259" t="s">
        <v>6035</v>
      </c>
      <c r="R19" s="259" t="s">
        <v>159</v>
      </c>
      <c r="S19" s="259" t="s">
        <v>149</v>
      </c>
      <c r="T19" s="259" t="s">
        <v>149</v>
      </c>
      <c r="U19" s="259" t="s">
        <v>149</v>
      </c>
      <c r="V19" s="259" t="s">
        <v>390</v>
      </c>
      <c r="W19" s="259" t="s">
        <v>6035</v>
      </c>
      <c r="Y19" s="260"/>
      <c r="Z19" s="260"/>
      <c r="AA19" s="259" t="s">
        <v>8092</v>
      </c>
      <c r="AC19" s="260"/>
      <c r="AD19" s="260"/>
      <c r="AE19" s="258">
        <v>1.0</v>
      </c>
      <c r="AF19" s="260"/>
    </row>
    <row r="20">
      <c r="A20" s="258">
        <v>19.0</v>
      </c>
      <c r="B20" s="259" t="s">
        <v>143</v>
      </c>
      <c r="C20" s="259" t="s">
        <v>404</v>
      </c>
      <c r="D20" s="259" t="s">
        <v>8095</v>
      </c>
      <c r="E20" s="259" t="s">
        <v>434</v>
      </c>
      <c r="F20" s="259" t="s">
        <v>384</v>
      </c>
      <c r="G20" s="259" t="s">
        <v>435</v>
      </c>
      <c r="H20" s="258">
        <v>1986.0</v>
      </c>
      <c r="I20" s="258">
        <v>1985.0</v>
      </c>
      <c r="J20" s="258">
        <v>1987.0</v>
      </c>
      <c r="K20" s="259" t="s">
        <v>151</v>
      </c>
      <c r="L20" s="259" t="s">
        <v>6054</v>
      </c>
      <c r="M20" s="259" t="s">
        <v>6054</v>
      </c>
      <c r="N20" s="259" t="s">
        <v>149</v>
      </c>
      <c r="O20" s="259" t="s">
        <v>390</v>
      </c>
      <c r="P20" s="259" t="s">
        <v>160</v>
      </c>
      <c r="Q20" s="259" t="s">
        <v>6035</v>
      </c>
      <c r="R20" s="259" t="s">
        <v>159</v>
      </c>
      <c r="S20" s="259" t="s">
        <v>149</v>
      </c>
      <c r="T20" s="259" t="s">
        <v>149</v>
      </c>
      <c r="U20" s="259" t="s">
        <v>436</v>
      </c>
      <c r="V20" s="259" t="s">
        <v>390</v>
      </c>
      <c r="W20" s="259" t="s">
        <v>6035</v>
      </c>
      <c r="X20" s="259" t="s">
        <v>6055</v>
      </c>
      <c r="Z20" s="259" t="s">
        <v>6056</v>
      </c>
      <c r="AA20" s="259" t="s">
        <v>395</v>
      </c>
      <c r="AB20" s="263" t="s">
        <v>2873</v>
      </c>
      <c r="AC20" s="259" t="s">
        <v>398</v>
      </c>
      <c r="AE20" s="258">
        <v>1.0</v>
      </c>
      <c r="AF20" s="260"/>
    </row>
    <row r="21">
      <c r="A21" s="258">
        <v>20.0</v>
      </c>
      <c r="B21" s="259" t="s">
        <v>143</v>
      </c>
      <c r="C21" s="259" t="s">
        <v>438</v>
      </c>
      <c r="D21" s="259" t="s">
        <v>2845</v>
      </c>
      <c r="E21" s="259" t="s">
        <v>2846</v>
      </c>
      <c r="F21" s="259" t="s">
        <v>384</v>
      </c>
      <c r="G21" s="259" t="s">
        <v>2847</v>
      </c>
      <c r="H21" s="258">
        <v>1982.0</v>
      </c>
      <c r="I21" s="258">
        <v>1985.0</v>
      </c>
      <c r="J21" s="258">
        <v>1987.0</v>
      </c>
      <c r="K21" s="259" t="s">
        <v>151</v>
      </c>
      <c r="L21" s="259" t="s">
        <v>6054</v>
      </c>
      <c r="M21" s="259" t="s">
        <v>6054</v>
      </c>
      <c r="N21" s="259" t="s">
        <v>149</v>
      </c>
      <c r="O21" s="259" t="s">
        <v>390</v>
      </c>
      <c r="P21" s="259" t="s">
        <v>160</v>
      </c>
      <c r="Q21" s="259" t="s">
        <v>6035</v>
      </c>
      <c r="R21" s="259" t="s">
        <v>159</v>
      </c>
      <c r="S21" s="259" t="s">
        <v>149</v>
      </c>
      <c r="T21" s="259" t="s">
        <v>149</v>
      </c>
      <c r="U21" s="259" t="s">
        <v>2848</v>
      </c>
      <c r="V21" s="259" t="s">
        <v>390</v>
      </c>
      <c r="W21" s="259" t="s">
        <v>6035</v>
      </c>
      <c r="X21" s="259" t="s">
        <v>6055</v>
      </c>
      <c r="AA21" s="259" t="s">
        <v>395</v>
      </c>
      <c r="AB21" s="263" t="s">
        <v>2873</v>
      </c>
      <c r="AC21" s="259" t="s">
        <v>398</v>
      </c>
      <c r="AE21" s="258">
        <v>1.0</v>
      </c>
      <c r="AF21" s="260"/>
    </row>
    <row r="22">
      <c r="A22" s="258">
        <v>21.0</v>
      </c>
      <c r="B22" s="259" t="s">
        <v>143</v>
      </c>
      <c r="C22" s="259" t="s">
        <v>438</v>
      </c>
      <c r="D22" s="259" t="s">
        <v>2845</v>
      </c>
      <c r="E22" s="259" t="s">
        <v>2846</v>
      </c>
      <c r="F22" s="259" t="s">
        <v>149</v>
      </c>
      <c r="G22" s="260"/>
      <c r="H22" s="258">
        <v>2013.0</v>
      </c>
      <c r="I22" s="259" t="s">
        <v>149</v>
      </c>
      <c r="J22" s="259" t="s">
        <v>149</v>
      </c>
      <c r="K22" s="259" t="s">
        <v>151</v>
      </c>
      <c r="L22" s="259" t="s">
        <v>149</v>
      </c>
      <c r="M22" s="259" t="s">
        <v>149</v>
      </c>
      <c r="N22" s="259" t="s">
        <v>149</v>
      </c>
      <c r="O22" s="259" t="s">
        <v>149</v>
      </c>
      <c r="P22" s="259" t="s">
        <v>149</v>
      </c>
      <c r="Q22" s="259" t="s">
        <v>149</v>
      </c>
      <c r="R22" s="259" t="s">
        <v>149</v>
      </c>
      <c r="S22" s="259" t="s">
        <v>149</v>
      </c>
      <c r="T22" s="259" t="s">
        <v>149</v>
      </c>
      <c r="U22" s="259" t="s">
        <v>149</v>
      </c>
      <c r="V22" s="259" t="s">
        <v>6140</v>
      </c>
      <c r="W22" s="259" t="s">
        <v>6035</v>
      </c>
      <c r="Y22" s="260"/>
      <c r="Z22" s="260"/>
      <c r="AA22" s="259" t="s">
        <v>8092</v>
      </c>
      <c r="AC22" s="260"/>
      <c r="AD22" s="260"/>
      <c r="AE22" s="258">
        <v>1.0</v>
      </c>
      <c r="AF22" s="260"/>
    </row>
    <row r="23">
      <c r="A23" s="258">
        <v>22.0</v>
      </c>
      <c r="B23" s="259" t="s">
        <v>143</v>
      </c>
      <c r="C23" s="259" t="s">
        <v>438</v>
      </c>
      <c r="D23" s="259" t="s">
        <v>439</v>
      </c>
      <c r="E23" s="259" t="s">
        <v>440</v>
      </c>
      <c r="F23" s="259" t="s">
        <v>384</v>
      </c>
      <c r="G23" s="259" t="s">
        <v>441</v>
      </c>
      <c r="H23" s="258">
        <v>1986.0</v>
      </c>
      <c r="I23" s="258">
        <v>1985.0</v>
      </c>
      <c r="J23" s="258">
        <v>1987.0</v>
      </c>
      <c r="K23" s="259" t="s">
        <v>151</v>
      </c>
      <c r="L23" s="259" t="s">
        <v>6054</v>
      </c>
      <c r="M23" s="259" t="s">
        <v>6054</v>
      </c>
      <c r="N23" s="259" t="s">
        <v>149</v>
      </c>
      <c r="O23" s="259" t="s">
        <v>390</v>
      </c>
      <c r="P23" s="259" t="s">
        <v>160</v>
      </c>
      <c r="Q23" s="259" t="s">
        <v>6035</v>
      </c>
      <c r="R23" s="259" t="s">
        <v>159</v>
      </c>
      <c r="S23" s="259" t="s">
        <v>149</v>
      </c>
      <c r="T23" s="259" t="s">
        <v>149</v>
      </c>
      <c r="U23" s="259" t="s">
        <v>391</v>
      </c>
      <c r="V23" s="259" t="s">
        <v>390</v>
      </c>
      <c r="W23" s="259" t="s">
        <v>6035</v>
      </c>
      <c r="X23" s="259" t="s">
        <v>6055</v>
      </c>
      <c r="AA23" s="259" t="s">
        <v>395</v>
      </c>
      <c r="AB23" s="263" t="s">
        <v>2873</v>
      </c>
      <c r="AC23" s="259" t="s">
        <v>398</v>
      </c>
      <c r="AE23" s="258">
        <v>1.0</v>
      </c>
      <c r="AF23" s="260"/>
    </row>
    <row r="24">
      <c r="A24" s="258">
        <v>23.0</v>
      </c>
      <c r="B24" s="259" t="s">
        <v>143</v>
      </c>
      <c r="C24" s="259" t="s">
        <v>438</v>
      </c>
      <c r="D24" s="259" t="s">
        <v>439</v>
      </c>
      <c r="E24" s="259" t="s">
        <v>440</v>
      </c>
      <c r="F24" s="259" t="s">
        <v>1144</v>
      </c>
      <c r="H24" s="258">
        <v>2014.0</v>
      </c>
      <c r="I24" s="259" t="s">
        <v>149</v>
      </c>
      <c r="J24" s="259" t="s">
        <v>149</v>
      </c>
      <c r="K24" s="259" t="s">
        <v>151</v>
      </c>
      <c r="L24" s="259" t="s">
        <v>149</v>
      </c>
      <c r="M24" s="259" t="s">
        <v>149</v>
      </c>
      <c r="N24" s="259" t="s">
        <v>149</v>
      </c>
      <c r="O24" s="259" t="s">
        <v>1146</v>
      </c>
      <c r="P24" s="259" t="s">
        <v>205</v>
      </c>
      <c r="Q24" s="259" t="s">
        <v>8096</v>
      </c>
      <c r="R24" s="259" t="s">
        <v>159</v>
      </c>
      <c r="S24" s="259" t="s">
        <v>149</v>
      </c>
      <c r="T24" s="259" t="s">
        <v>149</v>
      </c>
      <c r="U24" s="259" t="s">
        <v>149</v>
      </c>
      <c r="V24" s="259" t="s">
        <v>6186</v>
      </c>
      <c r="W24" s="259" t="s">
        <v>6035</v>
      </c>
      <c r="Y24" s="260"/>
      <c r="Z24" s="260"/>
      <c r="AA24" s="259" t="s">
        <v>8092</v>
      </c>
      <c r="AC24" s="260"/>
      <c r="AD24" s="260"/>
      <c r="AE24" s="258">
        <v>1.0</v>
      </c>
      <c r="AF24" s="260"/>
    </row>
    <row r="25">
      <c r="A25" s="258">
        <v>24.0</v>
      </c>
      <c r="B25" s="259" t="s">
        <v>143</v>
      </c>
      <c r="C25" s="259" t="s">
        <v>438</v>
      </c>
      <c r="D25" s="259" t="s">
        <v>1633</v>
      </c>
      <c r="E25" s="259" t="s">
        <v>1634</v>
      </c>
      <c r="F25" s="259" t="s">
        <v>1635</v>
      </c>
      <c r="H25" s="258">
        <v>2021.0</v>
      </c>
      <c r="I25" s="259" t="s">
        <v>149</v>
      </c>
      <c r="J25" s="259" t="s">
        <v>149</v>
      </c>
      <c r="K25" s="259" t="s">
        <v>151</v>
      </c>
      <c r="L25" s="259" t="s">
        <v>149</v>
      </c>
      <c r="M25" s="259" t="s">
        <v>149</v>
      </c>
      <c r="N25" s="259" t="s">
        <v>149</v>
      </c>
      <c r="O25" s="259" t="s">
        <v>341</v>
      </c>
      <c r="P25" s="259" t="s">
        <v>160</v>
      </c>
      <c r="Q25" s="259" t="s">
        <v>6035</v>
      </c>
      <c r="R25" s="259" t="s">
        <v>159</v>
      </c>
      <c r="S25" s="259" t="s">
        <v>149</v>
      </c>
      <c r="T25" s="259" t="s">
        <v>149</v>
      </c>
      <c r="U25" s="259" t="s">
        <v>149</v>
      </c>
      <c r="V25" s="259" t="s">
        <v>6118</v>
      </c>
      <c r="W25" s="259" t="s">
        <v>6035</v>
      </c>
      <c r="Y25" s="260"/>
      <c r="Z25" s="260"/>
      <c r="AA25" s="259" t="s">
        <v>8092</v>
      </c>
      <c r="AC25" s="260"/>
      <c r="AD25" s="260"/>
      <c r="AE25" s="258">
        <v>1.0</v>
      </c>
      <c r="AF25" s="260"/>
    </row>
    <row r="26">
      <c r="A26" s="258">
        <v>25.0</v>
      </c>
      <c r="B26" s="259" t="s">
        <v>143</v>
      </c>
      <c r="C26" s="259" t="s">
        <v>438</v>
      </c>
      <c r="D26" s="259" t="s">
        <v>1564</v>
      </c>
      <c r="E26" s="259" t="s">
        <v>1565</v>
      </c>
      <c r="F26" s="259" t="s">
        <v>6122</v>
      </c>
      <c r="H26" s="258">
        <v>2021.0</v>
      </c>
      <c r="I26" s="259" t="s">
        <v>149</v>
      </c>
      <c r="J26" s="259" t="s">
        <v>149</v>
      </c>
      <c r="K26" s="259" t="s">
        <v>151</v>
      </c>
      <c r="L26" s="259" t="s">
        <v>149</v>
      </c>
      <c r="M26" s="259" t="s">
        <v>149</v>
      </c>
      <c r="N26" s="259" t="s">
        <v>6123</v>
      </c>
      <c r="O26" s="259" t="s">
        <v>6124</v>
      </c>
      <c r="P26" s="259" t="s">
        <v>160</v>
      </c>
      <c r="Q26" s="259" t="s">
        <v>306</v>
      </c>
      <c r="R26" s="259" t="s">
        <v>159</v>
      </c>
      <c r="S26" s="259" t="s">
        <v>149</v>
      </c>
      <c r="T26" s="259" t="s">
        <v>149</v>
      </c>
      <c r="U26" s="259" t="s">
        <v>1536</v>
      </c>
      <c r="V26" s="259" t="s">
        <v>369</v>
      </c>
      <c r="W26" s="259" t="s">
        <v>6035</v>
      </c>
      <c r="X26" s="259" t="s">
        <v>6125</v>
      </c>
      <c r="AA26" s="259" t="s">
        <v>8097</v>
      </c>
      <c r="AB26" s="263" t="s">
        <v>1575</v>
      </c>
      <c r="AD26" s="259" t="s">
        <v>1577</v>
      </c>
      <c r="AE26" s="258">
        <v>1.0</v>
      </c>
      <c r="AF26" s="260"/>
    </row>
    <row r="27">
      <c r="A27" s="258">
        <v>26.0</v>
      </c>
      <c r="B27" s="259" t="s">
        <v>143</v>
      </c>
      <c r="C27" s="259" t="s">
        <v>438</v>
      </c>
      <c r="D27" s="259" t="s">
        <v>1564</v>
      </c>
      <c r="E27" s="259" t="s">
        <v>1565</v>
      </c>
      <c r="F27" s="259" t="s">
        <v>1635</v>
      </c>
      <c r="H27" s="258">
        <v>2021.0</v>
      </c>
      <c r="I27" s="259" t="s">
        <v>149</v>
      </c>
      <c r="J27" s="259" t="s">
        <v>149</v>
      </c>
      <c r="K27" s="259" t="s">
        <v>151</v>
      </c>
      <c r="L27" s="259" t="s">
        <v>149</v>
      </c>
      <c r="M27" s="259" t="s">
        <v>149</v>
      </c>
      <c r="N27" s="259" t="s">
        <v>149</v>
      </c>
      <c r="O27" s="259" t="s">
        <v>341</v>
      </c>
      <c r="P27" s="259" t="s">
        <v>160</v>
      </c>
      <c r="Q27" s="259" t="s">
        <v>6035</v>
      </c>
      <c r="R27" s="259" t="s">
        <v>159</v>
      </c>
      <c r="S27" s="259" t="s">
        <v>149</v>
      </c>
      <c r="T27" s="259" t="s">
        <v>149</v>
      </c>
      <c r="U27" s="259" t="s">
        <v>149</v>
      </c>
      <c r="V27" s="259" t="s">
        <v>6118</v>
      </c>
      <c r="W27" s="259" t="s">
        <v>6035</v>
      </c>
      <c r="Y27" s="260"/>
      <c r="Z27" s="260"/>
      <c r="AA27" s="259" t="s">
        <v>8092</v>
      </c>
      <c r="AC27" s="260"/>
      <c r="AD27" s="260"/>
      <c r="AE27" s="258">
        <v>1.0</v>
      </c>
      <c r="AF27" s="260"/>
    </row>
    <row r="28">
      <c r="A28" s="258">
        <v>27.0</v>
      </c>
      <c r="B28" s="259" t="s">
        <v>143</v>
      </c>
      <c r="C28" s="259" t="s">
        <v>438</v>
      </c>
      <c r="D28" s="259" t="s">
        <v>1564</v>
      </c>
      <c r="E28" s="259" t="s">
        <v>1565</v>
      </c>
      <c r="F28" s="259" t="s">
        <v>652</v>
      </c>
      <c r="H28" s="258">
        <v>2012.0</v>
      </c>
      <c r="I28" s="259" t="s">
        <v>149</v>
      </c>
      <c r="J28" s="259" t="s">
        <v>149</v>
      </c>
      <c r="K28" s="259" t="s">
        <v>151</v>
      </c>
      <c r="L28" s="259" t="s">
        <v>149</v>
      </c>
      <c r="M28" s="259" t="s">
        <v>149</v>
      </c>
      <c r="N28" s="259" t="s">
        <v>149</v>
      </c>
      <c r="O28" s="259" t="s">
        <v>149</v>
      </c>
      <c r="P28" s="259" t="s">
        <v>149</v>
      </c>
      <c r="Q28" s="259" t="s">
        <v>149</v>
      </c>
      <c r="R28" s="259" t="s">
        <v>149</v>
      </c>
      <c r="S28" s="259" t="s">
        <v>149</v>
      </c>
      <c r="T28" s="259" t="s">
        <v>149</v>
      </c>
      <c r="U28" s="259" t="s">
        <v>149</v>
      </c>
      <c r="V28" s="259" t="s">
        <v>369</v>
      </c>
      <c r="W28" s="259" t="s">
        <v>6035</v>
      </c>
      <c r="X28" s="259" t="s">
        <v>6189</v>
      </c>
      <c r="Y28" s="259" t="s">
        <v>6190</v>
      </c>
      <c r="AA28" s="259" t="s">
        <v>8092</v>
      </c>
      <c r="AC28" s="260"/>
      <c r="AD28" s="260"/>
      <c r="AE28" s="258">
        <v>1.0</v>
      </c>
      <c r="AF28" s="260"/>
    </row>
    <row r="29">
      <c r="A29" s="258">
        <v>28.0</v>
      </c>
      <c r="B29" s="259" t="s">
        <v>143</v>
      </c>
      <c r="C29" s="259" t="s">
        <v>438</v>
      </c>
      <c r="D29" s="259" t="s">
        <v>443</v>
      </c>
      <c r="E29" s="259" t="s">
        <v>444</v>
      </c>
      <c r="F29" s="259" t="s">
        <v>384</v>
      </c>
      <c r="G29" s="259" t="s">
        <v>445</v>
      </c>
      <c r="H29" s="258">
        <v>1986.0</v>
      </c>
      <c r="I29" s="258">
        <v>1985.0</v>
      </c>
      <c r="J29" s="258">
        <v>1987.0</v>
      </c>
      <c r="K29" s="259" t="s">
        <v>151</v>
      </c>
      <c r="L29" s="259" t="s">
        <v>149</v>
      </c>
      <c r="M29" s="259" t="s">
        <v>149</v>
      </c>
      <c r="N29" s="259" t="s">
        <v>149</v>
      </c>
      <c r="O29" s="259" t="s">
        <v>390</v>
      </c>
      <c r="P29" s="259" t="s">
        <v>160</v>
      </c>
      <c r="Q29" s="259" t="s">
        <v>6035</v>
      </c>
      <c r="R29" s="259" t="s">
        <v>159</v>
      </c>
      <c r="S29" s="259" t="s">
        <v>149</v>
      </c>
      <c r="T29" s="259" t="s">
        <v>149</v>
      </c>
      <c r="U29" s="259" t="s">
        <v>149</v>
      </c>
      <c r="V29" s="259" t="s">
        <v>390</v>
      </c>
      <c r="W29" s="259" t="s">
        <v>6035</v>
      </c>
      <c r="X29" s="259" t="s">
        <v>6055</v>
      </c>
      <c r="AA29" s="259" t="s">
        <v>395</v>
      </c>
      <c r="AB29" s="263" t="s">
        <v>2873</v>
      </c>
      <c r="AC29" s="259" t="s">
        <v>398</v>
      </c>
      <c r="AE29" s="258">
        <v>1.0</v>
      </c>
      <c r="AF29" s="260"/>
    </row>
    <row r="30">
      <c r="A30" s="258">
        <v>29.0</v>
      </c>
      <c r="B30" s="259" t="s">
        <v>143</v>
      </c>
      <c r="C30" s="259" t="s">
        <v>438</v>
      </c>
      <c r="D30" s="259" t="s">
        <v>2723</v>
      </c>
      <c r="E30" s="259" t="s">
        <v>2724</v>
      </c>
      <c r="F30" s="259" t="s">
        <v>149</v>
      </c>
      <c r="G30" s="260"/>
      <c r="H30" s="258">
        <v>2021.0</v>
      </c>
      <c r="I30" s="259" t="s">
        <v>149</v>
      </c>
      <c r="J30" s="259" t="s">
        <v>149</v>
      </c>
      <c r="K30" s="259" t="s">
        <v>151</v>
      </c>
      <c r="L30" s="259" t="s">
        <v>149</v>
      </c>
      <c r="M30" s="259" t="s">
        <v>149</v>
      </c>
      <c r="N30" s="259" t="s">
        <v>6135</v>
      </c>
      <c r="O30" s="259" t="s">
        <v>149</v>
      </c>
      <c r="P30" s="259" t="s">
        <v>149</v>
      </c>
      <c r="Q30" s="261" t="s">
        <v>149</v>
      </c>
      <c r="R30" s="259" t="s">
        <v>149</v>
      </c>
      <c r="S30" s="259" t="s">
        <v>149</v>
      </c>
      <c r="T30" s="259" t="s">
        <v>149</v>
      </c>
      <c r="U30" s="259" t="s">
        <v>6136</v>
      </c>
      <c r="V30" s="259" t="s">
        <v>369</v>
      </c>
      <c r="W30" s="259" t="s">
        <v>6035</v>
      </c>
      <c r="Y30" s="260"/>
      <c r="Z30" s="260"/>
      <c r="AA30" s="259" t="s">
        <v>6038</v>
      </c>
      <c r="AB30" s="259" t="s">
        <v>6137</v>
      </c>
      <c r="AC30" s="259" t="s">
        <v>2731</v>
      </c>
      <c r="AE30" s="258">
        <v>1.0</v>
      </c>
      <c r="AF30" s="260"/>
    </row>
    <row r="31">
      <c r="A31" s="258">
        <v>30.0</v>
      </c>
      <c r="B31" s="259" t="s">
        <v>143</v>
      </c>
      <c r="C31" s="259" t="s">
        <v>438</v>
      </c>
      <c r="D31" s="259" t="s">
        <v>1142</v>
      </c>
      <c r="E31" s="259" t="s">
        <v>1143</v>
      </c>
      <c r="F31" s="259" t="s">
        <v>1144</v>
      </c>
      <c r="H31" s="258">
        <v>2014.0</v>
      </c>
      <c r="I31" s="259" t="s">
        <v>149</v>
      </c>
      <c r="J31" s="259" t="s">
        <v>149</v>
      </c>
      <c r="K31" s="259" t="s">
        <v>151</v>
      </c>
      <c r="L31" s="259" t="s">
        <v>149</v>
      </c>
      <c r="M31" s="259" t="s">
        <v>149</v>
      </c>
      <c r="N31" s="259" t="s">
        <v>149</v>
      </c>
      <c r="O31" s="259" t="s">
        <v>1146</v>
      </c>
      <c r="P31" s="259" t="s">
        <v>205</v>
      </c>
      <c r="Q31" s="259" t="s">
        <v>8096</v>
      </c>
      <c r="R31" s="259" t="s">
        <v>159</v>
      </c>
      <c r="S31" s="259" t="s">
        <v>149</v>
      </c>
      <c r="T31" s="259" t="s">
        <v>149</v>
      </c>
      <c r="U31" s="259" t="s">
        <v>149</v>
      </c>
      <c r="V31" s="259" t="s">
        <v>6140</v>
      </c>
      <c r="W31" s="259" t="s">
        <v>6035</v>
      </c>
      <c r="Y31" s="260"/>
      <c r="Z31" s="260"/>
      <c r="AA31" s="259" t="s">
        <v>8092</v>
      </c>
      <c r="AC31" s="260"/>
      <c r="AD31" s="260"/>
      <c r="AE31" s="258">
        <v>1.0</v>
      </c>
      <c r="AF31" s="260"/>
    </row>
    <row r="32">
      <c r="A32" s="258">
        <v>31.0</v>
      </c>
      <c r="B32" s="259" t="s">
        <v>143</v>
      </c>
      <c r="C32" s="259" t="s">
        <v>438</v>
      </c>
      <c r="D32" s="259" t="s">
        <v>2850</v>
      </c>
      <c r="E32" s="259" t="s">
        <v>2851</v>
      </c>
      <c r="F32" s="259" t="s">
        <v>384</v>
      </c>
      <c r="G32" s="259" t="s">
        <v>6181</v>
      </c>
      <c r="H32" s="258">
        <v>1981.0</v>
      </c>
      <c r="I32" s="258">
        <v>1985.0</v>
      </c>
      <c r="J32" s="258">
        <v>1987.0</v>
      </c>
      <c r="K32" s="259" t="s">
        <v>151</v>
      </c>
      <c r="L32" s="259" t="s">
        <v>149</v>
      </c>
      <c r="M32" s="259" t="s">
        <v>149</v>
      </c>
      <c r="N32" s="259" t="s">
        <v>149</v>
      </c>
      <c r="O32" s="259" t="s">
        <v>390</v>
      </c>
      <c r="P32" s="259" t="s">
        <v>160</v>
      </c>
      <c r="Q32" s="259" t="s">
        <v>6035</v>
      </c>
      <c r="R32" s="259" t="s">
        <v>159</v>
      </c>
      <c r="S32" s="259" t="s">
        <v>149</v>
      </c>
      <c r="T32" s="259" t="s">
        <v>149</v>
      </c>
      <c r="U32" s="259" t="s">
        <v>2853</v>
      </c>
      <c r="V32" s="259" t="s">
        <v>390</v>
      </c>
      <c r="W32" s="259" t="s">
        <v>6035</v>
      </c>
      <c r="X32" s="259" t="s">
        <v>6055</v>
      </c>
      <c r="AA32" s="259" t="s">
        <v>395</v>
      </c>
      <c r="AB32" s="263" t="s">
        <v>2873</v>
      </c>
      <c r="AC32" s="259" t="s">
        <v>398</v>
      </c>
      <c r="AE32" s="258">
        <v>1.0</v>
      </c>
      <c r="AF32" s="259" t="s">
        <v>6109</v>
      </c>
    </row>
    <row r="33">
      <c r="A33" s="258">
        <v>32.0</v>
      </c>
      <c r="B33" s="259" t="s">
        <v>143</v>
      </c>
      <c r="C33" s="259" t="s">
        <v>438</v>
      </c>
      <c r="D33" s="259" t="s">
        <v>447</v>
      </c>
      <c r="E33" s="259" t="s">
        <v>448</v>
      </c>
      <c r="F33" s="259" t="s">
        <v>384</v>
      </c>
      <c r="G33" s="259" t="s">
        <v>449</v>
      </c>
      <c r="H33" s="258">
        <v>1985.0</v>
      </c>
      <c r="I33" s="258">
        <v>1985.0</v>
      </c>
      <c r="J33" s="258">
        <v>1987.0</v>
      </c>
      <c r="K33" s="259" t="s">
        <v>151</v>
      </c>
      <c r="L33" s="259" t="s">
        <v>6054</v>
      </c>
      <c r="M33" s="259" t="s">
        <v>6054</v>
      </c>
      <c r="N33" s="259" t="s">
        <v>149</v>
      </c>
      <c r="O33" s="259" t="s">
        <v>390</v>
      </c>
      <c r="P33" s="259" t="s">
        <v>160</v>
      </c>
      <c r="Q33" s="259" t="s">
        <v>6035</v>
      </c>
      <c r="R33" s="259" t="s">
        <v>159</v>
      </c>
      <c r="S33" s="259" t="s">
        <v>149</v>
      </c>
      <c r="T33" s="259" t="s">
        <v>149</v>
      </c>
      <c r="U33" s="259" t="s">
        <v>450</v>
      </c>
      <c r="V33" s="259" t="s">
        <v>390</v>
      </c>
      <c r="W33" s="259" t="s">
        <v>6035</v>
      </c>
      <c r="X33" s="259" t="s">
        <v>6055</v>
      </c>
      <c r="AA33" s="259" t="s">
        <v>395</v>
      </c>
      <c r="AB33" s="263" t="s">
        <v>2873</v>
      </c>
      <c r="AC33" s="259" t="s">
        <v>398</v>
      </c>
      <c r="AE33" s="258">
        <v>1.0</v>
      </c>
      <c r="AF33" s="260"/>
    </row>
    <row r="34">
      <c r="A34" s="258">
        <v>33.0</v>
      </c>
      <c r="B34" s="259" t="s">
        <v>143</v>
      </c>
      <c r="C34" s="259" t="s">
        <v>438</v>
      </c>
      <c r="D34" s="259" t="s">
        <v>1120</v>
      </c>
      <c r="E34" s="259" t="s">
        <v>2034</v>
      </c>
      <c r="F34" s="259" t="s">
        <v>149</v>
      </c>
      <c r="G34" s="260"/>
      <c r="H34" s="258">
        <v>2014.0</v>
      </c>
      <c r="I34" s="259" t="s">
        <v>149</v>
      </c>
      <c r="J34" s="259" t="s">
        <v>149</v>
      </c>
      <c r="K34" s="259" t="s">
        <v>151</v>
      </c>
      <c r="L34" s="259" t="s">
        <v>149</v>
      </c>
      <c r="M34" s="259" t="s">
        <v>149</v>
      </c>
      <c r="N34" s="259" t="s">
        <v>149</v>
      </c>
      <c r="O34" s="259" t="s">
        <v>1882</v>
      </c>
      <c r="P34" s="259" t="s">
        <v>160</v>
      </c>
      <c r="Q34" s="259" t="s">
        <v>6035</v>
      </c>
      <c r="R34" s="259" t="s">
        <v>159</v>
      </c>
      <c r="S34" s="259" t="s">
        <v>149</v>
      </c>
      <c r="T34" s="259" t="s">
        <v>149</v>
      </c>
      <c r="U34" s="259" t="s">
        <v>149</v>
      </c>
      <c r="V34" s="259" t="s">
        <v>1882</v>
      </c>
      <c r="W34" s="259" t="s">
        <v>6035</v>
      </c>
      <c r="X34" s="259" t="s">
        <v>6157</v>
      </c>
      <c r="Z34" s="260"/>
      <c r="AA34" s="259" t="s">
        <v>8092</v>
      </c>
      <c r="AC34" s="260"/>
      <c r="AD34" s="260"/>
      <c r="AE34" s="258">
        <v>1.0</v>
      </c>
      <c r="AF34" s="260"/>
    </row>
    <row r="35">
      <c r="A35" s="258">
        <v>34.0</v>
      </c>
      <c r="B35" s="259" t="s">
        <v>143</v>
      </c>
      <c r="C35" s="259" t="s">
        <v>438</v>
      </c>
      <c r="D35" s="259" t="s">
        <v>1120</v>
      </c>
      <c r="E35" s="259" t="s">
        <v>2034</v>
      </c>
      <c r="F35" s="259" t="s">
        <v>6144</v>
      </c>
      <c r="H35" s="258">
        <v>2022.0</v>
      </c>
      <c r="I35" s="259" t="s">
        <v>149</v>
      </c>
      <c r="J35" s="259" t="s">
        <v>149</v>
      </c>
      <c r="K35" s="259" t="s">
        <v>151</v>
      </c>
      <c r="L35" s="259" t="s">
        <v>6146</v>
      </c>
      <c r="M35" s="259" t="s">
        <v>6146</v>
      </c>
      <c r="N35" s="259" t="s">
        <v>6147</v>
      </c>
      <c r="O35" s="259" t="s">
        <v>2038</v>
      </c>
      <c r="P35" s="259" t="s">
        <v>160</v>
      </c>
      <c r="Q35" s="259" t="s">
        <v>306</v>
      </c>
      <c r="R35" s="259" t="s">
        <v>159</v>
      </c>
      <c r="S35" s="259" t="s">
        <v>149</v>
      </c>
      <c r="T35" s="259" t="s">
        <v>149</v>
      </c>
      <c r="U35" s="259" t="s">
        <v>1558</v>
      </c>
      <c r="V35" s="259" t="s">
        <v>228</v>
      </c>
      <c r="W35" s="259" t="s">
        <v>6035</v>
      </c>
      <c r="X35" s="259" t="s">
        <v>760</v>
      </c>
      <c r="Z35" s="259" t="s">
        <v>6148</v>
      </c>
      <c r="AA35" s="259" t="s">
        <v>166</v>
      </c>
      <c r="AB35" s="263" t="s">
        <v>6149</v>
      </c>
      <c r="AC35" s="259" t="s">
        <v>2045</v>
      </c>
      <c r="AE35" s="258">
        <v>1.0</v>
      </c>
      <c r="AF35" s="260"/>
    </row>
    <row r="36">
      <c r="A36" s="258">
        <v>35.0</v>
      </c>
      <c r="B36" s="259" t="s">
        <v>143</v>
      </c>
      <c r="C36" s="259" t="s">
        <v>438</v>
      </c>
      <c r="D36" s="259" t="s">
        <v>491</v>
      </c>
      <c r="E36" s="259" t="s">
        <v>1646</v>
      </c>
      <c r="F36" s="259" t="s">
        <v>1635</v>
      </c>
      <c r="H36" s="258">
        <v>2021.0</v>
      </c>
      <c r="I36" s="259" t="s">
        <v>149</v>
      </c>
      <c r="J36" s="259" t="s">
        <v>149</v>
      </c>
      <c r="K36" s="259" t="s">
        <v>151</v>
      </c>
      <c r="L36" s="259" t="s">
        <v>149</v>
      </c>
      <c r="M36" s="259" t="s">
        <v>149</v>
      </c>
      <c r="N36" s="259" t="s">
        <v>149</v>
      </c>
      <c r="O36" s="259" t="s">
        <v>341</v>
      </c>
      <c r="P36" s="259" t="s">
        <v>160</v>
      </c>
      <c r="Q36" s="259" t="s">
        <v>6035</v>
      </c>
      <c r="R36" s="259" t="s">
        <v>159</v>
      </c>
      <c r="S36" s="259" t="s">
        <v>149</v>
      </c>
      <c r="T36" s="259" t="s">
        <v>149</v>
      </c>
      <c r="U36" s="259" t="s">
        <v>149</v>
      </c>
      <c r="V36" s="259" t="s">
        <v>6118</v>
      </c>
      <c r="W36" s="259" t="s">
        <v>6035</v>
      </c>
      <c r="Y36" s="260"/>
      <c r="Z36" s="260"/>
      <c r="AA36" s="259" t="s">
        <v>8092</v>
      </c>
      <c r="AC36" s="260"/>
      <c r="AD36" s="260"/>
      <c r="AE36" s="258">
        <v>1.0</v>
      </c>
      <c r="AF36" s="260"/>
    </row>
    <row r="37">
      <c r="A37" s="258">
        <v>36.0</v>
      </c>
      <c r="B37" s="259" t="s">
        <v>143</v>
      </c>
      <c r="C37" s="259" t="s">
        <v>438</v>
      </c>
      <c r="D37" s="259" t="s">
        <v>2850</v>
      </c>
      <c r="E37" s="259" t="s">
        <v>2851</v>
      </c>
      <c r="F37" s="259" t="s">
        <v>384</v>
      </c>
      <c r="H37" s="258">
        <v>1993.0</v>
      </c>
      <c r="I37" s="258">
        <v>1990.0</v>
      </c>
      <c r="J37" s="258">
        <v>1994.0</v>
      </c>
      <c r="K37" s="259" t="s">
        <v>151</v>
      </c>
      <c r="L37" s="259" t="s">
        <v>149</v>
      </c>
      <c r="M37" s="259" t="s">
        <v>149</v>
      </c>
      <c r="N37" s="259" t="s">
        <v>149</v>
      </c>
      <c r="O37" s="259" t="s">
        <v>660</v>
      </c>
      <c r="P37" s="259" t="s">
        <v>160</v>
      </c>
      <c r="Q37" s="259" t="s">
        <v>6035</v>
      </c>
      <c r="R37" s="259" t="s">
        <v>159</v>
      </c>
      <c r="S37" s="259" t="s">
        <v>149</v>
      </c>
      <c r="T37" s="259" t="s">
        <v>149</v>
      </c>
      <c r="U37" s="259" t="s">
        <v>149</v>
      </c>
      <c r="V37" s="259" t="s">
        <v>660</v>
      </c>
      <c r="W37" s="259" t="s">
        <v>6035</v>
      </c>
      <c r="Y37" s="260"/>
      <c r="Z37" s="260"/>
      <c r="AA37" s="259" t="s">
        <v>8092</v>
      </c>
      <c r="AC37" s="260"/>
      <c r="AD37" s="260"/>
      <c r="AE37" s="258">
        <v>1.0</v>
      </c>
      <c r="AF37" s="260"/>
    </row>
    <row r="38">
      <c r="A38" s="258">
        <v>37.0</v>
      </c>
      <c r="B38" s="259" t="s">
        <v>143</v>
      </c>
      <c r="C38" s="259" t="s">
        <v>144</v>
      </c>
      <c r="D38" s="259" t="s">
        <v>145</v>
      </c>
      <c r="E38" s="259" t="s">
        <v>146</v>
      </c>
      <c r="F38" s="259" t="s">
        <v>149</v>
      </c>
      <c r="G38" s="260"/>
      <c r="H38" s="258">
        <v>1986.0</v>
      </c>
      <c r="I38" s="258">
        <v>1982.0</v>
      </c>
      <c r="J38" s="258">
        <v>1990.0</v>
      </c>
      <c r="K38" s="259" t="s">
        <v>151</v>
      </c>
      <c r="L38" s="259" t="s">
        <v>149</v>
      </c>
      <c r="M38" s="259" t="s">
        <v>149</v>
      </c>
      <c r="N38" s="259" t="s">
        <v>6204</v>
      </c>
      <c r="O38" s="259" t="s">
        <v>2111</v>
      </c>
      <c r="P38" s="259" t="s">
        <v>205</v>
      </c>
      <c r="Q38" s="259" t="s">
        <v>8096</v>
      </c>
      <c r="R38" s="259" t="s">
        <v>159</v>
      </c>
      <c r="S38" s="259" t="s">
        <v>149</v>
      </c>
      <c r="T38" s="259" t="s">
        <v>149</v>
      </c>
      <c r="U38" s="259" t="s">
        <v>149</v>
      </c>
      <c r="V38" s="259" t="s">
        <v>149</v>
      </c>
      <c r="W38" s="259" t="s">
        <v>149</v>
      </c>
      <c r="X38" s="260"/>
      <c r="Y38" s="260"/>
      <c r="Z38" s="260"/>
      <c r="AA38" s="259" t="s">
        <v>395</v>
      </c>
      <c r="AB38" s="263" t="s">
        <v>2873</v>
      </c>
      <c r="AC38" s="259" t="s">
        <v>398</v>
      </c>
      <c r="AE38" s="258">
        <v>1.0</v>
      </c>
      <c r="AF38" s="260"/>
    </row>
    <row r="39">
      <c r="A39" s="258">
        <v>38.0</v>
      </c>
      <c r="B39" s="259" t="s">
        <v>143</v>
      </c>
      <c r="C39" s="259" t="s">
        <v>144</v>
      </c>
      <c r="D39" s="259" t="s">
        <v>145</v>
      </c>
      <c r="E39" s="259" t="s">
        <v>146</v>
      </c>
      <c r="F39" s="259" t="s">
        <v>384</v>
      </c>
      <c r="G39" s="259" t="s">
        <v>452</v>
      </c>
      <c r="H39" s="258">
        <v>1985.0</v>
      </c>
      <c r="I39" s="258">
        <v>1985.0</v>
      </c>
      <c r="J39" s="258">
        <v>1987.0</v>
      </c>
      <c r="K39" s="259" t="s">
        <v>151</v>
      </c>
      <c r="L39" s="259" t="s">
        <v>6054</v>
      </c>
      <c r="M39" s="259" t="s">
        <v>6054</v>
      </c>
      <c r="N39" s="259" t="s">
        <v>149</v>
      </c>
      <c r="O39" s="259" t="s">
        <v>390</v>
      </c>
      <c r="P39" s="259" t="s">
        <v>160</v>
      </c>
      <c r="Q39" s="259" t="s">
        <v>6035</v>
      </c>
      <c r="R39" s="259" t="s">
        <v>159</v>
      </c>
      <c r="S39" s="259" t="s">
        <v>149</v>
      </c>
      <c r="T39" s="259" t="s">
        <v>149</v>
      </c>
      <c r="U39" s="259" t="s">
        <v>453</v>
      </c>
      <c r="V39" s="259" t="s">
        <v>390</v>
      </c>
      <c r="W39" s="259" t="s">
        <v>6035</v>
      </c>
      <c r="X39" s="259" t="s">
        <v>6055</v>
      </c>
      <c r="Z39" s="259" t="s">
        <v>6056</v>
      </c>
      <c r="AA39" s="259" t="s">
        <v>395</v>
      </c>
      <c r="AB39" s="263" t="s">
        <v>2873</v>
      </c>
      <c r="AC39" s="259" t="s">
        <v>398</v>
      </c>
      <c r="AE39" s="258">
        <v>1.0</v>
      </c>
      <c r="AF39" s="260"/>
    </row>
    <row r="40">
      <c r="A40" s="258">
        <v>39.0</v>
      </c>
      <c r="B40" s="259" t="s">
        <v>143</v>
      </c>
      <c r="C40" s="259" t="s">
        <v>144</v>
      </c>
      <c r="D40" s="259" t="s">
        <v>145</v>
      </c>
      <c r="E40" s="259" t="s">
        <v>146</v>
      </c>
      <c r="F40" s="259" t="s">
        <v>147</v>
      </c>
      <c r="H40" s="258">
        <v>2021.0</v>
      </c>
      <c r="I40" s="259" t="s">
        <v>149</v>
      </c>
      <c r="J40" s="259" t="s">
        <v>149</v>
      </c>
      <c r="K40" s="259" t="s">
        <v>151</v>
      </c>
      <c r="L40" s="259" t="s">
        <v>149</v>
      </c>
      <c r="M40" s="259" t="s">
        <v>149</v>
      </c>
      <c r="N40" s="259" t="s">
        <v>149</v>
      </c>
      <c r="O40" s="259" t="s">
        <v>149</v>
      </c>
      <c r="P40" s="259" t="s">
        <v>149</v>
      </c>
      <c r="Q40" s="259" t="s">
        <v>149</v>
      </c>
      <c r="R40" s="259" t="s">
        <v>149</v>
      </c>
      <c r="S40" s="259" t="s">
        <v>149</v>
      </c>
      <c r="T40" s="259" t="s">
        <v>149</v>
      </c>
      <c r="U40" s="259" t="s">
        <v>149</v>
      </c>
      <c r="V40" s="259" t="s">
        <v>158</v>
      </c>
      <c r="W40" s="259" t="s">
        <v>6035</v>
      </c>
      <c r="X40" s="259" t="s">
        <v>390</v>
      </c>
      <c r="Y40" s="260"/>
      <c r="Z40" s="260"/>
      <c r="AA40" s="259" t="s">
        <v>166</v>
      </c>
      <c r="AB40" s="263" t="s">
        <v>168</v>
      </c>
      <c r="AE40" s="258">
        <v>1.0</v>
      </c>
      <c r="AF40" s="260"/>
    </row>
    <row r="41">
      <c r="A41" s="258">
        <v>40.0</v>
      </c>
      <c r="B41" s="259" t="s">
        <v>143</v>
      </c>
      <c r="C41" s="259" t="s">
        <v>144</v>
      </c>
      <c r="D41" s="259" t="s">
        <v>4284</v>
      </c>
      <c r="E41" s="259" t="s">
        <v>222</v>
      </c>
      <c r="F41" s="259" t="s">
        <v>384</v>
      </c>
      <c r="G41" s="259" t="s">
        <v>2855</v>
      </c>
      <c r="H41" s="258">
        <v>1981.0</v>
      </c>
      <c r="I41" s="258">
        <v>1985.0</v>
      </c>
      <c r="J41" s="258">
        <v>1987.0</v>
      </c>
      <c r="K41" s="259" t="s">
        <v>151</v>
      </c>
      <c r="L41" s="259" t="s">
        <v>149</v>
      </c>
      <c r="M41" s="259" t="s">
        <v>149</v>
      </c>
      <c r="N41" s="259" t="s">
        <v>149</v>
      </c>
      <c r="O41" s="259" t="s">
        <v>390</v>
      </c>
      <c r="P41" s="259" t="s">
        <v>160</v>
      </c>
      <c r="Q41" s="259" t="s">
        <v>6035</v>
      </c>
      <c r="R41" s="259" t="s">
        <v>159</v>
      </c>
      <c r="S41" s="259" t="s">
        <v>149</v>
      </c>
      <c r="T41" s="259" t="s">
        <v>149</v>
      </c>
      <c r="U41" s="259" t="s">
        <v>2853</v>
      </c>
      <c r="V41" s="259" t="s">
        <v>390</v>
      </c>
      <c r="W41" s="259" t="s">
        <v>6035</v>
      </c>
      <c r="X41" s="259" t="s">
        <v>6055</v>
      </c>
      <c r="Y41" s="259" t="s">
        <v>6201</v>
      </c>
      <c r="AA41" s="259" t="s">
        <v>395</v>
      </c>
      <c r="AB41" s="263" t="s">
        <v>2873</v>
      </c>
      <c r="AC41" s="259" t="s">
        <v>398</v>
      </c>
      <c r="AE41" s="258">
        <v>1.0</v>
      </c>
      <c r="AF41" s="259" t="s">
        <v>6109</v>
      </c>
    </row>
    <row r="42">
      <c r="A42" s="258">
        <v>41.0</v>
      </c>
      <c r="B42" s="259" t="s">
        <v>143</v>
      </c>
      <c r="C42" s="259" t="s">
        <v>144</v>
      </c>
      <c r="D42" s="259" t="s">
        <v>4284</v>
      </c>
      <c r="E42" s="259" t="s">
        <v>222</v>
      </c>
      <c r="F42" s="259" t="s">
        <v>384</v>
      </c>
      <c r="G42" s="259" t="s">
        <v>455</v>
      </c>
      <c r="H42" s="258">
        <v>1985.0</v>
      </c>
      <c r="I42" s="258">
        <v>1985.0</v>
      </c>
      <c r="J42" s="258">
        <v>1987.0</v>
      </c>
      <c r="K42" s="259" t="s">
        <v>151</v>
      </c>
      <c r="L42" s="259" t="s">
        <v>6054</v>
      </c>
      <c r="M42" s="259" t="s">
        <v>6054</v>
      </c>
      <c r="N42" s="259" t="s">
        <v>149</v>
      </c>
      <c r="O42" s="259" t="s">
        <v>390</v>
      </c>
      <c r="P42" s="259" t="s">
        <v>160</v>
      </c>
      <c r="Q42" s="259" t="s">
        <v>6035</v>
      </c>
      <c r="R42" s="259" t="s">
        <v>159</v>
      </c>
      <c r="S42" s="259" t="s">
        <v>149</v>
      </c>
      <c r="T42" s="259" t="s">
        <v>149</v>
      </c>
      <c r="U42" s="259" t="s">
        <v>453</v>
      </c>
      <c r="V42" s="259" t="s">
        <v>390</v>
      </c>
      <c r="W42" s="259" t="s">
        <v>6035</v>
      </c>
      <c r="X42" s="259" t="s">
        <v>6055</v>
      </c>
      <c r="AA42" s="259" t="s">
        <v>395</v>
      </c>
      <c r="AB42" s="263" t="s">
        <v>2873</v>
      </c>
      <c r="AC42" s="259" t="s">
        <v>398</v>
      </c>
      <c r="AE42" s="258">
        <v>1.0</v>
      </c>
      <c r="AF42" s="260"/>
    </row>
    <row r="43">
      <c r="A43" s="258">
        <v>42.0</v>
      </c>
      <c r="B43" s="259" t="s">
        <v>143</v>
      </c>
      <c r="C43" s="259" t="s">
        <v>144</v>
      </c>
      <c r="D43" s="259" t="s">
        <v>4284</v>
      </c>
      <c r="E43" s="259" t="s">
        <v>222</v>
      </c>
      <c r="F43" s="259" t="s">
        <v>384</v>
      </c>
      <c r="G43" s="259" t="s">
        <v>457</v>
      </c>
      <c r="H43" s="258">
        <v>1987.0</v>
      </c>
      <c r="I43" s="258">
        <v>1985.0</v>
      </c>
      <c r="J43" s="258">
        <v>1987.0</v>
      </c>
      <c r="K43" s="259" t="s">
        <v>151</v>
      </c>
      <c r="L43" s="259" t="s">
        <v>6054</v>
      </c>
      <c r="M43" s="259" t="s">
        <v>6054</v>
      </c>
      <c r="N43" s="259" t="s">
        <v>149</v>
      </c>
      <c r="O43" s="259" t="s">
        <v>390</v>
      </c>
      <c r="P43" s="259" t="s">
        <v>160</v>
      </c>
      <c r="Q43" s="259" t="s">
        <v>6035</v>
      </c>
      <c r="R43" s="259" t="s">
        <v>159</v>
      </c>
      <c r="S43" s="259" t="s">
        <v>149</v>
      </c>
      <c r="T43" s="259" t="s">
        <v>149</v>
      </c>
      <c r="U43" s="259" t="s">
        <v>391</v>
      </c>
      <c r="V43" s="259" t="s">
        <v>390</v>
      </c>
      <c r="W43" s="259" t="s">
        <v>6035</v>
      </c>
      <c r="X43" s="259" t="s">
        <v>6055</v>
      </c>
      <c r="AA43" s="259" t="s">
        <v>395</v>
      </c>
      <c r="AB43" s="263" t="s">
        <v>2873</v>
      </c>
      <c r="AC43" s="259" t="s">
        <v>398</v>
      </c>
      <c r="AE43" s="258">
        <v>1.0</v>
      </c>
      <c r="AF43" s="260"/>
    </row>
    <row r="44">
      <c r="A44" s="258">
        <v>43.0</v>
      </c>
      <c r="B44" s="259" t="s">
        <v>143</v>
      </c>
      <c r="C44" s="259" t="s">
        <v>144</v>
      </c>
      <c r="D44" s="259" t="s">
        <v>4284</v>
      </c>
      <c r="E44" s="259" t="s">
        <v>222</v>
      </c>
      <c r="F44" s="259" t="s">
        <v>149</v>
      </c>
      <c r="G44" s="259" t="s">
        <v>8098</v>
      </c>
      <c r="H44" s="258">
        <v>1999.0</v>
      </c>
      <c r="I44" s="258">
        <v>1999.0</v>
      </c>
      <c r="J44" s="258">
        <v>2000.0</v>
      </c>
      <c r="K44" s="259" t="s">
        <v>3324</v>
      </c>
      <c r="L44" s="259" t="s">
        <v>149</v>
      </c>
      <c r="M44" s="259" t="s">
        <v>149</v>
      </c>
      <c r="N44" s="259" t="s">
        <v>204</v>
      </c>
      <c r="O44" s="259" t="s">
        <v>8099</v>
      </c>
      <c r="P44" s="259" t="s">
        <v>160</v>
      </c>
      <c r="Q44" s="259" t="s">
        <v>6035</v>
      </c>
      <c r="R44" s="259" t="s">
        <v>159</v>
      </c>
      <c r="S44" s="259" t="s">
        <v>149</v>
      </c>
      <c r="T44" s="259" t="s">
        <v>149</v>
      </c>
      <c r="U44" s="259" t="s">
        <v>149</v>
      </c>
      <c r="V44" s="259" t="s">
        <v>8100</v>
      </c>
      <c r="W44" s="259" t="s">
        <v>6068</v>
      </c>
      <c r="X44" s="259" t="s">
        <v>2901</v>
      </c>
      <c r="AA44" s="259" t="s">
        <v>6214</v>
      </c>
      <c r="AB44" s="259" t="s">
        <v>6215</v>
      </c>
      <c r="AC44" s="259" t="s">
        <v>2904</v>
      </c>
      <c r="AE44" s="258">
        <v>1.0</v>
      </c>
      <c r="AF44" s="260"/>
    </row>
    <row r="45">
      <c r="A45" s="258">
        <v>44.0</v>
      </c>
      <c r="B45" s="259" t="s">
        <v>143</v>
      </c>
      <c r="C45" s="259" t="s">
        <v>144</v>
      </c>
      <c r="D45" s="259" t="s">
        <v>4284</v>
      </c>
      <c r="E45" s="259" t="s">
        <v>222</v>
      </c>
      <c r="F45" s="259" t="s">
        <v>1683</v>
      </c>
      <c r="H45" s="258">
        <v>2015.0</v>
      </c>
      <c r="I45" s="258">
        <v>2014.0</v>
      </c>
      <c r="J45" s="258">
        <v>2016.0</v>
      </c>
      <c r="K45" s="259" t="s">
        <v>6062</v>
      </c>
      <c r="L45" s="259" t="s">
        <v>320</v>
      </c>
      <c r="M45" s="259" t="s">
        <v>179</v>
      </c>
      <c r="N45" s="259" t="s">
        <v>149</v>
      </c>
      <c r="O45" s="259" t="s">
        <v>321</v>
      </c>
      <c r="P45" s="259" t="s">
        <v>160</v>
      </c>
      <c r="Q45" s="259" t="s">
        <v>6035</v>
      </c>
      <c r="R45" s="259" t="s">
        <v>159</v>
      </c>
      <c r="S45" s="259" t="s">
        <v>149</v>
      </c>
      <c r="T45" s="259" t="s">
        <v>149</v>
      </c>
      <c r="U45" s="259" t="s">
        <v>1698</v>
      </c>
      <c r="V45" s="259" t="s">
        <v>1699</v>
      </c>
      <c r="W45" s="259" t="s">
        <v>6068</v>
      </c>
      <c r="X45" s="259" t="s">
        <v>6232</v>
      </c>
      <c r="Z45" s="260"/>
      <c r="AA45" s="259" t="s">
        <v>6069</v>
      </c>
      <c r="AC45" s="260"/>
      <c r="AD45" s="260"/>
      <c r="AE45" s="258">
        <v>1.0</v>
      </c>
      <c r="AF45" s="260"/>
    </row>
    <row r="46">
      <c r="A46" s="258">
        <v>45.0</v>
      </c>
      <c r="B46" s="259" t="s">
        <v>143</v>
      </c>
      <c r="C46" s="259" t="s">
        <v>144</v>
      </c>
      <c r="D46" s="259" t="s">
        <v>4284</v>
      </c>
      <c r="E46" s="259" t="s">
        <v>222</v>
      </c>
      <c r="F46" s="259" t="s">
        <v>6235</v>
      </c>
      <c r="G46" s="259" t="s">
        <v>8101</v>
      </c>
      <c r="H46" s="258">
        <v>2018.0</v>
      </c>
      <c r="I46" s="258">
        <v>2018.0</v>
      </c>
      <c r="J46" s="258">
        <v>2022.0</v>
      </c>
      <c r="K46" s="259" t="s">
        <v>6221</v>
      </c>
      <c r="L46" s="259" t="s">
        <v>149</v>
      </c>
      <c r="M46" s="259" t="s">
        <v>149</v>
      </c>
      <c r="N46" s="259" t="s">
        <v>149</v>
      </c>
      <c r="O46" s="259" t="s">
        <v>203</v>
      </c>
      <c r="P46" s="259" t="s">
        <v>205</v>
      </c>
      <c r="Q46" s="259" t="s">
        <v>8096</v>
      </c>
      <c r="R46" s="259" t="s">
        <v>204</v>
      </c>
      <c r="S46" s="259" t="s">
        <v>149</v>
      </c>
      <c r="T46" s="259" t="s">
        <v>149</v>
      </c>
      <c r="U46" s="259" t="s">
        <v>149</v>
      </c>
      <c r="V46" s="259" t="s">
        <v>8102</v>
      </c>
      <c r="W46" s="259" t="s">
        <v>6068</v>
      </c>
      <c r="X46" s="259" t="s">
        <v>228</v>
      </c>
      <c r="Y46" s="260"/>
      <c r="Z46" s="260"/>
      <c r="AA46" s="259" t="s">
        <v>6214</v>
      </c>
      <c r="AB46" s="263" t="s">
        <v>8103</v>
      </c>
      <c r="AC46" s="259" t="s">
        <v>245</v>
      </c>
      <c r="AE46" s="258">
        <v>1.0</v>
      </c>
      <c r="AF46" s="260"/>
    </row>
    <row r="47">
      <c r="A47" s="258">
        <v>46.0</v>
      </c>
      <c r="B47" s="259" t="s">
        <v>143</v>
      </c>
      <c r="C47" s="259" t="s">
        <v>144</v>
      </c>
      <c r="D47" s="259" t="s">
        <v>4284</v>
      </c>
      <c r="E47" s="259" t="s">
        <v>222</v>
      </c>
      <c r="F47" s="259" t="s">
        <v>1683</v>
      </c>
      <c r="G47" s="259" t="s">
        <v>6238</v>
      </c>
      <c r="H47" s="258">
        <v>2015.0</v>
      </c>
      <c r="I47" s="258">
        <v>2014.0</v>
      </c>
      <c r="J47" s="258">
        <v>2016.0</v>
      </c>
      <c r="K47" s="259" t="s">
        <v>6062</v>
      </c>
      <c r="L47" s="259" t="s">
        <v>149</v>
      </c>
      <c r="M47" s="259" t="s">
        <v>149</v>
      </c>
      <c r="N47" s="259" t="s">
        <v>149</v>
      </c>
      <c r="O47" s="259" t="s">
        <v>321</v>
      </c>
      <c r="P47" s="259" t="s">
        <v>160</v>
      </c>
      <c r="Q47" s="259" t="s">
        <v>6035</v>
      </c>
      <c r="R47" s="259" t="s">
        <v>159</v>
      </c>
      <c r="S47" s="259" t="s">
        <v>149</v>
      </c>
      <c r="T47" s="259" t="s">
        <v>149</v>
      </c>
      <c r="U47" s="259" t="s">
        <v>149</v>
      </c>
      <c r="V47" s="259" t="s">
        <v>8104</v>
      </c>
      <c r="W47" s="259" t="s">
        <v>6035</v>
      </c>
      <c r="X47" s="259" t="s">
        <v>1699</v>
      </c>
      <c r="Y47" s="259" t="s">
        <v>6240</v>
      </c>
      <c r="AA47" s="259" t="s">
        <v>6069</v>
      </c>
      <c r="AC47" s="260"/>
      <c r="AD47" s="260"/>
      <c r="AE47" s="258">
        <v>1.0</v>
      </c>
      <c r="AF47" s="260"/>
    </row>
    <row r="48">
      <c r="A48" s="258">
        <v>47.0</v>
      </c>
      <c r="B48" s="259" t="s">
        <v>143</v>
      </c>
      <c r="C48" s="259" t="s">
        <v>144</v>
      </c>
      <c r="D48" s="259" t="s">
        <v>4284</v>
      </c>
      <c r="E48" s="259" t="s">
        <v>222</v>
      </c>
      <c r="F48" s="259" t="s">
        <v>934</v>
      </c>
      <c r="H48" s="258">
        <v>2001.0</v>
      </c>
      <c r="I48" s="258">
        <v>2001.0</v>
      </c>
      <c r="J48" s="258">
        <v>2005.0</v>
      </c>
      <c r="K48" s="259" t="s">
        <v>6062</v>
      </c>
      <c r="L48" s="259" t="s">
        <v>8105</v>
      </c>
      <c r="M48" s="259" t="s">
        <v>179</v>
      </c>
      <c r="N48" s="259" t="s">
        <v>939</v>
      </c>
      <c r="O48" s="259" t="s">
        <v>940</v>
      </c>
      <c r="P48" s="259" t="s">
        <v>205</v>
      </c>
      <c r="Q48" s="259" t="s">
        <v>8096</v>
      </c>
      <c r="R48" s="259" t="s">
        <v>204</v>
      </c>
      <c r="S48" s="259" t="s">
        <v>149</v>
      </c>
      <c r="T48" s="259" t="s">
        <v>149</v>
      </c>
      <c r="U48" s="259" t="s">
        <v>149</v>
      </c>
      <c r="V48" s="259" t="s">
        <v>8100</v>
      </c>
      <c r="W48" s="259" t="s">
        <v>6068</v>
      </c>
      <c r="X48" s="260"/>
      <c r="Y48" s="260"/>
      <c r="Z48" s="260"/>
      <c r="AA48" s="259" t="s">
        <v>6214</v>
      </c>
      <c r="AB48" s="263" t="s">
        <v>942</v>
      </c>
      <c r="AC48" s="259" t="s">
        <v>943</v>
      </c>
      <c r="AE48" s="258">
        <v>1.0</v>
      </c>
      <c r="AF48" s="260"/>
    </row>
    <row r="49">
      <c r="A49" s="258">
        <v>48.0</v>
      </c>
      <c r="B49" s="259" t="s">
        <v>143</v>
      </c>
      <c r="C49" s="259" t="s">
        <v>144</v>
      </c>
      <c r="D49" s="259" t="s">
        <v>230</v>
      </c>
      <c r="E49" s="259" t="s">
        <v>231</v>
      </c>
      <c r="F49" s="259" t="s">
        <v>384</v>
      </c>
      <c r="G49" s="259" t="s">
        <v>459</v>
      </c>
      <c r="H49" s="258">
        <v>1986.0</v>
      </c>
      <c r="I49" s="258">
        <v>1985.0</v>
      </c>
      <c r="J49" s="258">
        <v>1987.0</v>
      </c>
      <c r="K49" s="259" t="s">
        <v>151</v>
      </c>
      <c r="L49" s="259" t="s">
        <v>6054</v>
      </c>
      <c r="M49" s="259" t="s">
        <v>6054</v>
      </c>
      <c r="N49" s="259" t="s">
        <v>149</v>
      </c>
      <c r="O49" s="259" t="s">
        <v>390</v>
      </c>
      <c r="P49" s="259" t="s">
        <v>160</v>
      </c>
      <c r="Q49" s="259" t="s">
        <v>6035</v>
      </c>
      <c r="R49" s="259" t="s">
        <v>159</v>
      </c>
      <c r="S49" s="259" t="s">
        <v>149</v>
      </c>
      <c r="T49" s="259" t="s">
        <v>149</v>
      </c>
      <c r="U49" s="259" t="s">
        <v>391</v>
      </c>
      <c r="V49" s="259" t="s">
        <v>390</v>
      </c>
      <c r="W49" s="259" t="s">
        <v>6035</v>
      </c>
      <c r="X49" s="259" t="s">
        <v>6055</v>
      </c>
      <c r="Z49" s="259" t="s">
        <v>6056</v>
      </c>
      <c r="AA49" s="259" t="s">
        <v>395</v>
      </c>
      <c r="AB49" s="263" t="s">
        <v>2873</v>
      </c>
      <c r="AC49" s="259" t="s">
        <v>398</v>
      </c>
      <c r="AE49" s="258">
        <v>1.0</v>
      </c>
      <c r="AF49" s="260"/>
    </row>
    <row r="50">
      <c r="A50" s="258">
        <v>49.0</v>
      </c>
      <c r="B50" s="259" t="s">
        <v>143</v>
      </c>
      <c r="C50" s="259" t="s">
        <v>144</v>
      </c>
      <c r="D50" s="259" t="s">
        <v>230</v>
      </c>
      <c r="E50" s="259" t="s">
        <v>231</v>
      </c>
      <c r="F50" s="259" t="s">
        <v>384</v>
      </c>
      <c r="G50" s="259" t="s">
        <v>461</v>
      </c>
      <c r="H50" s="258">
        <v>1986.0</v>
      </c>
      <c r="I50" s="258">
        <v>1985.0</v>
      </c>
      <c r="J50" s="258">
        <v>1987.0</v>
      </c>
      <c r="K50" s="259" t="s">
        <v>151</v>
      </c>
      <c r="L50" s="259" t="s">
        <v>6054</v>
      </c>
      <c r="M50" s="259" t="s">
        <v>6054</v>
      </c>
      <c r="N50" s="259" t="s">
        <v>149</v>
      </c>
      <c r="O50" s="259" t="s">
        <v>390</v>
      </c>
      <c r="P50" s="259" t="s">
        <v>160</v>
      </c>
      <c r="Q50" s="259" t="s">
        <v>6035</v>
      </c>
      <c r="R50" s="259" t="s">
        <v>159</v>
      </c>
      <c r="S50" s="259" t="s">
        <v>149</v>
      </c>
      <c r="T50" s="259" t="s">
        <v>149</v>
      </c>
      <c r="U50" s="259" t="s">
        <v>391</v>
      </c>
      <c r="V50" s="259" t="s">
        <v>390</v>
      </c>
      <c r="W50" s="259" t="s">
        <v>6035</v>
      </c>
      <c r="X50" s="259" t="s">
        <v>6055</v>
      </c>
      <c r="AA50" s="259" t="s">
        <v>395</v>
      </c>
      <c r="AB50" s="263" t="s">
        <v>2873</v>
      </c>
      <c r="AC50" s="259" t="s">
        <v>398</v>
      </c>
      <c r="AE50" s="258">
        <v>1.0</v>
      </c>
      <c r="AF50" s="260"/>
    </row>
    <row r="51">
      <c r="A51" s="258">
        <v>50.0</v>
      </c>
      <c r="B51" s="259" t="s">
        <v>143</v>
      </c>
      <c r="C51" s="259" t="s">
        <v>144</v>
      </c>
      <c r="D51" s="259" t="s">
        <v>230</v>
      </c>
      <c r="E51" s="259" t="s">
        <v>231</v>
      </c>
      <c r="F51" s="259" t="s">
        <v>1828</v>
      </c>
      <c r="G51" s="259" t="s">
        <v>6256</v>
      </c>
      <c r="H51" s="258">
        <v>2014.0</v>
      </c>
      <c r="I51" s="258">
        <v>2014.0</v>
      </c>
      <c r="J51" s="258">
        <v>2017.0</v>
      </c>
      <c r="K51" s="259" t="s">
        <v>6221</v>
      </c>
      <c r="L51" s="259" t="s">
        <v>149</v>
      </c>
      <c r="M51" s="259" t="s">
        <v>149</v>
      </c>
      <c r="N51" s="259" t="s">
        <v>1831</v>
      </c>
      <c r="O51" s="264" t="s">
        <v>321</v>
      </c>
      <c r="P51" s="259" t="s">
        <v>160</v>
      </c>
      <c r="Q51" s="259" t="s">
        <v>6035</v>
      </c>
      <c r="R51" s="259" t="s">
        <v>159</v>
      </c>
      <c r="S51" s="265" t="s">
        <v>8106</v>
      </c>
      <c r="T51" s="259" t="s">
        <v>149</v>
      </c>
      <c r="U51" s="259" t="s">
        <v>149</v>
      </c>
      <c r="V51" s="259" t="s">
        <v>8100</v>
      </c>
      <c r="W51" s="259" t="s">
        <v>6068</v>
      </c>
      <c r="X51" s="259" t="s">
        <v>8107</v>
      </c>
      <c r="AA51" s="259" t="s">
        <v>6257</v>
      </c>
      <c r="AC51" s="259" t="s">
        <v>943</v>
      </c>
      <c r="AE51" s="258">
        <v>1.0</v>
      </c>
      <c r="AF51" s="260"/>
    </row>
    <row r="52">
      <c r="A52" s="258">
        <v>51.0</v>
      </c>
      <c r="B52" s="259" t="s">
        <v>143</v>
      </c>
      <c r="C52" s="259" t="s">
        <v>144</v>
      </c>
      <c r="D52" s="259" t="s">
        <v>230</v>
      </c>
      <c r="E52" s="259" t="s">
        <v>231</v>
      </c>
      <c r="F52" s="259" t="s">
        <v>8108</v>
      </c>
      <c r="H52" s="258">
        <v>2014.0</v>
      </c>
      <c r="I52" s="258">
        <v>2014.0</v>
      </c>
      <c r="J52" s="258">
        <v>2017.0</v>
      </c>
      <c r="K52" s="259" t="s">
        <v>6221</v>
      </c>
      <c r="L52" s="259" t="s">
        <v>149</v>
      </c>
      <c r="M52" s="259" t="s">
        <v>149</v>
      </c>
      <c r="N52" s="259" t="s">
        <v>1848</v>
      </c>
      <c r="O52" s="264" t="s">
        <v>321</v>
      </c>
      <c r="P52" s="259" t="s">
        <v>160</v>
      </c>
      <c r="Q52" s="259" t="s">
        <v>6035</v>
      </c>
      <c r="R52" s="259" t="s">
        <v>159</v>
      </c>
      <c r="S52" s="265" t="s">
        <v>8106</v>
      </c>
      <c r="T52" s="259" t="s">
        <v>149</v>
      </c>
      <c r="U52" s="259" t="s">
        <v>149</v>
      </c>
      <c r="V52" s="259" t="s">
        <v>8100</v>
      </c>
      <c r="W52" s="259" t="s">
        <v>6068</v>
      </c>
      <c r="X52" s="259" t="s">
        <v>1850</v>
      </c>
      <c r="Y52" s="259" t="s">
        <v>885</v>
      </c>
      <c r="AA52" s="259" t="s">
        <v>6257</v>
      </c>
      <c r="AC52" s="259" t="s">
        <v>943</v>
      </c>
      <c r="AE52" s="258">
        <v>1.0</v>
      </c>
      <c r="AF52" s="260"/>
    </row>
    <row r="53">
      <c r="A53" s="258">
        <v>52.0</v>
      </c>
      <c r="B53" s="259" t="s">
        <v>143</v>
      </c>
      <c r="C53" s="259" t="s">
        <v>144</v>
      </c>
      <c r="D53" s="259" t="s">
        <v>230</v>
      </c>
      <c r="E53" s="259" t="s">
        <v>231</v>
      </c>
      <c r="F53" s="259" t="s">
        <v>6235</v>
      </c>
      <c r="G53" s="259" t="s">
        <v>8101</v>
      </c>
      <c r="H53" s="258">
        <v>2018.0</v>
      </c>
      <c r="I53" s="258">
        <v>2018.0</v>
      </c>
      <c r="J53" s="258">
        <v>2022.0</v>
      </c>
      <c r="K53" s="259" t="s">
        <v>6221</v>
      </c>
      <c r="L53" s="259" t="s">
        <v>149</v>
      </c>
      <c r="M53" s="259" t="s">
        <v>149</v>
      </c>
      <c r="N53" s="259" t="s">
        <v>149</v>
      </c>
      <c r="O53" s="259" t="s">
        <v>203</v>
      </c>
      <c r="P53" s="259" t="s">
        <v>205</v>
      </c>
      <c r="Q53" s="259" t="s">
        <v>8096</v>
      </c>
      <c r="R53" s="259" t="s">
        <v>204</v>
      </c>
      <c r="S53" s="259" t="s">
        <v>149</v>
      </c>
      <c r="T53" s="259" t="s">
        <v>149</v>
      </c>
      <c r="U53" s="259" t="s">
        <v>149</v>
      </c>
      <c r="V53" s="259" t="s">
        <v>8102</v>
      </c>
      <c r="W53" s="259" t="s">
        <v>6068</v>
      </c>
      <c r="X53" s="259" t="s">
        <v>1850</v>
      </c>
      <c r="AA53" s="259" t="s">
        <v>8109</v>
      </c>
      <c r="AB53" s="263" t="s">
        <v>8103</v>
      </c>
      <c r="AC53" s="259" t="s">
        <v>245</v>
      </c>
      <c r="AE53" s="258">
        <v>1.0</v>
      </c>
      <c r="AF53" s="260"/>
    </row>
    <row r="54">
      <c r="A54" s="258">
        <v>53.0</v>
      </c>
      <c r="B54" s="259" t="s">
        <v>143</v>
      </c>
      <c r="C54" s="259" t="s">
        <v>144</v>
      </c>
      <c r="D54" s="259" t="s">
        <v>230</v>
      </c>
      <c r="E54" s="259" t="s">
        <v>231</v>
      </c>
      <c r="F54" s="259" t="s">
        <v>934</v>
      </c>
      <c r="H54" s="258">
        <v>2001.0</v>
      </c>
      <c r="I54" s="258">
        <v>2001.0</v>
      </c>
      <c r="J54" s="258">
        <v>2005.0</v>
      </c>
      <c r="K54" s="259" t="s">
        <v>6062</v>
      </c>
      <c r="L54" s="259" t="s">
        <v>8105</v>
      </c>
      <c r="M54" s="259" t="s">
        <v>179</v>
      </c>
      <c r="N54" s="259" t="s">
        <v>939</v>
      </c>
      <c r="O54" s="259" t="s">
        <v>940</v>
      </c>
      <c r="P54" s="259" t="s">
        <v>205</v>
      </c>
      <c r="Q54" s="259" t="s">
        <v>8096</v>
      </c>
      <c r="R54" s="259" t="s">
        <v>204</v>
      </c>
      <c r="S54" s="259" t="s">
        <v>149</v>
      </c>
      <c r="T54" s="259" t="s">
        <v>149</v>
      </c>
      <c r="U54" s="259" t="s">
        <v>149</v>
      </c>
      <c r="V54" s="259" t="s">
        <v>8100</v>
      </c>
      <c r="W54" s="259" t="s">
        <v>6068</v>
      </c>
      <c r="X54" s="260"/>
      <c r="Y54" s="260"/>
      <c r="Z54" s="260"/>
      <c r="AA54" s="259" t="s">
        <v>6214</v>
      </c>
      <c r="AB54" s="263" t="s">
        <v>942</v>
      </c>
      <c r="AC54" s="259" t="s">
        <v>943</v>
      </c>
      <c r="AE54" s="258">
        <v>1.0</v>
      </c>
      <c r="AF54" s="260"/>
    </row>
    <row r="55">
      <c r="A55" s="258">
        <v>54.0</v>
      </c>
      <c r="B55" s="259" t="s">
        <v>143</v>
      </c>
      <c r="C55" s="259" t="s">
        <v>144</v>
      </c>
      <c r="D55" s="259" t="s">
        <v>230</v>
      </c>
      <c r="E55" s="259" t="s">
        <v>231</v>
      </c>
      <c r="F55" s="259" t="s">
        <v>8110</v>
      </c>
      <c r="G55" s="259" t="s">
        <v>8111</v>
      </c>
      <c r="H55" s="258">
        <v>2001.0</v>
      </c>
      <c r="I55" s="258">
        <v>2001.0</v>
      </c>
      <c r="J55" s="258">
        <v>2005.0</v>
      </c>
      <c r="K55" s="259" t="s">
        <v>6062</v>
      </c>
      <c r="L55" s="259" t="s">
        <v>8105</v>
      </c>
      <c r="M55" s="259" t="s">
        <v>179</v>
      </c>
      <c r="N55" s="259" t="s">
        <v>149</v>
      </c>
      <c r="O55" s="259" t="s">
        <v>940</v>
      </c>
      <c r="P55" s="259" t="s">
        <v>205</v>
      </c>
      <c r="Q55" s="259" t="s">
        <v>8096</v>
      </c>
      <c r="R55" s="259" t="s">
        <v>204</v>
      </c>
      <c r="S55" s="259" t="s">
        <v>149</v>
      </c>
      <c r="T55" s="259" t="s">
        <v>149</v>
      </c>
      <c r="U55" s="259" t="s">
        <v>149</v>
      </c>
      <c r="V55" s="259" t="s">
        <v>8100</v>
      </c>
      <c r="W55" s="259" t="s">
        <v>6068</v>
      </c>
      <c r="X55" s="260"/>
      <c r="Y55" s="260"/>
      <c r="Z55" s="260"/>
      <c r="AA55" s="259" t="s">
        <v>6214</v>
      </c>
      <c r="AB55" s="263" t="s">
        <v>6280</v>
      </c>
      <c r="AC55" s="259" t="s">
        <v>943</v>
      </c>
      <c r="AE55" s="258">
        <v>1.0</v>
      </c>
      <c r="AF55" s="260"/>
    </row>
    <row r="56">
      <c r="A56" s="258">
        <v>55.0</v>
      </c>
      <c r="B56" s="259" t="s">
        <v>143</v>
      </c>
      <c r="C56" s="259" t="s">
        <v>144</v>
      </c>
      <c r="D56" s="259" t="s">
        <v>230</v>
      </c>
      <c r="E56" s="259" t="s">
        <v>231</v>
      </c>
      <c r="F56" s="259" t="s">
        <v>149</v>
      </c>
      <c r="G56" s="259" t="s">
        <v>8112</v>
      </c>
      <c r="H56" s="259" t="s">
        <v>149</v>
      </c>
      <c r="I56" s="259" t="s">
        <v>149</v>
      </c>
      <c r="J56" s="259" t="s">
        <v>149</v>
      </c>
      <c r="K56" s="259" t="s">
        <v>6259</v>
      </c>
      <c r="L56" s="259" t="s">
        <v>6288</v>
      </c>
      <c r="M56" s="259" t="s">
        <v>179</v>
      </c>
      <c r="N56" s="259" t="s">
        <v>6289</v>
      </c>
      <c r="O56" s="259" t="s">
        <v>2909</v>
      </c>
      <c r="P56" s="259" t="s">
        <v>160</v>
      </c>
      <c r="Q56" s="259" t="s">
        <v>209</v>
      </c>
      <c r="R56" s="259" t="s">
        <v>204</v>
      </c>
      <c r="S56" s="259" t="s">
        <v>149</v>
      </c>
      <c r="T56" s="259" t="s">
        <v>149</v>
      </c>
      <c r="U56" s="259" t="s">
        <v>149</v>
      </c>
      <c r="V56" s="259" t="s">
        <v>8100</v>
      </c>
      <c r="W56" s="259" t="s">
        <v>6068</v>
      </c>
      <c r="X56" s="259" t="s">
        <v>321</v>
      </c>
      <c r="Z56" s="260"/>
      <c r="AA56" s="259" t="s">
        <v>6214</v>
      </c>
      <c r="AB56" s="263" t="s">
        <v>2911</v>
      </c>
      <c r="AC56" s="259" t="s">
        <v>1061</v>
      </c>
      <c r="AE56" s="258">
        <v>1.0</v>
      </c>
      <c r="AF56" s="260"/>
    </row>
    <row r="57">
      <c r="A57" s="258">
        <v>56.0</v>
      </c>
      <c r="B57" s="259" t="s">
        <v>143</v>
      </c>
      <c r="C57" s="259" t="s">
        <v>144</v>
      </c>
      <c r="D57" s="259" t="s">
        <v>230</v>
      </c>
      <c r="E57" s="259" t="s">
        <v>231</v>
      </c>
      <c r="F57" s="259" t="s">
        <v>6235</v>
      </c>
      <c r="G57" s="259" t="s">
        <v>6295</v>
      </c>
      <c r="H57" s="258">
        <v>2013.0</v>
      </c>
      <c r="I57" s="258">
        <v>2013.0</v>
      </c>
      <c r="J57" s="258">
        <v>2015.0</v>
      </c>
      <c r="K57" s="259" t="s">
        <v>6221</v>
      </c>
      <c r="L57" s="259" t="s">
        <v>8113</v>
      </c>
      <c r="M57" s="259" t="s">
        <v>8114</v>
      </c>
      <c r="N57" s="259" t="s">
        <v>8115</v>
      </c>
      <c r="O57" s="259" t="s">
        <v>203</v>
      </c>
      <c r="P57" s="259" t="s">
        <v>205</v>
      </c>
      <c r="Q57" s="259" t="s">
        <v>8096</v>
      </c>
      <c r="R57" s="259" t="s">
        <v>204</v>
      </c>
      <c r="S57" s="259" t="s">
        <v>149</v>
      </c>
      <c r="T57" s="259" t="s">
        <v>149</v>
      </c>
      <c r="U57" s="259" t="s">
        <v>149</v>
      </c>
      <c r="V57" s="259" t="s">
        <v>8102</v>
      </c>
      <c r="W57" s="259" t="s">
        <v>6068</v>
      </c>
      <c r="X57" s="259" t="s">
        <v>1833</v>
      </c>
      <c r="AA57" s="259" t="s">
        <v>6214</v>
      </c>
      <c r="AB57" s="259" t="s">
        <v>244</v>
      </c>
      <c r="AC57" s="259" t="s">
        <v>245</v>
      </c>
      <c r="AE57" s="258">
        <v>1.0</v>
      </c>
      <c r="AF57" s="260"/>
    </row>
    <row r="58">
      <c r="A58" s="258">
        <v>57.0</v>
      </c>
      <c r="B58" s="259" t="s">
        <v>143</v>
      </c>
      <c r="C58" s="259" t="s">
        <v>144</v>
      </c>
      <c r="D58" s="259" t="s">
        <v>230</v>
      </c>
      <c r="E58" s="259" t="s">
        <v>231</v>
      </c>
      <c r="F58" s="259" t="s">
        <v>6235</v>
      </c>
      <c r="G58" s="259" t="s">
        <v>8116</v>
      </c>
      <c r="H58" s="258">
        <v>2016.0</v>
      </c>
      <c r="I58" s="258">
        <v>2014.0</v>
      </c>
      <c r="J58" s="258">
        <v>2019.0</v>
      </c>
      <c r="K58" s="259" t="s">
        <v>6221</v>
      </c>
      <c r="L58" s="259" t="s">
        <v>8117</v>
      </c>
      <c r="M58" s="259" t="s">
        <v>8114</v>
      </c>
      <c r="N58" s="259" t="s">
        <v>6307</v>
      </c>
      <c r="O58" s="259" t="s">
        <v>203</v>
      </c>
      <c r="P58" s="259" t="s">
        <v>205</v>
      </c>
      <c r="Q58" s="259" t="s">
        <v>8096</v>
      </c>
      <c r="R58" s="259" t="s">
        <v>204</v>
      </c>
      <c r="S58" s="259" t="s">
        <v>149</v>
      </c>
      <c r="T58" s="259" t="s">
        <v>149</v>
      </c>
      <c r="U58" s="259" t="s">
        <v>149</v>
      </c>
      <c r="V58" s="259" t="s">
        <v>8102</v>
      </c>
      <c r="W58" s="259" t="s">
        <v>6068</v>
      </c>
      <c r="X58" s="259" t="s">
        <v>1833</v>
      </c>
      <c r="AA58" s="259" t="s">
        <v>6214</v>
      </c>
      <c r="AB58" s="263" t="s">
        <v>251</v>
      </c>
      <c r="AC58" s="259" t="s">
        <v>252</v>
      </c>
      <c r="AE58" s="258">
        <v>1.0</v>
      </c>
      <c r="AF58" s="260"/>
    </row>
    <row r="59">
      <c r="A59" s="258">
        <v>58.0</v>
      </c>
      <c r="B59" s="259" t="s">
        <v>143</v>
      </c>
      <c r="C59" s="259" t="s">
        <v>144</v>
      </c>
      <c r="D59" s="259" t="s">
        <v>230</v>
      </c>
      <c r="E59" s="259" t="s">
        <v>231</v>
      </c>
      <c r="F59" s="259" t="s">
        <v>149</v>
      </c>
      <c r="G59" s="259" t="s">
        <v>6310</v>
      </c>
      <c r="H59" s="258">
        <v>2016.0</v>
      </c>
      <c r="I59" s="259" t="s">
        <v>149</v>
      </c>
      <c r="J59" s="259" t="s">
        <v>149</v>
      </c>
      <c r="K59" s="259" t="s">
        <v>6221</v>
      </c>
      <c r="L59" s="259" t="s">
        <v>2913</v>
      </c>
      <c r="M59" s="259" t="s">
        <v>8114</v>
      </c>
      <c r="N59" s="259" t="s">
        <v>6311</v>
      </c>
      <c r="O59" s="259" t="s">
        <v>321</v>
      </c>
      <c r="P59" s="259" t="s">
        <v>160</v>
      </c>
      <c r="Q59" s="259" t="s">
        <v>6035</v>
      </c>
      <c r="R59" s="259" t="s">
        <v>159</v>
      </c>
      <c r="S59" s="259" t="s">
        <v>149</v>
      </c>
      <c r="T59" s="259" t="s">
        <v>149</v>
      </c>
      <c r="U59" s="259" t="s">
        <v>2915</v>
      </c>
      <c r="V59" s="259" t="s">
        <v>8100</v>
      </c>
      <c r="W59" s="259" t="s">
        <v>6068</v>
      </c>
      <c r="X59" s="260"/>
      <c r="Y59" s="260"/>
      <c r="Z59" s="260"/>
      <c r="AA59" s="259" t="s">
        <v>6214</v>
      </c>
      <c r="AB59" s="263" t="s">
        <v>2917</v>
      </c>
      <c r="AC59" s="259" t="s">
        <v>2918</v>
      </c>
      <c r="AE59" s="258">
        <v>1.0</v>
      </c>
      <c r="AF59" s="260"/>
    </row>
    <row r="60">
      <c r="A60" s="258">
        <v>59.0</v>
      </c>
      <c r="B60" s="259" t="s">
        <v>143</v>
      </c>
      <c r="C60" s="259" t="s">
        <v>144</v>
      </c>
      <c r="D60" s="259" t="s">
        <v>230</v>
      </c>
      <c r="E60" s="259" t="s">
        <v>231</v>
      </c>
      <c r="F60" s="259" t="s">
        <v>149</v>
      </c>
      <c r="G60" s="259" t="s">
        <v>6316</v>
      </c>
      <c r="H60" s="258">
        <v>2011.0</v>
      </c>
      <c r="I60" s="258">
        <v>2010.0</v>
      </c>
      <c r="J60" s="258">
        <v>2012.0</v>
      </c>
      <c r="K60" s="259" t="s">
        <v>6259</v>
      </c>
      <c r="L60" s="259" t="s">
        <v>6317</v>
      </c>
      <c r="M60" s="259" t="s">
        <v>8114</v>
      </c>
      <c r="N60" s="259" t="s">
        <v>6318</v>
      </c>
      <c r="O60" s="259" t="s">
        <v>321</v>
      </c>
      <c r="P60" s="259" t="s">
        <v>160</v>
      </c>
      <c r="Q60" s="259" t="s">
        <v>6035</v>
      </c>
      <c r="R60" s="259" t="s">
        <v>159</v>
      </c>
      <c r="S60" s="259" t="s">
        <v>149</v>
      </c>
      <c r="T60" s="259" t="s">
        <v>149</v>
      </c>
      <c r="U60" s="259" t="s">
        <v>2924</v>
      </c>
      <c r="V60" s="259" t="s">
        <v>8100</v>
      </c>
      <c r="W60" s="259" t="s">
        <v>6068</v>
      </c>
      <c r="X60" s="260"/>
      <c r="Y60" s="262"/>
      <c r="Z60" s="260"/>
      <c r="AA60" s="259" t="s">
        <v>6214</v>
      </c>
      <c r="AB60" s="263" t="s">
        <v>2926</v>
      </c>
      <c r="AC60" s="259" t="s">
        <v>2927</v>
      </c>
      <c r="AE60" s="258">
        <v>1.0</v>
      </c>
      <c r="AF60" s="260"/>
    </row>
    <row r="61">
      <c r="A61" s="258">
        <v>60.0</v>
      </c>
      <c r="B61" s="259" t="s">
        <v>143</v>
      </c>
      <c r="C61" s="259" t="s">
        <v>144</v>
      </c>
      <c r="D61" s="259" t="s">
        <v>230</v>
      </c>
      <c r="E61" s="259" t="s">
        <v>231</v>
      </c>
      <c r="F61" s="259" t="s">
        <v>149</v>
      </c>
      <c r="G61" s="259" t="s">
        <v>6323</v>
      </c>
      <c r="H61" s="258">
        <v>2015.0</v>
      </c>
      <c r="I61" s="259" t="s">
        <v>149</v>
      </c>
      <c r="J61" s="259" t="s">
        <v>149</v>
      </c>
      <c r="K61" s="259" t="s">
        <v>6221</v>
      </c>
      <c r="L61" s="259" t="s">
        <v>6324</v>
      </c>
      <c r="M61" s="259" t="s">
        <v>8118</v>
      </c>
      <c r="N61" s="259" t="s">
        <v>204</v>
      </c>
      <c r="O61" s="259" t="s">
        <v>149</v>
      </c>
      <c r="P61" s="259" t="s">
        <v>149</v>
      </c>
      <c r="Q61" s="259" t="s">
        <v>149</v>
      </c>
      <c r="R61" s="259" t="s">
        <v>149</v>
      </c>
      <c r="S61" s="259" t="s">
        <v>149</v>
      </c>
      <c r="T61" s="259" t="s">
        <v>149</v>
      </c>
      <c r="U61" s="259" t="s">
        <v>6325</v>
      </c>
      <c r="V61" s="259" t="s">
        <v>8100</v>
      </c>
      <c r="W61" s="259" t="s">
        <v>6068</v>
      </c>
      <c r="X61" s="260"/>
      <c r="Y61" s="262"/>
      <c r="Z61" s="260"/>
      <c r="AA61" s="259" t="s">
        <v>6214</v>
      </c>
      <c r="AB61" s="263" t="s">
        <v>6326</v>
      </c>
      <c r="AC61" s="259" t="s">
        <v>2935</v>
      </c>
      <c r="AE61" s="258">
        <v>1.0</v>
      </c>
      <c r="AF61" s="260"/>
    </row>
    <row r="62">
      <c r="A62" s="258">
        <v>61.0</v>
      </c>
      <c r="B62" s="259" t="s">
        <v>143</v>
      </c>
      <c r="C62" s="259" t="s">
        <v>144</v>
      </c>
      <c r="D62" s="259" t="s">
        <v>463</v>
      </c>
      <c r="E62" s="259" t="s">
        <v>464</v>
      </c>
      <c r="F62" s="259" t="s">
        <v>384</v>
      </c>
      <c r="G62" s="259" t="s">
        <v>465</v>
      </c>
      <c r="H62" s="258">
        <v>1985.0</v>
      </c>
      <c r="I62" s="258">
        <v>1985.0</v>
      </c>
      <c r="J62" s="258">
        <v>1987.0</v>
      </c>
      <c r="K62" s="259" t="s">
        <v>151</v>
      </c>
      <c r="L62" s="259" t="s">
        <v>6054</v>
      </c>
      <c r="M62" s="259" t="s">
        <v>6054</v>
      </c>
      <c r="N62" s="259" t="s">
        <v>149</v>
      </c>
      <c r="O62" s="259" t="s">
        <v>390</v>
      </c>
      <c r="P62" s="259" t="s">
        <v>160</v>
      </c>
      <c r="Q62" s="259" t="s">
        <v>6035</v>
      </c>
      <c r="R62" s="259" t="s">
        <v>159</v>
      </c>
      <c r="S62" s="259" t="s">
        <v>149</v>
      </c>
      <c r="T62" s="259" t="s">
        <v>149</v>
      </c>
      <c r="U62" s="259" t="s">
        <v>450</v>
      </c>
      <c r="V62" s="259" t="s">
        <v>390</v>
      </c>
      <c r="W62" s="259" t="s">
        <v>6035</v>
      </c>
      <c r="X62" s="259" t="s">
        <v>6055</v>
      </c>
      <c r="Z62" s="259" t="s">
        <v>6056</v>
      </c>
      <c r="AA62" s="259" t="s">
        <v>395</v>
      </c>
      <c r="AB62" s="263" t="s">
        <v>2873</v>
      </c>
      <c r="AC62" s="259" t="s">
        <v>398</v>
      </c>
      <c r="AE62" s="258">
        <v>1.0</v>
      </c>
      <c r="AF62" s="260"/>
    </row>
    <row r="63">
      <c r="A63" s="258">
        <v>62.0</v>
      </c>
      <c r="B63" s="259" t="s">
        <v>143</v>
      </c>
      <c r="C63" s="259" t="s">
        <v>144</v>
      </c>
      <c r="D63" s="259" t="s">
        <v>463</v>
      </c>
      <c r="E63" s="259" t="s">
        <v>464</v>
      </c>
      <c r="F63" s="259" t="s">
        <v>384</v>
      </c>
      <c r="G63" s="259" t="s">
        <v>6336</v>
      </c>
      <c r="H63" s="258">
        <v>1985.0</v>
      </c>
      <c r="I63" s="258">
        <v>1985.0</v>
      </c>
      <c r="J63" s="258">
        <v>1987.0</v>
      </c>
      <c r="K63" s="259" t="s">
        <v>151</v>
      </c>
      <c r="L63" s="259" t="s">
        <v>469</v>
      </c>
      <c r="M63" s="259" t="s">
        <v>469</v>
      </c>
      <c r="N63" s="259" t="s">
        <v>149</v>
      </c>
      <c r="O63" s="259" t="s">
        <v>390</v>
      </c>
      <c r="P63" s="259" t="s">
        <v>160</v>
      </c>
      <c r="Q63" s="259" t="s">
        <v>6035</v>
      </c>
      <c r="R63" s="259" t="s">
        <v>159</v>
      </c>
      <c r="S63" s="259" t="s">
        <v>149</v>
      </c>
      <c r="T63" s="259" t="s">
        <v>149</v>
      </c>
      <c r="U63" s="259" t="s">
        <v>6314</v>
      </c>
      <c r="V63" s="259" t="s">
        <v>390</v>
      </c>
      <c r="W63" s="259" t="s">
        <v>6035</v>
      </c>
      <c r="X63" s="259" t="s">
        <v>6055</v>
      </c>
      <c r="AA63" s="259" t="s">
        <v>395</v>
      </c>
      <c r="AB63" s="263" t="s">
        <v>2873</v>
      </c>
      <c r="AC63" s="259" t="s">
        <v>398</v>
      </c>
      <c r="AE63" s="258">
        <v>1.0</v>
      </c>
      <c r="AF63" s="260"/>
    </row>
    <row r="64">
      <c r="A64" s="258">
        <v>63.0</v>
      </c>
      <c r="B64" s="259" t="s">
        <v>143</v>
      </c>
      <c r="C64" s="259" t="s">
        <v>144</v>
      </c>
      <c r="D64" s="259" t="s">
        <v>3750</v>
      </c>
      <c r="E64" s="259" t="s">
        <v>3751</v>
      </c>
      <c r="F64" s="259" t="s">
        <v>149</v>
      </c>
      <c r="G64" s="260"/>
      <c r="H64" s="258">
        <v>2015.0</v>
      </c>
      <c r="I64" s="259" t="s">
        <v>149</v>
      </c>
      <c r="J64" s="259" t="s">
        <v>149</v>
      </c>
      <c r="K64" s="259" t="s">
        <v>151</v>
      </c>
      <c r="L64" s="259" t="s">
        <v>149</v>
      </c>
      <c r="M64" s="259" t="s">
        <v>149</v>
      </c>
      <c r="N64" s="259" t="s">
        <v>149</v>
      </c>
      <c r="O64" s="259" t="s">
        <v>149</v>
      </c>
      <c r="P64" s="259" t="s">
        <v>149</v>
      </c>
      <c r="Q64" s="259" t="s">
        <v>149</v>
      </c>
      <c r="R64" s="259" t="s">
        <v>149</v>
      </c>
      <c r="S64" s="259" t="s">
        <v>149</v>
      </c>
      <c r="T64" s="259" t="s">
        <v>149</v>
      </c>
      <c r="U64" s="259" t="s">
        <v>149</v>
      </c>
      <c r="V64" s="259" t="s">
        <v>369</v>
      </c>
      <c r="W64" s="259" t="s">
        <v>6035</v>
      </c>
      <c r="X64" s="259" t="s">
        <v>660</v>
      </c>
      <c r="Y64" s="260"/>
      <c r="Z64" s="260"/>
      <c r="AA64" s="259" t="s">
        <v>8092</v>
      </c>
      <c r="AC64" s="260"/>
      <c r="AD64" s="260"/>
      <c r="AE64" s="258">
        <v>1.0</v>
      </c>
      <c r="AF64" s="260"/>
    </row>
    <row r="65">
      <c r="A65" s="258">
        <v>64.0</v>
      </c>
      <c r="B65" s="259" t="s">
        <v>143</v>
      </c>
      <c r="C65" s="259" t="s">
        <v>144</v>
      </c>
      <c r="D65" s="259" t="s">
        <v>693</v>
      </c>
      <c r="E65" s="259" t="s">
        <v>694</v>
      </c>
      <c r="F65" s="259" t="s">
        <v>149</v>
      </c>
      <c r="G65" s="260"/>
      <c r="H65" s="258">
        <v>1978.0</v>
      </c>
      <c r="I65" s="259" t="s">
        <v>149</v>
      </c>
      <c r="J65" s="259" t="s">
        <v>149</v>
      </c>
      <c r="K65" s="259" t="s">
        <v>151</v>
      </c>
      <c r="L65" s="259" t="s">
        <v>149</v>
      </c>
      <c r="M65" s="259" t="s">
        <v>149</v>
      </c>
      <c r="N65" s="259" t="s">
        <v>699</v>
      </c>
      <c r="O65" s="259" t="s">
        <v>2111</v>
      </c>
      <c r="P65" s="259" t="s">
        <v>205</v>
      </c>
      <c r="Q65" s="259" t="s">
        <v>8096</v>
      </c>
      <c r="R65" s="259" t="s">
        <v>159</v>
      </c>
      <c r="S65" s="259" t="s">
        <v>149</v>
      </c>
      <c r="T65" s="259" t="s">
        <v>149</v>
      </c>
      <c r="U65" s="259" t="s">
        <v>2938</v>
      </c>
      <c r="V65" s="259" t="s">
        <v>8100</v>
      </c>
      <c r="W65" s="259" t="s">
        <v>6068</v>
      </c>
      <c r="X65" s="260"/>
      <c r="Y65" s="260"/>
      <c r="Z65" s="260"/>
      <c r="AA65" s="259" t="s">
        <v>395</v>
      </c>
      <c r="AB65" s="263" t="s">
        <v>6349</v>
      </c>
      <c r="AC65" s="259" t="s">
        <v>398</v>
      </c>
      <c r="AE65" s="258">
        <v>1.0</v>
      </c>
      <c r="AF65" s="260"/>
    </row>
    <row r="66">
      <c r="A66" s="258">
        <v>65.0</v>
      </c>
      <c r="B66" s="259" t="s">
        <v>143</v>
      </c>
      <c r="C66" s="259" t="s">
        <v>144</v>
      </c>
      <c r="D66" s="259" t="s">
        <v>693</v>
      </c>
      <c r="E66" s="259" t="s">
        <v>694</v>
      </c>
      <c r="F66" s="259" t="s">
        <v>6368</v>
      </c>
      <c r="H66" s="258">
        <v>1991.0</v>
      </c>
      <c r="I66" s="259" t="s">
        <v>149</v>
      </c>
      <c r="J66" s="259" t="s">
        <v>149</v>
      </c>
      <c r="K66" s="259" t="s">
        <v>151</v>
      </c>
      <c r="L66" s="259" t="s">
        <v>697</v>
      </c>
      <c r="M66" s="259" t="s">
        <v>697</v>
      </c>
      <c r="N66" s="259" t="s">
        <v>699</v>
      </c>
      <c r="O66" s="259" t="s">
        <v>149</v>
      </c>
      <c r="P66" s="259" t="s">
        <v>149</v>
      </c>
      <c r="Q66" s="259" t="s">
        <v>149</v>
      </c>
      <c r="R66" s="259" t="s">
        <v>149</v>
      </c>
      <c r="S66" s="259" t="s">
        <v>149</v>
      </c>
      <c r="T66" s="259" t="s">
        <v>149</v>
      </c>
      <c r="U66" s="259" t="s">
        <v>149</v>
      </c>
      <c r="V66" s="259" t="s">
        <v>149</v>
      </c>
      <c r="W66" s="259" t="s">
        <v>149</v>
      </c>
      <c r="X66" s="260"/>
      <c r="Y66" s="260"/>
      <c r="Z66" s="260"/>
      <c r="AA66" s="259" t="s">
        <v>395</v>
      </c>
      <c r="AB66" s="263" t="s">
        <v>2873</v>
      </c>
      <c r="AE66" s="258">
        <v>0.0</v>
      </c>
      <c r="AF66" s="259" t="s">
        <v>8119</v>
      </c>
    </row>
    <row r="67">
      <c r="A67" s="258">
        <v>66.0</v>
      </c>
      <c r="B67" s="259" t="s">
        <v>143</v>
      </c>
      <c r="C67" s="259" t="s">
        <v>144</v>
      </c>
      <c r="D67" s="259" t="s">
        <v>693</v>
      </c>
      <c r="E67" s="259" t="s">
        <v>694</v>
      </c>
      <c r="F67" s="259" t="s">
        <v>729</v>
      </c>
      <c r="H67" s="258">
        <v>2004.0</v>
      </c>
      <c r="I67" s="258">
        <v>2004.0</v>
      </c>
      <c r="J67" s="258">
        <v>2009.0</v>
      </c>
      <c r="K67" s="259" t="s">
        <v>6062</v>
      </c>
      <c r="L67" s="259" t="s">
        <v>730</v>
      </c>
      <c r="M67" s="259" t="s">
        <v>179</v>
      </c>
      <c r="N67" s="259" t="s">
        <v>149</v>
      </c>
      <c r="O67" s="259" t="s">
        <v>149</v>
      </c>
      <c r="P67" s="259" t="s">
        <v>149</v>
      </c>
      <c r="Q67" s="259" t="s">
        <v>149</v>
      </c>
      <c r="R67" s="259" t="s">
        <v>149</v>
      </c>
      <c r="S67" s="259" t="s">
        <v>149</v>
      </c>
      <c r="T67" s="259" t="s">
        <v>149</v>
      </c>
      <c r="U67" s="259" t="s">
        <v>149</v>
      </c>
      <c r="V67" s="259" t="s">
        <v>149</v>
      </c>
      <c r="W67" s="259" t="s">
        <v>149</v>
      </c>
      <c r="X67" s="260"/>
      <c r="Y67" s="260"/>
      <c r="Z67" s="260"/>
      <c r="AA67" s="259" t="s">
        <v>6257</v>
      </c>
      <c r="AB67" s="263" t="s">
        <v>733</v>
      </c>
      <c r="AC67" s="259" t="s">
        <v>734</v>
      </c>
      <c r="AE67" s="258">
        <v>1.0</v>
      </c>
      <c r="AF67" s="260"/>
    </row>
    <row r="68">
      <c r="A68" s="258">
        <v>67.0</v>
      </c>
      <c r="B68" s="259" t="s">
        <v>143</v>
      </c>
      <c r="C68" s="259" t="s">
        <v>144</v>
      </c>
      <c r="D68" s="259" t="s">
        <v>693</v>
      </c>
      <c r="E68" s="259" t="s">
        <v>694</v>
      </c>
      <c r="F68" s="259" t="s">
        <v>6368</v>
      </c>
      <c r="G68" s="259" t="s">
        <v>6369</v>
      </c>
      <c r="H68" s="258">
        <v>1991.0</v>
      </c>
      <c r="I68" s="259" t="s">
        <v>149</v>
      </c>
      <c r="J68" s="259" t="s">
        <v>149</v>
      </c>
      <c r="K68" s="259" t="s">
        <v>151</v>
      </c>
      <c r="L68" s="259" t="s">
        <v>697</v>
      </c>
      <c r="M68" s="259" t="s">
        <v>697</v>
      </c>
      <c r="N68" s="259" t="s">
        <v>699</v>
      </c>
      <c r="O68" s="259" t="s">
        <v>149</v>
      </c>
      <c r="P68" s="259" t="s">
        <v>149</v>
      </c>
      <c r="Q68" s="259" t="s">
        <v>149</v>
      </c>
      <c r="R68" s="259" t="s">
        <v>149</v>
      </c>
      <c r="S68" s="259" t="s">
        <v>149</v>
      </c>
      <c r="T68" s="259" t="s">
        <v>149</v>
      </c>
      <c r="U68" s="259" t="s">
        <v>6370</v>
      </c>
      <c r="V68" s="259" t="s">
        <v>8100</v>
      </c>
      <c r="W68" s="259" t="s">
        <v>6068</v>
      </c>
      <c r="X68" s="260"/>
      <c r="Y68" s="260"/>
      <c r="Z68" s="260"/>
      <c r="AA68" s="259" t="s">
        <v>395</v>
      </c>
      <c r="AB68" s="259" t="s">
        <v>6371</v>
      </c>
      <c r="AC68" s="259" t="s">
        <v>703</v>
      </c>
      <c r="AE68" s="258">
        <v>1.0</v>
      </c>
      <c r="AF68" s="260"/>
    </row>
    <row r="69">
      <c r="A69" s="258">
        <v>68.0</v>
      </c>
      <c r="B69" s="259" t="s">
        <v>143</v>
      </c>
      <c r="C69" s="259" t="s">
        <v>144</v>
      </c>
      <c r="D69" s="259" t="s">
        <v>693</v>
      </c>
      <c r="E69" s="259" t="s">
        <v>694</v>
      </c>
      <c r="F69" s="259" t="s">
        <v>1377</v>
      </c>
      <c r="G69" s="259" t="s">
        <v>6374</v>
      </c>
      <c r="H69" s="258">
        <v>1994.0</v>
      </c>
      <c r="I69" s="258">
        <v>1994.0</v>
      </c>
      <c r="J69" s="258">
        <v>1995.0</v>
      </c>
      <c r="K69" s="259" t="s">
        <v>6062</v>
      </c>
      <c r="L69" s="259" t="s">
        <v>179</v>
      </c>
      <c r="M69" s="259" t="s">
        <v>179</v>
      </c>
      <c r="N69" s="259" t="s">
        <v>204</v>
      </c>
      <c r="O69" s="259" t="s">
        <v>8120</v>
      </c>
      <c r="P69" s="259" t="s">
        <v>205</v>
      </c>
      <c r="Q69" s="259" t="s">
        <v>8096</v>
      </c>
      <c r="R69" s="259" t="s">
        <v>159</v>
      </c>
      <c r="S69" s="259" t="s">
        <v>149</v>
      </c>
      <c r="T69" s="259" t="s">
        <v>149</v>
      </c>
      <c r="U69" s="259" t="s">
        <v>149</v>
      </c>
      <c r="V69" s="259" t="s">
        <v>8100</v>
      </c>
      <c r="W69" s="259" t="s">
        <v>6068</v>
      </c>
      <c r="X69" s="259" t="s">
        <v>660</v>
      </c>
      <c r="Y69" s="260"/>
      <c r="Z69" s="260"/>
      <c r="AA69" s="259" t="s">
        <v>6214</v>
      </c>
      <c r="AB69" s="259" t="s">
        <v>6341</v>
      </c>
      <c r="AC69" s="259" t="s">
        <v>1068</v>
      </c>
      <c r="AE69" s="258">
        <v>1.0</v>
      </c>
      <c r="AF69" s="260"/>
    </row>
    <row r="70">
      <c r="A70" s="258">
        <v>69.0</v>
      </c>
      <c r="B70" s="259" t="s">
        <v>143</v>
      </c>
      <c r="C70" s="259" t="s">
        <v>144</v>
      </c>
      <c r="D70" s="259" t="s">
        <v>693</v>
      </c>
      <c r="E70" s="259" t="s">
        <v>694</v>
      </c>
      <c r="F70" s="259" t="s">
        <v>149</v>
      </c>
      <c r="G70" s="260"/>
      <c r="H70" s="258">
        <v>1981.0</v>
      </c>
      <c r="I70" s="258">
        <v>1980.0</v>
      </c>
      <c r="J70" s="258">
        <v>1982.0</v>
      </c>
      <c r="K70" s="259" t="s">
        <v>6062</v>
      </c>
      <c r="L70" s="259" t="s">
        <v>179</v>
      </c>
      <c r="M70" s="259" t="s">
        <v>179</v>
      </c>
      <c r="N70" s="259" t="s">
        <v>204</v>
      </c>
      <c r="O70" s="259" t="s">
        <v>149</v>
      </c>
      <c r="P70" s="259" t="s">
        <v>149</v>
      </c>
      <c r="Q70" s="259" t="s">
        <v>149</v>
      </c>
      <c r="R70" s="259" t="s">
        <v>149</v>
      </c>
      <c r="S70" s="259" t="s">
        <v>149</v>
      </c>
      <c r="T70" s="259" t="s">
        <v>149</v>
      </c>
      <c r="U70" s="259" t="s">
        <v>149</v>
      </c>
      <c r="V70" s="259" t="s">
        <v>8100</v>
      </c>
      <c r="W70" s="259" t="s">
        <v>6068</v>
      </c>
      <c r="X70" s="260"/>
      <c r="Y70" s="260"/>
      <c r="Z70" s="260"/>
      <c r="AA70" s="259" t="s">
        <v>6214</v>
      </c>
      <c r="AB70" s="259" t="s">
        <v>6377</v>
      </c>
      <c r="AC70" s="259" t="s">
        <v>1068</v>
      </c>
      <c r="AE70" s="258">
        <v>1.0</v>
      </c>
      <c r="AF70" s="260"/>
    </row>
    <row r="71">
      <c r="A71" s="258">
        <v>70.0</v>
      </c>
      <c r="B71" s="259" t="s">
        <v>143</v>
      </c>
      <c r="C71" s="259" t="s">
        <v>144</v>
      </c>
      <c r="D71" s="259" t="s">
        <v>693</v>
      </c>
      <c r="E71" s="259" t="s">
        <v>694</v>
      </c>
      <c r="F71" s="259" t="s">
        <v>149</v>
      </c>
      <c r="G71" s="259" t="s">
        <v>6381</v>
      </c>
      <c r="H71" s="258">
        <v>1983.0</v>
      </c>
      <c r="I71" s="259" t="s">
        <v>149</v>
      </c>
      <c r="J71" s="259" t="s">
        <v>149</v>
      </c>
      <c r="K71" s="259" t="s">
        <v>6062</v>
      </c>
      <c r="L71" s="259" t="s">
        <v>179</v>
      </c>
      <c r="M71" s="259" t="s">
        <v>179</v>
      </c>
      <c r="N71" s="259" t="s">
        <v>204</v>
      </c>
      <c r="O71" s="259" t="s">
        <v>149</v>
      </c>
      <c r="P71" s="259" t="s">
        <v>149</v>
      </c>
      <c r="Q71" s="259" t="s">
        <v>149</v>
      </c>
      <c r="R71" s="259" t="s">
        <v>149</v>
      </c>
      <c r="S71" s="259" t="s">
        <v>149</v>
      </c>
      <c r="T71" s="259" t="s">
        <v>149</v>
      </c>
      <c r="U71" s="259" t="s">
        <v>149</v>
      </c>
      <c r="V71" s="259" t="s">
        <v>8100</v>
      </c>
      <c r="W71" s="259" t="s">
        <v>6068</v>
      </c>
      <c r="X71" s="260"/>
      <c r="Y71" s="260"/>
      <c r="Z71" s="260"/>
      <c r="AA71" s="259" t="s">
        <v>6214</v>
      </c>
      <c r="AB71" s="259" t="s">
        <v>6382</v>
      </c>
      <c r="AC71" s="259" t="s">
        <v>1068</v>
      </c>
      <c r="AE71" s="258">
        <v>1.0</v>
      </c>
      <c r="AF71" s="260"/>
    </row>
    <row r="72">
      <c r="A72" s="258">
        <v>71.0</v>
      </c>
      <c r="B72" s="259" t="s">
        <v>143</v>
      </c>
      <c r="C72" s="259" t="s">
        <v>144</v>
      </c>
      <c r="D72" s="259" t="s">
        <v>693</v>
      </c>
      <c r="E72" s="259" t="s">
        <v>694</v>
      </c>
      <c r="F72" s="259" t="s">
        <v>149</v>
      </c>
      <c r="G72" s="259" t="s">
        <v>8121</v>
      </c>
      <c r="H72" s="259" t="s">
        <v>149</v>
      </c>
      <c r="I72" s="259" t="s">
        <v>149</v>
      </c>
      <c r="J72" s="259" t="s">
        <v>149</v>
      </c>
      <c r="K72" s="259" t="s">
        <v>6062</v>
      </c>
      <c r="L72" s="259" t="s">
        <v>6389</v>
      </c>
      <c r="M72" s="259" t="s">
        <v>179</v>
      </c>
      <c r="N72" s="259" t="s">
        <v>204</v>
      </c>
      <c r="O72" s="259" t="s">
        <v>149</v>
      </c>
      <c r="P72" s="259" t="s">
        <v>149</v>
      </c>
      <c r="Q72" s="259" t="s">
        <v>149</v>
      </c>
      <c r="R72" s="259" t="s">
        <v>149</v>
      </c>
      <c r="S72" s="259" t="s">
        <v>149</v>
      </c>
      <c r="T72" s="259" t="s">
        <v>149</v>
      </c>
      <c r="U72" s="259" t="s">
        <v>149</v>
      </c>
      <c r="V72" s="259" t="s">
        <v>8100</v>
      </c>
      <c r="W72" s="259" t="s">
        <v>6068</v>
      </c>
      <c r="X72" s="260"/>
      <c r="Y72" s="260"/>
      <c r="Z72" s="260"/>
      <c r="AA72" s="259" t="s">
        <v>6214</v>
      </c>
      <c r="AB72" s="259" t="s">
        <v>6359</v>
      </c>
      <c r="AC72" s="259" t="s">
        <v>1068</v>
      </c>
      <c r="AE72" s="258">
        <v>1.0</v>
      </c>
      <c r="AF72" s="260"/>
    </row>
    <row r="73">
      <c r="A73" s="258">
        <v>72.0</v>
      </c>
      <c r="B73" s="259" t="s">
        <v>143</v>
      </c>
      <c r="C73" s="259" t="s">
        <v>144</v>
      </c>
      <c r="D73" s="259" t="s">
        <v>693</v>
      </c>
      <c r="E73" s="259" t="s">
        <v>694</v>
      </c>
      <c r="F73" s="259" t="s">
        <v>149</v>
      </c>
      <c r="G73" s="259" t="s">
        <v>8122</v>
      </c>
      <c r="H73" s="259" t="s">
        <v>149</v>
      </c>
      <c r="I73" s="259" t="s">
        <v>149</v>
      </c>
      <c r="J73" s="259" t="s">
        <v>149</v>
      </c>
      <c r="K73" s="259" t="s">
        <v>6062</v>
      </c>
      <c r="L73" s="259" t="s">
        <v>179</v>
      </c>
      <c r="M73" s="259" t="s">
        <v>179</v>
      </c>
      <c r="N73" s="259" t="s">
        <v>204</v>
      </c>
      <c r="O73" s="259" t="s">
        <v>149</v>
      </c>
      <c r="P73" s="259" t="s">
        <v>149</v>
      </c>
      <c r="Q73" s="259" t="s">
        <v>149</v>
      </c>
      <c r="R73" s="259" t="s">
        <v>149</v>
      </c>
      <c r="S73" s="259" t="s">
        <v>149</v>
      </c>
      <c r="T73" s="259" t="s">
        <v>149</v>
      </c>
      <c r="U73" s="259" t="s">
        <v>149</v>
      </c>
      <c r="V73" s="259" t="s">
        <v>8100</v>
      </c>
      <c r="W73" s="259" t="s">
        <v>6068</v>
      </c>
      <c r="X73" s="260"/>
      <c r="Y73" s="260"/>
      <c r="Z73" s="260"/>
      <c r="AA73" s="259" t="s">
        <v>6214</v>
      </c>
      <c r="AB73" s="259" t="s">
        <v>6366</v>
      </c>
      <c r="AC73" s="259" t="s">
        <v>1068</v>
      </c>
      <c r="AE73" s="258">
        <v>1.0</v>
      </c>
      <c r="AF73" s="260"/>
    </row>
    <row r="74">
      <c r="A74" s="258">
        <v>73.0</v>
      </c>
      <c r="B74" s="259" t="s">
        <v>143</v>
      </c>
      <c r="C74" s="259" t="s">
        <v>144</v>
      </c>
      <c r="D74" s="259" t="s">
        <v>693</v>
      </c>
      <c r="E74" s="259" t="s">
        <v>694</v>
      </c>
      <c r="F74" s="259" t="s">
        <v>8108</v>
      </c>
      <c r="H74" s="258">
        <v>2014.0</v>
      </c>
      <c r="I74" s="258">
        <v>2014.0</v>
      </c>
      <c r="J74" s="258">
        <v>2017.0</v>
      </c>
      <c r="K74" s="259" t="s">
        <v>6221</v>
      </c>
      <c r="L74" s="259" t="s">
        <v>149</v>
      </c>
      <c r="M74" s="259" t="s">
        <v>149</v>
      </c>
      <c r="N74" s="259" t="s">
        <v>1848</v>
      </c>
      <c r="O74" s="264" t="s">
        <v>321</v>
      </c>
      <c r="P74" s="259" t="s">
        <v>160</v>
      </c>
      <c r="Q74" s="259" t="s">
        <v>6035</v>
      </c>
      <c r="R74" s="259" t="s">
        <v>159</v>
      </c>
      <c r="S74" s="265" t="s">
        <v>8106</v>
      </c>
      <c r="T74" s="259" t="s">
        <v>149</v>
      </c>
      <c r="U74" s="259" t="s">
        <v>149</v>
      </c>
      <c r="V74" s="259" t="s">
        <v>8100</v>
      </c>
      <c r="W74" s="259" t="s">
        <v>6068</v>
      </c>
      <c r="X74" s="259" t="s">
        <v>1854</v>
      </c>
      <c r="Y74" s="259" t="s">
        <v>885</v>
      </c>
      <c r="AA74" s="259" t="s">
        <v>6257</v>
      </c>
      <c r="AC74" s="259" t="s">
        <v>943</v>
      </c>
      <c r="AE74" s="258">
        <v>1.0</v>
      </c>
      <c r="AF74" s="260"/>
    </row>
    <row r="75">
      <c r="A75" s="258">
        <v>74.0</v>
      </c>
      <c r="B75" s="259" t="s">
        <v>143</v>
      </c>
      <c r="C75" s="259" t="s">
        <v>144</v>
      </c>
      <c r="D75" s="259" t="s">
        <v>693</v>
      </c>
      <c r="E75" s="259" t="s">
        <v>694</v>
      </c>
      <c r="F75" s="259" t="s">
        <v>1828</v>
      </c>
      <c r="G75" s="259" t="s">
        <v>6256</v>
      </c>
      <c r="H75" s="258">
        <v>2014.0</v>
      </c>
      <c r="I75" s="258">
        <v>2014.0</v>
      </c>
      <c r="J75" s="258">
        <v>2017.0</v>
      </c>
      <c r="K75" s="259" t="s">
        <v>6221</v>
      </c>
      <c r="L75" s="259" t="s">
        <v>149</v>
      </c>
      <c r="M75" s="259" t="s">
        <v>149</v>
      </c>
      <c r="N75" s="259" t="s">
        <v>1831</v>
      </c>
      <c r="O75" s="264" t="s">
        <v>321</v>
      </c>
      <c r="P75" s="259" t="s">
        <v>160</v>
      </c>
      <c r="Q75" s="259" t="s">
        <v>6035</v>
      </c>
      <c r="R75" s="259" t="s">
        <v>159</v>
      </c>
      <c r="S75" s="265" t="s">
        <v>8106</v>
      </c>
      <c r="T75" s="259" t="s">
        <v>149</v>
      </c>
      <c r="U75" s="259" t="s">
        <v>149</v>
      </c>
      <c r="V75" s="259" t="s">
        <v>8100</v>
      </c>
      <c r="W75" s="259" t="s">
        <v>6068</v>
      </c>
      <c r="X75" s="259" t="s">
        <v>8107</v>
      </c>
      <c r="AA75" s="259" t="s">
        <v>6257</v>
      </c>
      <c r="AC75" s="259" t="s">
        <v>943</v>
      </c>
      <c r="AE75" s="258">
        <v>1.0</v>
      </c>
      <c r="AF75" s="260"/>
    </row>
    <row r="76">
      <c r="A76" s="258">
        <v>75.0</v>
      </c>
      <c r="B76" s="259" t="s">
        <v>143</v>
      </c>
      <c r="C76" s="259" t="s">
        <v>144</v>
      </c>
      <c r="D76" s="259" t="s">
        <v>693</v>
      </c>
      <c r="E76" s="259" t="s">
        <v>694</v>
      </c>
      <c r="F76" s="259" t="s">
        <v>149</v>
      </c>
      <c r="G76" s="259" t="s">
        <v>8123</v>
      </c>
      <c r="H76" s="259" t="s">
        <v>149</v>
      </c>
      <c r="I76" s="259" t="s">
        <v>149</v>
      </c>
      <c r="J76" s="259" t="s">
        <v>149</v>
      </c>
      <c r="K76" s="259" t="s">
        <v>6062</v>
      </c>
      <c r="L76" s="259" t="s">
        <v>6288</v>
      </c>
      <c r="M76" s="259" t="s">
        <v>179</v>
      </c>
      <c r="N76" s="259" t="s">
        <v>2965</v>
      </c>
      <c r="O76" s="264" t="s">
        <v>149</v>
      </c>
      <c r="P76" s="259" t="s">
        <v>149</v>
      </c>
      <c r="Q76" s="259" t="s">
        <v>149</v>
      </c>
      <c r="R76" s="259" t="s">
        <v>149</v>
      </c>
      <c r="S76" s="259" t="s">
        <v>149</v>
      </c>
      <c r="T76" s="259" t="s">
        <v>149</v>
      </c>
      <c r="U76" s="259" t="s">
        <v>149</v>
      </c>
      <c r="V76" s="259" t="s">
        <v>8100</v>
      </c>
      <c r="W76" s="259" t="s">
        <v>6068</v>
      </c>
      <c r="X76" s="260"/>
      <c r="Y76" s="260"/>
      <c r="Z76" s="260"/>
      <c r="AA76" s="259" t="s">
        <v>6214</v>
      </c>
      <c r="AB76" s="263" t="s">
        <v>2969</v>
      </c>
      <c r="AC76" s="259" t="s">
        <v>2970</v>
      </c>
      <c r="AE76" s="258">
        <v>1.0</v>
      </c>
      <c r="AF76" s="260"/>
    </row>
    <row r="77">
      <c r="A77" s="258">
        <v>76.0</v>
      </c>
      <c r="B77" s="259" t="s">
        <v>143</v>
      </c>
      <c r="C77" s="259" t="s">
        <v>144</v>
      </c>
      <c r="D77" s="259" t="s">
        <v>693</v>
      </c>
      <c r="E77" s="259" t="s">
        <v>694</v>
      </c>
      <c r="F77" s="259" t="s">
        <v>149</v>
      </c>
      <c r="G77" s="259" t="s">
        <v>8124</v>
      </c>
      <c r="H77" s="259" t="s">
        <v>149</v>
      </c>
      <c r="I77" s="259" t="s">
        <v>149</v>
      </c>
      <c r="J77" s="259" t="s">
        <v>149</v>
      </c>
      <c r="K77" s="259" t="s">
        <v>6221</v>
      </c>
      <c r="L77" s="259" t="s">
        <v>149</v>
      </c>
      <c r="M77" s="259" t="s">
        <v>149</v>
      </c>
      <c r="N77" s="259" t="s">
        <v>2973</v>
      </c>
      <c r="O77" s="264" t="s">
        <v>8125</v>
      </c>
      <c r="P77" s="259" t="s">
        <v>160</v>
      </c>
      <c r="Q77" s="259" t="s">
        <v>6035</v>
      </c>
      <c r="R77" s="259" t="s">
        <v>204</v>
      </c>
      <c r="S77" s="259" t="s">
        <v>149</v>
      </c>
      <c r="T77" s="259" t="s">
        <v>149</v>
      </c>
      <c r="U77" s="259" t="s">
        <v>149</v>
      </c>
      <c r="V77" s="259" t="s">
        <v>8100</v>
      </c>
      <c r="W77" s="259" t="s">
        <v>6068</v>
      </c>
      <c r="X77" s="260"/>
      <c r="Y77" s="260"/>
      <c r="Z77" s="260"/>
      <c r="AA77" s="259" t="s">
        <v>6214</v>
      </c>
      <c r="AB77" s="263" t="s">
        <v>2976</v>
      </c>
      <c r="AC77" s="259" t="s">
        <v>8126</v>
      </c>
      <c r="AE77" s="258">
        <v>1.0</v>
      </c>
      <c r="AF77" s="260"/>
    </row>
    <row r="78">
      <c r="A78" s="258">
        <v>77.0</v>
      </c>
      <c r="B78" s="259" t="s">
        <v>143</v>
      </c>
      <c r="C78" s="259" t="s">
        <v>144</v>
      </c>
      <c r="D78" s="259" t="s">
        <v>693</v>
      </c>
      <c r="E78" s="259" t="s">
        <v>694</v>
      </c>
      <c r="F78" s="259" t="s">
        <v>149</v>
      </c>
      <c r="G78" s="259" t="s">
        <v>8127</v>
      </c>
      <c r="H78" s="259" t="s">
        <v>149</v>
      </c>
      <c r="I78" s="259" t="s">
        <v>149</v>
      </c>
      <c r="J78" s="259" t="s">
        <v>149</v>
      </c>
      <c r="K78" s="259" t="s">
        <v>6062</v>
      </c>
      <c r="L78" s="259" t="s">
        <v>6288</v>
      </c>
      <c r="M78" s="259" t="s">
        <v>179</v>
      </c>
      <c r="N78" s="259" t="s">
        <v>8128</v>
      </c>
      <c r="O78" s="264" t="s">
        <v>8129</v>
      </c>
      <c r="P78" s="259" t="s">
        <v>149</v>
      </c>
      <c r="Q78" s="259" t="s">
        <v>149</v>
      </c>
      <c r="R78" s="259" t="s">
        <v>149</v>
      </c>
      <c r="S78" s="259" t="s">
        <v>149</v>
      </c>
      <c r="T78" s="259" t="s">
        <v>149</v>
      </c>
      <c r="U78" s="259" t="s">
        <v>149</v>
      </c>
      <c r="V78" s="259" t="s">
        <v>8100</v>
      </c>
      <c r="W78" s="259" t="s">
        <v>6068</v>
      </c>
      <c r="X78" s="260"/>
      <c r="Y78" s="260"/>
      <c r="Z78" s="260"/>
      <c r="AA78" s="259" t="s">
        <v>6214</v>
      </c>
      <c r="AB78" s="263" t="s">
        <v>2985</v>
      </c>
      <c r="AC78" s="259" t="s">
        <v>2986</v>
      </c>
      <c r="AE78" s="258">
        <v>1.0</v>
      </c>
      <c r="AF78" s="260"/>
    </row>
    <row r="79">
      <c r="A79" s="258">
        <v>78.0</v>
      </c>
      <c r="B79" s="259" t="s">
        <v>143</v>
      </c>
      <c r="C79" s="259" t="s">
        <v>144</v>
      </c>
      <c r="D79" s="259" t="s">
        <v>693</v>
      </c>
      <c r="E79" s="259" t="s">
        <v>694</v>
      </c>
      <c r="F79" s="259" t="s">
        <v>6433</v>
      </c>
      <c r="G79" s="259" t="s">
        <v>8130</v>
      </c>
      <c r="H79" s="258">
        <v>2005.0</v>
      </c>
      <c r="I79" s="258">
        <v>2005.0</v>
      </c>
      <c r="J79" s="258">
        <v>2007.0</v>
      </c>
      <c r="K79" s="259" t="s">
        <v>6062</v>
      </c>
      <c r="L79" s="259" t="s">
        <v>1029</v>
      </c>
      <c r="M79" s="259" t="s">
        <v>179</v>
      </c>
      <c r="N79" s="259" t="s">
        <v>1019</v>
      </c>
      <c r="O79" s="264" t="s">
        <v>8129</v>
      </c>
      <c r="P79" s="259" t="s">
        <v>205</v>
      </c>
      <c r="Q79" s="259" t="s">
        <v>8096</v>
      </c>
      <c r="R79" s="259" t="s">
        <v>204</v>
      </c>
      <c r="S79" s="259" t="s">
        <v>149</v>
      </c>
      <c r="T79" s="259" t="s">
        <v>149</v>
      </c>
      <c r="U79" s="259" t="s">
        <v>6435</v>
      </c>
      <c r="V79" s="259" t="s">
        <v>8131</v>
      </c>
      <c r="W79" s="259" t="s">
        <v>6068</v>
      </c>
      <c r="X79" s="260"/>
      <c r="Y79" s="262"/>
      <c r="Z79" s="260"/>
      <c r="AA79" s="259" t="s">
        <v>6214</v>
      </c>
      <c r="AB79" s="263" t="s">
        <v>1024</v>
      </c>
      <c r="AC79" s="259" t="s">
        <v>1025</v>
      </c>
      <c r="AD79" s="259" t="s">
        <v>1026</v>
      </c>
      <c r="AE79" s="258">
        <v>1.0</v>
      </c>
      <c r="AF79" s="260"/>
    </row>
    <row r="80">
      <c r="A80" s="258">
        <v>79.0</v>
      </c>
      <c r="B80" s="259" t="s">
        <v>143</v>
      </c>
      <c r="C80" s="259" t="s">
        <v>144</v>
      </c>
      <c r="D80" s="259" t="s">
        <v>693</v>
      </c>
      <c r="E80" s="259" t="s">
        <v>694</v>
      </c>
      <c r="F80" s="259" t="s">
        <v>6433</v>
      </c>
      <c r="G80" s="259" t="s">
        <v>6441</v>
      </c>
      <c r="H80" s="258">
        <v>2005.0</v>
      </c>
      <c r="I80" s="259" t="s">
        <v>149</v>
      </c>
      <c r="J80" s="259" t="s">
        <v>149</v>
      </c>
      <c r="K80" s="259" t="s">
        <v>6062</v>
      </c>
      <c r="L80" s="259" t="s">
        <v>1029</v>
      </c>
      <c r="M80" s="259" t="s">
        <v>179</v>
      </c>
      <c r="N80" s="259" t="s">
        <v>1030</v>
      </c>
      <c r="O80" s="264" t="s">
        <v>8129</v>
      </c>
      <c r="P80" s="259" t="s">
        <v>149</v>
      </c>
      <c r="Q80" s="259" t="s">
        <v>149</v>
      </c>
      <c r="R80" s="259" t="s">
        <v>149</v>
      </c>
      <c r="S80" s="259" t="s">
        <v>149</v>
      </c>
      <c r="T80" s="259" t="s">
        <v>149</v>
      </c>
      <c r="U80" s="259" t="s">
        <v>1031</v>
      </c>
      <c r="V80" s="259" t="s">
        <v>8131</v>
      </c>
      <c r="W80" s="259" t="s">
        <v>6068</v>
      </c>
      <c r="X80" s="260"/>
      <c r="Y80" s="262"/>
      <c r="Z80" s="260"/>
      <c r="AA80" s="259" t="s">
        <v>6214</v>
      </c>
      <c r="AB80" s="263" t="s">
        <v>1034</v>
      </c>
      <c r="AC80" s="259" t="s">
        <v>1025</v>
      </c>
      <c r="AD80" s="259" t="s">
        <v>1026</v>
      </c>
      <c r="AE80" s="258">
        <v>1.0</v>
      </c>
      <c r="AF80" s="260"/>
    </row>
    <row r="81">
      <c r="A81" s="258">
        <v>80.0</v>
      </c>
      <c r="B81" s="259" t="s">
        <v>143</v>
      </c>
      <c r="C81" s="259" t="s">
        <v>144</v>
      </c>
      <c r="D81" s="259" t="s">
        <v>693</v>
      </c>
      <c r="E81" s="259" t="s">
        <v>694</v>
      </c>
      <c r="F81" s="259" t="s">
        <v>6433</v>
      </c>
      <c r="G81" s="259" t="s">
        <v>6408</v>
      </c>
      <c r="H81" s="258">
        <v>2007.0</v>
      </c>
      <c r="I81" s="259" t="s">
        <v>149</v>
      </c>
      <c r="J81" s="258">
        <v>2007.0</v>
      </c>
      <c r="K81" s="259" t="s">
        <v>6221</v>
      </c>
      <c r="L81" s="259" t="s">
        <v>149</v>
      </c>
      <c r="M81" s="259" t="s">
        <v>149</v>
      </c>
      <c r="N81" s="259" t="s">
        <v>1056</v>
      </c>
      <c r="O81" s="264" t="s">
        <v>8129</v>
      </c>
      <c r="P81" s="259" t="s">
        <v>205</v>
      </c>
      <c r="Q81" s="259" t="s">
        <v>8096</v>
      </c>
      <c r="R81" s="259" t="s">
        <v>204</v>
      </c>
      <c r="S81" s="259" t="s">
        <v>149</v>
      </c>
      <c r="T81" s="259" t="s">
        <v>149</v>
      </c>
      <c r="U81" s="259" t="s">
        <v>149</v>
      </c>
      <c r="V81" s="259" t="s">
        <v>8100</v>
      </c>
      <c r="W81" s="259" t="s">
        <v>6068</v>
      </c>
      <c r="X81" s="260"/>
      <c r="Y81" s="262"/>
      <c r="Z81" s="260"/>
      <c r="AA81" s="259" t="s">
        <v>6214</v>
      </c>
      <c r="AB81" s="263" t="s">
        <v>1060</v>
      </c>
      <c r="AC81" s="259" t="s">
        <v>1061</v>
      </c>
      <c r="AE81" s="258">
        <v>1.0</v>
      </c>
      <c r="AF81" s="260"/>
    </row>
    <row r="82">
      <c r="A82" s="258">
        <v>81.0</v>
      </c>
      <c r="B82" s="259" t="s">
        <v>143</v>
      </c>
      <c r="C82" s="259" t="s">
        <v>144</v>
      </c>
      <c r="D82" s="259" t="s">
        <v>693</v>
      </c>
      <c r="E82" s="259" t="s">
        <v>694</v>
      </c>
      <c r="F82" s="259" t="s">
        <v>6433</v>
      </c>
      <c r="G82" s="259" t="s">
        <v>6451</v>
      </c>
      <c r="H82" s="259" t="s">
        <v>149</v>
      </c>
      <c r="I82" s="259" t="s">
        <v>149</v>
      </c>
      <c r="J82" s="259" t="s">
        <v>149</v>
      </c>
      <c r="K82" s="259" t="s">
        <v>6062</v>
      </c>
      <c r="L82" s="259" t="s">
        <v>149</v>
      </c>
      <c r="M82" s="259" t="s">
        <v>149</v>
      </c>
      <c r="N82" s="259" t="s">
        <v>6452</v>
      </c>
      <c r="O82" s="264" t="s">
        <v>8129</v>
      </c>
      <c r="P82" s="259" t="s">
        <v>205</v>
      </c>
      <c r="Q82" s="259" t="s">
        <v>8096</v>
      </c>
      <c r="R82" s="259" t="s">
        <v>204</v>
      </c>
      <c r="S82" s="259" t="s">
        <v>149</v>
      </c>
      <c r="T82" s="259" t="s">
        <v>149</v>
      </c>
      <c r="U82" s="259" t="s">
        <v>149</v>
      </c>
      <c r="V82" s="259" t="s">
        <v>8131</v>
      </c>
      <c r="W82" s="259" t="s">
        <v>6068</v>
      </c>
      <c r="X82" s="260"/>
      <c r="Y82" s="262"/>
      <c r="Z82" s="260"/>
      <c r="AA82" s="259" t="s">
        <v>6214</v>
      </c>
      <c r="AB82" s="263" t="s">
        <v>1042</v>
      </c>
      <c r="AC82" s="259" t="s">
        <v>1043</v>
      </c>
      <c r="AD82" s="259" t="s">
        <v>1044</v>
      </c>
      <c r="AE82" s="258">
        <v>1.0</v>
      </c>
      <c r="AF82" s="260"/>
    </row>
    <row r="83">
      <c r="A83" s="258">
        <v>82.0</v>
      </c>
      <c r="B83" s="259" t="s">
        <v>143</v>
      </c>
      <c r="C83" s="259" t="s">
        <v>144</v>
      </c>
      <c r="D83" s="259" t="s">
        <v>693</v>
      </c>
      <c r="E83" s="259" t="s">
        <v>694</v>
      </c>
      <c r="F83" s="259" t="s">
        <v>6397</v>
      </c>
      <c r="G83" s="259" t="s">
        <v>8132</v>
      </c>
      <c r="H83" s="259" t="s">
        <v>149</v>
      </c>
      <c r="I83" s="259" t="s">
        <v>149</v>
      </c>
      <c r="J83" s="259" t="s">
        <v>149</v>
      </c>
      <c r="K83" s="259" t="s">
        <v>6062</v>
      </c>
      <c r="L83" s="259" t="s">
        <v>6288</v>
      </c>
      <c r="M83" s="259" t="s">
        <v>179</v>
      </c>
      <c r="N83" s="259" t="s">
        <v>6458</v>
      </c>
      <c r="O83" s="264" t="s">
        <v>1020</v>
      </c>
      <c r="P83" s="259" t="s">
        <v>205</v>
      </c>
      <c r="Q83" s="259" t="s">
        <v>8096</v>
      </c>
      <c r="R83" s="259" t="s">
        <v>204</v>
      </c>
      <c r="S83" s="259" t="s">
        <v>149</v>
      </c>
      <c r="T83" s="259" t="s">
        <v>149</v>
      </c>
      <c r="U83" s="259" t="s">
        <v>149</v>
      </c>
      <c r="V83" s="259" t="s">
        <v>8100</v>
      </c>
      <c r="W83" s="259" t="s">
        <v>6068</v>
      </c>
      <c r="X83" s="260"/>
      <c r="Y83" s="262"/>
      <c r="Z83" s="260"/>
      <c r="AA83" s="259" t="s">
        <v>6214</v>
      </c>
      <c r="AB83" s="263" t="s">
        <v>1067</v>
      </c>
      <c r="AC83" s="259" t="s">
        <v>1068</v>
      </c>
      <c r="AE83" s="258">
        <v>1.0</v>
      </c>
      <c r="AF83" s="260"/>
    </row>
    <row r="84">
      <c r="A84" s="258">
        <v>83.0</v>
      </c>
      <c r="B84" s="259" t="s">
        <v>143</v>
      </c>
      <c r="C84" s="259" t="s">
        <v>144</v>
      </c>
      <c r="D84" s="259" t="s">
        <v>693</v>
      </c>
      <c r="E84" s="259" t="s">
        <v>694</v>
      </c>
      <c r="F84" s="259" t="s">
        <v>1022</v>
      </c>
      <c r="G84" s="259" t="s">
        <v>8133</v>
      </c>
      <c r="H84" s="259" t="s">
        <v>149</v>
      </c>
      <c r="I84" s="259" t="s">
        <v>149</v>
      </c>
      <c r="J84" s="259" t="s">
        <v>149</v>
      </c>
      <c r="K84" s="259" t="s">
        <v>6062</v>
      </c>
      <c r="L84" s="259" t="s">
        <v>6288</v>
      </c>
      <c r="M84" s="259" t="s">
        <v>179</v>
      </c>
      <c r="N84" s="259" t="s">
        <v>6463</v>
      </c>
      <c r="O84" s="264" t="s">
        <v>6464</v>
      </c>
      <c r="P84" s="259" t="s">
        <v>205</v>
      </c>
      <c r="Q84" s="259" t="s">
        <v>8096</v>
      </c>
      <c r="R84" s="259" t="s">
        <v>204</v>
      </c>
      <c r="S84" s="259" t="s">
        <v>149</v>
      </c>
      <c r="T84" s="259" t="s">
        <v>149</v>
      </c>
      <c r="U84" s="259" t="s">
        <v>149</v>
      </c>
      <c r="V84" s="259" t="s">
        <v>8100</v>
      </c>
      <c r="W84" s="259" t="s">
        <v>6068</v>
      </c>
      <c r="X84" s="260"/>
      <c r="Y84" s="262"/>
      <c r="Z84" s="260"/>
      <c r="AA84" s="259" t="s">
        <v>6214</v>
      </c>
      <c r="AB84" s="263" t="s">
        <v>1169</v>
      </c>
      <c r="AC84" s="259" t="s">
        <v>1077</v>
      </c>
      <c r="AD84" s="259" t="s">
        <v>1170</v>
      </c>
      <c r="AE84" s="258">
        <v>1.0</v>
      </c>
      <c r="AF84" s="260"/>
    </row>
    <row r="85">
      <c r="A85" s="258">
        <v>84.0</v>
      </c>
      <c r="B85" s="259" t="s">
        <v>143</v>
      </c>
      <c r="C85" s="259" t="s">
        <v>144</v>
      </c>
      <c r="D85" s="259" t="s">
        <v>693</v>
      </c>
      <c r="E85" s="259" t="s">
        <v>694</v>
      </c>
      <c r="F85" s="259" t="s">
        <v>149</v>
      </c>
      <c r="G85" s="259" t="s">
        <v>6467</v>
      </c>
      <c r="H85" s="258">
        <v>2010.0</v>
      </c>
      <c r="I85" s="259" t="s">
        <v>149</v>
      </c>
      <c r="J85" s="259" t="s">
        <v>149</v>
      </c>
      <c r="K85" s="259" t="s">
        <v>6221</v>
      </c>
      <c r="L85" s="259" t="s">
        <v>149</v>
      </c>
      <c r="M85" s="259" t="s">
        <v>149</v>
      </c>
      <c r="N85" s="259" t="s">
        <v>2992</v>
      </c>
      <c r="O85" s="264" t="s">
        <v>321</v>
      </c>
      <c r="P85" s="259" t="s">
        <v>160</v>
      </c>
      <c r="Q85" s="259" t="s">
        <v>6035</v>
      </c>
      <c r="R85" s="259" t="s">
        <v>204</v>
      </c>
      <c r="S85" s="259" t="s">
        <v>149</v>
      </c>
      <c r="T85" s="259" t="s">
        <v>149</v>
      </c>
      <c r="U85" s="259" t="s">
        <v>149</v>
      </c>
      <c r="V85" s="259" t="s">
        <v>8100</v>
      </c>
      <c r="W85" s="259" t="s">
        <v>6068</v>
      </c>
      <c r="X85" s="260"/>
      <c r="Y85" s="262"/>
      <c r="Z85" s="260"/>
      <c r="AA85" s="259" t="s">
        <v>6214</v>
      </c>
      <c r="AB85" s="263" t="s">
        <v>2994</v>
      </c>
      <c r="AC85" s="259" t="s">
        <v>1061</v>
      </c>
      <c r="AE85" s="258">
        <v>1.0</v>
      </c>
      <c r="AF85" s="260"/>
    </row>
    <row r="86">
      <c r="A86" s="258">
        <v>85.0</v>
      </c>
      <c r="B86" s="259" t="s">
        <v>143</v>
      </c>
      <c r="C86" s="259" t="s">
        <v>144</v>
      </c>
      <c r="D86" s="259" t="s">
        <v>693</v>
      </c>
      <c r="E86" s="259" t="s">
        <v>694</v>
      </c>
      <c r="F86" s="259" t="s">
        <v>149</v>
      </c>
      <c r="G86" s="259" t="s">
        <v>6471</v>
      </c>
      <c r="H86" s="258">
        <v>2010.0</v>
      </c>
      <c r="I86" s="258">
        <v>2010.0</v>
      </c>
      <c r="J86" s="258">
        <v>2012.0</v>
      </c>
      <c r="K86" s="259" t="s">
        <v>6062</v>
      </c>
      <c r="L86" s="259" t="s">
        <v>6288</v>
      </c>
      <c r="M86" s="259" t="s">
        <v>179</v>
      </c>
      <c r="N86" s="259" t="s">
        <v>6472</v>
      </c>
      <c r="O86" s="264" t="s">
        <v>321</v>
      </c>
      <c r="P86" s="259" t="s">
        <v>160</v>
      </c>
      <c r="Q86" s="259" t="s">
        <v>6035</v>
      </c>
      <c r="R86" s="259" t="s">
        <v>204</v>
      </c>
      <c r="S86" s="259" t="s">
        <v>149</v>
      </c>
      <c r="T86" s="259" t="s">
        <v>149</v>
      </c>
      <c r="U86" s="259" t="s">
        <v>2998</v>
      </c>
      <c r="V86" s="259" t="s">
        <v>8100</v>
      </c>
      <c r="W86" s="259" t="s">
        <v>6068</v>
      </c>
      <c r="X86" s="260"/>
      <c r="Y86" s="262"/>
      <c r="Z86" s="260"/>
      <c r="AA86" s="259" t="s">
        <v>6214</v>
      </c>
      <c r="AB86" s="263" t="s">
        <v>3001</v>
      </c>
      <c r="AC86" s="259" t="s">
        <v>245</v>
      </c>
      <c r="AE86" s="258">
        <v>1.0</v>
      </c>
      <c r="AF86" s="260"/>
    </row>
    <row r="87">
      <c r="A87" s="258">
        <v>86.0</v>
      </c>
      <c r="B87" s="259" t="s">
        <v>143</v>
      </c>
      <c r="C87" s="259" t="s">
        <v>144</v>
      </c>
      <c r="D87" s="259" t="s">
        <v>693</v>
      </c>
      <c r="E87" s="259" t="s">
        <v>694</v>
      </c>
      <c r="F87" s="259" t="s">
        <v>6433</v>
      </c>
      <c r="G87" s="259" t="s">
        <v>6479</v>
      </c>
      <c r="H87" s="258">
        <v>2008.0</v>
      </c>
      <c r="I87" s="258">
        <v>2008.0</v>
      </c>
      <c r="J87" s="258">
        <v>2010.0</v>
      </c>
      <c r="K87" s="259" t="s">
        <v>6259</v>
      </c>
      <c r="L87" s="259" t="s">
        <v>6480</v>
      </c>
      <c r="M87" s="259" t="s">
        <v>179</v>
      </c>
      <c r="N87" s="259" t="s">
        <v>1073</v>
      </c>
      <c r="O87" s="264" t="s">
        <v>1020</v>
      </c>
      <c r="P87" s="259" t="s">
        <v>205</v>
      </c>
      <c r="Q87" s="259" t="s">
        <v>8096</v>
      </c>
      <c r="R87" s="259" t="s">
        <v>204</v>
      </c>
      <c r="S87" s="259" t="s">
        <v>149</v>
      </c>
      <c r="T87" s="259" t="s">
        <v>149</v>
      </c>
      <c r="U87" s="259" t="s">
        <v>1074</v>
      </c>
      <c r="V87" s="259" t="s">
        <v>8100</v>
      </c>
      <c r="W87" s="259" t="s">
        <v>6068</v>
      </c>
      <c r="X87" s="260"/>
      <c r="Y87" s="262"/>
      <c r="Z87" s="260"/>
      <c r="AA87" s="259" t="s">
        <v>6214</v>
      </c>
      <c r="AB87" s="263" t="s">
        <v>1076</v>
      </c>
      <c r="AC87" s="259" t="s">
        <v>1077</v>
      </c>
      <c r="AD87" s="259" t="s">
        <v>1078</v>
      </c>
      <c r="AE87" s="258">
        <v>1.0</v>
      </c>
      <c r="AF87" s="260"/>
    </row>
    <row r="88">
      <c r="A88" s="258">
        <v>87.0</v>
      </c>
      <c r="B88" s="259" t="s">
        <v>143</v>
      </c>
      <c r="C88" s="259" t="s">
        <v>144</v>
      </c>
      <c r="D88" s="259" t="s">
        <v>693</v>
      </c>
      <c r="E88" s="259" t="s">
        <v>694</v>
      </c>
      <c r="F88" s="259" t="s">
        <v>6433</v>
      </c>
      <c r="G88" s="259" t="s">
        <v>6454</v>
      </c>
      <c r="H88" s="258">
        <v>2006.0</v>
      </c>
      <c r="I88" s="258">
        <v>2006.0</v>
      </c>
      <c r="J88" s="258">
        <v>2007.0</v>
      </c>
      <c r="K88" s="259" t="s">
        <v>6062</v>
      </c>
      <c r="L88" s="259" t="s">
        <v>6487</v>
      </c>
      <c r="M88" s="259" t="s">
        <v>179</v>
      </c>
      <c r="N88" s="259" t="s">
        <v>1049</v>
      </c>
      <c r="O88" s="264" t="s">
        <v>8129</v>
      </c>
      <c r="P88" s="259" t="s">
        <v>205</v>
      </c>
      <c r="Q88" s="259" t="s">
        <v>8096</v>
      </c>
      <c r="R88" s="259" t="s">
        <v>204</v>
      </c>
      <c r="S88" s="259" t="s">
        <v>149</v>
      </c>
      <c r="T88" s="259" t="s">
        <v>149</v>
      </c>
      <c r="U88" s="259" t="s">
        <v>1050</v>
      </c>
      <c r="V88" s="259" t="s">
        <v>8100</v>
      </c>
      <c r="W88" s="259" t="s">
        <v>6068</v>
      </c>
      <c r="X88" s="260"/>
      <c r="Y88" s="262"/>
      <c r="Z88" s="260"/>
      <c r="AA88" s="259" t="s">
        <v>6214</v>
      </c>
      <c r="AB88" s="263" t="s">
        <v>1052</v>
      </c>
      <c r="AC88" s="259" t="s">
        <v>245</v>
      </c>
      <c r="AE88" s="258">
        <v>1.0</v>
      </c>
      <c r="AF88" s="260"/>
    </row>
    <row r="89">
      <c r="A89" s="258">
        <v>88.0</v>
      </c>
      <c r="B89" s="259" t="s">
        <v>143</v>
      </c>
      <c r="C89" s="259" t="s">
        <v>144</v>
      </c>
      <c r="D89" s="259" t="s">
        <v>693</v>
      </c>
      <c r="E89" s="259" t="s">
        <v>694</v>
      </c>
      <c r="F89" s="259" t="s">
        <v>149</v>
      </c>
      <c r="G89" s="259" t="s">
        <v>6490</v>
      </c>
      <c r="H89" s="258">
        <v>2015.0</v>
      </c>
      <c r="I89" s="259" t="s">
        <v>149</v>
      </c>
      <c r="J89" s="259" t="s">
        <v>149</v>
      </c>
      <c r="K89" s="259" t="s">
        <v>6221</v>
      </c>
      <c r="L89" s="259" t="s">
        <v>149</v>
      </c>
      <c r="M89" s="259" t="s">
        <v>149</v>
      </c>
      <c r="N89" s="259" t="s">
        <v>3005</v>
      </c>
      <c r="O89" s="264" t="s">
        <v>1833</v>
      </c>
      <c r="P89" s="259" t="s">
        <v>160</v>
      </c>
      <c r="Q89" s="259" t="s">
        <v>209</v>
      </c>
      <c r="R89" s="259" t="s">
        <v>204</v>
      </c>
      <c r="S89" s="259" t="s">
        <v>149</v>
      </c>
      <c r="T89" s="259" t="s">
        <v>149</v>
      </c>
      <c r="U89" s="259" t="s">
        <v>149</v>
      </c>
      <c r="V89" s="259" t="s">
        <v>8100</v>
      </c>
      <c r="W89" s="259" t="s">
        <v>6068</v>
      </c>
      <c r="X89" s="260"/>
      <c r="Y89" s="262"/>
      <c r="Z89" s="260"/>
      <c r="AA89" s="259" t="s">
        <v>6214</v>
      </c>
      <c r="AB89" s="263" t="s">
        <v>3007</v>
      </c>
      <c r="AC89" s="259" t="s">
        <v>3008</v>
      </c>
      <c r="AE89" s="258">
        <v>1.0</v>
      </c>
      <c r="AF89" s="260"/>
    </row>
    <row r="90">
      <c r="A90" s="258">
        <v>89.0</v>
      </c>
      <c r="B90" s="259" t="s">
        <v>143</v>
      </c>
      <c r="C90" s="259" t="s">
        <v>144</v>
      </c>
      <c r="D90" s="259" t="s">
        <v>472</v>
      </c>
      <c r="E90" s="259" t="s">
        <v>473</v>
      </c>
      <c r="F90" s="259" t="s">
        <v>384</v>
      </c>
      <c r="G90" s="259" t="s">
        <v>474</v>
      </c>
      <c r="H90" s="258">
        <v>1986.0</v>
      </c>
      <c r="I90" s="258">
        <v>1985.0</v>
      </c>
      <c r="J90" s="258">
        <v>1987.0</v>
      </c>
      <c r="K90" s="259" t="s">
        <v>151</v>
      </c>
      <c r="L90" s="259" t="s">
        <v>6054</v>
      </c>
      <c r="M90" s="259" t="s">
        <v>6054</v>
      </c>
      <c r="N90" s="259" t="s">
        <v>149</v>
      </c>
      <c r="O90" s="259" t="s">
        <v>390</v>
      </c>
      <c r="P90" s="259" t="s">
        <v>160</v>
      </c>
      <c r="Q90" s="259" t="s">
        <v>6035</v>
      </c>
      <c r="R90" s="259" t="s">
        <v>159</v>
      </c>
      <c r="S90" s="259" t="s">
        <v>149</v>
      </c>
      <c r="T90" s="259" t="s">
        <v>149</v>
      </c>
      <c r="U90" s="259" t="s">
        <v>475</v>
      </c>
      <c r="V90" s="259" t="s">
        <v>390</v>
      </c>
      <c r="W90" s="259" t="s">
        <v>6035</v>
      </c>
      <c r="X90" s="259" t="s">
        <v>6055</v>
      </c>
      <c r="Z90" s="259" t="s">
        <v>6056</v>
      </c>
      <c r="AA90" s="259" t="s">
        <v>395</v>
      </c>
      <c r="AB90" s="263" t="s">
        <v>2873</v>
      </c>
      <c r="AC90" s="259" t="s">
        <v>398</v>
      </c>
      <c r="AE90" s="258">
        <v>1.0</v>
      </c>
      <c r="AF90" s="260"/>
    </row>
    <row r="91">
      <c r="A91" s="258">
        <v>90.0</v>
      </c>
      <c r="B91" s="259" t="s">
        <v>143</v>
      </c>
      <c r="C91" s="259" t="s">
        <v>144</v>
      </c>
      <c r="D91" s="259" t="s">
        <v>2857</v>
      </c>
      <c r="E91" s="259" t="s">
        <v>2858</v>
      </c>
      <c r="F91" s="259" t="s">
        <v>384</v>
      </c>
      <c r="G91" s="259" t="s">
        <v>6469</v>
      </c>
      <c r="H91" s="258">
        <v>1981.0</v>
      </c>
      <c r="I91" s="258">
        <v>1985.0</v>
      </c>
      <c r="J91" s="258">
        <v>1987.0</v>
      </c>
      <c r="K91" s="259" t="s">
        <v>151</v>
      </c>
      <c r="L91" s="259" t="s">
        <v>6054</v>
      </c>
      <c r="M91" s="259" t="s">
        <v>6054</v>
      </c>
      <c r="N91" s="259" t="s">
        <v>149</v>
      </c>
      <c r="O91" s="259" t="s">
        <v>390</v>
      </c>
      <c r="P91" s="259" t="s">
        <v>160</v>
      </c>
      <c r="Q91" s="259" t="s">
        <v>6035</v>
      </c>
      <c r="R91" s="259" t="s">
        <v>159</v>
      </c>
      <c r="S91" s="259" t="s">
        <v>149</v>
      </c>
      <c r="T91" s="259" t="s">
        <v>149</v>
      </c>
      <c r="U91" s="259" t="s">
        <v>2860</v>
      </c>
      <c r="V91" s="259" t="s">
        <v>390</v>
      </c>
      <c r="W91" s="259" t="s">
        <v>6035</v>
      </c>
      <c r="X91" s="259" t="s">
        <v>6055</v>
      </c>
      <c r="AA91" s="259" t="s">
        <v>395</v>
      </c>
      <c r="AB91" s="263" t="s">
        <v>2873</v>
      </c>
      <c r="AC91" s="259" t="s">
        <v>398</v>
      </c>
      <c r="AE91" s="258">
        <v>1.0</v>
      </c>
      <c r="AF91" s="259" t="s">
        <v>6109</v>
      </c>
    </row>
    <row r="92">
      <c r="A92" s="258">
        <v>91.0</v>
      </c>
      <c r="B92" s="259" t="s">
        <v>143</v>
      </c>
      <c r="C92" s="259" t="s">
        <v>144</v>
      </c>
      <c r="D92" s="259" t="s">
        <v>1649</v>
      </c>
      <c r="E92" s="259" t="s">
        <v>1650</v>
      </c>
      <c r="F92" s="259" t="s">
        <v>149</v>
      </c>
      <c r="G92" s="260"/>
      <c r="H92" s="258">
        <v>2017.0</v>
      </c>
      <c r="I92" s="259" t="s">
        <v>149</v>
      </c>
      <c r="J92" s="259" t="s">
        <v>149</v>
      </c>
      <c r="K92" s="259" t="s">
        <v>151</v>
      </c>
      <c r="L92" s="259" t="s">
        <v>149</v>
      </c>
      <c r="M92" s="259" t="s">
        <v>149</v>
      </c>
      <c r="N92" s="259" t="s">
        <v>149</v>
      </c>
      <c r="O92" s="259" t="s">
        <v>149</v>
      </c>
      <c r="P92" s="259" t="s">
        <v>149</v>
      </c>
      <c r="Q92" s="259" t="s">
        <v>149</v>
      </c>
      <c r="R92" s="259" t="s">
        <v>149</v>
      </c>
      <c r="S92" s="259" t="s">
        <v>149</v>
      </c>
      <c r="T92" s="259" t="s">
        <v>149</v>
      </c>
      <c r="U92" s="259" t="s">
        <v>149</v>
      </c>
      <c r="V92" s="259" t="s">
        <v>390</v>
      </c>
      <c r="W92" s="259" t="s">
        <v>6035</v>
      </c>
      <c r="X92" s="259" t="s">
        <v>158</v>
      </c>
      <c r="Y92" s="260"/>
      <c r="Z92" s="260"/>
      <c r="AA92" s="259" t="s">
        <v>8092</v>
      </c>
      <c r="AC92" s="260"/>
      <c r="AD92" s="260"/>
      <c r="AE92" s="258">
        <v>1.0</v>
      </c>
      <c r="AF92" s="260"/>
    </row>
    <row r="93">
      <c r="A93" s="258">
        <v>92.0</v>
      </c>
      <c r="B93" s="259" t="s">
        <v>143</v>
      </c>
      <c r="C93" s="259" t="s">
        <v>144</v>
      </c>
      <c r="D93" s="259" t="s">
        <v>1649</v>
      </c>
      <c r="E93" s="259" t="s">
        <v>1650</v>
      </c>
      <c r="F93" s="259" t="s">
        <v>1651</v>
      </c>
      <c r="H93" s="258">
        <v>2022.0</v>
      </c>
      <c r="I93" s="259" t="s">
        <v>149</v>
      </c>
      <c r="J93" s="259" t="s">
        <v>149</v>
      </c>
      <c r="K93" s="259" t="s">
        <v>151</v>
      </c>
      <c r="L93" s="259" t="s">
        <v>149</v>
      </c>
      <c r="M93" s="259" t="s">
        <v>149</v>
      </c>
      <c r="N93" s="259" t="s">
        <v>6503</v>
      </c>
      <c r="O93" s="259" t="s">
        <v>369</v>
      </c>
      <c r="P93" s="259" t="s">
        <v>160</v>
      </c>
      <c r="Q93" s="259" t="s">
        <v>6035</v>
      </c>
      <c r="R93" s="259" t="s">
        <v>159</v>
      </c>
      <c r="S93" s="259" t="s">
        <v>149</v>
      </c>
      <c r="T93" s="259" t="s">
        <v>149</v>
      </c>
      <c r="U93" s="259" t="s">
        <v>149</v>
      </c>
      <c r="V93" s="259" t="s">
        <v>369</v>
      </c>
      <c r="W93" s="259" t="s">
        <v>6035</v>
      </c>
      <c r="X93" s="259" t="s">
        <v>6476</v>
      </c>
      <c r="Z93" s="260"/>
      <c r="AA93" s="259" t="s">
        <v>166</v>
      </c>
      <c r="AB93" s="263" t="s">
        <v>6504</v>
      </c>
      <c r="AE93" s="258">
        <v>1.0</v>
      </c>
      <c r="AF93" s="260"/>
    </row>
    <row r="94">
      <c r="A94" s="258">
        <v>93.0</v>
      </c>
      <c r="B94" s="259" t="s">
        <v>143</v>
      </c>
      <c r="C94" s="259" t="s">
        <v>144</v>
      </c>
      <c r="D94" s="259" t="s">
        <v>2545</v>
      </c>
      <c r="E94" s="259" t="s">
        <v>2546</v>
      </c>
      <c r="F94" s="259" t="s">
        <v>149</v>
      </c>
      <c r="G94" s="260"/>
      <c r="H94" s="258">
        <v>2017.0</v>
      </c>
      <c r="I94" s="259" t="s">
        <v>149</v>
      </c>
      <c r="J94" s="259" t="s">
        <v>149</v>
      </c>
      <c r="K94" s="259" t="s">
        <v>151</v>
      </c>
      <c r="L94" s="259" t="s">
        <v>149</v>
      </c>
      <c r="M94" s="259" t="s">
        <v>149</v>
      </c>
      <c r="N94" s="259" t="s">
        <v>149</v>
      </c>
      <c r="O94" s="259" t="s">
        <v>149</v>
      </c>
      <c r="P94" s="259" t="s">
        <v>149</v>
      </c>
      <c r="Q94" s="259" t="s">
        <v>149</v>
      </c>
      <c r="R94" s="259" t="s">
        <v>149</v>
      </c>
      <c r="S94" s="259" t="s">
        <v>149</v>
      </c>
      <c r="T94" s="259" t="s">
        <v>149</v>
      </c>
      <c r="U94" s="259" t="s">
        <v>149</v>
      </c>
      <c r="V94" s="259" t="s">
        <v>390</v>
      </c>
      <c r="W94" s="259" t="s">
        <v>6035</v>
      </c>
      <c r="X94" s="259" t="s">
        <v>158</v>
      </c>
      <c r="Y94" s="260"/>
      <c r="Z94" s="260"/>
      <c r="AA94" s="259" t="s">
        <v>8092</v>
      </c>
      <c r="AC94" s="260"/>
      <c r="AD94" s="260"/>
      <c r="AE94" s="258">
        <v>1.0</v>
      </c>
      <c r="AF94" s="260"/>
    </row>
    <row r="95">
      <c r="A95" s="258">
        <v>94.0</v>
      </c>
      <c r="B95" s="259" t="s">
        <v>143</v>
      </c>
      <c r="C95" s="259" t="s">
        <v>144</v>
      </c>
      <c r="D95" s="259" t="s">
        <v>477</v>
      </c>
      <c r="E95" s="259" t="s">
        <v>478</v>
      </c>
      <c r="F95" s="259" t="s">
        <v>384</v>
      </c>
      <c r="G95" s="259" t="s">
        <v>479</v>
      </c>
      <c r="H95" s="258">
        <v>1985.0</v>
      </c>
      <c r="I95" s="258">
        <v>1985.0</v>
      </c>
      <c r="J95" s="258">
        <v>1987.0</v>
      </c>
      <c r="K95" s="259" t="s">
        <v>151</v>
      </c>
      <c r="L95" s="259" t="s">
        <v>6054</v>
      </c>
      <c r="M95" s="259" t="s">
        <v>6054</v>
      </c>
      <c r="N95" s="259" t="s">
        <v>149</v>
      </c>
      <c r="O95" s="259" t="s">
        <v>390</v>
      </c>
      <c r="P95" s="259" t="s">
        <v>160</v>
      </c>
      <c r="Q95" s="259" t="s">
        <v>6035</v>
      </c>
      <c r="R95" s="259" t="s">
        <v>159</v>
      </c>
      <c r="S95" s="259" t="s">
        <v>149</v>
      </c>
      <c r="T95" s="259" t="s">
        <v>149</v>
      </c>
      <c r="U95" s="259" t="s">
        <v>391</v>
      </c>
      <c r="V95" s="259" t="s">
        <v>390</v>
      </c>
      <c r="W95" s="259" t="s">
        <v>6035</v>
      </c>
      <c r="X95" s="259" t="s">
        <v>6055</v>
      </c>
      <c r="Z95" s="259" t="s">
        <v>6056</v>
      </c>
      <c r="AA95" s="259" t="s">
        <v>395</v>
      </c>
      <c r="AB95" s="263" t="s">
        <v>2873</v>
      </c>
      <c r="AC95" s="259" t="s">
        <v>398</v>
      </c>
      <c r="AE95" s="258">
        <v>1.0</v>
      </c>
      <c r="AF95" s="260"/>
    </row>
    <row r="96">
      <c r="A96" s="258">
        <v>95.0</v>
      </c>
      <c r="B96" s="259" t="s">
        <v>481</v>
      </c>
      <c r="C96" s="259" t="s">
        <v>482</v>
      </c>
      <c r="D96" s="259" t="s">
        <v>483</v>
      </c>
      <c r="E96" s="259" t="s">
        <v>484</v>
      </c>
      <c r="F96" s="259" t="s">
        <v>384</v>
      </c>
      <c r="G96" s="259" t="s">
        <v>8003</v>
      </c>
      <c r="H96" s="258">
        <v>1986.0</v>
      </c>
      <c r="I96" s="258">
        <v>1985.0</v>
      </c>
      <c r="J96" s="258">
        <v>1987.0</v>
      </c>
      <c r="K96" s="259" t="s">
        <v>151</v>
      </c>
      <c r="L96" s="259" t="s">
        <v>6054</v>
      </c>
      <c r="M96" s="259" t="s">
        <v>6054</v>
      </c>
      <c r="N96" s="259" t="s">
        <v>149</v>
      </c>
      <c r="O96" s="259" t="s">
        <v>390</v>
      </c>
      <c r="P96" s="259" t="s">
        <v>160</v>
      </c>
      <c r="Q96" s="259" t="s">
        <v>6035</v>
      </c>
      <c r="R96" s="259" t="s">
        <v>159</v>
      </c>
      <c r="S96" s="259" t="s">
        <v>149</v>
      </c>
      <c r="T96" s="259" t="s">
        <v>149</v>
      </c>
      <c r="U96" s="259" t="s">
        <v>391</v>
      </c>
      <c r="V96" s="259" t="s">
        <v>390</v>
      </c>
      <c r="W96" s="259" t="s">
        <v>6035</v>
      </c>
      <c r="X96" s="259" t="s">
        <v>6055</v>
      </c>
      <c r="AA96" s="259" t="s">
        <v>395</v>
      </c>
      <c r="AB96" s="263" t="s">
        <v>2873</v>
      </c>
      <c r="AC96" s="259" t="s">
        <v>398</v>
      </c>
      <c r="AE96" s="258">
        <v>1.0</v>
      </c>
      <c r="AF96" s="260"/>
    </row>
    <row r="97">
      <c r="A97" s="258">
        <v>96.0</v>
      </c>
      <c r="B97" s="259" t="s">
        <v>293</v>
      </c>
      <c r="C97" s="259" t="s">
        <v>1208</v>
      </c>
      <c r="D97" s="259" t="s">
        <v>1209</v>
      </c>
      <c r="E97" s="259" t="s">
        <v>1210</v>
      </c>
      <c r="F97" s="259" t="s">
        <v>1174</v>
      </c>
      <c r="H97" s="258">
        <v>2013.0</v>
      </c>
      <c r="I97" s="258">
        <v>2012.0</v>
      </c>
      <c r="J97" s="258">
        <v>2013.0</v>
      </c>
      <c r="K97" s="259" t="s">
        <v>6062</v>
      </c>
      <c r="L97" s="259" t="s">
        <v>320</v>
      </c>
      <c r="M97" s="259" t="s">
        <v>179</v>
      </c>
      <c r="N97" s="259" t="s">
        <v>1211</v>
      </c>
      <c r="O97" s="259" t="s">
        <v>321</v>
      </c>
      <c r="P97" s="259" t="s">
        <v>160</v>
      </c>
      <c r="Q97" s="259" t="s">
        <v>6035</v>
      </c>
      <c r="R97" s="259" t="s">
        <v>159</v>
      </c>
      <c r="S97" s="259" t="s">
        <v>149</v>
      </c>
      <c r="T97" s="259" t="s">
        <v>149</v>
      </c>
      <c r="U97" s="259" t="s">
        <v>1212</v>
      </c>
      <c r="V97" s="259" t="s">
        <v>885</v>
      </c>
      <c r="W97" s="259" t="s">
        <v>6068</v>
      </c>
      <c r="X97" s="259" t="s">
        <v>1213</v>
      </c>
      <c r="AA97" s="259" t="s">
        <v>6069</v>
      </c>
      <c r="AC97" s="260"/>
      <c r="AD97" s="260"/>
      <c r="AE97" s="258">
        <v>1.0</v>
      </c>
      <c r="AF97" s="260"/>
    </row>
    <row r="98">
      <c r="A98" s="258">
        <v>97.0</v>
      </c>
      <c r="B98" s="259" t="s">
        <v>293</v>
      </c>
      <c r="C98" s="259" t="s">
        <v>1283</v>
      </c>
      <c r="D98" s="259" t="s">
        <v>1284</v>
      </c>
      <c r="E98" s="259" t="s">
        <v>1285</v>
      </c>
      <c r="F98" s="259" t="s">
        <v>1174</v>
      </c>
      <c r="H98" s="258">
        <v>2013.0</v>
      </c>
      <c r="I98" s="258">
        <v>2012.0</v>
      </c>
      <c r="J98" s="258">
        <v>2013.0</v>
      </c>
      <c r="K98" s="259" t="s">
        <v>6062</v>
      </c>
      <c r="L98" s="259" t="s">
        <v>320</v>
      </c>
      <c r="M98" s="259" t="s">
        <v>179</v>
      </c>
      <c r="N98" s="259" t="s">
        <v>149</v>
      </c>
      <c r="O98" s="259" t="s">
        <v>321</v>
      </c>
      <c r="P98" s="259" t="s">
        <v>160</v>
      </c>
      <c r="Q98" s="259" t="s">
        <v>6035</v>
      </c>
      <c r="R98" s="259" t="s">
        <v>159</v>
      </c>
      <c r="S98" s="259" t="s">
        <v>149</v>
      </c>
      <c r="T98" s="259" t="s">
        <v>149</v>
      </c>
      <c r="U98" s="259" t="s">
        <v>1286</v>
      </c>
      <c r="V98" s="259" t="s">
        <v>885</v>
      </c>
      <c r="W98" s="259" t="s">
        <v>6068</v>
      </c>
      <c r="X98" s="259" t="s">
        <v>1287</v>
      </c>
      <c r="AA98" s="259" t="s">
        <v>6069</v>
      </c>
      <c r="AC98" s="260"/>
      <c r="AD98" s="260"/>
      <c r="AE98" s="258">
        <v>1.0</v>
      </c>
      <c r="AF98" s="260"/>
    </row>
    <row r="99" ht="15.0" customHeight="1">
      <c r="A99" s="258">
        <v>98.0</v>
      </c>
      <c r="B99" s="259" t="s">
        <v>293</v>
      </c>
      <c r="C99" s="259" t="s">
        <v>1283</v>
      </c>
      <c r="D99" s="259" t="s">
        <v>1284</v>
      </c>
      <c r="E99" s="259" t="s">
        <v>1285</v>
      </c>
      <c r="F99" s="259" t="s">
        <v>1683</v>
      </c>
      <c r="H99" s="258">
        <v>2015.0</v>
      </c>
      <c r="I99" s="258">
        <v>2014.0</v>
      </c>
      <c r="J99" s="258">
        <v>2016.0</v>
      </c>
      <c r="K99" s="259" t="s">
        <v>6062</v>
      </c>
      <c r="L99" s="259" t="s">
        <v>320</v>
      </c>
      <c r="M99" s="259" t="s">
        <v>179</v>
      </c>
      <c r="N99" s="259" t="s">
        <v>149</v>
      </c>
      <c r="O99" s="259" t="s">
        <v>321</v>
      </c>
      <c r="P99" s="259" t="s">
        <v>160</v>
      </c>
      <c r="Q99" s="259" t="s">
        <v>6035</v>
      </c>
      <c r="R99" s="259" t="s">
        <v>159</v>
      </c>
      <c r="S99" s="259" t="s">
        <v>149</v>
      </c>
      <c r="T99" s="259" t="s">
        <v>149</v>
      </c>
      <c r="U99" s="259" t="s">
        <v>149</v>
      </c>
      <c r="V99" s="259" t="s">
        <v>1703</v>
      </c>
      <c r="W99" s="259" t="s">
        <v>271</v>
      </c>
      <c r="X99" s="259" t="s">
        <v>1287</v>
      </c>
      <c r="AA99" s="259" t="s">
        <v>6069</v>
      </c>
      <c r="AC99" s="260"/>
      <c r="AD99" s="260"/>
      <c r="AE99" s="258">
        <v>1.0</v>
      </c>
      <c r="AF99" s="260"/>
    </row>
    <row r="100" ht="15.0" customHeight="1">
      <c r="A100" s="258">
        <v>99.0</v>
      </c>
      <c r="B100" s="259" t="s">
        <v>293</v>
      </c>
      <c r="C100" s="259" t="s">
        <v>1283</v>
      </c>
      <c r="D100" s="259" t="s">
        <v>2300</v>
      </c>
      <c r="E100" s="259" t="s">
        <v>2301</v>
      </c>
      <c r="F100" s="259" t="s">
        <v>149</v>
      </c>
      <c r="G100" s="260"/>
      <c r="H100" s="258">
        <v>1990.0</v>
      </c>
      <c r="I100" s="259" t="s">
        <v>149</v>
      </c>
      <c r="J100" s="259" t="s">
        <v>149</v>
      </c>
      <c r="K100" s="259" t="s">
        <v>151</v>
      </c>
      <c r="L100" s="259" t="s">
        <v>6054</v>
      </c>
      <c r="M100" s="259" t="s">
        <v>6054</v>
      </c>
      <c r="N100" s="259" t="s">
        <v>6506</v>
      </c>
      <c r="O100" s="259" t="s">
        <v>149</v>
      </c>
      <c r="P100" s="259" t="s">
        <v>149</v>
      </c>
      <c r="Q100" s="259" t="s">
        <v>149</v>
      </c>
      <c r="R100" s="259" t="s">
        <v>149</v>
      </c>
      <c r="S100" s="259" t="s">
        <v>149</v>
      </c>
      <c r="T100" s="259" t="s">
        <v>149</v>
      </c>
      <c r="U100" s="259" t="s">
        <v>149</v>
      </c>
      <c r="V100" s="259" t="s">
        <v>2304</v>
      </c>
      <c r="W100" s="259" t="s">
        <v>184</v>
      </c>
      <c r="X100" s="259" t="s">
        <v>6507</v>
      </c>
      <c r="AA100" s="259" t="s">
        <v>395</v>
      </c>
      <c r="AB100" s="263" t="s">
        <v>2873</v>
      </c>
      <c r="AE100" s="258">
        <v>1.0</v>
      </c>
      <c r="AF100" s="260"/>
    </row>
    <row r="101" ht="15.0" customHeight="1">
      <c r="A101" s="258">
        <v>100.0</v>
      </c>
      <c r="B101" s="259" t="s">
        <v>293</v>
      </c>
      <c r="C101" s="259" t="s">
        <v>1283</v>
      </c>
      <c r="D101" s="259" t="s">
        <v>1375</v>
      </c>
      <c r="E101" s="259" t="s">
        <v>1376</v>
      </c>
      <c r="F101" s="259" t="s">
        <v>1377</v>
      </c>
      <c r="H101" s="258">
        <v>1992.0</v>
      </c>
      <c r="I101" s="258">
        <v>1990.0</v>
      </c>
      <c r="J101" s="258">
        <v>1994.0</v>
      </c>
      <c r="K101" s="259" t="s">
        <v>151</v>
      </c>
      <c r="L101" s="259" t="s">
        <v>149</v>
      </c>
      <c r="M101" s="259" t="s">
        <v>149</v>
      </c>
      <c r="N101" s="259" t="s">
        <v>149</v>
      </c>
      <c r="O101" s="259" t="s">
        <v>8120</v>
      </c>
      <c r="P101" s="259" t="s">
        <v>205</v>
      </c>
      <c r="Q101" s="259" t="s">
        <v>8096</v>
      </c>
      <c r="R101" s="259" t="s">
        <v>159</v>
      </c>
      <c r="S101" s="259" t="s">
        <v>149</v>
      </c>
      <c r="T101" s="259" t="s">
        <v>149</v>
      </c>
      <c r="U101" s="259" t="s">
        <v>149</v>
      </c>
      <c r="V101" s="259" t="s">
        <v>660</v>
      </c>
      <c r="W101" s="259" t="s">
        <v>6035</v>
      </c>
      <c r="X101" s="259" t="s">
        <v>369</v>
      </c>
      <c r="Y101" s="260"/>
      <c r="Z101" s="260"/>
      <c r="AA101" s="259" t="s">
        <v>395</v>
      </c>
      <c r="AB101" s="263" t="s">
        <v>2873</v>
      </c>
      <c r="AC101" s="259" t="s">
        <v>398</v>
      </c>
      <c r="AE101" s="258">
        <v>1.0</v>
      </c>
      <c r="AF101" s="260"/>
    </row>
    <row r="102" ht="15.0" customHeight="1">
      <c r="A102" s="258">
        <v>101.0</v>
      </c>
      <c r="B102" s="259" t="s">
        <v>293</v>
      </c>
      <c r="C102" s="259" t="s">
        <v>1283</v>
      </c>
      <c r="D102" s="259" t="s">
        <v>1375</v>
      </c>
      <c r="E102" s="259" t="s">
        <v>1376</v>
      </c>
      <c r="F102" s="259" t="s">
        <v>149</v>
      </c>
      <c r="G102" s="260"/>
      <c r="H102" s="259" t="s">
        <v>149</v>
      </c>
      <c r="I102" s="259" t="s">
        <v>149</v>
      </c>
      <c r="J102" s="259" t="s">
        <v>149</v>
      </c>
      <c r="K102" s="259" t="s">
        <v>6062</v>
      </c>
      <c r="L102" s="259" t="s">
        <v>320</v>
      </c>
      <c r="M102" s="259" t="s">
        <v>179</v>
      </c>
      <c r="N102" s="259" t="s">
        <v>149</v>
      </c>
      <c r="O102" s="259" t="s">
        <v>149</v>
      </c>
      <c r="P102" s="259" t="s">
        <v>149</v>
      </c>
      <c r="Q102" s="259" t="s">
        <v>149</v>
      </c>
      <c r="R102" s="259" t="s">
        <v>149</v>
      </c>
      <c r="S102" s="259" t="s">
        <v>149</v>
      </c>
      <c r="T102" s="259" t="s">
        <v>149</v>
      </c>
      <c r="U102" s="259" t="s">
        <v>149</v>
      </c>
      <c r="V102" s="259" t="s">
        <v>8134</v>
      </c>
      <c r="W102" s="259" t="s">
        <v>6035</v>
      </c>
      <c r="Y102" s="260"/>
      <c r="Z102" s="260"/>
      <c r="AA102" s="259" t="s">
        <v>6084</v>
      </c>
      <c r="AB102" s="263" t="s">
        <v>3063</v>
      </c>
      <c r="AE102" s="258">
        <v>1.0</v>
      </c>
      <c r="AF102" s="260"/>
    </row>
    <row r="103" ht="15.0" customHeight="1">
      <c r="A103" s="258">
        <v>102.0</v>
      </c>
      <c r="B103" s="259" t="s">
        <v>293</v>
      </c>
      <c r="C103" s="259" t="s">
        <v>1283</v>
      </c>
      <c r="D103" s="259" t="s">
        <v>1375</v>
      </c>
      <c r="E103" s="259" t="s">
        <v>1376</v>
      </c>
      <c r="F103" s="259" t="s">
        <v>652</v>
      </c>
      <c r="H103" s="258">
        <v>2007.0</v>
      </c>
      <c r="I103" s="259" t="s">
        <v>149</v>
      </c>
      <c r="J103" s="259" t="s">
        <v>149</v>
      </c>
      <c r="K103" s="259" t="s">
        <v>151</v>
      </c>
      <c r="L103" s="259" t="s">
        <v>149</v>
      </c>
      <c r="M103" s="259" t="s">
        <v>149</v>
      </c>
      <c r="N103" s="259" t="s">
        <v>6535</v>
      </c>
      <c r="O103" s="259" t="s">
        <v>6536</v>
      </c>
      <c r="P103" s="259" t="s">
        <v>160</v>
      </c>
      <c r="Q103" s="259" t="s">
        <v>6035</v>
      </c>
      <c r="R103" s="259" t="s">
        <v>159</v>
      </c>
      <c r="S103" s="259" t="s">
        <v>149</v>
      </c>
      <c r="T103" s="259" t="s">
        <v>149</v>
      </c>
      <c r="U103" s="259" t="s">
        <v>149</v>
      </c>
      <c r="V103" s="259" t="s">
        <v>149</v>
      </c>
      <c r="W103" s="259" t="s">
        <v>149</v>
      </c>
      <c r="X103" s="260"/>
      <c r="Y103" s="259" t="s">
        <v>6537</v>
      </c>
      <c r="AA103" s="259" t="s">
        <v>166</v>
      </c>
      <c r="AB103" s="263" t="s">
        <v>6538</v>
      </c>
      <c r="AE103" s="258">
        <v>1.0</v>
      </c>
      <c r="AF103" s="260"/>
    </row>
    <row r="104" ht="15.0" customHeight="1">
      <c r="A104" s="258">
        <v>103.0</v>
      </c>
      <c r="B104" s="259" t="s">
        <v>293</v>
      </c>
      <c r="C104" s="259" t="s">
        <v>1283</v>
      </c>
      <c r="D104" s="259" t="s">
        <v>1795</v>
      </c>
      <c r="E104" s="259" t="s">
        <v>1796</v>
      </c>
      <c r="F104" s="259" t="s">
        <v>149</v>
      </c>
      <c r="G104" s="260"/>
      <c r="H104" s="258">
        <v>2011.0</v>
      </c>
      <c r="I104" s="259" t="s">
        <v>149</v>
      </c>
      <c r="J104" s="259" t="s">
        <v>149</v>
      </c>
      <c r="K104" s="259" t="s">
        <v>151</v>
      </c>
      <c r="L104" s="259" t="s">
        <v>149</v>
      </c>
      <c r="M104" s="259" t="s">
        <v>149</v>
      </c>
      <c r="N104" s="259" t="s">
        <v>149</v>
      </c>
      <c r="O104" s="259" t="s">
        <v>149</v>
      </c>
      <c r="P104" s="259" t="s">
        <v>149</v>
      </c>
      <c r="Q104" s="259" t="s">
        <v>149</v>
      </c>
      <c r="R104" s="259" t="s">
        <v>149</v>
      </c>
      <c r="S104" s="259" t="s">
        <v>149</v>
      </c>
      <c r="T104" s="259" t="s">
        <v>149</v>
      </c>
      <c r="U104" s="259" t="s">
        <v>149</v>
      </c>
      <c r="V104" s="259" t="s">
        <v>149</v>
      </c>
      <c r="W104" s="259" t="s">
        <v>149</v>
      </c>
      <c r="X104" s="260"/>
      <c r="Y104" s="260"/>
      <c r="Z104" s="260"/>
      <c r="AA104" s="259" t="s">
        <v>166</v>
      </c>
      <c r="AB104" s="263" t="s">
        <v>2737</v>
      </c>
      <c r="AE104" s="258">
        <v>1.0</v>
      </c>
      <c r="AF104" s="260"/>
    </row>
    <row r="105" ht="15.0" customHeight="1">
      <c r="A105" s="258">
        <v>104.0</v>
      </c>
      <c r="B105" s="259" t="s">
        <v>293</v>
      </c>
      <c r="C105" s="259" t="s">
        <v>1283</v>
      </c>
      <c r="D105" s="259" t="s">
        <v>1795</v>
      </c>
      <c r="E105" s="259" t="s">
        <v>1796</v>
      </c>
      <c r="F105" s="259" t="s">
        <v>149</v>
      </c>
      <c r="G105" s="260"/>
      <c r="H105" s="258">
        <v>2015.0</v>
      </c>
      <c r="I105" s="259" t="s">
        <v>149</v>
      </c>
      <c r="J105" s="259" t="s">
        <v>149</v>
      </c>
      <c r="K105" s="259" t="s">
        <v>151</v>
      </c>
      <c r="L105" s="259" t="s">
        <v>149</v>
      </c>
      <c r="M105" s="259" t="s">
        <v>149</v>
      </c>
      <c r="N105" s="259" t="s">
        <v>149</v>
      </c>
      <c r="O105" s="259" t="s">
        <v>158</v>
      </c>
      <c r="P105" s="259" t="s">
        <v>160</v>
      </c>
      <c r="Q105" s="259" t="s">
        <v>6035</v>
      </c>
      <c r="R105" s="259" t="s">
        <v>159</v>
      </c>
      <c r="S105" s="259" t="s">
        <v>149</v>
      </c>
      <c r="T105" s="259" t="s">
        <v>149</v>
      </c>
      <c r="U105" s="259" t="s">
        <v>149</v>
      </c>
      <c r="V105" s="259" t="s">
        <v>149</v>
      </c>
      <c r="W105" s="259" t="s">
        <v>149</v>
      </c>
      <c r="X105" s="260"/>
      <c r="Y105" s="260"/>
      <c r="Z105" s="260"/>
      <c r="AA105" s="259" t="s">
        <v>6517</v>
      </c>
      <c r="AB105" s="263" t="s">
        <v>3066</v>
      </c>
      <c r="AE105" s="258">
        <v>1.0</v>
      </c>
      <c r="AF105" s="260"/>
    </row>
    <row r="106" ht="15.0" customHeight="1">
      <c r="A106" s="258">
        <v>105.0</v>
      </c>
      <c r="B106" s="259" t="s">
        <v>293</v>
      </c>
      <c r="C106" s="259" t="s">
        <v>1283</v>
      </c>
      <c r="D106" s="259" t="s">
        <v>1795</v>
      </c>
      <c r="E106" s="259" t="s">
        <v>1796</v>
      </c>
      <c r="F106" s="259" t="s">
        <v>149</v>
      </c>
      <c r="G106" s="260"/>
      <c r="H106" s="258">
        <v>2017.0</v>
      </c>
      <c r="I106" s="259" t="s">
        <v>149</v>
      </c>
      <c r="J106" s="259" t="s">
        <v>149</v>
      </c>
      <c r="K106" s="259" t="s">
        <v>151</v>
      </c>
      <c r="L106" s="259" t="s">
        <v>149</v>
      </c>
      <c r="M106" s="259" t="s">
        <v>149</v>
      </c>
      <c r="N106" s="259" t="s">
        <v>149</v>
      </c>
      <c r="O106" s="259" t="s">
        <v>158</v>
      </c>
      <c r="P106" s="259" t="s">
        <v>160</v>
      </c>
      <c r="Q106" s="259" t="s">
        <v>6035</v>
      </c>
      <c r="R106" s="259" t="s">
        <v>159</v>
      </c>
      <c r="S106" s="259" t="s">
        <v>149</v>
      </c>
      <c r="T106" s="259" t="s">
        <v>149</v>
      </c>
      <c r="U106" s="259" t="s">
        <v>149</v>
      </c>
      <c r="V106" s="259" t="s">
        <v>149</v>
      </c>
      <c r="W106" s="259" t="s">
        <v>149</v>
      </c>
      <c r="X106" s="260"/>
      <c r="Y106" s="260"/>
      <c r="Z106" s="260"/>
      <c r="AA106" s="259" t="s">
        <v>6517</v>
      </c>
      <c r="AB106" s="263" t="s">
        <v>3066</v>
      </c>
      <c r="AE106" s="258">
        <v>1.0</v>
      </c>
      <c r="AF106" s="260"/>
    </row>
    <row r="107" ht="15.0" customHeight="1">
      <c r="A107" s="258">
        <v>106.0</v>
      </c>
      <c r="B107" s="259" t="s">
        <v>293</v>
      </c>
      <c r="C107" s="259" t="s">
        <v>1283</v>
      </c>
      <c r="D107" s="259" t="s">
        <v>1795</v>
      </c>
      <c r="E107" s="259" t="s">
        <v>1796</v>
      </c>
      <c r="F107" s="259" t="s">
        <v>1797</v>
      </c>
      <c r="H107" s="258">
        <v>2022.0</v>
      </c>
      <c r="I107" s="259" t="s">
        <v>149</v>
      </c>
      <c r="J107" s="259" t="s">
        <v>149</v>
      </c>
      <c r="K107" s="259" t="s">
        <v>151</v>
      </c>
      <c r="L107" s="259" t="s">
        <v>149</v>
      </c>
      <c r="M107" s="259" t="s">
        <v>149</v>
      </c>
      <c r="N107" s="259" t="s">
        <v>6523</v>
      </c>
      <c r="O107" s="259" t="s">
        <v>1802</v>
      </c>
      <c r="P107" s="259" t="s">
        <v>160</v>
      </c>
      <c r="Q107" s="259" t="s">
        <v>184</v>
      </c>
      <c r="R107" s="259" t="s">
        <v>159</v>
      </c>
      <c r="S107" s="259" t="s">
        <v>149</v>
      </c>
      <c r="T107" s="259" t="s">
        <v>149</v>
      </c>
      <c r="U107" s="259" t="s">
        <v>149</v>
      </c>
      <c r="V107" s="259" t="s">
        <v>1802</v>
      </c>
      <c r="W107" s="259" t="s">
        <v>184</v>
      </c>
      <c r="X107" s="260"/>
      <c r="Y107" s="260"/>
      <c r="Z107" s="260"/>
      <c r="AA107" s="259" t="s">
        <v>6038</v>
      </c>
      <c r="AB107" s="263" t="s">
        <v>1804</v>
      </c>
      <c r="AE107" s="258">
        <v>1.0</v>
      </c>
      <c r="AF107" s="260"/>
    </row>
    <row r="108" ht="15.0" customHeight="1">
      <c r="A108" s="258">
        <v>107.0</v>
      </c>
      <c r="B108" s="259" t="s">
        <v>293</v>
      </c>
      <c r="C108" s="259" t="s">
        <v>294</v>
      </c>
      <c r="D108" s="259" t="s">
        <v>486</v>
      </c>
      <c r="E108" s="259" t="s">
        <v>487</v>
      </c>
      <c r="F108" s="259" t="s">
        <v>384</v>
      </c>
      <c r="G108" s="259" t="s">
        <v>488</v>
      </c>
      <c r="H108" s="258">
        <v>1985.0</v>
      </c>
      <c r="I108" s="258">
        <v>1985.0</v>
      </c>
      <c r="J108" s="258">
        <v>1987.0</v>
      </c>
      <c r="K108" s="259" t="s">
        <v>151</v>
      </c>
      <c r="L108" s="259" t="s">
        <v>6054</v>
      </c>
      <c r="M108" s="259" t="s">
        <v>6054</v>
      </c>
      <c r="N108" s="259" t="s">
        <v>149</v>
      </c>
      <c r="O108" s="259" t="s">
        <v>390</v>
      </c>
      <c r="P108" s="259" t="s">
        <v>160</v>
      </c>
      <c r="Q108" s="259" t="s">
        <v>6035</v>
      </c>
      <c r="R108" s="259" t="s">
        <v>159</v>
      </c>
      <c r="S108" s="259" t="s">
        <v>149</v>
      </c>
      <c r="T108" s="259" t="s">
        <v>149</v>
      </c>
      <c r="U108" s="259" t="s">
        <v>489</v>
      </c>
      <c r="V108" s="259" t="s">
        <v>390</v>
      </c>
      <c r="W108" s="259" t="s">
        <v>6035</v>
      </c>
      <c r="X108" s="259" t="s">
        <v>6055</v>
      </c>
      <c r="AA108" s="259" t="s">
        <v>395</v>
      </c>
      <c r="AB108" s="263" t="s">
        <v>2873</v>
      </c>
      <c r="AC108" s="259" t="s">
        <v>398</v>
      </c>
      <c r="AE108" s="258">
        <v>1.0</v>
      </c>
      <c r="AF108" s="260"/>
    </row>
    <row r="109" ht="15.0" customHeight="1">
      <c r="A109" s="258">
        <v>108.0</v>
      </c>
      <c r="B109" s="259" t="s">
        <v>293</v>
      </c>
      <c r="C109" s="259" t="s">
        <v>294</v>
      </c>
      <c r="D109" s="259" t="s">
        <v>295</v>
      </c>
      <c r="E109" s="259" t="s">
        <v>296</v>
      </c>
      <c r="F109" s="259" t="s">
        <v>6553</v>
      </c>
      <c r="H109" s="258">
        <v>2022.0</v>
      </c>
      <c r="I109" s="258">
        <v>2022.0</v>
      </c>
      <c r="J109" s="258">
        <v>2024.0</v>
      </c>
      <c r="K109" s="259" t="s">
        <v>6062</v>
      </c>
      <c r="L109" s="259" t="s">
        <v>1112</v>
      </c>
      <c r="M109" s="259" t="s">
        <v>179</v>
      </c>
      <c r="N109" s="259" t="s">
        <v>304</v>
      </c>
      <c r="O109" s="259" t="s">
        <v>305</v>
      </c>
      <c r="P109" s="259" t="s">
        <v>205</v>
      </c>
      <c r="Q109" s="259" t="s">
        <v>306</v>
      </c>
      <c r="R109" s="259" t="s">
        <v>159</v>
      </c>
      <c r="S109" s="259" t="s">
        <v>149</v>
      </c>
      <c r="T109" s="259" t="s">
        <v>149</v>
      </c>
      <c r="U109" s="259" t="s">
        <v>149</v>
      </c>
      <c r="V109" s="259" t="s">
        <v>8135</v>
      </c>
      <c r="W109" s="259" t="s">
        <v>306</v>
      </c>
      <c r="X109" s="259" t="s">
        <v>6532</v>
      </c>
      <c r="Y109" s="259" t="s">
        <v>8136</v>
      </c>
      <c r="AA109" s="259" t="s">
        <v>213</v>
      </c>
      <c r="AB109" s="260"/>
      <c r="AC109" s="259" t="s">
        <v>311</v>
      </c>
      <c r="AD109" s="259" t="s">
        <v>312</v>
      </c>
      <c r="AE109" s="258">
        <v>1.0</v>
      </c>
      <c r="AF109" s="260"/>
    </row>
    <row r="110" ht="15.0" customHeight="1">
      <c r="A110" s="258">
        <v>109.0</v>
      </c>
      <c r="B110" s="259" t="s">
        <v>293</v>
      </c>
      <c r="C110" s="259" t="s">
        <v>294</v>
      </c>
      <c r="D110" s="259" t="s">
        <v>295</v>
      </c>
      <c r="E110" s="259" t="s">
        <v>296</v>
      </c>
      <c r="F110" s="259" t="s">
        <v>6553</v>
      </c>
      <c r="H110" s="258">
        <v>2022.0</v>
      </c>
      <c r="I110" s="258">
        <v>2022.0</v>
      </c>
      <c r="J110" s="258">
        <v>2024.0</v>
      </c>
      <c r="K110" s="259" t="s">
        <v>6221</v>
      </c>
      <c r="L110" s="259" t="s">
        <v>149</v>
      </c>
      <c r="M110" s="259" t="s">
        <v>149</v>
      </c>
      <c r="N110" s="259" t="s">
        <v>304</v>
      </c>
      <c r="O110" s="259" t="s">
        <v>305</v>
      </c>
      <c r="P110" s="259" t="s">
        <v>205</v>
      </c>
      <c r="Q110" s="259" t="s">
        <v>306</v>
      </c>
      <c r="R110" s="259" t="s">
        <v>159</v>
      </c>
      <c r="S110" s="259" t="s">
        <v>149</v>
      </c>
      <c r="T110" s="259" t="s">
        <v>149</v>
      </c>
      <c r="U110" s="259" t="s">
        <v>149</v>
      </c>
      <c r="V110" s="259" t="s">
        <v>8135</v>
      </c>
      <c r="W110" s="259" t="s">
        <v>306</v>
      </c>
      <c r="X110" s="259" t="s">
        <v>6532</v>
      </c>
      <c r="Y110" s="259" t="s">
        <v>8136</v>
      </c>
      <c r="AA110" s="259" t="s">
        <v>213</v>
      </c>
      <c r="AB110" s="260"/>
      <c r="AC110" s="259" t="s">
        <v>311</v>
      </c>
      <c r="AD110" s="259" t="s">
        <v>312</v>
      </c>
      <c r="AE110" s="258">
        <v>1.0</v>
      </c>
      <c r="AF110" s="260"/>
    </row>
    <row r="111" ht="15.0" customHeight="1">
      <c r="A111" s="258">
        <v>110.0</v>
      </c>
      <c r="B111" s="259" t="s">
        <v>293</v>
      </c>
      <c r="C111" s="259" t="s">
        <v>294</v>
      </c>
      <c r="D111" s="259" t="s">
        <v>950</v>
      </c>
      <c r="E111" s="259" t="s">
        <v>951</v>
      </c>
      <c r="F111" s="259" t="s">
        <v>934</v>
      </c>
      <c r="H111" s="258">
        <v>2001.0</v>
      </c>
      <c r="I111" s="258">
        <v>2001.0</v>
      </c>
      <c r="J111" s="258">
        <v>2005.0</v>
      </c>
      <c r="K111" s="259" t="s">
        <v>6062</v>
      </c>
      <c r="L111" s="259" t="s">
        <v>8105</v>
      </c>
      <c r="M111" s="259" t="s">
        <v>179</v>
      </c>
      <c r="N111" s="259" t="s">
        <v>939</v>
      </c>
      <c r="O111" s="259" t="s">
        <v>940</v>
      </c>
      <c r="P111" s="259" t="s">
        <v>205</v>
      </c>
      <c r="Q111" s="259" t="s">
        <v>8096</v>
      </c>
      <c r="R111" s="259" t="s">
        <v>204</v>
      </c>
      <c r="S111" s="259" t="s">
        <v>149</v>
      </c>
      <c r="T111" s="259" t="s">
        <v>149</v>
      </c>
      <c r="U111" s="259" t="s">
        <v>149</v>
      </c>
      <c r="V111" s="259" t="s">
        <v>8100</v>
      </c>
      <c r="W111" s="259" t="s">
        <v>6068</v>
      </c>
      <c r="X111" s="260"/>
      <c r="Y111" s="260"/>
      <c r="Z111" s="260"/>
      <c r="AA111" s="259" t="s">
        <v>6214</v>
      </c>
      <c r="AB111" s="263" t="s">
        <v>942</v>
      </c>
      <c r="AC111" s="259" t="s">
        <v>943</v>
      </c>
      <c r="AE111" s="258">
        <v>1.0</v>
      </c>
      <c r="AF111" s="260"/>
    </row>
    <row r="112" ht="15.0" customHeight="1">
      <c r="A112" s="258">
        <v>111.0</v>
      </c>
      <c r="B112" s="259" t="s">
        <v>293</v>
      </c>
      <c r="C112" s="259" t="s">
        <v>294</v>
      </c>
      <c r="D112" s="259" t="s">
        <v>3070</v>
      </c>
      <c r="E112" s="259" t="s">
        <v>3071</v>
      </c>
      <c r="F112" s="259" t="s">
        <v>149</v>
      </c>
      <c r="G112" s="260"/>
      <c r="H112" s="259" t="s">
        <v>149</v>
      </c>
      <c r="I112" s="259" t="s">
        <v>149</v>
      </c>
      <c r="J112" s="259" t="s">
        <v>149</v>
      </c>
      <c r="K112" s="259" t="s">
        <v>151</v>
      </c>
      <c r="L112" s="259" t="s">
        <v>149</v>
      </c>
      <c r="M112" s="259" t="s">
        <v>149</v>
      </c>
      <c r="N112" s="259" t="s">
        <v>149</v>
      </c>
      <c r="O112" s="259" t="s">
        <v>149</v>
      </c>
      <c r="P112" s="259" t="s">
        <v>149</v>
      </c>
      <c r="Q112" s="259" t="s">
        <v>149</v>
      </c>
      <c r="R112" s="259" t="s">
        <v>149</v>
      </c>
      <c r="S112" s="259" t="s">
        <v>149</v>
      </c>
      <c r="T112" s="259" t="s">
        <v>149</v>
      </c>
      <c r="U112" s="259" t="s">
        <v>149</v>
      </c>
      <c r="V112" s="259" t="s">
        <v>149</v>
      </c>
      <c r="W112" s="259" t="s">
        <v>149</v>
      </c>
      <c r="X112" s="260"/>
      <c r="Y112" s="260"/>
      <c r="Z112" s="260"/>
      <c r="AA112" s="259" t="s">
        <v>166</v>
      </c>
      <c r="AB112" s="263" t="s">
        <v>2737</v>
      </c>
      <c r="AE112" s="258">
        <v>1.0</v>
      </c>
      <c r="AF112" s="260"/>
    </row>
    <row r="113" ht="15.0" customHeight="1">
      <c r="A113" s="258">
        <v>112.0</v>
      </c>
      <c r="B113" s="259" t="s">
        <v>293</v>
      </c>
      <c r="C113" s="259" t="s">
        <v>294</v>
      </c>
      <c r="D113" s="259" t="s">
        <v>420</v>
      </c>
      <c r="E113" s="259" t="s">
        <v>708</v>
      </c>
      <c r="F113" s="259" t="s">
        <v>709</v>
      </c>
      <c r="H113" s="258">
        <v>2012.0</v>
      </c>
      <c r="I113" s="259" t="s">
        <v>149</v>
      </c>
      <c r="J113" s="259" t="s">
        <v>149</v>
      </c>
      <c r="K113" s="259" t="s">
        <v>151</v>
      </c>
      <c r="L113" s="259" t="s">
        <v>149</v>
      </c>
      <c r="M113" s="259" t="s">
        <v>149</v>
      </c>
      <c r="N113" s="259" t="s">
        <v>710</v>
      </c>
      <c r="O113" s="259" t="s">
        <v>369</v>
      </c>
      <c r="P113" s="259" t="s">
        <v>160</v>
      </c>
      <c r="Q113" s="259" t="s">
        <v>6035</v>
      </c>
      <c r="R113" s="259" t="s">
        <v>159</v>
      </c>
      <c r="S113" s="259" t="s">
        <v>149</v>
      </c>
      <c r="T113" s="259" t="s">
        <v>149</v>
      </c>
      <c r="U113" s="259" t="s">
        <v>149</v>
      </c>
      <c r="V113" s="259" t="s">
        <v>369</v>
      </c>
      <c r="W113" s="259" t="s">
        <v>6035</v>
      </c>
      <c r="X113" s="259" t="s">
        <v>711</v>
      </c>
      <c r="Y113" s="266"/>
      <c r="Z113" s="260"/>
      <c r="AA113" s="259" t="s">
        <v>213</v>
      </c>
      <c r="AB113" s="260"/>
      <c r="AC113" s="259" t="s">
        <v>712</v>
      </c>
      <c r="AD113" s="259" t="s">
        <v>7857</v>
      </c>
      <c r="AE113" s="258">
        <v>1.0</v>
      </c>
      <c r="AF113" s="260"/>
    </row>
    <row r="114">
      <c r="A114" s="258">
        <v>113.0</v>
      </c>
      <c r="B114" s="259" t="s">
        <v>293</v>
      </c>
      <c r="C114" s="259" t="s">
        <v>294</v>
      </c>
      <c r="D114" s="259" t="s">
        <v>1291</v>
      </c>
      <c r="E114" s="259" t="s">
        <v>1292</v>
      </c>
      <c r="F114" s="259" t="s">
        <v>1174</v>
      </c>
      <c r="H114" s="258">
        <v>2013.0</v>
      </c>
      <c r="I114" s="258">
        <v>2012.0</v>
      </c>
      <c r="J114" s="258">
        <v>2013.0</v>
      </c>
      <c r="K114" s="259" t="s">
        <v>6062</v>
      </c>
      <c r="L114" s="259" t="s">
        <v>320</v>
      </c>
      <c r="M114" s="259" t="s">
        <v>179</v>
      </c>
      <c r="N114" s="259" t="s">
        <v>149</v>
      </c>
      <c r="O114" s="259" t="s">
        <v>321</v>
      </c>
      <c r="P114" s="259" t="s">
        <v>160</v>
      </c>
      <c r="Q114" s="259" t="s">
        <v>6035</v>
      </c>
      <c r="R114" s="259" t="s">
        <v>159</v>
      </c>
      <c r="S114" s="259" t="s">
        <v>149</v>
      </c>
      <c r="T114" s="259" t="s">
        <v>149</v>
      </c>
      <c r="U114" s="259" t="s">
        <v>149</v>
      </c>
      <c r="V114" s="259" t="s">
        <v>885</v>
      </c>
      <c r="W114" s="259" t="s">
        <v>6068</v>
      </c>
      <c r="X114" s="259" t="s">
        <v>1287</v>
      </c>
      <c r="AA114" s="259" t="s">
        <v>6069</v>
      </c>
      <c r="AC114" s="260"/>
      <c r="AD114" s="260"/>
      <c r="AE114" s="258">
        <v>1.0</v>
      </c>
      <c r="AF114" s="260"/>
    </row>
    <row r="115">
      <c r="A115" s="258">
        <v>114.0</v>
      </c>
      <c r="B115" s="259" t="s">
        <v>293</v>
      </c>
      <c r="C115" s="259" t="s">
        <v>294</v>
      </c>
      <c r="D115" s="259" t="s">
        <v>1291</v>
      </c>
      <c r="E115" s="259" t="s">
        <v>1292</v>
      </c>
      <c r="F115" s="259" t="s">
        <v>1683</v>
      </c>
      <c r="H115" s="258">
        <v>2015.0</v>
      </c>
      <c r="I115" s="258">
        <v>2014.0</v>
      </c>
      <c r="J115" s="258">
        <v>2016.0</v>
      </c>
      <c r="K115" s="259" t="s">
        <v>6062</v>
      </c>
      <c r="L115" s="259" t="s">
        <v>320</v>
      </c>
      <c r="M115" s="259" t="s">
        <v>179</v>
      </c>
      <c r="N115" s="259" t="s">
        <v>149</v>
      </c>
      <c r="O115" s="259" t="s">
        <v>321</v>
      </c>
      <c r="P115" s="259" t="s">
        <v>160</v>
      </c>
      <c r="Q115" s="259" t="s">
        <v>6035</v>
      </c>
      <c r="R115" s="259" t="s">
        <v>159</v>
      </c>
      <c r="S115" s="259" t="s">
        <v>149</v>
      </c>
      <c r="T115" s="259" t="s">
        <v>149</v>
      </c>
      <c r="U115" s="259" t="s">
        <v>1706</v>
      </c>
      <c r="V115" s="259" t="s">
        <v>1703</v>
      </c>
      <c r="W115" s="259" t="s">
        <v>271</v>
      </c>
      <c r="X115" s="259" t="s">
        <v>1287</v>
      </c>
      <c r="AA115" s="259" t="s">
        <v>6027</v>
      </c>
      <c r="AB115" s="263" t="s">
        <v>6575</v>
      </c>
      <c r="AE115" s="258">
        <v>1.0</v>
      </c>
      <c r="AF115" s="260"/>
    </row>
    <row r="116">
      <c r="A116" s="258">
        <v>115.0</v>
      </c>
      <c r="B116" s="259" t="s">
        <v>293</v>
      </c>
      <c r="C116" s="259" t="s">
        <v>294</v>
      </c>
      <c r="D116" s="259" t="s">
        <v>1291</v>
      </c>
      <c r="E116" s="259" t="s">
        <v>1292</v>
      </c>
      <c r="F116" s="259" t="s">
        <v>149</v>
      </c>
      <c r="G116" s="260"/>
      <c r="H116" s="258">
        <v>2012.0</v>
      </c>
      <c r="I116" s="259" t="s">
        <v>149</v>
      </c>
      <c r="J116" s="259" t="s">
        <v>149</v>
      </c>
      <c r="K116" s="259" t="s">
        <v>151</v>
      </c>
      <c r="L116" s="259" t="s">
        <v>149</v>
      </c>
      <c r="M116" s="259" t="s">
        <v>149</v>
      </c>
      <c r="N116" s="259" t="s">
        <v>6551</v>
      </c>
      <c r="O116" s="259" t="s">
        <v>228</v>
      </c>
      <c r="P116" s="259" t="s">
        <v>160</v>
      </c>
      <c r="Q116" s="259" t="s">
        <v>6035</v>
      </c>
      <c r="R116" s="259" t="s">
        <v>159</v>
      </c>
      <c r="S116" s="259" t="s">
        <v>149</v>
      </c>
      <c r="T116" s="259" t="s">
        <v>149</v>
      </c>
      <c r="U116" s="259" t="s">
        <v>149</v>
      </c>
      <c r="V116" s="259" t="s">
        <v>228</v>
      </c>
      <c r="W116" s="259" t="s">
        <v>6035</v>
      </c>
      <c r="X116" s="259" t="s">
        <v>1628</v>
      </c>
      <c r="Y116" s="260"/>
      <c r="Z116" s="260"/>
      <c r="AA116" s="259" t="s">
        <v>166</v>
      </c>
      <c r="AB116" s="263" t="s">
        <v>2737</v>
      </c>
      <c r="AE116" s="258">
        <v>1.0</v>
      </c>
      <c r="AF116" s="260"/>
    </row>
    <row r="117">
      <c r="A117" s="258">
        <v>116.0</v>
      </c>
      <c r="B117" s="259" t="s">
        <v>293</v>
      </c>
      <c r="C117" s="259" t="s">
        <v>294</v>
      </c>
      <c r="D117" s="259" t="s">
        <v>1291</v>
      </c>
      <c r="E117" s="259" t="s">
        <v>1292</v>
      </c>
      <c r="F117" s="259" t="s">
        <v>149</v>
      </c>
      <c r="G117" s="260"/>
      <c r="H117" s="258">
        <v>2021.0</v>
      </c>
      <c r="I117" s="259" t="s">
        <v>149</v>
      </c>
      <c r="J117" s="259" t="s">
        <v>149</v>
      </c>
      <c r="K117" s="259" t="s">
        <v>151</v>
      </c>
      <c r="L117" s="259" t="s">
        <v>851</v>
      </c>
      <c r="M117" s="259" t="s">
        <v>851</v>
      </c>
      <c r="N117" s="259" t="s">
        <v>6556</v>
      </c>
      <c r="O117" s="259" t="s">
        <v>1941</v>
      </c>
      <c r="P117" s="259" t="s">
        <v>160</v>
      </c>
      <c r="Q117" s="259" t="s">
        <v>184</v>
      </c>
      <c r="R117" s="259" t="s">
        <v>159</v>
      </c>
      <c r="S117" s="259" t="s">
        <v>149</v>
      </c>
      <c r="T117" s="259" t="s">
        <v>149</v>
      </c>
      <c r="U117" s="259" t="s">
        <v>6557</v>
      </c>
      <c r="V117" s="259" t="s">
        <v>1941</v>
      </c>
      <c r="W117" s="259" t="s">
        <v>184</v>
      </c>
      <c r="X117" s="260"/>
      <c r="Y117" s="259" t="s">
        <v>1703</v>
      </c>
      <c r="AA117" s="259" t="s">
        <v>166</v>
      </c>
      <c r="AB117" s="263" t="s">
        <v>1945</v>
      </c>
      <c r="AE117" s="258">
        <v>1.0</v>
      </c>
      <c r="AF117" s="260"/>
    </row>
    <row r="118">
      <c r="A118" s="258">
        <v>117.0</v>
      </c>
      <c r="B118" s="259" t="s">
        <v>257</v>
      </c>
      <c r="C118" s="259" t="s">
        <v>1387</v>
      </c>
      <c r="D118" s="259" t="s">
        <v>1388</v>
      </c>
      <c r="E118" s="259" t="s">
        <v>1389</v>
      </c>
      <c r="F118" s="259" t="s">
        <v>1377</v>
      </c>
      <c r="H118" s="258">
        <v>1992.0</v>
      </c>
      <c r="I118" s="258">
        <v>1990.0</v>
      </c>
      <c r="J118" s="258">
        <v>1994.0</v>
      </c>
      <c r="K118" s="259" t="s">
        <v>151</v>
      </c>
      <c r="L118" s="259" t="s">
        <v>149</v>
      </c>
      <c r="M118" s="259" t="s">
        <v>149</v>
      </c>
      <c r="N118" s="259" t="s">
        <v>149</v>
      </c>
      <c r="O118" s="259" t="s">
        <v>8120</v>
      </c>
      <c r="P118" s="259" t="s">
        <v>205</v>
      </c>
      <c r="Q118" s="259" t="s">
        <v>8096</v>
      </c>
      <c r="R118" s="259" t="s">
        <v>159</v>
      </c>
      <c r="S118" s="259" t="s">
        <v>149</v>
      </c>
      <c r="T118" s="259" t="s">
        <v>149</v>
      </c>
      <c r="U118" s="259" t="s">
        <v>149</v>
      </c>
      <c r="V118" s="259" t="s">
        <v>660</v>
      </c>
      <c r="W118" s="259" t="s">
        <v>6035</v>
      </c>
      <c r="X118" s="259" t="s">
        <v>369</v>
      </c>
      <c r="Y118" s="260"/>
      <c r="Z118" s="260"/>
      <c r="AA118" s="259" t="s">
        <v>395</v>
      </c>
      <c r="AB118" s="263" t="s">
        <v>2873</v>
      </c>
      <c r="AC118" s="259" t="s">
        <v>398</v>
      </c>
      <c r="AE118" s="258">
        <v>1.0</v>
      </c>
      <c r="AF118" s="260"/>
    </row>
    <row r="119">
      <c r="A119" s="258">
        <v>118.0</v>
      </c>
      <c r="B119" s="259" t="s">
        <v>257</v>
      </c>
      <c r="C119" s="259" t="s">
        <v>258</v>
      </c>
      <c r="D119" s="259" t="s">
        <v>2424</v>
      </c>
      <c r="E119" s="259" t="s">
        <v>2425</v>
      </c>
      <c r="F119" s="259" t="s">
        <v>149</v>
      </c>
      <c r="G119" s="260"/>
      <c r="H119" s="258">
        <v>2002.0</v>
      </c>
      <c r="I119" s="259" t="s">
        <v>149</v>
      </c>
      <c r="J119" s="259" t="s">
        <v>149</v>
      </c>
      <c r="K119" s="259" t="s">
        <v>151</v>
      </c>
      <c r="L119" s="259" t="s">
        <v>149</v>
      </c>
      <c r="M119" s="259" t="s">
        <v>149</v>
      </c>
      <c r="N119" s="259" t="s">
        <v>6597</v>
      </c>
      <c r="O119" s="259" t="s">
        <v>2429</v>
      </c>
      <c r="P119" s="259" t="s">
        <v>160</v>
      </c>
      <c r="Q119" s="259" t="s">
        <v>184</v>
      </c>
      <c r="R119" s="259" t="s">
        <v>159</v>
      </c>
      <c r="S119" s="259" t="s">
        <v>149</v>
      </c>
      <c r="T119" s="259" t="s">
        <v>149</v>
      </c>
      <c r="U119" s="259" t="s">
        <v>2431</v>
      </c>
      <c r="V119" s="259" t="s">
        <v>2429</v>
      </c>
      <c r="W119" s="259" t="s">
        <v>184</v>
      </c>
      <c r="X119" s="260"/>
      <c r="Y119" s="260"/>
      <c r="Z119" s="260"/>
      <c r="AA119" s="259" t="s">
        <v>6027</v>
      </c>
      <c r="AB119" s="263" t="s">
        <v>2433</v>
      </c>
      <c r="AE119" s="258">
        <v>1.0</v>
      </c>
      <c r="AF119" s="260"/>
    </row>
    <row r="120">
      <c r="A120" s="258">
        <v>119.0</v>
      </c>
      <c r="B120" s="259" t="s">
        <v>257</v>
      </c>
      <c r="C120" s="259" t="s">
        <v>258</v>
      </c>
      <c r="D120" s="259" t="s">
        <v>2424</v>
      </c>
      <c r="E120" s="259" t="s">
        <v>2425</v>
      </c>
      <c r="F120" s="259" t="s">
        <v>149</v>
      </c>
      <c r="G120" s="260"/>
      <c r="H120" s="258">
        <v>2015.0</v>
      </c>
      <c r="I120" s="259" t="s">
        <v>149</v>
      </c>
      <c r="J120" s="259" t="s">
        <v>149</v>
      </c>
      <c r="K120" s="259" t="s">
        <v>151</v>
      </c>
      <c r="L120" s="259" t="s">
        <v>149</v>
      </c>
      <c r="M120" s="259" t="s">
        <v>149</v>
      </c>
      <c r="N120" s="259" t="s">
        <v>6597</v>
      </c>
      <c r="O120" s="259" t="s">
        <v>2429</v>
      </c>
      <c r="P120" s="259" t="s">
        <v>160</v>
      </c>
      <c r="Q120" s="259" t="s">
        <v>184</v>
      </c>
      <c r="R120" s="259" t="s">
        <v>159</v>
      </c>
      <c r="S120" s="259" t="s">
        <v>149</v>
      </c>
      <c r="T120" s="259" t="s">
        <v>149</v>
      </c>
      <c r="U120" s="259" t="s">
        <v>2435</v>
      </c>
      <c r="V120" s="259" t="s">
        <v>2429</v>
      </c>
      <c r="W120" s="259" t="s">
        <v>184</v>
      </c>
      <c r="X120" s="260"/>
      <c r="Y120" s="260"/>
      <c r="Z120" s="260"/>
      <c r="AA120" s="259" t="s">
        <v>6027</v>
      </c>
      <c r="AB120" s="263" t="s">
        <v>2433</v>
      </c>
      <c r="AE120" s="258">
        <v>1.0</v>
      </c>
      <c r="AF120" s="260"/>
    </row>
    <row r="121">
      <c r="A121" s="258">
        <v>120.0</v>
      </c>
      <c r="B121" s="259" t="s">
        <v>257</v>
      </c>
      <c r="C121" s="259" t="s">
        <v>258</v>
      </c>
      <c r="D121" s="259" t="s">
        <v>2609</v>
      </c>
      <c r="E121" s="259" t="s">
        <v>2610</v>
      </c>
      <c r="F121" s="259" t="s">
        <v>149</v>
      </c>
      <c r="G121" s="259" t="s">
        <v>8012</v>
      </c>
      <c r="H121" s="259" t="s">
        <v>149</v>
      </c>
      <c r="I121" s="259" t="s">
        <v>149</v>
      </c>
      <c r="J121" s="259" t="s">
        <v>149</v>
      </c>
      <c r="K121" s="259" t="s">
        <v>151</v>
      </c>
      <c r="L121" s="259" t="s">
        <v>2612</v>
      </c>
      <c r="M121" s="259" t="s">
        <v>2612</v>
      </c>
      <c r="N121" s="259" t="s">
        <v>6602</v>
      </c>
      <c r="O121" s="259" t="s">
        <v>2614</v>
      </c>
      <c r="P121" s="259" t="s">
        <v>160</v>
      </c>
      <c r="Q121" s="259" t="s">
        <v>184</v>
      </c>
      <c r="R121" s="259" t="s">
        <v>159</v>
      </c>
      <c r="S121" s="259" t="s">
        <v>149</v>
      </c>
      <c r="T121" s="259" t="s">
        <v>149</v>
      </c>
      <c r="U121" s="259" t="s">
        <v>149</v>
      </c>
      <c r="V121" s="259" t="s">
        <v>2614</v>
      </c>
      <c r="W121" s="259" t="s">
        <v>184</v>
      </c>
      <c r="X121" s="260"/>
      <c r="Y121" s="260"/>
      <c r="Z121" s="260"/>
      <c r="AA121" s="259" t="s">
        <v>6027</v>
      </c>
      <c r="AB121" s="263" t="s">
        <v>2616</v>
      </c>
      <c r="AE121" s="258">
        <v>1.0</v>
      </c>
      <c r="AF121" s="260"/>
    </row>
    <row r="122">
      <c r="A122" s="258">
        <v>121.0</v>
      </c>
      <c r="B122" s="259" t="s">
        <v>257</v>
      </c>
      <c r="C122" s="259" t="s">
        <v>258</v>
      </c>
      <c r="D122" s="259" t="s">
        <v>6577</v>
      </c>
      <c r="E122" s="259" t="s">
        <v>2310</v>
      </c>
      <c r="F122" s="259" t="s">
        <v>149</v>
      </c>
      <c r="G122" s="260"/>
      <c r="H122" s="258">
        <v>1990.0</v>
      </c>
      <c r="I122" s="259" t="s">
        <v>149</v>
      </c>
      <c r="J122" s="259" t="s">
        <v>149</v>
      </c>
      <c r="K122" s="259" t="s">
        <v>151</v>
      </c>
      <c r="L122" s="259" t="s">
        <v>149</v>
      </c>
      <c r="M122" s="259" t="s">
        <v>149</v>
      </c>
      <c r="N122" s="259" t="s">
        <v>6506</v>
      </c>
      <c r="O122" s="259" t="s">
        <v>149</v>
      </c>
      <c r="P122" s="259" t="s">
        <v>149</v>
      </c>
      <c r="Q122" s="259" t="s">
        <v>149</v>
      </c>
      <c r="R122" s="259" t="s">
        <v>149</v>
      </c>
      <c r="S122" s="259" t="s">
        <v>149</v>
      </c>
      <c r="T122" s="259" t="s">
        <v>149</v>
      </c>
      <c r="U122" s="259" t="s">
        <v>149</v>
      </c>
      <c r="V122" s="259" t="s">
        <v>2304</v>
      </c>
      <c r="W122" s="259" t="s">
        <v>184</v>
      </c>
      <c r="X122" s="259" t="s">
        <v>6507</v>
      </c>
      <c r="AA122" s="259" t="s">
        <v>8092</v>
      </c>
      <c r="AC122" s="260"/>
      <c r="AD122" s="260"/>
      <c r="AE122" s="258">
        <v>1.0</v>
      </c>
      <c r="AF122" s="260"/>
    </row>
    <row r="123">
      <c r="A123" s="258">
        <v>122.0</v>
      </c>
      <c r="B123" s="259" t="s">
        <v>257</v>
      </c>
      <c r="C123" s="259" t="s">
        <v>258</v>
      </c>
      <c r="D123" s="259" t="s">
        <v>1752</v>
      </c>
      <c r="E123" s="259" t="s">
        <v>1753</v>
      </c>
      <c r="F123" s="259" t="s">
        <v>6609</v>
      </c>
      <c r="H123" s="258">
        <v>2019.0</v>
      </c>
      <c r="I123" s="259" t="s">
        <v>149</v>
      </c>
      <c r="J123" s="259" t="s">
        <v>149</v>
      </c>
      <c r="K123" s="259" t="s">
        <v>151</v>
      </c>
      <c r="L123" s="259" t="s">
        <v>790</v>
      </c>
      <c r="M123" s="259" t="s">
        <v>790</v>
      </c>
      <c r="N123" s="259" t="s">
        <v>2513</v>
      </c>
      <c r="O123" s="259" t="s">
        <v>1757</v>
      </c>
      <c r="P123" s="259" t="s">
        <v>160</v>
      </c>
      <c r="Q123" s="259" t="s">
        <v>6035</v>
      </c>
      <c r="R123" s="259" t="s">
        <v>159</v>
      </c>
      <c r="S123" s="259" t="s">
        <v>149</v>
      </c>
      <c r="T123" s="259" t="s">
        <v>149</v>
      </c>
      <c r="U123" s="263" t="s">
        <v>8137</v>
      </c>
      <c r="V123" s="259" t="s">
        <v>1757</v>
      </c>
      <c r="W123" s="259" t="s">
        <v>6035</v>
      </c>
      <c r="X123" s="259" t="s">
        <v>6582</v>
      </c>
      <c r="Y123" s="259" t="s">
        <v>1759</v>
      </c>
      <c r="AA123" s="259" t="s">
        <v>166</v>
      </c>
      <c r="AB123" s="259" t="s">
        <v>6583</v>
      </c>
      <c r="AE123" s="258">
        <v>1.0</v>
      </c>
      <c r="AF123" s="260"/>
    </row>
    <row r="124">
      <c r="A124" s="258">
        <v>123.0</v>
      </c>
      <c r="B124" s="259" t="s">
        <v>257</v>
      </c>
      <c r="C124" s="259" t="s">
        <v>258</v>
      </c>
      <c r="D124" s="259" t="s">
        <v>1752</v>
      </c>
      <c r="E124" s="259" t="s">
        <v>1753</v>
      </c>
      <c r="F124" s="259" t="s">
        <v>149</v>
      </c>
      <c r="G124" s="260"/>
      <c r="H124" s="258">
        <v>2009.0</v>
      </c>
      <c r="I124" s="259" t="s">
        <v>149</v>
      </c>
      <c r="J124" s="259" t="s">
        <v>149</v>
      </c>
      <c r="K124" s="259" t="s">
        <v>151</v>
      </c>
      <c r="L124" s="259" t="s">
        <v>149</v>
      </c>
      <c r="M124" s="259" t="s">
        <v>149</v>
      </c>
      <c r="N124" s="259" t="s">
        <v>149</v>
      </c>
      <c r="O124" s="259" t="s">
        <v>872</v>
      </c>
      <c r="P124" s="259" t="s">
        <v>160</v>
      </c>
      <c r="Q124" s="259" t="s">
        <v>306</v>
      </c>
      <c r="R124" s="259" t="s">
        <v>159</v>
      </c>
      <c r="S124" s="259" t="s">
        <v>149</v>
      </c>
      <c r="T124" s="259" t="s">
        <v>149</v>
      </c>
      <c r="U124" s="259" t="s">
        <v>149</v>
      </c>
      <c r="V124" s="259" t="s">
        <v>872</v>
      </c>
      <c r="W124" s="259" t="s">
        <v>306</v>
      </c>
      <c r="X124" s="260"/>
      <c r="Y124" s="260"/>
      <c r="Z124" s="260"/>
      <c r="AA124" s="259" t="s">
        <v>6027</v>
      </c>
      <c r="AB124" s="263" t="s">
        <v>875</v>
      </c>
      <c r="AE124" s="258">
        <v>1.0</v>
      </c>
      <c r="AF124" s="260"/>
    </row>
    <row r="125">
      <c r="A125" s="258">
        <v>124.0</v>
      </c>
      <c r="B125" s="259" t="s">
        <v>257</v>
      </c>
      <c r="C125" s="259" t="s">
        <v>258</v>
      </c>
      <c r="D125" s="259" t="s">
        <v>1752</v>
      </c>
      <c r="E125" s="259" t="s">
        <v>1753</v>
      </c>
      <c r="F125" s="259" t="s">
        <v>149</v>
      </c>
      <c r="G125" s="260"/>
      <c r="H125" s="258">
        <v>2022.0</v>
      </c>
      <c r="I125" s="259" t="s">
        <v>149</v>
      </c>
      <c r="J125" s="259" t="s">
        <v>149</v>
      </c>
      <c r="K125" s="259" t="s">
        <v>151</v>
      </c>
      <c r="L125" s="259" t="s">
        <v>149</v>
      </c>
      <c r="M125" s="259" t="s">
        <v>149</v>
      </c>
      <c r="N125" s="259" t="s">
        <v>6863</v>
      </c>
      <c r="O125" s="259" t="s">
        <v>6619</v>
      </c>
      <c r="P125" s="259" t="s">
        <v>160</v>
      </c>
      <c r="Q125" s="259" t="s">
        <v>6035</v>
      </c>
      <c r="R125" s="259" t="s">
        <v>159</v>
      </c>
      <c r="S125" s="259" t="s">
        <v>149</v>
      </c>
      <c r="T125" s="259" t="s">
        <v>149</v>
      </c>
      <c r="U125" s="259" t="s">
        <v>149</v>
      </c>
      <c r="V125" s="259" t="s">
        <v>8138</v>
      </c>
      <c r="W125" s="259" t="s">
        <v>6035</v>
      </c>
      <c r="Y125" s="260"/>
      <c r="Z125" s="260"/>
      <c r="AA125" s="259" t="s">
        <v>166</v>
      </c>
      <c r="AB125" s="263" t="s">
        <v>6620</v>
      </c>
      <c r="AE125" s="258">
        <v>1.0</v>
      </c>
      <c r="AF125" s="260"/>
    </row>
    <row r="126">
      <c r="A126" s="258">
        <v>125.0</v>
      </c>
      <c r="B126" s="259" t="s">
        <v>257</v>
      </c>
      <c r="C126" s="259" t="s">
        <v>258</v>
      </c>
      <c r="D126" s="259" t="s">
        <v>1752</v>
      </c>
      <c r="E126" s="259" t="s">
        <v>1753</v>
      </c>
      <c r="F126" s="259" t="s">
        <v>6587</v>
      </c>
      <c r="G126" s="260"/>
      <c r="H126" s="258">
        <v>2018.0</v>
      </c>
      <c r="I126" s="259" t="s">
        <v>149</v>
      </c>
      <c r="J126" s="259" t="s">
        <v>149</v>
      </c>
      <c r="K126" s="259" t="s">
        <v>151</v>
      </c>
      <c r="L126" s="259" t="s">
        <v>149</v>
      </c>
      <c r="M126" s="259" t="s">
        <v>149</v>
      </c>
      <c r="N126" s="259" t="s">
        <v>149</v>
      </c>
      <c r="O126" s="259" t="s">
        <v>341</v>
      </c>
      <c r="P126" s="259" t="s">
        <v>160</v>
      </c>
      <c r="Q126" s="259" t="s">
        <v>6035</v>
      </c>
      <c r="R126" s="259" t="s">
        <v>159</v>
      </c>
      <c r="S126" s="259" t="s">
        <v>149</v>
      </c>
      <c r="T126" s="259" t="s">
        <v>149</v>
      </c>
      <c r="U126" s="259" t="s">
        <v>149</v>
      </c>
      <c r="V126" s="259" t="s">
        <v>341</v>
      </c>
      <c r="W126" s="259" t="s">
        <v>6035</v>
      </c>
      <c r="Y126" s="260"/>
      <c r="Z126" s="260"/>
      <c r="AA126" s="259" t="s">
        <v>166</v>
      </c>
      <c r="AB126" s="263" t="s">
        <v>6622</v>
      </c>
      <c r="AE126" s="258">
        <v>1.0</v>
      </c>
      <c r="AF126" s="260"/>
    </row>
    <row r="127">
      <c r="A127" s="258">
        <v>126.0</v>
      </c>
      <c r="B127" s="259" t="s">
        <v>257</v>
      </c>
      <c r="C127" s="259" t="s">
        <v>258</v>
      </c>
      <c r="D127" s="259" t="s">
        <v>1752</v>
      </c>
      <c r="E127" s="259" t="s">
        <v>1753</v>
      </c>
      <c r="F127" s="259" t="s">
        <v>6587</v>
      </c>
      <c r="G127" s="259" t="s">
        <v>6631</v>
      </c>
      <c r="H127" s="259" t="s">
        <v>149</v>
      </c>
      <c r="I127" s="259" t="s">
        <v>149</v>
      </c>
      <c r="J127" s="259" t="s">
        <v>149</v>
      </c>
      <c r="K127" s="259" t="s">
        <v>6062</v>
      </c>
      <c r="L127" s="259" t="s">
        <v>320</v>
      </c>
      <c r="M127" s="259" t="s">
        <v>179</v>
      </c>
      <c r="N127" s="259" t="s">
        <v>149</v>
      </c>
      <c r="O127" s="259" t="s">
        <v>341</v>
      </c>
      <c r="P127" s="259" t="s">
        <v>160</v>
      </c>
      <c r="Q127" s="259" t="s">
        <v>6035</v>
      </c>
      <c r="R127" s="259" t="s">
        <v>159</v>
      </c>
      <c r="S127" s="259" t="s">
        <v>149</v>
      </c>
      <c r="T127" s="259" t="s">
        <v>149</v>
      </c>
      <c r="U127" s="259" t="s">
        <v>149</v>
      </c>
      <c r="V127" s="259" t="s">
        <v>341</v>
      </c>
      <c r="W127" s="259" t="s">
        <v>6035</v>
      </c>
      <c r="Y127" s="260"/>
      <c r="Z127" s="260"/>
      <c r="AA127" s="259" t="s">
        <v>6027</v>
      </c>
      <c r="AB127" s="263" t="s">
        <v>6632</v>
      </c>
      <c r="AE127" s="258">
        <v>1.0</v>
      </c>
      <c r="AF127" s="260"/>
    </row>
    <row r="128">
      <c r="A128" s="258">
        <v>127.0</v>
      </c>
      <c r="B128" s="259" t="s">
        <v>257</v>
      </c>
      <c r="C128" s="259" t="s">
        <v>258</v>
      </c>
      <c r="D128" s="259" t="s">
        <v>1890</v>
      </c>
      <c r="E128" s="259" t="s">
        <v>1891</v>
      </c>
      <c r="F128" s="259" t="s">
        <v>1892</v>
      </c>
      <c r="H128" s="258">
        <v>2017.0</v>
      </c>
      <c r="I128" s="259" t="s">
        <v>149</v>
      </c>
      <c r="J128" s="259" t="s">
        <v>149</v>
      </c>
      <c r="K128" s="259" t="s">
        <v>151</v>
      </c>
      <c r="L128" s="259" t="s">
        <v>149</v>
      </c>
      <c r="M128" s="259" t="s">
        <v>149</v>
      </c>
      <c r="N128" s="259" t="s">
        <v>149</v>
      </c>
      <c r="O128" s="259" t="s">
        <v>149</v>
      </c>
      <c r="P128" s="259" t="s">
        <v>149</v>
      </c>
      <c r="Q128" s="259" t="s">
        <v>149</v>
      </c>
      <c r="R128" s="259" t="s">
        <v>149</v>
      </c>
      <c r="S128" s="259" t="s">
        <v>149</v>
      </c>
      <c r="T128" s="259" t="s">
        <v>149</v>
      </c>
      <c r="U128" s="259" t="s">
        <v>149</v>
      </c>
      <c r="V128" s="259" t="s">
        <v>369</v>
      </c>
      <c r="W128" s="259" t="s">
        <v>6035</v>
      </c>
      <c r="X128" s="259" t="s">
        <v>341</v>
      </c>
      <c r="Y128" s="259" t="s">
        <v>1896</v>
      </c>
      <c r="AA128" s="259" t="s">
        <v>6027</v>
      </c>
      <c r="AB128" s="263" t="s">
        <v>1899</v>
      </c>
      <c r="AE128" s="258">
        <v>1.0</v>
      </c>
      <c r="AF128" s="260"/>
    </row>
    <row r="129">
      <c r="A129" s="258">
        <v>128.0</v>
      </c>
      <c r="B129" s="259" t="s">
        <v>257</v>
      </c>
      <c r="C129" s="259" t="s">
        <v>258</v>
      </c>
      <c r="D129" s="259" t="s">
        <v>1958</v>
      </c>
      <c r="E129" s="259" t="s">
        <v>1959</v>
      </c>
      <c r="F129" s="259" t="s">
        <v>149</v>
      </c>
      <c r="G129" s="260"/>
      <c r="H129" s="258">
        <v>2014.0</v>
      </c>
      <c r="I129" s="259" t="s">
        <v>149</v>
      </c>
      <c r="J129" s="259" t="s">
        <v>149</v>
      </c>
      <c r="K129" s="259" t="s">
        <v>151</v>
      </c>
      <c r="L129" s="259" t="s">
        <v>149</v>
      </c>
      <c r="M129" s="259" t="s">
        <v>149</v>
      </c>
      <c r="N129" s="259" t="s">
        <v>149</v>
      </c>
      <c r="O129" s="259" t="s">
        <v>369</v>
      </c>
      <c r="P129" s="259" t="s">
        <v>160</v>
      </c>
      <c r="Q129" s="259" t="s">
        <v>6035</v>
      </c>
      <c r="R129" s="259" t="s">
        <v>159</v>
      </c>
      <c r="S129" s="259" t="s">
        <v>149</v>
      </c>
      <c r="T129" s="259" t="s">
        <v>149</v>
      </c>
      <c r="U129" s="259" t="s">
        <v>149</v>
      </c>
      <c r="V129" s="259" t="s">
        <v>369</v>
      </c>
      <c r="W129" s="259" t="s">
        <v>6035</v>
      </c>
      <c r="X129" s="259" t="s">
        <v>390</v>
      </c>
      <c r="Y129" s="260"/>
      <c r="Z129" s="260"/>
      <c r="AA129" s="259" t="s">
        <v>166</v>
      </c>
      <c r="AB129" s="263" t="s">
        <v>2446</v>
      </c>
      <c r="AE129" s="258">
        <v>1.0</v>
      </c>
      <c r="AF129" s="260"/>
    </row>
    <row r="130">
      <c r="A130" s="258">
        <v>129.0</v>
      </c>
      <c r="B130" s="259" t="s">
        <v>257</v>
      </c>
      <c r="C130" s="259" t="s">
        <v>258</v>
      </c>
      <c r="D130" s="259" t="s">
        <v>1958</v>
      </c>
      <c r="E130" s="259" t="s">
        <v>1959</v>
      </c>
      <c r="F130" s="259" t="s">
        <v>149</v>
      </c>
      <c r="G130" s="260"/>
      <c r="H130" s="258">
        <v>2015.0</v>
      </c>
      <c r="I130" s="259" t="s">
        <v>149</v>
      </c>
      <c r="J130" s="259" t="s">
        <v>149</v>
      </c>
      <c r="K130" s="259" t="s">
        <v>151</v>
      </c>
      <c r="L130" s="259" t="s">
        <v>149</v>
      </c>
      <c r="M130" s="259" t="s">
        <v>149</v>
      </c>
      <c r="N130" s="259" t="s">
        <v>149</v>
      </c>
      <c r="O130" s="259" t="s">
        <v>369</v>
      </c>
      <c r="P130" s="259" t="s">
        <v>160</v>
      </c>
      <c r="Q130" s="259" t="s">
        <v>6035</v>
      </c>
      <c r="R130" s="259" t="s">
        <v>159</v>
      </c>
      <c r="S130" s="259" t="s">
        <v>149</v>
      </c>
      <c r="T130" s="259" t="s">
        <v>149</v>
      </c>
      <c r="U130" s="259" t="s">
        <v>149</v>
      </c>
      <c r="V130" s="259" t="s">
        <v>369</v>
      </c>
      <c r="W130" s="259" t="s">
        <v>6035</v>
      </c>
      <c r="X130" s="259" t="s">
        <v>390</v>
      </c>
      <c r="Y130" s="260"/>
      <c r="Z130" s="260"/>
      <c r="AA130" s="259" t="s">
        <v>166</v>
      </c>
      <c r="AB130" s="263" t="s">
        <v>2446</v>
      </c>
      <c r="AE130" s="258">
        <v>1.0</v>
      </c>
      <c r="AF130" s="260"/>
    </row>
    <row r="131">
      <c r="A131" s="258">
        <v>130.0</v>
      </c>
      <c r="B131" s="259" t="s">
        <v>257</v>
      </c>
      <c r="C131" s="259" t="s">
        <v>258</v>
      </c>
      <c r="D131" s="259" t="s">
        <v>1958</v>
      </c>
      <c r="E131" s="259" t="s">
        <v>1959</v>
      </c>
      <c r="F131" s="259" t="s">
        <v>149</v>
      </c>
      <c r="G131" s="260"/>
      <c r="H131" s="258">
        <v>2016.0</v>
      </c>
      <c r="I131" s="259" t="s">
        <v>149</v>
      </c>
      <c r="J131" s="259" t="s">
        <v>149</v>
      </c>
      <c r="K131" s="259" t="s">
        <v>151</v>
      </c>
      <c r="L131" s="259" t="s">
        <v>149</v>
      </c>
      <c r="M131" s="259" t="s">
        <v>149</v>
      </c>
      <c r="N131" s="259" t="s">
        <v>149</v>
      </c>
      <c r="O131" s="259" t="s">
        <v>369</v>
      </c>
      <c r="P131" s="259" t="s">
        <v>160</v>
      </c>
      <c r="Q131" s="259" t="s">
        <v>6035</v>
      </c>
      <c r="R131" s="259" t="s">
        <v>159</v>
      </c>
      <c r="S131" s="259" t="s">
        <v>149</v>
      </c>
      <c r="T131" s="259" t="s">
        <v>149</v>
      </c>
      <c r="U131" s="259" t="s">
        <v>149</v>
      </c>
      <c r="V131" s="259" t="s">
        <v>369</v>
      </c>
      <c r="W131" s="259" t="s">
        <v>6035</v>
      </c>
      <c r="X131" s="259" t="s">
        <v>390</v>
      </c>
      <c r="Y131" s="260"/>
      <c r="Z131" s="260"/>
      <c r="AA131" s="259" t="s">
        <v>166</v>
      </c>
      <c r="AB131" s="263" t="s">
        <v>2446</v>
      </c>
      <c r="AE131" s="258">
        <v>1.0</v>
      </c>
      <c r="AF131" s="260"/>
    </row>
    <row r="132">
      <c r="A132" s="258">
        <v>131.0</v>
      </c>
      <c r="B132" s="259" t="s">
        <v>257</v>
      </c>
      <c r="C132" s="259" t="s">
        <v>258</v>
      </c>
      <c r="D132" s="259" t="s">
        <v>1255</v>
      </c>
      <c r="E132" s="259" t="s">
        <v>1256</v>
      </c>
      <c r="F132" s="259" t="s">
        <v>1901</v>
      </c>
      <c r="H132" s="258">
        <v>2017.0</v>
      </c>
      <c r="I132" s="259" t="s">
        <v>149</v>
      </c>
      <c r="J132" s="259" t="s">
        <v>149</v>
      </c>
      <c r="K132" s="259" t="s">
        <v>6624</v>
      </c>
      <c r="L132" s="259" t="s">
        <v>6288</v>
      </c>
      <c r="M132" s="259" t="s">
        <v>179</v>
      </c>
      <c r="N132" s="259" t="s">
        <v>8020</v>
      </c>
      <c r="O132" s="259" t="s">
        <v>1906</v>
      </c>
      <c r="P132" s="259" t="s">
        <v>160</v>
      </c>
      <c r="Q132" s="259" t="s">
        <v>184</v>
      </c>
      <c r="R132" s="259" t="s">
        <v>159</v>
      </c>
      <c r="S132" s="259" t="s">
        <v>149</v>
      </c>
      <c r="T132" s="259" t="s">
        <v>149</v>
      </c>
      <c r="U132" s="259" t="s">
        <v>149</v>
      </c>
      <c r="V132" s="259" t="s">
        <v>1906</v>
      </c>
      <c r="W132" s="259" t="s">
        <v>184</v>
      </c>
      <c r="X132" s="260"/>
      <c r="Y132" s="260"/>
      <c r="Z132" s="260"/>
      <c r="AA132" s="259" t="s">
        <v>6091</v>
      </c>
      <c r="AB132" s="263" t="s">
        <v>1908</v>
      </c>
      <c r="AE132" s="258">
        <v>1.0</v>
      </c>
      <c r="AF132" s="260"/>
    </row>
    <row r="133">
      <c r="A133" s="258">
        <v>132.0</v>
      </c>
      <c r="B133" s="259" t="s">
        <v>257</v>
      </c>
      <c r="C133" s="259" t="s">
        <v>258</v>
      </c>
      <c r="D133" s="259" t="s">
        <v>1255</v>
      </c>
      <c r="E133" s="259" t="s">
        <v>1256</v>
      </c>
      <c r="F133" s="259" t="s">
        <v>1174</v>
      </c>
      <c r="H133" s="258">
        <v>2013.0</v>
      </c>
      <c r="I133" s="258">
        <v>2012.0</v>
      </c>
      <c r="J133" s="258">
        <v>2013.0</v>
      </c>
      <c r="K133" s="259" t="s">
        <v>6062</v>
      </c>
      <c r="L133" s="259" t="s">
        <v>320</v>
      </c>
      <c r="M133" s="259" t="s">
        <v>179</v>
      </c>
      <c r="N133" s="259" t="s">
        <v>149</v>
      </c>
      <c r="O133" s="259" t="s">
        <v>321</v>
      </c>
      <c r="P133" s="259" t="s">
        <v>160</v>
      </c>
      <c r="Q133" s="259" t="s">
        <v>6035</v>
      </c>
      <c r="R133" s="259" t="s">
        <v>159</v>
      </c>
      <c r="S133" s="259" t="s">
        <v>149</v>
      </c>
      <c r="T133" s="259" t="s">
        <v>149</v>
      </c>
      <c r="U133" s="259" t="s">
        <v>6655</v>
      </c>
      <c r="V133" s="259" t="s">
        <v>885</v>
      </c>
      <c r="W133" s="259" t="s">
        <v>6068</v>
      </c>
      <c r="X133" s="259" t="s">
        <v>1259</v>
      </c>
      <c r="AA133" s="259" t="s">
        <v>6069</v>
      </c>
      <c r="AC133" s="260"/>
      <c r="AD133" s="260"/>
      <c r="AE133" s="258">
        <v>1.0</v>
      </c>
      <c r="AF133" s="260"/>
    </row>
    <row r="134">
      <c r="A134" s="258">
        <v>133.0</v>
      </c>
      <c r="B134" s="259" t="s">
        <v>257</v>
      </c>
      <c r="C134" s="259" t="s">
        <v>258</v>
      </c>
      <c r="D134" s="259" t="s">
        <v>1255</v>
      </c>
      <c r="E134" s="259" t="s">
        <v>1256</v>
      </c>
      <c r="F134" s="259" t="s">
        <v>6659</v>
      </c>
      <c r="H134" s="258">
        <v>2016.0</v>
      </c>
      <c r="I134" s="259" t="s">
        <v>149</v>
      </c>
      <c r="J134" s="259" t="s">
        <v>149</v>
      </c>
      <c r="K134" s="259" t="s">
        <v>151</v>
      </c>
      <c r="L134" s="259" t="s">
        <v>2082</v>
      </c>
      <c r="M134" s="259" t="s">
        <v>2082</v>
      </c>
      <c r="N134" s="259" t="s">
        <v>6660</v>
      </c>
      <c r="O134" s="259" t="s">
        <v>2086</v>
      </c>
      <c r="P134" s="259" t="s">
        <v>160</v>
      </c>
      <c r="Q134" s="259" t="s">
        <v>184</v>
      </c>
      <c r="R134" s="259" t="s">
        <v>159</v>
      </c>
      <c r="S134" s="259" t="s">
        <v>149</v>
      </c>
      <c r="T134" s="259" t="s">
        <v>149</v>
      </c>
      <c r="U134" s="259" t="s">
        <v>149</v>
      </c>
      <c r="V134" s="259" t="s">
        <v>6661</v>
      </c>
      <c r="W134" s="259" t="s">
        <v>6035</v>
      </c>
      <c r="Y134" s="260"/>
      <c r="Z134" s="260"/>
      <c r="AA134" s="259" t="s">
        <v>166</v>
      </c>
      <c r="AB134" s="263" t="s">
        <v>2090</v>
      </c>
      <c r="AE134" s="258">
        <v>1.0</v>
      </c>
      <c r="AF134" s="260"/>
    </row>
    <row r="135">
      <c r="A135" s="258">
        <v>134.0</v>
      </c>
      <c r="B135" s="259" t="s">
        <v>257</v>
      </c>
      <c r="C135" s="259" t="s">
        <v>258</v>
      </c>
      <c r="D135" s="259" t="s">
        <v>259</v>
      </c>
      <c r="E135" s="259" t="s">
        <v>260</v>
      </c>
      <c r="F135" s="259" t="s">
        <v>261</v>
      </c>
      <c r="H135" s="258">
        <v>2015.0</v>
      </c>
      <c r="I135" s="259" t="s">
        <v>149</v>
      </c>
      <c r="J135" s="259" t="s">
        <v>149</v>
      </c>
      <c r="K135" s="259" t="s">
        <v>6624</v>
      </c>
      <c r="L135" s="259" t="s">
        <v>6666</v>
      </c>
      <c r="M135" s="259" t="s">
        <v>179</v>
      </c>
      <c r="N135" s="259" t="s">
        <v>6667</v>
      </c>
      <c r="O135" s="259" t="s">
        <v>270</v>
      </c>
      <c r="P135" s="259" t="s">
        <v>160</v>
      </c>
      <c r="Q135" s="259" t="s">
        <v>306</v>
      </c>
      <c r="R135" s="259" t="s">
        <v>159</v>
      </c>
      <c r="S135" s="259" t="s">
        <v>149</v>
      </c>
      <c r="T135" s="259" t="s">
        <v>149</v>
      </c>
      <c r="U135" s="259" t="s">
        <v>149</v>
      </c>
      <c r="V135" s="259" t="s">
        <v>6643</v>
      </c>
      <c r="W135" s="259" t="s">
        <v>306</v>
      </c>
      <c r="X135" s="260"/>
      <c r="Y135" s="260"/>
      <c r="Z135" s="260"/>
      <c r="AA135" s="259" t="s">
        <v>8092</v>
      </c>
      <c r="AC135" s="260"/>
      <c r="AD135" s="260"/>
      <c r="AE135" s="258">
        <v>1.0</v>
      </c>
      <c r="AF135" s="260"/>
    </row>
    <row r="136">
      <c r="A136" s="258">
        <v>135.0</v>
      </c>
      <c r="B136" s="259" t="s">
        <v>257</v>
      </c>
      <c r="C136" s="259" t="s">
        <v>258</v>
      </c>
      <c r="D136" s="259" t="s">
        <v>259</v>
      </c>
      <c r="E136" s="259" t="s">
        <v>260</v>
      </c>
      <c r="F136" s="259" t="s">
        <v>149</v>
      </c>
      <c r="G136" s="260"/>
      <c r="H136" s="258">
        <v>2018.0</v>
      </c>
      <c r="I136" s="259" t="s">
        <v>149</v>
      </c>
      <c r="J136" s="259" t="s">
        <v>149</v>
      </c>
      <c r="K136" s="259" t="s">
        <v>151</v>
      </c>
      <c r="L136" s="259" t="s">
        <v>149</v>
      </c>
      <c r="M136" s="259" t="s">
        <v>149</v>
      </c>
      <c r="N136" s="259" t="s">
        <v>149</v>
      </c>
      <c r="O136" s="259" t="s">
        <v>6671</v>
      </c>
      <c r="P136" s="259" t="s">
        <v>160</v>
      </c>
      <c r="Q136" s="259" t="s">
        <v>6035</v>
      </c>
      <c r="R136" s="259" t="s">
        <v>159</v>
      </c>
      <c r="S136" s="259" t="s">
        <v>149</v>
      </c>
      <c r="T136" s="259" t="s">
        <v>149</v>
      </c>
      <c r="U136" s="259" t="s">
        <v>149</v>
      </c>
      <c r="V136" s="259" t="s">
        <v>6672</v>
      </c>
      <c r="W136" s="259" t="s">
        <v>6035</v>
      </c>
      <c r="X136" s="259" t="s">
        <v>341</v>
      </c>
      <c r="Y136" s="259" t="s">
        <v>6673</v>
      </c>
      <c r="Z136" s="259" t="s">
        <v>3042</v>
      </c>
      <c r="AA136" s="259" t="s">
        <v>6027</v>
      </c>
      <c r="AB136" s="263" t="s">
        <v>3044</v>
      </c>
      <c r="AE136" s="258">
        <v>1.0</v>
      </c>
      <c r="AF136" s="260"/>
    </row>
    <row r="137">
      <c r="A137" s="258">
        <v>136.0</v>
      </c>
      <c r="B137" s="259" t="s">
        <v>257</v>
      </c>
      <c r="C137" s="259" t="s">
        <v>258</v>
      </c>
      <c r="D137" s="259" t="s">
        <v>1667</v>
      </c>
      <c r="E137" s="259" t="s">
        <v>3010</v>
      </c>
      <c r="F137" s="259" t="s">
        <v>149</v>
      </c>
      <c r="G137" s="260"/>
      <c r="H137" s="258">
        <v>1984.0</v>
      </c>
      <c r="I137" s="259" t="s">
        <v>149</v>
      </c>
      <c r="J137" s="259" t="s">
        <v>149</v>
      </c>
      <c r="K137" s="259" t="s">
        <v>151</v>
      </c>
      <c r="L137" s="259" t="s">
        <v>149</v>
      </c>
      <c r="M137" s="259" t="s">
        <v>149</v>
      </c>
      <c r="N137" s="259" t="s">
        <v>149</v>
      </c>
      <c r="O137" s="259" t="s">
        <v>149</v>
      </c>
      <c r="P137" s="259" t="s">
        <v>149</v>
      </c>
      <c r="Q137" s="259" t="s">
        <v>149</v>
      </c>
      <c r="R137" s="259" t="s">
        <v>149</v>
      </c>
      <c r="S137" s="259" t="s">
        <v>149</v>
      </c>
      <c r="T137" s="259" t="s">
        <v>149</v>
      </c>
      <c r="U137" s="259" t="s">
        <v>149</v>
      </c>
      <c r="V137" s="259" t="s">
        <v>149</v>
      </c>
      <c r="W137" s="259" t="s">
        <v>149</v>
      </c>
      <c r="X137" s="260"/>
      <c r="Y137" s="260"/>
      <c r="Z137" s="260"/>
      <c r="AA137" s="259" t="s">
        <v>395</v>
      </c>
      <c r="AB137" s="263" t="s">
        <v>2873</v>
      </c>
      <c r="AC137" s="259" t="s">
        <v>398</v>
      </c>
      <c r="AE137" s="258">
        <v>1.0</v>
      </c>
      <c r="AF137" s="260"/>
    </row>
    <row r="138">
      <c r="A138" s="258">
        <v>137.0</v>
      </c>
      <c r="B138" s="259" t="s">
        <v>257</v>
      </c>
      <c r="C138" s="259" t="s">
        <v>258</v>
      </c>
      <c r="D138" s="259" t="s">
        <v>491</v>
      </c>
      <c r="E138" s="259" t="s">
        <v>492</v>
      </c>
      <c r="F138" s="259" t="s">
        <v>384</v>
      </c>
      <c r="G138" s="259" t="s">
        <v>6678</v>
      </c>
      <c r="H138" s="258">
        <v>1982.0</v>
      </c>
      <c r="I138" s="259" t="s">
        <v>149</v>
      </c>
      <c r="J138" s="259" t="s">
        <v>149</v>
      </c>
      <c r="K138" s="259" t="s">
        <v>151</v>
      </c>
      <c r="L138" s="259" t="s">
        <v>6076</v>
      </c>
      <c r="M138" s="259" t="s">
        <v>6076</v>
      </c>
      <c r="N138" s="259" t="s">
        <v>149</v>
      </c>
      <c r="O138" s="259" t="s">
        <v>390</v>
      </c>
      <c r="P138" s="259" t="s">
        <v>160</v>
      </c>
      <c r="Q138" s="259" t="s">
        <v>6035</v>
      </c>
      <c r="R138" s="259" t="s">
        <v>159</v>
      </c>
      <c r="S138" s="259" t="s">
        <v>149</v>
      </c>
      <c r="T138" s="259" t="s">
        <v>149</v>
      </c>
      <c r="U138" s="259" t="s">
        <v>2862</v>
      </c>
      <c r="V138" s="259" t="s">
        <v>390</v>
      </c>
      <c r="W138" s="259" t="s">
        <v>6035</v>
      </c>
      <c r="X138" s="259" t="s">
        <v>6055</v>
      </c>
      <c r="AA138" s="259" t="s">
        <v>6257</v>
      </c>
      <c r="AB138" s="263" t="s">
        <v>6080</v>
      </c>
      <c r="AE138" s="258">
        <v>1.0</v>
      </c>
      <c r="AF138" s="260"/>
    </row>
    <row r="139">
      <c r="A139" s="258">
        <v>138.0</v>
      </c>
      <c r="B139" s="259" t="s">
        <v>257</v>
      </c>
      <c r="C139" s="259" t="s">
        <v>258</v>
      </c>
      <c r="D139" s="259" t="s">
        <v>491</v>
      </c>
      <c r="E139" s="259" t="s">
        <v>492</v>
      </c>
      <c r="F139" s="259" t="s">
        <v>384</v>
      </c>
      <c r="G139" s="259" t="s">
        <v>6678</v>
      </c>
      <c r="H139" s="258">
        <v>1984.0</v>
      </c>
      <c r="I139" s="259" t="s">
        <v>149</v>
      </c>
      <c r="J139" s="259" t="s">
        <v>149</v>
      </c>
      <c r="K139" s="259" t="s">
        <v>151</v>
      </c>
      <c r="L139" s="259" t="s">
        <v>6054</v>
      </c>
      <c r="M139" s="259" t="s">
        <v>6054</v>
      </c>
      <c r="N139" s="259" t="s">
        <v>149</v>
      </c>
      <c r="O139" s="259" t="s">
        <v>390</v>
      </c>
      <c r="P139" s="259" t="s">
        <v>160</v>
      </c>
      <c r="Q139" s="259" t="s">
        <v>6035</v>
      </c>
      <c r="R139" s="259" t="s">
        <v>159</v>
      </c>
      <c r="S139" s="259" t="s">
        <v>149</v>
      </c>
      <c r="T139" s="259" t="s">
        <v>149</v>
      </c>
      <c r="U139" s="259" t="s">
        <v>450</v>
      </c>
      <c r="V139" s="259" t="s">
        <v>390</v>
      </c>
      <c r="W139" s="259" t="s">
        <v>6035</v>
      </c>
      <c r="X139" s="259" t="s">
        <v>6055</v>
      </c>
      <c r="AA139" s="259" t="s">
        <v>6257</v>
      </c>
      <c r="AB139" s="263" t="s">
        <v>6080</v>
      </c>
      <c r="AE139" s="258">
        <v>1.0</v>
      </c>
      <c r="AF139" s="260"/>
    </row>
    <row r="140">
      <c r="A140" s="258">
        <v>139.0</v>
      </c>
      <c r="B140" s="259" t="s">
        <v>257</v>
      </c>
      <c r="C140" s="259" t="s">
        <v>258</v>
      </c>
      <c r="D140" s="259" t="s">
        <v>491</v>
      </c>
      <c r="E140" s="259" t="s">
        <v>492</v>
      </c>
      <c r="F140" s="259" t="s">
        <v>384</v>
      </c>
      <c r="G140" s="259" t="s">
        <v>6678</v>
      </c>
      <c r="H140" s="258">
        <v>1984.0</v>
      </c>
      <c r="I140" s="259" t="s">
        <v>149</v>
      </c>
      <c r="J140" s="259" t="s">
        <v>149</v>
      </c>
      <c r="K140" s="259" t="s">
        <v>151</v>
      </c>
      <c r="L140" s="259" t="s">
        <v>6054</v>
      </c>
      <c r="M140" s="259" t="s">
        <v>6054</v>
      </c>
      <c r="N140" s="259" t="s">
        <v>149</v>
      </c>
      <c r="O140" s="259" t="s">
        <v>390</v>
      </c>
      <c r="P140" s="259" t="s">
        <v>160</v>
      </c>
      <c r="Q140" s="259" t="s">
        <v>6035</v>
      </c>
      <c r="R140" s="259" t="s">
        <v>159</v>
      </c>
      <c r="S140" s="259" t="s">
        <v>149</v>
      </c>
      <c r="T140" s="259" t="s">
        <v>149</v>
      </c>
      <c r="U140" s="259" t="s">
        <v>6663</v>
      </c>
      <c r="V140" s="259" t="s">
        <v>390</v>
      </c>
      <c r="W140" s="259" t="s">
        <v>6035</v>
      </c>
      <c r="X140" s="259" t="s">
        <v>6055</v>
      </c>
      <c r="AA140" s="259" t="s">
        <v>6257</v>
      </c>
      <c r="AB140" s="263" t="s">
        <v>6080</v>
      </c>
      <c r="AE140" s="258">
        <v>1.0</v>
      </c>
      <c r="AF140" s="260"/>
    </row>
    <row r="141">
      <c r="A141" s="258">
        <v>140.0</v>
      </c>
      <c r="B141" s="259" t="s">
        <v>257</v>
      </c>
      <c r="C141" s="259" t="s">
        <v>258</v>
      </c>
      <c r="D141" s="259" t="s">
        <v>491</v>
      </c>
      <c r="E141" s="259" t="s">
        <v>492</v>
      </c>
      <c r="F141" s="259" t="s">
        <v>384</v>
      </c>
      <c r="G141" s="259" t="s">
        <v>6678</v>
      </c>
      <c r="H141" s="258">
        <v>1985.0</v>
      </c>
      <c r="I141" s="258">
        <v>1985.0</v>
      </c>
      <c r="J141" s="258">
        <v>1987.0</v>
      </c>
      <c r="K141" s="259" t="s">
        <v>151</v>
      </c>
      <c r="L141" s="259" t="s">
        <v>6054</v>
      </c>
      <c r="M141" s="259" t="s">
        <v>6054</v>
      </c>
      <c r="N141" s="259" t="s">
        <v>149</v>
      </c>
      <c r="O141" s="259" t="s">
        <v>390</v>
      </c>
      <c r="P141" s="259" t="s">
        <v>160</v>
      </c>
      <c r="Q141" s="259" t="s">
        <v>6035</v>
      </c>
      <c r="R141" s="259" t="s">
        <v>159</v>
      </c>
      <c r="S141" s="259" t="s">
        <v>149</v>
      </c>
      <c r="T141" s="259" t="s">
        <v>149</v>
      </c>
      <c r="U141" s="259" t="s">
        <v>495</v>
      </c>
      <c r="V141" s="259" t="s">
        <v>390</v>
      </c>
      <c r="W141" s="259" t="s">
        <v>6035</v>
      </c>
      <c r="X141" s="259" t="s">
        <v>6055</v>
      </c>
      <c r="AA141" s="259" t="s">
        <v>395</v>
      </c>
      <c r="AB141" s="263" t="s">
        <v>2873</v>
      </c>
      <c r="AC141" s="259" t="s">
        <v>398</v>
      </c>
      <c r="AE141" s="258">
        <v>1.0</v>
      </c>
      <c r="AF141" s="260"/>
    </row>
    <row r="142">
      <c r="A142" s="258">
        <v>141.0</v>
      </c>
      <c r="B142" s="259" t="s">
        <v>257</v>
      </c>
      <c r="C142" s="259" t="s">
        <v>258</v>
      </c>
      <c r="D142" s="259" t="s">
        <v>491</v>
      </c>
      <c r="E142" s="259" t="s">
        <v>492</v>
      </c>
      <c r="F142" s="259" t="s">
        <v>1377</v>
      </c>
      <c r="H142" s="258">
        <v>1992.0</v>
      </c>
      <c r="I142" s="258">
        <v>1990.0</v>
      </c>
      <c r="J142" s="258">
        <v>1994.0</v>
      </c>
      <c r="K142" s="259" t="s">
        <v>151</v>
      </c>
      <c r="L142" s="259" t="s">
        <v>149</v>
      </c>
      <c r="M142" s="259" t="s">
        <v>149</v>
      </c>
      <c r="N142" s="259" t="s">
        <v>149</v>
      </c>
      <c r="O142" s="259" t="s">
        <v>8120</v>
      </c>
      <c r="P142" s="259" t="s">
        <v>205</v>
      </c>
      <c r="Q142" s="259" t="s">
        <v>8096</v>
      </c>
      <c r="R142" s="259" t="s">
        <v>159</v>
      </c>
      <c r="S142" s="259" t="s">
        <v>149</v>
      </c>
      <c r="T142" s="259" t="s">
        <v>149</v>
      </c>
      <c r="U142" s="259" t="s">
        <v>149</v>
      </c>
      <c r="V142" s="259" t="s">
        <v>660</v>
      </c>
      <c r="W142" s="259" t="s">
        <v>6035</v>
      </c>
      <c r="X142" s="259" t="s">
        <v>369</v>
      </c>
      <c r="Y142" s="260"/>
      <c r="Z142" s="260"/>
      <c r="AA142" s="259" t="s">
        <v>395</v>
      </c>
      <c r="AB142" s="263" t="s">
        <v>2873</v>
      </c>
      <c r="AC142" s="259" t="s">
        <v>398</v>
      </c>
      <c r="AE142" s="258">
        <v>1.0</v>
      </c>
      <c r="AF142" s="260"/>
    </row>
    <row r="143">
      <c r="A143" s="258">
        <v>142.0</v>
      </c>
      <c r="B143" s="259" t="s">
        <v>257</v>
      </c>
      <c r="C143" s="259" t="s">
        <v>258</v>
      </c>
      <c r="D143" s="259" t="s">
        <v>491</v>
      </c>
      <c r="E143" s="259" t="s">
        <v>492</v>
      </c>
      <c r="F143" s="259" t="s">
        <v>1174</v>
      </c>
      <c r="H143" s="258">
        <v>2013.0</v>
      </c>
      <c r="I143" s="258">
        <v>2012.0</v>
      </c>
      <c r="J143" s="258">
        <v>2013.0</v>
      </c>
      <c r="K143" s="259" t="s">
        <v>6062</v>
      </c>
      <c r="L143" s="259" t="s">
        <v>320</v>
      </c>
      <c r="M143" s="259" t="s">
        <v>179</v>
      </c>
      <c r="N143" s="259" t="s">
        <v>149</v>
      </c>
      <c r="O143" s="259" t="s">
        <v>321</v>
      </c>
      <c r="P143" s="259" t="s">
        <v>160</v>
      </c>
      <c r="Q143" s="259" t="s">
        <v>6035</v>
      </c>
      <c r="R143" s="259" t="s">
        <v>159</v>
      </c>
      <c r="S143" s="259" t="s">
        <v>149</v>
      </c>
      <c r="T143" s="259" t="s">
        <v>149</v>
      </c>
      <c r="U143" s="259" t="s">
        <v>6695</v>
      </c>
      <c r="V143" s="259" t="s">
        <v>885</v>
      </c>
      <c r="W143" s="259" t="s">
        <v>6068</v>
      </c>
      <c r="X143" s="259" t="s">
        <v>1259</v>
      </c>
      <c r="AA143" s="259" t="s">
        <v>6069</v>
      </c>
      <c r="AC143" s="260"/>
      <c r="AD143" s="260"/>
      <c r="AE143" s="258">
        <v>1.0</v>
      </c>
      <c r="AF143" s="260"/>
    </row>
    <row r="144">
      <c r="A144" s="258">
        <v>143.0</v>
      </c>
      <c r="B144" s="259" t="s">
        <v>257</v>
      </c>
      <c r="C144" s="259" t="s">
        <v>258</v>
      </c>
      <c r="D144" s="259" t="s">
        <v>2047</v>
      </c>
      <c r="E144" s="259" t="s">
        <v>2048</v>
      </c>
      <c r="F144" s="259" t="s">
        <v>6144</v>
      </c>
      <c r="H144" s="258">
        <v>2018.0</v>
      </c>
      <c r="I144" s="259" t="s">
        <v>149</v>
      </c>
      <c r="J144" s="259" t="s">
        <v>149</v>
      </c>
      <c r="K144" s="259" t="s">
        <v>151</v>
      </c>
      <c r="L144" s="259" t="s">
        <v>149</v>
      </c>
      <c r="M144" s="259" t="s">
        <v>149</v>
      </c>
      <c r="N144" s="259" t="s">
        <v>6698</v>
      </c>
      <c r="O144" s="259" t="s">
        <v>2038</v>
      </c>
      <c r="P144" s="259" t="s">
        <v>160</v>
      </c>
      <c r="Q144" s="259" t="s">
        <v>306</v>
      </c>
      <c r="R144" s="259" t="s">
        <v>159</v>
      </c>
      <c r="S144" s="259" t="s">
        <v>149</v>
      </c>
      <c r="T144" s="259" t="s">
        <v>149</v>
      </c>
      <c r="U144" s="259" t="s">
        <v>149</v>
      </c>
      <c r="V144" s="259" t="s">
        <v>369</v>
      </c>
      <c r="W144" s="259" t="s">
        <v>6035</v>
      </c>
      <c r="X144" s="259" t="s">
        <v>341</v>
      </c>
      <c r="Y144" s="259" t="s">
        <v>2054</v>
      </c>
      <c r="AA144" s="259" t="s">
        <v>6091</v>
      </c>
      <c r="AB144" s="263" t="s">
        <v>2056</v>
      </c>
      <c r="AE144" s="258">
        <v>1.0</v>
      </c>
      <c r="AF144" s="260"/>
    </row>
    <row r="145">
      <c r="A145" s="258">
        <v>144.0</v>
      </c>
      <c r="B145" s="259" t="s">
        <v>257</v>
      </c>
      <c r="C145" s="259" t="s">
        <v>258</v>
      </c>
      <c r="D145" s="259" t="s">
        <v>447</v>
      </c>
      <c r="E145" s="259" t="s">
        <v>4223</v>
      </c>
      <c r="F145" s="259" t="s">
        <v>6704</v>
      </c>
      <c r="H145" s="258">
        <v>2007.0</v>
      </c>
      <c r="I145" s="258">
        <v>2007.0</v>
      </c>
      <c r="J145" s="258">
        <v>2012.0</v>
      </c>
      <c r="K145" s="259" t="s">
        <v>151</v>
      </c>
      <c r="L145" s="259" t="s">
        <v>851</v>
      </c>
      <c r="M145" s="259" t="s">
        <v>851</v>
      </c>
      <c r="N145" s="259" t="s">
        <v>6705</v>
      </c>
      <c r="O145" s="259" t="s">
        <v>149</v>
      </c>
      <c r="P145" s="259" t="s">
        <v>149</v>
      </c>
      <c r="Q145" s="259" t="s">
        <v>149</v>
      </c>
      <c r="R145" s="259" t="s">
        <v>149</v>
      </c>
      <c r="S145" s="259" t="s">
        <v>149</v>
      </c>
      <c r="T145" s="259" t="s">
        <v>149</v>
      </c>
      <c r="U145" s="259" t="s">
        <v>149</v>
      </c>
      <c r="V145" s="259" t="s">
        <v>724</v>
      </c>
      <c r="W145" s="259" t="s">
        <v>184</v>
      </c>
      <c r="X145" s="260"/>
      <c r="Y145" s="259" t="s">
        <v>1934</v>
      </c>
      <c r="AA145" s="259" t="s">
        <v>6517</v>
      </c>
      <c r="AB145" s="263" t="s">
        <v>6706</v>
      </c>
      <c r="AE145" s="258">
        <v>1.0</v>
      </c>
      <c r="AF145" s="260"/>
    </row>
    <row r="146">
      <c r="A146" s="258">
        <v>145.0</v>
      </c>
      <c r="B146" s="259" t="s">
        <v>257</v>
      </c>
      <c r="C146" s="259" t="s">
        <v>497</v>
      </c>
      <c r="D146" s="259" t="s">
        <v>1391</v>
      </c>
      <c r="E146" s="259" t="s">
        <v>1392</v>
      </c>
      <c r="F146" s="259" t="s">
        <v>1377</v>
      </c>
      <c r="H146" s="258">
        <v>1992.0</v>
      </c>
      <c r="I146" s="258">
        <v>1990.0</v>
      </c>
      <c r="J146" s="258">
        <v>1994.0</v>
      </c>
      <c r="K146" s="259" t="s">
        <v>151</v>
      </c>
      <c r="L146" s="259" t="s">
        <v>149</v>
      </c>
      <c r="M146" s="259" t="s">
        <v>149</v>
      </c>
      <c r="N146" s="259" t="s">
        <v>149</v>
      </c>
      <c r="O146" s="259" t="s">
        <v>8120</v>
      </c>
      <c r="P146" s="259" t="s">
        <v>205</v>
      </c>
      <c r="Q146" s="259" t="s">
        <v>8096</v>
      </c>
      <c r="R146" s="259" t="s">
        <v>159</v>
      </c>
      <c r="S146" s="259" t="s">
        <v>149</v>
      </c>
      <c r="T146" s="259" t="s">
        <v>149</v>
      </c>
      <c r="U146" s="259" t="s">
        <v>149</v>
      </c>
      <c r="V146" s="259" t="s">
        <v>660</v>
      </c>
      <c r="W146" s="259" t="s">
        <v>6035</v>
      </c>
      <c r="X146" s="259" t="s">
        <v>369</v>
      </c>
      <c r="Y146" s="260"/>
      <c r="Z146" s="260"/>
      <c r="AA146" s="259" t="s">
        <v>395</v>
      </c>
      <c r="AB146" s="263" t="s">
        <v>2873</v>
      </c>
      <c r="AC146" s="259" t="s">
        <v>398</v>
      </c>
      <c r="AE146" s="258">
        <v>1.0</v>
      </c>
      <c r="AF146" s="260"/>
    </row>
    <row r="147">
      <c r="A147" s="258">
        <v>146.0</v>
      </c>
      <c r="B147" s="259" t="s">
        <v>257</v>
      </c>
      <c r="C147" s="259" t="s">
        <v>497</v>
      </c>
      <c r="D147" s="259" t="s">
        <v>953</v>
      </c>
      <c r="E147" s="259" t="s">
        <v>954</v>
      </c>
      <c r="F147" s="259" t="s">
        <v>934</v>
      </c>
      <c r="H147" s="258">
        <v>2001.0</v>
      </c>
      <c r="I147" s="258">
        <v>2001.0</v>
      </c>
      <c r="J147" s="258">
        <v>2005.0</v>
      </c>
      <c r="K147" s="259" t="s">
        <v>6062</v>
      </c>
      <c r="L147" s="259" t="s">
        <v>8105</v>
      </c>
      <c r="M147" s="259" t="s">
        <v>179</v>
      </c>
      <c r="N147" s="259" t="s">
        <v>939</v>
      </c>
      <c r="O147" s="259" t="s">
        <v>940</v>
      </c>
      <c r="P147" s="259" t="s">
        <v>205</v>
      </c>
      <c r="Q147" s="259" t="s">
        <v>8096</v>
      </c>
      <c r="R147" s="259" t="s">
        <v>204</v>
      </c>
      <c r="S147" s="259" t="s">
        <v>149</v>
      </c>
      <c r="T147" s="259" t="s">
        <v>149</v>
      </c>
      <c r="U147" s="259" t="s">
        <v>149</v>
      </c>
      <c r="V147" s="259" t="s">
        <v>8100</v>
      </c>
      <c r="W147" s="259" t="s">
        <v>6068</v>
      </c>
      <c r="X147" s="260"/>
      <c r="Y147" s="260"/>
      <c r="Z147" s="260"/>
      <c r="AA147" s="259" t="s">
        <v>6214</v>
      </c>
      <c r="AB147" s="263" t="s">
        <v>942</v>
      </c>
      <c r="AC147" s="259" t="s">
        <v>943</v>
      </c>
      <c r="AE147" s="258">
        <v>1.0</v>
      </c>
      <c r="AF147" s="260"/>
    </row>
    <row r="148">
      <c r="A148" s="258">
        <v>147.0</v>
      </c>
      <c r="B148" s="259" t="s">
        <v>257</v>
      </c>
      <c r="C148" s="259" t="s">
        <v>497</v>
      </c>
      <c r="D148" s="259" t="s">
        <v>498</v>
      </c>
      <c r="E148" s="259" t="s">
        <v>499</v>
      </c>
      <c r="F148" s="259" t="s">
        <v>384</v>
      </c>
      <c r="G148" s="259" t="s">
        <v>500</v>
      </c>
      <c r="H148" s="258">
        <v>1986.0</v>
      </c>
      <c r="I148" s="258">
        <v>1985.0</v>
      </c>
      <c r="J148" s="258">
        <v>1987.0</v>
      </c>
      <c r="K148" s="259" t="s">
        <v>151</v>
      </c>
      <c r="L148" s="259" t="s">
        <v>6054</v>
      </c>
      <c r="M148" s="259" t="s">
        <v>6054</v>
      </c>
      <c r="N148" s="259" t="s">
        <v>149</v>
      </c>
      <c r="O148" s="259" t="s">
        <v>390</v>
      </c>
      <c r="P148" s="259" t="s">
        <v>160</v>
      </c>
      <c r="Q148" s="259" t="s">
        <v>6035</v>
      </c>
      <c r="R148" s="259" t="s">
        <v>159</v>
      </c>
      <c r="S148" s="259" t="s">
        <v>149</v>
      </c>
      <c r="T148" s="259" t="s">
        <v>149</v>
      </c>
      <c r="U148" s="259" t="s">
        <v>391</v>
      </c>
      <c r="V148" s="259" t="s">
        <v>390</v>
      </c>
      <c r="W148" s="259" t="s">
        <v>6035</v>
      </c>
      <c r="X148" s="259" t="s">
        <v>6055</v>
      </c>
      <c r="AA148" s="259" t="s">
        <v>395</v>
      </c>
      <c r="AB148" s="263" t="s">
        <v>2873</v>
      </c>
      <c r="AC148" s="259" t="s">
        <v>398</v>
      </c>
      <c r="AE148" s="258">
        <v>1.0</v>
      </c>
      <c r="AF148" s="260"/>
    </row>
    <row r="149">
      <c r="A149" s="258">
        <v>148.0</v>
      </c>
      <c r="B149" s="259" t="s">
        <v>257</v>
      </c>
      <c r="C149" s="259" t="s">
        <v>497</v>
      </c>
      <c r="D149" s="259" t="s">
        <v>498</v>
      </c>
      <c r="E149" s="259" t="s">
        <v>499</v>
      </c>
      <c r="F149" s="259" t="s">
        <v>384</v>
      </c>
      <c r="G149" s="259" t="s">
        <v>502</v>
      </c>
      <c r="H149" s="258">
        <v>1986.0</v>
      </c>
      <c r="I149" s="258">
        <v>1985.0</v>
      </c>
      <c r="J149" s="258">
        <v>1987.0</v>
      </c>
      <c r="K149" s="259" t="s">
        <v>151</v>
      </c>
      <c r="L149" s="259" t="s">
        <v>6054</v>
      </c>
      <c r="M149" s="259" t="s">
        <v>6054</v>
      </c>
      <c r="N149" s="259" t="s">
        <v>149</v>
      </c>
      <c r="O149" s="259" t="s">
        <v>390</v>
      </c>
      <c r="P149" s="259" t="s">
        <v>160</v>
      </c>
      <c r="Q149" s="259" t="s">
        <v>6035</v>
      </c>
      <c r="R149" s="259" t="s">
        <v>159</v>
      </c>
      <c r="S149" s="259" t="s">
        <v>149</v>
      </c>
      <c r="T149" s="259" t="s">
        <v>149</v>
      </c>
      <c r="U149" s="259" t="s">
        <v>503</v>
      </c>
      <c r="V149" s="259" t="s">
        <v>390</v>
      </c>
      <c r="W149" s="259" t="s">
        <v>6035</v>
      </c>
      <c r="X149" s="259" t="s">
        <v>6055</v>
      </c>
      <c r="AA149" s="259" t="s">
        <v>395</v>
      </c>
      <c r="AB149" s="263" t="s">
        <v>2873</v>
      </c>
      <c r="AC149" s="259" t="s">
        <v>398</v>
      </c>
      <c r="AE149" s="258">
        <v>1.0</v>
      </c>
      <c r="AF149" s="260"/>
    </row>
    <row r="150">
      <c r="A150" s="258">
        <v>149.0</v>
      </c>
      <c r="B150" s="259" t="s">
        <v>257</v>
      </c>
      <c r="C150" s="259" t="s">
        <v>497</v>
      </c>
      <c r="D150" s="259" t="s">
        <v>498</v>
      </c>
      <c r="E150" s="259" t="s">
        <v>499</v>
      </c>
      <c r="F150" s="259" t="s">
        <v>149</v>
      </c>
      <c r="G150" s="260"/>
      <c r="H150" s="258">
        <v>2005.0</v>
      </c>
      <c r="I150" s="259" t="s">
        <v>149</v>
      </c>
      <c r="J150" s="259" t="s">
        <v>149</v>
      </c>
      <c r="K150" s="259" t="s">
        <v>151</v>
      </c>
      <c r="L150" s="259" t="s">
        <v>152</v>
      </c>
      <c r="M150" s="259" t="s">
        <v>152</v>
      </c>
      <c r="N150" s="259" t="s">
        <v>6717</v>
      </c>
      <c r="O150" s="259" t="s">
        <v>2391</v>
      </c>
      <c r="P150" s="259" t="s">
        <v>160</v>
      </c>
      <c r="Q150" s="259" t="s">
        <v>306</v>
      </c>
      <c r="R150" s="259" t="s">
        <v>159</v>
      </c>
      <c r="S150" s="259" t="s">
        <v>149</v>
      </c>
      <c r="T150" s="259" t="s">
        <v>149</v>
      </c>
      <c r="U150" s="259" t="s">
        <v>149</v>
      </c>
      <c r="V150" s="259" t="s">
        <v>2391</v>
      </c>
      <c r="W150" s="259" t="s">
        <v>306</v>
      </c>
      <c r="X150" s="260"/>
      <c r="Y150" s="260"/>
      <c r="Z150" s="260"/>
      <c r="AA150" s="259" t="s">
        <v>6517</v>
      </c>
      <c r="AB150" s="263" t="s">
        <v>2394</v>
      </c>
      <c r="AE150" s="258">
        <v>1.0</v>
      </c>
      <c r="AF150" s="260"/>
    </row>
    <row r="151">
      <c r="A151" s="258">
        <v>150.0</v>
      </c>
      <c r="B151" s="259" t="s">
        <v>257</v>
      </c>
      <c r="C151" s="259" t="s">
        <v>497</v>
      </c>
      <c r="D151" s="259" t="s">
        <v>505</v>
      </c>
      <c r="E151" s="259" t="s">
        <v>506</v>
      </c>
      <c r="F151" s="259" t="s">
        <v>384</v>
      </c>
      <c r="G151" s="259" t="s">
        <v>507</v>
      </c>
      <c r="H151" s="258">
        <v>1986.0</v>
      </c>
      <c r="I151" s="258">
        <v>1985.0</v>
      </c>
      <c r="J151" s="258">
        <v>1987.0</v>
      </c>
      <c r="K151" s="259" t="s">
        <v>151</v>
      </c>
      <c r="L151" s="259" t="s">
        <v>6054</v>
      </c>
      <c r="M151" s="259" t="s">
        <v>6054</v>
      </c>
      <c r="N151" s="259" t="s">
        <v>149</v>
      </c>
      <c r="O151" s="259" t="s">
        <v>390</v>
      </c>
      <c r="P151" s="259" t="s">
        <v>160</v>
      </c>
      <c r="Q151" s="259" t="s">
        <v>6035</v>
      </c>
      <c r="R151" s="259" t="s">
        <v>159</v>
      </c>
      <c r="S151" s="259" t="s">
        <v>149</v>
      </c>
      <c r="T151" s="259" t="s">
        <v>149</v>
      </c>
      <c r="U151" s="259" t="s">
        <v>508</v>
      </c>
      <c r="V151" s="259" t="s">
        <v>390</v>
      </c>
      <c r="W151" s="259" t="s">
        <v>6035</v>
      </c>
      <c r="X151" s="259" t="s">
        <v>6055</v>
      </c>
      <c r="AA151" s="259" t="s">
        <v>395</v>
      </c>
      <c r="AB151" s="263" t="s">
        <v>2873</v>
      </c>
      <c r="AC151" s="259" t="s">
        <v>398</v>
      </c>
      <c r="AE151" s="258">
        <v>1.0</v>
      </c>
      <c r="AF151" s="260"/>
    </row>
    <row r="152">
      <c r="A152" s="258">
        <v>151.0</v>
      </c>
      <c r="B152" s="259" t="s">
        <v>257</v>
      </c>
      <c r="C152" s="259" t="s">
        <v>497</v>
      </c>
      <c r="D152" s="259" t="s">
        <v>505</v>
      </c>
      <c r="E152" s="259" t="s">
        <v>506</v>
      </c>
      <c r="F152" s="259" t="s">
        <v>1377</v>
      </c>
      <c r="G152" s="259" t="s">
        <v>1394</v>
      </c>
      <c r="H152" s="258">
        <v>1992.0</v>
      </c>
      <c r="I152" s="258">
        <v>1990.0</v>
      </c>
      <c r="J152" s="258">
        <v>1994.0</v>
      </c>
      <c r="K152" s="259" t="s">
        <v>151</v>
      </c>
      <c r="L152" s="259" t="s">
        <v>149</v>
      </c>
      <c r="M152" s="259" t="s">
        <v>149</v>
      </c>
      <c r="N152" s="259" t="s">
        <v>149</v>
      </c>
      <c r="O152" s="259" t="s">
        <v>8120</v>
      </c>
      <c r="P152" s="259" t="s">
        <v>205</v>
      </c>
      <c r="Q152" s="259" t="s">
        <v>8096</v>
      </c>
      <c r="R152" s="259" t="s">
        <v>159</v>
      </c>
      <c r="S152" s="259" t="s">
        <v>149</v>
      </c>
      <c r="T152" s="259" t="s">
        <v>149</v>
      </c>
      <c r="U152" s="259" t="s">
        <v>149</v>
      </c>
      <c r="V152" s="259" t="s">
        <v>660</v>
      </c>
      <c r="W152" s="259" t="s">
        <v>6035</v>
      </c>
      <c r="X152" s="259" t="s">
        <v>369</v>
      </c>
      <c r="Y152" s="260"/>
      <c r="Z152" s="260"/>
      <c r="AA152" s="259" t="s">
        <v>395</v>
      </c>
      <c r="AB152" s="263" t="s">
        <v>2873</v>
      </c>
      <c r="AC152" s="259" t="s">
        <v>398</v>
      </c>
      <c r="AE152" s="258">
        <v>1.0</v>
      </c>
      <c r="AF152" s="260"/>
    </row>
    <row r="153">
      <c r="A153" s="258">
        <v>152.0</v>
      </c>
      <c r="B153" s="259" t="s">
        <v>257</v>
      </c>
      <c r="C153" s="259" t="s">
        <v>497</v>
      </c>
      <c r="D153" s="259" t="s">
        <v>505</v>
      </c>
      <c r="E153" s="259" t="s">
        <v>506</v>
      </c>
      <c r="F153" s="259" t="s">
        <v>1377</v>
      </c>
      <c r="G153" s="259" t="s">
        <v>1396</v>
      </c>
      <c r="H153" s="258">
        <v>1992.0</v>
      </c>
      <c r="I153" s="258">
        <v>1990.0</v>
      </c>
      <c r="J153" s="258">
        <v>1994.0</v>
      </c>
      <c r="K153" s="259" t="s">
        <v>151</v>
      </c>
      <c r="L153" s="259" t="s">
        <v>149</v>
      </c>
      <c r="M153" s="259" t="s">
        <v>149</v>
      </c>
      <c r="N153" s="259" t="s">
        <v>149</v>
      </c>
      <c r="O153" s="259" t="s">
        <v>8120</v>
      </c>
      <c r="P153" s="259" t="s">
        <v>205</v>
      </c>
      <c r="Q153" s="259" t="s">
        <v>8096</v>
      </c>
      <c r="R153" s="259" t="s">
        <v>159</v>
      </c>
      <c r="S153" s="259" t="s">
        <v>149</v>
      </c>
      <c r="T153" s="259" t="s">
        <v>149</v>
      </c>
      <c r="U153" s="259" t="s">
        <v>149</v>
      </c>
      <c r="V153" s="259" t="s">
        <v>660</v>
      </c>
      <c r="W153" s="259" t="s">
        <v>6035</v>
      </c>
      <c r="X153" s="259" t="s">
        <v>369</v>
      </c>
      <c r="Y153" s="260"/>
      <c r="Z153" s="260"/>
      <c r="AA153" s="259" t="s">
        <v>395</v>
      </c>
      <c r="AB153" s="263" t="s">
        <v>2873</v>
      </c>
      <c r="AC153" s="259" t="s">
        <v>398</v>
      </c>
      <c r="AE153" s="258">
        <v>1.0</v>
      </c>
      <c r="AF153" s="260"/>
    </row>
    <row r="154">
      <c r="A154" s="258">
        <v>153.0</v>
      </c>
      <c r="B154" s="259" t="s">
        <v>257</v>
      </c>
      <c r="C154" s="259" t="s">
        <v>497</v>
      </c>
      <c r="D154" s="259" t="s">
        <v>505</v>
      </c>
      <c r="E154" s="259" t="s">
        <v>506</v>
      </c>
      <c r="F154" s="259" t="s">
        <v>1377</v>
      </c>
      <c r="G154" s="259" t="s">
        <v>1398</v>
      </c>
      <c r="H154" s="258">
        <v>1992.0</v>
      </c>
      <c r="I154" s="258">
        <v>1990.0</v>
      </c>
      <c r="J154" s="258">
        <v>1994.0</v>
      </c>
      <c r="K154" s="259" t="s">
        <v>151</v>
      </c>
      <c r="L154" s="259" t="s">
        <v>149</v>
      </c>
      <c r="M154" s="259" t="s">
        <v>149</v>
      </c>
      <c r="N154" s="259" t="s">
        <v>149</v>
      </c>
      <c r="O154" s="259" t="s">
        <v>8120</v>
      </c>
      <c r="P154" s="259" t="s">
        <v>205</v>
      </c>
      <c r="Q154" s="259" t="s">
        <v>8096</v>
      </c>
      <c r="R154" s="259" t="s">
        <v>159</v>
      </c>
      <c r="S154" s="259" t="s">
        <v>149</v>
      </c>
      <c r="T154" s="259" t="s">
        <v>149</v>
      </c>
      <c r="U154" s="259" t="s">
        <v>149</v>
      </c>
      <c r="V154" s="259" t="s">
        <v>660</v>
      </c>
      <c r="W154" s="259" t="s">
        <v>6035</v>
      </c>
      <c r="X154" s="259" t="s">
        <v>369</v>
      </c>
      <c r="Y154" s="260"/>
      <c r="Z154" s="260"/>
      <c r="AA154" s="259" t="s">
        <v>395</v>
      </c>
      <c r="AB154" s="263" t="s">
        <v>2873</v>
      </c>
      <c r="AC154" s="259" t="s">
        <v>398</v>
      </c>
      <c r="AE154" s="258">
        <v>1.0</v>
      </c>
      <c r="AF154" s="260"/>
    </row>
    <row r="155">
      <c r="A155" s="258">
        <v>154.0</v>
      </c>
      <c r="B155" s="259" t="s">
        <v>257</v>
      </c>
      <c r="C155" s="259" t="s">
        <v>497</v>
      </c>
      <c r="D155" s="259" t="s">
        <v>505</v>
      </c>
      <c r="E155" s="259" t="s">
        <v>506</v>
      </c>
      <c r="F155" s="259" t="s">
        <v>1377</v>
      </c>
      <c r="G155" s="259" t="s">
        <v>1400</v>
      </c>
      <c r="H155" s="258">
        <v>1992.0</v>
      </c>
      <c r="I155" s="258">
        <v>1990.0</v>
      </c>
      <c r="J155" s="258">
        <v>1994.0</v>
      </c>
      <c r="K155" s="259" t="s">
        <v>151</v>
      </c>
      <c r="L155" s="259" t="s">
        <v>149</v>
      </c>
      <c r="M155" s="259" t="s">
        <v>149</v>
      </c>
      <c r="N155" s="259" t="s">
        <v>149</v>
      </c>
      <c r="O155" s="259" t="s">
        <v>8120</v>
      </c>
      <c r="P155" s="259" t="s">
        <v>205</v>
      </c>
      <c r="Q155" s="259" t="s">
        <v>8096</v>
      </c>
      <c r="R155" s="259" t="s">
        <v>159</v>
      </c>
      <c r="S155" s="259" t="s">
        <v>149</v>
      </c>
      <c r="T155" s="259" t="s">
        <v>149</v>
      </c>
      <c r="U155" s="259" t="s">
        <v>149</v>
      </c>
      <c r="V155" s="259" t="s">
        <v>660</v>
      </c>
      <c r="W155" s="259" t="s">
        <v>6035</v>
      </c>
      <c r="X155" s="259" t="s">
        <v>369</v>
      </c>
      <c r="Y155" s="260"/>
      <c r="Z155" s="260"/>
      <c r="AA155" s="259" t="s">
        <v>395</v>
      </c>
      <c r="AB155" s="263" t="s">
        <v>2873</v>
      </c>
      <c r="AC155" s="259" t="s">
        <v>398</v>
      </c>
      <c r="AE155" s="258">
        <v>1.0</v>
      </c>
      <c r="AF155" s="260"/>
    </row>
    <row r="156">
      <c r="A156" s="258">
        <v>155.0</v>
      </c>
      <c r="B156" s="259" t="s">
        <v>257</v>
      </c>
      <c r="C156" s="259" t="s">
        <v>497</v>
      </c>
      <c r="D156" s="259" t="s">
        <v>505</v>
      </c>
      <c r="E156" s="259" t="s">
        <v>506</v>
      </c>
      <c r="F156" s="259" t="s">
        <v>1377</v>
      </c>
      <c r="G156" s="259" t="s">
        <v>1402</v>
      </c>
      <c r="H156" s="258">
        <v>1992.0</v>
      </c>
      <c r="I156" s="258">
        <v>1990.0</v>
      </c>
      <c r="J156" s="258">
        <v>1994.0</v>
      </c>
      <c r="K156" s="259" t="s">
        <v>151</v>
      </c>
      <c r="L156" s="259" t="s">
        <v>149</v>
      </c>
      <c r="M156" s="259" t="s">
        <v>149</v>
      </c>
      <c r="N156" s="259" t="s">
        <v>149</v>
      </c>
      <c r="O156" s="259" t="s">
        <v>8120</v>
      </c>
      <c r="P156" s="259" t="s">
        <v>205</v>
      </c>
      <c r="Q156" s="259" t="s">
        <v>8096</v>
      </c>
      <c r="R156" s="259" t="s">
        <v>159</v>
      </c>
      <c r="S156" s="259" t="s">
        <v>149</v>
      </c>
      <c r="T156" s="259" t="s">
        <v>149</v>
      </c>
      <c r="U156" s="259" t="s">
        <v>149</v>
      </c>
      <c r="V156" s="259" t="s">
        <v>660</v>
      </c>
      <c r="W156" s="259" t="s">
        <v>6035</v>
      </c>
      <c r="X156" s="259" t="s">
        <v>369</v>
      </c>
      <c r="Y156" s="260"/>
      <c r="Z156" s="260"/>
      <c r="AA156" s="259" t="s">
        <v>395</v>
      </c>
      <c r="AB156" s="263" t="s">
        <v>2873</v>
      </c>
      <c r="AC156" s="259" t="s">
        <v>398</v>
      </c>
      <c r="AE156" s="258">
        <v>1.0</v>
      </c>
      <c r="AF156" s="260"/>
    </row>
    <row r="157">
      <c r="A157" s="258">
        <v>156.0</v>
      </c>
      <c r="B157" s="259" t="s">
        <v>257</v>
      </c>
      <c r="C157" s="259" t="s">
        <v>497</v>
      </c>
      <c r="D157" s="259" t="s">
        <v>505</v>
      </c>
      <c r="E157" s="259" t="s">
        <v>506</v>
      </c>
      <c r="F157" s="259" t="s">
        <v>1377</v>
      </c>
      <c r="G157" s="259" t="s">
        <v>1404</v>
      </c>
      <c r="H157" s="258">
        <v>1992.0</v>
      </c>
      <c r="I157" s="258">
        <v>1990.0</v>
      </c>
      <c r="J157" s="258">
        <v>1994.0</v>
      </c>
      <c r="K157" s="259" t="s">
        <v>151</v>
      </c>
      <c r="L157" s="259" t="s">
        <v>149</v>
      </c>
      <c r="M157" s="259" t="s">
        <v>149</v>
      </c>
      <c r="N157" s="259" t="s">
        <v>149</v>
      </c>
      <c r="O157" s="259" t="s">
        <v>8120</v>
      </c>
      <c r="P157" s="259" t="s">
        <v>205</v>
      </c>
      <c r="Q157" s="259" t="s">
        <v>8096</v>
      </c>
      <c r="R157" s="259" t="s">
        <v>159</v>
      </c>
      <c r="S157" s="259" t="s">
        <v>149</v>
      </c>
      <c r="T157" s="259" t="s">
        <v>149</v>
      </c>
      <c r="U157" s="259" t="s">
        <v>149</v>
      </c>
      <c r="V157" s="259" t="s">
        <v>660</v>
      </c>
      <c r="W157" s="259" t="s">
        <v>6035</v>
      </c>
      <c r="X157" s="259" t="s">
        <v>369</v>
      </c>
      <c r="Y157" s="260"/>
      <c r="Z157" s="260"/>
      <c r="AA157" s="259" t="s">
        <v>395</v>
      </c>
      <c r="AB157" s="263" t="s">
        <v>2873</v>
      </c>
      <c r="AC157" s="259" t="s">
        <v>398</v>
      </c>
      <c r="AE157" s="258">
        <v>1.0</v>
      </c>
      <c r="AF157" s="260"/>
    </row>
    <row r="158">
      <c r="A158" s="258">
        <v>157.0</v>
      </c>
      <c r="B158" s="259" t="s">
        <v>257</v>
      </c>
      <c r="C158" s="259" t="s">
        <v>497</v>
      </c>
      <c r="D158" s="259" t="s">
        <v>1406</v>
      </c>
      <c r="E158" s="259" t="s">
        <v>1407</v>
      </c>
      <c r="F158" s="259" t="s">
        <v>1377</v>
      </c>
      <c r="H158" s="258">
        <v>1992.0</v>
      </c>
      <c r="I158" s="258">
        <v>1990.0</v>
      </c>
      <c r="J158" s="258">
        <v>1994.0</v>
      </c>
      <c r="K158" s="259" t="s">
        <v>151</v>
      </c>
      <c r="L158" s="259" t="s">
        <v>149</v>
      </c>
      <c r="M158" s="259" t="s">
        <v>149</v>
      </c>
      <c r="N158" s="259" t="s">
        <v>149</v>
      </c>
      <c r="O158" s="259" t="s">
        <v>8120</v>
      </c>
      <c r="P158" s="259" t="s">
        <v>205</v>
      </c>
      <c r="Q158" s="259" t="s">
        <v>8096</v>
      </c>
      <c r="R158" s="259" t="s">
        <v>159</v>
      </c>
      <c r="S158" s="259" t="s">
        <v>149</v>
      </c>
      <c r="T158" s="259" t="s">
        <v>149</v>
      </c>
      <c r="U158" s="259" t="s">
        <v>149</v>
      </c>
      <c r="V158" s="259" t="s">
        <v>660</v>
      </c>
      <c r="W158" s="259" t="s">
        <v>6035</v>
      </c>
      <c r="X158" s="259" t="s">
        <v>369</v>
      </c>
      <c r="Y158" s="260"/>
      <c r="Z158" s="260"/>
      <c r="AA158" s="259" t="s">
        <v>395</v>
      </c>
      <c r="AB158" s="263" t="s">
        <v>2873</v>
      </c>
      <c r="AC158" s="259" t="s">
        <v>398</v>
      </c>
      <c r="AE158" s="258">
        <v>1.0</v>
      </c>
      <c r="AF158" s="260"/>
    </row>
    <row r="159">
      <c r="A159" s="258">
        <v>158.0</v>
      </c>
      <c r="B159" s="259" t="s">
        <v>257</v>
      </c>
      <c r="C159" s="259" t="s">
        <v>497</v>
      </c>
      <c r="D159" s="259" t="s">
        <v>510</v>
      </c>
      <c r="E159" s="259" t="s">
        <v>511</v>
      </c>
      <c r="F159" s="259" t="s">
        <v>384</v>
      </c>
      <c r="G159" s="259" t="s">
        <v>512</v>
      </c>
      <c r="H159" s="258">
        <v>1986.0</v>
      </c>
      <c r="I159" s="258">
        <v>1985.0</v>
      </c>
      <c r="J159" s="258">
        <v>1987.0</v>
      </c>
      <c r="K159" s="259" t="s">
        <v>151</v>
      </c>
      <c r="L159" s="259" t="s">
        <v>6054</v>
      </c>
      <c r="M159" s="259" t="s">
        <v>6054</v>
      </c>
      <c r="N159" s="259" t="s">
        <v>149</v>
      </c>
      <c r="O159" s="259" t="s">
        <v>390</v>
      </c>
      <c r="P159" s="259" t="s">
        <v>160</v>
      </c>
      <c r="Q159" s="259" t="s">
        <v>6035</v>
      </c>
      <c r="R159" s="259" t="s">
        <v>159</v>
      </c>
      <c r="S159" s="259" t="s">
        <v>149</v>
      </c>
      <c r="T159" s="259" t="s">
        <v>149</v>
      </c>
      <c r="U159" s="259" t="s">
        <v>503</v>
      </c>
      <c r="V159" s="259" t="s">
        <v>390</v>
      </c>
      <c r="W159" s="259" t="s">
        <v>6035</v>
      </c>
      <c r="X159" s="259" t="s">
        <v>6055</v>
      </c>
      <c r="AA159" s="259" t="s">
        <v>395</v>
      </c>
      <c r="AB159" s="263" t="s">
        <v>2873</v>
      </c>
      <c r="AC159" s="259" t="s">
        <v>398</v>
      </c>
      <c r="AE159" s="258">
        <v>1.0</v>
      </c>
      <c r="AF159" s="260"/>
    </row>
    <row r="160">
      <c r="A160" s="258">
        <v>159.0</v>
      </c>
      <c r="B160" s="259" t="s">
        <v>257</v>
      </c>
      <c r="C160" s="259" t="s">
        <v>497</v>
      </c>
      <c r="D160" s="259" t="s">
        <v>510</v>
      </c>
      <c r="E160" s="259" t="s">
        <v>511</v>
      </c>
      <c r="F160" s="259" t="s">
        <v>6742</v>
      </c>
      <c r="H160" s="258">
        <v>2016.0</v>
      </c>
      <c r="I160" s="259" t="s">
        <v>149</v>
      </c>
      <c r="J160" s="259" t="s">
        <v>149</v>
      </c>
      <c r="K160" s="259" t="s">
        <v>151</v>
      </c>
      <c r="L160" s="259" t="s">
        <v>149</v>
      </c>
      <c r="M160" s="259" t="s">
        <v>149</v>
      </c>
      <c r="N160" s="259" t="s">
        <v>149</v>
      </c>
      <c r="O160" s="259" t="s">
        <v>1594</v>
      </c>
      <c r="P160" s="259" t="s">
        <v>160</v>
      </c>
      <c r="Q160" s="259" t="s">
        <v>6035</v>
      </c>
      <c r="R160" s="259" t="s">
        <v>159</v>
      </c>
      <c r="S160" s="259" t="s">
        <v>149</v>
      </c>
      <c r="T160" s="259" t="s">
        <v>149</v>
      </c>
      <c r="U160" s="259" t="s">
        <v>149</v>
      </c>
      <c r="V160" s="259" t="s">
        <v>6743</v>
      </c>
      <c r="W160" s="259" t="s">
        <v>6035</v>
      </c>
      <c r="Y160" s="260"/>
      <c r="Z160" s="260"/>
      <c r="AA160" s="259" t="s">
        <v>6038</v>
      </c>
      <c r="AB160" s="263" t="s">
        <v>6744</v>
      </c>
      <c r="AE160" s="258">
        <v>1.0</v>
      </c>
      <c r="AF160" s="260"/>
    </row>
    <row r="161">
      <c r="A161" s="258">
        <v>160.0</v>
      </c>
      <c r="B161" s="259" t="s">
        <v>257</v>
      </c>
      <c r="C161" s="259" t="s">
        <v>497</v>
      </c>
      <c r="D161" s="259" t="s">
        <v>472</v>
      </c>
      <c r="E161" s="259" t="s">
        <v>956</v>
      </c>
      <c r="F161" s="259" t="s">
        <v>934</v>
      </c>
      <c r="H161" s="258">
        <v>2001.0</v>
      </c>
      <c r="I161" s="258">
        <v>2001.0</v>
      </c>
      <c r="J161" s="258">
        <v>2005.0</v>
      </c>
      <c r="K161" s="259" t="s">
        <v>6062</v>
      </c>
      <c r="L161" s="259" t="s">
        <v>8105</v>
      </c>
      <c r="M161" s="259" t="s">
        <v>179</v>
      </c>
      <c r="N161" s="259" t="s">
        <v>939</v>
      </c>
      <c r="O161" s="259" t="s">
        <v>940</v>
      </c>
      <c r="P161" s="259" t="s">
        <v>205</v>
      </c>
      <c r="Q161" s="259" t="s">
        <v>8096</v>
      </c>
      <c r="R161" s="259" t="s">
        <v>204</v>
      </c>
      <c r="S161" s="259" t="s">
        <v>149</v>
      </c>
      <c r="T161" s="259" t="s">
        <v>149</v>
      </c>
      <c r="U161" s="259" t="s">
        <v>149</v>
      </c>
      <c r="V161" s="259" t="s">
        <v>8100</v>
      </c>
      <c r="W161" s="259" t="s">
        <v>6068</v>
      </c>
      <c r="X161" s="260"/>
      <c r="Y161" s="260"/>
      <c r="Z161" s="260"/>
      <c r="AA161" s="259" t="s">
        <v>6214</v>
      </c>
      <c r="AB161" s="263" t="s">
        <v>942</v>
      </c>
      <c r="AC161" s="259" t="s">
        <v>943</v>
      </c>
      <c r="AE161" s="258">
        <v>1.0</v>
      </c>
      <c r="AF161" s="260"/>
    </row>
    <row r="162">
      <c r="A162" s="258">
        <v>161.0</v>
      </c>
      <c r="B162" s="259" t="s">
        <v>257</v>
      </c>
      <c r="C162" s="259" t="s">
        <v>497</v>
      </c>
      <c r="D162" s="259" t="s">
        <v>514</v>
      </c>
      <c r="E162" s="259" t="s">
        <v>515</v>
      </c>
      <c r="F162" s="259" t="s">
        <v>384</v>
      </c>
      <c r="G162" s="259" t="s">
        <v>516</v>
      </c>
      <c r="H162" s="258">
        <v>1986.0</v>
      </c>
      <c r="I162" s="258">
        <v>1985.0</v>
      </c>
      <c r="J162" s="258">
        <v>1987.0</v>
      </c>
      <c r="K162" s="259" t="s">
        <v>151</v>
      </c>
      <c r="L162" s="259" t="s">
        <v>6054</v>
      </c>
      <c r="M162" s="259" t="s">
        <v>6054</v>
      </c>
      <c r="N162" s="259" t="s">
        <v>149</v>
      </c>
      <c r="O162" s="259" t="s">
        <v>390</v>
      </c>
      <c r="P162" s="259" t="s">
        <v>160</v>
      </c>
      <c r="Q162" s="259" t="s">
        <v>6035</v>
      </c>
      <c r="R162" s="259" t="s">
        <v>159</v>
      </c>
      <c r="S162" s="259" t="s">
        <v>149</v>
      </c>
      <c r="T162" s="259" t="s">
        <v>149</v>
      </c>
      <c r="U162" s="259" t="s">
        <v>453</v>
      </c>
      <c r="V162" s="259" t="s">
        <v>390</v>
      </c>
      <c r="W162" s="259" t="s">
        <v>6035</v>
      </c>
      <c r="X162" s="259" t="s">
        <v>6055</v>
      </c>
      <c r="AA162" s="259" t="s">
        <v>395</v>
      </c>
      <c r="AB162" s="263" t="s">
        <v>2873</v>
      </c>
      <c r="AC162" s="259" t="s">
        <v>398</v>
      </c>
      <c r="AE162" s="258">
        <v>1.0</v>
      </c>
      <c r="AF162" s="260"/>
    </row>
    <row r="163">
      <c r="A163" s="258">
        <v>162.0</v>
      </c>
      <c r="B163" s="259" t="s">
        <v>257</v>
      </c>
      <c r="C163" s="259" t="s">
        <v>497</v>
      </c>
      <c r="D163" s="259" t="s">
        <v>8031</v>
      </c>
      <c r="E163" s="259" t="s">
        <v>1410</v>
      </c>
      <c r="F163" s="259" t="s">
        <v>1377</v>
      </c>
      <c r="G163" s="259" t="s">
        <v>8032</v>
      </c>
      <c r="H163" s="258">
        <v>1992.0</v>
      </c>
      <c r="I163" s="258">
        <v>1990.0</v>
      </c>
      <c r="J163" s="258">
        <v>1994.0</v>
      </c>
      <c r="K163" s="259" t="s">
        <v>151</v>
      </c>
      <c r="L163" s="259" t="s">
        <v>149</v>
      </c>
      <c r="M163" s="259" t="s">
        <v>149</v>
      </c>
      <c r="N163" s="259" t="s">
        <v>149</v>
      </c>
      <c r="O163" s="259" t="s">
        <v>8120</v>
      </c>
      <c r="P163" s="259" t="s">
        <v>205</v>
      </c>
      <c r="Q163" s="259" t="s">
        <v>8096</v>
      </c>
      <c r="R163" s="259" t="s">
        <v>159</v>
      </c>
      <c r="S163" s="259" t="s">
        <v>149</v>
      </c>
      <c r="T163" s="259" t="s">
        <v>149</v>
      </c>
      <c r="U163" s="259" t="s">
        <v>149</v>
      </c>
      <c r="V163" s="259" t="s">
        <v>660</v>
      </c>
      <c r="W163" s="259" t="s">
        <v>6035</v>
      </c>
      <c r="X163" s="259" t="s">
        <v>369</v>
      </c>
      <c r="Y163" s="260"/>
      <c r="Z163" s="260"/>
      <c r="AA163" s="259" t="s">
        <v>395</v>
      </c>
      <c r="AB163" s="263" t="s">
        <v>2873</v>
      </c>
      <c r="AC163" s="259" t="s">
        <v>398</v>
      </c>
      <c r="AE163" s="258">
        <v>1.0</v>
      </c>
      <c r="AF163" s="260"/>
    </row>
    <row r="164">
      <c r="A164" s="258">
        <v>163.0</v>
      </c>
      <c r="B164" s="259" t="s">
        <v>257</v>
      </c>
      <c r="C164" s="259" t="s">
        <v>497</v>
      </c>
      <c r="D164" s="259" t="s">
        <v>8031</v>
      </c>
      <c r="E164" s="259" t="s">
        <v>1410</v>
      </c>
      <c r="F164" s="259" t="s">
        <v>1377</v>
      </c>
      <c r="G164" s="259" t="s">
        <v>1413</v>
      </c>
      <c r="H164" s="258">
        <v>1992.0</v>
      </c>
      <c r="I164" s="258">
        <v>1990.0</v>
      </c>
      <c r="J164" s="258">
        <v>1994.0</v>
      </c>
      <c r="K164" s="259" t="s">
        <v>151</v>
      </c>
      <c r="L164" s="259" t="s">
        <v>149</v>
      </c>
      <c r="M164" s="259" t="s">
        <v>149</v>
      </c>
      <c r="N164" s="259" t="s">
        <v>149</v>
      </c>
      <c r="O164" s="259" t="s">
        <v>8120</v>
      </c>
      <c r="P164" s="259" t="s">
        <v>205</v>
      </c>
      <c r="Q164" s="259" t="s">
        <v>8096</v>
      </c>
      <c r="R164" s="259" t="s">
        <v>159</v>
      </c>
      <c r="S164" s="259" t="s">
        <v>149</v>
      </c>
      <c r="T164" s="259" t="s">
        <v>149</v>
      </c>
      <c r="U164" s="259" t="s">
        <v>149</v>
      </c>
      <c r="V164" s="259" t="s">
        <v>660</v>
      </c>
      <c r="W164" s="259" t="s">
        <v>6035</v>
      </c>
      <c r="X164" s="259" t="s">
        <v>369</v>
      </c>
      <c r="Y164" s="260"/>
      <c r="Z164" s="260"/>
      <c r="AA164" s="259" t="s">
        <v>395</v>
      </c>
      <c r="AB164" s="263" t="s">
        <v>2873</v>
      </c>
      <c r="AC164" s="259" t="s">
        <v>398</v>
      </c>
      <c r="AE164" s="258">
        <v>1.0</v>
      </c>
      <c r="AF164" s="260"/>
    </row>
    <row r="165">
      <c r="A165" s="258">
        <v>164.0</v>
      </c>
      <c r="B165" s="259" t="s">
        <v>257</v>
      </c>
      <c r="C165" s="259" t="s">
        <v>497</v>
      </c>
      <c r="D165" s="259" t="s">
        <v>1415</v>
      </c>
      <c r="E165" s="259" t="s">
        <v>1416</v>
      </c>
      <c r="F165" s="259" t="s">
        <v>1377</v>
      </c>
      <c r="H165" s="258">
        <v>1992.0</v>
      </c>
      <c r="I165" s="258">
        <v>1990.0</v>
      </c>
      <c r="J165" s="258">
        <v>1994.0</v>
      </c>
      <c r="K165" s="259" t="s">
        <v>151</v>
      </c>
      <c r="L165" s="259" t="s">
        <v>149</v>
      </c>
      <c r="M165" s="259" t="s">
        <v>149</v>
      </c>
      <c r="N165" s="259" t="s">
        <v>149</v>
      </c>
      <c r="O165" s="259" t="s">
        <v>8120</v>
      </c>
      <c r="P165" s="259" t="s">
        <v>205</v>
      </c>
      <c r="Q165" s="259" t="s">
        <v>8096</v>
      </c>
      <c r="R165" s="259" t="s">
        <v>159</v>
      </c>
      <c r="S165" s="259" t="s">
        <v>149</v>
      </c>
      <c r="T165" s="259" t="s">
        <v>149</v>
      </c>
      <c r="U165" s="259" t="s">
        <v>149</v>
      </c>
      <c r="V165" s="259" t="s">
        <v>660</v>
      </c>
      <c r="W165" s="259" t="s">
        <v>6035</v>
      </c>
      <c r="X165" s="259" t="s">
        <v>369</v>
      </c>
      <c r="Y165" s="260"/>
      <c r="Z165" s="260"/>
      <c r="AA165" s="259" t="s">
        <v>395</v>
      </c>
      <c r="AB165" s="263" t="s">
        <v>2873</v>
      </c>
      <c r="AC165" s="259" t="s">
        <v>398</v>
      </c>
      <c r="AE165" s="258">
        <v>1.0</v>
      </c>
      <c r="AF165" s="260"/>
    </row>
    <row r="166">
      <c r="A166" s="258">
        <v>165.0</v>
      </c>
      <c r="B166" s="259" t="s">
        <v>257</v>
      </c>
      <c r="C166" s="259" t="s">
        <v>497</v>
      </c>
      <c r="D166" s="259" t="s">
        <v>518</v>
      </c>
      <c r="E166" s="259" t="s">
        <v>519</v>
      </c>
      <c r="F166" s="259" t="s">
        <v>384</v>
      </c>
      <c r="G166" s="259" t="s">
        <v>520</v>
      </c>
      <c r="H166" s="258">
        <v>1986.0</v>
      </c>
      <c r="I166" s="258">
        <v>1985.0</v>
      </c>
      <c r="J166" s="258">
        <v>1987.0</v>
      </c>
      <c r="K166" s="259" t="s">
        <v>151</v>
      </c>
      <c r="L166" s="259" t="s">
        <v>6054</v>
      </c>
      <c r="M166" s="259" t="s">
        <v>6054</v>
      </c>
      <c r="N166" s="259" t="s">
        <v>149</v>
      </c>
      <c r="O166" s="259" t="s">
        <v>390</v>
      </c>
      <c r="P166" s="259" t="s">
        <v>160</v>
      </c>
      <c r="Q166" s="259" t="s">
        <v>6035</v>
      </c>
      <c r="R166" s="259" t="s">
        <v>159</v>
      </c>
      <c r="S166" s="259" t="s">
        <v>149</v>
      </c>
      <c r="T166" s="259" t="s">
        <v>149</v>
      </c>
      <c r="U166" s="259" t="s">
        <v>503</v>
      </c>
      <c r="V166" s="259" t="s">
        <v>390</v>
      </c>
      <c r="W166" s="259" t="s">
        <v>6035</v>
      </c>
      <c r="X166" s="259" t="s">
        <v>6055</v>
      </c>
      <c r="AA166" s="259" t="s">
        <v>395</v>
      </c>
      <c r="AB166" s="263" t="s">
        <v>2873</v>
      </c>
      <c r="AC166" s="259" t="s">
        <v>398</v>
      </c>
      <c r="AE166" s="258">
        <v>1.0</v>
      </c>
      <c r="AF166" s="260"/>
    </row>
    <row r="167">
      <c r="A167" s="258">
        <v>166.0</v>
      </c>
      <c r="B167" s="259" t="s">
        <v>257</v>
      </c>
      <c r="C167" s="259" t="s">
        <v>497</v>
      </c>
      <c r="D167" s="259" t="s">
        <v>1418</v>
      </c>
      <c r="E167" s="259" t="s">
        <v>1419</v>
      </c>
      <c r="F167" s="259" t="s">
        <v>1377</v>
      </c>
      <c r="G167" s="259" t="s">
        <v>1420</v>
      </c>
      <c r="H167" s="258">
        <v>1992.0</v>
      </c>
      <c r="I167" s="258">
        <v>1990.0</v>
      </c>
      <c r="J167" s="258">
        <v>1994.0</v>
      </c>
      <c r="K167" s="259" t="s">
        <v>151</v>
      </c>
      <c r="L167" s="259" t="s">
        <v>149</v>
      </c>
      <c r="M167" s="259" t="s">
        <v>149</v>
      </c>
      <c r="N167" s="259" t="s">
        <v>149</v>
      </c>
      <c r="O167" s="259" t="s">
        <v>8120</v>
      </c>
      <c r="P167" s="259" t="s">
        <v>205</v>
      </c>
      <c r="Q167" s="259" t="s">
        <v>8096</v>
      </c>
      <c r="R167" s="259" t="s">
        <v>159</v>
      </c>
      <c r="S167" s="259" t="s">
        <v>149</v>
      </c>
      <c r="T167" s="259" t="s">
        <v>149</v>
      </c>
      <c r="U167" s="259" t="s">
        <v>149</v>
      </c>
      <c r="V167" s="259" t="s">
        <v>660</v>
      </c>
      <c r="W167" s="259" t="s">
        <v>6035</v>
      </c>
      <c r="X167" s="259" t="s">
        <v>369</v>
      </c>
      <c r="Y167" s="260"/>
      <c r="Z167" s="260"/>
      <c r="AA167" s="259" t="s">
        <v>395</v>
      </c>
      <c r="AB167" s="263" t="s">
        <v>2873</v>
      </c>
      <c r="AC167" s="259" t="s">
        <v>398</v>
      </c>
      <c r="AE167" s="258">
        <v>1.0</v>
      </c>
      <c r="AF167" s="260"/>
    </row>
    <row r="168">
      <c r="A168" s="258">
        <v>167.0</v>
      </c>
      <c r="B168" s="259" t="s">
        <v>257</v>
      </c>
      <c r="C168" s="259" t="s">
        <v>497</v>
      </c>
      <c r="D168" s="259" t="s">
        <v>1418</v>
      </c>
      <c r="E168" s="259" t="s">
        <v>1419</v>
      </c>
      <c r="F168" s="259" t="s">
        <v>1377</v>
      </c>
      <c r="G168" s="259" t="s">
        <v>1422</v>
      </c>
      <c r="H168" s="258">
        <v>1992.0</v>
      </c>
      <c r="I168" s="258">
        <v>1990.0</v>
      </c>
      <c r="J168" s="258">
        <v>1994.0</v>
      </c>
      <c r="K168" s="259" t="s">
        <v>151</v>
      </c>
      <c r="L168" s="259" t="s">
        <v>149</v>
      </c>
      <c r="M168" s="259" t="s">
        <v>149</v>
      </c>
      <c r="N168" s="259" t="s">
        <v>149</v>
      </c>
      <c r="O168" s="259" t="s">
        <v>8120</v>
      </c>
      <c r="P168" s="259" t="s">
        <v>205</v>
      </c>
      <c r="Q168" s="259" t="s">
        <v>8096</v>
      </c>
      <c r="R168" s="259" t="s">
        <v>159</v>
      </c>
      <c r="S168" s="259" t="s">
        <v>149</v>
      </c>
      <c r="T168" s="259" t="s">
        <v>149</v>
      </c>
      <c r="U168" s="259" t="s">
        <v>149</v>
      </c>
      <c r="V168" s="259" t="s">
        <v>660</v>
      </c>
      <c r="W168" s="259" t="s">
        <v>6035</v>
      </c>
      <c r="X168" s="259" t="s">
        <v>369</v>
      </c>
      <c r="Y168" s="260"/>
      <c r="Z168" s="260"/>
      <c r="AA168" s="259" t="s">
        <v>395</v>
      </c>
      <c r="AB168" s="263" t="s">
        <v>2873</v>
      </c>
      <c r="AC168" s="259" t="s">
        <v>398</v>
      </c>
      <c r="AE168" s="258">
        <v>1.0</v>
      </c>
      <c r="AF168" s="260"/>
    </row>
    <row r="169">
      <c r="A169" s="258">
        <v>168.0</v>
      </c>
      <c r="B169" s="259" t="s">
        <v>257</v>
      </c>
      <c r="C169" s="259" t="s">
        <v>497</v>
      </c>
      <c r="D169" s="259" t="s">
        <v>1418</v>
      </c>
      <c r="E169" s="259" t="s">
        <v>1419</v>
      </c>
      <c r="F169" s="259" t="s">
        <v>1377</v>
      </c>
      <c r="G169" s="259" t="s">
        <v>1424</v>
      </c>
      <c r="H169" s="258">
        <v>1992.0</v>
      </c>
      <c r="I169" s="258">
        <v>1990.0</v>
      </c>
      <c r="J169" s="258">
        <v>1994.0</v>
      </c>
      <c r="K169" s="259" t="s">
        <v>151</v>
      </c>
      <c r="L169" s="259" t="s">
        <v>149</v>
      </c>
      <c r="M169" s="259" t="s">
        <v>149</v>
      </c>
      <c r="N169" s="259" t="s">
        <v>149</v>
      </c>
      <c r="O169" s="259" t="s">
        <v>8120</v>
      </c>
      <c r="P169" s="259" t="s">
        <v>205</v>
      </c>
      <c r="Q169" s="259" t="s">
        <v>8096</v>
      </c>
      <c r="R169" s="259" t="s">
        <v>159</v>
      </c>
      <c r="S169" s="259" t="s">
        <v>149</v>
      </c>
      <c r="T169" s="259" t="s">
        <v>149</v>
      </c>
      <c r="U169" s="259" t="s">
        <v>149</v>
      </c>
      <c r="V169" s="259" t="s">
        <v>660</v>
      </c>
      <c r="W169" s="259" t="s">
        <v>6035</v>
      </c>
      <c r="X169" s="259" t="s">
        <v>369</v>
      </c>
      <c r="Y169" s="260"/>
      <c r="Z169" s="260"/>
      <c r="AA169" s="259" t="s">
        <v>395</v>
      </c>
      <c r="AB169" s="263" t="s">
        <v>2873</v>
      </c>
      <c r="AC169" s="259" t="s">
        <v>398</v>
      </c>
      <c r="AE169" s="258">
        <v>1.0</v>
      </c>
      <c r="AF169" s="260"/>
    </row>
    <row r="170">
      <c r="A170" s="258">
        <v>169.0</v>
      </c>
      <c r="B170" s="259" t="s">
        <v>257</v>
      </c>
      <c r="C170" s="259" t="s">
        <v>497</v>
      </c>
      <c r="D170" s="259" t="s">
        <v>1418</v>
      </c>
      <c r="E170" s="259" t="s">
        <v>1419</v>
      </c>
      <c r="F170" s="259" t="s">
        <v>1377</v>
      </c>
      <c r="G170" s="259" t="s">
        <v>1426</v>
      </c>
      <c r="H170" s="258">
        <v>1992.0</v>
      </c>
      <c r="I170" s="258">
        <v>1990.0</v>
      </c>
      <c r="J170" s="258">
        <v>1994.0</v>
      </c>
      <c r="K170" s="259" t="s">
        <v>151</v>
      </c>
      <c r="L170" s="259" t="s">
        <v>149</v>
      </c>
      <c r="M170" s="259" t="s">
        <v>149</v>
      </c>
      <c r="N170" s="259" t="s">
        <v>149</v>
      </c>
      <c r="O170" s="259" t="s">
        <v>8120</v>
      </c>
      <c r="P170" s="259" t="s">
        <v>205</v>
      </c>
      <c r="Q170" s="259" t="s">
        <v>8096</v>
      </c>
      <c r="R170" s="259" t="s">
        <v>159</v>
      </c>
      <c r="S170" s="259" t="s">
        <v>149</v>
      </c>
      <c r="T170" s="259" t="s">
        <v>149</v>
      </c>
      <c r="U170" s="259" t="s">
        <v>149</v>
      </c>
      <c r="V170" s="259" t="s">
        <v>660</v>
      </c>
      <c r="W170" s="259" t="s">
        <v>6035</v>
      </c>
      <c r="X170" s="259" t="s">
        <v>369</v>
      </c>
      <c r="Y170" s="260"/>
      <c r="Z170" s="260"/>
      <c r="AA170" s="259" t="s">
        <v>395</v>
      </c>
      <c r="AB170" s="263" t="s">
        <v>2873</v>
      </c>
      <c r="AC170" s="259" t="s">
        <v>398</v>
      </c>
      <c r="AE170" s="258">
        <v>1.0</v>
      </c>
      <c r="AF170" s="260"/>
    </row>
    <row r="171">
      <c r="A171" s="258">
        <v>170.0</v>
      </c>
      <c r="B171" s="259" t="s">
        <v>257</v>
      </c>
      <c r="C171" s="259" t="s">
        <v>497</v>
      </c>
      <c r="D171" s="259" t="s">
        <v>1428</v>
      </c>
      <c r="E171" s="259" t="s">
        <v>1429</v>
      </c>
      <c r="F171" s="259" t="s">
        <v>1377</v>
      </c>
      <c r="H171" s="258">
        <v>1992.0</v>
      </c>
      <c r="I171" s="258">
        <v>1990.0</v>
      </c>
      <c r="J171" s="258">
        <v>1994.0</v>
      </c>
      <c r="K171" s="259" t="s">
        <v>151</v>
      </c>
      <c r="L171" s="259" t="s">
        <v>149</v>
      </c>
      <c r="M171" s="259" t="s">
        <v>149</v>
      </c>
      <c r="N171" s="259" t="s">
        <v>149</v>
      </c>
      <c r="O171" s="259" t="s">
        <v>8120</v>
      </c>
      <c r="P171" s="259" t="s">
        <v>205</v>
      </c>
      <c r="Q171" s="259" t="s">
        <v>8096</v>
      </c>
      <c r="R171" s="259" t="s">
        <v>159</v>
      </c>
      <c r="S171" s="259" t="s">
        <v>149</v>
      </c>
      <c r="T171" s="259" t="s">
        <v>149</v>
      </c>
      <c r="U171" s="259" t="s">
        <v>149</v>
      </c>
      <c r="V171" s="259" t="s">
        <v>660</v>
      </c>
      <c r="W171" s="259" t="s">
        <v>6035</v>
      </c>
      <c r="X171" s="259" t="s">
        <v>369</v>
      </c>
      <c r="Y171" s="260"/>
      <c r="Z171" s="260"/>
      <c r="AA171" s="259" t="s">
        <v>395</v>
      </c>
      <c r="AB171" s="263" t="s">
        <v>2873</v>
      </c>
      <c r="AC171" s="259" t="s">
        <v>398</v>
      </c>
      <c r="AE171" s="258">
        <v>1.0</v>
      </c>
      <c r="AF171" s="260"/>
    </row>
    <row r="172">
      <c r="A172" s="258">
        <v>171.0</v>
      </c>
      <c r="B172" s="259" t="s">
        <v>257</v>
      </c>
      <c r="C172" s="259" t="s">
        <v>497</v>
      </c>
      <c r="D172" s="259" t="s">
        <v>497</v>
      </c>
      <c r="E172" s="259" t="s">
        <v>1431</v>
      </c>
      <c r="F172" s="259" t="s">
        <v>1377</v>
      </c>
      <c r="G172" s="259" t="s">
        <v>1432</v>
      </c>
      <c r="H172" s="258">
        <v>1992.0</v>
      </c>
      <c r="I172" s="258">
        <v>1990.0</v>
      </c>
      <c r="J172" s="258">
        <v>1994.0</v>
      </c>
      <c r="K172" s="259" t="s">
        <v>151</v>
      </c>
      <c r="L172" s="259" t="s">
        <v>149</v>
      </c>
      <c r="M172" s="259" t="s">
        <v>149</v>
      </c>
      <c r="N172" s="259" t="s">
        <v>149</v>
      </c>
      <c r="O172" s="259" t="s">
        <v>8120</v>
      </c>
      <c r="P172" s="259" t="s">
        <v>205</v>
      </c>
      <c r="Q172" s="259" t="s">
        <v>8096</v>
      </c>
      <c r="R172" s="259" t="s">
        <v>159</v>
      </c>
      <c r="S172" s="259" t="s">
        <v>149</v>
      </c>
      <c r="T172" s="259" t="s">
        <v>149</v>
      </c>
      <c r="U172" s="259" t="s">
        <v>149</v>
      </c>
      <c r="V172" s="259" t="s">
        <v>660</v>
      </c>
      <c r="W172" s="259" t="s">
        <v>6035</v>
      </c>
      <c r="X172" s="259" t="s">
        <v>369</v>
      </c>
      <c r="Y172" s="260"/>
      <c r="Z172" s="260"/>
      <c r="AA172" s="259" t="s">
        <v>395</v>
      </c>
      <c r="AB172" s="263" t="s">
        <v>2873</v>
      </c>
      <c r="AC172" s="259" t="s">
        <v>398</v>
      </c>
      <c r="AE172" s="258">
        <v>1.0</v>
      </c>
      <c r="AF172" s="260"/>
    </row>
    <row r="173">
      <c r="A173" s="258">
        <v>172.0</v>
      </c>
      <c r="B173" s="259" t="s">
        <v>257</v>
      </c>
      <c r="C173" s="259" t="s">
        <v>497</v>
      </c>
      <c r="D173" s="259" t="s">
        <v>497</v>
      </c>
      <c r="E173" s="259" t="s">
        <v>1431</v>
      </c>
      <c r="F173" s="259" t="s">
        <v>1377</v>
      </c>
      <c r="G173" s="259" t="s">
        <v>1434</v>
      </c>
      <c r="H173" s="258">
        <v>1992.0</v>
      </c>
      <c r="I173" s="258">
        <v>1990.0</v>
      </c>
      <c r="J173" s="258">
        <v>1994.0</v>
      </c>
      <c r="K173" s="259" t="s">
        <v>151</v>
      </c>
      <c r="L173" s="259" t="s">
        <v>149</v>
      </c>
      <c r="M173" s="259" t="s">
        <v>149</v>
      </c>
      <c r="N173" s="259" t="s">
        <v>149</v>
      </c>
      <c r="O173" s="259" t="s">
        <v>8120</v>
      </c>
      <c r="P173" s="259" t="s">
        <v>205</v>
      </c>
      <c r="Q173" s="259" t="s">
        <v>8096</v>
      </c>
      <c r="R173" s="259" t="s">
        <v>159</v>
      </c>
      <c r="S173" s="259" t="s">
        <v>149</v>
      </c>
      <c r="T173" s="259" t="s">
        <v>149</v>
      </c>
      <c r="U173" s="259" t="s">
        <v>149</v>
      </c>
      <c r="V173" s="259" t="s">
        <v>660</v>
      </c>
      <c r="W173" s="259" t="s">
        <v>6035</v>
      </c>
      <c r="X173" s="259" t="s">
        <v>369</v>
      </c>
      <c r="Y173" s="260"/>
      <c r="Z173" s="260"/>
      <c r="AA173" s="259" t="s">
        <v>395</v>
      </c>
      <c r="AB173" s="263" t="s">
        <v>2873</v>
      </c>
      <c r="AC173" s="259" t="s">
        <v>398</v>
      </c>
      <c r="AE173" s="258">
        <v>1.0</v>
      </c>
      <c r="AF173" s="260"/>
    </row>
    <row r="174">
      <c r="A174" s="258">
        <v>173.0</v>
      </c>
      <c r="B174" s="259" t="s">
        <v>257</v>
      </c>
      <c r="C174" s="259" t="s">
        <v>497</v>
      </c>
      <c r="D174" s="259" t="s">
        <v>1436</v>
      </c>
      <c r="E174" s="259" t="s">
        <v>1437</v>
      </c>
      <c r="F174" s="259" t="s">
        <v>1377</v>
      </c>
      <c r="H174" s="258">
        <v>1992.0</v>
      </c>
      <c r="I174" s="258">
        <v>1990.0</v>
      </c>
      <c r="J174" s="258">
        <v>1994.0</v>
      </c>
      <c r="K174" s="259" t="s">
        <v>151</v>
      </c>
      <c r="L174" s="259" t="s">
        <v>149</v>
      </c>
      <c r="M174" s="259" t="s">
        <v>149</v>
      </c>
      <c r="N174" s="259" t="s">
        <v>149</v>
      </c>
      <c r="O174" s="259" t="s">
        <v>8120</v>
      </c>
      <c r="P174" s="259" t="s">
        <v>205</v>
      </c>
      <c r="Q174" s="259" t="s">
        <v>8096</v>
      </c>
      <c r="R174" s="259" t="s">
        <v>159</v>
      </c>
      <c r="S174" s="259" t="s">
        <v>149</v>
      </c>
      <c r="T174" s="259" t="s">
        <v>149</v>
      </c>
      <c r="U174" s="259" t="s">
        <v>149</v>
      </c>
      <c r="V174" s="259" t="s">
        <v>660</v>
      </c>
      <c r="W174" s="259" t="s">
        <v>6035</v>
      </c>
      <c r="X174" s="259" t="s">
        <v>369</v>
      </c>
      <c r="Y174" s="260"/>
      <c r="Z174" s="260"/>
      <c r="AA174" s="259" t="s">
        <v>395</v>
      </c>
      <c r="AB174" s="263" t="s">
        <v>2873</v>
      </c>
      <c r="AC174" s="259" t="s">
        <v>398</v>
      </c>
      <c r="AE174" s="258">
        <v>1.0</v>
      </c>
      <c r="AF174" s="260"/>
    </row>
    <row r="175">
      <c r="A175" s="258">
        <v>174.0</v>
      </c>
      <c r="B175" s="259" t="s">
        <v>257</v>
      </c>
      <c r="C175" s="259" t="s">
        <v>497</v>
      </c>
      <c r="D175" s="259" t="s">
        <v>1439</v>
      </c>
      <c r="E175" s="259" t="s">
        <v>1440</v>
      </c>
      <c r="F175" s="259" t="s">
        <v>1377</v>
      </c>
      <c r="H175" s="258">
        <v>1992.0</v>
      </c>
      <c r="I175" s="258">
        <v>1990.0</v>
      </c>
      <c r="J175" s="258">
        <v>1994.0</v>
      </c>
      <c r="K175" s="259" t="s">
        <v>151</v>
      </c>
      <c r="L175" s="259" t="s">
        <v>149</v>
      </c>
      <c r="M175" s="259" t="s">
        <v>149</v>
      </c>
      <c r="N175" s="259" t="s">
        <v>149</v>
      </c>
      <c r="O175" s="259" t="s">
        <v>8120</v>
      </c>
      <c r="P175" s="259" t="s">
        <v>205</v>
      </c>
      <c r="Q175" s="259" t="s">
        <v>8096</v>
      </c>
      <c r="R175" s="259" t="s">
        <v>159</v>
      </c>
      <c r="S175" s="259" t="s">
        <v>149</v>
      </c>
      <c r="T175" s="259" t="s">
        <v>149</v>
      </c>
      <c r="U175" s="259" t="s">
        <v>149</v>
      </c>
      <c r="V175" s="259" t="s">
        <v>660</v>
      </c>
      <c r="W175" s="259" t="s">
        <v>6035</v>
      </c>
      <c r="X175" s="259" t="s">
        <v>369</v>
      </c>
      <c r="Y175" s="260"/>
      <c r="Z175" s="260"/>
      <c r="AA175" s="259" t="s">
        <v>395</v>
      </c>
      <c r="AB175" s="263" t="s">
        <v>2873</v>
      </c>
      <c r="AC175" s="259" t="s">
        <v>398</v>
      </c>
      <c r="AE175" s="258">
        <v>1.0</v>
      </c>
      <c r="AF175" s="260"/>
    </row>
    <row r="176">
      <c r="A176" s="258">
        <v>175.0</v>
      </c>
      <c r="B176" s="259" t="s">
        <v>522</v>
      </c>
      <c r="C176" s="259" t="s">
        <v>802</v>
      </c>
      <c r="D176" s="259" t="s">
        <v>1172</v>
      </c>
      <c r="E176" s="259" t="s">
        <v>1173</v>
      </c>
      <c r="F176" s="259" t="s">
        <v>149</v>
      </c>
      <c r="G176" s="260"/>
      <c r="H176" s="258">
        <v>2021.0</v>
      </c>
      <c r="I176" s="259" t="s">
        <v>149</v>
      </c>
      <c r="J176" s="259" t="s">
        <v>149</v>
      </c>
      <c r="K176" s="259" t="s">
        <v>6062</v>
      </c>
      <c r="L176" s="259" t="s">
        <v>320</v>
      </c>
      <c r="M176" s="259" t="s">
        <v>179</v>
      </c>
      <c r="N176" s="259" t="s">
        <v>149</v>
      </c>
      <c r="O176" s="259" t="s">
        <v>149</v>
      </c>
      <c r="P176" s="259" t="s">
        <v>149</v>
      </c>
      <c r="Q176" s="259" t="s">
        <v>149</v>
      </c>
      <c r="R176" s="259" t="s">
        <v>149</v>
      </c>
      <c r="S176" s="259" t="s">
        <v>149</v>
      </c>
      <c r="T176" s="259" t="s">
        <v>149</v>
      </c>
      <c r="U176" s="259" t="s">
        <v>149</v>
      </c>
      <c r="V176" s="259" t="s">
        <v>369</v>
      </c>
      <c r="W176" s="259" t="s">
        <v>6035</v>
      </c>
      <c r="X176" s="259" t="s">
        <v>6793</v>
      </c>
      <c r="AA176" s="259" t="s">
        <v>166</v>
      </c>
      <c r="AB176" s="263" t="s">
        <v>1185</v>
      </c>
      <c r="AE176" s="258">
        <v>1.0</v>
      </c>
      <c r="AF176" s="260"/>
    </row>
    <row r="177">
      <c r="A177" s="258">
        <v>176.0</v>
      </c>
      <c r="B177" s="259" t="s">
        <v>522</v>
      </c>
      <c r="C177" s="259" t="s">
        <v>802</v>
      </c>
      <c r="D177" s="259" t="s">
        <v>1187</v>
      </c>
      <c r="E177" s="259" t="s">
        <v>1188</v>
      </c>
      <c r="F177" s="259" t="s">
        <v>149</v>
      </c>
      <c r="G177" s="260"/>
      <c r="H177" s="258">
        <v>2021.0</v>
      </c>
      <c r="I177" s="259" t="s">
        <v>149</v>
      </c>
      <c r="J177" s="259" t="s">
        <v>149</v>
      </c>
      <c r="K177" s="259" t="s">
        <v>6062</v>
      </c>
      <c r="L177" s="259" t="s">
        <v>320</v>
      </c>
      <c r="M177" s="259" t="s">
        <v>179</v>
      </c>
      <c r="N177" s="259" t="s">
        <v>149</v>
      </c>
      <c r="O177" s="259" t="s">
        <v>149</v>
      </c>
      <c r="P177" s="259" t="s">
        <v>149</v>
      </c>
      <c r="Q177" s="259" t="s">
        <v>149</v>
      </c>
      <c r="R177" s="259" t="s">
        <v>149</v>
      </c>
      <c r="S177" s="259" t="s">
        <v>149</v>
      </c>
      <c r="T177" s="259" t="s">
        <v>149</v>
      </c>
      <c r="U177" s="259" t="s">
        <v>149</v>
      </c>
      <c r="V177" s="259" t="s">
        <v>369</v>
      </c>
      <c r="W177" s="259" t="s">
        <v>6035</v>
      </c>
      <c r="X177" s="259" t="s">
        <v>6793</v>
      </c>
      <c r="AA177" s="259" t="s">
        <v>166</v>
      </c>
      <c r="AB177" s="263" t="s">
        <v>1185</v>
      </c>
      <c r="AE177" s="258">
        <v>1.0</v>
      </c>
      <c r="AF177" s="260"/>
    </row>
    <row r="178">
      <c r="A178" s="258">
        <v>177.0</v>
      </c>
      <c r="B178" s="259" t="s">
        <v>522</v>
      </c>
      <c r="C178" s="259" t="s">
        <v>802</v>
      </c>
      <c r="D178" s="259" t="s">
        <v>6771</v>
      </c>
      <c r="E178" s="259" t="s">
        <v>803</v>
      </c>
      <c r="F178" s="259" t="s">
        <v>2107</v>
      </c>
      <c r="H178" s="259" t="s">
        <v>149</v>
      </c>
      <c r="I178" s="259" t="s">
        <v>149</v>
      </c>
      <c r="J178" s="259" t="s">
        <v>149</v>
      </c>
      <c r="K178" s="259" t="s">
        <v>151</v>
      </c>
      <c r="L178" s="259" t="s">
        <v>152</v>
      </c>
      <c r="M178" s="259" t="s">
        <v>152</v>
      </c>
      <c r="N178" s="259" t="s">
        <v>6506</v>
      </c>
      <c r="O178" s="259" t="s">
        <v>149</v>
      </c>
      <c r="P178" s="259" t="s">
        <v>149</v>
      </c>
      <c r="Q178" s="259" t="s">
        <v>149</v>
      </c>
      <c r="R178" s="259" t="s">
        <v>149</v>
      </c>
      <c r="S178" s="259" t="s">
        <v>149</v>
      </c>
      <c r="T178" s="259" t="s">
        <v>149</v>
      </c>
      <c r="U178" s="259" t="s">
        <v>149</v>
      </c>
      <c r="V178" s="259" t="s">
        <v>149</v>
      </c>
      <c r="W178" s="259" t="s">
        <v>149</v>
      </c>
      <c r="X178" s="259" t="s">
        <v>660</v>
      </c>
      <c r="Y178" s="259" t="s">
        <v>2112</v>
      </c>
      <c r="AA178" s="259" t="s">
        <v>395</v>
      </c>
      <c r="AB178" s="263" t="s">
        <v>2873</v>
      </c>
      <c r="AC178" s="259" t="s">
        <v>398</v>
      </c>
      <c r="AE178" s="258">
        <v>1.0</v>
      </c>
      <c r="AF178" s="260"/>
    </row>
    <row r="179">
      <c r="A179" s="258">
        <v>178.0</v>
      </c>
      <c r="B179" s="259" t="s">
        <v>522</v>
      </c>
      <c r="C179" s="259" t="s">
        <v>802</v>
      </c>
      <c r="D179" s="259" t="s">
        <v>6771</v>
      </c>
      <c r="E179" s="259" t="s">
        <v>803</v>
      </c>
      <c r="F179" s="259" t="s">
        <v>804</v>
      </c>
      <c r="G179" s="259" t="s">
        <v>6808</v>
      </c>
      <c r="H179" s="258">
        <v>1992.0</v>
      </c>
      <c r="I179" s="258">
        <v>1989.0</v>
      </c>
      <c r="J179" s="258">
        <v>1994.0</v>
      </c>
      <c r="K179" s="259" t="s">
        <v>151</v>
      </c>
      <c r="L179" s="259" t="s">
        <v>6779</v>
      </c>
      <c r="M179" s="259" t="s">
        <v>6779</v>
      </c>
      <c r="N179" s="259" t="s">
        <v>6809</v>
      </c>
      <c r="O179" s="259" t="s">
        <v>6810</v>
      </c>
      <c r="P179" s="259" t="s">
        <v>160</v>
      </c>
      <c r="Q179" s="259" t="s">
        <v>184</v>
      </c>
      <c r="R179" s="259" t="s">
        <v>159</v>
      </c>
      <c r="S179" s="259" t="s">
        <v>149</v>
      </c>
      <c r="T179" s="259" t="s">
        <v>149</v>
      </c>
      <c r="U179" s="259" t="s">
        <v>6780</v>
      </c>
      <c r="V179" s="259" t="s">
        <v>341</v>
      </c>
      <c r="W179" s="259" t="s">
        <v>6035</v>
      </c>
      <c r="Y179" s="260"/>
      <c r="Z179" s="260"/>
      <c r="AA179" s="259" t="s">
        <v>395</v>
      </c>
      <c r="AB179" s="263" t="s">
        <v>2873</v>
      </c>
      <c r="AC179" s="259" t="s">
        <v>398</v>
      </c>
      <c r="AE179" s="258">
        <v>1.0</v>
      </c>
      <c r="AF179" s="260"/>
    </row>
    <row r="180">
      <c r="A180" s="258">
        <v>179.0</v>
      </c>
      <c r="B180" s="259" t="s">
        <v>522</v>
      </c>
      <c r="C180" s="259" t="s">
        <v>2618</v>
      </c>
      <c r="D180" s="259" t="s">
        <v>2619</v>
      </c>
      <c r="E180" s="259" t="s">
        <v>2620</v>
      </c>
      <c r="F180" s="259" t="s">
        <v>149</v>
      </c>
      <c r="G180" s="260"/>
      <c r="H180" s="259" t="s">
        <v>149</v>
      </c>
      <c r="I180" s="259" t="s">
        <v>149</v>
      </c>
      <c r="J180" s="259" t="s">
        <v>149</v>
      </c>
      <c r="K180" s="259" t="s">
        <v>6062</v>
      </c>
      <c r="L180" s="259" t="s">
        <v>2622</v>
      </c>
      <c r="M180" s="259" t="s">
        <v>179</v>
      </c>
      <c r="N180" s="259" t="s">
        <v>6812</v>
      </c>
      <c r="O180" s="259" t="s">
        <v>2624</v>
      </c>
      <c r="P180" s="259" t="s">
        <v>160</v>
      </c>
      <c r="Q180" s="259" t="s">
        <v>184</v>
      </c>
      <c r="R180" s="259" t="s">
        <v>159</v>
      </c>
      <c r="S180" s="259" t="s">
        <v>149</v>
      </c>
      <c r="T180" s="259" t="s">
        <v>149</v>
      </c>
      <c r="U180" s="259" t="s">
        <v>149</v>
      </c>
      <c r="V180" s="259" t="s">
        <v>2624</v>
      </c>
      <c r="W180" s="259" t="s">
        <v>184</v>
      </c>
      <c r="X180" s="260"/>
      <c r="Y180" s="260"/>
      <c r="Z180" s="260"/>
      <c r="AA180" s="259" t="s">
        <v>6091</v>
      </c>
      <c r="AB180" s="263" t="s">
        <v>2627</v>
      </c>
      <c r="AE180" s="258">
        <v>1.0</v>
      </c>
      <c r="AF180" s="260"/>
    </row>
    <row r="181">
      <c r="A181" s="258">
        <v>180.0</v>
      </c>
      <c r="B181" s="259" t="s">
        <v>522</v>
      </c>
      <c r="C181" s="259" t="s">
        <v>1947</v>
      </c>
      <c r="D181" s="259" t="s">
        <v>1948</v>
      </c>
      <c r="E181" s="259" t="s">
        <v>1949</v>
      </c>
      <c r="F181" s="259" t="s">
        <v>1950</v>
      </c>
      <c r="H181" s="258">
        <v>2013.0</v>
      </c>
      <c r="I181" s="259" t="s">
        <v>149</v>
      </c>
      <c r="J181" s="259" t="s">
        <v>149</v>
      </c>
      <c r="K181" s="259" t="s">
        <v>151</v>
      </c>
      <c r="L181" s="259" t="s">
        <v>851</v>
      </c>
      <c r="M181" s="259" t="s">
        <v>851</v>
      </c>
      <c r="N181" s="259" t="s">
        <v>149</v>
      </c>
      <c r="O181" s="259" t="s">
        <v>149</v>
      </c>
      <c r="P181" s="259" t="s">
        <v>149</v>
      </c>
      <c r="Q181" s="259" t="s">
        <v>149</v>
      </c>
      <c r="R181" s="259" t="s">
        <v>149</v>
      </c>
      <c r="S181" s="259" t="s">
        <v>149</v>
      </c>
      <c r="T181" s="259" t="s">
        <v>149</v>
      </c>
      <c r="U181" s="259" t="s">
        <v>149</v>
      </c>
      <c r="V181" s="259" t="s">
        <v>724</v>
      </c>
      <c r="W181" s="259" t="s">
        <v>184</v>
      </c>
      <c r="X181" s="260"/>
      <c r="Y181" s="259" t="s">
        <v>6824</v>
      </c>
      <c r="AA181" s="259" t="s">
        <v>6517</v>
      </c>
      <c r="AB181" s="263" t="s">
        <v>6825</v>
      </c>
      <c r="AE181" s="258">
        <v>1.0</v>
      </c>
      <c r="AF181" s="260"/>
    </row>
    <row r="182">
      <c r="A182" s="258">
        <v>181.0</v>
      </c>
      <c r="B182" s="259" t="s">
        <v>522</v>
      </c>
      <c r="C182" s="259" t="s">
        <v>523</v>
      </c>
      <c r="D182" s="259" t="s">
        <v>2278</v>
      </c>
      <c r="E182" s="259" t="s">
        <v>2279</v>
      </c>
      <c r="F182" s="259" t="s">
        <v>6795</v>
      </c>
      <c r="H182" s="258">
        <v>2006.0</v>
      </c>
      <c r="I182" s="259" t="s">
        <v>149</v>
      </c>
      <c r="J182" s="259" t="s">
        <v>149</v>
      </c>
      <c r="K182" s="259" t="s">
        <v>151</v>
      </c>
      <c r="L182" s="259" t="s">
        <v>8139</v>
      </c>
      <c r="M182" s="259" t="s">
        <v>8139</v>
      </c>
      <c r="N182" s="259" t="s">
        <v>6828</v>
      </c>
      <c r="O182" s="259" t="s">
        <v>2286</v>
      </c>
      <c r="P182" s="259" t="s">
        <v>160</v>
      </c>
      <c r="Q182" s="259" t="s">
        <v>306</v>
      </c>
      <c r="R182" s="259" t="s">
        <v>159</v>
      </c>
      <c r="S182" s="259" t="s">
        <v>149</v>
      </c>
      <c r="T182" s="259" t="s">
        <v>149</v>
      </c>
      <c r="U182" s="259" t="s">
        <v>149</v>
      </c>
      <c r="V182" s="259" t="s">
        <v>6829</v>
      </c>
      <c r="W182" s="259" t="s">
        <v>306</v>
      </c>
      <c r="X182" s="260"/>
      <c r="Y182" s="259" t="s">
        <v>2287</v>
      </c>
      <c r="Z182" s="260"/>
      <c r="AA182" s="259" t="s">
        <v>6517</v>
      </c>
      <c r="AB182" s="259" t="s">
        <v>6801</v>
      </c>
      <c r="AE182" s="258">
        <v>1.0</v>
      </c>
      <c r="AF182" s="260"/>
    </row>
    <row r="183">
      <c r="A183" s="258">
        <v>182.0</v>
      </c>
      <c r="B183" s="259" t="s">
        <v>522</v>
      </c>
      <c r="C183" s="259" t="s">
        <v>523</v>
      </c>
      <c r="D183" s="259" t="s">
        <v>6804</v>
      </c>
      <c r="E183" s="259" t="s">
        <v>525</v>
      </c>
      <c r="F183" s="259" t="s">
        <v>384</v>
      </c>
      <c r="G183" s="259" t="s">
        <v>526</v>
      </c>
      <c r="H183" s="258">
        <v>1985.0</v>
      </c>
      <c r="I183" s="258">
        <v>1985.0</v>
      </c>
      <c r="J183" s="258">
        <v>1987.0</v>
      </c>
      <c r="K183" s="259" t="s">
        <v>151</v>
      </c>
      <c r="L183" s="259" t="s">
        <v>6054</v>
      </c>
      <c r="M183" s="259" t="s">
        <v>6054</v>
      </c>
      <c r="N183" s="259" t="s">
        <v>149</v>
      </c>
      <c r="O183" s="259" t="s">
        <v>390</v>
      </c>
      <c r="P183" s="259" t="s">
        <v>160</v>
      </c>
      <c r="Q183" s="259" t="s">
        <v>6035</v>
      </c>
      <c r="R183" s="259" t="s">
        <v>159</v>
      </c>
      <c r="S183" s="259" t="s">
        <v>149</v>
      </c>
      <c r="T183" s="259" t="s">
        <v>149</v>
      </c>
      <c r="U183" s="259" t="s">
        <v>149</v>
      </c>
      <c r="V183" s="259" t="s">
        <v>390</v>
      </c>
      <c r="W183" s="259" t="s">
        <v>6035</v>
      </c>
      <c r="X183" s="259" t="s">
        <v>6055</v>
      </c>
      <c r="AA183" s="259" t="s">
        <v>395</v>
      </c>
      <c r="AB183" s="263" t="s">
        <v>2873</v>
      </c>
      <c r="AC183" s="259" t="s">
        <v>398</v>
      </c>
      <c r="AE183" s="258">
        <v>1.0</v>
      </c>
      <c r="AF183" s="260"/>
    </row>
    <row r="184">
      <c r="A184" s="258">
        <v>183.0</v>
      </c>
      <c r="B184" s="259" t="s">
        <v>522</v>
      </c>
      <c r="C184" s="259" t="s">
        <v>523</v>
      </c>
      <c r="D184" s="259" t="s">
        <v>6804</v>
      </c>
      <c r="E184" s="259" t="s">
        <v>525</v>
      </c>
      <c r="F184" s="259" t="s">
        <v>1683</v>
      </c>
      <c r="H184" s="258">
        <v>2015.0</v>
      </c>
      <c r="I184" s="258">
        <v>2014.0</v>
      </c>
      <c r="J184" s="258">
        <v>2016.0</v>
      </c>
      <c r="K184" s="259" t="s">
        <v>6062</v>
      </c>
      <c r="L184" s="259" t="s">
        <v>320</v>
      </c>
      <c r="M184" s="259" t="s">
        <v>179</v>
      </c>
      <c r="N184" s="259" t="s">
        <v>149</v>
      </c>
      <c r="O184" s="259" t="s">
        <v>321</v>
      </c>
      <c r="P184" s="259" t="s">
        <v>160</v>
      </c>
      <c r="Q184" s="259" t="s">
        <v>6035</v>
      </c>
      <c r="R184" s="259" t="s">
        <v>159</v>
      </c>
      <c r="S184" s="259" t="s">
        <v>149</v>
      </c>
      <c r="T184" s="259" t="s">
        <v>149</v>
      </c>
      <c r="U184" s="259" t="s">
        <v>1709</v>
      </c>
      <c r="V184" s="259" t="s">
        <v>326</v>
      </c>
      <c r="W184" s="259" t="s">
        <v>271</v>
      </c>
      <c r="X184" s="260"/>
      <c r="Y184" s="260"/>
      <c r="Z184" s="260"/>
      <c r="AA184" s="259" t="s">
        <v>6069</v>
      </c>
      <c r="AC184" s="260"/>
      <c r="AD184" s="260"/>
      <c r="AE184" s="258">
        <v>1.0</v>
      </c>
      <c r="AF184" s="260"/>
    </row>
    <row r="185">
      <c r="A185" s="258">
        <v>184.0</v>
      </c>
      <c r="B185" s="259" t="s">
        <v>522</v>
      </c>
      <c r="C185" s="259" t="s">
        <v>523</v>
      </c>
      <c r="D185" s="259" t="s">
        <v>1964</v>
      </c>
      <c r="E185" s="259" t="s">
        <v>1965</v>
      </c>
      <c r="F185" s="259" t="s">
        <v>149</v>
      </c>
      <c r="G185" s="260"/>
      <c r="H185" s="258">
        <v>2011.0</v>
      </c>
      <c r="I185" s="259" t="s">
        <v>149</v>
      </c>
      <c r="J185" s="259" t="s">
        <v>149</v>
      </c>
      <c r="K185" s="259" t="s">
        <v>6624</v>
      </c>
      <c r="L185" s="259" t="s">
        <v>6288</v>
      </c>
      <c r="M185" s="259" t="s">
        <v>179</v>
      </c>
      <c r="N185" s="259" t="s">
        <v>6843</v>
      </c>
      <c r="O185" s="259" t="s">
        <v>149</v>
      </c>
      <c r="P185" s="259" t="s">
        <v>149</v>
      </c>
      <c r="Q185" s="259" t="s">
        <v>149</v>
      </c>
      <c r="R185" s="259" t="s">
        <v>149</v>
      </c>
      <c r="S185" s="259" t="s">
        <v>149</v>
      </c>
      <c r="T185" s="259" t="s">
        <v>149</v>
      </c>
      <c r="U185" s="259" t="s">
        <v>149</v>
      </c>
      <c r="V185" s="259" t="s">
        <v>2574</v>
      </c>
      <c r="W185" s="259" t="s">
        <v>184</v>
      </c>
      <c r="X185" s="260"/>
      <c r="Y185" s="259" t="s">
        <v>2575</v>
      </c>
      <c r="AA185" s="259" t="s">
        <v>6027</v>
      </c>
      <c r="AB185" s="263" t="s">
        <v>6844</v>
      </c>
      <c r="AE185" s="258">
        <v>1.0</v>
      </c>
      <c r="AF185" s="260"/>
    </row>
    <row r="186">
      <c r="A186" s="258">
        <v>185.0</v>
      </c>
      <c r="B186" s="259" t="s">
        <v>522</v>
      </c>
      <c r="C186" s="259" t="s">
        <v>523</v>
      </c>
      <c r="D186" s="259" t="s">
        <v>2114</v>
      </c>
      <c r="E186" s="259" t="s">
        <v>2115</v>
      </c>
      <c r="F186" s="259" t="s">
        <v>2116</v>
      </c>
      <c r="H186" s="258">
        <v>2016.0</v>
      </c>
      <c r="I186" s="259" t="s">
        <v>149</v>
      </c>
      <c r="J186" s="259" t="s">
        <v>149</v>
      </c>
      <c r="K186" s="259" t="s">
        <v>151</v>
      </c>
      <c r="L186" s="259" t="s">
        <v>2116</v>
      </c>
      <c r="M186" s="259" t="s">
        <v>2116</v>
      </c>
      <c r="N186" s="259" t="s">
        <v>6849</v>
      </c>
      <c r="O186" s="259" t="s">
        <v>2120</v>
      </c>
      <c r="P186" s="259" t="s">
        <v>160</v>
      </c>
      <c r="Q186" s="259" t="s">
        <v>306</v>
      </c>
      <c r="R186" s="259" t="s">
        <v>159</v>
      </c>
      <c r="S186" s="259" t="s">
        <v>149</v>
      </c>
      <c r="T186" s="259" t="s">
        <v>149</v>
      </c>
      <c r="U186" s="259" t="s">
        <v>149</v>
      </c>
      <c r="V186" s="259" t="s">
        <v>2120</v>
      </c>
      <c r="W186" s="259" t="s">
        <v>306</v>
      </c>
      <c r="X186" s="259" t="s">
        <v>369</v>
      </c>
      <c r="Y186" s="262"/>
      <c r="Z186" s="260"/>
      <c r="AA186" s="259" t="s">
        <v>1159</v>
      </c>
      <c r="AB186" s="263" t="s">
        <v>2124</v>
      </c>
      <c r="AC186" s="259" t="s">
        <v>2125</v>
      </c>
      <c r="AD186" s="259" t="s">
        <v>2126</v>
      </c>
      <c r="AE186" s="258">
        <v>1.0</v>
      </c>
      <c r="AF186" s="260"/>
    </row>
    <row r="187">
      <c r="A187" s="258">
        <v>186.0</v>
      </c>
      <c r="B187" s="259" t="s">
        <v>522</v>
      </c>
      <c r="C187" s="259" t="s">
        <v>529</v>
      </c>
      <c r="D187" s="259" t="s">
        <v>530</v>
      </c>
      <c r="E187" s="259" t="s">
        <v>531</v>
      </c>
      <c r="F187" s="259" t="s">
        <v>384</v>
      </c>
      <c r="G187" s="259" t="s">
        <v>532</v>
      </c>
      <c r="H187" s="258">
        <v>1985.0</v>
      </c>
      <c r="I187" s="258">
        <v>1985.0</v>
      </c>
      <c r="J187" s="258">
        <v>1987.0</v>
      </c>
      <c r="K187" s="259" t="s">
        <v>151</v>
      </c>
      <c r="L187" s="259" t="s">
        <v>469</v>
      </c>
      <c r="M187" s="259" t="s">
        <v>469</v>
      </c>
      <c r="N187" s="259" t="s">
        <v>149</v>
      </c>
      <c r="O187" s="259" t="s">
        <v>390</v>
      </c>
      <c r="P187" s="259" t="s">
        <v>160</v>
      </c>
      <c r="Q187" s="259" t="s">
        <v>6035</v>
      </c>
      <c r="R187" s="259" t="s">
        <v>159</v>
      </c>
      <c r="S187" s="259" t="s">
        <v>149</v>
      </c>
      <c r="T187" s="259" t="s">
        <v>149</v>
      </c>
      <c r="U187" s="259" t="s">
        <v>533</v>
      </c>
      <c r="V187" s="259" t="s">
        <v>390</v>
      </c>
      <c r="W187" s="259" t="s">
        <v>6035</v>
      </c>
      <c r="X187" s="259" t="s">
        <v>6055</v>
      </c>
      <c r="AA187" s="259" t="s">
        <v>395</v>
      </c>
      <c r="AB187" s="263" t="s">
        <v>2873</v>
      </c>
      <c r="AC187" s="259" t="s">
        <v>398</v>
      </c>
      <c r="AE187" s="258">
        <v>1.0</v>
      </c>
      <c r="AF187" s="260"/>
    </row>
    <row r="188">
      <c r="A188" s="258">
        <v>187.0</v>
      </c>
      <c r="B188" s="259" t="s">
        <v>535</v>
      </c>
      <c r="C188" s="259" t="s">
        <v>893</v>
      </c>
      <c r="D188" s="259" t="s">
        <v>1622</v>
      </c>
      <c r="E188" s="259" t="s">
        <v>1623</v>
      </c>
      <c r="F188" s="259" t="s">
        <v>149</v>
      </c>
      <c r="G188" s="260"/>
      <c r="H188" s="258">
        <v>2022.0</v>
      </c>
      <c r="I188" s="260"/>
      <c r="J188" s="259" t="s">
        <v>149</v>
      </c>
      <c r="K188" s="259" t="s">
        <v>6062</v>
      </c>
      <c r="L188" s="259" t="s">
        <v>320</v>
      </c>
      <c r="M188" s="259" t="s">
        <v>179</v>
      </c>
      <c r="N188" s="259" t="s">
        <v>6861</v>
      </c>
      <c r="O188" s="259" t="s">
        <v>1627</v>
      </c>
      <c r="P188" s="259" t="s">
        <v>160</v>
      </c>
      <c r="Q188" s="259" t="s">
        <v>6035</v>
      </c>
      <c r="R188" s="259" t="s">
        <v>159</v>
      </c>
      <c r="S188" s="259" t="s">
        <v>149</v>
      </c>
      <c r="T188" s="259" t="s">
        <v>149</v>
      </c>
      <c r="U188" s="259" t="s">
        <v>149</v>
      </c>
      <c r="V188" s="259" t="s">
        <v>1627</v>
      </c>
      <c r="W188" s="259" t="s">
        <v>6035</v>
      </c>
      <c r="Y188" s="260"/>
      <c r="Z188" s="260"/>
      <c r="AA188" s="259" t="s">
        <v>166</v>
      </c>
      <c r="AB188" s="263" t="s">
        <v>1631</v>
      </c>
      <c r="AE188" s="258">
        <v>1.0</v>
      </c>
      <c r="AF188" s="260"/>
    </row>
    <row r="189">
      <c r="A189" s="258">
        <v>188.0</v>
      </c>
      <c r="B189" s="259" t="s">
        <v>535</v>
      </c>
      <c r="C189" s="259" t="s">
        <v>893</v>
      </c>
      <c r="D189" s="259" t="s">
        <v>8036</v>
      </c>
      <c r="E189" s="259" t="s">
        <v>1876</v>
      </c>
      <c r="F189" s="259" t="s">
        <v>149</v>
      </c>
      <c r="G189" s="260"/>
      <c r="H189" s="259" t="s">
        <v>149</v>
      </c>
      <c r="I189" s="259" t="s">
        <v>149</v>
      </c>
      <c r="J189" s="259" t="s">
        <v>149</v>
      </c>
      <c r="K189" s="259" t="s">
        <v>6062</v>
      </c>
      <c r="L189" s="259" t="s">
        <v>320</v>
      </c>
      <c r="M189" s="259" t="s">
        <v>179</v>
      </c>
      <c r="N189" s="259" t="s">
        <v>6863</v>
      </c>
      <c r="O189" s="259" t="s">
        <v>369</v>
      </c>
      <c r="P189" s="259" t="s">
        <v>160</v>
      </c>
      <c r="Q189" s="259" t="s">
        <v>6035</v>
      </c>
      <c r="R189" s="259" t="s">
        <v>159</v>
      </c>
      <c r="S189" s="259" t="s">
        <v>149</v>
      </c>
      <c r="T189" s="259" t="s">
        <v>149</v>
      </c>
      <c r="U189" s="259" t="s">
        <v>149</v>
      </c>
      <c r="V189" s="259" t="s">
        <v>369</v>
      </c>
      <c r="W189" s="259" t="s">
        <v>6035</v>
      </c>
      <c r="Y189" s="260"/>
      <c r="Z189" s="260"/>
      <c r="AA189" s="259" t="s">
        <v>8092</v>
      </c>
      <c r="AC189" s="260"/>
      <c r="AD189" s="260"/>
      <c r="AE189" s="258">
        <v>1.0</v>
      </c>
      <c r="AF189" s="260"/>
    </row>
    <row r="190">
      <c r="A190" s="258">
        <v>189.0</v>
      </c>
      <c r="B190" s="259" t="s">
        <v>535</v>
      </c>
      <c r="C190" s="259" t="s">
        <v>893</v>
      </c>
      <c r="D190" s="259" t="s">
        <v>2797</v>
      </c>
      <c r="E190" s="259" t="s">
        <v>2798</v>
      </c>
      <c r="F190" s="259" t="s">
        <v>149</v>
      </c>
      <c r="G190" s="260"/>
      <c r="H190" s="259" t="s">
        <v>149</v>
      </c>
      <c r="I190" s="259" t="s">
        <v>149</v>
      </c>
      <c r="J190" s="259" t="s">
        <v>149</v>
      </c>
      <c r="K190" s="259" t="s">
        <v>6062</v>
      </c>
      <c r="L190" s="259" t="s">
        <v>6868</v>
      </c>
      <c r="M190" s="259" t="s">
        <v>179</v>
      </c>
      <c r="N190" s="259" t="s">
        <v>699</v>
      </c>
      <c r="O190" s="259" t="s">
        <v>6869</v>
      </c>
      <c r="P190" s="259" t="s">
        <v>160</v>
      </c>
      <c r="Q190" s="259" t="s">
        <v>209</v>
      </c>
      <c r="R190" s="259" t="s">
        <v>204</v>
      </c>
      <c r="S190" s="259" t="s">
        <v>149</v>
      </c>
      <c r="T190" s="259" t="s">
        <v>149</v>
      </c>
      <c r="U190" s="259" t="s">
        <v>149</v>
      </c>
      <c r="V190" s="259" t="s">
        <v>1158</v>
      </c>
      <c r="W190" s="259" t="s">
        <v>6068</v>
      </c>
      <c r="X190" s="260"/>
      <c r="Y190" s="260"/>
      <c r="Z190" s="260"/>
      <c r="AA190" s="259" t="s">
        <v>1159</v>
      </c>
      <c r="AB190" s="263" t="s">
        <v>1161</v>
      </c>
      <c r="AC190" s="259" t="s">
        <v>2803</v>
      </c>
      <c r="AE190" s="258">
        <v>1.0</v>
      </c>
      <c r="AF190" s="260"/>
    </row>
    <row r="191">
      <c r="A191" s="258">
        <v>190.0</v>
      </c>
      <c r="B191" s="259" t="s">
        <v>535</v>
      </c>
      <c r="C191" s="259" t="s">
        <v>893</v>
      </c>
      <c r="D191" s="259" t="s">
        <v>894</v>
      </c>
      <c r="E191" s="259" t="s">
        <v>895</v>
      </c>
      <c r="F191" s="259" t="s">
        <v>384</v>
      </c>
      <c r="G191" s="259" t="s">
        <v>2868</v>
      </c>
      <c r="H191" s="258">
        <v>1983.0</v>
      </c>
      <c r="I191" s="258">
        <v>1985.0</v>
      </c>
      <c r="J191" s="258">
        <v>1987.0</v>
      </c>
      <c r="K191" s="259" t="s">
        <v>151</v>
      </c>
      <c r="L191" s="259" t="s">
        <v>469</v>
      </c>
      <c r="M191" s="259" t="s">
        <v>469</v>
      </c>
      <c r="N191" s="259" t="s">
        <v>149</v>
      </c>
      <c r="O191" s="259" t="s">
        <v>390</v>
      </c>
      <c r="P191" s="259" t="s">
        <v>160</v>
      </c>
      <c r="Q191" s="259" t="s">
        <v>6035</v>
      </c>
      <c r="R191" s="259" t="s">
        <v>159</v>
      </c>
      <c r="S191" s="259" t="s">
        <v>149</v>
      </c>
      <c r="T191" s="259" t="s">
        <v>149</v>
      </c>
      <c r="U191" s="259" t="s">
        <v>2870</v>
      </c>
      <c r="V191" s="259" t="s">
        <v>390</v>
      </c>
      <c r="W191" s="259" t="s">
        <v>6035</v>
      </c>
      <c r="X191" s="259" t="s">
        <v>6055</v>
      </c>
      <c r="AA191" s="259" t="s">
        <v>395</v>
      </c>
      <c r="AB191" s="263" t="s">
        <v>2873</v>
      </c>
      <c r="AC191" s="259" t="s">
        <v>398</v>
      </c>
      <c r="AE191" s="258">
        <v>1.0</v>
      </c>
      <c r="AF191" s="259" t="s">
        <v>6109</v>
      </c>
    </row>
    <row r="192">
      <c r="A192" s="258">
        <v>191.0</v>
      </c>
      <c r="B192" s="259" t="s">
        <v>535</v>
      </c>
      <c r="C192" s="259" t="s">
        <v>893</v>
      </c>
      <c r="D192" s="259" t="s">
        <v>8043</v>
      </c>
      <c r="E192" s="259" t="s">
        <v>1152</v>
      </c>
      <c r="F192" s="259" t="s">
        <v>1153</v>
      </c>
      <c r="H192" s="259" t="s">
        <v>149</v>
      </c>
      <c r="I192" s="259" t="s">
        <v>149</v>
      </c>
      <c r="J192" s="259" t="s">
        <v>149</v>
      </c>
      <c r="K192" s="259" t="s">
        <v>6062</v>
      </c>
      <c r="L192" s="259" t="s">
        <v>149</v>
      </c>
      <c r="M192" s="259" t="s">
        <v>149</v>
      </c>
      <c r="N192" s="259" t="s">
        <v>699</v>
      </c>
      <c r="O192" s="259" t="s">
        <v>149</v>
      </c>
      <c r="P192" s="259" t="s">
        <v>149</v>
      </c>
      <c r="Q192" s="259" t="s">
        <v>149</v>
      </c>
      <c r="R192" s="259" t="s">
        <v>149</v>
      </c>
      <c r="S192" s="259" t="s">
        <v>149</v>
      </c>
      <c r="T192" s="259" t="s">
        <v>149</v>
      </c>
      <c r="U192" s="259" t="s">
        <v>149</v>
      </c>
      <c r="V192" s="259" t="s">
        <v>149</v>
      </c>
      <c r="W192" s="259" t="s">
        <v>149</v>
      </c>
      <c r="X192" s="260"/>
      <c r="Y192" s="260"/>
      <c r="Z192" s="260"/>
      <c r="AA192" s="259" t="s">
        <v>8092</v>
      </c>
      <c r="AC192" s="260"/>
      <c r="AD192" s="260"/>
      <c r="AE192" s="258">
        <v>1.0</v>
      </c>
      <c r="AF192" s="260"/>
    </row>
    <row r="193">
      <c r="A193" s="258">
        <v>192.0</v>
      </c>
      <c r="B193" s="259" t="s">
        <v>535</v>
      </c>
      <c r="C193" s="259" t="s">
        <v>893</v>
      </c>
      <c r="D193" s="259" t="s">
        <v>1442</v>
      </c>
      <c r="E193" s="259" t="s">
        <v>1443</v>
      </c>
      <c r="F193" s="259" t="s">
        <v>1377</v>
      </c>
      <c r="H193" s="258">
        <v>1992.0</v>
      </c>
      <c r="I193" s="258">
        <v>1990.0</v>
      </c>
      <c r="J193" s="258">
        <v>1994.0</v>
      </c>
      <c r="K193" s="259" t="s">
        <v>151</v>
      </c>
      <c r="L193" s="259" t="s">
        <v>149</v>
      </c>
      <c r="M193" s="259" t="s">
        <v>149</v>
      </c>
      <c r="N193" s="259" t="s">
        <v>149</v>
      </c>
      <c r="O193" s="259" t="s">
        <v>8120</v>
      </c>
      <c r="P193" s="259" t="s">
        <v>205</v>
      </c>
      <c r="Q193" s="259" t="s">
        <v>8096</v>
      </c>
      <c r="R193" s="259" t="s">
        <v>159</v>
      </c>
      <c r="S193" s="259" t="s">
        <v>149</v>
      </c>
      <c r="T193" s="259" t="s">
        <v>149</v>
      </c>
      <c r="U193" s="259" t="s">
        <v>149</v>
      </c>
      <c r="V193" s="259" t="s">
        <v>660</v>
      </c>
      <c r="W193" s="259" t="s">
        <v>6035</v>
      </c>
      <c r="X193" s="259" t="s">
        <v>369</v>
      </c>
      <c r="Y193" s="260"/>
      <c r="Z193" s="260"/>
      <c r="AA193" s="259" t="s">
        <v>395</v>
      </c>
      <c r="AB193" s="263" t="s">
        <v>2873</v>
      </c>
      <c r="AC193" s="259" t="s">
        <v>398</v>
      </c>
      <c r="AE193" s="258">
        <v>1.0</v>
      </c>
      <c r="AF193" s="260"/>
    </row>
    <row r="194">
      <c r="A194" s="258">
        <v>193.0</v>
      </c>
      <c r="B194" s="259" t="s">
        <v>535</v>
      </c>
      <c r="C194" s="259" t="s">
        <v>893</v>
      </c>
      <c r="D194" s="259" t="s">
        <v>1442</v>
      </c>
      <c r="E194" s="259" t="s">
        <v>1443</v>
      </c>
      <c r="F194" s="259" t="s">
        <v>149</v>
      </c>
      <c r="G194" s="260"/>
      <c r="H194" s="258">
        <v>1990.0</v>
      </c>
      <c r="I194" s="259" t="s">
        <v>149</v>
      </c>
      <c r="J194" s="259" t="s">
        <v>149</v>
      </c>
      <c r="K194" s="259" t="s">
        <v>151</v>
      </c>
      <c r="L194" s="259" t="s">
        <v>149</v>
      </c>
      <c r="M194" s="259" t="s">
        <v>149</v>
      </c>
      <c r="N194" s="259" t="s">
        <v>6506</v>
      </c>
      <c r="O194" s="259" t="s">
        <v>149</v>
      </c>
      <c r="P194" s="259" t="s">
        <v>149</v>
      </c>
      <c r="Q194" s="259" t="s">
        <v>149</v>
      </c>
      <c r="R194" s="259" t="s">
        <v>149</v>
      </c>
      <c r="S194" s="259" t="s">
        <v>149</v>
      </c>
      <c r="T194" s="259" t="s">
        <v>149</v>
      </c>
      <c r="U194" s="259" t="s">
        <v>149</v>
      </c>
      <c r="V194" s="259" t="s">
        <v>2304</v>
      </c>
      <c r="W194" s="259" t="s">
        <v>184</v>
      </c>
      <c r="X194" s="259" t="s">
        <v>6507</v>
      </c>
      <c r="AA194" s="259" t="s">
        <v>395</v>
      </c>
      <c r="AB194" s="263" t="s">
        <v>2873</v>
      </c>
      <c r="AC194" s="259" t="s">
        <v>398</v>
      </c>
      <c r="AE194" s="258">
        <v>1.0</v>
      </c>
      <c r="AF194" s="260"/>
    </row>
    <row r="195">
      <c r="A195" s="258">
        <v>194.0</v>
      </c>
      <c r="B195" s="259" t="s">
        <v>535</v>
      </c>
      <c r="C195" s="259" t="s">
        <v>1445</v>
      </c>
      <c r="D195" s="259" t="s">
        <v>2406</v>
      </c>
      <c r="E195" s="259" t="s">
        <v>2407</v>
      </c>
      <c r="F195" s="259" t="s">
        <v>149</v>
      </c>
      <c r="G195" s="259" t="s">
        <v>6888</v>
      </c>
      <c r="H195" s="258">
        <v>2021.0</v>
      </c>
      <c r="I195" s="259" t="s">
        <v>149</v>
      </c>
      <c r="J195" s="259" t="s">
        <v>149</v>
      </c>
      <c r="K195" s="259" t="s">
        <v>151</v>
      </c>
      <c r="L195" s="259" t="s">
        <v>6889</v>
      </c>
      <c r="M195" s="259" t="s">
        <v>6889</v>
      </c>
      <c r="N195" s="259" t="s">
        <v>149</v>
      </c>
      <c r="O195" s="259" t="s">
        <v>369</v>
      </c>
      <c r="P195" s="259" t="s">
        <v>160</v>
      </c>
      <c r="Q195" s="259" t="s">
        <v>6035</v>
      </c>
      <c r="R195" s="259" t="s">
        <v>159</v>
      </c>
      <c r="S195" s="259" t="s">
        <v>149</v>
      </c>
      <c r="T195" s="259" t="s">
        <v>149</v>
      </c>
      <c r="U195" s="259" t="s">
        <v>1336</v>
      </c>
      <c r="V195" s="259" t="s">
        <v>369</v>
      </c>
      <c r="W195" s="259" t="s">
        <v>6035</v>
      </c>
      <c r="X195" s="259" t="s">
        <v>2411</v>
      </c>
      <c r="Z195" s="259" t="s">
        <v>1195</v>
      </c>
      <c r="AA195" s="259" t="s">
        <v>166</v>
      </c>
      <c r="AB195" s="263" t="s">
        <v>2413</v>
      </c>
      <c r="AE195" s="258">
        <v>1.0</v>
      </c>
      <c r="AF195" s="260"/>
    </row>
    <row r="196">
      <c r="A196" s="258">
        <v>195.0</v>
      </c>
      <c r="B196" s="259" t="s">
        <v>535</v>
      </c>
      <c r="C196" s="259" t="s">
        <v>1445</v>
      </c>
      <c r="D196" s="259" t="s">
        <v>1446</v>
      </c>
      <c r="E196" s="259" t="s">
        <v>1447</v>
      </c>
      <c r="F196" s="259" t="s">
        <v>1377</v>
      </c>
      <c r="G196" s="259" t="s">
        <v>1448</v>
      </c>
      <c r="H196" s="258">
        <v>1992.0</v>
      </c>
      <c r="I196" s="258">
        <v>1990.0</v>
      </c>
      <c r="J196" s="258">
        <v>1994.0</v>
      </c>
      <c r="K196" s="259" t="s">
        <v>151</v>
      </c>
      <c r="L196" s="259" t="s">
        <v>149</v>
      </c>
      <c r="M196" s="259" t="s">
        <v>149</v>
      </c>
      <c r="N196" s="259" t="s">
        <v>149</v>
      </c>
      <c r="O196" s="259" t="s">
        <v>8120</v>
      </c>
      <c r="P196" s="259" t="s">
        <v>205</v>
      </c>
      <c r="Q196" s="259" t="s">
        <v>8096</v>
      </c>
      <c r="R196" s="259" t="s">
        <v>159</v>
      </c>
      <c r="S196" s="259" t="s">
        <v>149</v>
      </c>
      <c r="T196" s="259" t="s">
        <v>149</v>
      </c>
      <c r="U196" s="259" t="s">
        <v>149</v>
      </c>
      <c r="V196" s="259" t="s">
        <v>660</v>
      </c>
      <c r="W196" s="259" t="s">
        <v>6035</v>
      </c>
      <c r="X196" s="259" t="s">
        <v>369</v>
      </c>
      <c r="Y196" s="260"/>
      <c r="Z196" s="260"/>
      <c r="AA196" s="259" t="s">
        <v>395</v>
      </c>
      <c r="AB196" s="263" t="s">
        <v>2873</v>
      </c>
      <c r="AC196" s="259" t="s">
        <v>398</v>
      </c>
      <c r="AE196" s="258">
        <v>1.0</v>
      </c>
      <c r="AF196" s="260"/>
    </row>
    <row r="197">
      <c r="A197" s="258">
        <v>196.0</v>
      </c>
      <c r="B197" s="259" t="s">
        <v>535</v>
      </c>
      <c r="C197" s="259" t="s">
        <v>1089</v>
      </c>
      <c r="D197" s="259" t="s">
        <v>1667</v>
      </c>
      <c r="E197" s="259" t="s">
        <v>1668</v>
      </c>
      <c r="F197" s="259" t="s">
        <v>1659</v>
      </c>
      <c r="G197" s="259" t="s">
        <v>6916</v>
      </c>
      <c r="H197" s="258">
        <v>1991.0</v>
      </c>
      <c r="I197" s="258">
        <v>1990.0</v>
      </c>
      <c r="J197" s="258">
        <v>1992.0</v>
      </c>
      <c r="K197" s="259" t="s">
        <v>151</v>
      </c>
      <c r="L197" s="259" t="s">
        <v>7067</v>
      </c>
      <c r="M197" s="259" t="s">
        <v>7067</v>
      </c>
      <c r="N197" s="259" t="s">
        <v>1380</v>
      </c>
      <c r="O197" s="259" t="s">
        <v>321</v>
      </c>
      <c r="P197" s="259" t="s">
        <v>160</v>
      </c>
      <c r="Q197" s="259" t="s">
        <v>6035</v>
      </c>
      <c r="R197" s="259" t="s">
        <v>159</v>
      </c>
      <c r="S197" s="259" t="s">
        <v>149</v>
      </c>
      <c r="T197" s="259" t="s">
        <v>149</v>
      </c>
      <c r="U197" s="259" t="s">
        <v>149</v>
      </c>
      <c r="V197" s="259" t="s">
        <v>3307</v>
      </c>
      <c r="W197" s="259" t="s">
        <v>6035</v>
      </c>
      <c r="X197" s="259" t="s">
        <v>1663</v>
      </c>
      <c r="Y197" s="260"/>
      <c r="Z197" s="260"/>
      <c r="AA197" s="259" t="s">
        <v>395</v>
      </c>
      <c r="AB197" s="263" t="s">
        <v>2873</v>
      </c>
      <c r="AC197" s="259" t="s">
        <v>398</v>
      </c>
      <c r="AE197" s="258">
        <v>1.0</v>
      </c>
      <c r="AF197" s="260"/>
    </row>
    <row r="198">
      <c r="A198" s="258">
        <v>197.0</v>
      </c>
      <c r="B198" s="259" t="s">
        <v>535</v>
      </c>
      <c r="C198" s="259" t="s">
        <v>1089</v>
      </c>
      <c r="D198" s="259" t="s">
        <v>2511</v>
      </c>
      <c r="E198" s="259" t="s">
        <v>2512</v>
      </c>
      <c r="F198" s="259" t="s">
        <v>149</v>
      </c>
      <c r="G198" s="260"/>
      <c r="H198" s="259" t="s">
        <v>149</v>
      </c>
      <c r="I198" s="259" t="s">
        <v>149</v>
      </c>
      <c r="J198" s="259" t="s">
        <v>149</v>
      </c>
      <c r="K198" s="259" t="s">
        <v>151</v>
      </c>
      <c r="L198" s="259" t="s">
        <v>149</v>
      </c>
      <c r="M198" s="259" t="s">
        <v>149</v>
      </c>
      <c r="N198" s="259" t="s">
        <v>2513</v>
      </c>
      <c r="O198" s="259" t="s">
        <v>149</v>
      </c>
      <c r="P198" s="259" t="s">
        <v>149</v>
      </c>
      <c r="Q198" s="259" t="s">
        <v>149</v>
      </c>
      <c r="R198" s="259" t="s">
        <v>149</v>
      </c>
      <c r="S198" s="259" t="s">
        <v>149</v>
      </c>
      <c r="T198" s="259" t="s">
        <v>149</v>
      </c>
      <c r="U198" s="259" t="s">
        <v>149</v>
      </c>
      <c r="V198" s="259" t="s">
        <v>765</v>
      </c>
      <c r="W198" s="259" t="s">
        <v>6035</v>
      </c>
      <c r="X198" s="259" t="s">
        <v>390</v>
      </c>
      <c r="Y198" s="259" t="s">
        <v>2514</v>
      </c>
      <c r="AA198" s="259" t="s">
        <v>6214</v>
      </c>
      <c r="AB198" s="263" t="s">
        <v>2516</v>
      </c>
      <c r="AC198" s="259" t="s">
        <v>2517</v>
      </c>
      <c r="AE198" s="258">
        <v>1.0</v>
      </c>
      <c r="AF198" s="260"/>
    </row>
    <row r="199">
      <c r="A199" s="258">
        <v>198.0</v>
      </c>
      <c r="B199" s="259" t="s">
        <v>535</v>
      </c>
      <c r="C199" s="259" t="s">
        <v>1089</v>
      </c>
      <c r="D199" s="259" t="s">
        <v>3081</v>
      </c>
      <c r="E199" s="259" t="s">
        <v>3082</v>
      </c>
      <c r="F199" s="259" t="s">
        <v>149</v>
      </c>
      <c r="G199" s="260"/>
      <c r="H199" s="259" t="s">
        <v>149</v>
      </c>
      <c r="I199" s="259" t="s">
        <v>149</v>
      </c>
      <c r="J199" s="259" t="s">
        <v>149</v>
      </c>
      <c r="K199" s="259" t="s">
        <v>6062</v>
      </c>
      <c r="L199" s="259" t="s">
        <v>6666</v>
      </c>
      <c r="M199" s="259" t="s">
        <v>179</v>
      </c>
      <c r="N199" s="259" t="s">
        <v>149</v>
      </c>
      <c r="O199" s="259" t="s">
        <v>3083</v>
      </c>
      <c r="P199" s="259" t="s">
        <v>205</v>
      </c>
      <c r="Q199" s="259" t="s">
        <v>306</v>
      </c>
      <c r="R199" s="259" t="s">
        <v>149</v>
      </c>
      <c r="S199" s="259" t="s">
        <v>149</v>
      </c>
      <c r="T199" s="259" t="s">
        <v>149</v>
      </c>
      <c r="U199" s="259" t="s">
        <v>149</v>
      </c>
      <c r="V199" s="259" t="s">
        <v>3083</v>
      </c>
      <c r="W199" s="259" t="s">
        <v>306</v>
      </c>
      <c r="X199" s="259" t="s">
        <v>369</v>
      </c>
      <c r="Y199" s="260"/>
      <c r="Z199" s="260"/>
      <c r="AA199" s="259" t="s">
        <v>6038</v>
      </c>
      <c r="AB199" s="263" t="s">
        <v>6902</v>
      </c>
      <c r="AC199" s="259" t="s">
        <v>3087</v>
      </c>
      <c r="AD199" s="259" t="s">
        <v>3088</v>
      </c>
      <c r="AE199" s="258">
        <v>1.0</v>
      </c>
      <c r="AF199" s="259" t="s">
        <v>6754</v>
      </c>
    </row>
    <row r="200">
      <c r="A200" s="258">
        <v>199.0</v>
      </c>
      <c r="B200" s="259" t="s">
        <v>535</v>
      </c>
      <c r="C200" s="259" t="s">
        <v>1089</v>
      </c>
      <c r="D200" s="259" t="s">
        <v>1324</v>
      </c>
      <c r="E200" s="259" t="s">
        <v>1325</v>
      </c>
      <c r="F200" s="259" t="s">
        <v>1377</v>
      </c>
      <c r="G200" s="259" t="s">
        <v>7895</v>
      </c>
      <c r="H200" s="258">
        <v>1992.0</v>
      </c>
      <c r="I200" s="258">
        <v>1990.0</v>
      </c>
      <c r="J200" s="258">
        <v>1994.0</v>
      </c>
      <c r="K200" s="259" t="s">
        <v>151</v>
      </c>
      <c r="L200" s="259" t="s">
        <v>149</v>
      </c>
      <c r="M200" s="259" t="s">
        <v>149</v>
      </c>
      <c r="N200" s="259" t="s">
        <v>149</v>
      </c>
      <c r="O200" s="259" t="s">
        <v>8120</v>
      </c>
      <c r="P200" s="259" t="s">
        <v>205</v>
      </c>
      <c r="Q200" s="259" t="s">
        <v>8096</v>
      </c>
      <c r="R200" s="259" t="s">
        <v>159</v>
      </c>
      <c r="S200" s="259" t="s">
        <v>149</v>
      </c>
      <c r="T200" s="259" t="s">
        <v>149</v>
      </c>
      <c r="U200" s="259" t="s">
        <v>149</v>
      </c>
      <c r="V200" s="259" t="s">
        <v>660</v>
      </c>
      <c r="W200" s="259" t="s">
        <v>6035</v>
      </c>
      <c r="X200" s="259" t="s">
        <v>369</v>
      </c>
      <c r="Y200" s="260"/>
      <c r="Z200" s="260"/>
      <c r="AA200" s="259" t="s">
        <v>395</v>
      </c>
      <c r="AB200" s="263" t="s">
        <v>2873</v>
      </c>
      <c r="AC200" s="259" t="s">
        <v>398</v>
      </c>
      <c r="AE200" s="258">
        <v>1.0</v>
      </c>
      <c r="AF200" s="260"/>
    </row>
    <row r="201">
      <c r="A201" s="258">
        <v>200.0</v>
      </c>
      <c r="B201" s="259" t="s">
        <v>535</v>
      </c>
      <c r="C201" s="259" t="s">
        <v>1089</v>
      </c>
      <c r="D201" s="259" t="s">
        <v>1324</v>
      </c>
      <c r="E201" s="259" t="s">
        <v>1325</v>
      </c>
      <c r="F201" s="259" t="s">
        <v>149</v>
      </c>
      <c r="G201" s="260"/>
      <c r="H201" s="258">
        <v>1989.0</v>
      </c>
      <c r="I201" s="259" t="s">
        <v>149</v>
      </c>
      <c r="J201" s="259" t="s">
        <v>149</v>
      </c>
      <c r="K201" s="259" t="s">
        <v>151</v>
      </c>
      <c r="L201" s="259" t="s">
        <v>149</v>
      </c>
      <c r="M201" s="259" t="s">
        <v>149</v>
      </c>
      <c r="N201" s="259" t="s">
        <v>149</v>
      </c>
      <c r="O201" s="259" t="s">
        <v>149</v>
      </c>
      <c r="P201" s="259" t="s">
        <v>149</v>
      </c>
      <c r="Q201" s="259" t="s">
        <v>149</v>
      </c>
      <c r="R201" s="259" t="s">
        <v>149</v>
      </c>
      <c r="S201" s="259" t="s">
        <v>149</v>
      </c>
      <c r="T201" s="259" t="s">
        <v>149</v>
      </c>
      <c r="U201" s="259" t="s">
        <v>149</v>
      </c>
      <c r="V201" s="259" t="s">
        <v>149</v>
      </c>
      <c r="W201" s="259" t="s">
        <v>149</v>
      </c>
      <c r="X201" s="260"/>
      <c r="Y201" s="260"/>
      <c r="Z201" s="260"/>
      <c r="AA201" s="259" t="s">
        <v>395</v>
      </c>
      <c r="AB201" s="263" t="s">
        <v>2873</v>
      </c>
      <c r="AC201" s="259" t="s">
        <v>398</v>
      </c>
      <c r="AE201" s="258">
        <v>1.0</v>
      </c>
      <c r="AF201" s="260"/>
    </row>
    <row r="202">
      <c r="A202" s="258">
        <v>201.0</v>
      </c>
      <c r="B202" s="259" t="s">
        <v>535</v>
      </c>
      <c r="C202" s="259" t="s">
        <v>1089</v>
      </c>
      <c r="D202" s="259" t="s">
        <v>1324</v>
      </c>
      <c r="E202" s="259" t="s">
        <v>1325</v>
      </c>
      <c r="F202" s="259" t="s">
        <v>1309</v>
      </c>
      <c r="H202" s="258">
        <v>2020.0</v>
      </c>
      <c r="I202" s="259" t="s">
        <v>149</v>
      </c>
      <c r="J202" s="259" t="s">
        <v>149</v>
      </c>
      <c r="K202" s="259" t="s">
        <v>151</v>
      </c>
      <c r="L202" s="259" t="s">
        <v>149</v>
      </c>
      <c r="M202" s="259" t="s">
        <v>149</v>
      </c>
      <c r="N202" s="259" t="s">
        <v>149</v>
      </c>
      <c r="O202" s="259" t="s">
        <v>1327</v>
      </c>
      <c r="P202" s="259" t="s">
        <v>205</v>
      </c>
      <c r="Q202" s="259" t="s">
        <v>8096</v>
      </c>
      <c r="R202" s="259" t="s">
        <v>149</v>
      </c>
      <c r="S202" s="259" t="s">
        <v>149</v>
      </c>
      <c r="T202" s="259" t="s">
        <v>149</v>
      </c>
      <c r="U202" s="259" t="s">
        <v>6908</v>
      </c>
      <c r="V202" s="259" t="s">
        <v>390</v>
      </c>
      <c r="W202" s="259" t="s">
        <v>6035</v>
      </c>
      <c r="X202" s="259" t="s">
        <v>6909</v>
      </c>
      <c r="Z202" s="260"/>
      <c r="AA202" s="259" t="s">
        <v>6084</v>
      </c>
      <c r="AB202" s="263" t="s">
        <v>1331</v>
      </c>
      <c r="AE202" s="258">
        <v>1.0</v>
      </c>
      <c r="AF202" s="260"/>
    </row>
    <row r="203">
      <c r="A203" s="258">
        <v>202.0</v>
      </c>
      <c r="B203" s="259" t="s">
        <v>535</v>
      </c>
      <c r="C203" s="259" t="s">
        <v>1089</v>
      </c>
      <c r="D203" s="259" t="s">
        <v>2457</v>
      </c>
      <c r="E203" s="259" t="s">
        <v>2458</v>
      </c>
      <c r="F203" s="259" t="s">
        <v>149</v>
      </c>
      <c r="G203" s="260"/>
      <c r="H203" s="258">
        <v>2019.0</v>
      </c>
      <c r="I203" s="259" t="s">
        <v>149</v>
      </c>
      <c r="J203" s="259" t="s">
        <v>149</v>
      </c>
      <c r="K203" s="259" t="s">
        <v>6062</v>
      </c>
      <c r="L203" s="259" t="s">
        <v>6666</v>
      </c>
      <c r="M203" s="259" t="s">
        <v>179</v>
      </c>
      <c r="N203" s="259" t="s">
        <v>2459</v>
      </c>
      <c r="O203" s="259" t="s">
        <v>369</v>
      </c>
      <c r="P203" s="259" t="s">
        <v>160</v>
      </c>
      <c r="Q203" s="259" t="s">
        <v>6035</v>
      </c>
      <c r="R203" s="259" t="s">
        <v>159</v>
      </c>
      <c r="S203" s="259" t="s">
        <v>149</v>
      </c>
      <c r="T203" s="259" t="s">
        <v>149</v>
      </c>
      <c r="U203" s="259" t="s">
        <v>149</v>
      </c>
      <c r="V203" s="259" t="s">
        <v>369</v>
      </c>
      <c r="W203" s="259" t="s">
        <v>6035</v>
      </c>
      <c r="X203" s="259" t="s">
        <v>6912</v>
      </c>
      <c r="AA203" s="259" t="s">
        <v>166</v>
      </c>
      <c r="AB203" s="263" t="s">
        <v>2462</v>
      </c>
      <c r="AE203" s="258">
        <v>1.0</v>
      </c>
      <c r="AF203" s="260"/>
    </row>
    <row r="204">
      <c r="A204" s="258">
        <v>203.0</v>
      </c>
      <c r="B204" s="259" t="s">
        <v>535</v>
      </c>
      <c r="C204" s="259" t="s">
        <v>1089</v>
      </c>
      <c r="D204" s="259" t="s">
        <v>1451</v>
      </c>
      <c r="E204" s="259" t="s">
        <v>1452</v>
      </c>
      <c r="F204" s="259" t="s">
        <v>1377</v>
      </c>
      <c r="G204" s="259" t="s">
        <v>1453</v>
      </c>
      <c r="H204" s="258">
        <v>1992.0</v>
      </c>
      <c r="I204" s="258">
        <v>1990.0</v>
      </c>
      <c r="J204" s="258">
        <v>1994.0</v>
      </c>
      <c r="K204" s="259" t="s">
        <v>151</v>
      </c>
      <c r="L204" s="259" t="s">
        <v>149</v>
      </c>
      <c r="M204" s="259" t="s">
        <v>149</v>
      </c>
      <c r="N204" s="259" t="s">
        <v>149</v>
      </c>
      <c r="O204" s="259" t="s">
        <v>8120</v>
      </c>
      <c r="P204" s="259" t="s">
        <v>205</v>
      </c>
      <c r="Q204" s="259" t="s">
        <v>8096</v>
      </c>
      <c r="R204" s="259" t="s">
        <v>159</v>
      </c>
      <c r="S204" s="259" t="s">
        <v>149</v>
      </c>
      <c r="T204" s="259" t="s">
        <v>149</v>
      </c>
      <c r="U204" s="259" t="s">
        <v>149</v>
      </c>
      <c r="V204" s="259" t="s">
        <v>660</v>
      </c>
      <c r="W204" s="259" t="s">
        <v>6035</v>
      </c>
      <c r="X204" s="259" t="s">
        <v>369</v>
      </c>
      <c r="Y204" s="260"/>
      <c r="Z204" s="260"/>
      <c r="AA204" s="259" t="s">
        <v>395</v>
      </c>
      <c r="AB204" s="263" t="s">
        <v>2873</v>
      </c>
      <c r="AC204" s="259" t="s">
        <v>398</v>
      </c>
      <c r="AE204" s="258">
        <v>1.0</v>
      </c>
      <c r="AF204" s="260"/>
    </row>
    <row r="205">
      <c r="A205" s="258">
        <v>204.0</v>
      </c>
      <c r="B205" s="259" t="s">
        <v>535</v>
      </c>
      <c r="C205" s="259" t="s">
        <v>1089</v>
      </c>
      <c r="D205" s="259" t="s">
        <v>1455</v>
      </c>
      <c r="E205" s="259" t="s">
        <v>1456</v>
      </c>
      <c r="F205" s="259" t="s">
        <v>1377</v>
      </c>
      <c r="G205" s="259" t="s">
        <v>1457</v>
      </c>
      <c r="H205" s="258">
        <v>1992.0</v>
      </c>
      <c r="I205" s="258">
        <v>1990.0</v>
      </c>
      <c r="J205" s="258">
        <v>1994.0</v>
      </c>
      <c r="K205" s="259" t="s">
        <v>151</v>
      </c>
      <c r="L205" s="259" t="s">
        <v>149</v>
      </c>
      <c r="M205" s="259" t="s">
        <v>149</v>
      </c>
      <c r="N205" s="259" t="s">
        <v>149</v>
      </c>
      <c r="O205" s="259" t="s">
        <v>8120</v>
      </c>
      <c r="P205" s="259" t="s">
        <v>205</v>
      </c>
      <c r="Q205" s="259" t="s">
        <v>8096</v>
      </c>
      <c r="R205" s="259" t="s">
        <v>159</v>
      </c>
      <c r="S205" s="259" t="s">
        <v>149</v>
      </c>
      <c r="T205" s="259" t="s">
        <v>149</v>
      </c>
      <c r="U205" s="259" t="s">
        <v>149</v>
      </c>
      <c r="V205" s="259" t="s">
        <v>660</v>
      </c>
      <c r="W205" s="259" t="s">
        <v>6035</v>
      </c>
      <c r="X205" s="259" t="s">
        <v>369</v>
      </c>
      <c r="Y205" s="260"/>
      <c r="Z205" s="260"/>
      <c r="AA205" s="259" t="s">
        <v>395</v>
      </c>
      <c r="AB205" s="263" t="s">
        <v>2873</v>
      </c>
      <c r="AC205" s="259" t="s">
        <v>398</v>
      </c>
      <c r="AE205" s="258">
        <v>1.0</v>
      </c>
      <c r="AF205" s="260"/>
    </row>
    <row r="206">
      <c r="A206" s="258">
        <v>205.0</v>
      </c>
      <c r="B206" s="259" t="s">
        <v>535</v>
      </c>
      <c r="C206" s="259" t="s">
        <v>1459</v>
      </c>
      <c r="D206" s="259" t="s">
        <v>1460</v>
      </c>
      <c r="E206" s="259" t="s">
        <v>1461</v>
      </c>
      <c r="F206" s="259" t="s">
        <v>1377</v>
      </c>
      <c r="G206" s="259" t="s">
        <v>1462</v>
      </c>
      <c r="H206" s="258">
        <v>1992.0</v>
      </c>
      <c r="I206" s="258">
        <v>1990.0</v>
      </c>
      <c r="J206" s="258">
        <v>1994.0</v>
      </c>
      <c r="K206" s="259" t="s">
        <v>151</v>
      </c>
      <c r="L206" s="259" t="s">
        <v>149</v>
      </c>
      <c r="M206" s="259" t="s">
        <v>149</v>
      </c>
      <c r="N206" s="259" t="s">
        <v>149</v>
      </c>
      <c r="O206" s="259" t="s">
        <v>8120</v>
      </c>
      <c r="P206" s="259" t="s">
        <v>205</v>
      </c>
      <c r="Q206" s="259" t="s">
        <v>8096</v>
      </c>
      <c r="R206" s="259" t="s">
        <v>159</v>
      </c>
      <c r="S206" s="259" t="s">
        <v>149</v>
      </c>
      <c r="T206" s="259" t="s">
        <v>149</v>
      </c>
      <c r="U206" s="259" t="s">
        <v>149</v>
      </c>
      <c r="V206" s="259" t="s">
        <v>660</v>
      </c>
      <c r="W206" s="259" t="s">
        <v>6035</v>
      </c>
      <c r="X206" s="259" t="s">
        <v>369</v>
      </c>
      <c r="Y206" s="260"/>
      <c r="Z206" s="260"/>
      <c r="AA206" s="259" t="s">
        <v>395</v>
      </c>
      <c r="AB206" s="263" t="s">
        <v>2873</v>
      </c>
      <c r="AC206" s="259" t="s">
        <v>398</v>
      </c>
      <c r="AE206" s="258">
        <v>1.0</v>
      </c>
      <c r="AF206" s="260"/>
    </row>
    <row r="207">
      <c r="A207" s="258">
        <v>206.0</v>
      </c>
      <c r="B207" s="259" t="s">
        <v>535</v>
      </c>
      <c r="C207" s="259" t="s">
        <v>1191</v>
      </c>
      <c r="D207" s="259" t="s">
        <v>1816</v>
      </c>
      <c r="E207" s="259" t="s">
        <v>1817</v>
      </c>
      <c r="F207" s="259" t="s">
        <v>1818</v>
      </c>
      <c r="H207" s="258">
        <v>2017.0</v>
      </c>
      <c r="I207" s="258">
        <v>2017.0</v>
      </c>
      <c r="J207" s="259" t="s">
        <v>149</v>
      </c>
      <c r="K207" s="259" t="s">
        <v>151</v>
      </c>
      <c r="L207" s="259" t="s">
        <v>337</v>
      </c>
      <c r="M207" s="259" t="s">
        <v>337</v>
      </c>
      <c r="N207" s="259" t="s">
        <v>1819</v>
      </c>
      <c r="O207" s="259" t="s">
        <v>1820</v>
      </c>
      <c r="P207" s="259" t="s">
        <v>160</v>
      </c>
      <c r="Q207" s="261" t="s">
        <v>184</v>
      </c>
      <c r="R207" s="259" t="s">
        <v>159</v>
      </c>
      <c r="S207" s="259" t="s">
        <v>149</v>
      </c>
      <c r="T207" s="259" t="s">
        <v>6924</v>
      </c>
      <c r="U207" s="259" t="s">
        <v>1822</v>
      </c>
      <c r="V207" s="259" t="s">
        <v>8140</v>
      </c>
      <c r="W207" s="259" t="s">
        <v>184</v>
      </c>
      <c r="X207" s="260"/>
      <c r="Y207" s="259" t="s">
        <v>8141</v>
      </c>
      <c r="AA207" s="259" t="s">
        <v>166</v>
      </c>
      <c r="AB207" s="259" t="s">
        <v>1826</v>
      </c>
      <c r="AE207" s="258">
        <v>1.0</v>
      </c>
      <c r="AF207" s="260"/>
    </row>
    <row r="208">
      <c r="A208" s="258">
        <v>207.0</v>
      </c>
      <c r="B208" s="259" t="s">
        <v>535</v>
      </c>
      <c r="C208" s="259" t="s">
        <v>1191</v>
      </c>
      <c r="D208" s="259" t="s">
        <v>4636</v>
      </c>
      <c r="E208" s="259" t="s">
        <v>4637</v>
      </c>
      <c r="F208" s="259" t="s">
        <v>6928</v>
      </c>
      <c r="H208" s="259" t="s">
        <v>149</v>
      </c>
      <c r="I208" s="259" t="s">
        <v>149</v>
      </c>
      <c r="J208" s="259" t="s">
        <v>149</v>
      </c>
      <c r="K208" s="259" t="s">
        <v>151</v>
      </c>
      <c r="L208" s="259" t="s">
        <v>149</v>
      </c>
      <c r="M208" s="259" t="s">
        <v>149</v>
      </c>
      <c r="N208" s="259" t="s">
        <v>149</v>
      </c>
      <c r="O208" s="259" t="s">
        <v>6929</v>
      </c>
      <c r="P208" s="259" t="s">
        <v>205</v>
      </c>
      <c r="Q208" s="261" t="s">
        <v>8096</v>
      </c>
      <c r="R208" s="259" t="s">
        <v>159</v>
      </c>
      <c r="S208" s="259" t="s">
        <v>149</v>
      </c>
      <c r="T208" s="259" t="s">
        <v>149</v>
      </c>
      <c r="U208" s="259" t="s">
        <v>149</v>
      </c>
      <c r="V208" s="259" t="s">
        <v>149</v>
      </c>
      <c r="W208" s="259" t="s">
        <v>149</v>
      </c>
      <c r="X208" s="260"/>
      <c r="Y208" s="260"/>
      <c r="Z208" s="260"/>
      <c r="AA208" s="259" t="s">
        <v>6257</v>
      </c>
      <c r="AB208" s="263" t="s">
        <v>6930</v>
      </c>
      <c r="AE208" s="258">
        <v>1.0</v>
      </c>
      <c r="AF208" s="260"/>
    </row>
    <row r="209">
      <c r="A209" s="258">
        <v>208.0</v>
      </c>
      <c r="B209" s="259" t="s">
        <v>535</v>
      </c>
      <c r="C209" s="259" t="s">
        <v>1191</v>
      </c>
      <c r="D209" s="259" t="s">
        <v>6933</v>
      </c>
      <c r="E209" s="259" t="s">
        <v>2829</v>
      </c>
      <c r="F209" s="259" t="s">
        <v>149</v>
      </c>
      <c r="G209" s="259" t="s">
        <v>6935</v>
      </c>
      <c r="H209" s="258">
        <v>2018.0</v>
      </c>
      <c r="I209" s="258">
        <v>2014.0</v>
      </c>
      <c r="J209" s="258">
        <v>2018.0</v>
      </c>
      <c r="K209" s="259" t="s">
        <v>6062</v>
      </c>
      <c r="L209" s="259" t="s">
        <v>2830</v>
      </c>
      <c r="M209" s="259" t="s">
        <v>179</v>
      </c>
      <c r="N209" s="259" t="s">
        <v>8142</v>
      </c>
      <c r="O209" s="259" t="s">
        <v>2833</v>
      </c>
      <c r="P209" s="259" t="s">
        <v>160</v>
      </c>
      <c r="Q209" s="259" t="s">
        <v>6035</v>
      </c>
      <c r="R209" s="259" t="s">
        <v>149</v>
      </c>
      <c r="S209" s="259" t="s">
        <v>149</v>
      </c>
      <c r="T209" s="259" t="s">
        <v>149</v>
      </c>
      <c r="U209" s="259" t="s">
        <v>149</v>
      </c>
      <c r="V209" s="259" t="s">
        <v>1158</v>
      </c>
      <c r="W209" s="259" t="s">
        <v>6068</v>
      </c>
      <c r="X209" s="260"/>
      <c r="Y209" s="260"/>
      <c r="Z209" s="260"/>
      <c r="AA209" s="259" t="s">
        <v>1159</v>
      </c>
      <c r="AB209" s="263" t="s">
        <v>1161</v>
      </c>
      <c r="AC209" s="259" t="s">
        <v>8143</v>
      </c>
      <c r="AE209" s="258">
        <v>1.0</v>
      </c>
      <c r="AF209" s="260"/>
    </row>
    <row r="210">
      <c r="A210" s="258">
        <v>209.0</v>
      </c>
      <c r="B210" s="259" t="s">
        <v>535</v>
      </c>
      <c r="C210" s="259" t="s">
        <v>1191</v>
      </c>
      <c r="D210" s="259" t="s">
        <v>1987</v>
      </c>
      <c r="E210" s="259" t="s">
        <v>1988</v>
      </c>
      <c r="F210" s="259" t="s">
        <v>384</v>
      </c>
      <c r="G210" s="259" t="s">
        <v>2872</v>
      </c>
      <c r="H210" s="258">
        <v>1984.0</v>
      </c>
      <c r="I210" s="258">
        <v>1985.0</v>
      </c>
      <c r="J210" s="258">
        <v>1987.0</v>
      </c>
      <c r="K210" s="259" t="s">
        <v>151</v>
      </c>
      <c r="L210" s="259" t="s">
        <v>469</v>
      </c>
      <c r="M210" s="259" t="s">
        <v>469</v>
      </c>
      <c r="N210" s="259" t="s">
        <v>149</v>
      </c>
      <c r="O210" s="259" t="s">
        <v>390</v>
      </c>
      <c r="P210" s="259" t="s">
        <v>160</v>
      </c>
      <c r="Q210" s="259" t="s">
        <v>6035</v>
      </c>
      <c r="R210" s="259" t="s">
        <v>159</v>
      </c>
      <c r="S210" s="259" t="s">
        <v>149</v>
      </c>
      <c r="T210" s="259" t="s">
        <v>149</v>
      </c>
      <c r="U210" s="259" t="s">
        <v>2870</v>
      </c>
      <c r="V210" s="259" t="s">
        <v>390</v>
      </c>
      <c r="W210" s="259" t="s">
        <v>6035</v>
      </c>
      <c r="X210" s="259" t="s">
        <v>6055</v>
      </c>
      <c r="AA210" s="259" t="s">
        <v>395</v>
      </c>
      <c r="AB210" s="263" t="s">
        <v>2873</v>
      </c>
      <c r="AC210" s="259" t="s">
        <v>398</v>
      </c>
      <c r="AE210" s="258">
        <v>1.0</v>
      </c>
      <c r="AF210" s="259" t="s">
        <v>6109</v>
      </c>
    </row>
    <row r="211">
      <c r="A211" s="258">
        <v>210.0</v>
      </c>
      <c r="B211" s="259" t="s">
        <v>535</v>
      </c>
      <c r="C211" s="259" t="s">
        <v>1191</v>
      </c>
      <c r="D211" s="259" t="s">
        <v>1987</v>
      </c>
      <c r="E211" s="259" t="s">
        <v>1988</v>
      </c>
      <c r="F211" s="259" t="s">
        <v>6938</v>
      </c>
      <c r="H211" s="258">
        <v>1985.0</v>
      </c>
      <c r="I211" s="258">
        <v>1984.0</v>
      </c>
      <c r="J211" s="258">
        <v>1985.0</v>
      </c>
      <c r="K211" s="259" t="s">
        <v>151</v>
      </c>
      <c r="L211" s="259" t="s">
        <v>6076</v>
      </c>
      <c r="M211" s="259" t="s">
        <v>6076</v>
      </c>
      <c r="N211" s="259" t="s">
        <v>1380</v>
      </c>
      <c r="O211" s="259" t="s">
        <v>149</v>
      </c>
      <c r="P211" s="259" t="s">
        <v>149</v>
      </c>
      <c r="Q211" s="259" t="s">
        <v>149</v>
      </c>
      <c r="R211" s="259" t="s">
        <v>149</v>
      </c>
      <c r="S211" s="259" t="s">
        <v>149</v>
      </c>
      <c r="T211" s="259" t="s">
        <v>149</v>
      </c>
      <c r="U211" s="259" t="s">
        <v>1992</v>
      </c>
      <c r="V211" s="259" t="s">
        <v>1993</v>
      </c>
      <c r="W211" s="259" t="s">
        <v>6035</v>
      </c>
      <c r="Y211" s="260"/>
      <c r="Z211" s="260"/>
      <c r="AA211" s="259" t="s">
        <v>6027</v>
      </c>
      <c r="AB211" s="263" t="s">
        <v>1995</v>
      </c>
      <c r="AC211" s="259" t="s">
        <v>398</v>
      </c>
      <c r="AE211" s="258">
        <v>1.0</v>
      </c>
      <c r="AF211" s="260"/>
    </row>
    <row r="212">
      <c r="A212" s="258">
        <v>211.0</v>
      </c>
      <c r="B212" s="259" t="s">
        <v>535</v>
      </c>
      <c r="C212" s="259" t="s">
        <v>1191</v>
      </c>
      <c r="D212" s="259" t="s">
        <v>1120</v>
      </c>
      <c r="E212" s="259" t="s">
        <v>1192</v>
      </c>
      <c r="F212" s="259" t="s">
        <v>1174</v>
      </c>
      <c r="H212" s="258">
        <v>2013.0</v>
      </c>
      <c r="I212" s="258">
        <v>2012.0</v>
      </c>
      <c r="J212" s="258">
        <v>2013.0</v>
      </c>
      <c r="K212" s="259" t="s">
        <v>6062</v>
      </c>
      <c r="L212" s="259" t="s">
        <v>320</v>
      </c>
      <c r="M212" s="259" t="s">
        <v>179</v>
      </c>
      <c r="N212" s="259" t="s">
        <v>1193</v>
      </c>
      <c r="O212" s="259" t="s">
        <v>321</v>
      </c>
      <c r="P212" s="259" t="s">
        <v>160</v>
      </c>
      <c r="Q212" s="259" t="s">
        <v>6035</v>
      </c>
      <c r="R212" s="259" t="s">
        <v>204</v>
      </c>
      <c r="S212" s="259" t="s">
        <v>149</v>
      </c>
      <c r="T212" s="259" t="s">
        <v>149</v>
      </c>
      <c r="U212" s="259" t="s">
        <v>1194</v>
      </c>
      <c r="V212" s="259" t="s">
        <v>1158</v>
      </c>
      <c r="W212" s="259" t="s">
        <v>6068</v>
      </c>
      <c r="X212" s="260"/>
      <c r="Y212" s="260"/>
      <c r="Z212" s="259" t="s">
        <v>1195</v>
      </c>
      <c r="AA212" s="259" t="s">
        <v>6069</v>
      </c>
      <c r="AC212" s="260"/>
      <c r="AD212" s="260"/>
      <c r="AE212" s="258">
        <v>1.0</v>
      </c>
      <c r="AF212" s="260"/>
    </row>
    <row r="213">
      <c r="A213" s="258">
        <v>212.0</v>
      </c>
      <c r="B213" s="259" t="s">
        <v>535</v>
      </c>
      <c r="C213" s="259" t="s">
        <v>536</v>
      </c>
      <c r="D213" s="259" t="s">
        <v>6945</v>
      </c>
      <c r="E213" s="259" t="s">
        <v>538</v>
      </c>
      <c r="F213" s="259" t="s">
        <v>384</v>
      </c>
      <c r="G213" s="259" t="s">
        <v>6949</v>
      </c>
      <c r="H213" s="258">
        <v>1985.0</v>
      </c>
      <c r="I213" s="258">
        <v>1985.0</v>
      </c>
      <c r="J213" s="258">
        <v>1987.0</v>
      </c>
      <c r="K213" s="259" t="s">
        <v>151</v>
      </c>
      <c r="L213" s="259" t="s">
        <v>469</v>
      </c>
      <c r="M213" s="259" t="s">
        <v>469</v>
      </c>
      <c r="N213" s="259" t="s">
        <v>149</v>
      </c>
      <c r="O213" s="259" t="s">
        <v>390</v>
      </c>
      <c r="P213" s="259" t="s">
        <v>160</v>
      </c>
      <c r="Q213" s="259" t="s">
        <v>6035</v>
      </c>
      <c r="R213" s="259" t="s">
        <v>159</v>
      </c>
      <c r="S213" s="259" t="s">
        <v>149</v>
      </c>
      <c r="T213" s="259" t="s">
        <v>149</v>
      </c>
      <c r="U213" s="259" t="s">
        <v>149</v>
      </c>
      <c r="V213" s="259" t="s">
        <v>390</v>
      </c>
      <c r="W213" s="259" t="s">
        <v>6035</v>
      </c>
      <c r="X213" s="259" t="s">
        <v>6055</v>
      </c>
      <c r="AA213" s="259" t="s">
        <v>395</v>
      </c>
      <c r="AB213" s="263" t="s">
        <v>2873</v>
      </c>
      <c r="AC213" s="259" t="s">
        <v>398</v>
      </c>
      <c r="AE213" s="258">
        <v>1.0</v>
      </c>
      <c r="AF213" s="260"/>
    </row>
    <row r="214">
      <c r="A214" s="258">
        <v>213.0</v>
      </c>
      <c r="B214" s="259" t="s">
        <v>535</v>
      </c>
      <c r="C214" s="259" t="s">
        <v>536</v>
      </c>
      <c r="D214" s="259" t="s">
        <v>6945</v>
      </c>
      <c r="E214" s="259" t="s">
        <v>538</v>
      </c>
      <c r="F214" s="259" t="s">
        <v>384</v>
      </c>
      <c r="G214" s="259" t="s">
        <v>6953</v>
      </c>
      <c r="H214" s="258">
        <v>1985.0</v>
      </c>
      <c r="I214" s="258">
        <v>1985.0</v>
      </c>
      <c r="J214" s="258">
        <v>1987.0</v>
      </c>
      <c r="K214" s="259" t="s">
        <v>151</v>
      </c>
      <c r="L214" s="259" t="s">
        <v>6054</v>
      </c>
      <c r="M214" s="259" t="s">
        <v>6054</v>
      </c>
      <c r="N214" s="259" t="s">
        <v>149</v>
      </c>
      <c r="O214" s="259" t="s">
        <v>390</v>
      </c>
      <c r="P214" s="259" t="s">
        <v>160</v>
      </c>
      <c r="Q214" s="259" t="s">
        <v>6035</v>
      </c>
      <c r="R214" s="259" t="s">
        <v>159</v>
      </c>
      <c r="S214" s="259" t="s">
        <v>149</v>
      </c>
      <c r="T214" s="259" t="s">
        <v>149</v>
      </c>
      <c r="U214" s="259" t="s">
        <v>391</v>
      </c>
      <c r="V214" s="259" t="s">
        <v>390</v>
      </c>
      <c r="W214" s="259" t="s">
        <v>6035</v>
      </c>
      <c r="X214" s="259" t="s">
        <v>6055</v>
      </c>
      <c r="AA214" s="259" t="s">
        <v>395</v>
      </c>
      <c r="AB214" s="263" t="s">
        <v>2873</v>
      </c>
      <c r="AC214" s="259" t="s">
        <v>398</v>
      </c>
      <c r="AE214" s="258">
        <v>1.0</v>
      </c>
      <c r="AF214" s="260"/>
    </row>
    <row r="215">
      <c r="A215" s="258">
        <v>214.0</v>
      </c>
      <c r="B215" s="259" t="s">
        <v>535</v>
      </c>
      <c r="C215" s="259" t="s">
        <v>536</v>
      </c>
      <c r="D215" s="259" t="s">
        <v>6945</v>
      </c>
      <c r="E215" s="259" t="s">
        <v>538</v>
      </c>
      <c r="F215" s="259" t="s">
        <v>384</v>
      </c>
      <c r="G215" s="259" t="s">
        <v>6956</v>
      </c>
      <c r="H215" s="258">
        <v>1986.0</v>
      </c>
      <c r="I215" s="258">
        <v>1985.0</v>
      </c>
      <c r="J215" s="258">
        <v>1987.0</v>
      </c>
      <c r="K215" s="259" t="s">
        <v>151</v>
      </c>
      <c r="L215" s="259" t="s">
        <v>6054</v>
      </c>
      <c r="M215" s="259" t="s">
        <v>6054</v>
      </c>
      <c r="N215" s="259" t="s">
        <v>149</v>
      </c>
      <c r="O215" s="259" t="s">
        <v>390</v>
      </c>
      <c r="P215" s="259" t="s">
        <v>160</v>
      </c>
      <c r="Q215" s="259" t="s">
        <v>6035</v>
      </c>
      <c r="R215" s="259" t="s">
        <v>159</v>
      </c>
      <c r="S215" s="259" t="s">
        <v>149</v>
      </c>
      <c r="T215" s="259" t="s">
        <v>149</v>
      </c>
      <c r="U215" s="259" t="s">
        <v>414</v>
      </c>
      <c r="V215" s="259" t="s">
        <v>390</v>
      </c>
      <c r="W215" s="259" t="s">
        <v>6035</v>
      </c>
      <c r="X215" s="259" t="s">
        <v>6055</v>
      </c>
      <c r="AA215" s="259" t="s">
        <v>395</v>
      </c>
      <c r="AB215" s="263" t="s">
        <v>2873</v>
      </c>
      <c r="AC215" s="259" t="s">
        <v>398</v>
      </c>
      <c r="AE215" s="258">
        <v>1.0</v>
      </c>
      <c r="AF215" s="260"/>
    </row>
    <row r="216">
      <c r="A216" s="258">
        <v>215.0</v>
      </c>
      <c r="B216" s="259" t="s">
        <v>535</v>
      </c>
      <c r="C216" s="259" t="s">
        <v>536</v>
      </c>
      <c r="D216" s="259" t="s">
        <v>6945</v>
      </c>
      <c r="E216" s="259" t="s">
        <v>538</v>
      </c>
      <c r="F216" s="259" t="s">
        <v>384</v>
      </c>
      <c r="G216" s="259" t="s">
        <v>6959</v>
      </c>
      <c r="H216" s="258">
        <v>1986.0</v>
      </c>
      <c r="I216" s="258">
        <v>1985.0</v>
      </c>
      <c r="J216" s="258">
        <v>1987.0</v>
      </c>
      <c r="K216" s="259" t="s">
        <v>151</v>
      </c>
      <c r="L216" s="259" t="s">
        <v>6054</v>
      </c>
      <c r="M216" s="259" t="s">
        <v>6054</v>
      </c>
      <c r="N216" s="259" t="s">
        <v>149</v>
      </c>
      <c r="O216" s="259" t="s">
        <v>390</v>
      </c>
      <c r="P216" s="259" t="s">
        <v>160</v>
      </c>
      <c r="Q216" s="259" t="s">
        <v>6035</v>
      </c>
      <c r="R216" s="259" t="s">
        <v>159</v>
      </c>
      <c r="S216" s="259" t="s">
        <v>149</v>
      </c>
      <c r="T216" s="259" t="s">
        <v>149</v>
      </c>
      <c r="U216" s="259" t="s">
        <v>548</v>
      </c>
      <c r="V216" s="259" t="s">
        <v>390</v>
      </c>
      <c r="W216" s="259" t="s">
        <v>6035</v>
      </c>
      <c r="X216" s="259" t="s">
        <v>6055</v>
      </c>
      <c r="AA216" s="259" t="s">
        <v>395</v>
      </c>
      <c r="AB216" s="263" t="s">
        <v>2873</v>
      </c>
      <c r="AC216" s="259" t="s">
        <v>398</v>
      </c>
      <c r="AE216" s="258">
        <v>1.0</v>
      </c>
      <c r="AF216" s="260"/>
    </row>
    <row r="217">
      <c r="A217" s="258">
        <v>216.0</v>
      </c>
      <c r="B217" s="259" t="s">
        <v>535</v>
      </c>
      <c r="C217" s="259" t="s">
        <v>536</v>
      </c>
      <c r="D217" s="259" t="s">
        <v>6945</v>
      </c>
      <c r="E217" s="259" t="s">
        <v>538</v>
      </c>
      <c r="F217" s="259" t="s">
        <v>384</v>
      </c>
      <c r="G217" s="259" t="s">
        <v>6962</v>
      </c>
      <c r="H217" s="258">
        <v>1986.0</v>
      </c>
      <c r="I217" s="258">
        <v>1985.0</v>
      </c>
      <c r="J217" s="258">
        <v>1987.0</v>
      </c>
      <c r="K217" s="259" t="s">
        <v>151</v>
      </c>
      <c r="L217" s="259" t="s">
        <v>6054</v>
      </c>
      <c r="M217" s="259" t="s">
        <v>6054</v>
      </c>
      <c r="N217" s="259" t="s">
        <v>149</v>
      </c>
      <c r="O217" s="259" t="s">
        <v>390</v>
      </c>
      <c r="P217" s="259" t="s">
        <v>160</v>
      </c>
      <c r="Q217" s="259" t="s">
        <v>6035</v>
      </c>
      <c r="R217" s="259" t="s">
        <v>159</v>
      </c>
      <c r="S217" s="259" t="s">
        <v>149</v>
      </c>
      <c r="T217" s="259" t="s">
        <v>149</v>
      </c>
      <c r="U217" s="259" t="s">
        <v>391</v>
      </c>
      <c r="V217" s="259" t="s">
        <v>390</v>
      </c>
      <c r="W217" s="259" t="s">
        <v>6035</v>
      </c>
      <c r="X217" s="259" t="s">
        <v>6055</v>
      </c>
      <c r="AA217" s="259" t="s">
        <v>395</v>
      </c>
      <c r="AB217" s="263" t="s">
        <v>2873</v>
      </c>
      <c r="AC217" s="259" t="s">
        <v>398</v>
      </c>
      <c r="AE217" s="258">
        <v>1.0</v>
      </c>
      <c r="AF217" s="260"/>
    </row>
    <row r="218">
      <c r="A218" s="258">
        <v>217.0</v>
      </c>
      <c r="B218" s="259" t="s">
        <v>535</v>
      </c>
      <c r="C218" s="259" t="s">
        <v>536</v>
      </c>
      <c r="D218" s="259" t="s">
        <v>6945</v>
      </c>
      <c r="E218" s="259" t="s">
        <v>538</v>
      </c>
      <c r="F218" s="259" t="s">
        <v>384</v>
      </c>
      <c r="G218" s="259" t="s">
        <v>6965</v>
      </c>
      <c r="H218" s="258">
        <v>1986.0</v>
      </c>
      <c r="I218" s="258">
        <v>1985.0</v>
      </c>
      <c r="J218" s="258">
        <v>1987.0</v>
      </c>
      <c r="K218" s="259" t="s">
        <v>151</v>
      </c>
      <c r="L218" s="259" t="s">
        <v>6054</v>
      </c>
      <c r="M218" s="259" t="s">
        <v>6054</v>
      </c>
      <c r="N218" s="259" t="s">
        <v>149</v>
      </c>
      <c r="O218" s="259" t="s">
        <v>390</v>
      </c>
      <c r="P218" s="259" t="s">
        <v>160</v>
      </c>
      <c r="Q218" s="259" t="s">
        <v>6035</v>
      </c>
      <c r="R218" s="259" t="s">
        <v>159</v>
      </c>
      <c r="S218" s="259" t="s">
        <v>149</v>
      </c>
      <c r="T218" s="259" t="s">
        <v>149</v>
      </c>
      <c r="U218" s="259" t="s">
        <v>548</v>
      </c>
      <c r="V218" s="259" t="s">
        <v>390</v>
      </c>
      <c r="W218" s="259" t="s">
        <v>6035</v>
      </c>
      <c r="X218" s="259" t="s">
        <v>6055</v>
      </c>
      <c r="AA218" s="259" t="s">
        <v>395</v>
      </c>
      <c r="AB218" s="263" t="s">
        <v>2873</v>
      </c>
      <c r="AC218" s="259" t="s">
        <v>398</v>
      </c>
      <c r="AE218" s="258">
        <v>1.0</v>
      </c>
      <c r="AF218" s="260"/>
    </row>
    <row r="219">
      <c r="A219" s="258">
        <v>218.0</v>
      </c>
      <c r="B219" s="259" t="s">
        <v>535</v>
      </c>
      <c r="C219" s="259" t="s">
        <v>536</v>
      </c>
      <c r="D219" s="259" t="s">
        <v>554</v>
      </c>
      <c r="E219" s="259" t="s">
        <v>555</v>
      </c>
      <c r="F219" s="259" t="s">
        <v>384</v>
      </c>
      <c r="G219" s="259" t="s">
        <v>556</v>
      </c>
      <c r="H219" s="258">
        <v>1986.0</v>
      </c>
      <c r="I219" s="258">
        <v>1985.0</v>
      </c>
      <c r="J219" s="258">
        <v>1987.0</v>
      </c>
      <c r="K219" s="259" t="s">
        <v>151</v>
      </c>
      <c r="L219" s="259" t="s">
        <v>6054</v>
      </c>
      <c r="M219" s="259" t="s">
        <v>6054</v>
      </c>
      <c r="N219" s="259" t="s">
        <v>149</v>
      </c>
      <c r="O219" s="259" t="s">
        <v>390</v>
      </c>
      <c r="P219" s="259" t="s">
        <v>160</v>
      </c>
      <c r="Q219" s="259" t="s">
        <v>6035</v>
      </c>
      <c r="R219" s="259" t="s">
        <v>159</v>
      </c>
      <c r="S219" s="259" t="s">
        <v>149</v>
      </c>
      <c r="T219" s="259" t="s">
        <v>149</v>
      </c>
      <c r="U219" s="259" t="s">
        <v>548</v>
      </c>
      <c r="V219" s="259" t="s">
        <v>390</v>
      </c>
      <c r="W219" s="259" t="s">
        <v>6035</v>
      </c>
      <c r="X219" s="259" t="s">
        <v>6055</v>
      </c>
      <c r="AA219" s="259" t="s">
        <v>395</v>
      </c>
      <c r="AB219" s="263" t="s">
        <v>2873</v>
      </c>
      <c r="AC219" s="259" t="s">
        <v>398</v>
      </c>
      <c r="AE219" s="258">
        <v>1.0</v>
      </c>
      <c r="AF219" s="260"/>
    </row>
    <row r="220">
      <c r="A220" s="258">
        <v>219.0</v>
      </c>
      <c r="B220" s="259" t="s">
        <v>314</v>
      </c>
      <c r="C220" s="259" t="s">
        <v>315</v>
      </c>
      <c r="D220" s="259" t="s">
        <v>747</v>
      </c>
      <c r="E220" s="259" t="s">
        <v>748</v>
      </c>
      <c r="F220" s="259" t="s">
        <v>6742</v>
      </c>
      <c r="H220" s="258">
        <v>2004.0</v>
      </c>
      <c r="I220" s="259" t="s">
        <v>149</v>
      </c>
      <c r="J220" s="259" t="s">
        <v>149</v>
      </c>
      <c r="K220" s="259" t="s">
        <v>151</v>
      </c>
      <c r="L220" s="259" t="s">
        <v>149</v>
      </c>
      <c r="M220" s="259" t="s">
        <v>149</v>
      </c>
      <c r="N220" s="259" t="s">
        <v>8144</v>
      </c>
      <c r="O220" s="259" t="s">
        <v>7217</v>
      </c>
      <c r="P220" s="259" t="s">
        <v>160</v>
      </c>
      <c r="Q220" s="259" t="s">
        <v>306</v>
      </c>
      <c r="R220" s="259" t="s">
        <v>149</v>
      </c>
      <c r="S220" s="259" t="s">
        <v>149</v>
      </c>
      <c r="T220" s="259" t="s">
        <v>149</v>
      </c>
      <c r="U220" s="259" t="s">
        <v>149</v>
      </c>
      <c r="V220" s="259" t="s">
        <v>3307</v>
      </c>
      <c r="W220" s="259" t="s">
        <v>6035</v>
      </c>
      <c r="Y220" s="259" t="s">
        <v>6969</v>
      </c>
      <c r="Z220" s="259" t="s">
        <v>1613</v>
      </c>
      <c r="AA220" s="259" t="s">
        <v>6970</v>
      </c>
      <c r="AB220" s="263" t="s">
        <v>1609</v>
      </c>
      <c r="AE220" s="258">
        <v>1.0</v>
      </c>
      <c r="AF220" s="260"/>
    </row>
    <row r="221">
      <c r="A221" s="258">
        <v>220.0</v>
      </c>
      <c r="B221" s="259" t="s">
        <v>314</v>
      </c>
      <c r="C221" s="259" t="s">
        <v>315</v>
      </c>
      <c r="D221" s="259" t="s">
        <v>747</v>
      </c>
      <c r="E221" s="259" t="s">
        <v>748</v>
      </c>
      <c r="F221" s="259" t="s">
        <v>749</v>
      </c>
      <c r="H221" s="258">
        <v>2022.0</v>
      </c>
      <c r="I221" s="258">
        <v>2022.0</v>
      </c>
      <c r="J221" s="258">
        <v>2025.0</v>
      </c>
      <c r="K221" s="259" t="s">
        <v>151</v>
      </c>
      <c r="L221" s="259" t="s">
        <v>149</v>
      </c>
      <c r="M221" s="259" t="s">
        <v>149</v>
      </c>
      <c r="N221" s="259" t="s">
        <v>752</v>
      </c>
      <c r="O221" s="259" t="s">
        <v>369</v>
      </c>
      <c r="P221" s="259" t="s">
        <v>160</v>
      </c>
      <c r="Q221" s="259" t="s">
        <v>6035</v>
      </c>
      <c r="R221" s="259" t="s">
        <v>159</v>
      </c>
      <c r="S221" s="259" t="s">
        <v>149</v>
      </c>
      <c r="T221" s="259" t="s">
        <v>149</v>
      </c>
      <c r="U221" s="259" t="s">
        <v>149</v>
      </c>
      <c r="V221" s="259" t="s">
        <v>369</v>
      </c>
      <c r="W221" s="259" t="s">
        <v>6035</v>
      </c>
      <c r="Y221" s="260"/>
      <c r="Z221" s="260"/>
      <c r="AA221" s="259" t="s">
        <v>213</v>
      </c>
      <c r="AB221" s="260"/>
      <c r="AC221" s="259" t="s">
        <v>753</v>
      </c>
      <c r="AD221" s="259" t="s">
        <v>754</v>
      </c>
      <c r="AE221" s="258">
        <v>1.0</v>
      </c>
      <c r="AF221" s="260"/>
    </row>
    <row r="222">
      <c r="A222" s="258">
        <v>221.0</v>
      </c>
      <c r="B222" s="259" t="s">
        <v>314</v>
      </c>
      <c r="C222" s="259" t="s">
        <v>315</v>
      </c>
      <c r="D222" s="259" t="s">
        <v>316</v>
      </c>
      <c r="E222" s="259" t="s">
        <v>317</v>
      </c>
      <c r="F222" s="259" t="s">
        <v>1080</v>
      </c>
      <c r="H222" s="258">
        <v>2022.0</v>
      </c>
      <c r="I222" s="259" t="s">
        <v>149</v>
      </c>
      <c r="J222" s="259" t="s">
        <v>149</v>
      </c>
      <c r="K222" s="259" t="s">
        <v>6062</v>
      </c>
      <c r="L222" s="259" t="s">
        <v>730</v>
      </c>
      <c r="M222" s="259" t="s">
        <v>179</v>
      </c>
      <c r="N222" s="259" t="s">
        <v>6978</v>
      </c>
      <c r="O222" s="259" t="s">
        <v>1084</v>
      </c>
      <c r="P222" s="259" t="s">
        <v>160</v>
      </c>
      <c r="Q222" s="259" t="s">
        <v>184</v>
      </c>
      <c r="R222" s="259" t="s">
        <v>159</v>
      </c>
      <c r="S222" s="259" t="s">
        <v>149</v>
      </c>
      <c r="T222" s="259" t="s">
        <v>149</v>
      </c>
      <c r="U222" s="259" t="s">
        <v>149</v>
      </c>
      <c r="V222" s="259" t="s">
        <v>739</v>
      </c>
      <c r="W222" s="259" t="s">
        <v>306</v>
      </c>
      <c r="X222" s="259" t="s">
        <v>369</v>
      </c>
      <c r="Y222" s="259" t="s">
        <v>1085</v>
      </c>
      <c r="AA222" s="259" t="s">
        <v>166</v>
      </c>
      <c r="AB222" s="263" t="s">
        <v>6979</v>
      </c>
      <c r="AE222" s="258">
        <v>1.0</v>
      </c>
      <c r="AF222" s="260"/>
    </row>
    <row r="223">
      <c r="A223" s="258">
        <v>222.0</v>
      </c>
      <c r="B223" s="259" t="s">
        <v>314</v>
      </c>
      <c r="C223" s="259" t="s">
        <v>315</v>
      </c>
      <c r="D223" s="259" t="s">
        <v>316</v>
      </c>
      <c r="E223" s="259" t="s">
        <v>317</v>
      </c>
      <c r="F223" s="259" t="s">
        <v>736</v>
      </c>
      <c r="H223" s="258">
        <v>2010.0</v>
      </c>
      <c r="I223" s="259" t="s">
        <v>149</v>
      </c>
      <c r="J223" s="259" t="s">
        <v>149</v>
      </c>
      <c r="K223" s="259" t="s">
        <v>6062</v>
      </c>
      <c r="L223" s="259" t="s">
        <v>730</v>
      </c>
      <c r="M223" s="259" t="s">
        <v>179</v>
      </c>
      <c r="N223" s="259" t="s">
        <v>149</v>
      </c>
      <c r="O223" s="259" t="s">
        <v>738</v>
      </c>
      <c r="P223" s="259" t="s">
        <v>160</v>
      </c>
      <c r="Q223" s="259" t="s">
        <v>184</v>
      </c>
      <c r="R223" s="259" t="s">
        <v>159</v>
      </c>
      <c r="S223" s="259" t="s">
        <v>149</v>
      </c>
      <c r="T223" s="259" t="s">
        <v>149</v>
      </c>
      <c r="U223" s="259" t="s">
        <v>149</v>
      </c>
      <c r="V223" s="259" t="s">
        <v>739</v>
      </c>
      <c r="W223" s="259" t="s">
        <v>306</v>
      </c>
      <c r="X223" s="259" t="s">
        <v>369</v>
      </c>
      <c r="Y223" s="259" t="s">
        <v>738</v>
      </c>
      <c r="AA223" s="259" t="s">
        <v>166</v>
      </c>
      <c r="AB223" s="263" t="s">
        <v>741</v>
      </c>
      <c r="AE223" s="258">
        <v>1.0</v>
      </c>
      <c r="AF223" s="260"/>
    </row>
    <row r="224">
      <c r="A224" s="258">
        <v>223.0</v>
      </c>
      <c r="B224" s="259" t="s">
        <v>314</v>
      </c>
      <c r="C224" s="259" t="s">
        <v>315</v>
      </c>
      <c r="D224" s="259" t="s">
        <v>316</v>
      </c>
      <c r="E224" s="259" t="s">
        <v>317</v>
      </c>
      <c r="F224" s="259" t="s">
        <v>736</v>
      </c>
      <c r="H224" s="258">
        <v>2011.0</v>
      </c>
      <c r="I224" s="259" t="s">
        <v>149</v>
      </c>
      <c r="J224" s="259" t="s">
        <v>149</v>
      </c>
      <c r="K224" s="259" t="s">
        <v>151</v>
      </c>
      <c r="L224" s="259" t="s">
        <v>149</v>
      </c>
      <c r="M224" s="259" t="s">
        <v>149</v>
      </c>
      <c r="N224" s="259" t="s">
        <v>149</v>
      </c>
      <c r="O224" s="259" t="s">
        <v>745</v>
      </c>
      <c r="P224" s="259" t="s">
        <v>160</v>
      </c>
      <c r="Q224" s="259" t="s">
        <v>184</v>
      </c>
      <c r="R224" s="259" t="s">
        <v>159</v>
      </c>
      <c r="S224" s="259" t="s">
        <v>149</v>
      </c>
      <c r="T224" s="259" t="s">
        <v>149</v>
      </c>
      <c r="U224" s="259" t="s">
        <v>149</v>
      </c>
      <c r="V224" s="259" t="s">
        <v>739</v>
      </c>
      <c r="W224" s="259" t="s">
        <v>306</v>
      </c>
      <c r="X224" s="259" t="s">
        <v>369</v>
      </c>
      <c r="Y224" s="260"/>
      <c r="Z224" s="260"/>
      <c r="AA224" s="259" t="s">
        <v>166</v>
      </c>
      <c r="AB224" s="263" t="s">
        <v>741</v>
      </c>
      <c r="AE224" s="258">
        <v>1.0</v>
      </c>
      <c r="AF224" s="260"/>
    </row>
    <row r="225">
      <c r="A225" s="258">
        <v>224.0</v>
      </c>
      <c r="B225" s="259" t="s">
        <v>314</v>
      </c>
      <c r="C225" s="259" t="s">
        <v>315</v>
      </c>
      <c r="D225" s="259" t="s">
        <v>316</v>
      </c>
      <c r="E225" s="259" t="s">
        <v>317</v>
      </c>
      <c r="F225" s="259" t="s">
        <v>149</v>
      </c>
      <c r="G225" s="259" t="s">
        <v>6987</v>
      </c>
      <c r="H225" s="259" t="s">
        <v>149</v>
      </c>
      <c r="I225" s="259" t="s">
        <v>149</v>
      </c>
      <c r="J225" s="259" t="s">
        <v>149</v>
      </c>
      <c r="K225" s="259" t="s">
        <v>151</v>
      </c>
      <c r="L225" s="259" t="s">
        <v>337</v>
      </c>
      <c r="M225" s="259" t="s">
        <v>337</v>
      </c>
      <c r="N225" s="259" t="s">
        <v>149</v>
      </c>
      <c r="O225" s="259" t="s">
        <v>3103</v>
      </c>
      <c r="P225" s="259" t="s">
        <v>160</v>
      </c>
      <c r="Q225" s="259" t="s">
        <v>306</v>
      </c>
      <c r="R225" s="259" t="s">
        <v>159</v>
      </c>
      <c r="S225" s="259" t="s">
        <v>149</v>
      </c>
      <c r="T225" s="259" t="s">
        <v>149</v>
      </c>
      <c r="U225" s="259" t="s">
        <v>149</v>
      </c>
      <c r="V225" s="259" t="s">
        <v>3103</v>
      </c>
      <c r="W225" s="259" t="s">
        <v>306</v>
      </c>
      <c r="X225" s="260"/>
      <c r="Y225" s="260"/>
      <c r="Z225" s="260"/>
      <c r="AA225" s="259" t="s">
        <v>6027</v>
      </c>
      <c r="AB225" s="263" t="s">
        <v>3106</v>
      </c>
      <c r="AE225" s="258">
        <v>1.0</v>
      </c>
      <c r="AF225" s="260"/>
    </row>
    <row r="226">
      <c r="A226" s="258">
        <v>225.0</v>
      </c>
      <c r="B226" s="259" t="s">
        <v>314</v>
      </c>
      <c r="C226" s="259" t="s">
        <v>315</v>
      </c>
      <c r="D226" s="259" t="s">
        <v>316</v>
      </c>
      <c r="E226" s="259" t="s">
        <v>317</v>
      </c>
      <c r="F226" s="259" t="s">
        <v>149</v>
      </c>
      <c r="G226" s="260"/>
      <c r="H226" s="258">
        <v>2011.0</v>
      </c>
      <c r="I226" s="259" t="s">
        <v>149</v>
      </c>
      <c r="J226" s="259" t="s">
        <v>149</v>
      </c>
      <c r="K226" s="259" t="s">
        <v>149</v>
      </c>
      <c r="L226" s="259" t="s">
        <v>149</v>
      </c>
      <c r="M226" s="259" t="s">
        <v>149</v>
      </c>
      <c r="N226" s="259" t="s">
        <v>149</v>
      </c>
      <c r="O226" s="259" t="s">
        <v>149</v>
      </c>
      <c r="P226" s="259" t="s">
        <v>149</v>
      </c>
      <c r="Q226" s="259" t="s">
        <v>149</v>
      </c>
      <c r="R226" s="259" t="s">
        <v>149</v>
      </c>
      <c r="S226" s="259" t="s">
        <v>149</v>
      </c>
      <c r="T226" s="259" t="s">
        <v>149</v>
      </c>
      <c r="U226" s="259" t="s">
        <v>149</v>
      </c>
      <c r="V226" s="259" t="s">
        <v>149</v>
      </c>
      <c r="W226" s="259" t="s">
        <v>149</v>
      </c>
      <c r="X226" s="260"/>
      <c r="Y226" s="260"/>
      <c r="Z226" s="260"/>
      <c r="AA226" s="259" t="s">
        <v>8092</v>
      </c>
      <c r="AC226" s="260"/>
      <c r="AD226" s="260"/>
      <c r="AE226" s="258">
        <v>0.0</v>
      </c>
      <c r="AF226" s="258">
        <v>0.0</v>
      </c>
    </row>
    <row r="227">
      <c r="A227" s="258">
        <v>226.0</v>
      </c>
      <c r="B227" s="259" t="s">
        <v>314</v>
      </c>
      <c r="C227" s="259" t="s">
        <v>315</v>
      </c>
      <c r="D227" s="259" t="s">
        <v>316</v>
      </c>
      <c r="E227" s="259" t="s">
        <v>317</v>
      </c>
      <c r="F227" s="259" t="s">
        <v>318</v>
      </c>
      <c r="H227" s="259" t="s">
        <v>149</v>
      </c>
      <c r="I227" s="259" t="s">
        <v>149</v>
      </c>
      <c r="J227" s="259" t="s">
        <v>149</v>
      </c>
      <c r="K227" s="259" t="s">
        <v>6062</v>
      </c>
      <c r="L227" s="259" t="s">
        <v>149</v>
      </c>
      <c r="M227" s="259" t="s">
        <v>149</v>
      </c>
      <c r="N227" s="259" t="s">
        <v>149</v>
      </c>
      <c r="O227" s="259" t="s">
        <v>149</v>
      </c>
      <c r="P227" s="259" t="s">
        <v>149</v>
      </c>
      <c r="Q227" s="259" t="s">
        <v>149</v>
      </c>
      <c r="R227" s="259" t="s">
        <v>149</v>
      </c>
      <c r="S227" s="259" t="s">
        <v>149</v>
      </c>
      <c r="T227" s="259" t="s">
        <v>149</v>
      </c>
      <c r="U227" s="259" t="s">
        <v>149</v>
      </c>
      <c r="V227" s="259" t="s">
        <v>149</v>
      </c>
      <c r="W227" s="259" t="s">
        <v>149</v>
      </c>
      <c r="X227" s="259" t="s">
        <v>325</v>
      </c>
      <c r="Y227" s="259" t="s">
        <v>326</v>
      </c>
      <c r="AA227" s="259" t="s">
        <v>166</v>
      </c>
      <c r="AB227" s="263" t="s">
        <v>6992</v>
      </c>
      <c r="AE227" s="258">
        <v>1.0</v>
      </c>
      <c r="AF227" s="260"/>
    </row>
    <row r="228">
      <c r="A228" s="258">
        <v>227.0</v>
      </c>
      <c r="B228" s="259" t="s">
        <v>314</v>
      </c>
      <c r="C228" s="259" t="s">
        <v>315</v>
      </c>
      <c r="D228" s="259" t="s">
        <v>316</v>
      </c>
      <c r="E228" s="259" t="s">
        <v>317</v>
      </c>
      <c r="F228" s="259" t="s">
        <v>850</v>
      </c>
      <c r="H228" s="258">
        <v>2012.0</v>
      </c>
      <c r="I228" s="259" t="s">
        <v>149</v>
      </c>
      <c r="J228" s="259" t="s">
        <v>149</v>
      </c>
      <c r="K228" s="259" t="s">
        <v>151</v>
      </c>
      <c r="L228" s="259" t="s">
        <v>851</v>
      </c>
      <c r="M228" s="259" t="s">
        <v>851</v>
      </c>
      <c r="N228" s="259" t="s">
        <v>149</v>
      </c>
      <c r="O228" s="259" t="s">
        <v>852</v>
      </c>
      <c r="P228" s="259" t="s">
        <v>160</v>
      </c>
      <c r="Q228" s="259" t="s">
        <v>306</v>
      </c>
      <c r="R228" s="259" t="s">
        <v>159</v>
      </c>
      <c r="S228" s="259" t="s">
        <v>149</v>
      </c>
      <c r="T228" s="259" t="s">
        <v>149</v>
      </c>
      <c r="U228" s="259" t="s">
        <v>149</v>
      </c>
      <c r="V228" s="259" t="s">
        <v>326</v>
      </c>
      <c r="W228" s="259" t="s">
        <v>271</v>
      </c>
      <c r="X228" s="260"/>
      <c r="Y228" s="259" t="s">
        <v>854</v>
      </c>
      <c r="AA228" s="259" t="s">
        <v>6517</v>
      </c>
      <c r="AB228" s="259" t="s">
        <v>6995</v>
      </c>
      <c r="AE228" s="258">
        <v>1.0</v>
      </c>
      <c r="AF228" s="260"/>
    </row>
    <row r="229">
      <c r="A229" s="258">
        <v>228.0</v>
      </c>
      <c r="B229" s="259" t="s">
        <v>314</v>
      </c>
      <c r="C229" s="259" t="s">
        <v>315</v>
      </c>
      <c r="D229" s="259" t="s">
        <v>316</v>
      </c>
      <c r="E229" s="259" t="s">
        <v>317</v>
      </c>
      <c r="F229" s="259" t="s">
        <v>1174</v>
      </c>
      <c r="H229" s="258">
        <v>2013.0</v>
      </c>
      <c r="I229" s="258">
        <v>2012.0</v>
      </c>
      <c r="J229" s="258">
        <v>2013.0</v>
      </c>
      <c r="K229" s="259" t="s">
        <v>6062</v>
      </c>
      <c r="L229" s="259" t="s">
        <v>320</v>
      </c>
      <c r="M229" s="259" t="s">
        <v>179</v>
      </c>
      <c r="N229" s="259" t="s">
        <v>149</v>
      </c>
      <c r="O229" s="259" t="s">
        <v>321</v>
      </c>
      <c r="P229" s="259" t="s">
        <v>160</v>
      </c>
      <c r="Q229" s="259" t="s">
        <v>6035</v>
      </c>
      <c r="R229" s="259" t="s">
        <v>204</v>
      </c>
      <c r="S229" s="259" t="s">
        <v>149</v>
      </c>
      <c r="T229" s="259" t="s">
        <v>149</v>
      </c>
      <c r="U229" s="259" t="s">
        <v>1267</v>
      </c>
      <c r="V229" s="259" t="s">
        <v>885</v>
      </c>
      <c r="W229" s="259" t="s">
        <v>6068</v>
      </c>
      <c r="X229" s="259" t="s">
        <v>1204</v>
      </c>
      <c r="AA229" s="259" t="s">
        <v>6069</v>
      </c>
      <c r="AC229" s="260"/>
      <c r="AD229" s="260"/>
      <c r="AE229" s="258">
        <v>1.0</v>
      </c>
      <c r="AF229" s="260"/>
    </row>
    <row r="230">
      <c r="A230" s="258">
        <v>229.0</v>
      </c>
      <c r="B230" s="259" t="s">
        <v>314</v>
      </c>
      <c r="C230" s="259" t="s">
        <v>315</v>
      </c>
      <c r="D230" s="259" t="s">
        <v>1199</v>
      </c>
      <c r="E230" s="259" t="s">
        <v>1200</v>
      </c>
      <c r="F230" s="259" t="s">
        <v>2237</v>
      </c>
      <c r="H230" s="259" t="s">
        <v>149</v>
      </c>
      <c r="I230" s="259" t="s">
        <v>149</v>
      </c>
      <c r="J230" s="259" t="s">
        <v>149</v>
      </c>
      <c r="K230" s="259" t="s">
        <v>6624</v>
      </c>
      <c r="L230" s="259" t="s">
        <v>179</v>
      </c>
      <c r="M230" s="259" t="s">
        <v>179</v>
      </c>
      <c r="N230" s="259" t="s">
        <v>2238</v>
      </c>
      <c r="O230" s="259" t="s">
        <v>149</v>
      </c>
      <c r="P230" s="259" t="s">
        <v>149</v>
      </c>
      <c r="Q230" s="259" t="s">
        <v>149</v>
      </c>
      <c r="R230" s="259" t="s">
        <v>149</v>
      </c>
      <c r="S230" s="259" t="s">
        <v>149</v>
      </c>
      <c r="T230" s="259" t="s">
        <v>2239</v>
      </c>
      <c r="U230" s="259" t="s">
        <v>149</v>
      </c>
      <c r="V230" s="259" t="s">
        <v>369</v>
      </c>
      <c r="W230" s="259" t="s">
        <v>6035</v>
      </c>
      <c r="X230" s="259" t="s">
        <v>390</v>
      </c>
      <c r="Y230" s="260"/>
      <c r="Z230" s="260"/>
      <c r="AA230" s="259" t="s">
        <v>1159</v>
      </c>
      <c r="AB230" s="259" t="s">
        <v>7005</v>
      </c>
      <c r="AE230" s="258">
        <v>1.0</v>
      </c>
      <c r="AF230" s="260"/>
    </row>
    <row r="231">
      <c r="A231" s="258">
        <v>230.0</v>
      </c>
      <c r="B231" s="259" t="s">
        <v>314</v>
      </c>
      <c r="C231" s="259" t="s">
        <v>315</v>
      </c>
      <c r="D231" s="259" t="s">
        <v>1199</v>
      </c>
      <c r="E231" s="259" t="s">
        <v>1200</v>
      </c>
      <c r="F231" s="259" t="s">
        <v>1174</v>
      </c>
      <c r="H231" s="258">
        <v>2013.0</v>
      </c>
      <c r="I231" s="258">
        <v>2012.0</v>
      </c>
      <c r="J231" s="258">
        <v>2013.0</v>
      </c>
      <c r="K231" s="259" t="s">
        <v>6062</v>
      </c>
      <c r="L231" s="259" t="s">
        <v>1201</v>
      </c>
      <c r="M231" s="259" t="s">
        <v>179</v>
      </c>
      <c r="N231" s="259" t="s">
        <v>1202</v>
      </c>
      <c r="O231" s="259" t="s">
        <v>321</v>
      </c>
      <c r="P231" s="259" t="s">
        <v>160</v>
      </c>
      <c r="Q231" s="259" t="s">
        <v>6035</v>
      </c>
      <c r="R231" s="259" t="s">
        <v>204</v>
      </c>
      <c r="S231" s="259" t="s">
        <v>149</v>
      </c>
      <c r="T231" s="259" t="s">
        <v>149</v>
      </c>
      <c r="U231" s="259" t="s">
        <v>1203</v>
      </c>
      <c r="V231" s="259" t="s">
        <v>885</v>
      </c>
      <c r="W231" s="259" t="s">
        <v>6068</v>
      </c>
      <c r="X231" s="259" t="s">
        <v>1204</v>
      </c>
      <c r="AA231" s="259" t="s">
        <v>6069</v>
      </c>
      <c r="AC231" s="260"/>
      <c r="AD231" s="260"/>
      <c r="AE231" s="258">
        <v>1.0</v>
      </c>
      <c r="AF231" s="260"/>
    </row>
    <row r="232">
      <c r="A232" s="258">
        <v>231.0</v>
      </c>
      <c r="B232" s="259" t="s">
        <v>314</v>
      </c>
      <c r="C232" s="259" t="s">
        <v>858</v>
      </c>
      <c r="D232" s="259" t="s">
        <v>1296</v>
      </c>
      <c r="E232" s="259" t="s">
        <v>1297</v>
      </c>
      <c r="F232" s="259" t="s">
        <v>1174</v>
      </c>
      <c r="H232" s="258">
        <v>2013.0</v>
      </c>
      <c r="I232" s="258">
        <v>2012.0</v>
      </c>
      <c r="J232" s="258">
        <v>2013.0</v>
      </c>
      <c r="K232" s="259" t="s">
        <v>6062</v>
      </c>
      <c r="L232" s="259" t="s">
        <v>1201</v>
      </c>
      <c r="M232" s="259" t="s">
        <v>179</v>
      </c>
      <c r="N232" s="259" t="s">
        <v>149</v>
      </c>
      <c r="O232" s="259" t="s">
        <v>321</v>
      </c>
      <c r="P232" s="259" t="s">
        <v>160</v>
      </c>
      <c r="Q232" s="259" t="s">
        <v>6035</v>
      </c>
      <c r="R232" s="259" t="s">
        <v>204</v>
      </c>
      <c r="S232" s="259" t="s">
        <v>149</v>
      </c>
      <c r="T232" s="259" t="s">
        <v>149</v>
      </c>
      <c r="U232" s="259" t="s">
        <v>1298</v>
      </c>
      <c r="V232" s="259" t="s">
        <v>885</v>
      </c>
      <c r="W232" s="259" t="s">
        <v>6068</v>
      </c>
      <c r="X232" s="259" t="s">
        <v>1299</v>
      </c>
      <c r="Z232" s="260"/>
      <c r="AA232" s="259" t="s">
        <v>6069</v>
      </c>
      <c r="AC232" s="260"/>
      <c r="AD232" s="260"/>
      <c r="AE232" s="258">
        <v>1.0</v>
      </c>
      <c r="AF232" s="260"/>
    </row>
    <row r="233">
      <c r="A233" s="258">
        <v>232.0</v>
      </c>
      <c r="B233" s="259" t="s">
        <v>314</v>
      </c>
      <c r="C233" s="259" t="s">
        <v>858</v>
      </c>
      <c r="D233" s="259" t="s">
        <v>1296</v>
      </c>
      <c r="E233" s="259" t="s">
        <v>1297</v>
      </c>
      <c r="F233" s="259" t="s">
        <v>6587</v>
      </c>
      <c r="G233" s="260"/>
      <c r="H233" s="258">
        <v>2016.0</v>
      </c>
      <c r="I233" s="259" t="s">
        <v>149</v>
      </c>
      <c r="J233" s="259" t="s">
        <v>149</v>
      </c>
      <c r="K233" s="259" t="s">
        <v>6062</v>
      </c>
      <c r="L233" s="259" t="s">
        <v>149</v>
      </c>
      <c r="M233" s="259" t="s">
        <v>149</v>
      </c>
      <c r="N233" s="259" t="s">
        <v>2147</v>
      </c>
      <c r="O233" s="259" t="s">
        <v>149</v>
      </c>
      <c r="P233" s="259" t="s">
        <v>149</v>
      </c>
      <c r="Q233" s="259" t="s">
        <v>149</v>
      </c>
      <c r="R233" s="259" t="s">
        <v>149</v>
      </c>
      <c r="S233" s="259" t="s">
        <v>149</v>
      </c>
      <c r="T233" s="259" t="s">
        <v>149</v>
      </c>
      <c r="U233" s="259" t="s">
        <v>149</v>
      </c>
      <c r="V233" s="259" t="s">
        <v>149</v>
      </c>
      <c r="W233" s="259" t="s">
        <v>149</v>
      </c>
      <c r="X233" s="260"/>
      <c r="Y233" s="260"/>
      <c r="Z233" s="260"/>
      <c r="AA233" s="259" t="s">
        <v>6038</v>
      </c>
      <c r="AB233" s="263" t="s">
        <v>2149</v>
      </c>
      <c r="AE233" s="258">
        <v>1.0</v>
      </c>
      <c r="AF233" s="260"/>
    </row>
    <row r="234">
      <c r="A234" s="258">
        <v>233.0</v>
      </c>
      <c r="B234" s="259" t="s">
        <v>314</v>
      </c>
      <c r="C234" s="259" t="s">
        <v>858</v>
      </c>
      <c r="D234" s="259" t="s">
        <v>859</v>
      </c>
      <c r="E234" s="259" t="s">
        <v>860</v>
      </c>
      <c r="F234" s="259" t="s">
        <v>8145</v>
      </c>
      <c r="H234" s="258">
        <v>1994.0</v>
      </c>
      <c r="I234" s="259" t="s">
        <v>149</v>
      </c>
      <c r="J234" s="259" t="s">
        <v>149</v>
      </c>
      <c r="K234" s="259" t="s">
        <v>151</v>
      </c>
      <c r="L234" s="259" t="s">
        <v>3393</v>
      </c>
      <c r="M234" s="259" t="s">
        <v>3393</v>
      </c>
      <c r="N234" s="259" t="s">
        <v>866</v>
      </c>
      <c r="O234" s="259" t="s">
        <v>149</v>
      </c>
      <c r="P234" s="259" t="s">
        <v>149</v>
      </c>
      <c r="Q234" s="259" t="s">
        <v>149</v>
      </c>
      <c r="R234" s="259" t="s">
        <v>149</v>
      </c>
      <c r="S234" s="259" t="s">
        <v>149</v>
      </c>
      <c r="T234" s="259" t="s">
        <v>149</v>
      </c>
      <c r="U234" s="259" t="s">
        <v>867</v>
      </c>
      <c r="V234" s="259" t="s">
        <v>868</v>
      </c>
      <c r="W234" s="259" t="s">
        <v>869</v>
      </c>
      <c r="Y234" s="260"/>
      <c r="Z234" s="260"/>
      <c r="AA234" s="259" t="s">
        <v>395</v>
      </c>
      <c r="AB234" s="263" t="s">
        <v>2873</v>
      </c>
      <c r="AC234" s="259" t="s">
        <v>398</v>
      </c>
      <c r="AE234" s="258">
        <v>1.0</v>
      </c>
      <c r="AF234" s="260"/>
    </row>
    <row r="235">
      <c r="A235" s="258">
        <v>234.0</v>
      </c>
      <c r="B235" s="259" t="s">
        <v>314</v>
      </c>
      <c r="C235" s="259" t="s">
        <v>1364</v>
      </c>
      <c r="D235" s="259" t="s">
        <v>3917</v>
      </c>
      <c r="E235" s="259" t="s">
        <v>3131</v>
      </c>
      <c r="F235" s="259" t="s">
        <v>149</v>
      </c>
      <c r="G235" s="259" t="s">
        <v>7017</v>
      </c>
      <c r="H235" s="259" t="s">
        <v>149</v>
      </c>
      <c r="I235" s="259" t="s">
        <v>149</v>
      </c>
      <c r="J235" s="259" t="s">
        <v>149</v>
      </c>
      <c r="K235" s="259" t="s">
        <v>151</v>
      </c>
      <c r="L235" s="259" t="s">
        <v>790</v>
      </c>
      <c r="M235" s="259" t="s">
        <v>790</v>
      </c>
      <c r="N235" s="259" t="s">
        <v>149</v>
      </c>
      <c r="O235" s="259" t="s">
        <v>390</v>
      </c>
      <c r="P235" s="259" t="s">
        <v>160</v>
      </c>
      <c r="Q235" s="259" t="s">
        <v>6035</v>
      </c>
      <c r="R235" s="259" t="s">
        <v>159</v>
      </c>
      <c r="S235" s="259" t="s">
        <v>149</v>
      </c>
      <c r="T235" s="259" t="s">
        <v>149</v>
      </c>
      <c r="U235" s="259" t="s">
        <v>149</v>
      </c>
      <c r="V235" s="259" t="s">
        <v>228</v>
      </c>
      <c r="W235" s="259" t="s">
        <v>6035</v>
      </c>
      <c r="Y235" s="260"/>
      <c r="Z235" s="260"/>
      <c r="AA235" s="259" t="s">
        <v>6027</v>
      </c>
      <c r="AB235" s="263" t="s">
        <v>3135</v>
      </c>
      <c r="AE235" s="258">
        <v>1.0</v>
      </c>
      <c r="AF235" s="260"/>
    </row>
    <row r="236">
      <c r="A236" s="258">
        <v>235.0</v>
      </c>
      <c r="B236" s="259" t="s">
        <v>314</v>
      </c>
      <c r="C236" s="259" t="s">
        <v>558</v>
      </c>
      <c r="D236" s="259" t="s">
        <v>1604</v>
      </c>
      <c r="E236" s="259" t="s">
        <v>1605</v>
      </c>
      <c r="F236" s="259" t="s">
        <v>6742</v>
      </c>
      <c r="H236" s="258">
        <v>2004.0</v>
      </c>
      <c r="I236" s="259" t="s">
        <v>149</v>
      </c>
      <c r="J236" s="259" t="s">
        <v>149</v>
      </c>
      <c r="K236" s="259" t="s">
        <v>151</v>
      </c>
      <c r="L236" s="259" t="s">
        <v>149</v>
      </c>
      <c r="M236" s="259" t="s">
        <v>149</v>
      </c>
      <c r="N236" s="259" t="s">
        <v>8146</v>
      </c>
      <c r="O236" s="259" t="s">
        <v>1594</v>
      </c>
      <c r="P236" s="259" t="s">
        <v>160</v>
      </c>
      <c r="Q236" s="259" t="s">
        <v>6035</v>
      </c>
      <c r="R236" s="259" t="s">
        <v>159</v>
      </c>
      <c r="S236" s="259" t="s">
        <v>149</v>
      </c>
      <c r="T236" s="259" t="s">
        <v>149</v>
      </c>
      <c r="U236" s="259" t="s">
        <v>1606</v>
      </c>
      <c r="V236" s="259" t="s">
        <v>369</v>
      </c>
      <c r="W236" s="259" t="s">
        <v>6035</v>
      </c>
      <c r="Y236" s="260"/>
      <c r="Z236" s="259" t="s">
        <v>1607</v>
      </c>
      <c r="AA236" s="259" t="s">
        <v>6970</v>
      </c>
      <c r="AB236" s="263" t="s">
        <v>1609</v>
      </c>
      <c r="AE236" s="258">
        <v>1.0</v>
      </c>
      <c r="AF236" s="260"/>
    </row>
    <row r="237">
      <c r="A237" s="258">
        <v>236.0</v>
      </c>
      <c r="B237" s="259" t="s">
        <v>314</v>
      </c>
      <c r="C237" s="259" t="s">
        <v>558</v>
      </c>
      <c r="D237" s="259" t="s">
        <v>1604</v>
      </c>
      <c r="E237" s="259" t="s">
        <v>1605</v>
      </c>
      <c r="F237" s="259" t="s">
        <v>149</v>
      </c>
      <c r="G237" s="259" t="s">
        <v>2331</v>
      </c>
      <c r="H237" s="258">
        <v>2014.0</v>
      </c>
      <c r="I237" s="259" t="s">
        <v>149</v>
      </c>
      <c r="J237" s="259" t="s">
        <v>149</v>
      </c>
      <c r="K237" s="259" t="s">
        <v>6624</v>
      </c>
      <c r="L237" s="259" t="s">
        <v>730</v>
      </c>
      <c r="M237" s="259" t="s">
        <v>179</v>
      </c>
      <c r="N237" s="259" t="s">
        <v>1923</v>
      </c>
      <c r="O237" s="259" t="s">
        <v>2332</v>
      </c>
      <c r="P237" s="259" t="s">
        <v>205</v>
      </c>
      <c r="Q237" s="259" t="s">
        <v>306</v>
      </c>
      <c r="R237" s="259" t="s">
        <v>149</v>
      </c>
      <c r="S237" s="259" t="s">
        <v>149</v>
      </c>
      <c r="T237" s="259" t="s">
        <v>149</v>
      </c>
      <c r="U237" s="259" t="s">
        <v>149</v>
      </c>
      <c r="V237" s="259" t="s">
        <v>2332</v>
      </c>
      <c r="W237" s="259" t="s">
        <v>306</v>
      </c>
      <c r="X237" s="259" t="s">
        <v>7023</v>
      </c>
      <c r="Z237" s="260"/>
      <c r="AA237" s="259" t="s">
        <v>6084</v>
      </c>
      <c r="AB237" s="263" t="s">
        <v>2336</v>
      </c>
      <c r="AE237" s="258">
        <v>1.0</v>
      </c>
      <c r="AF237" s="260"/>
    </row>
    <row r="238">
      <c r="A238" s="258">
        <v>237.0</v>
      </c>
      <c r="B238" s="259" t="s">
        <v>314</v>
      </c>
      <c r="C238" s="259" t="s">
        <v>558</v>
      </c>
      <c r="D238" s="259" t="s">
        <v>1604</v>
      </c>
      <c r="E238" s="259" t="s">
        <v>1605</v>
      </c>
      <c r="F238" s="259" t="s">
        <v>149</v>
      </c>
      <c r="G238" s="260"/>
      <c r="H238" s="258">
        <v>1995.0</v>
      </c>
      <c r="I238" s="259" t="s">
        <v>149</v>
      </c>
      <c r="J238" s="259" t="s">
        <v>149</v>
      </c>
      <c r="K238" s="259" t="s">
        <v>151</v>
      </c>
      <c r="L238" s="259" t="s">
        <v>149</v>
      </c>
      <c r="M238" s="259" t="s">
        <v>149</v>
      </c>
      <c r="N238" s="259" t="s">
        <v>793</v>
      </c>
      <c r="O238" s="259" t="s">
        <v>158</v>
      </c>
      <c r="P238" s="259" t="s">
        <v>160</v>
      </c>
      <c r="Q238" s="259" t="s">
        <v>6035</v>
      </c>
      <c r="R238" s="259" t="s">
        <v>159</v>
      </c>
      <c r="S238" s="259" t="s">
        <v>149</v>
      </c>
      <c r="T238" s="259" t="s">
        <v>149</v>
      </c>
      <c r="U238" s="259" t="s">
        <v>149</v>
      </c>
      <c r="V238" s="259" t="s">
        <v>158</v>
      </c>
      <c r="W238" s="259" t="s">
        <v>6035</v>
      </c>
      <c r="Y238" s="260"/>
      <c r="Z238" s="260"/>
      <c r="AA238" s="259" t="s">
        <v>1159</v>
      </c>
      <c r="AB238" s="263" t="s">
        <v>2676</v>
      </c>
      <c r="AE238" s="258">
        <v>1.0</v>
      </c>
      <c r="AF238" s="260"/>
    </row>
    <row r="239">
      <c r="A239" s="258">
        <v>238.0</v>
      </c>
      <c r="B239" s="259" t="s">
        <v>314</v>
      </c>
      <c r="C239" s="259" t="s">
        <v>558</v>
      </c>
      <c r="D239" s="259" t="s">
        <v>1616</v>
      </c>
      <c r="E239" s="259" t="s">
        <v>1617</v>
      </c>
      <c r="F239" s="259" t="s">
        <v>6742</v>
      </c>
      <c r="H239" s="259" t="s">
        <v>149</v>
      </c>
      <c r="I239" s="259" t="s">
        <v>149</v>
      </c>
      <c r="J239" s="259" t="s">
        <v>149</v>
      </c>
      <c r="K239" s="259" t="s">
        <v>151</v>
      </c>
      <c r="L239" s="259" t="s">
        <v>149</v>
      </c>
      <c r="M239" s="259" t="s">
        <v>149</v>
      </c>
      <c r="N239" s="259" t="s">
        <v>149</v>
      </c>
      <c r="O239" s="259" t="s">
        <v>1594</v>
      </c>
      <c r="P239" s="259" t="s">
        <v>160</v>
      </c>
      <c r="Q239" s="259" t="s">
        <v>6035</v>
      </c>
      <c r="R239" s="259" t="s">
        <v>159</v>
      </c>
      <c r="S239" s="259" t="s">
        <v>149</v>
      </c>
      <c r="T239" s="259" t="s">
        <v>149</v>
      </c>
      <c r="U239" s="259" t="s">
        <v>149</v>
      </c>
      <c r="V239" s="259" t="s">
        <v>369</v>
      </c>
      <c r="W239" s="259" t="s">
        <v>6035</v>
      </c>
      <c r="Y239" s="260"/>
      <c r="Z239" s="260"/>
      <c r="AA239" s="259" t="s">
        <v>6084</v>
      </c>
      <c r="AB239" s="263" t="s">
        <v>1620</v>
      </c>
      <c r="AE239" s="258">
        <v>1.0</v>
      </c>
      <c r="AF239" s="260"/>
    </row>
    <row r="240">
      <c r="A240" s="258">
        <v>239.0</v>
      </c>
      <c r="B240" s="259" t="s">
        <v>314</v>
      </c>
      <c r="C240" s="259" t="s">
        <v>558</v>
      </c>
      <c r="D240" s="259" t="s">
        <v>3137</v>
      </c>
      <c r="E240" s="259" t="s">
        <v>3138</v>
      </c>
      <c r="F240" s="259" t="s">
        <v>149</v>
      </c>
      <c r="G240" s="259" t="s">
        <v>7031</v>
      </c>
      <c r="H240" s="259" t="s">
        <v>149</v>
      </c>
      <c r="I240" s="259" t="s">
        <v>149</v>
      </c>
      <c r="J240" s="259" t="s">
        <v>149</v>
      </c>
      <c r="K240" s="259" t="s">
        <v>151</v>
      </c>
      <c r="L240" s="259" t="s">
        <v>149</v>
      </c>
      <c r="M240" s="259" t="s">
        <v>149</v>
      </c>
      <c r="N240" s="259" t="s">
        <v>149</v>
      </c>
      <c r="O240" s="259" t="s">
        <v>149</v>
      </c>
      <c r="P240" s="259" t="s">
        <v>149</v>
      </c>
      <c r="Q240" s="259" t="s">
        <v>149</v>
      </c>
      <c r="R240" s="259" t="s">
        <v>149</v>
      </c>
      <c r="S240" s="259" t="s">
        <v>149</v>
      </c>
      <c r="T240" s="259" t="s">
        <v>149</v>
      </c>
      <c r="U240" s="259" t="s">
        <v>149</v>
      </c>
      <c r="V240" s="259" t="s">
        <v>149</v>
      </c>
      <c r="W240" s="259" t="s">
        <v>149</v>
      </c>
      <c r="X240" s="260"/>
      <c r="Y240" s="260"/>
      <c r="Z240" s="260"/>
      <c r="AA240" s="259" t="s">
        <v>6257</v>
      </c>
      <c r="AB240" s="263" t="s">
        <v>3141</v>
      </c>
      <c r="AE240" s="258">
        <v>1.0</v>
      </c>
      <c r="AF240" s="260"/>
    </row>
    <row r="241">
      <c r="A241" s="258">
        <v>240.0</v>
      </c>
      <c r="B241" s="259" t="s">
        <v>314</v>
      </c>
      <c r="C241" s="259" t="s">
        <v>558</v>
      </c>
      <c r="D241" s="259" t="s">
        <v>786</v>
      </c>
      <c r="E241" s="259" t="s">
        <v>787</v>
      </c>
      <c r="F241" s="259" t="s">
        <v>788</v>
      </c>
      <c r="H241" s="258">
        <v>2015.0</v>
      </c>
      <c r="I241" s="259" t="s">
        <v>149</v>
      </c>
      <c r="J241" s="259" t="s">
        <v>149</v>
      </c>
      <c r="K241" s="259" t="s">
        <v>151</v>
      </c>
      <c r="L241" s="259" t="s">
        <v>149</v>
      </c>
      <c r="M241" s="259" t="s">
        <v>149</v>
      </c>
      <c r="N241" s="259" t="s">
        <v>793</v>
      </c>
      <c r="O241" s="259" t="s">
        <v>794</v>
      </c>
      <c r="P241" s="259" t="s">
        <v>205</v>
      </c>
      <c r="Q241" s="259" t="s">
        <v>8096</v>
      </c>
      <c r="R241" s="259" t="s">
        <v>149</v>
      </c>
      <c r="S241" s="259" t="s">
        <v>149</v>
      </c>
      <c r="T241" s="259" t="s">
        <v>149</v>
      </c>
      <c r="U241" s="259" t="s">
        <v>149</v>
      </c>
      <c r="V241" s="259" t="s">
        <v>796</v>
      </c>
      <c r="W241" s="259" t="s">
        <v>306</v>
      </c>
      <c r="X241" s="260"/>
      <c r="Y241" s="260"/>
      <c r="Z241" s="259" t="s">
        <v>797</v>
      </c>
      <c r="AA241" s="259" t="s">
        <v>7034</v>
      </c>
      <c r="AB241" s="263" t="s">
        <v>799</v>
      </c>
      <c r="AD241" s="259" t="s">
        <v>800</v>
      </c>
      <c r="AE241" s="258">
        <v>1.0</v>
      </c>
      <c r="AF241" s="260"/>
    </row>
    <row r="242">
      <c r="A242" s="258">
        <v>241.0</v>
      </c>
      <c r="B242" s="259" t="s">
        <v>314</v>
      </c>
      <c r="C242" s="259" t="s">
        <v>558</v>
      </c>
      <c r="D242" s="259" t="s">
        <v>786</v>
      </c>
      <c r="E242" s="259" t="s">
        <v>787</v>
      </c>
      <c r="F242" s="259" t="s">
        <v>149</v>
      </c>
      <c r="G242" s="259" t="s">
        <v>2331</v>
      </c>
      <c r="H242" s="258">
        <v>2014.0</v>
      </c>
      <c r="I242" s="259" t="s">
        <v>149</v>
      </c>
      <c r="J242" s="259" t="s">
        <v>149</v>
      </c>
      <c r="K242" s="259" t="s">
        <v>6624</v>
      </c>
      <c r="L242" s="259" t="s">
        <v>730</v>
      </c>
      <c r="M242" s="259" t="s">
        <v>179</v>
      </c>
      <c r="N242" s="259" t="s">
        <v>1923</v>
      </c>
      <c r="O242" s="259" t="s">
        <v>2332</v>
      </c>
      <c r="P242" s="259" t="s">
        <v>205</v>
      </c>
      <c r="Q242" s="259" t="s">
        <v>306</v>
      </c>
      <c r="R242" s="259" t="s">
        <v>149</v>
      </c>
      <c r="S242" s="259" t="s">
        <v>149</v>
      </c>
      <c r="T242" s="259" t="s">
        <v>149</v>
      </c>
      <c r="U242" s="259" t="s">
        <v>149</v>
      </c>
      <c r="V242" s="259" t="s">
        <v>2332</v>
      </c>
      <c r="W242" s="259" t="s">
        <v>306</v>
      </c>
      <c r="X242" s="259" t="s">
        <v>2339</v>
      </c>
      <c r="Z242" s="260"/>
      <c r="AA242" s="259" t="s">
        <v>6084</v>
      </c>
      <c r="AB242" s="263" t="s">
        <v>2336</v>
      </c>
      <c r="AE242" s="258">
        <v>1.0</v>
      </c>
      <c r="AF242" s="260"/>
    </row>
    <row r="243">
      <c r="A243" s="258">
        <v>242.0</v>
      </c>
      <c r="B243" s="259" t="s">
        <v>314</v>
      </c>
      <c r="C243" s="259" t="s">
        <v>558</v>
      </c>
      <c r="D243" s="259" t="s">
        <v>2066</v>
      </c>
      <c r="E243" s="259" t="s">
        <v>2067</v>
      </c>
      <c r="F243" s="259" t="s">
        <v>149</v>
      </c>
      <c r="G243" s="259" t="s">
        <v>2331</v>
      </c>
      <c r="H243" s="258">
        <v>2014.0</v>
      </c>
      <c r="I243" s="259" t="s">
        <v>149</v>
      </c>
      <c r="J243" s="259" t="s">
        <v>149</v>
      </c>
      <c r="K243" s="259" t="s">
        <v>6624</v>
      </c>
      <c r="L243" s="259" t="s">
        <v>730</v>
      </c>
      <c r="M243" s="259" t="s">
        <v>179</v>
      </c>
      <c r="N243" s="259" t="s">
        <v>1923</v>
      </c>
      <c r="O243" s="259" t="s">
        <v>2332</v>
      </c>
      <c r="P243" s="259" t="s">
        <v>205</v>
      </c>
      <c r="Q243" s="259" t="s">
        <v>8096</v>
      </c>
      <c r="R243" s="259" t="s">
        <v>149</v>
      </c>
      <c r="S243" s="259" t="s">
        <v>149</v>
      </c>
      <c r="T243" s="259" t="s">
        <v>149</v>
      </c>
      <c r="U243" s="259" t="s">
        <v>149</v>
      </c>
      <c r="V243" s="259" t="s">
        <v>2332</v>
      </c>
      <c r="W243" s="259" t="s">
        <v>306</v>
      </c>
      <c r="X243" s="259" t="s">
        <v>2339</v>
      </c>
      <c r="Z243" s="260"/>
      <c r="AA243" s="259" t="s">
        <v>6084</v>
      </c>
      <c r="AB243" s="263" t="s">
        <v>2336</v>
      </c>
      <c r="AE243" s="258">
        <v>1.0</v>
      </c>
      <c r="AF243" s="260"/>
    </row>
    <row r="244">
      <c r="A244" s="258">
        <v>243.0</v>
      </c>
      <c r="B244" s="259" t="s">
        <v>314</v>
      </c>
      <c r="C244" s="259" t="s">
        <v>558</v>
      </c>
      <c r="D244" s="259" t="s">
        <v>3143</v>
      </c>
      <c r="E244" s="259" t="s">
        <v>3144</v>
      </c>
      <c r="F244" s="259" t="s">
        <v>149</v>
      </c>
      <c r="G244" s="259" t="s">
        <v>8147</v>
      </c>
      <c r="H244" s="259" t="s">
        <v>149</v>
      </c>
      <c r="I244" s="259" t="s">
        <v>149</v>
      </c>
      <c r="J244" s="259" t="s">
        <v>149</v>
      </c>
      <c r="K244" s="259" t="s">
        <v>151</v>
      </c>
      <c r="L244" s="259" t="s">
        <v>149</v>
      </c>
      <c r="M244" s="259" t="s">
        <v>149</v>
      </c>
      <c r="N244" s="259" t="s">
        <v>149</v>
      </c>
      <c r="O244" s="259" t="s">
        <v>149</v>
      </c>
      <c r="P244" s="259" t="s">
        <v>149</v>
      </c>
      <c r="Q244" s="259" t="s">
        <v>149</v>
      </c>
      <c r="R244" s="259" t="s">
        <v>149</v>
      </c>
      <c r="S244" s="259" t="s">
        <v>149</v>
      </c>
      <c r="T244" s="259" t="s">
        <v>149</v>
      </c>
      <c r="U244" s="259" t="s">
        <v>149</v>
      </c>
      <c r="V244" s="259" t="s">
        <v>149</v>
      </c>
      <c r="W244" s="259" t="s">
        <v>149</v>
      </c>
      <c r="X244" s="260"/>
      <c r="Y244" s="260"/>
      <c r="Z244" s="260"/>
      <c r="AA244" s="259" t="s">
        <v>6027</v>
      </c>
      <c r="AB244" s="263" t="s">
        <v>2105</v>
      </c>
      <c r="AE244" s="258">
        <v>1.0</v>
      </c>
      <c r="AF244" s="260"/>
    </row>
    <row r="245">
      <c r="A245" s="258">
        <v>244.0</v>
      </c>
      <c r="B245" s="259" t="s">
        <v>314</v>
      </c>
      <c r="C245" s="259" t="s">
        <v>558</v>
      </c>
      <c r="D245" s="259" t="s">
        <v>559</v>
      </c>
      <c r="E245" s="259" t="s">
        <v>560</v>
      </c>
      <c r="F245" s="259" t="s">
        <v>384</v>
      </c>
      <c r="G245" s="259" t="s">
        <v>561</v>
      </c>
      <c r="H245" s="258">
        <v>1985.0</v>
      </c>
      <c r="I245" s="258">
        <v>1985.0</v>
      </c>
      <c r="J245" s="258">
        <v>1987.0</v>
      </c>
      <c r="K245" s="259" t="s">
        <v>151</v>
      </c>
      <c r="L245" s="259" t="s">
        <v>6054</v>
      </c>
      <c r="M245" s="259" t="s">
        <v>6054</v>
      </c>
      <c r="N245" s="259" t="s">
        <v>149</v>
      </c>
      <c r="O245" s="259" t="s">
        <v>390</v>
      </c>
      <c r="P245" s="259" t="s">
        <v>160</v>
      </c>
      <c r="Q245" s="259" t="s">
        <v>6035</v>
      </c>
      <c r="R245" s="259" t="s">
        <v>159</v>
      </c>
      <c r="S245" s="259" t="s">
        <v>149</v>
      </c>
      <c r="T245" s="259" t="s">
        <v>149</v>
      </c>
      <c r="U245" s="259" t="s">
        <v>149</v>
      </c>
      <c r="V245" s="259" t="s">
        <v>390</v>
      </c>
      <c r="W245" s="259" t="s">
        <v>6035</v>
      </c>
      <c r="X245" s="259" t="s">
        <v>6055</v>
      </c>
      <c r="AA245" s="259" t="s">
        <v>395</v>
      </c>
      <c r="AB245" s="263" t="s">
        <v>2873</v>
      </c>
      <c r="AC245" s="259" t="s">
        <v>398</v>
      </c>
      <c r="AE245" s="258">
        <v>1.0</v>
      </c>
      <c r="AF245" s="260"/>
    </row>
    <row r="246">
      <c r="A246" s="258">
        <v>245.0</v>
      </c>
      <c r="B246" s="259" t="s">
        <v>314</v>
      </c>
      <c r="C246" s="259" t="s">
        <v>558</v>
      </c>
      <c r="D246" s="259" t="s">
        <v>2553</v>
      </c>
      <c r="E246" s="259" t="s">
        <v>2554</v>
      </c>
      <c r="F246" s="259" t="s">
        <v>149</v>
      </c>
      <c r="G246" s="260"/>
      <c r="H246" s="258">
        <v>2013.0</v>
      </c>
      <c r="I246" s="259" t="s">
        <v>149</v>
      </c>
      <c r="J246" s="259" t="s">
        <v>149</v>
      </c>
      <c r="K246" s="259" t="s">
        <v>151</v>
      </c>
      <c r="L246" s="259" t="s">
        <v>149</v>
      </c>
      <c r="M246" s="259" t="s">
        <v>149</v>
      </c>
      <c r="N246" s="259" t="s">
        <v>7051</v>
      </c>
      <c r="O246" s="259" t="s">
        <v>149</v>
      </c>
      <c r="P246" s="259" t="s">
        <v>149</v>
      </c>
      <c r="Q246" s="259" t="s">
        <v>149</v>
      </c>
      <c r="R246" s="259" t="s">
        <v>149</v>
      </c>
      <c r="S246" s="259" t="s">
        <v>149</v>
      </c>
      <c r="T246" s="259" t="s">
        <v>149</v>
      </c>
      <c r="U246" s="259" t="s">
        <v>149</v>
      </c>
      <c r="V246" s="259" t="s">
        <v>149</v>
      </c>
      <c r="W246" s="259" t="s">
        <v>149</v>
      </c>
      <c r="X246" s="259" t="s">
        <v>2557</v>
      </c>
      <c r="Z246" s="260"/>
      <c r="AA246" s="259" t="s">
        <v>7034</v>
      </c>
      <c r="AB246" s="263" t="s">
        <v>2559</v>
      </c>
      <c r="AE246" s="258">
        <v>1.0</v>
      </c>
      <c r="AF246" s="260"/>
    </row>
    <row r="247">
      <c r="A247" s="258">
        <v>246.0</v>
      </c>
      <c r="B247" s="259" t="s">
        <v>314</v>
      </c>
      <c r="C247" s="259" t="s">
        <v>558</v>
      </c>
      <c r="D247" s="259" t="s">
        <v>959</v>
      </c>
      <c r="E247" s="259" t="s">
        <v>960</v>
      </c>
      <c r="F247" s="259" t="s">
        <v>149</v>
      </c>
      <c r="G247" s="260"/>
      <c r="H247" s="258">
        <v>2015.0</v>
      </c>
      <c r="I247" s="259" t="s">
        <v>149</v>
      </c>
      <c r="J247" s="259" t="s">
        <v>149</v>
      </c>
      <c r="K247" s="259" t="s">
        <v>151</v>
      </c>
      <c r="L247" s="259" t="s">
        <v>149</v>
      </c>
      <c r="M247" s="259" t="s">
        <v>149</v>
      </c>
      <c r="N247" s="259" t="s">
        <v>2668</v>
      </c>
      <c r="O247" s="259" t="s">
        <v>149</v>
      </c>
      <c r="P247" s="259" t="s">
        <v>149</v>
      </c>
      <c r="Q247" s="259" t="s">
        <v>149</v>
      </c>
      <c r="R247" s="259" t="s">
        <v>149</v>
      </c>
      <c r="S247" s="259" t="s">
        <v>149</v>
      </c>
      <c r="T247" s="259" t="s">
        <v>149</v>
      </c>
      <c r="U247" s="259" t="s">
        <v>149</v>
      </c>
      <c r="V247" s="259" t="s">
        <v>1974</v>
      </c>
      <c r="W247" s="259" t="s">
        <v>6035</v>
      </c>
      <c r="Y247" s="262"/>
      <c r="Z247" s="260"/>
      <c r="AA247" s="259" t="s">
        <v>6214</v>
      </c>
      <c r="AB247" s="263" t="s">
        <v>2670</v>
      </c>
      <c r="AC247" s="259" t="s">
        <v>2671</v>
      </c>
      <c r="AD247" s="259" t="s">
        <v>2672</v>
      </c>
      <c r="AE247" s="258">
        <v>1.0</v>
      </c>
      <c r="AF247" s="260"/>
    </row>
    <row r="248">
      <c r="A248" s="258">
        <v>247.0</v>
      </c>
      <c r="B248" s="259" t="s">
        <v>314</v>
      </c>
      <c r="C248" s="259" t="s">
        <v>558</v>
      </c>
      <c r="D248" s="259" t="s">
        <v>959</v>
      </c>
      <c r="E248" s="259" t="s">
        <v>960</v>
      </c>
      <c r="F248" s="259" t="s">
        <v>934</v>
      </c>
      <c r="H248" s="258">
        <v>2001.0</v>
      </c>
      <c r="I248" s="258">
        <v>2001.0</v>
      </c>
      <c r="J248" s="258">
        <v>2005.0</v>
      </c>
      <c r="K248" s="259" t="s">
        <v>6062</v>
      </c>
      <c r="L248" s="259" t="s">
        <v>8105</v>
      </c>
      <c r="M248" s="259" t="s">
        <v>179</v>
      </c>
      <c r="N248" s="259" t="s">
        <v>939</v>
      </c>
      <c r="O248" s="259" t="s">
        <v>940</v>
      </c>
      <c r="P248" s="259" t="s">
        <v>205</v>
      </c>
      <c r="Q248" s="259" t="s">
        <v>8096</v>
      </c>
      <c r="R248" s="259" t="s">
        <v>204</v>
      </c>
      <c r="S248" s="259" t="s">
        <v>149</v>
      </c>
      <c r="T248" s="259" t="s">
        <v>149</v>
      </c>
      <c r="U248" s="259" t="s">
        <v>149</v>
      </c>
      <c r="V248" s="259" t="s">
        <v>8100</v>
      </c>
      <c r="W248" s="259" t="s">
        <v>6068</v>
      </c>
      <c r="X248" s="260"/>
      <c r="Y248" s="260"/>
      <c r="Z248" s="260"/>
      <c r="AA248" s="259" t="s">
        <v>6214</v>
      </c>
      <c r="AB248" s="263" t="s">
        <v>942</v>
      </c>
      <c r="AC248" s="259" t="s">
        <v>943</v>
      </c>
      <c r="AE248" s="258">
        <v>1.0</v>
      </c>
      <c r="AF248" s="260"/>
    </row>
    <row r="249">
      <c r="A249" s="258">
        <v>248.0</v>
      </c>
      <c r="B249" s="259" t="s">
        <v>314</v>
      </c>
      <c r="C249" s="259" t="s">
        <v>626</v>
      </c>
      <c r="D249" s="259" t="s">
        <v>5447</v>
      </c>
      <c r="E249" s="259" t="s">
        <v>7059</v>
      </c>
      <c r="F249" s="259" t="s">
        <v>384</v>
      </c>
      <c r="G249" s="259" t="s">
        <v>629</v>
      </c>
      <c r="H249" s="258">
        <v>1985.0</v>
      </c>
      <c r="I249" s="258">
        <v>1985.0</v>
      </c>
      <c r="J249" s="258">
        <v>1987.0</v>
      </c>
      <c r="K249" s="259" t="s">
        <v>151</v>
      </c>
      <c r="L249" s="259" t="s">
        <v>6054</v>
      </c>
      <c r="M249" s="259" t="s">
        <v>6054</v>
      </c>
      <c r="N249" s="259" t="s">
        <v>149</v>
      </c>
      <c r="O249" s="259" t="s">
        <v>390</v>
      </c>
      <c r="P249" s="259" t="s">
        <v>160</v>
      </c>
      <c r="Q249" s="259" t="s">
        <v>6035</v>
      </c>
      <c r="R249" s="259" t="s">
        <v>159</v>
      </c>
      <c r="S249" s="259" t="s">
        <v>149</v>
      </c>
      <c r="T249" s="259" t="s">
        <v>149</v>
      </c>
      <c r="U249" s="259" t="s">
        <v>391</v>
      </c>
      <c r="V249" s="259" t="s">
        <v>390</v>
      </c>
      <c r="W249" s="259" t="s">
        <v>6035</v>
      </c>
      <c r="X249" s="259" t="s">
        <v>6055</v>
      </c>
      <c r="AA249" s="259" t="s">
        <v>395</v>
      </c>
      <c r="AB249" s="263" t="s">
        <v>2873</v>
      </c>
      <c r="AC249" s="259" t="s">
        <v>398</v>
      </c>
      <c r="AE249" s="258">
        <v>1.0</v>
      </c>
      <c r="AF249" s="260"/>
    </row>
    <row r="250">
      <c r="A250" s="258">
        <v>249.0</v>
      </c>
      <c r="B250" s="259" t="s">
        <v>314</v>
      </c>
      <c r="C250" s="259" t="s">
        <v>626</v>
      </c>
      <c r="D250" s="259" t="s">
        <v>983</v>
      </c>
      <c r="E250" s="259" t="s">
        <v>7063</v>
      </c>
      <c r="F250" s="259" t="s">
        <v>934</v>
      </c>
      <c r="H250" s="258">
        <v>2001.0</v>
      </c>
      <c r="I250" s="258">
        <v>2001.0</v>
      </c>
      <c r="J250" s="258">
        <v>2005.0</v>
      </c>
      <c r="K250" s="259" t="s">
        <v>6062</v>
      </c>
      <c r="L250" s="259" t="s">
        <v>8105</v>
      </c>
      <c r="M250" s="259" t="s">
        <v>179</v>
      </c>
      <c r="N250" s="259" t="s">
        <v>939</v>
      </c>
      <c r="O250" s="259" t="s">
        <v>940</v>
      </c>
      <c r="P250" s="259" t="s">
        <v>205</v>
      </c>
      <c r="Q250" s="259" t="s">
        <v>8096</v>
      </c>
      <c r="R250" s="259" t="s">
        <v>204</v>
      </c>
      <c r="S250" s="259" t="s">
        <v>149</v>
      </c>
      <c r="T250" s="259" t="s">
        <v>149</v>
      </c>
      <c r="U250" s="259" t="s">
        <v>149</v>
      </c>
      <c r="V250" s="259" t="s">
        <v>8100</v>
      </c>
      <c r="W250" s="259" t="s">
        <v>6068</v>
      </c>
      <c r="X250" s="260"/>
      <c r="Y250" s="260"/>
      <c r="Z250" s="260"/>
      <c r="AA250" s="259" t="s">
        <v>6214</v>
      </c>
      <c r="AB250" s="263" t="s">
        <v>942</v>
      </c>
      <c r="AC250" s="259" t="s">
        <v>943</v>
      </c>
      <c r="AE250" s="258">
        <v>1.0</v>
      </c>
      <c r="AF250" s="260"/>
    </row>
    <row r="251">
      <c r="A251" s="258">
        <v>250.0</v>
      </c>
      <c r="B251" s="259" t="s">
        <v>314</v>
      </c>
      <c r="C251" s="259" t="s">
        <v>626</v>
      </c>
      <c r="D251" s="259" t="s">
        <v>5445</v>
      </c>
      <c r="E251" s="259" t="s">
        <v>5446</v>
      </c>
      <c r="F251" s="259" t="s">
        <v>1659</v>
      </c>
      <c r="G251" s="259" t="s">
        <v>1663</v>
      </c>
      <c r="H251" s="258">
        <v>1991.0</v>
      </c>
      <c r="I251" s="258">
        <v>1990.0</v>
      </c>
      <c r="J251" s="258">
        <v>1992.0</v>
      </c>
      <c r="K251" s="259" t="s">
        <v>151</v>
      </c>
      <c r="L251" s="259" t="s">
        <v>7067</v>
      </c>
      <c r="M251" s="259" t="s">
        <v>7067</v>
      </c>
      <c r="N251" s="259" t="s">
        <v>1380</v>
      </c>
      <c r="O251" s="259" t="s">
        <v>321</v>
      </c>
      <c r="P251" s="259" t="s">
        <v>160</v>
      </c>
      <c r="Q251" s="259" t="s">
        <v>6035</v>
      </c>
      <c r="R251" s="259" t="s">
        <v>159</v>
      </c>
      <c r="S251" s="259" t="s">
        <v>149</v>
      </c>
      <c r="T251" s="259" t="s">
        <v>149</v>
      </c>
      <c r="U251" s="259" t="s">
        <v>149</v>
      </c>
      <c r="V251" s="259" t="s">
        <v>1663</v>
      </c>
      <c r="W251" s="259" t="s">
        <v>6035</v>
      </c>
      <c r="Y251" s="260"/>
      <c r="Z251" s="260"/>
      <c r="AA251" s="259" t="s">
        <v>395</v>
      </c>
      <c r="AB251" s="263" t="s">
        <v>2873</v>
      </c>
      <c r="AC251" s="259" t="s">
        <v>398</v>
      </c>
      <c r="AE251" s="258">
        <v>1.0</v>
      </c>
      <c r="AF251" s="260"/>
    </row>
    <row r="252">
      <c r="A252" s="258">
        <v>251.0</v>
      </c>
      <c r="B252" s="259" t="s">
        <v>314</v>
      </c>
      <c r="C252" s="259" t="s">
        <v>626</v>
      </c>
      <c r="D252" s="259" t="s">
        <v>4871</v>
      </c>
      <c r="E252" s="259" t="s">
        <v>7070</v>
      </c>
      <c r="F252" s="259" t="s">
        <v>149</v>
      </c>
      <c r="G252" s="259" t="s">
        <v>7071</v>
      </c>
      <c r="H252" s="259" t="s">
        <v>149</v>
      </c>
      <c r="I252" s="259" t="s">
        <v>149</v>
      </c>
      <c r="J252" s="259" t="s">
        <v>149</v>
      </c>
      <c r="K252" s="259" t="s">
        <v>151</v>
      </c>
      <c r="L252" s="259" t="s">
        <v>149</v>
      </c>
      <c r="M252" s="259" t="s">
        <v>149</v>
      </c>
      <c r="N252" s="259" t="s">
        <v>149</v>
      </c>
      <c r="O252" s="259" t="s">
        <v>149</v>
      </c>
      <c r="P252" s="259" t="s">
        <v>149</v>
      </c>
      <c r="Q252" s="259" t="s">
        <v>149</v>
      </c>
      <c r="R252" s="259" t="s">
        <v>149</v>
      </c>
      <c r="S252" s="259" t="s">
        <v>149</v>
      </c>
      <c r="T252" s="259" t="s">
        <v>149</v>
      </c>
      <c r="U252" s="259" t="s">
        <v>149</v>
      </c>
      <c r="V252" s="259" t="s">
        <v>149</v>
      </c>
      <c r="W252" s="259" t="s">
        <v>149</v>
      </c>
      <c r="X252" s="260"/>
      <c r="Y252" s="260"/>
      <c r="Z252" s="260"/>
      <c r="AA252" s="259" t="s">
        <v>6084</v>
      </c>
      <c r="AB252" s="259" t="s">
        <v>1594</v>
      </c>
      <c r="AC252" s="260"/>
      <c r="AD252" s="260"/>
      <c r="AE252" s="258">
        <v>1.0</v>
      </c>
      <c r="AF252" s="260"/>
    </row>
    <row r="253">
      <c r="A253" s="258">
        <v>252.0</v>
      </c>
      <c r="B253" s="259" t="s">
        <v>193</v>
      </c>
      <c r="C253" s="259" t="s">
        <v>563</v>
      </c>
      <c r="D253" s="259" t="s">
        <v>230</v>
      </c>
      <c r="E253" s="259" t="s">
        <v>1713</v>
      </c>
      <c r="F253" s="259" t="s">
        <v>1683</v>
      </c>
      <c r="H253" s="258">
        <v>2015.0</v>
      </c>
      <c r="I253" s="258">
        <v>2014.0</v>
      </c>
      <c r="J253" s="258">
        <v>2016.0</v>
      </c>
      <c r="K253" s="259" t="s">
        <v>6062</v>
      </c>
      <c r="L253" s="259" t="s">
        <v>320</v>
      </c>
      <c r="M253" s="259" t="s">
        <v>179</v>
      </c>
      <c r="N253" s="259" t="s">
        <v>149</v>
      </c>
      <c r="O253" s="259" t="s">
        <v>321</v>
      </c>
      <c r="P253" s="259" t="s">
        <v>160</v>
      </c>
      <c r="Q253" s="259" t="s">
        <v>6035</v>
      </c>
      <c r="R253" s="259" t="s">
        <v>159</v>
      </c>
      <c r="S253" s="259" t="s">
        <v>149</v>
      </c>
      <c r="T253" s="259" t="s">
        <v>149</v>
      </c>
      <c r="U253" s="259" t="s">
        <v>1692</v>
      </c>
      <c r="V253" s="259" t="s">
        <v>1714</v>
      </c>
      <c r="W253" s="259" t="s">
        <v>6068</v>
      </c>
      <c r="X253" s="260"/>
      <c r="Y253" s="262"/>
      <c r="Z253" s="260"/>
      <c r="AA253" s="259" t="s">
        <v>6069</v>
      </c>
      <c r="AC253" s="259" t="s">
        <v>1716</v>
      </c>
      <c r="AD253" s="259" t="s">
        <v>1717</v>
      </c>
      <c r="AE253" s="258">
        <v>1.0</v>
      </c>
      <c r="AF253" s="260"/>
    </row>
    <row r="254">
      <c r="A254" s="258">
        <v>253.0</v>
      </c>
      <c r="B254" s="259" t="s">
        <v>193</v>
      </c>
      <c r="C254" s="259" t="s">
        <v>563</v>
      </c>
      <c r="D254" s="259" t="s">
        <v>230</v>
      </c>
      <c r="E254" s="259" t="s">
        <v>1713</v>
      </c>
      <c r="F254" s="259" t="s">
        <v>149</v>
      </c>
      <c r="G254" s="259" t="s">
        <v>7076</v>
      </c>
      <c r="H254" s="258">
        <v>2015.0</v>
      </c>
      <c r="I254" s="258">
        <v>2015.0</v>
      </c>
      <c r="J254" s="258">
        <v>2016.0</v>
      </c>
      <c r="K254" s="259" t="s">
        <v>6062</v>
      </c>
      <c r="L254" s="259" t="s">
        <v>3245</v>
      </c>
      <c r="M254" s="259" t="s">
        <v>179</v>
      </c>
      <c r="N254" s="259" t="s">
        <v>7077</v>
      </c>
      <c r="O254" s="259" t="s">
        <v>321</v>
      </c>
      <c r="P254" s="259" t="s">
        <v>160</v>
      </c>
      <c r="Q254" s="259" t="s">
        <v>6035</v>
      </c>
      <c r="R254" s="259" t="s">
        <v>204</v>
      </c>
      <c r="S254" s="259" t="s">
        <v>149</v>
      </c>
      <c r="T254" s="259" t="s">
        <v>149</v>
      </c>
      <c r="U254" s="259" t="s">
        <v>7078</v>
      </c>
      <c r="V254" s="259" t="s">
        <v>1714</v>
      </c>
      <c r="W254" s="259" t="s">
        <v>6068</v>
      </c>
      <c r="X254" s="260"/>
      <c r="Y254" s="262"/>
      <c r="Z254" s="260"/>
      <c r="AA254" s="259" t="s">
        <v>6214</v>
      </c>
      <c r="AB254" s="263" t="s">
        <v>7079</v>
      </c>
      <c r="AC254" s="259" t="s">
        <v>1716</v>
      </c>
      <c r="AD254" s="259" t="s">
        <v>1717</v>
      </c>
      <c r="AE254" s="258">
        <v>1.0</v>
      </c>
      <c r="AF254" s="260"/>
    </row>
    <row r="255">
      <c r="A255" s="258">
        <v>254.0</v>
      </c>
      <c r="B255" s="259" t="s">
        <v>193</v>
      </c>
      <c r="C255" s="259" t="s">
        <v>563</v>
      </c>
      <c r="D255" s="259" t="s">
        <v>962</v>
      </c>
      <c r="E255" s="259" t="s">
        <v>963</v>
      </c>
      <c r="F255" s="259" t="s">
        <v>934</v>
      </c>
      <c r="H255" s="258">
        <v>2001.0</v>
      </c>
      <c r="I255" s="258">
        <v>2001.0</v>
      </c>
      <c r="J255" s="258">
        <v>2005.0</v>
      </c>
      <c r="K255" s="259" t="s">
        <v>6062</v>
      </c>
      <c r="L255" s="259" t="s">
        <v>8105</v>
      </c>
      <c r="M255" s="259" t="s">
        <v>179</v>
      </c>
      <c r="N255" s="259" t="s">
        <v>939</v>
      </c>
      <c r="O255" s="259" t="s">
        <v>940</v>
      </c>
      <c r="P255" s="259" t="s">
        <v>205</v>
      </c>
      <c r="Q255" s="259" t="s">
        <v>8096</v>
      </c>
      <c r="R255" s="259" t="s">
        <v>204</v>
      </c>
      <c r="S255" s="259" t="s">
        <v>149</v>
      </c>
      <c r="T255" s="259" t="s">
        <v>149</v>
      </c>
      <c r="U255" s="259" t="s">
        <v>149</v>
      </c>
      <c r="V255" s="259" t="s">
        <v>8100</v>
      </c>
      <c r="W255" s="259" t="s">
        <v>6068</v>
      </c>
      <c r="X255" s="260"/>
      <c r="Y255" s="260"/>
      <c r="Z255" s="260"/>
      <c r="AA255" s="259" t="s">
        <v>6214</v>
      </c>
      <c r="AB255" s="263" t="s">
        <v>942</v>
      </c>
      <c r="AC255" s="259" t="s">
        <v>943</v>
      </c>
      <c r="AE255" s="258">
        <v>1.0</v>
      </c>
      <c r="AF255" s="260"/>
    </row>
    <row r="256">
      <c r="A256" s="258">
        <v>255.0</v>
      </c>
      <c r="B256" s="259" t="s">
        <v>193</v>
      </c>
      <c r="C256" s="259" t="s">
        <v>563</v>
      </c>
      <c r="D256" s="259" t="s">
        <v>564</v>
      </c>
      <c r="E256" s="259" t="s">
        <v>565</v>
      </c>
      <c r="F256" s="259" t="s">
        <v>384</v>
      </c>
      <c r="G256" s="259" t="s">
        <v>566</v>
      </c>
      <c r="H256" s="258">
        <v>1986.0</v>
      </c>
      <c r="I256" s="258">
        <v>1985.0</v>
      </c>
      <c r="J256" s="258">
        <v>1987.0</v>
      </c>
      <c r="K256" s="259" t="s">
        <v>151</v>
      </c>
      <c r="L256" s="259" t="s">
        <v>6054</v>
      </c>
      <c r="M256" s="259" t="s">
        <v>6054</v>
      </c>
      <c r="N256" s="259" t="s">
        <v>149</v>
      </c>
      <c r="O256" s="259" t="s">
        <v>390</v>
      </c>
      <c r="P256" s="259" t="s">
        <v>160</v>
      </c>
      <c r="Q256" s="259" t="s">
        <v>6035</v>
      </c>
      <c r="R256" s="259" t="s">
        <v>159</v>
      </c>
      <c r="S256" s="259" t="s">
        <v>149</v>
      </c>
      <c r="T256" s="259" t="s">
        <v>149</v>
      </c>
      <c r="U256" s="259" t="s">
        <v>475</v>
      </c>
      <c r="V256" s="259" t="s">
        <v>390</v>
      </c>
      <c r="W256" s="259" t="s">
        <v>6035</v>
      </c>
      <c r="X256" s="259" t="s">
        <v>6055</v>
      </c>
      <c r="AA256" s="259" t="s">
        <v>395</v>
      </c>
      <c r="AB256" s="263" t="s">
        <v>2873</v>
      </c>
      <c r="AC256" s="259" t="s">
        <v>398</v>
      </c>
      <c r="AE256" s="258">
        <v>1.0</v>
      </c>
      <c r="AF256" s="260"/>
    </row>
    <row r="257">
      <c r="A257" s="258">
        <v>256.0</v>
      </c>
      <c r="B257" s="259" t="s">
        <v>193</v>
      </c>
      <c r="C257" s="259" t="s">
        <v>563</v>
      </c>
      <c r="D257" s="259" t="s">
        <v>1108</v>
      </c>
      <c r="E257" s="259" t="s">
        <v>1109</v>
      </c>
      <c r="F257" s="259" t="s">
        <v>1174</v>
      </c>
      <c r="H257" s="258">
        <v>2013.0</v>
      </c>
      <c r="I257" s="258">
        <v>2012.0</v>
      </c>
      <c r="J257" s="258">
        <v>2013.0</v>
      </c>
      <c r="K257" s="259" t="s">
        <v>6062</v>
      </c>
      <c r="L257" s="259" t="s">
        <v>320</v>
      </c>
      <c r="M257" s="259" t="s">
        <v>179</v>
      </c>
      <c r="N257" s="259" t="s">
        <v>149</v>
      </c>
      <c r="O257" s="259" t="s">
        <v>321</v>
      </c>
      <c r="P257" s="259" t="s">
        <v>160</v>
      </c>
      <c r="Q257" s="259" t="s">
        <v>6035</v>
      </c>
      <c r="R257" s="259" t="s">
        <v>159</v>
      </c>
      <c r="S257" s="259" t="s">
        <v>149</v>
      </c>
      <c r="T257" s="259" t="s">
        <v>149</v>
      </c>
      <c r="U257" s="259" t="s">
        <v>1303</v>
      </c>
      <c r="V257" s="259" t="s">
        <v>885</v>
      </c>
      <c r="W257" s="259" t="s">
        <v>6068</v>
      </c>
      <c r="X257" s="260"/>
      <c r="Y257" s="262"/>
      <c r="Z257" s="260"/>
      <c r="AA257" s="259" t="s">
        <v>6069</v>
      </c>
      <c r="AC257" s="259" t="s">
        <v>1280</v>
      </c>
      <c r="AD257" s="259" t="s">
        <v>1281</v>
      </c>
      <c r="AE257" s="258">
        <v>1.0</v>
      </c>
      <c r="AF257" s="260"/>
    </row>
    <row r="258">
      <c r="A258" s="258">
        <v>257.0</v>
      </c>
      <c r="B258" s="259" t="s">
        <v>193</v>
      </c>
      <c r="C258" s="259" t="s">
        <v>563</v>
      </c>
      <c r="D258" s="259" t="s">
        <v>7090</v>
      </c>
      <c r="E258" s="259" t="s">
        <v>2102</v>
      </c>
      <c r="F258" s="259" t="s">
        <v>2103</v>
      </c>
      <c r="G258" s="259" t="s">
        <v>8148</v>
      </c>
      <c r="H258" s="258">
        <v>1995.0</v>
      </c>
      <c r="I258" s="259" t="s">
        <v>149</v>
      </c>
      <c r="J258" s="259" t="s">
        <v>149</v>
      </c>
      <c r="K258" s="259" t="s">
        <v>151</v>
      </c>
      <c r="L258" s="259" t="s">
        <v>149</v>
      </c>
      <c r="M258" s="259" t="s">
        <v>149</v>
      </c>
      <c r="N258" s="259" t="s">
        <v>149</v>
      </c>
      <c r="O258" s="259" t="s">
        <v>149</v>
      </c>
      <c r="P258" s="259" t="s">
        <v>149</v>
      </c>
      <c r="Q258" s="259" t="s">
        <v>149</v>
      </c>
      <c r="R258" s="259" t="s">
        <v>149</v>
      </c>
      <c r="S258" s="259" t="s">
        <v>149</v>
      </c>
      <c r="T258" s="259" t="s">
        <v>149</v>
      </c>
      <c r="U258" s="259" t="s">
        <v>149</v>
      </c>
      <c r="V258" s="259" t="s">
        <v>369</v>
      </c>
      <c r="W258" s="259" t="s">
        <v>6035</v>
      </c>
      <c r="Y258" s="260"/>
      <c r="Z258" s="260"/>
      <c r="AA258" s="259" t="s">
        <v>6027</v>
      </c>
      <c r="AB258" s="263" t="s">
        <v>2105</v>
      </c>
      <c r="AE258" s="258">
        <v>1.0</v>
      </c>
      <c r="AF258" s="260"/>
    </row>
    <row r="259">
      <c r="A259" s="258">
        <v>258.0</v>
      </c>
      <c r="B259" s="259" t="s">
        <v>193</v>
      </c>
      <c r="C259" s="259" t="s">
        <v>563</v>
      </c>
      <c r="D259" s="259" t="s">
        <v>8149</v>
      </c>
      <c r="E259" s="259" t="s">
        <v>2876</v>
      </c>
      <c r="F259" s="259" t="s">
        <v>384</v>
      </c>
      <c r="G259" s="259" t="s">
        <v>2877</v>
      </c>
      <c r="H259" s="258">
        <v>1979.0</v>
      </c>
      <c r="I259" s="258">
        <v>1985.0</v>
      </c>
      <c r="J259" s="258">
        <v>1987.0</v>
      </c>
      <c r="K259" s="259" t="s">
        <v>151</v>
      </c>
      <c r="L259" s="259" t="s">
        <v>469</v>
      </c>
      <c r="M259" s="259" t="s">
        <v>469</v>
      </c>
      <c r="N259" s="259" t="s">
        <v>149</v>
      </c>
      <c r="O259" s="259" t="s">
        <v>390</v>
      </c>
      <c r="P259" s="259" t="s">
        <v>160</v>
      </c>
      <c r="Q259" s="259" t="s">
        <v>6035</v>
      </c>
      <c r="R259" s="259" t="s">
        <v>159</v>
      </c>
      <c r="S259" s="259" t="s">
        <v>149</v>
      </c>
      <c r="T259" s="259" t="s">
        <v>149</v>
      </c>
      <c r="U259" s="259" t="s">
        <v>2878</v>
      </c>
      <c r="V259" s="259" t="s">
        <v>390</v>
      </c>
      <c r="W259" s="259" t="s">
        <v>6035</v>
      </c>
      <c r="X259" s="259" t="s">
        <v>6055</v>
      </c>
      <c r="AA259" s="259" t="s">
        <v>395</v>
      </c>
      <c r="AB259" s="263" t="s">
        <v>2873</v>
      </c>
      <c r="AC259" s="259" t="s">
        <v>398</v>
      </c>
      <c r="AE259" s="258">
        <v>1.0</v>
      </c>
      <c r="AF259" s="259" t="s">
        <v>6109</v>
      </c>
    </row>
    <row r="260">
      <c r="A260" s="258">
        <v>259.0</v>
      </c>
      <c r="B260" s="259" t="s">
        <v>193</v>
      </c>
      <c r="C260" s="259" t="s">
        <v>194</v>
      </c>
      <c r="D260" s="259" t="s">
        <v>965</v>
      </c>
      <c r="E260" s="259" t="s">
        <v>966</v>
      </c>
      <c r="F260" s="259" t="s">
        <v>934</v>
      </c>
      <c r="H260" s="258">
        <v>2001.0</v>
      </c>
      <c r="I260" s="258">
        <v>2001.0</v>
      </c>
      <c r="J260" s="258">
        <v>2005.0</v>
      </c>
      <c r="K260" s="259" t="s">
        <v>6062</v>
      </c>
      <c r="L260" s="259" t="s">
        <v>8105</v>
      </c>
      <c r="M260" s="259" t="s">
        <v>179</v>
      </c>
      <c r="N260" s="259" t="s">
        <v>939</v>
      </c>
      <c r="O260" s="259" t="s">
        <v>940</v>
      </c>
      <c r="P260" s="259" t="s">
        <v>205</v>
      </c>
      <c r="Q260" s="259" t="s">
        <v>8096</v>
      </c>
      <c r="R260" s="259" t="s">
        <v>204</v>
      </c>
      <c r="S260" s="259" t="s">
        <v>149</v>
      </c>
      <c r="T260" s="259" t="s">
        <v>149</v>
      </c>
      <c r="U260" s="259" t="s">
        <v>149</v>
      </c>
      <c r="V260" s="259" t="s">
        <v>8100</v>
      </c>
      <c r="W260" s="259" t="s">
        <v>6068</v>
      </c>
      <c r="X260" s="260"/>
      <c r="Y260" s="260"/>
      <c r="Z260" s="260"/>
      <c r="AA260" s="259" t="s">
        <v>6214</v>
      </c>
      <c r="AB260" s="263" t="s">
        <v>942</v>
      </c>
      <c r="AC260" s="259" t="s">
        <v>943</v>
      </c>
      <c r="AE260" s="258">
        <v>1.0</v>
      </c>
      <c r="AF260" s="260"/>
    </row>
    <row r="261">
      <c r="A261" s="258">
        <v>260.0</v>
      </c>
      <c r="B261" s="259" t="s">
        <v>193</v>
      </c>
      <c r="C261" s="259" t="s">
        <v>194</v>
      </c>
      <c r="D261" s="259" t="s">
        <v>969</v>
      </c>
      <c r="E261" s="259" t="s">
        <v>970</v>
      </c>
      <c r="F261" s="259" t="s">
        <v>934</v>
      </c>
      <c r="H261" s="258">
        <v>2001.0</v>
      </c>
      <c r="I261" s="258">
        <v>2001.0</v>
      </c>
      <c r="J261" s="258">
        <v>2005.0</v>
      </c>
      <c r="K261" s="259" t="s">
        <v>6062</v>
      </c>
      <c r="L261" s="259" t="s">
        <v>8105</v>
      </c>
      <c r="M261" s="259" t="s">
        <v>179</v>
      </c>
      <c r="N261" s="259" t="s">
        <v>939</v>
      </c>
      <c r="O261" s="259" t="s">
        <v>940</v>
      </c>
      <c r="P261" s="259" t="s">
        <v>205</v>
      </c>
      <c r="Q261" s="259" t="s">
        <v>8096</v>
      </c>
      <c r="R261" s="259" t="s">
        <v>204</v>
      </c>
      <c r="S261" s="259" t="s">
        <v>149</v>
      </c>
      <c r="T261" s="259" t="s">
        <v>149</v>
      </c>
      <c r="U261" s="259" t="s">
        <v>149</v>
      </c>
      <c r="V261" s="259" t="s">
        <v>8100</v>
      </c>
      <c r="W261" s="259" t="s">
        <v>6068</v>
      </c>
      <c r="X261" s="260"/>
      <c r="Y261" s="260"/>
      <c r="Z261" s="260"/>
      <c r="AA261" s="259" t="s">
        <v>395</v>
      </c>
      <c r="AB261" s="263" t="s">
        <v>942</v>
      </c>
      <c r="AC261" s="259" t="s">
        <v>943</v>
      </c>
      <c r="AE261" s="258">
        <v>1.0</v>
      </c>
      <c r="AF261" s="260"/>
    </row>
    <row r="262">
      <c r="A262" s="258">
        <v>261.0</v>
      </c>
      <c r="B262" s="259" t="s">
        <v>193</v>
      </c>
      <c r="C262" s="259" t="s">
        <v>194</v>
      </c>
      <c r="D262" s="259" t="s">
        <v>195</v>
      </c>
      <c r="E262" s="259" t="s">
        <v>196</v>
      </c>
      <c r="F262" s="259" t="s">
        <v>149</v>
      </c>
      <c r="G262" s="260"/>
      <c r="H262" s="258">
        <v>2022.0</v>
      </c>
      <c r="I262" s="259" t="s">
        <v>149</v>
      </c>
      <c r="J262" s="259" t="s">
        <v>149</v>
      </c>
      <c r="K262" s="259" t="s">
        <v>6062</v>
      </c>
      <c r="L262" s="259" t="s">
        <v>6666</v>
      </c>
      <c r="M262" s="259" t="s">
        <v>179</v>
      </c>
      <c r="N262" s="259" t="s">
        <v>149</v>
      </c>
      <c r="O262" s="259" t="s">
        <v>3147</v>
      </c>
      <c r="P262" s="259" t="s">
        <v>160</v>
      </c>
      <c r="Q262" s="259" t="s">
        <v>306</v>
      </c>
      <c r="R262" s="259" t="s">
        <v>159</v>
      </c>
      <c r="S262" s="259" t="s">
        <v>149</v>
      </c>
      <c r="T262" s="259" t="s">
        <v>149</v>
      </c>
      <c r="U262" s="259" t="s">
        <v>149</v>
      </c>
      <c r="V262" s="259" t="s">
        <v>149</v>
      </c>
      <c r="W262" s="259" t="s">
        <v>149</v>
      </c>
      <c r="X262" s="260"/>
      <c r="Y262" s="260"/>
      <c r="Z262" s="260"/>
      <c r="AA262" s="259" t="s">
        <v>214</v>
      </c>
      <c r="AC262" s="259" t="s">
        <v>3148</v>
      </c>
      <c r="AE262" s="258">
        <v>1.0</v>
      </c>
      <c r="AF262" s="260"/>
    </row>
    <row r="263">
      <c r="A263" s="258">
        <v>262.0</v>
      </c>
      <c r="B263" s="259" t="s">
        <v>193</v>
      </c>
      <c r="C263" s="259" t="s">
        <v>194</v>
      </c>
      <c r="D263" s="259" t="s">
        <v>195</v>
      </c>
      <c r="E263" s="259" t="s">
        <v>196</v>
      </c>
      <c r="F263" s="259" t="s">
        <v>3412</v>
      </c>
      <c r="H263" s="258">
        <v>2014.0</v>
      </c>
      <c r="I263" s="258">
        <v>2014.0</v>
      </c>
      <c r="J263" s="258">
        <v>2016.0</v>
      </c>
      <c r="K263" s="259" t="s">
        <v>6221</v>
      </c>
      <c r="L263" s="259" t="s">
        <v>149</v>
      </c>
      <c r="M263" s="259" t="s">
        <v>149</v>
      </c>
      <c r="N263" s="259" t="s">
        <v>149</v>
      </c>
      <c r="O263" s="259" t="s">
        <v>321</v>
      </c>
      <c r="P263" s="259" t="s">
        <v>160</v>
      </c>
      <c r="Q263" s="259" t="s">
        <v>6035</v>
      </c>
      <c r="R263" s="259" t="s">
        <v>204</v>
      </c>
      <c r="S263" s="259" t="s">
        <v>149</v>
      </c>
      <c r="T263" s="259" t="s">
        <v>149</v>
      </c>
      <c r="U263" s="259" t="s">
        <v>149</v>
      </c>
      <c r="V263" s="259" t="s">
        <v>885</v>
      </c>
      <c r="W263" s="259" t="s">
        <v>6068</v>
      </c>
      <c r="X263" s="259" t="s">
        <v>1858</v>
      </c>
      <c r="AA263" s="259" t="s">
        <v>6257</v>
      </c>
      <c r="AC263" s="259" t="s">
        <v>1861</v>
      </c>
      <c r="AD263" s="259" t="s">
        <v>1862</v>
      </c>
      <c r="AE263" s="258">
        <v>1.0</v>
      </c>
      <c r="AF263" s="260"/>
    </row>
    <row r="264">
      <c r="A264" s="258">
        <v>263.0</v>
      </c>
      <c r="B264" s="259" t="s">
        <v>193</v>
      </c>
      <c r="C264" s="259" t="s">
        <v>194</v>
      </c>
      <c r="D264" s="259" t="s">
        <v>2222</v>
      </c>
      <c r="E264" s="259" t="s">
        <v>2223</v>
      </c>
      <c r="F264" s="259" t="s">
        <v>2224</v>
      </c>
      <c r="H264" s="258">
        <v>2019.0</v>
      </c>
      <c r="I264" s="258">
        <v>2019.0</v>
      </c>
      <c r="J264" s="258">
        <v>2023.0</v>
      </c>
      <c r="K264" s="259" t="s">
        <v>7110</v>
      </c>
      <c r="L264" s="259" t="s">
        <v>320</v>
      </c>
      <c r="M264" s="259" t="s">
        <v>179</v>
      </c>
      <c r="N264" s="259" t="s">
        <v>2227</v>
      </c>
      <c r="O264" s="259" t="s">
        <v>2228</v>
      </c>
      <c r="P264" s="259" t="s">
        <v>160</v>
      </c>
      <c r="Q264" s="259" t="s">
        <v>184</v>
      </c>
      <c r="R264" s="259" t="s">
        <v>159</v>
      </c>
      <c r="S264" s="259" t="s">
        <v>149</v>
      </c>
      <c r="T264" s="259" t="s">
        <v>149</v>
      </c>
      <c r="U264" s="259" t="s">
        <v>149</v>
      </c>
      <c r="V264" s="259" t="s">
        <v>2229</v>
      </c>
      <c r="W264" s="259" t="s">
        <v>306</v>
      </c>
      <c r="X264" s="259" t="s">
        <v>2230</v>
      </c>
      <c r="Y264" s="259" t="s">
        <v>7111</v>
      </c>
      <c r="Z264" s="259" t="s">
        <v>8150</v>
      </c>
      <c r="AA264" s="259" t="s">
        <v>213</v>
      </c>
      <c r="AB264" s="263" t="s">
        <v>2233</v>
      </c>
      <c r="AC264" s="259" t="s">
        <v>2234</v>
      </c>
      <c r="AD264" s="259" t="s">
        <v>2235</v>
      </c>
      <c r="AE264" s="258">
        <v>1.0</v>
      </c>
      <c r="AF264" s="260"/>
    </row>
    <row r="265">
      <c r="A265" s="258">
        <v>264.0</v>
      </c>
      <c r="B265" s="259" t="s">
        <v>193</v>
      </c>
      <c r="C265" s="259" t="s">
        <v>194</v>
      </c>
      <c r="D265" s="259" t="s">
        <v>7114</v>
      </c>
      <c r="E265" s="259" t="s">
        <v>217</v>
      </c>
      <c r="F265" s="259" t="s">
        <v>384</v>
      </c>
      <c r="G265" s="259" t="s">
        <v>2880</v>
      </c>
      <c r="H265" s="258">
        <v>1979.0</v>
      </c>
      <c r="I265" s="258">
        <v>1985.0</v>
      </c>
      <c r="J265" s="258">
        <v>1987.0</v>
      </c>
      <c r="K265" s="259" t="s">
        <v>151</v>
      </c>
      <c r="L265" s="259" t="s">
        <v>6054</v>
      </c>
      <c r="M265" s="259" t="s">
        <v>6054</v>
      </c>
      <c r="N265" s="259" t="s">
        <v>149</v>
      </c>
      <c r="O265" s="259" t="s">
        <v>390</v>
      </c>
      <c r="P265" s="259" t="s">
        <v>160</v>
      </c>
      <c r="Q265" s="259" t="s">
        <v>6035</v>
      </c>
      <c r="R265" s="259" t="s">
        <v>159</v>
      </c>
      <c r="S265" s="259" t="s">
        <v>149</v>
      </c>
      <c r="T265" s="259" t="s">
        <v>149</v>
      </c>
      <c r="U265" s="259" t="s">
        <v>391</v>
      </c>
      <c r="V265" s="259" t="s">
        <v>390</v>
      </c>
      <c r="W265" s="259" t="s">
        <v>6035</v>
      </c>
      <c r="X265" s="259" t="s">
        <v>6055</v>
      </c>
      <c r="AA265" s="259" t="s">
        <v>395</v>
      </c>
      <c r="AB265" s="263" t="s">
        <v>2873</v>
      </c>
      <c r="AC265" s="259" t="s">
        <v>398</v>
      </c>
      <c r="AE265" s="258">
        <v>1.0</v>
      </c>
      <c r="AF265" s="259" t="s">
        <v>6109</v>
      </c>
    </row>
    <row r="266">
      <c r="A266" s="258">
        <v>265.0</v>
      </c>
      <c r="B266" s="259" t="s">
        <v>193</v>
      </c>
      <c r="C266" s="259" t="s">
        <v>194</v>
      </c>
      <c r="D266" s="259" t="s">
        <v>7114</v>
      </c>
      <c r="E266" s="259" t="s">
        <v>217</v>
      </c>
      <c r="F266" s="259" t="s">
        <v>384</v>
      </c>
      <c r="G266" s="259" t="s">
        <v>2882</v>
      </c>
      <c r="H266" s="258">
        <v>1982.0</v>
      </c>
      <c r="I266" s="258">
        <v>1985.0</v>
      </c>
      <c r="J266" s="258">
        <v>1987.0</v>
      </c>
      <c r="K266" s="259" t="s">
        <v>151</v>
      </c>
      <c r="L266" s="259" t="s">
        <v>6054</v>
      </c>
      <c r="M266" s="259" t="s">
        <v>6054</v>
      </c>
      <c r="N266" s="259" t="s">
        <v>149</v>
      </c>
      <c r="O266" s="259" t="s">
        <v>390</v>
      </c>
      <c r="P266" s="259" t="s">
        <v>160</v>
      </c>
      <c r="Q266" s="259" t="s">
        <v>6035</v>
      </c>
      <c r="R266" s="259" t="s">
        <v>159</v>
      </c>
      <c r="S266" s="259" t="s">
        <v>149</v>
      </c>
      <c r="T266" s="259" t="s">
        <v>149</v>
      </c>
      <c r="U266" s="259" t="s">
        <v>414</v>
      </c>
      <c r="V266" s="259" t="s">
        <v>390</v>
      </c>
      <c r="W266" s="259" t="s">
        <v>6035</v>
      </c>
      <c r="X266" s="259" t="s">
        <v>6055</v>
      </c>
      <c r="AA266" s="259" t="s">
        <v>395</v>
      </c>
      <c r="AB266" s="263" t="s">
        <v>2873</v>
      </c>
      <c r="AC266" s="259" t="s">
        <v>398</v>
      </c>
      <c r="AE266" s="258">
        <v>1.0</v>
      </c>
      <c r="AF266" s="259" t="s">
        <v>6109</v>
      </c>
    </row>
    <row r="267">
      <c r="A267" s="258">
        <v>266.0</v>
      </c>
      <c r="B267" s="259" t="s">
        <v>193</v>
      </c>
      <c r="C267" s="259" t="s">
        <v>194</v>
      </c>
      <c r="D267" s="259" t="s">
        <v>7114</v>
      </c>
      <c r="E267" s="259" t="s">
        <v>217</v>
      </c>
      <c r="F267" s="259" t="s">
        <v>877</v>
      </c>
      <c r="H267" s="258">
        <v>1997.0</v>
      </c>
      <c r="I267" s="258">
        <v>1997.0</v>
      </c>
      <c r="J267" s="258">
        <v>2000.0</v>
      </c>
      <c r="K267" s="259" t="s">
        <v>6062</v>
      </c>
      <c r="L267" s="259" t="s">
        <v>320</v>
      </c>
      <c r="M267" s="259" t="s">
        <v>179</v>
      </c>
      <c r="N267" s="259" t="s">
        <v>881</v>
      </c>
      <c r="O267" s="259" t="s">
        <v>7120</v>
      </c>
      <c r="P267" s="259" t="s">
        <v>205</v>
      </c>
      <c r="Q267" s="261" t="s">
        <v>8096</v>
      </c>
      <c r="R267" s="259" t="s">
        <v>204</v>
      </c>
      <c r="S267" s="259" t="s">
        <v>149</v>
      </c>
      <c r="T267" s="259" t="s">
        <v>7121</v>
      </c>
      <c r="U267" s="259" t="s">
        <v>884</v>
      </c>
      <c r="V267" s="259" t="s">
        <v>885</v>
      </c>
      <c r="W267" s="259" t="s">
        <v>6068</v>
      </c>
      <c r="X267" s="259" t="s">
        <v>887</v>
      </c>
      <c r="Z267" s="259" t="s">
        <v>888</v>
      </c>
      <c r="AA267" s="259" t="s">
        <v>6214</v>
      </c>
      <c r="AB267" s="263" t="s">
        <v>942</v>
      </c>
      <c r="AC267" s="259" t="s">
        <v>1280</v>
      </c>
      <c r="AE267" s="258">
        <v>1.0</v>
      </c>
      <c r="AF267" s="260"/>
    </row>
    <row r="268">
      <c r="A268" s="258">
        <v>267.0</v>
      </c>
      <c r="B268" s="259" t="s">
        <v>193</v>
      </c>
      <c r="C268" s="259" t="s">
        <v>194</v>
      </c>
      <c r="D268" s="259" t="s">
        <v>7114</v>
      </c>
      <c r="E268" s="259" t="s">
        <v>217</v>
      </c>
      <c r="F268" s="259" t="s">
        <v>149</v>
      </c>
      <c r="G268" s="260"/>
      <c r="H268" s="259" t="s">
        <v>149</v>
      </c>
      <c r="I268" s="259" t="s">
        <v>149</v>
      </c>
      <c r="J268" s="259" t="s">
        <v>149</v>
      </c>
      <c r="K268" s="259" t="s">
        <v>6062</v>
      </c>
      <c r="L268" s="259" t="s">
        <v>7124</v>
      </c>
      <c r="M268" s="259" t="s">
        <v>179</v>
      </c>
      <c r="N268" s="259" t="s">
        <v>7125</v>
      </c>
      <c r="O268" s="259" t="s">
        <v>149</v>
      </c>
      <c r="P268" s="259" t="s">
        <v>149</v>
      </c>
      <c r="Q268" s="259" t="s">
        <v>149</v>
      </c>
      <c r="R268" s="259" t="s">
        <v>149</v>
      </c>
      <c r="S268" s="259" t="s">
        <v>149</v>
      </c>
      <c r="T268" s="259" t="s">
        <v>149</v>
      </c>
      <c r="U268" s="259" t="s">
        <v>149</v>
      </c>
      <c r="V268" s="259" t="s">
        <v>885</v>
      </c>
      <c r="W268" s="259" t="s">
        <v>6068</v>
      </c>
      <c r="X268" s="260"/>
      <c r="Y268" s="259" t="s">
        <v>7126</v>
      </c>
      <c r="AA268" s="259" t="s">
        <v>6214</v>
      </c>
      <c r="AB268" s="263" t="s">
        <v>2403</v>
      </c>
      <c r="AE268" s="258">
        <v>1.0</v>
      </c>
      <c r="AF268" s="260"/>
    </row>
    <row r="269">
      <c r="A269" s="258">
        <v>268.0</v>
      </c>
      <c r="B269" s="259" t="s">
        <v>193</v>
      </c>
      <c r="C269" s="259" t="s">
        <v>194</v>
      </c>
      <c r="D269" s="259" t="s">
        <v>7114</v>
      </c>
      <c r="E269" s="259" t="s">
        <v>217</v>
      </c>
      <c r="F269" s="259" t="s">
        <v>149</v>
      </c>
      <c r="G269" s="260"/>
      <c r="H269" s="259" t="s">
        <v>149</v>
      </c>
      <c r="I269" s="259" t="s">
        <v>149</v>
      </c>
      <c r="J269" s="259" t="s">
        <v>149</v>
      </c>
      <c r="K269" s="259" t="s">
        <v>6624</v>
      </c>
      <c r="L269" s="259" t="s">
        <v>320</v>
      </c>
      <c r="M269" s="259" t="s">
        <v>179</v>
      </c>
      <c r="N269" s="259" t="s">
        <v>7128</v>
      </c>
      <c r="O269" s="259" t="s">
        <v>149</v>
      </c>
      <c r="P269" s="259" t="s">
        <v>149</v>
      </c>
      <c r="Q269" s="259" t="s">
        <v>149</v>
      </c>
      <c r="R269" s="259" t="s">
        <v>149</v>
      </c>
      <c r="S269" s="259" t="s">
        <v>149</v>
      </c>
      <c r="T269" s="259" t="s">
        <v>149</v>
      </c>
      <c r="U269" s="259" t="s">
        <v>149</v>
      </c>
      <c r="V269" s="259" t="s">
        <v>2077</v>
      </c>
      <c r="W269" s="259" t="s">
        <v>184</v>
      </c>
      <c r="X269" s="260"/>
      <c r="Y269" s="260"/>
      <c r="Z269" s="260"/>
      <c r="AA269" s="259" t="s">
        <v>8092</v>
      </c>
      <c r="AC269" s="260"/>
      <c r="AD269" s="260"/>
      <c r="AE269" s="258">
        <v>1.0</v>
      </c>
      <c r="AF269" s="260"/>
    </row>
    <row r="270">
      <c r="A270" s="258">
        <v>269.0</v>
      </c>
      <c r="B270" s="259" t="s">
        <v>193</v>
      </c>
      <c r="C270" s="259" t="s">
        <v>194</v>
      </c>
      <c r="D270" s="259" t="s">
        <v>7114</v>
      </c>
      <c r="E270" s="259" t="s">
        <v>217</v>
      </c>
      <c r="F270" s="259" t="s">
        <v>2073</v>
      </c>
      <c r="H270" s="259" t="s">
        <v>149</v>
      </c>
      <c r="I270" s="259" t="s">
        <v>149</v>
      </c>
      <c r="J270" s="259" t="s">
        <v>149</v>
      </c>
      <c r="K270" s="259" t="s">
        <v>6062</v>
      </c>
      <c r="L270" s="259" t="s">
        <v>6666</v>
      </c>
      <c r="M270" s="259" t="s">
        <v>179</v>
      </c>
      <c r="N270" s="259" t="s">
        <v>7132</v>
      </c>
      <c r="O270" s="259" t="s">
        <v>2077</v>
      </c>
      <c r="P270" s="259" t="s">
        <v>160</v>
      </c>
      <c r="Q270" s="259" t="s">
        <v>184</v>
      </c>
      <c r="R270" s="259" t="s">
        <v>159</v>
      </c>
      <c r="S270" s="259" t="s">
        <v>149</v>
      </c>
      <c r="T270" s="259" t="s">
        <v>149</v>
      </c>
      <c r="U270" s="259" t="s">
        <v>149</v>
      </c>
      <c r="V270" s="259" t="s">
        <v>2077</v>
      </c>
      <c r="W270" s="259" t="s">
        <v>184</v>
      </c>
      <c r="X270" s="260"/>
      <c r="Y270" s="260"/>
      <c r="Z270" s="260"/>
      <c r="AA270" s="259" t="s">
        <v>6091</v>
      </c>
      <c r="AB270" s="263" t="s">
        <v>2079</v>
      </c>
      <c r="AE270" s="258">
        <v>1.0</v>
      </c>
      <c r="AF270" s="260"/>
    </row>
    <row r="271">
      <c r="A271" s="258">
        <v>270.0</v>
      </c>
      <c r="B271" s="259" t="s">
        <v>193</v>
      </c>
      <c r="C271" s="259" t="s">
        <v>194</v>
      </c>
      <c r="D271" s="259" t="s">
        <v>7114</v>
      </c>
      <c r="E271" s="259" t="s">
        <v>217</v>
      </c>
      <c r="F271" s="259" t="s">
        <v>149</v>
      </c>
      <c r="G271" s="260"/>
      <c r="H271" s="258">
        <v>2010.0</v>
      </c>
      <c r="I271" s="259" t="s">
        <v>149</v>
      </c>
      <c r="J271" s="259" t="s">
        <v>149</v>
      </c>
      <c r="K271" s="259" t="s">
        <v>6062</v>
      </c>
      <c r="L271" s="259" t="s">
        <v>320</v>
      </c>
      <c r="M271" s="259" t="s">
        <v>179</v>
      </c>
      <c r="N271" s="259" t="s">
        <v>149</v>
      </c>
      <c r="O271" s="259" t="s">
        <v>872</v>
      </c>
      <c r="P271" s="259" t="s">
        <v>160</v>
      </c>
      <c r="Q271" s="259" t="s">
        <v>306</v>
      </c>
      <c r="R271" s="259" t="s">
        <v>159</v>
      </c>
      <c r="S271" s="259" t="s">
        <v>149</v>
      </c>
      <c r="T271" s="259" t="s">
        <v>149</v>
      </c>
      <c r="U271" s="259" t="s">
        <v>149</v>
      </c>
      <c r="V271" s="259" t="s">
        <v>872</v>
      </c>
      <c r="W271" s="259" t="s">
        <v>306</v>
      </c>
      <c r="X271" s="260"/>
      <c r="Y271" s="260"/>
      <c r="Z271" s="260"/>
      <c r="AA271" s="259" t="s">
        <v>6027</v>
      </c>
      <c r="AB271" s="263" t="s">
        <v>875</v>
      </c>
      <c r="AE271" s="258">
        <v>1.0</v>
      </c>
      <c r="AF271" s="260"/>
    </row>
    <row r="272">
      <c r="A272" s="258">
        <v>271.0</v>
      </c>
      <c r="B272" s="259" t="s">
        <v>193</v>
      </c>
      <c r="C272" s="259" t="s">
        <v>194</v>
      </c>
      <c r="D272" s="259" t="s">
        <v>7114</v>
      </c>
      <c r="E272" s="259" t="s">
        <v>217</v>
      </c>
      <c r="F272" s="259" t="s">
        <v>3412</v>
      </c>
      <c r="H272" s="258">
        <v>2014.0</v>
      </c>
      <c r="I272" s="258">
        <v>2014.0</v>
      </c>
      <c r="J272" s="258">
        <v>2016.0</v>
      </c>
      <c r="K272" s="259" t="s">
        <v>6221</v>
      </c>
      <c r="L272" s="259" t="s">
        <v>149</v>
      </c>
      <c r="M272" s="259" t="s">
        <v>149</v>
      </c>
      <c r="N272" s="259" t="s">
        <v>149</v>
      </c>
      <c r="O272" s="259" t="s">
        <v>321</v>
      </c>
      <c r="P272" s="259" t="s">
        <v>160</v>
      </c>
      <c r="Q272" s="259" t="s">
        <v>6035</v>
      </c>
      <c r="R272" s="259" t="s">
        <v>159</v>
      </c>
      <c r="S272" s="259" t="s">
        <v>149</v>
      </c>
      <c r="T272" s="259" t="s">
        <v>149</v>
      </c>
      <c r="U272" s="259" t="s">
        <v>149</v>
      </c>
      <c r="V272" s="259" t="s">
        <v>885</v>
      </c>
      <c r="W272" s="259" t="s">
        <v>6068</v>
      </c>
      <c r="X272" s="259" t="s">
        <v>1858</v>
      </c>
      <c r="AA272" s="259" t="s">
        <v>6257</v>
      </c>
      <c r="AC272" s="259" t="s">
        <v>1861</v>
      </c>
      <c r="AD272" s="259" t="s">
        <v>1862</v>
      </c>
      <c r="AE272" s="258">
        <v>1.0</v>
      </c>
      <c r="AF272" s="260"/>
    </row>
    <row r="273">
      <c r="A273" s="258">
        <v>272.0</v>
      </c>
      <c r="B273" s="259" t="s">
        <v>193</v>
      </c>
      <c r="C273" s="259" t="s">
        <v>194</v>
      </c>
      <c r="D273" s="259" t="s">
        <v>7114</v>
      </c>
      <c r="E273" s="259" t="s">
        <v>217</v>
      </c>
      <c r="F273" s="259" t="s">
        <v>934</v>
      </c>
      <c r="H273" s="258">
        <v>2001.0</v>
      </c>
      <c r="I273" s="258">
        <v>2001.0</v>
      </c>
      <c r="J273" s="258">
        <v>2005.0</v>
      </c>
      <c r="K273" s="259" t="s">
        <v>6062</v>
      </c>
      <c r="L273" s="259" t="s">
        <v>8105</v>
      </c>
      <c r="M273" s="259" t="s">
        <v>179</v>
      </c>
      <c r="N273" s="259" t="s">
        <v>939</v>
      </c>
      <c r="O273" s="259" t="s">
        <v>940</v>
      </c>
      <c r="P273" s="259" t="s">
        <v>205</v>
      </c>
      <c r="Q273" s="259" t="s">
        <v>8096</v>
      </c>
      <c r="R273" s="259" t="s">
        <v>204</v>
      </c>
      <c r="S273" s="259" t="s">
        <v>149</v>
      </c>
      <c r="T273" s="259" t="s">
        <v>149</v>
      </c>
      <c r="U273" s="259" t="s">
        <v>149</v>
      </c>
      <c r="V273" s="259" t="s">
        <v>8100</v>
      </c>
      <c r="W273" s="259" t="s">
        <v>6068</v>
      </c>
      <c r="X273" s="260"/>
      <c r="Y273" s="260"/>
      <c r="Z273" s="260"/>
      <c r="AA273" s="259" t="s">
        <v>6214</v>
      </c>
      <c r="AB273" s="263" t="s">
        <v>942</v>
      </c>
      <c r="AC273" s="259" t="s">
        <v>943</v>
      </c>
      <c r="AE273" s="258">
        <v>1.0</v>
      </c>
      <c r="AF273" s="260"/>
    </row>
    <row r="274">
      <c r="A274" s="258">
        <v>273.0</v>
      </c>
      <c r="B274" s="259" t="s">
        <v>193</v>
      </c>
      <c r="C274" s="259" t="s">
        <v>194</v>
      </c>
      <c r="D274" s="259" t="s">
        <v>568</v>
      </c>
      <c r="E274" s="259" t="s">
        <v>569</v>
      </c>
      <c r="F274" s="259" t="s">
        <v>384</v>
      </c>
      <c r="G274" s="259" t="s">
        <v>570</v>
      </c>
      <c r="H274" s="258">
        <v>1986.0</v>
      </c>
      <c r="I274" s="258">
        <v>1985.0</v>
      </c>
      <c r="J274" s="258">
        <v>1987.0</v>
      </c>
      <c r="K274" s="259" t="s">
        <v>151</v>
      </c>
      <c r="L274" s="259" t="s">
        <v>6054</v>
      </c>
      <c r="M274" s="259" t="s">
        <v>6054</v>
      </c>
      <c r="N274" s="259" t="s">
        <v>149</v>
      </c>
      <c r="O274" s="259" t="s">
        <v>390</v>
      </c>
      <c r="P274" s="259" t="s">
        <v>160</v>
      </c>
      <c r="Q274" s="259" t="s">
        <v>6035</v>
      </c>
      <c r="R274" s="259" t="s">
        <v>159</v>
      </c>
      <c r="S274" s="259" t="s">
        <v>149</v>
      </c>
      <c r="T274" s="259" t="s">
        <v>149</v>
      </c>
      <c r="U274" s="259" t="s">
        <v>571</v>
      </c>
      <c r="V274" s="259" t="s">
        <v>390</v>
      </c>
      <c r="W274" s="259" t="s">
        <v>6035</v>
      </c>
      <c r="X274" s="259" t="s">
        <v>6055</v>
      </c>
      <c r="AA274" s="259" t="s">
        <v>395</v>
      </c>
      <c r="AB274" s="263" t="s">
        <v>2873</v>
      </c>
      <c r="AC274" s="259" t="s">
        <v>398</v>
      </c>
      <c r="AE274" s="258">
        <v>1.0</v>
      </c>
      <c r="AF274" s="260"/>
    </row>
    <row r="275">
      <c r="A275" s="258">
        <v>274.0</v>
      </c>
      <c r="B275" s="259" t="s">
        <v>193</v>
      </c>
      <c r="C275" s="259" t="s">
        <v>194</v>
      </c>
      <c r="D275" s="259" t="s">
        <v>5384</v>
      </c>
      <c r="E275" s="259" t="s">
        <v>2314</v>
      </c>
      <c r="F275" s="259" t="s">
        <v>149</v>
      </c>
      <c r="G275" s="260"/>
      <c r="H275" s="258">
        <v>1990.0</v>
      </c>
      <c r="I275" s="259" t="s">
        <v>149</v>
      </c>
      <c r="J275" s="259" t="s">
        <v>149</v>
      </c>
      <c r="K275" s="259" t="s">
        <v>151</v>
      </c>
      <c r="L275" s="259" t="s">
        <v>6054</v>
      </c>
      <c r="M275" s="259" t="s">
        <v>6054</v>
      </c>
      <c r="N275" s="259" t="s">
        <v>6506</v>
      </c>
      <c r="O275" s="259" t="s">
        <v>149</v>
      </c>
      <c r="P275" s="259" t="s">
        <v>149</v>
      </c>
      <c r="Q275" s="259" t="s">
        <v>149</v>
      </c>
      <c r="R275" s="259" t="s">
        <v>149</v>
      </c>
      <c r="S275" s="259" t="s">
        <v>149</v>
      </c>
      <c r="T275" s="259" t="s">
        <v>149</v>
      </c>
      <c r="U275" s="259" t="s">
        <v>149</v>
      </c>
      <c r="V275" s="259" t="s">
        <v>2304</v>
      </c>
      <c r="W275" s="259" t="s">
        <v>184</v>
      </c>
      <c r="X275" s="259" t="s">
        <v>6507</v>
      </c>
      <c r="AA275" s="259" t="s">
        <v>395</v>
      </c>
      <c r="AB275" s="263" t="s">
        <v>2873</v>
      </c>
      <c r="AC275" s="259" t="s">
        <v>398</v>
      </c>
      <c r="AE275" s="258">
        <v>1.0</v>
      </c>
      <c r="AF275" s="260"/>
    </row>
    <row r="276">
      <c r="A276" s="258">
        <v>275.0</v>
      </c>
      <c r="B276" s="259" t="s">
        <v>193</v>
      </c>
      <c r="C276" s="259" t="s">
        <v>194</v>
      </c>
      <c r="D276" s="259" t="s">
        <v>969</v>
      </c>
      <c r="E276" s="259" t="s">
        <v>970</v>
      </c>
      <c r="F276" s="259" t="s">
        <v>149</v>
      </c>
      <c r="G276" s="259" t="s">
        <v>8151</v>
      </c>
      <c r="H276" s="259" t="s">
        <v>149</v>
      </c>
      <c r="I276" s="259" t="s">
        <v>149</v>
      </c>
      <c r="J276" s="259" t="s">
        <v>149</v>
      </c>
      <c r="K276" s="259" t="s">
        <v>6062</v>
      </c>
      <c r="L276" s="259" t="s">
        <v>320</v>
      </c>
      <c r="M276" s="259" t="s">
        <v>179</v>
      </c>
      <c r="N276" s="259" t="s">
        <v>7148</v>
      </c>
      <c r="O276" s="259" t="s">
        <v>149</v>
      </c>
      <c r="P276" s="259" t="s">
        <v>149</v>
      </c>
      <c r="Q276" s="259" t="s">
        <v>149</v>
      </c>
      <c r="R276" s="259" t="s">
        <v>149</v>
      </c>
      <c r="S276" s="259" t="s">
        <v>149</v>
      </c>
      <c r="T276" s="259" t="s">
        <v>149</v>
      </c>
      <c r="U276" s="259" t="s">
        <v>149</v>
      </c>
      <c r="V276" s="259" t="s">
        <v>149</v>
      </c>
      <c r="W276" s="259" t="s">
        <v>149</v>
      </c>
      <c r="X276" s="260"/>
      <c r="Y276" s="260"/>
      <c r="Z276" s="260"/>
      <c r="AA276" s="259" t="s">
        <v>7149</v>
      </c>
      <c r="AB276" s="263" t="s">
        <v>2403</v>
      </c>
      <c r="AE276" s="258">
        <v>1.0</v>
      </c>
      <c r="AF276" s="260"/>
    </row>
    <row r="277">
      <c r="A277" s="258">
        <v>276.0</v>
      </c>
      <c r="B277" s="259" t="s">
        <v>193</v>
      </c>
      <c r="C277" s="259" t="s">
        <v>194</v>
      </c>
      <c r="D277" s="259" t="s">
        <v>573</v>
      </c>
      <c r="E277" s="259" t="s">
        <v>574</v>
      </c>
      <c r="F277" s="259" t="s">
        <v>384</v>
      </c>
      <c r="G277" s="259" t="s">
        <v>575</v>
      </c>
      <c r="H277" s="258">
        <v>1986.0</v>
      </c>
      <c r="I277" s="258">
        <v>1985.0</v>
      </c>
      <c r="J277" s="258">
        <v>1987.0</v>
      </c>
      <c r="K277" s="259" t="s">
        <v>151</v>
      </c>
      <c r="L277" s="259" t="s">
        <v>149</v>
      </c>
      <c r="M277" s="259" t="s">
        <v>149</v>
      </c>
      <c r="N277" s="259" t="s">
        <v>149</v>
      </c>
      <c r="O277" s="259" t="s">
        <v>390</v>
      </c>
      <c r="P277" s="259" t="s">
        <v>160</v>
      </c>
      <c r="Q277" s="259" t="s">
        <v>6035</v>
      </c>
      <c r="R277" s="259" t="s">
        <v>159</v>
      </c>
      <c r="S277" s="259" t="s">
        <v>149</v>
      </c>
      <c r="T277" s="259" t="s">
        <v>149</v>
      </c>
      <c r="U277" s="259" t="s">
        <v>571</v>
      </c>
      <c r="V277" s="259" t="s">
        <v>390</v>
      </c>
      <c r="W277" s="259" t="s">
        <v>6035</v>
      </c>
      <c r="X277" s="259" t="s">
        <v>6055</v>
      </c>
      <c r="AA277" s="259" t="s">
        <v>395</v>
      </c>
      <c r="AB277" s="263" t="s">
        <v>2873</v>
      </c>
      <c r="AC277" s="259" t="s">
        <v>398</v>
      </c>
      <c r="AE277" s="258">
        <v>1.0</v>
      </c>
      <c r="AF277" s="260"/>
    </row>
    <row r="278">
      <c r="A278" s="258">
        <v>277.0</v>
      </c>
      <c r="B278" s="259" t="s">
        <v>193</v>
      </c>
      <c r="C278" s="259" t="s">
        <v>194</v>
      </c>
      <c r="D278" s="259" t="s">
        <v>573</v>
      </c>
      <c r="E278" s="259" t="s">
        <v>574</v>
      </c>
      <c r="F278" s="259" t="s">
        <v>384</v>
      </c>
      <c r="G278" s="259" t="s">
        <v>577</v>
      </c>
      <c r="H278" s="258">
        <v>1986.0</v>
      </c>
      <c r="I278" s="258">
        <v>1985.0</v>
      </c>
      <c r="J278" s="258">
        <v>1987.0</v>
      </c>
      <c r="K278" s="259" t="s">
        <v>151</v>
      </c>
      <c r="L278" s="259" t="s">
        <v>149</v>
      </c>
      <c r="M278" s="259" t="s">
        <v>149</v>
      </c>
      <c r="N278" s="259" t="s">
        <v>149</v>
      </c>
      <c r="O278" s="259" t="s">
        <v>390</v>
      </c>
      <c r="P278" s="259" t="s">
        <v>160</v>
      </c>
      <c r="Q278" s="259" t="s">
        <v>6035</v>
      </c>
      <c r="R278" s="259" t="s">
        <v>159</v>
      </c>
      <c r="S278" s="259" t="s">
        <v>149</v>
      </c>
      <c r="T278" s="259" t="s">
        <v>149</v>
      </c>
      <c r="U278" s="259" t="s">
        <v>571</v>
      </c>
      <c r="V278" s="259" t="s">
        <v>390</v>
      </c>
      <c r="W278" s="259" t="s">
        <v>6035</v>
      </c>
      <c r="X278" s="259" t="s">
        <v>6055</v>
      </c>
      <c r="AA278" s="259" t="s">
        <v>395</v>
      </c>
      <c r="AB278" s="263" t="s">
        <v>2873</v>
      </c>
      <c r="AC278" s="259" t="s">
        <v>398</v>
      </c>
      <c r="AE278" s="258">
        <v>1.0</v>
      </c>
      <c r="AF278" s="260"/>
    </row>
    <row r="279">
      <c r="A279" s="258">
        <v>278.0</v>
      </c>
      <c r="B279" s="259" t="s">
        <v>193</v>
      </c>
      <c r="C279" s="259" t="s">
        <v>632</v>
      </c>
      <c r="D279" s="259" t="s">
        <v>2678</v>
      </c>
      <c r="E279" s="259" t="s">
        <v>7155</v>
      </c>
      <c r="F279" s="259" t="s">
        <v>149</v>
      </c>
      <c r="G279" s="260"/>
      <c r="H279" s="259" t="s">
        <v>149</v>
      </c>
      <c r="I279" s="259" t="s">
        <v>149</v>
      </c>
      <c r="J279" s="259" t="s">
        <v>149</v>
      </c>
      <c r="K279" s="259" t="s">
        <v>151</v>
      </c>
      <c r="L279" s="259" t="s">
        <v>149</v>
      </c>
      <c r="M279" s="259" t="s">
        <v>149</v>
      </c>
      <c r="N279" s="259" t="s">
        <v>149</v>
      </c>
      <c r="O279" s="259" t="s">
        <v>149</v>
      </c>
      <c r="P279" s="259" t="s">
        <v>149</v>
      </c>
      <c r="Q279" s="259" t="s">
        <v>149</v>
      </c>
      <c r="R279" s="259" t="s">
        <v>149</v>
      </c>
      <c r="S279" s="259" t="s">
        <v>149</v>
      </c>
      <c r="T279" s="259" t="s">
        <v>7156</v>
      </c>
      <c r="U279" s="259" t="s">
        <v>149</v>
      </c>
      <c r="V279" s="259" t="s">
        <v>149</v>
      </c>
      <c r="W279" s="259" t="s">
        <v>149</v>
      </c>
      <c r="X279" s="260"/>
      <c r="Y279" s="260"/>
      <c r="Z279" s="260"/>
      <c r="AA279" s="259" t="s">
        <v>395</v>
      </c>
      <c r="AB279" s="263" t="s">
        <v>2873</v>
      </c>
      <c r="AC279" s="259" t="s">
        <v>398</v>
      </c>
      <c r="AE279" s="258">
        <v>1.0</v>
      </c>
      <c r="AF279" s="260"/>
    </row>
    <row r="280">
      <c r="A280" s="258">
        <v>279.0</v>
      </c>
      <c r="B280" s="259" t="s">
        <v>193</v>
      </c>
      <c r="C280" s="259" t="s">
        <v>632</v>
      </c>
      <c r="D280" s="259" t="s">
        <v>2687</v>
      </c>
      <c r="E280" s="259" t="s">
        <v>7160</v>
      </c>
      <c r="F280" s="259" t="s">
        <v>149</v>
      </c>
      <c r="G280" s="260"/>
      <c r="H280" s="259" t="s">
        <v>149</v>
      </c>
      <c r="I280" s="259" t="s">
        <v>149</v>
      </c>
      <c r="J280" s="259" t="s">
        <v>149</v>
      </c>
      <c r="K280" s="259" t="s">
        <v>151</v>
      </c>
      <c r="L280" s="259" t="s">
        <v>149</v>
      </c>
      <c r="M280" s="259" t="s">
        <v>149</v>
      </c>
      <c r="N280" s="259" t="s">
        <v>149</v>
      </c>
      <c r="O280" s="259" t="s">
        <v>149</v>
      </c>
      <c r="P280" s="259" t="s">
        <v>149</v>
      </c>
      <c r="Q280" s="259" t="s">
        <v>149</v>
      </c>
      <c r="R280" s="259" t="s">
        <v>149</v>
      </c>
      <c r="S280" s="259" t="s">
        <v>149</v>
      </c>
      <c r="T280" s="259" t="s">
        <v>7161</v>
      </c>
      <c r="U280" s="259" t="s">
        <v>149</v>
      </c>
      <c r="V280" s="259" t="s">
        <v>149</v>
      </c>
      <c r="W280" s="259" t="s">
        <v>149</v>
      </c>
      <c r="X280" s="260"/>
      <c r="Y280" s="260"/>
      <c r="Z280" s="260"/>
      <c r="AA280" s="259" t="s">
        <v>395</v>
      </c>
      <c r="AB280" s="263" t="s">
        <v>2873</v>
      </c>
      <c r="AC280" s="259" t="s">
        <v>398</v>
      </c>
      <c r="AE280" s="258">
        <v>1.0</v>
      </c>
      <c r="AF280" s="260"/>
    </row>
    <row r="281">
      <c r="A281" s="258">
        <v>280.0</v>
      </c>
      <c r="B281" s="259" t="s">
        <v>193</v>
      </c>
      <c r="C281" s="259" t="s">
        <v>632</v>
      </c>
      <c r="D281" s="259" t="s">
        <v>847</v>
      </c>
      <c r="E281" s="259" t="s">
        <v>7167</v>
      </c>
      <c r="F281" s="259" t="s">
        <v>149</v>
      </c>
      <c r="G281" s="260"/>
      <c r="H281" s="259" t="s">
        <v>149</v>
      </c>
      <c r="I281" s="259" t="s">
        <v>149</v>
      </c>
      <c r="J281" s="259" t="s">
        <v>149</v>
      </c>
      <c r="K281" s="259" t="s">
        <v>151</v>
      </c>
      <c r="L281" s="259" t="s">
        <v>149</v>
      </c>
      <c r="M281" s="259" t="s">
        <v>149</v>
      </c>
      <c r="N281" s="259" t="s">
        <v>149</v>
      </c>
      <c r="O281" s="259" t="s">
        <v>149</v>
      </c>
      <c r="P281" s="259" t="s">
        <v>149</v>
      </c>
      <c r="Q281" s="259" t="s">
        <v>149</v>
      </c>
      <c r="R281" s="259" t="s">
        <v>149</v>
      </c>
      <c r="S281" s="259" t="s">
        <v>149</v>
      </c>
      <c r="T281" s="259" t="s">
        <v>7168</v>
      </c>
      <c r="U281" s="259" t="s">
        <v>149</v>
      </c>
      <c r="V281" s="259" t="s">
        <v>149</v>
      </c>
      <c r="W281" s="259" t="s">
        <v>149</v>
      </c>
      <c r="X281" s="260"/>
      <c r="Y281" s="260"/>
      <c r="Z281" s="260"/>
      <c r="AA281" s="259" t="s">
        <v>395</v>
      </c>
      <c r="AB281" s="263" t="s">
        <v>2873</v>
      </c>
      <c r="AC281" s="259" t="s">
        <v>398</v>
      </c>
      <c r="AE281" s="258">
        <v>1.0</v>
      </c>
      <c r="AF281" s="260"/>
    </row>
    <row r="282">
      <c r="A282" s="258">
        <v>281.0</v>
      </c>
      <c r="B282" s="259" t="s">
        <v>193</v>
      </c>
      <c r="C282" s="259" t="s">
        <v>632</v>
      </c>
      <c r="D282" s="259" t="s">
        <v>847</v>
      </c>
      <c r="E282" s="259" t="s">
        <v>7167</v>
      </c>
      <c r="F282" s="259" t="s">
        <v>149</v>
      </c>
      <c r="G282" s="260"/>
      <c r="H282" s="258">
        <v>2022.0</v>
      </c>
      <c r="I282" s="259" t="s">
        <v>149</v>
      </c>
      <c r="J282" s="259" t="s">
        <v>149</v>
      </c>
      <c r="K282" s="259" t="s">
        <v>6062</v>
      </c>
      <c r="L282" s="259" t="s">
        <v>320</v>
      </c>
      <c r="M282" s="259" t="s">
        <v>179</v>
      </c>
      <c r="N282" s="259" t="s">
        <v>149</v>
      </c>
      <c r="O282" s="259" t="s">
        <v>149</v>
      </c>
      <c r="P282" s="259" t="s">
        <v>149</v>
      </c>
      <c r="Q282" s="259" t="s">
        <v>149</v>
      </c>
      <c r="R282" s="259" t="s">
        <v>149</v>
      </c>
      <c r="S282" s="259" t="s">
        <v>149</v>
      </c>
      <c r="T282" s="259" t="s">
        <v>149</v>
      </c>
      <c r="U282" s="259" t="s">
        <v>149</v>
      </c>
      <c r="V282" s="259" t="s">
        <v>7170</v>
      </c>
      <c r="W282" s="259" t="s">
        <v>184</v>
      </c>
      <c r="X282" s="260"/>
      <c r="Y282" s="259" t="s">
        <v>7171</v>
      </c>
      <c r="AA282" s="259" t="s">
        <v>6027</v>
      </c>
      <c r="AB282" s="263" t="s">
        <v>7172</v>
      </c>
      <c r="AE282" s="258">
        <v>1.0</v>
      </c>
      <c r="AF282" s="260"/>
    </row>
    <row r="283">
      <c r="A283" s="258">
        <v>282.0</v>
      </c>
      <c r="B283" s="259" t="s">
        <v>193</v>
      </c>
      <c r="C283" s="259" t="s">
        <v>632</v>
      </c>
      <c r="D283" s="259" t="s">
        <v>7175</v>
      </c>
      <c r="E283" s="259" t="s">
        <v>7176</v>
      </c>
      <c r="F283" s="259" t="s">
        <v>149</v>
      </c>
      <c r="G283" s="260"/>
      <c r="H283" s="259" t="s">
        <v>149</v>
      </c>
      <c r="I283" s="259" t="s">
        <v>149</v>
      </c>
      <c r="J283" s="259" t="s">
        <v>149</v>
      </c>
      <c r="K283" s="259" t="s">
        <v>151</v>
      </c>
      <c r="L283" s="259" t="s">
        <v>149</v>
      </c>
      <c r="M283" s="259" t="s">
        <v>149</v>
      </c>
      <c r="N283" s="259" t="s">
        <v>149</v>
      </c>
      <c r="O283" s="259" t="s">
        <v>149</v>
      </c>
      <c r="P283" s="259" t="s">
        <v>149</v>
      </c>
      <c r="Q283" s="259" t="s">
        <v>149</v>
      </c>
      <c r="R283" s="259" t="s">
        <v>149</v>
      </c>
      <c r="S283" s="259" t="s">
        <v>149</v>
      </c>
      <c r="T283" s="259" t="s">
        <v>149</v>
      </c>
      <c r="U283" s="259" t="s">
        <v>149</v>
      </c>
      <c r="V283" s="259" t="s">
        <v>2343</v>
      </c>
      <c r="W283" s="259" t="s">
        <v>306</v>
      </c>
      <c r="X283" s="260"/>
      <c r="Y283" s="259" t="s">
        <v>7177</v>
      </c>
      <c r="AA283" s="259" t="s">
        <v>166</v>
      </c>
      <c r="AB283" s="263" t="s">
        <v>2345</v>
      </c>
      <c r="AE283" s="258">
        <v>1.0</v>
      </c>
      <c r="AF283" s="260"/>
    </row>
    <row r="284">
      <c r="A284" s="258">
        <v>283.0</v>
      </c>
      <c r="B284" s="259" t="s">
        <v>193</v>
      </c>
      <c r="C284" s="259" t="s">
        <v>632</v>
      </c>
      <c r="D284" s="259" t="s">
        <v>7175</v>
      </c>
      <c r="E284" s="259" t="s">
        <v>7176</v>
      </c>
      <c r="F284" s="259" t="s">
        <v>149</v>
      </c>
      <c r="G284" s="260"/>
      <c r="H284" s="258">
        <v>1977.0</v>
      </c>
      <c r="I284" s="258">
        <v>1977.0</v>
      </c>
      <c r="J284" s="258">
        <v>1978.0</v>
      </c>
      <c r="K284" s="259" t="s">
        <v>151</v>
      </c>
      <c r="L284" s="259" t="s">
        <v>6054</v>
      </c>
      <c r="M284" s="259" t="s">
        <v>6054</v>
      </c>
      <c r="N284" s="259" t="s">
        <v>699</v>
      </c>
      <c r="O284" s="259" t="s">
        <v>149</v>
      </c>
      <c r="P284" s="259" t="s">
        <v>149</v>
      </c>
      <c r="Q284" s="259" t="s">
        <v>149</v>
      </c>
      <c r="R284" s="259" t="s">
        <v>149</v>
      </c>
      <c r="S284" s="259" t="s">
        <v>149</v>
      </c>
      <c r="T284" s="259" t="s">
        <v>149</v>
      </c>
      <c r="U284" s="259" t="s">
        <v>3036</v>
      </c>
      <c r="V284" s="259" t="s">
        <v>3037</v>
      </c>
      <c r="W284" s="259" t="s">
        <v>6068</v>
      </c>
      <c r="X284" s="259" t="s">
        <v>3038</v>
      </c>
      <c r="AA284" s="259" t="s">
        <v>395</v>
      </c>
      <c r="AB284" s="263" t="s">
        <v>2873</v>
      </c>
      <c r="AC284" s="259" t="s">
        <v>398</v>
      </c>
      <c r="AE284" s="258">
        <v>1.0</v>
      </c>
      <c r="AF284" s="260"/>
    </row>
    <row r="285">
      <c r="A285" s="258">
        <v>284.0</v>
      </c>
      <c r="B285" s="259" t="s">
        <v>193</v>
      </c>
      <c r="C285" s="259" t="s">
        <v>632</v>
      </c>
      <c r="D285" s="259" t="s">
        <v>7175</v>
      </c>
      <c r="E285" s="259" t="s">
        <v>7176</v>
      </c>
      <c r="F285" s="259" t="s">
        <v>934</v>
      </c>
      <c r="H285" s="258">
        <v>2001.0</v>
      </c>
      <c r="I285" s="258">
        <v>2001.0</v>
      </c>
      <c r="J285" s="258">
        <v>2005.0</v>
      </c>
      <c r="K285" s="259" t="s">
        <v>6062</v>
      </c>
      <c r="L285" s="259" t="s">
        <v>8105</v>
      </c>
      <c r="M285" s="259" t="s">
        <v>179</v>
      </c>
      <c r="N285" s="259" t="s">
        <v>939</v>
      </c>
      <c r="O285" s="259" t="s">
        <v>940</v>
      </c>
      <c r="P285" s="259" t="s">
        <v>205</v>
      </c>
      <c r="Q285" s="259" t="s">
        <v>8096</v>
      </c>
      <c r="R285" s="259" t="s">
        <v>204</v>
      </c>
      <c r="S285" s="259" t="s">
        <v>149</v>
      </c>
      <c r="T285" s="259" t="s">
        <v>149</v>
      </c>
      <c r="U285" s="259" t="s">
        <v>149</v>
      </c>
      <c r="V285" s="259" t="s">
        <v>8100</v>
      </c>
      <c r="W285" s="259" t="s">
        <v>6068</v>
      </c>
      <c r="X285" s="260"/>
      <c r="Y285" s="260"/>
      <c r="Z285" s="260"/>
      <c r="AA285" s="259" t="s">
        <v>6214</v>
      </c>
      <c r="AB285" s="263" t="s">
        <v>942</v>
      </c>
      <c r="AC285" s="259" t="s">
        <v>943</v>
      </c>
      <c r="AE285" s="258">
        <v>1.0</v>
      </c>
      <c r="AF285" s="260"/>
    </row>
    <row r="286">
      <c r="A286" s="258">
        <v>285.0</v>
      </c>
      <c r="B286" s="259" t="s">
        <v>193</v>
      </c>
      <c r="C286" s="259" t="s">
        <v>632</v>
      </c>
      <c r="D286" s="259" t="s">
        <v>2697</v>
      </c>
      <c r="E286" s="259" t="s">
        <v>7189</v>
      </c>
      <c r="F286" s="259" t="s">
        <v>149</v>
      </c>
      <c r="G286" s="260"/>
      <c r="H286" s="259" t="s">
        <v>149</v>
      </c>
      <c r="I286" s="259" t="s">
        <v>149</v>
      </c>
      <c r="J286" s="259" t="s">
        <v>149</v>
      </c>
      <c r="K286" s="259" t="s">
        <v>151</v>
      </c>
      <c r="L286" s="259" t="s">
        <v>149</v>
      </c>
      <c r="M286" s="259" t="s">
        <v>149</v>
      </c>
      <c r="N286" s="259" t="s">
        <v>149</v>
      </c>
      <c r="O286" s="259" t="s">
        <v>149</v>
      </c>
      <c r="P286" s="259" t="s">
        <v>149</v>
      </c>
      <c r="Q286" s="259" t="s">
        <v>149</v>
      </c>
      <c r="R286" s="259" t="s">
        <v>149</v>
      </c>
      <c r="S286" s="259" t="s">
        <v>149</v>
      </c>
      <c r="T286" s="259" t="s">
        <v>7190</v>
      </c>
      <c r="U286" s="259" t="s">
        <v>149</v>
      </c>
      <c r="V286" s="259" t="s">
        <v>149</v>
      </c>
      <c r="W286" s="259" t="s">
        <v>149</v>
      </c>
      <c r="X286" s="260"/>
      <c r="Y286" s="260"/>
      <c r="Z286" s="260"/>
      <c r="AA286" s="259" t="s">
        <v>395</v>
      </c>
      <c r="AB286" s="263" t="s">
        <v>2873</v>
      </c>
      <c r="AC286" s="259" t="s">
        <v>398</v>
      </c>
      <c r="AE286" s="258">
        <v>1.0</v>
      </c>
      <c r="AF286" s="260"/>
    </row>
    <row r="287">
      <c r="A287" s="258">
        <v>286.0</v>
      </c>
      <c r="B287" s="259" t="s">
        <v>193</v>
      </c>
      <c r="C287" s="259" t="s">
        <v>632</v>
      </c>
      <c r="D287" s="259" t="s">
        <v>1667</v>
      </c>
      <c r="E287" s="259" t="s">
        <v>7195</v>
      </c>
      <c r="F287" s="259" t="s">
        <v>149</v>
      </c>
      <c r="G287" s="260"/>
      <c r="H287" s="259" t="s">
        <v>149</v>
      </c>
      <c r="I287" s="259" t="s">
        <v>149</v>
      </c>
      <c r="J287" s="259" t="s">
        <v>149</v>
      </c>
      <c r="K287" s="259" t="s">
        <v>151</v>
      </c>
      <c r="L287" s="259" t="s">
        <v>149</v>
      </c>
      <c r="M287" s="259" t="s">
        <v>149</v>
      </c>
      <c r="N287" s="259" t="s">
        <v>149</v>
      </c>
      <c r="O287" s="259" t="s">
        <v>149</v>
      </c>
      <c r="P287" s="259" t="s">
        <v>149</v>
      </c>
      <c r="Q287" s="259" t="s">
        <v>149</v>
      </c>
      <c r="R287" s="259" t="s">
        <v>149</v>
      </c>
      <c r="S287" s="259" t="s">
        <v>149</v>
      </c>
      <c r="T287" s="259" t="s">
        <v>7196</v>
      </c>
      <c r="U287" s="259" t="s">
        <v>149</v>
      </c>
      <c r="V287" s="259" t="s">
        <v>149</v>
      </c>
      <c r="W287" s="259" t="s">
        <v>149</v>
      </c>
      <c r="X287" s="260"/>
      <c r="Y287" s="260"/>
      <c r="Z287" s="260"/>
      <c r="AA287" s="259" t="s">
        <v>395</v>
      </c>
      <c r="AB287" s="263" t="s">
        <v>2873</v>
      </c>
      <c r="AC287" s="259" t="s">
        <v>398</v>
      </c>
      <c r="AE287" s="258">
        <v>1.0</v>
      </c>
      <c r="AF287" s="260"/>
    </row>
    <row r="288">
      <c r="A288" s="258">
        <v>287.0</v>
      </c>
      <c r="B288" s="259" t="s">
        <v>193</v>
      </c>
      <c r="C288" s="259" t="s">
        <v>632</v>
      </c>
      <c r="D288" s="259" t="s">
        <v>633</v>
      </c>
      <c r="E288" s="259" t="s">
        <v>7200</v>
      </c>
      <c r="F288" s="259" t="s">
        <v>384</v>
      </c>
      <c r="G288" s="259" t="s">
        <v>635</v>
      </c>
      <c r="H288" s="258">
        <v>1986.0</v>
      </c>
      <c r="I288" s="258">
        <v>1985.0</v>
      </c>
      <c r="J288" s="258">
        <v>1987.0</v>
      </c>
      <c r="K288" s="259" t="s">
        <v>151</v>
      </c>
      <c r="L288" s="259" t="s">
        <v>6054</v>
      </c>
      <c r="M288" s="259" t="s">
        <v>6054</v>
      </c>
      <c r="N288" s="259" t="s">
        <v>149</v>
      </c>
      <c r="O288" s="259" t="s">
        <v>390</v>
      </c>
      <c r="P288" s="259" t="s">
        <v>160</v>
      </c>
      <c r="Q288" s="259" t="s">
        <v>6035</v>
      </c>
      <c r="R288" s="259" t="s">
        <v>159</v>
      </c>
      <c r="S288" s="259" t="s">
        <v>149</v>
      </c>
      <c r="T288" s="259" t="s">
        <v>149</v>
      </c>
      <c r="U288" s="259" t="s">
        <v>162</v>
      </c>
      <c r="V288" s="259" t="s">
        <v>390</v>
      </c>
      <c r="W288" s="259" t="s">
        <v>6035</v>
      </c>
      <c r="X288" s="259" t="s">
        <v>6055</v>
      </c>
      <c r="AA288" s="259" t="s">
        <v>395</v>
      </c>
      <c r="AB288" s="263" t="s">
        <v>2873</v>
      </c>
      <c r="AC288" s="259" t="s">
        <v>398</v>
      </c>
      <c r="AE288" s="258">
        <v>1.0</v>
      </c>
      <c r="AF288" s="260"/>
    </row>
    <row r="289">
      <c r="A289" s="258">
        <v>288.0</v>
      </c>
      <c r="B289" s="259" t="s">
        <v>193</v>
      </c>
      <c r="C289" s="259" t="s">
        <v>632</v>
      </c>
      <c r="D289" s="259" t="s">
        <v>633</v>
      </c>
      <c r="E289" s="259" t="s">
        <v>7200</v>
      </c>
      <c r="F289" s="259" t="s">
        <v>149</v>
      </c>
      <c r="G289" s="260"/>
      <c r="H289" s="259" t="s">
        <v>149</v>
      </c>
      <c r="I289" s="259" t="s">
        <v>149</v>
      </c>
      <c r="J289" s="259" t="s">
        <v>149</v>
      </c>
      <c r="K289" s="259" t="s">
        <v>151</v>
      </c>
      <c r="L289" s="259" t="s">
        <v>149</v>
      </c>
      <c r="M289" s="259" t="s">
        <v>149</v>
      </c>
      <c r="N289" s="259" t="s">
        <v>149</v>
      </c>
      <c r="O289" s="259" t="s">
        <v>149</v>
      </c>
      <c r="P289" s="259" t="s">
        <v>149</v>
      </c>
      <c r="Q289" s="259" t="s">
        <v>149</v>
      </c>
      <c r="R289" s="259" t="s">
        <v>149</v>
      </c>
      <c r="S289" s="259" t="s">
        <v>149</v>
      </c>
      <c r="T289" s="259" t="s">
        <v>7203</v>
      </c>
      <c r="U289" s="259" t="s">
        <v>149</v>
      </c>
      <c r="V289" s="259" t="s">
        <v>149</v>
      </c>
      <c r="W289" s="259" t="s">
        <v>149</v>
      </c>
      <c r="X289" s="260"/>
      <c r="Y289" s="260"/>
      <c r="Z289" s="260"/>
      <c r="AA289" s="259" t="s">
        <v>395</v>
      </c>
      <c r="AB289" s="263" t="s">
        <v>2873</v>
      </c>
      <c r="AC289" s="259" t="s">
        <v>398</v>
      </c>
      <c r="AE289" s="258">
        <v>1.0</v>
      </c>
      <c r="AF289" s="260"/>
    </row>
    <row r="290">
      <c r="A290" s="258">
        <v>289.0</v>
      </c>
      <c r="B290" s="259" t="s">
        <v>193</v>
      </c>
      <c r="C290" s="259" t="s">
        <v>632</v>
      </c>
      <c r="D290" s="259" t="s">
        <v>637</v>
      </c>
      <c r="E290" s="259" t="s">
        <v>7206</v>
      </c>
      <c r="F290" s="259" t="s">
        <v>384</v>
      </c>
      <c r="G290" s="259" t="s">
        <v>639</v>
      </c>
      <c r="H290" s="258">
        <v>1986.0</v>
      </c>
      <c r="I290" s="258">
        <v>1985.0</v>
      </c>
      <c r="J290" s="258">
        <v>1987.0</v>
      </c>
      <c r="K290" s="259" t="s">
        <v>151</v>
      </c>
      <c r="L290" s="259" t="s">
        <v>6054</v>
      </c>
      <c r="M290" s="259" t="s">
        <v>6054</v>
      </c>
      <c r="N290" s="259" t="s">
        <v>149</v>
      </c>
      <c r="O290" s="259" t="s">
        <v>390</v>
      </c>
      <c r="P290" s="259" t="s">
        <v>160</v>
      </c>
      <c r="Q290" s="259" t="s">
        <v>6035</v>
      </c>
      <c r="R290" s="259" t="s">
        <v>159</v>
      </c>
      <c r="S290" s="259" t="s">
        <v>149</v>
      </c>
      <c r="T290" s="259" t="s">
        <v>149</v>
      </c>
      <c r="U290" s="259" t="s">
        <v>640</v>
      </c>
      <c r="V290" s="259" t="s">
        <v>390</v>
      </c>
      <c r="W290" s="259" t="s">
        <v>6035</v>
      </c>
      <c r="X290" s="259" t="s">
        <v>6055</v>
      </c>
      <c r="AA290" s="259" t="s">
        <v>395</v>
      </c>
      <c r="AB290" s="263" t="s">
        <v>2873</v>
      </c>
      <c r="AC290" s="259" t="s">
        <v>398</v>
      </c>
      <c r="AE290" s="258">
        <v>1.0</v>
      </c>
      <c r="AF290" s="260"/>
    </row>
    <row r="291">
      <c r="A291" s="258">
        <v>290.0</v>
      </c>
      <c r="B291" s="259" t="s">
        <v>193</v>
      </c>
      <c r="C291" s="259" t="s">
        <v>632</v>
      </c>
      <c r="D291" s="259" t="s">
        <v>637</v>
      </c>
      <c r="E291" s="259" t="s">
        <v>7206</v>
      </c>
      <c r="F291" s="259" t="s">
        <v>149</v>
      </c>
      <c r="G291" s="259" t="s">
        <v>8152</v>
      </c>
      <c r="H291" s="259" t="s">
        <v>149</v>
      </c>
      <c r="I291" s="259" t="s">
        <v>149</v>
      </c>
      <c r="J291" s="259" t="s">
        <v>149</v>
      </c>
      <c r="K291" s="259" t="s">
        <v>151</v>
      </c>
      <c r="L291" s="259" t="s">
        <v>149</v>
      </c>
      <c r="M291" s="259" t="s">
        <v>149</v>
      </c>
      <c r="N291" s="259" t="s">
        <v>149</v>
      </c>
      <c r="O291" s="259" t="s">
        <v>149</v>
      </c>
      <c r="P291" s="259" t="s">
        <v>149</v>
      </c>
      <c r="Q291" s="259" t="s">
        <v>149</v>
      </c>
      <c r="R291" s="259" t="s">
        <v>149</v>
      </c>
      <c r="S291" s="259" t="s">
        <v>149</v>
      </c>
      <c r="T291" s="259" t="s">
        <v>7210</v>
      </c>
      <c r="U291" s="259" t="s">
        <v>149</v>
      </c>
      <c r="V291" s="259" t="s">
        <v>149</v>
      </c>
      <c r="W291" s="259" t="s">
        <v>149</v>
      </c>
      <c r="X291" s="260"/>
      <c r="Y291" s="260"/>
      <c r="Z291" s="260"/>
      <c r="AA291" s="259" t="s">
        <v>395</v>
      </c>
      <c r="AB291" s="263" t="s">
        <v>2873</v>
      </c>
      <c r="AC291" s="259" t="s">
        <v>398</v>
      </c>
      <c r="AE291" s="258">
        <v>1.0</v>
      </c>
      <c r="AF291" s="260"/>
    </row>
    <row r="292">
      <c r="A292" s="258">
        <v>291.0</v>
      </c>
      <c r="B292" s="259" t="s">
        <v>193</v>
      </c>
      <c r="C292" s="259" t="s">
        <v>632</v>
      </c>
      <c r="D292" s="259" t="s">
        <v>637</v>
      </c>
      <c r="E292" s="259" t="s">
        <v>7206</v>
      </c>
      <c r="F292" s="259" t="s">
        <v>149</v>
      </c>
      <c r="G292" s="259" t="s">
        <v>8153</v>
      </c>
      <c r="H292" s="259" t="s">
        <v>149</v>
      </c>
      <c r="I292" s="259" t="s">
        <v>149</v>
      </c>
      <c r="J292" s="259" t="s">
        <v>149</v>
      </c>
      <c r="K292" s="259" t="s">
        <v>151</v>
      </c>
      <c r="L292" s="259" t="s">
        <v>149</v>
      </c>
      <c r="M292" s="259" t="s">
        <v>149</v>
      </c>
      <c r="N292" s="259" t="s">
        <v>149</v>
      </c>
      <c r="O292" s="259" t="s">
        <v>149</v>
      </c>
      <c r="P292" s="259" t="s">
        <v>149</v>
      </c>
      <c r="Q292" s="259" t="s">
        <v>149</v>
      </c>
      <c r="R292" s="259" t="s">
        <v>149</v>
      </c>
      <c r="S292" s="259" t="s">
        <v>149</v>
      </c>
      <c r="T292" s="259" t="s">
        <v>7190</v>
      </c>
      <c r="U292" s="259" t="s">
        <v>149</v>
      </c>
      <c r="V292" s="259" t="s">
        <v>149</v>
      </c>
      <c r="W292" s="259" t="s">
        <v>149</v>
      </c>
      <c r="X292" s="260"/>
      <c r="Y292" s="260"/>
      <c r="Z292" s="260"/>
      <c r="AA292" s="259" t="s">
        <v>395</v>
      </c>
      <c r="AB292" s="263" t="s">
        <v>2873</v>
      </c>
      <c r="AC292" s="259" t="s">
        <v>398</v>
      </c>
      <c r="AE292" s="258">
        <v>1.0</v>
      </c>
      <c r="AF292" s="260"/>
    </row>
    <row r="293">
      <c r="A293" s="258">
        <v>292.0</v>
      </c>
      <c r="B293" s="259" t="s">
        <v>193</v>
      </c>
      <c r="C293" s="259" t="s">
        <v>632</v>
      </c>
      <c r="D293" s="259" t="s">
        <v>637</v>
      </c>
      <c r="E293" s="259" t="s">
        <v>7206</v>
      </c>
      <c r="F293" s="259" t="s">
        <v>149</v>
      </c>
      <c r="G293" s="259" t="s">
        <v>8154</v>
      </c>
      <c r="H293" s="259" t="s">
        <v>149</v>
      </c>
      <c r="I293" s="259" t="s">
        <v>149</v>
      </c>
      <c r="J293" s="259" t="s">
        <v>149</v>
      </c>
      <c r="K293" s="259" t="s">
        <v>151</v>
      </c>
      <c r="L293" s="259" t="s">
        <v>149</v>
      </c>
      <c r="M293" s="259" t="s">
        <v>149</v>
      </c>
      <c r="N293" s="259" t="s">
        <v>149</v>
      </c>
      <c r="O293" s="259" t="s">
        <v>149</v>
      </c>
      <c r="P293" s="259" t="s">
        <v>149</v>
      </c>
      <c r="Q293" s="259" t="s">
        <v>149</v>
      </c>
      <c r="R293" s="259" t="s">
        <v>149</v>
      </c>
      <c r="S293" s="259" t="s">
        <v>149</v>
      </c>
      <c r="T293" s="259" t="s">
        <v>7215</v>
      </c>
      <c r="U293" s="259" t="s">
        <v>149</v>
      </c>
      <c r="V293" s="259" t="s">
        <v>149</v>
      </c>
      <c r="W293" s="259" t="s">
        <v>149</v>
      </c>
      <c r="X293" s="260"/>
      <c r="Y293" s="260"/>
      <c r="Z293" s="260"/>
      <c r="AA293" s="259" t="s">
        <v>395</v>
      </c>
      <c r="AB293" s="263" t="s">
        <v>2873</v>
      </c>
      <c r="AC293" s="259" t="s">
        <v>398</v>
      </c>
      <c r="AE293" s="258">
        <v>1.0</v>
      </c>
      <c r="AF293" s="260"/>
    </row>
    <row r="294">
      <c r="A294" s="258">
        <v>293.0</v>
      </c>
      <c r="B294" s="259" t="s">
        <v>579</v>
      </c>
      <c r="C294" s="259" t="s">
        <v>580</v>
      </c>
      <c r="D294" s="259" t="s">
        <v>8155</v>
      </c>
      <c r="E294" s="259" t="s">
        <v>582</v>
      </c>
      <c r="F294" s="259" t="s">
        <v>384</v>
      </c>
      <c r="G294" s="259" t="s">
        <v>583</v>
      </c>
      <c r="H294" s="258">
        <v>1986.0</v>
      </c>
      <c r="I294" s="258">
        <v>1985.0</v>
      </c>
      <c r="J294" s="258">
        <v>1987.0</v>
      </c>
      <c r="K294" s="259" t="s">
        <v>151</v>
      </c>
      <c r="L294" s="259" t="s">
        <v>6054</v>
      </c>
      <c r="M294" s="259" t="s">
        <v>6054</v>
      </c>
      <c r="N294" s="259" t="s">
        <v>149</v>
      </c>
      <c r="O294" s="259" t="s">
        <v>390</v>
      </c>
      <c r="P294" s="259" t="s">
        <v>160</v>
      </c>
      <c r="Q294" s="259" t="s">
        <v>6035</v>
      </c>
      <c r="R294" s="259" t="s">
        <v>159</v>
      </c>
      <c r="S294" s="259" t="s">
        <v>149</v>
      </c>
      <c r="T294" s="259" t="s">
        <v>149</v>
      </c>
      <c r="U294" s="259" t="s">
        <v>450</v>
      </c>
      <c r="V294" s="259" t="s">
        <v>390</v>
      </c>
      <c r="W294" s="259" t="s">
        <v>6035</v>
      </c>
      <c r="X294" s="259" t="s">
        <v>6055</v>
      </c>
      <c r="AA294" s="259" t="s">
        <v>395</v>
      </c>
      <c r="AB294" s="263" t="s">
        <v>2873</v>
      </c>
      <c r="AC294" s="259" t="s">
        <v>398</v>
      </c>
      <c r="AE294" s="258">
        <v>1.0</v>
      </c>
      <c r="AF294" s="260"/>
    </row>
    <row r="295">
      <c r="A295" s="258">
        <v>294.0</v>
      </c>
      <c r="B295" s="259" t="s">
        <v>579</v>
      </c>
      <c r="C295" s="259" t="s">
        <v>580</v>
      </c>
      <c r="D295" s="259" t="s">
        <v>1540</v>
      </c>
      <c r="E295" s="259" t="s">
        <v>1541</v>
      </c>
      <c r="F295" s="259" t="s">
        <v>1542</v>
      </c>
      <c r="H295" s="258">
        <v>1995.0</v>
      </c>
      <c r="I295" s="258">
        <v>1995.0</v>
      </c>
      <c r="J295" s="258">
        <v>1997.0</v>
      </c>
      <c r="K295" s="259" t="s">
        <v>6062</v>
      </c>
      <c r="L295" s="259" t="s">
        <v>179</v>
      </c>
      <c r="M295" s="259" t="s">
        <v>179</v>
      </c>
      <c r="N295" s="259" t="s">
        <v>1545</v>
      </c>
      <c r="O295" s="259" t="s">
        <v>1546</v>
      </c>
      <c r="P295" s="259" t="s">
        <v>160</v>
      </c>
      <c r="Q295" s="259" t="s">
        <v>306</v>
      </c>
      <c r="R295" s="259" t="s">
        <v>204</v>
      </c>
      <c r="S295" s="259" t="s">
        <v>149</v>
      </c>
      <c r="T295" s="259" t="s">
        <v>149</v>
      </c>
      <c r="U295" s="259" t="s">
        <v>149</v>
      </c>
      <c r="V295" s="259" t="s">
        <v>1547</v>
      </c>
      <c r="W295" s="259" t="s">
        <v>306</v>
      </c>
      <c r="X295" s="260"/>
      <c r="Y295" s="260"/>
      <c r="Z295" s="260"/>
      <c r="AA295" s="259" t="s">
        <v>213</v>
      </c>
      <c r="AB295" s="260"/>
      <c r="AC295" s="259" t="s">
        <v>1548</v>
      </c>
      <c r="AD295" s="259" t="s">
        <v>1549</v>
      </c>
      <c r="AE295" s="258">
        <v>1.0</v>
      </c>
      <c r="AF295" s="260"/>
    </row>
    <row r="296">
      <c r="A296" s="258">
        <v>295.0</v>
      </c>
      <c r="B296" s="259" t="s">
        <v>579</v>
      </c>
      <c r="C296" s="259" t="s">
        <v>580</v>
      </c>
      <c r="D296" s="259" t="s">
        <v>973</v>
      </c>
      <c r="E296" s="259" t="s">
        <v>974</v>
      </c>
      <c r="F296" s="259" t="s">
        <v>934</v>
      </c>
      <c r="H296" s="258">
        <v>2001.0</v>
      </c>
      <c r="I296" s="258">
        <v>2001.0</v>
      </c>
      <c r="J296" s="258">
        <v>2005.0</v>
      </c>
      <c r="K296" s="259" t="s">
        <v>6062</v>
      </c>
      <c r="L296" s="259" t="s">
        <v>8105</v>
      </c>
      <c r="M296" s="259" t="s">
        <v>179</v>
      </c>
      <c r="N296" s="259" t="s">
        <v>939</v>
      </c>
      <c r="O296" s="259" t="s">
        <v>940</v>
      </c>
      <c r="P296" s="259" t="s">
        <v>205</v>
      </c>
      <c r="Q296" s="259" t="s">
        <v>8096</v>
      </c>
      <c r="R296" s="259" t="s">
        <v>204</v>
      </c>
      <c r="S296" s="259" t="s">
        <v>149</v>
      </c>
      <c r="T296" s="259" t="s">
        <v>149</v>
      </c>
      <c r="U296" s="259" t="s">
        <v>149</v>
      </c>
      <c r="V296" s="259" t="s">
        <v>8100</v>
      </c>
      <c r="W296" s="259" t="s">
        <v>6068</v>
      </c>
      <c r="X296" s="260"/>
      <c r="Y296" s="260"/>
      <c r="Z296" s="260"/>
      <c r="AA296" s="259" t="s">
        <v>6214</v>
      </c>
      <c r="AB296" s="263" t="s">
        <v>942</v>
      </c>
      <c r="AC296" s="259" t="s">
        <v>943</v>
      </c>
      <c r="AE296" s="258">
        <v>1.0</v>
      </c>
      <c r="AF296" s="260"/>
    </row>
    <row r="297">
      <c r="A297" s="258">
        <v>296.0</v>
      </c>
      <c r="B297" s="259" t="s">
        <v>579</v>
      </c>
      <c r="C297" s="259" t="s">
        <v>580</v>
      </c>
      <c r="D297" s="259" t="s">
        <v>973</v>
      </c>
      <c r="E297" s="259" t="s">
        <v>974</v>
      </c>
      <c r="F297" s="259" t="s">
        <v>149</v>
      </c>
      <c r="G297" s="259" t="s">
        <v>3017</v>
      </c>
      <c r="H297" s="258">
        <v>2013.0</v>
      </c>
      <c r="I297" s="259" t="s">
        <v>149</v>
      </c>
      <c r="J297" s="259" t="s">
        <v>149</v>
      </c>
      <c r="K297" s="259" t="s">
        <v>6062</v>
      </c>
      <c r="L297" s="259" t="s">
        <v>3018</v>
      </c>
      <c r="M297" s="259" t="s">
        <v>179</v>
      </c>
      <c r="N297" s="259" t="s">
        <v>8156</v>
      </c>
      <c r="O297" s="259" t="s">
        <v>1546</v>
      </c>
      <c r="P297" s="259" t="s">
        <v>160</v>
      </c>
      <c r="Q297" s="259" t="s">
        <v>306</v>
      </c>
      <c r="R297" s="259" t="s">
        <v>204</v>
      </c>
      <c r="S297" s="259" t="s">
        <v>149</v>
      </c>
      <c r="T297" s="259" t="s">
        <v>149</v>
      </c>
      <c r="U297" s="259" t="s">
        <v>149</v>
      </c>
      <c r="V297" s="259" t="s">
        <v>3020</v>
      </c>
      <c r="W297" s="259" t="s">
        <v>6068</v>
      </c>
      <c r="X297" s="260"/>
      <c r="Y297" s="260"/>
      <c r="Z297" s="260"/>
      <c r="AA297" s="259" t="s">
        <v>6214</v>
      </c>
      <c r="AB297" s="263" t="s">
        <v>3022</v>
      </c>
      <c r="AE297" s="258">
        <v>1.0</v>
      </c>
      <c r="AF297" s="260"/>
    </row>
    <row r="298">
      <c r="A298" s="258">
        <v>297.0</v>
      </c>
      <c r="B298" s="259" t="s">
        <v>579</v>
      </c>
      <c r="C298" s="259" t="s">
        <v>580</v>
      </c>
      <c r="D298" s="259" t="s">
        <v>973</v>
      </c>
      <c r="E298" s="259" t="s">
        <v>974</v>
      </c>
      <c r="F298" s="259" t="s">
        <v>149</v>
      </c>
      <c r="G298" s="259" t="s">
        <v>3024</v>
      </c>
      <c r="H298" s="258">
        <v>2013.0</v>
      </c>
      <c r="I298" s="259" t="s">
        <v>149</v>
      </c>
      <c r="J298" s="259" t="s">
        <v>149</v>
      </c>
      <c r="K298" s="259" t="s">
        <v>6062</v>
      </c>
      <c r="L298" s="259" t="s">
        <v>3018</v>
      </c>
      <c r="M298" s="259" t="s">
        <v>179</v>
      </c>
      <c r="N298" s="259" t="s">
        <v>8156</v>
      </c>
      <c r="O298" s="259" t="s">
        <v>1546</v>
      </c>
      <c r="P298" s="259" t="s">
        <v>160</v>
      </c>
      <c r="Q298" s="259" t="s">
        <v>306</v>
      </c>
      <c r="R298" s="259" t="s">
        <v>204</v>
      </c>
      <c r="S298" s="259" t="s">
        <v>149</v>
      </c>
      <c r="T298" s="259" t="s">
        <v>149</v>
      </c>
      <c r="U298" s="259" t="s">
        <v>149</v>
      </c>
      <c r="V298" s="259" t="s">
        <v>3020</v>
      </c>
      <c r="W298" s="259" t="s">
        <v>6068</v>
      </c>
      <c r="X298" s="260"/>
      <c r="Y298" s="260"/>
      <c r="Z298" s="260"/>
      <c r="AA298" s="259" t="s">
        <v>6214</v>
      </c>
      <c r="AB298" s="263" t="s">
        <v>3022</v>
      </c>
      <c r="AE298" s="258">
        <v>1.0</v>
      </c>
      <c r="AF298" s="260"/>
    </row>
    <row r="299">
      <c r="A299" s="258">
        <v>298.0</v>
      </c>
      <c r="B299" s="259" t="s">
        <v>579</v>
      </c>
      <c r="C299" s="259" t="s">
        <v>580</v>
      </c>
      <c r="D299" s="259" t="s">
        <v>3155</v>
      </c>
      <c r="E299" s="259" t="s">
        <v>3156</v>
      </c>
      <c r="F299" s="259" t="s">
        <v>149</v>
      </c>
      <c r="G299" s="259" t="s">
        <v>8157</v>
      </c>
      <c r="H299" s="259" t="s">
        <v>149</v>
      </c>
      <c r="I299" s="259" t="s">
        <v>149</v>
      </c>
      <c r="J299" s="259" t="s">
        <v>149</v>
      </c>
      <c r="K299" s="259" t="s">
        <v>151</v>
      </c>
      <c r="L299" s="259" t="s">
        <v>149</v>
      </c>
      <c r="M299" s="259" t="s">
        <v>149</v>
      </c>
      <c r="N299" s="259" t="s">
        <v>149</v>
      </c>
      <c r="O299" s="259" t="s">
        <v>149</v>
      </c>
      <c r="P299" s="259" t="s">
        <v>149</v>
      </c>
      <c r="Q299" s="259" t="s">
        <v>149</v>
      </c>
      <c r="R299" s="259" t="s">
        <v>149</v>
      </c>
      <c r="S299" s="259" t="s">
        <v>149</v>
      </c>
      <c r="T299" s="259" t="s">
        <v>149</v>
      </c>
      <c r="U299" s="259" t="s">
        <v>149</v>
      </c>
      <c r="V299" s="259" t="s">
        <v>149</v>
      </c>
      <c r="W299" s="259" t="s">
        <v>149</v>
      </c>
      <c r="X299" s="260"/>
      <c r="Y299" s="260"/>
      <c r="Z299" s="260"/>
      <c r="AA299" s="259" t="s">
        <v>6084</v>
      </c>
      <c r="AB299" s="263" t="s">
        <v>3159</v>
      </c>
      <c r="AE299" s="258">
        <v>1.0</v>
      </c>
      <c r="AF299" s="260"/>
    </row>
    <row r="300">
      <c r="A300" s="258">
        <v>299.0</v>
      </c>
      <c r="B300" s="259" t="s">
        <v>579</v>
      </c>
      <c r="C300" s="259" t="s">
        <v>580</v>
      </c>
      <c r="D300" s="259" t="s">
        <v>3026</v>
      </c>
      <c r="E300" s="259" t="s">
        <v>3027</v>
      </c>
      <c r="F300" s="259" t="s">
        <v>149</v>
      </c>
      <c r="G300" s="259" t="s">
        <v>3028</v>
      </c>
      <c r="H300" s="258">
        <v>2013.0</v>
      </c>
      <c r="I300" s="259" t="s">
        <v>149</v>
      </c>
      <c r="J300" s="259" t="s">
        <v>149</v>
      </c>
      <c r="K300" s="259" t="s">
        <v>6062</v>
      </c>
      <c r="L300" s="259" t="s">
        <v>3018</v>
      </c>
      <c r="M300" s="259" t="s">
        <v>179</v>
      </c>
      <c r="N300" s="259" t="s">
        <v>8156</v>
      </c>
      <c r="O300" s="259" t="s">
        <v>1546</v>
      </c>
      <c r="P300" s="259" t="s">
        <v>160</v>
      </c>
      <c r="Q300" s="259" t="s">
        <v>306</v>
      </c>
      <c r="R300" s="259" t="s">
        <v>204</v>
      </c>
      <c r="S300" s="259" t="s">
        <v>149</v>
      </c>
      <c r="T300" s="259" t="s">
        <v>149</v>
      </c>
      <c r="U300" s="259" t="s">
        <v>149</v>
      </c>
      <c r="V300" s="259" t="s">
        <v>3020</v>
      </c>
      <c r="W300" s="259" t="s">
        <v>6068</v>
      </c>
      <c r="X300" s="260"/>
      <c r="Y300" s="260"/>
      <c r="Z300" s="260"/>
      <c r="AA300" s="259" t="s">
        <v>6214</v>
      </c>
      <c r="AB300" s="263" t="s">
        <v>3022</v>
      </c>
      <c r="AE300" s="258">
        <v>1.0</v>
      </c>
      <c r="AF300" s="260"/>
    </row>
    <row r="301">
      <c r="A301" s="258">
        <v>300.0</v>
      </c>
      <c r="B301" s="259" t="s">
        <v>579</v>
      </c>
      <c r="C301" s="259" t="s">
        <v>714</v>
      </c>
      <c r="D301" s="259" t="s">
        <v>715</v>
      </c>
      <c r="E301" s="259" t="s">
        <v>716</v>
      </c>
      <c r="F301" s="259" t="s">
        <v>717</v>
      </c>
      <c r="G301" s="260"/>
      <c r="H301" s="258">
        <v>2013.0</v>
      </c>
      <c r="I301" s="259" t="s">
        <v>149</v>
      </c>
      <c r="J301" s="259" t="s">
        <v>149</v>
      </c>
      <c r="K301" s="259" t="s">
        <v>151</v>
      </c>
      <c r="L301" s="259" t="s">
        <v>362</v>
      </c>
      <c r="M301" s="259" t="s">
        <v>362</v>
      </c>
      <c r="N301" s="259" t="s">
        <v>723</v>
      </c>
      <c r="O301" s="259" t="s">
        <v>149</v>
      </c>
      <c r="P301" s="259" t="s">
        <v>149</v>
      </c>
      <c r="Q301" s="259" t="s">
        <v>149</v>
      </c>
      <c r="R301" s="259" t="s">
        <v>149</v>
      </c>
      <c r="S301" s="259" t="s">
        <v>149</v>
      </c>
      <c r="T301" s="259" t="s">
        <v>149</v>
      </c>
      <c r="U301" s="259" t="s">
        <v>149</v>
      </c>
      <c r="V301" s="259" t="s">
        <v>724</v>
      </c>
      <c r="W301" s="259" t="s">
        <v>184</v>
      </c>
      <c r="X301" s="260"/>
      <c r="Y301" s="260"/>
      <c r="Z301" s="260"/>
      <c r="AA301" s="259" t="s">
        <v>6517</v>
      </c>
      <c r="AB301" s="263" t="s">
        <v>6825</v>
      </c>
      <c r="AE301" s="258">
        <v>1.0</v>
      </c>
      <c r="AF301" s="260"/>
    </row>
    <row r="302">
      <c r="A302" s="258">
        <v>301.0</v>
      </c>
      <c r="B302" s="259" t="s">
        <v>579</v>
      </c>
      <c r="C302" s="259" t="s">
        <v>714</v>
      </c>
      <c r="D302" s="259" t="s">
        <v>715</v>
      </c>
      <c r="E302" s="259" t="s">
        <v>716</v>
      </c>
      <c r="F302" s="259" t="s">
        <v>1840</v>
      </c>
      <c r="H302" s="258">
        <v>2017.0</v>
      </c>
      <c r="I302" s="259" t="s">
        <v>149</v>
      </c>
      <c r="J302" s="259" t="s">
        <v>149</v>
      </c>
      <c r="K302" s="259" t="s">
        <v>6062</v>
      </c>
      <c r="L302" s="259" t="s">
        <v>1841</v>
      </c>
      <c r="M302" s="259" t="s">
        <v>179</v>
      </c>
      <c r="N302" s="259" t="s">
        <v>1842</v>
      </c>
      <c r="O302" s="259" t="s">
        <v>149</v>
      </c>
      <c r="P302" s="259" t="s">
        <v>149</v>
      </c>
      <c r="Q302" s="259" t="s">
        <v>149</v>
      </c>
      <c r="R302" s="259" t="s">
        <v>149</v>
      </c>
      <c r="S302" s="259" t="s">
        <v>149</v>
      </c>
      <c r="T302" s="259" t="s">
        <v>149</v>
      </c>
      <c r="U302" s="259" t="s">
        <v>149</v>
      </c>
      <c r="V302" s="259" t="s">
        <v>724</v>
      </c>
      <c r="W302" s="259" t="s">
        <v>184</v>
      </c>
      <c r="X302" s="260"/>
      <c r="Y302" s="260"/>
      <c r="Z302" s="260"/>
      <c r="AA302" s="259" t="s">
        <v>6517</v>
      </c>
      <c r="AB302" s="263" t="s">
        <v>6825</v>
      </c>
      <c r="AE302" s="258">
        <v>1.0</v>
      </c>
      <c r="AF302" s="260"/>
    </row>
    <row r="303">
      <c r="A303" s="258">
        <v>302.0</v>
      </c>
      <c r="B303" s="259" t="s">
        <v>579</v>
      </c>
      <c r="C303" s="259" t="s">
        <v>714</v>
      </c>
      <c r="D303" s="259" t="s">
        <v>715</v>
      </c>
      <c r="E303" s="259" t="s">
        <v>716</v>
      </c>
      <c r="F303" s="259" t="s">
        <v>6704</v>
      </c>
      <c r="H303" s="258">
        <v>2006.0</v>
      </c>
      <c r="I303" s="259" t="s">
        <v>149</v>
      </c>
      <c r="J303" s="259" t="s">
        <v>149</v>
      </c>
      <c r="K303" s="259" t="s">
        <v>151</v>
      </c>
      <c r="L303" s="259" t="s">
        <v>149</v>
      </c>
      <c r="M303" s="259" t="s">
        <v>149</v>
      </c>
      <c r="N303" s="259" t="s">
        <v>699</v>
      </c>
      <c r="O303" s="259" t="s">
        <v>149</v>
      </c>
      <c r="P303" s="259" t="s">
        <v>149</v>
      </c>
      <c r="Q303" s="259" t="s">
        <v>149</v>
      </c>
      <c r="R303" s="259" t="s">
        <v>149</v>
      </c>
      <c r="S303" s="259" t="s">
        <v>149</v>
      </c>
      <c r="T303" s="259" t="s">
        <v>149</v>
      </c>
      <c r="U303" s="259" t="s">
        <v>149</v>
      </c>
      <c r="V303" s="259" t="s">
        <v>724</v>
      </c>
      <c r="W303" s="259" t="s">
        <v>184</v>
      </c>
      <c r="X303" s="260"/>
      <c r="Y303" s="260"/>
      <c r="Z303" s="260"/>
      <c r="AA303" s="259" t="s">
        <v>8092</v>
      </c>
      <c r="AC303" s="260"/>
      <c r="AD303" s="260"/>
      <c r="AE303" s="258">
        <v>1.0</v>
      </c>
      <c r="AF303" s="260"/>
    </row>
    <row r="304">
      <c r="A304" s="258">
        <v>303.0</v>
      </c>
      <c r="B304" s="259" t="s">
        <v>579</v>
      </c>
      <c r="C304" s="259" t="s">
        <v>585</v>
      </c>
      <c r="D304" s="259" t="s">
        <v>1464</v>
      </c>
      <c r="E304" s="259" t="s">
        <v>1465</v>
      </c>
      <c r="F304" s="259" t="s">
        <v>1377</v>
      </c>
      <c r="H304" s="258">
        <v>1992.0</v>
      </c>
      <c r="I304" s="258">
        <v>1990.0</v>
      </c>
      <c r="J304" s="258">
        <v>1994.0</v>
      </c>
      <c r="K304" s="259" t="s">
        <v>151</v>
      </c>
      <c r="L304" s="259" t="s">
        <v>149</v>
      </c>
      <c r="M304" s="259" t="s">
        <v>149</v>
      </c>
      <c r="N304" s="259" t="s">
        <v>149</v>
      </c>
      <c r="O304" s="259" t="s">
        <v>8120</v>
      </c>
      <c r="P304" s="259" t="s">
        <v>205</v>
      </c>
      <c r="Q304" s="259" t="s">
        <v>8096</v>
      </c>
      <c r="R304" s="259" t="s">
        <v>159</v>
      </c>
      <c r="S304" s="259" t="s">
        <v>149</v>
      </c>
      <c r="T304" s="259" t="s">
        <v>149</v>
      </c>
      <c r="U304" s="259" t="s">
        <v>149</v>
      </c>
      <c r="V304" s="259" t="s">
        <v>660</v>
      </c>
      <c r="W304" s="259" t="s">
        <v>6035</v>
      </c>
      <c r="X304" s="259" t="s">
        <v>369</v>
      </c>
      <c r="Y304" s="260"/>
      <c r="Z304" s="260"/>
      <c r="AA304" s="259" t="s">
        <v>395</v>
      </c>
      <c r="AB304" s="263" t="s">
        <v>2873</v>
      </c>
      <c r="AC304" s="259" t="s">
        <v>398</v>
      </c>
      <c r="AE304" s="258">
        <v>1.0</v>
      </c>
      <c r="AF304" s="260"/>
    </row>
    <row r="305">
      <c r="A305" s="258">
        <v>304.0</v>
      </c>
      <c r="B305" s="259" t="s">
        <v>579</v>
      </c>
      <c r="C305" s="259" t="s">
        <v>585</v>
      </c>
      <c r="D305" s="259" t="s">
        <v>1467</v>
      </c>
      <c r="E305" s="259" t="s">
        <v>1468</v>
      </c>
      <c r="F305" s="259" t="s">
        <v>1377</v>
      </c>
      <c r="G305" s="259" t="s">
        <v>639</v>
      </c>
      <c r="H305" s="258">
        <v>1992.0</v>
      </c>
      <c r="I305" s="258">
        <v>1990.0</v>
      </c>
      <c r="J305" s="258">
        <v>1994.0</v>
      </c>
      <c r="K305" s="259" t="s">
        <v>151</v>
      </c>
      <c r="L305" s="259" t="s">
        <v>149</v>
      </c>
      <c r="M305" s="259" t="s">
        <v>149</v>
      </c>
      <c r="N305" s="259" t="s">
        <v>149</v>
      </c>
      <c r="O305" s="259" t="s">
        <v>8120</v>
      </c>
      <c r="P305" s="259" t="s">
        <v>205</v>
      </c>
      <c r="Q305" s="259" t="s">
        <v>8096</v>
      </c>
      <c r="R305" s="259" t="s">
        <v>159</v>
      </c>
      <c r="S305" s="259" t="s">
        <v>149</v>
      </c>
      <c r="T305" s="259" t="s">
        <v>149</v>
      </c>
      <c r="U305" s="259" t="s">
        <v>149</v>
      </c>
      <c r="V305" s="259" t="s">
        <v>660</v>
      </c>
      <c r="W305" s="259" t="s">
        <v>6035</v>
      </c>
      <c r="X305" s="259" t="s">
        <v>369</v>
      </c>
      <c r="Y305" s="260"/>
      <c r="Z305" s="260"/>
      <c r="AA305" s="259" t="s">
        <v>395</v>
      </c>
      <c r="AB305" s="263" t="s">
        <v>2873</v>
      </c>
      <c r="AC305" s="259" t="s">
        <v>398</v>
      </c>
      <c r="AE305" s="258">
        <v>1.0</v>
      </c>
      <c r="AF305" s="260"/>
    </row>
    <row r="306">
      <c r="A306" s="258">
        <v>305.0</v>
      </c>
      <c r="B306" s="259" t="s">
        <v>579</v>
      </c>
      <c r="C306" s="259" t="s">
        <v>585</v>
      </c>
      <c r="D306" s="259" t="s">
        <v>1467</v>
      </c>
      <c r="E306" s="259" t="s">
        <v>1468</v>
      </c>
      <c r="F306" s="259" t="s">
        <v>1377</v>
      </c>
      <c r="G306" s="259" t="s">
        <v>1470</v>
      </c>
      <c r="H306" s="258">
        <v>1992.0</v>
      </c>
      <c r="I306" s="258">
        <v>1990.0</v>
      </c>
      <c r="J306" s="258">
        <v>1994.0</v>
      </c>
      <c r="K306" s="259" t="s">
        <v>151</v>
      </c>
      <c r="L306" s="259" t="s">
        <v>149</v>
      </c>
      <c r="M306" s="259" t="s">
        <v>149</v>
      </c>
      <c r="N306" s="259" t="s">
        <v>149</v>
      </c>
      <c r="O306" s="259" t="s">
        <v>8120</v>
      </c>
      <c r="P306" s="259" t="s">
        <v>205</v>
      </c>
      <c r="Q306" s="259" t="s">
        <v>8096</v>
      </c>
      <c r="R306" s="259" t="s">
        <v>159</v>
      </c>
      <c r="S306" s="259" t="s">
        <v>149</v>
      </c>
      <c r="T306" s="259" t="s">
        <v>149</v>
      </c>
      <c r="U306" s="259" t="s">
        <v>149</v>
      </c>
      <c r="V306" s="259" t="s">
        <v>660</v>
      </c>
      <c r="W306" s="259" t="s">
        <v>6035</v>
      </c>
      <c r="X306" s="259" t="s">
        <v>369</v>
      </c>
      <c r="Y306" s="260"/>
      <c r="Z306" s="260"/>
      <c r="AA306" s="259" t="s">
        <v>395</v>
      </c>
      <c r="AB306" s="263" t="s">
        <v>2873</v>
      </c>
      <c r="AC306" s="259" t="s">
        <v>398</v>
      </c>
      <c r="AE306" s="258">
        <v>1.0</v>
      </c>
      <c r="AF306" s="260"/>
    </row>
    <row r="307">
      <c r="A307" s="258">
        <v>306.0</v>
      </c>
      <c r="B307" s="259" t="s">
        <v>579</v>
      </c>
      <c r="C307" s="259" t="s">
        <v>585</v>
      </c>
      <c r="D307" s="259" t="s">
        <v>1472</v>
      </c>
      <c r="E307" s="259" t="s">
        <v>1473</v>
      </c>
      <c r="F307" s="259" t="s">
        <v>1377</v>
      </c>
      <c r="G307" s="259" t="s">
        <v>1474</v>
      </c>
      <c r="H307" s="258">
        <v>1992.0</v>
      </c>
      <c r="I307" s="258">
        <v>1990.0</v>
      </c>
      <c r="J307" s="258">
        <v>1994.0</v>
      </c>
      <c r="K307" s="259" t="s">
        <v>151</v>
      </c>
      <c r="L307" s="259" t="s">
        <v>149</v>
      </c>
      <c r="M307" s="259" t="s">
        <v>149</v>
      </c>
      <c r="N307" s="259" t="s">
        <v>149</v>
      </c>
      <c r="O307" s="259" t="s">
        <v>8120</v>
      </c>
      <c r="P307" s="259" t="s">
        <v>205</v>
      </c>
      <c r="Q307" s="259" t="s">
        <v>8096</v>
      </c>
      <c r="R307" s="259" t="s">
        <v>159</v>
      </c>
      <c r="S307" s="259" t="s">
        <v>149</v>
      </c>
      <c r="T307" s="259" t="s">
        <v>149</v>
      </c>
      <c r="U307" s="259" t="s">
        <v>149</v>
      </c>
      <c r="V307" s="259" t="s">
        <v>660</v>
      </c>
      <c r="W307" s="259" t="s">
        <v>6035</v>
      </c>
      <c r="X307" s="259" t="s">
        <v>369</v>
      </c>
      <c r="Y307" s="260"/>
      <c r="Z307" s="260"/>
      <c r="AA307" s="259" t="s">
        <v>395</v>
      </c>
      <c r="AB307" s="263" t="s">
        <v>2873</v>
      </c>
      <c r="AC307" s="259" t="s">
        <v>398</v>
      </c>
      <c r="AE307" s="258">
        <v>1.0</v>
      </c>
      <c r="AF307" s="260"/>
    </row>
    <row r="308">
      <c r="A308" s="258">
        <v>307.0</v>
      </c>
      <c r="B308" s="259" t="s">
        <v>579</v>
      </c>
      <c r="C308" s="259" t="s">
        <v>585</v>
      </c>
      <c r="D308" s="259" t="s">
        <v>586</v>
      </c>
      <c r="E308" s="259" t="s">
        <v>587</v>
      </c>
      <c r="F308" s="259" t="s">
        <v>384</v>
      </c>
      <c r="G308" s="259" t="s">
        <v>588</v>
      </c>
      <c r="H308" s="258">
        <v>1986.0</v>
      </c>
      <c r="I308" s="258">
        <v>1985.0</v>
      </c>
      <c r="J308" s="258">
        <v>1987.0</v>
      </c>
      <c r="K308" s="259" t="s">
        <v>151</v>
      </c>
      <c r="L308" s="259" t="s">
        <v>6054</v>
      </c>
      <c r="M308" s="259" t="s">
        <v>6054</v>
      </c>
      <c r="N308" s="259" t="s">
        <v>149</v>
      </c>
      <c r="O308" s="259" t="s">
        <v>390</v>
      </c>
      <c r="P308" s="259" t="s">
        <v>160</v>
      </c>
      <c r="Q308" s="259" t="s">
        <v>6035</v>
      </c>
      <c r="R308" s="259" t="s">
        <v>159</v>
      </c>
      <c r="S308" s="259" t="s">
        <v>149</v>
      </c>
      <c r="T308" s="259" t="s">
        <v>149</v>
      </c>
      <c r="U308" s="259" t="s">
        <v>450</v>
      </c>
      <c r="V308" s="259" t="s">
        <v>390</v>
      </c>
      <c r="W308" s="259" t="s">
        <v>6035</v>
      </c>
      <c r="X308" s="259" t="s">
        <v>6055</v>
      </c>
      <c r="AA308" s="259" t="s">
        <v>395</v>
      </c>
      <c r="AB308" s="263" t="s">
        <v>2873</v>
      </c>
      <c r="AC308" s="259" t="s">
        <v>398</v>
      </c>
      <c r="AE308" s="258">
        <v>1.0</v>
      </c>
      <c r="AF308" s="260"/>
    </row>
    <row r="309">
      <c r="A309" s="258">
        <v>308.0</v>
      </c>
      <c r="B309" s="259" t="s">
        <v>579</v>
      </c>
      <c r="C309" s="259" t="s">
        <v>585</v>
      </c>
      <c r="D309" s="259" t="s">
        <v>586</v>
      </c>
      <c r="E309" s="259" t="s">
        <v>587</v>
      </c>
      <c r="F309" s="259" t="s">
        <v>1377</v>
      </c>
      <c r="G309" s="259" t="s">
        <v>1476</v>
      </c>
      <c r="H309" s="258">
        <v>1992.0</v>
      </c>
      <c r="I309" s="258">
        <v>1990.0</v>
      </c>
      <c r="J309" s="258">
        <v>1994.0</v>
      </c>
      <c r="K309" s="259" t="s">
        <v>151</v>
      </c>
      <c r="L309" s="259" t="s">
        <v>149</v>
      </c>
      <c r="M309" s="259" t="s">
        <v>149</v>
      </c>
      <c r="N309" s="259" t="s">
        <v>149</v>
      </c>
      <c r="O309" s="259" t="s">
        <v>8120</v>
      </c>
      <c r="P309" s="259" t="s">
        <v>205</v>
      </c>
      <c r="Q309" s="259" t="s">
        <v>8096</v>
      </c>
      <c r="R309" s="259" t="s">
        <v>159</v>
      </c>
      <c r="S309" s="259" t="s">
        <v>149</v>
      </c>
      <c r="T309" s="259" t="s">
        <v>149</v>
      </c>
      <c r="U309" s="259" t="s">
        <v>149</v>
      </c>
      <c r="V309" s="259" t="s">
        <v>660</v>
      </c>
      <c r="W309" s="259" t="s">
        <v>6035</v>
      </c>
      <c r="X309" s="259" t="s">
        <v>369</v>
      </c>
      <c r="Y309" s="260"/>
      <c r="Z309" s="260"/>
      <c r="AA309" s="259" t="s">
        <v>395</v>
      </c>
      <c r="AB309" s="263" t="s">
        <v>2873</v>
      </c>
      <c r="AC309" s="259" t="s">
        <v>398</v>
      </c>
      <c r="AE309" s="258">
        <v>1.0</v>
      </c>
      <c r="AF309" s="260"/>
    </row>
    <row r="310">
      <c r="A310" s="258">
        <v>309.0</v>
      </c>
      <c r="B310" s="259" t="s">
        <v>579</v>
      </c>
      <c r="C310" s="259" t="s">
        <v>585</v>
      </c>
      <c r="D310" s="259" t="s">
        <v>586</v>
      </c>
      <c r="E310" s="259" t="s">
        <v>587</v>
      </c>
      <c r="F310" s="259" t="s">
        <v>1377</v>
      </c>
      <c r="G310" s="259" t="s">
        <v>1478</v>
      </c>
      <c r="H310" s="258">
        <v>1992.0</v>
      </c>
      <c r="I310" s="258">
        <v>1990.0</v>
      </c>
      <c r="J310" s="258">
        <v>1994.0</v>
      </c>
      <c r="K310" s="259" t="s">
        <v>151</v>
      </c>
      <c r="L310" s="259" t="s">
        <v>149</v>
      </c>
      <c r="M310" s="259" t="s">
        <v>149</v>
      </c>
      <c r="N310" s="259" t="s">
        <v>149</v>
      </c>
      <c r="O310" s="259" t="s">
        <v>8120</v>
      </c>
      <c r="P310" s="259" t="s">
        <v>205</v>
      </c>
      <c r="Q310" s="259" t="s">
        <v>8096</v>
      </c>
      <c r="R310" s="259" t="s">
        <v>159</v>
      </c>
      <c r="S310" s="259" t="s">
        <v>149</v>
      </c>
      <c r="T310" s="259" t="s">
        <v>149</v>
      </c>
      <c r="U310" s="259" t="s">
        <v>149</v>
      </c>
      <c r="V310" s="259" t="s">
        <v>660</v>
      </c>
      <c r="W310" s="259" t="s">
        <v>6035</v>
      </c>
      <c r="X310" s="259" t="s">
        <v>369</v>
      </c>
      <c r="Y310" s="260"/>
      <c r="Z310" s="260"/>
      <c r="AA310" s="259" t="s">
        <v>395</v>
      </c>
      <c r="AB310" s="263" t="s">
        <v>2873</v>
      </c>
      <c r="AC310" s="259" t="s">
        <v>398</v>
      </c>
      <c r="AE310" s="258">
        <v>1.0</v>
      </c>
      <c r="AF310" s="260"/>
    </row>
    <row r="311">
      <c r="A311" s="258">
        <v>310.0</v>
      </c>
      <c r="B311" s="259" t="s">
        <v>579</v>
      </c>
      <c r="C311" s="259" t="s">
        <v>585</v>
      </c>
      <c r="D311" s="259" t="s">
        <v>585</v>
      </c>
      <c r="E311" s="259" t="s">
        <v>1480</v>
      </c>
      <c r="F311" s="259" t="s">
        <v>1377</v>
      </c>
      <c r="G311" s="259" t="s">
        <v>1481</v>
      </c>
      <c r="H311" s="258">
        <v>1992.0</v>
      </c>
      <c r="I311" s="258">
        <v>1990.0</v>
      </c>
      <c r="J311" s="258">
        <v>1994.0</v>
      </c>
      <c r="K311" s="259" t="s">
        <v>151</v>
      </c>
      <c r="L311" s="259" t="s">
        <v>149</v>
      </c>
      <c r="M311" s="259" t="s">
        <v>149</v>
      </c>
      <c r="N311" s="259" t="s">
        <v>149</v>
      </c>
      <c r="O311" s="259" t="s">
        <v>8120</v>
      </c>
      <c r="P311" s="259" t="s">
        <v>205</v>
      </c>
      <c r="Q311" s="259" t="s">
        <v>8096</v>
      </c>
      <c r="R311" s="259" t="s">
        <v>159</v>
      </c>
      <c r="S311" s="259" t="s">
        <v>149</v>
      </c>
      <c r="T311" s="259" t="s">
        <v>149</v>
      </c>
      <c r="U311" s="259" t="s">
        <v>149</v>
      </c>
      <c r="V311" s="259" t="s">
        <v>660</v>
      </c>
      <c r="W311" s="259" t="s">
        <v>6035</v>
      </c>
      <c r="X311" s="259" t="s">
        <v>369</v>
      </c>
      <c r="Y311" s="260"/>
      <c r="Z311" s="260"/>
      <c r="AA311" s="259" t="s">
        <v>395</v>
      </c>
      <c r="AB311" s="263" t="s">
        <v>2873</v>
      </c>
      <c r="AC311" s="259" t="s">
        <v>398</v>
      </c>
      <c r="AE311" s="258">
        <v>1.0</v>
      </c>
      <c r="AF311" s="260"/>
    </row>
    <row r="312">
      <c r="A312" s="258">
        <v>311.0</v>
      </c>
      <c r="B312" s="259" t="s">
        <v>579</v>
      </c>
      <c r="C312" s="259" t="s">
        <v>585</v>
      </c>
      <c r="D312" s="259" t="s">
        <v>1483</v>
      </c>
      <c r="E312" s="259" t="s">
        <v>1484</v>
      </c>
      <c r="F312" s="259" t="s">
        <v>1377</v>
      </c>
      <c r="G312" s="259" t="s">
        <v>1485</v>
      </c>
      <c r="H312" s="258">
        <v>1992.0</v>
      </c>
      <c r="I312" s="258">
        <v>1990.0</v>
      </c>
      <c r="J312" s="258">
        <v>1994.0</v>
      </c>
      <c r="K312" s="259" t="s">
        <v>151</v>
      </c>
      <c r="L312" s="259" t="s">
        <v>149</v>
      </c>
      <c r="M312" s="259" t="s">
        <v>149</v>
      </c>
      <c r="N312" s="259" t="s">
        <v>149</v>
      </c>
      <c r="O312" s="259" t="s">
        <v>8120</v>
      </c>
      <c r="P312" s="259" t="s">
        <v>205</v>
      </c>
      <c r="Q312" s="259" t="s">
        <v>8096</v>
      </c>
      <c r="R312" s="259" t="s">
        <v>159</v>
      </c>
      <c r="S312" s="259" t="s">
        <v>149</v>
      </c>
      <c r="T312" s="259" t="s">
        <v>149</v>
      </c>
      <c r="U312" s="259" t="s">
        <v>149</v>
      </c>
      <c r="V312" s="259" t="s">
        <v>660</v>
      </c>
      <c r="W312" s="259" t="s">
        <v>6035</v>
      </c>
      <c r="X312" s="259" t="s">
        <v>369</v>
      </c>
      <c r="Y312" s="260"/>
      <c r="Z312" s="260"/>
      <c r="AA312" s="259" t="s">
        <v>395</v>
      </c>
      <c r="AB312" s="263" t="s">
        <v>2873</v>
      </c>
      <c r="AC312" s="259" t="s">
        <v>398</v>
      </c>
      <c r="AE312" s="258">
        <v>1.0</v>
      </c>
      <c r="AF312" s="260"/>
    </row>
    <row r="313">
      <c r="A313" s="258">
        <v>312.0</v>
      </c>
      <c r="B313" s="259" t="s">
        <v>579</v>
      </c>
      <c r="C313" s="259" t="s">
        <v>585</v>
      </c>
      <c r="D313" s="259" t="s">
        <v>1487</v>
      </c>
      <c r="E313" s="259" t="s">
        <v>1488</v>
      </c>
      <c r="F313" s="259" t="s">
        <v>1377</v>
      </c>
      <c r="G313" s="259" t="s">
        <v>1489</v>
      </c>
      <c r="H313" s="258">
        <v>1992.0</v>
      </c>
      <c r="I313" s="258">
        <v>1990.0</v>
      </c>
      <c r="J313" s="258">
        <v>1994.0</v>
      </c>
      <c r="K313" s="259" t="s">
        <v>151</v>
      </c>
      <c r="L313" s="259" t="s">
        <v>149</v>
      </c>
      <c r="M313" s="259" t="s">
        <v>149</v>
      </c>
      <c r="N313" s="259" t="s">
        <v>149</v>
      </c>
      <c r="O313" s="259" t="s">
        <v>8120</v>
      </c>
      <c r="P313" s="259" t="s">
        <v>205</v>
      </c>
      <c r="Q313" s="259" t="s">
        <v>8096</v>
      </c>
      <c r="R313" s="259" t="s">
        <v>159</v>
      </c>
      <c r="S313" s="259" t="s">
        <v>149</v>
      </c>
      <c r="T313" s="259" t="s">
        <v>149</v>
      </c>
      <c r="U313" s="259" t="s">
        <v>149</v>
      </c>
      <c r="V313" s="259" t="s">
        <v>660</v>
      </c>
      <c r="W313" s="259" t="s">
        <v>6035</v>
      </c>
      <c r="X313" s="259" t="s">
        <v>369</v>
      </c>
      <c r="Y313" s="260"/>
      <c r="Z313" s="260"/>
      <c r="AA313" s="259" t="s">
        <v>395</v>
      </c>
      <c r="AB313" s="263" t="s">
        <v>2873</v>
      </c>
      <c r="AC313" s="259" t="s">
        <v>398</v>
      </c>
      <c r="AE313" s="258">
        <v>1.0</v>
      </c>
      <c r="AF313" s="260"/>
    </row>
    <row r="314">
      <c r="A314" s="258">
        <v>313.0</v>
      </c>
      <c r="B314" s="259" t="s">
        <v>579</v>
      </c>
      <c r="C314" s="259" t="s">
        <v>585</v>
      </c>
      <c r="D314" s="259" t="s">
        <v>7266</v>
      </c>
      <c r="E314" s="259" t="s">
        <v>1492</v>
      </c>
      <c r="F314" s="259" t="s">
        <v>1377</v>
      </c>
      <c r="G314" s="259" t="s">
        <v>635</v>
      </c>
      <c r="H314" s="258">
        <v>1992.0</v>
      </c>
      <c r="I314" s="258">
        <v>1990.0</v>
      </c>
      <c r="J314" s="258">
        <v>1994.0</v>
      </c>
      <c r="K314" s="259" t="s">
        <v>151</v>
      </c>
      <c r="L314" s="259" t="s">
        <v>149</v>
      </c>
      <c r="M314" s="259" t="s">
        <v>149</v>
      </c>
      <c r="N314" s="259" t="s">
        <v>149</v>
      </c>
      <c r="O314" s="259" t="s">
        <v>8120</v>
      </c>
      <c r="P314" s="259" t="s">
        <v>205</v>
      </c>
      <c r="Q314" s="259" t="s">
        <v>8096</v>
      </c>
      <c r="R314" s="259" t="s">
        <v>159</v>
      </c>
      <c r="S314" s="259" t="s">
        <v>149</v>
      </c>
      <c r="T314" s="259" t="s">
        <v>149</v>
      </c>
      <c r="U314" s="259" t="s">
        <v>149</v>
      </c>
      <c r="V314" s="259" t="s">
        <v>660</v>
      </c>
      <c r="W314" s="259" t="s">
        <v>6035</v>
      </c>
      <c r="X314" s="259" t="s">
        <v>369</v>
      </c>
      <c r="Y314" s="260"/>
      <c r="Z314" s="260"/>
      <c r="AA314" s="259" t="s">
        <v>395</v>
      </c>
      <c r="AB314" s="263" t="s">
        <v>2873</v>
      </c>
      <c r="AC314" s="259" t="s">
        <v>398</v>
      </c>
      <c r="AE314" s="258">
        <v>1.0</v>
      </c>
      <c r="AF314" s="260"/>
    </row>
    <row r="315">
      <c r="A315" s="258">
        <v>314.0</v>
      </c>
      <c r="B315" s="259" t="s">
        <v>579</v>
      </c>
      <c r="C315" s="259" t="s">
        <v>1271</v>
      </c>
      <c r="D315" s="259" t="s">
        <v>1272</v>
      </c>
      <c r="E315" s="259" t="s">
        <v>1273</v>
      </c>
      <c r="F315" s="259" t="s">
        <v>1174</v>
      </c>
      <c r="H315" s="258">
        <v>2013.0</v>
      </c>
      <c r="I315" s="258">
        <v>2012.0</v>
      </c>
      <c r="J315" s="258">
        <v>2013.0</v>
      </c>
      <c r="K315" s="259" t="s">
        <v>6062</v>
      </c>
      <c r="L315" s="259" t="s">
        <v>1274</v>
      </c>
      <c r="M315" s="259" t="s">
        <v>179</v>
      </c>
      <c r="N315" s="259" t="s">
        <v>149</v>
      </c>
      <c r="O315" s="259" t="s">
        <v>321</v>
      </c>
      <c r="P315" s="259" t="s">
        <v>160</v>
      </c>
      <c r="Q315" s="259" t="s">
        <v>6035</v>
      </c>
      <c r="R315" s="259" t="s">
        <v>204</v>
      </c>
      <c r="S315" s="259" t="s">
        <v>149</v>
      </c>
      <c r="T315" s="259" t="s">
        <v>149</v>
      </c>
      <c r="U315" s="259" t="s">
        <v>1275</v>
      </c>
      <c r="V315" s="259" t="s">
        <v>885</v>
      </c>
      <c r="W315" s="259" t="s">
        <v>6068</v>
      </c>
      <c r="X315" s="259" t="s">
        <v>1276</v>
      </c>
      <c r="Y315" s="259" t="s">
        <v>1277</v>
      </c>
      <c r="AA315" s="259" t="s">
        <v>6069</v>
      </c>
      <c r="AC315" s="259" t="s">
        <v>1280</v>
      </c>
      <c r="AD315" s="259" t="s">
        <v>1281</v>
      </c>
      <c r="AE315" s="258">
        <v>1.0</v>
      </c>
      <c r="AF315" s="260"/>
    </row>
    <row r="316">
      <c r="A316" s="258">
        <v>315.0</v>
      </c>
      <c r="B316" s="259" t="s">
        <v>579</v>
      </c>
      <c r="C316" s="259" t="s">
        <v>1271</v>
      </c>
      <c r="D316" s="259" t="s">
        <v>1272</v>
      </c>
      <c r="E316" s="259" t="s">
        <v>1273</v>
      </c>
      <c r="F316" s="259" t="s">
        <v>1746</v>
      </c>
      <c r="H316" s="258">
        <v>2014.0</v>
      </c>
      <c r="I316" s="258">
        <v>2014.0</v>
      </c>
      <c r="J316" s="259" t="s">
        <v>149</v>
      </c>
      <c r="K316" s="259" t="s">
        <v>151</v>
      </c>
      <c r="L316" s="259" t="s">
        <v>605</v>
      </c>
      <c r="M316" s="259" t="s">
        <v>605</v>
      </c>
      <c r="N316" s="259" t="s">
        <v>1747</v>
      </c>
      <c r="O316" s="259" t="s">
        <v>1736</v>
      </c>
      <c r="P316" s="259" t="s">
        <v>205</v>
      </c>
      <c r="Q316" s="259" t="s">
        <v>306</v>
      </c>
      <c r="R316" s="259" t="s">
        <v>159</v>
      </c>
      <c r="S316" s="259" t="s">
        <v>149</v>
      </c>
      <c r="T316" s="259" t="s">
        <v>149</v>
      </c>
      <c r="U316" s="259" t="s">
        <v>149</v>
      </c>
      <c r="V316" s="259" t="s">
        <v>1736</v>
      </c>
      <c r="W316" s="259" t="s">
        <v>306</v>
      </c>
      <c r="X316" s="259" t="s">
        <v>158</v>
      </c>
      <c r="Y316" s="262"/>
      <c r="Z316" s="260"/>
      <c r="AA316" s="259" t="s">
        <v>6517</v>
      </c>
      <c r="AB316" s="263" t="s">
        <v>1750</v>
      </c>
      <c r="AC316" s="259" t="s">
        <v>1739</v>
      </c>
      <c r="AD316" s="259" t="s">
        <v>1740</v>
      </c>
      <c r="AE316" s="258">
        <v>1.0</v>
      </c>
      <c r="AF316" s="260"/>
    </row>
    <row r="317">
      <c r="A317" s="258">
        <v>316.0</v>
      </c>
      <c r="B317" s="259" t="s">
        <v>579</v>
      </c>
      <c r="C317" s="259" t="s">
        <v>1271</v>
      </c>
      <c r="D317" s="259" t="s">
        <v>1272</v>
      </c>
      <c r="E317" s="259" t="s">
        <v>1273</v>
      </c>
      <c r="F317" s="259" t="s">
        <v>149</v>
      </c>
      <c r="G317" s="260"/>
      <c r="H317" s="259" t="s">
        <v>149</v>
      </c>
      <c r="I317" s="259" t="s">
        <v>149</v>
      </c>
      <c r="J317" s="259" t="s">
        <v>149</v>
      </c>
      <c r="K317" s="259" t="s">
        <v>6062</v>
      </c>
      <c r="L317" s="259" t="s">
        <v>7273</v>
      </c>
      <c r="M317" s="259" t="s">
        <v>179</v>
      </c>
      <c r="N317" s="259" t="s">
        <v>2475</v>
      </c>
      <c r="O317" s="259" t="s">
        <v>1277</v>
      </c>
      <c r="P317" s="259" t="s">
        <v>160</v>
      </c>
      <c r="Q317" s="259" t="s">
        <v>184</v>
      </c>
      <c r="R317" s="259" t="s">
        <v>159</v>
      </c>
      <c r="S317" s="259" t="s">
        <v>149</v>
      </c>
      <c r="T317" s="259" t="s">
        <v>149</v>
      </c>
      <c r="U317" s="259" t="s">
        <v>149</v>
      </c>
      <c r="V317" s="259" t="s">
        <v>1277</v>
      </c>
      <c r="W317" s="259" t="s">
        <v>184</v>
      </c>
      <c r="X317" s="260"/>
      <c r="Y317" s="260"/>
      <c r="Z317" s="260"/>
      <c r="AA317" s="259" t="s">
        <v>6038</v>
      </c>
      <c r="AC317" s="260"/>
      <c r="AD317" s="259" t="s">
        <v>2478</v>
      </c>
      <c r="AE317" s="258">
        <v>1.0</v>
      </c>
      <c r="AF317" s="260"/>
    </row>
    <row r="318">
      <c r="A318" s="258">
        <v>317.0</v>
      </c>
      <c r="B318" s="259" t="s">
        <v>579</v>
      </c>
      <c r="C318" s="259" t="s">
        <v>1271</v>
      </c>
      <c r="D318" s="259" t="s">
        <v>1272</v>
      </c>
      <c r="E318" s="259" t="s">
        <v>1273</v>
      </c>
      <c r="F318" s="259" t="s">
        <v>1732</v>
      </c>
      <c r="G318" s="259" t="s">
        <v>7275</v>
      </c>
      <c r="H318" s="258">
        <v>2019.0</v>
      </c>
      <c r="I318" s="258">
        <v>2019.0</v>
      </c>
      <c r="J318" s="259" t="s">
        <v>149</v>
      </c>
      <c r="K318" s="259" t="s">
        <v>151</v>
      </c>
      <c r="L318" s="259" t="s">
        <v>7276</v>
      </c>
      <c r="M318" s="259" t="s">
        <v>7276</v>
      </c>
      <c r="N318" s="259" t="s">
        <v>149</v>
      </c>
      <c r="O318" s="259" t="s">
        <v>1736</v>
      </c>
      <c r="P318" s="259" t="s">
        <v>205</v>
      </c>
      <c r="Q318" s="259" t="s">
        <v>306</v>
      </c>
      <c r="R318" s="259" t="s">
        <v>159</v>
      </c>
      <c r="S318" s="259" t="s">
        <v>149</v>
      </c>
      <c r="T318" s="259" t="s">
        <v>149</v>
      </c>
      <c r="U318" s="259" t="s">
        <v>149</v>
      </c>
      <c r="V318" s="259" t="s">
        <v>1736</v>
      </c>
      <c r="W318" s="259" t="s">
        <v>306</v>
      </c>
      <c r="X318" s="260"/>
      <c r="Y318" s="262"/>
      <c r="Z318" s="260"/>
      <c r="AA318" s="259" t="s">
        <v>6038</v>
      </c>
      <c r="AB318" s="259" t="s">
        <v>1738</v>
      </c>
      <c r="AC318" s="259" t="s">
        <v>1739</v>
      </c>
      <c r="AD318" s="259" t="s">
        <v>1740</v>
      </c>
      <c r="AE318" s="258">
        <v>1.0</v>
      </c>
      <c r="AF318" s="260"/>
    </row>
    <row r="319">
      <c r="A319" s="258">
        <v>318.0</v>
      </c>
      <c r="B319" s="259" t="s">
        <v>579</v>
      </c>
      <c r="C319" s="259" t="s">
        <v>1271</v>
      </c>
      <c r="D319" s="259" t="s">
        <v>1272</v>
      </c>
      <c r="E319" s="259" t="s">
        <v>1273</v>
      </c>
      <c r="F319" s="259" t="s">
        <v>1732</v>
      </c>
      <c r="G319" s="259" t="s">
        <v>7279</v>
      </c>
      <c r="H319" s="258">
        <v>2020.0</v>
      </c>
      <c r="I319" s="258">
        <v>2020.0</v>
      </c>
      <c r="J319" s="259" t="s">
        <v>149</v>
      </c>
      <c r="K319" s="259" t="s">
        <v>151</v>
      </c>
      <c r="L319" s="259" t="s">
        <v>7276</v>
      </c>
      <c r="M319" s="259" t="s">
        <v>7276</v>
      </c>
      <c r="N319" s="259" t="s">
        <v>149</v>
      </c>
      <c r="O319" s="259" t="s">
        <v>1736</v>
      </c>
      <c r="P319" s="259" t="s">
        <v>205</v>
      </c>
      <c r="Q319" s="259" t="s">
        <v>306</v>
      </c>
      <c r="R319" s="259" t="s">
        <v>159</v>
      </c>
      <c r="S319" s="259" t="s">
        <v>149</v>
      </c>
      <c r="T319" s="259" t="s">
        <v>149</v>
      </c>
      <c r="U319" s="259" t="s">
        <v>149</v>
      </c>
      <c r="V319" s="259" t="s">
        <v>1736</v>
      </c>
      <c r="W319" s="259" t="s">
        <v>306</v>
      </c>
      <c r="X319" s="260"/>
      <c r="Y319" s="262"/>
      <c r="Z319" s="260"/>
      <c r="AA319" s="259" t="s">
        <v>6038</v>
      </c>
      <c r="AB319" s="259" t="s">
        <v>1738</v>
      </c>
      <c r="AC319" s="259" t="s">
        <v>1739</v>
      </c>
      <c r="AD319" s="259" t="s">
        <v>1740</v>
      </c>
      <c r="AE319" s="258">
        <v>1.0</v>
      </c>
      <c r="AF319" s="260"/>
    </row>
    <row r="320">
      <c r="A320" s="258">
        <v>319.0</v>
      </c>
      <c r="B320" s="259" t="s">
        <v>579</v>
      </c>
      <c r="C320" s="259" t="s">
        <v>1271</v>
      </c>
      <c r="D320" s="259" t="s">
        <v>1763</v>
      </c>
      <c r="E320" s="259" t="s">
        <v>1764</v>
      </c>
      <c r="F320" s="259" t="s">
        <v>1765</v>
      </c>
      <c r="G320" s="259" t="s">
        <v>7283</v>
      </c>
      <c r="H320" s="258">
        <v>2022.0</v>
      </c>
      <c r="I320" s="259" t="s">
        <v>149</v>
      </c>
      <c r="J320" s="259" t="s">
        <v>149</v>
      </c>
      <c r="K320" s="259" t="s">
        <v>151</v>
      </c>
      <c r="L320" s="259" t="s">
        <v>6076</v>
      </c>
      <c r="M320" s="259" t="s">
        <v>6076</v>
      </c>
      <c r="N320" s="259" t="s">
        <v>1766</v>
      </c>
      <c r="O320" s="259" t="s">
        <v>1736</v>
      </c>
      <c r="P320" s="259" t="s">
        <v>205</v>
      </c>
      <c r="Q320" s="259" t="s">
        <v>306</v>
      </c>
      <c r="R320" s="259" t="s">
        <v>159</v>
      </c>
      <c r="S320" s="259" t="s">
        <v>149</v>
      </c>
      <c r="T320" s="259" t="s">
        <v>149</v>
      </c>
      <c r="U320" s="259" t="s">
        <v>149</v>
      </c>
      <c r="V320" s="259" t="s">
        <v>1736</v>
      </c>
      <c r="W320" s="259" t="s">
        <v>306</v>
      </c>
      <c r="X320" s="259" t="s">
        <v>369</v>
      </c>
      <c r="Y320" s="262"/>
      <c r="Z320" s="260"/>
      <c r="AA320" s="259" t="s">
        <v>6038</v>
      </c>
      <c r="AB320" s="263" t="s">
        <v>1768</v>
      </c>
      <c r="AC320" s="259" t="s">
        <v>1739</v>
      </c>
      <c r="AD320" s="259" t="s">
        <v>1740</v>
      </c>
      <c r="AE320" s="258">
        <v>1.0</v>
      </c>
      <c r="AF320" s="260"/>
    </row>
    <row r="321">
      <c r="A321" s="258">
        <v>320.0</v>
      </c>
      <c r="B321" s="259" t="s">
        <v>579</v>
      </c>
      <c r="C321" s="259" t="s">
        <v>1271</v>
      </c>
      <c r="D321" s="259" t="s">
        <v>1494</v>
      </c>
      <c r="E321" s="259" t="s">
        <v>1495</v>
      </c>
      <c r="F321" s="259" t="s">
        <v>1377</v>
      </c>
      <c r="G321" s="259" t="s">
        <v>7317</v>
      </c>
      <c r="H321" s="258">
        <v>1992.0</v>
      </c>
      <c r="I321" s="258">
        <v>1990.0</v>
      </c>
      <c r="J321" s="258">
        <v>1994.0</v>
      </c>
      <c r="K321" s="259" t="s">
        <v>151</v>
      </c>
      <c r="L321" s="259" t="s">
        <v>149</v>
      </c>
      <c r="M321" s="259" t="s">
        <v>149</v>
      </c>
      <c r="N321" s="259" t="s">
        <v>149</v>
      </c>
      <c r="O321" s="259" t="s">
        <v>8120</v>
      </c>
      <c r="P321" s="259" t="s">
        <v>205</v>
      </c>
      <c r="Q321" s="259" t="s">
        <v>8096</v>
      </c>
      <c r="R321" s="259" t="s">
        <v>159</v>
      </c>
      <c r="S321" s="259" t="s">
        <v>149</v>
      </c>
      <c r="T321" s="259" t="s">
        <v>149</v>
      </c>
      <c r="U321" s="259" t="s">
        <v>149</v>
      </c>
      <c r="V321" s="259" t="s">
        <v>660</v>
      </c>
      <c r="W321" s="259" t="s">
        <v>6035</v>
      </c>
      <c r="X321" s="259" t="s">
        <v>369</v>
      </c>
      <c r="Y321" s="260"/>
      <c r="Z321" s="260"/>
      <c r="AA321" s="259" t="s">
        <v>395</v>
      </c>
      <c r="AB321" s="263" t="s">
        <v>2873</v>
      </c>
      <c r="AC321" s="259" t="s">
        <v>398</v>
      </c>
      <c r="AE321" s="258">
        <v>1.0</v>
      </c>
      <c r="AF321" s="260"/>
    </row>
    <row r="322">
      <c r="A322" s="258">
        <v>321.0</v>
      </c>
      <c r="B322" s="259" t="s">
        <v>590</v>
      </c>
      <c r="C322" s="259" t="s">
        <v>591</v>
      </c>
      <c r="D322" s="259" t="s">
        <v>7288</v>
      </c>
      <c r="E322" s="259" t="s">
        <v>593</v>
      </c>
      <c r="F322" s="259" t="s">
        <v>384</v>
      </c>
      <c r="G322" s="259" t="s">
        <v>435</v>
      </c>
      <c r="H322" s="258">
        <v>1987.0</v>
      </c>
      <c r="I322" s="258">
        <v>1985.0</v>
      </c>
      <c r="J322" s="258">
        <v>19987.0</v>
      </c>
      <c r="K322" s="259" t="s">
        <v>151</v>
      </c>
      <c r="L322" s="259" t="s">
        <v>469</v>
      </c>
      <c r="M322" s="259" t="s">
        <v>469</v>
      </c>
      <c r="N322" s="259" t="s">
        <v>149</v>
      </c>
      <c r="O322" s="259" t="s">
        <v>390</v>
      </c>
      <c r="P322" s="259" t="s">
        <v>160</v>
      </c>
      <c r="Q322" s="259" t="s">
        <v>6035</v>
      </c>
      <c r="R322" s="259" t="s">
        <v>159</v>
      </c>
      <c r="S322" s="259" t="s">
        <v>149</v>
      </c>
      <c r="T322" s="259" t="s">
        <v>149</v>
      </c>
      <c r="U322" s="259" t="s">
        <v>149</v>
      </c>
      <c r="V322" s="259" t="s">
        <v>390</v>
      </c>
      <c r="W322" s="259" t="s">
        <v>6035</v>
      </c>
      <c r="X322" s="259" t="s">
        <v>6055</v>
      </c>
      <c r="AA322" s="259" t="s">
        <v>395</v>
      </c>
      <c r="AB322" s="263" t="s">
        <v>2873</v>
      </c>
      <c r="AC322" s="259" t="s">
        <v>398</v>
      </c>
      <c r="AE322" s="258">
        <v>1.0</v>
      </c>
      <c r="AF322" s="260"/>
    </row>
    <row r="323">
      <c r="A323" s="258">
        <v>322.0</v>
      </c>
      <c r="B323" s="259" t="s">
        <v>590</v>
      </c>
      <c r="C323" s="259" t="s">
        <v>591</v>
      </c>
      <c r="D323" s="259" t="s">
        <v>7288</v>
      </c>
      <c r="E323" s="259" t="s">
        <v>593</v>
      </c>
      <c r="F323" s="259" t="s">
        <v>384</v>
      </c>
      <c r="G323" s="259" t="s">
        <v>596</v>
      </c>
      <c r="H323" s="258">
        <v>1987.0</v>
      </c>
      <c r="I323" s="258">
        <v>1985.0</v>
      </c>
      <c r="J323" s="258">
        <v>1987.0</v>
      </c>
      <c r="K323" s="259" t="s">
        <v>151</v>
      </c>
      <c r="L323" s="259" t="s">
        <v>469</v>
      </c>
      <c r="M323" s="259" t="s">
        <v>469</v>
      </c>
      <c r="N323" s="259" t="s">
        <v>149</v>
      </c>
      <c r="O323" s="259" t="s">
        <v>390</v>
      </c>
      <c r="P323" s="259" t="s">
        <v>160</v>
      </c>
      <c r="Q323" s="259" t="s">
        <v>6035</v>
      </c>
      <c r="R323" s="259" t="s">
        <v>159</v>
      </c>
      <c r="S323" s="259" t="s">
        <v>149</v>
      </c>
      <c r="T323" s="259" t="s">
        <v>149</v>
      </c>
      <c r="U323" s="259" t="s">
        <v>149</v>
      </c>
      <c r="V323" s="259" t="s">
        <v>390</v>
      </c>
      <c r="W323" s="259" t="s">
        <v>6035</v>
      </c>
      <c r="X323" s="259" t="s">
        <v>6055</v>
      </c>
      <c r="AA323" s="259" t="s">
        <v>395</v>
      </c>
      <c r="AB323" s="263" t="s">
        <v>2873</v>
      </c>
      <c r="AC323" s="259" t="s">
        <v>398</v>
      </c>
      <c r="AE323" s="258">
        <v>1.0</v>
      </c>
      <c r="AF323" s="260"/>
    </row>
    <row r="324">
      <c r="A324" s="258">
        <v>323.0</v>
      </c>
      <c r="B324" s="259" t="s">
        <v>590</v>
      </c>
      <c r="C324" s="259" t="s">
        <v>591</v>
      </c>
      <c r="D324" s="259" t="s">
        <v>7288</v>
      </c>
      <c r="E324" s="259" t="s">
        <v>593</v>
      </c>
      <c r="F324" s="259" t="s">
        <v>384</v>
      </c>
      <c r="G324" s="259" t="s">
        <v>598</v>
      </c>
      <c r="H324" s="258">
        <v>1987.0</v>
      </c>
      <c r="I324" s="258">
        <v>1985.0</v>
      </c>
      <c r="J324" s="258">
        <v>1987.0</v>
      </c>
      <c r="K324" s="259" t="s">
        <v>151</v>
      </c>
      <c r="L324" s="259" t="s">
        <v>469</v>
      </c>
      <c r="M324" s="259" t="s">
        <v>469</v>
      </c>
      <c r="N324" s="259" t="s">
        <v>149</v>
      </c>
      <c r="O324" s="259" t="s">
        <v>390</v>
      </c>
      <c r="P324" s="259" t="s">
        <v>160</v>
      </c>
      <c r="Q324" s="259" t="s">
        <v>6035</v>
      </c>
      <c r="R324" s="259" t="s">
        <v>159</v>
      </c>
      <c r="S324" s="259" t="s">
        <v>149</v>
      </c>
      <c r="T324" s="259" t="s">
        <v>149</v>
      </c>
      <c r="U324" s="259" t="s">
        <v>149</v>
      </c>
      <c r="V324" s="259" t="s">
        <v>390</v>
      </c>
      <c r="W324" s="259" t="s">
        <v>6035</v>
      </c>
      <c r="X324" s="259" t="s">
        <v>6055</v>
      </c>
      <c r="AA324" s="259" t="s">
        <v>395</v>
      </c>
      <c r="AB324" s="263" t="s">
        <v>2873</v>
      </c>
      <c r="AC324" s="259" t="s">
        <v>398</v>
      </c>
      <c r="AE324" s="258">
        <v>1.0</v>
      </c>
      <c r="AF324" s="260"/>
    </row>
    <row r="325">
      <c r="A325" s="258">
        <v>324.0</v>
      </c>
      <c r="B325" s="259" t="s">
        <v>590</v>
      </c>
      <c r="C325" s="259" t="s">
        <v>591</v>
      </c>
      <c r="D325" s="259" t="s">
        <v>5287</v>
      </c>
      <c r="E325" s="259" t="s">
        <v>5288</v>
      </c>
      <c r="F325" s="259" t="s">
        <v>149</v>
      </c>
      <c r="G325" s="259" t="s">
        <v>8158</v>
      </c>
      <c r="H325" s="258">
        <v>2021.0</v>
      </c>
      <c r="I325" s="259" t="s">
        <v>149</v>
      </c>
      <c r="J325" s="259" t="s">
        <v>149</v>
      </c>
      <c r="K325" s="259" t="s">
        <v>151</v>
      </c>
      <c r="L325" s="259" t="s">
        <v>149</v>
      </c>
      <c r="M325" s="259" t="s">
        <v>149</v>
      </c>
      <c r="N325" s="259" t="s">
        <v>149</v>
      </c>
      <c r="O325" s="259" t="s">
        <v>149</v>
      </c>
      <c r="P325" s="259" t="s">
        <v>149</v>
      </c>
      <c r="Q325" s="259" t="s">
        <v>149</v>
      </c>
      <c r="R325" s="259" t="s">
        <v>149</v>
      </c>
      <c r="S325" s="259" t="s">
        <v>149</v>
      </c>
      <c r="T325" s="259" t="s">
        <v>149</v>
      </c>
      <c r="U325" s="259" t="s">
        <v>149</v>
      </c>
      <c r="V325" s="259" t="s">
        <v>149</v>
      </c>
      <c r="W325" s="259" t="s">
        <v>149</v>
      </c>
      <c r="X325" s="260"/>
      <c r="Y325" s="260"/>
      <c r="Z325" s="260"/>
      <c r="AA325" s="259" t="s">
        <v>8092</v>
      </c>
      <c r="AC325" s="260"/>
      <c r="AD325" s="260"/>
      <c r="AE325" s="258">
        <v>1.0</v>
      </c>
      <c r="AF325" s="260"/>
    </row>
    <row r="326">
      <c r="A326" s="258">
        <v>325.0</v>
      </c>
      <c r="B326" s="259" t="s">
        <v>590</v>
      </c>
      <c r="C326" s="259" t="s">
        <v>769</v>
      </c>
      <c r="D326" s="259" t="s">
        <v>7302</v>
      </c>
      <c r="E326" s="259" t="s">
        <v>771</v>
      </c>
      <c r="F326" s="259" t="s">
        <v>149</v>
      </c>
      <c r="G326" s="259" t="s">
        <v>8159</v>
      </c>
      <c r="H326" s="258">
        <v>2021.0</v>
      </c>
      <c r="I326" s="259" t="s">
        <v>149</v>
      </c>
      <c r="J326" s="259" t="s">
        <v>149</v>
      </c>
      <c r="K326" s="259" t="s">
        <v>151</v>
      </c>
      <c r="L326" s="259" t="s">
        <v>149</v>
      </c>
      <c r="M326" s="259" t="s">
        <v>149</v>
      </c>
      <c r="N326" s="259" t="s">
        <v>149</v>
      </c>
      <c r="O326" s="259" t="s">
        <v>149</v>
      </c>
      <c r="P326" s="259" t="s">
        <v>149</v>
      </c>
      <c r="Q326" s="259" t="s">
        <v>149</v>
      </c>
      <c r="R326" s="259" t="s">
        <v>149</v>
      </c>
      <c r="S326" s="259" t="s">
        <v>149</v>
      </c>
      <c r="T326" s="259" t="s">
        <v>149</v>
      </c>
      <c r="U326" s="259" t="s">
        <v>149</v>
      </c>
      <c r="V326" s="259" t="s">
        <v>149</v>
      </c>
      <c r="W326" s="259" t="s">
        <v>149</v>
      </c>
      <c r="X326" s="260"/>
      <c r="Y326" s="260"/>
      <c r="Z326" s="260"/>
      <c r="AA326" s="259" t="s">
        <v>8092</v>
      </c>
      <c r="AC326" s="260"/>
      <c r="AD326" s="260"/>
      <c r="AE326" s="258">
        <v>1.0</v>
      </c>
      <c r="AF326" s="260"/>
    </row>
    <row r="327">
      <c r="A327" s="258">
        <v>326.0</v>
      </c>
      <c r="B327" s="259" t="s">
        <v>590</v>
      </c>
      <c r="C327" s="259" t="s">
        <v>769</v>
      </c>
      <c r="D327" s="259" t="s">
        <v>7302</v>
      </c>
      <c r="E327" s="259" t="s">
        <v>771</v>
      </c>
      <c r="F327" s="259" t="s">
        <v>772</v>
      </c>
      <c r="H327" s="258">
        <v>2021.0</v>
      </c>
      <c r="I327" s="259" t="s">
        <v>149</v>
      </c>
      <c r="J327" s="259" t="s">
        <v>149</v>
      </c>
      <c r="K327" s="259" t="s">
        <v>151</v>
      </c>
      <c r="L327" s="259" t="s">
        <v>149</v>
      </c>
      <c r="M327" s="259" t="s">
        <v>149</v>
      </c>
      <c r="N327" s="259" t="s">
        <v>149</v>
      </c>
      <c r="O327" s="259" t="s">
        <v>149</v>
      </c>
      <c r="P327" s="259" t="s">
        <v>149</v>
      </c>
      <c r="Q327" s="259" t="s">
        <v>149</v>
      </c>
      <c r="R327" s="259" t="s">
        <v>149</v>
      </c>
      <c r="S327" s="259" t="s">
        <v>149</v>
      </c>
      <c r="T327" s="259" t="s">
        <v>149</v>
      </c>
      <c r="U327" s="259" t="s">
        <v>149</v>
      </c>
      <c r="V327" s="259" t="s">
        <v>7307</v>
      </c>
      <c r="W327" s="259" t="s">
        <v>306</v>
      </c>
      <c r="X327" s="259" t="s">
        <v>760</v>
      </c>
      <c r="Y327" s="259" t="s">
        <v>8160</v>
      </c>
      <c r="AA327" s="259" t="s">
        <v>8092</v>
      </c>
      <c r="AC327" s="260"/>
      <c r="AD327" s="260"/>
      <c r="AE327" s="258">
        <v>1.0</v>
      </c>
      <c r="AF327" s="260"/>
    </row>
    <row r="328">
      <c r="A328" s="258">
        <v>327.0</v>
      </c>
      <c r="B328" s="259" t="s">
        <v>590</v>
      </c>
      <c r="C328" s="259" t="s">
        <v>769</v>
      </c>
      <c r="D328" s="259" t="s">
        <v>7312</v>
      </c>
      <c r="E328" s="259" t="s">
        <v>1518</v>
      </c>
      <c r="F328" s="259" t="s">
        <v>1683</v>
      </c>
      <c r="H328" s="258">
        <v>2015.0</v>
      </c>
      <c r="I328" s="258">
        <v>2014.0</v>
      </c>
      <c r="J328" s="258">
        <v>2016.0</v>
      </c>
      <c r="K328" s="259" t="s">
        <v>6062</v>
      </c>
      <c r="L328" s="259" t="s">
        <v>149</v>
      </c>
      <c r="M328" s="259" t="s">
        <v>149</v>
      </c>
      <c r="N328" s="259" t="s">
        <v>149</v>
      </c>
      <c r="O328" s="259" t="s">
        <v>321</v>
      </c>
      <c r="P328" s="259" t="s">
        <v>160</v>
      </c>
      <c r="Q328" s="259" t="s">
        <v>6035</v>
      </c>
      <c r="R328" s="259" t="s">
        <v>159</v>
      </c>
      <c r="S328" s="259" t="s">
        <v>149</v>
      </c>
      <c r="T328" s="259" t="s">
        <v>149</v>
      </c>
      <c r="U328" s="259" t="s">
        <v>1719</v>
      </c>
      <c r="V328" s="259" t="s">
        <v>326</v>
      </c>
      <c r="W328" s="259" t="s">
        <v>306</v>
      </c>
      <c r="X328" s="259" t="s">
        <v>1720</v>
      </c>
      <c r="AA328" s="259" t="s">
        <v>6069</v>
      </c>
      <c r="AC328" s="259" t="s">
        <v>1722</v>
      </c>
      <c r="AD328" s="259" t="s">
        <v>1723</v>
      </c>
      <c r="AE328" s="258">
        <v>1.0</v>
      </c>
      <c r="AF328" s="260"/>
    </row>
    <row r="329">
      <c r="A329" s="258">
        <v>328.0</v>
      </c>
      <c r="B329" s="259" t="s">
        <v>590</v>
      </c>
      <c r="C329" s="259" t="s">
        <v>769</v>
      </c>
      <c r="D329" s="259" t="s">
        <v>7312</v>
      </c>
      <c r="E329" s="259" t="s">
        <v>1518</v>
      </c>
      <c r="F329" s="259" t="s">
        <v>149</v>
      </c>
      <c r="G329" s="260"/>
      <c r="H329" s="258">
        <v>2020.0</v>
      </c>
      <c r="I329" s="259" t="s">
        <v>149</v>
      </c>
      <c r="J329" s="259" t="s">
        <v>149</v>
      </c>
      <c r="K329" s="259" t="s">
        <v>151</v>
      </c>
      <c r="L329" s="259" t="s">
        <v>149</v>
      </c>
      <c r="M329" s="259" t="s">
        <v>149</v>
      </c>
      <c r="N329" s="259" t="s">
        <v>149</v>
      </c>
      <c r="O329" s="259" t="s">
        <v>149</v>
      </c>
      <c r="P329" s="259" t="s">
        <v>149</v>
      </c>
      <c r="Q329" s="259" t="s">
        <v>149</v>
      </c>
      <c r="R329" s="259" t="s">
        <v>149</v>
      </c>
      <c r="S329" s="259" t="s">
        <v>149</v>
      </c>
      <c r="T329" s="259" t="s">
        <v>149</v>
      </c>
      <c r="U329" s="259" t="s">
        <v>149</v>
      </c>
      <c r="V329" s="259" t="s">
        <v>228</v>
      </c>
      <c r="W329" s="259" t="s">
        <v>6035</v>
      </c>
      <c r="X329" s="259" t="s">
        <v>993</v>
      </c>
      <c r="Z329" s="260"/>
      <c r="AA329" s="259" t="s">
        <v>8092</v>
      </c>
      <c r="AC329" s="260"/>
      <c r="AD329" s="260"/>
      <c r="AE329" s="258">
        <v>1.0</v>
      </c>
      <c r="AF329" s="260"/>
    </row>
    <row r="330">
      <c r="A330" s="258">
        <v>329.0</v>
      </c>
      <c r="B330" s="259" t="s">
        <v>171</v>
      </c>
      <c r="C330" s="259" t="s">
        <v>1725</v>
      </c>
      <c r="D330" s="259" t="s">
        <v>1726</v>
      </c>
      <c r="E330" s="259" t="s">
        <v>1727</v>
      </c>
      <c r="F330" s="259" t="s">
        <v>1683</v>
      </c>
      <c r="H330" s="258">
        <v>2015.0</v>
      </c>
      <c r="I330" s="258">
        <v>2014.0</v>
      </c>
      <c r="J330" s="258">
        <v>2016.0</v>
      </c>
      <c r="K330" s="259" t="s">
        <v>6062</v>
      </c>
      <c r="L330" s="259" t="s">
        <v>149</v>
      </c>
      <c r="M330" s="259" t="s">
        <v>149</v>
      </c>
      <c r="N330" s="259" t="s">
        <v>149</v>
      </c>
      <c r="O330" s="259" t="s">
        <v>321</v>
      </c>
      <c r="P330" s="259" t="s">
        <v>160</v>
      </c>
      <c r="Q330" s="259" t="s">
        <v>6035</v>
      </c>
      <c r="R330" s="259" t="s">
        <v>159</v>
      </c>
      <c r="S330" s="259" t="s">
        <v>149</v>
      </c>
      <c r="T330" s="259" t="s">
        <v>149</v>
      </c>
      <c r="U330" s="259" t="s">
        <v>1728</v>
      </c>
      <c r="V330" s="259" t="s">
        <v>326</v>
      </c>
      <c r="W330" s="259" t="s">
        <v>271</v>
      </c>
      <c r="X330" s="259" t="s">
        <v>1729</v>
      </c>
      <c r="AA330" s="259" t="s">
        <v>6069</v>
      </c>
      <c r="AC330" s="259" t="s">
        <v>1722</v>
      </c>
      <c r="AD330" s="259" t="s">
        <v>1723</v>
      </c>
      <c r="AE330" s="258">
        <v>1.0</v>
      </c>
      <c r="AF330" s="260"/>
    </row>
    <row r="331">
      <c r="A331" s="258">
        <v>330.0</v>
      </c>
      <c r="B331" s="259" t="s">
        <v>171</v>
      </c>
      <c r="C331" s="259" t="s">
        <v>1725</v>
      </c>
      <c r="D331" s="259" t="s">
        <v>1726</v>
      </c>
      <c r="E331" s="259" t="s">
        <v>1727</v>
      </c>
      <c r="F331" s="259" t="s">
        <v>1785</v>
      </c>
      <c r="H331" s="258">
        <v>2013.0</v>
      </c>
      <c r="I331" s="259" t="s">
        <v>149</v>
      </c>
      <c r="J331" s="259" t="s">
        <v>149</v>
      </c>
      <c r="K331" s="259" t="s">
        <v>151</v>
      </c>
      <c r="L331" s="259" t="s">
        <v>149</v>
      </c>
      <c r="M331" s="259" t="s">
        <v>149</v>
      </c>
      <c r="N331" s="259" t="s">
        <v>149</v>
      </c>
      <c r="O331" s="259" t="s">
        <v>149</v>
      </c>
      <c r="P331" s="259" t="s">
        <v>149</v>
      </c>
      <c r="Q331" s="259" t="s">
        <v>149</v>
      </c>
      <c r="R331" s="259" t="s">
        <v>149</v>
      </c>
      <c r="S331" s="259" t="s">
        <v>149</v>
      </c>
      <c r="T331" s="259" t="s">
        <v>149</v>
      </c>
      <c r="U331" s="259" t="s">
        <v>149</v>
      </c>
      <c r="V331" s="259" t="s">
        <v>369</v>
      </c>
      <c r="W331" s="259" t="s">
        <v>6035</v>
      </c>
      <c r="X331" s="259" t="s">
        <v>341</v>
      </c>
      <c r="Y331" s="260"/>
      <c r="Z331" s="260"/>
      <c r="AA331" s="259" t="s">
        <v>8092</v>
      </c>
      <c r="AC331" s="260"/>
      <c r="AD331" s="260"/>
      <c r="AE331" s="258">
        <v>1.0</v>
      </c>
      <c r="AF331" s="260"/>
    </row>
    <row r="332">
      <c r="A332" s="258">
        <v>331.0</v>
      </c>
      <c r="B332" s="259" t="s">
        <v>171</v>
      </c>
      <c r="C332" s="259" t="s">
        <v>1725</v>
      </c>
      <c r="D332" s="259" t="s">
        <v>1806</v>
      </c>
      <c r="E332" s="259" t="s">
        <v>1807</v>
      </c>
      <c r="F332" s="259" t="s">
        <v>7326</v>
      </c>
      <c r="H332" s="258">
        <v>2021.0</v>
      </c>
      <c r="I332" s="259" t="s">
        <v>149</v>
      </c>
      <c r="J332" s="259" t="s">
        <v>149</v>
      </c>
      <c r="K332" s="259" t="s">
        <v>151</v>
      </c>
      <c r="L332" s="259" t="s">
        <v>149</v>
      </c>
      <c r="M332" s="259" t="s">
        <v>149</v>
      </c>
      <c r="N332" s="259" t="s">
        <v>149</v>
      </c>
      <c r="O332" s="259" t="s">
        <v>149</v>
      </c>
      <c r="P332" s="259" t="s">
        <v>149</v>
      </c>
      <c r="Q332" s="259" t="s">
        <v>149</v>
      </c>
      <c r="R332" s="259" t="s">
        <v>149</v>
      </c>
      <c r="S332" s="259" t="s">
        <v>149</v>
      </c>
      <c r="T332" s="259" t="s">
        <v>149</v>
      </c>
      <c r="U332" s="259" t="s">
        <v>149</v>
      </c>
      <c r="V332" s="259" t="s">
        <v>158</v>
      </c>
      <c r="W332" s="259" t="s">
        <v>6035</v>
      </c>
      <c r="X332" s="259" t="s">
        <v>8161</v>
      </c>
      <c r="Y332" s="259" t="s">
        <v>7328</v>
      </c>
      <c r="AA332" s="259" t="s">
        <v>166</v>
      </c>
      <c r="AB332" s="263" t="s">
        <v>7329</v>
      </c>
      <c r="AE332" s="258">
        <v>1.0</v>
      </c>
      <c r="AF332" s="260"/>
    </row>
    <row r="333">
      <c r="A333" s="258">
        <v>332.0</v>
      </c>
      <c r="B333" s="259" t="s">
        <v>171</v>
      </c>
      <c r="C333" s="259" t="s">
        <v>1725</v>
      </c>
      <c r="D333" s="259" t="s">
        <v>1783</v>
      </c>
      <c r="E333" s="259" t="s">
        <v>1784</v>
      </c>
      <c r="F333" s="259" t="s">
        <v>149</v>
      </c>
      <c r="G333" s="260"/>
      <c r="H333" s="258">
        <v>2019.0</v>
      </c>
      <c r="I333" s="259" t="s">
        <v>149</v>
      </c>
      <c r="J333" s="259" t="s">
        <v>149</v>
      </c>
      <c r="K333" s="259" t="s">
        <v>6062</v>
      </c>
      <c r="L333" s="259" t="s">
        <v>2482</v>
      </c>
      <c r="M333" s="259" t="s">
        <v>2482</v>
      </c>
      <c r="N333" s="259" t="s">
        <v>699</v>
      </c>
      <c r="O333" s="259" t="s">
        <v>149</v>
      </c>
      <c r="P333" s="259" t="s">
        <v>149</v>
      </c>
      <c r="Q333" s="259" t="s">
        <v>149</v>
      </c>
      <c r="R333" s="259" t="s">
        <v>149</v>
      </c>
      <c r="S333" s="259" t="s">
        <v>149</v>
      </c>
      <c r="T333" s="259" t="s">
        <v>149</v>
      </c>
      <c r="U333" s="259" t="s">
        <v>149</v>
      </c>
      <c r="V333" s="259" t="s">
        <v>326</v>
      </c>
      <c r="W333" s="259" t="s">
        <v>271</v>
      </c>
      <c r="X333" s="259" t="s">
        <v>8162</v>
      </c>
      <c r="AA333" s="259" t="s">
        <v>166</v>
      </c>
      <c r="AB333" s="263" t="s">
        <v>2486</v>
      </c>
      <c r="AE333" s="258">
        <v>1.0</v>
      </c>
      <c r="AF333" s="260"/>
    </row>
    <row r="334">
      <c r="A334" s="258">
        <v>333.0</v>
      </c>
      <c r="B334" s="259" t="s">
        <v>171</v>
      </c>
      <c r="C334" s="259" t="s">
        <v>1725</v>
      </c>
      <c r="D334" s="259" t="s">
        <v>1783</v>
      </c>
      <c r="E334" s="259" t="s">
        <v>1784</v>
      </c>
      <c r="F334" s="259" t="s">
        <v>1785</v>
      </c>
      <c r="H334" s="258">
        <v>2013.0</v>
      </c>
      <c r="I334" s="259" t="s">
        <v>149</v>
      </c>
      <c r="J334" s="259" t="s">
        <v>149</v>
      </c>
      <c r="K334" s="259" t="s">
        <v>151</v>
      </c>
      <c r="L334" s="259" t="s">
        <v>851</v>
      </c>
      <c r="M334" s="259" t="s">
        <v>851</v>
      </c>
      <c r="N334" s="259" t="s">
        <v>149</v>
      </c>
      <c r="O334" s="259" t="s">
        <v>149</v>
      </c>
      <c r="P334" s="259" t="s">
        <v>149</v>
      </c>
      <c r="Q334" s="259" t="s">
        <v>149</v>
      </c>
      <c r="R334" s="259" t="s">
        <v>149</v>
      </c>
      <c r="S334" s="259" t="s">
        <v>149</v>
      </c>
      <c r="T334" s="259" t="s">
        <v>149</v>
      </c>
      <c r="U334" s="259" t="s">
        <v>149</v>
      </c>
      <c r="V334" s="259" t="s">
        <v>1787</v>
      </c>
      <c r="W334" s="259" t="s">
        <v>6035</v>
      </c>
      <c r="X334" s="259" t="s">
        <v>1788</v>
      </c>
      <c r="Z334" s="260"/>
      <c r="AA334" s="259" t="s">
        <v>8092</v>
      </c>
      <c r="AC334" s="260"/>
      <c r="AD334" s="260"/>
      <c r="AE334" s="258">
        <v>1.0</v>
      </c>
      <c r="AF334" s="260"/>
    </row>
    <row r="335">
      <c r="A335" s="258">
        <v>334.0</v>
      </c>
      <c r="B335" s="259" t="s">
        <v>171</v>
      </c>
      <c r="C335" s="259" t="s">
        <v>976</v>
      </c>
      <c r="D335" s="259" t="s">
        <v>1502</v>
      </c>
      <c r="E335" s="259" t="s">
        <v>1503</v>
      </c>
      <c r="F335" s="259" t="s">
        <v>1377</v>
      </c>
      <c r="H335" s="258">
        <v>1992.0</v>
      </c>
      <c r="I335" s="258">
        <v>1990.0</v>
      </c>
      <c r="J335" s="258">
        <v>1994.0</v>
      </c>
      <c r="K335" s="259" t="s">
        <v>151</v>
      </c>
      <c r="L335" s="259" t="s">
        <v>149</v>
      </c>
      <c r="M335" s="259" t="s">
        <v>149</v>
      </c>
      <c r="N335" s="259" t="s">
        <v>149</v>
      </c>
      <c r="O335" s="259" t="s">
        <v>8120</v>
      </c>
      <c r="P335" s="259" t="s">
        <v>205</v>
      </c>
      <c r="Q335" s="259" t="s">
        <v>8096</v>
      </c>
      <c r="R335" s="259" t="s">
        <v>159</v>
      </c>
      <c r="S335" s="259" t="s">
        <v>149</v>
      </c>
      <c r="T335" s="259" t="s">
        <v>149</v>
      </c>
      <c r="U335" s="259" t="s">
        <v>149</v>
      </c>
      <c r="V335" s="259" t="s">
        <v>660</v>
      </c>
      <c r="W335" s="259" t="s">
        <v>6035</v>
      </c>
      <c r="X335" s="259" t="s">
        <v>369</v>
      </c>
      <c r="Y335" s="260"/>
      <c r="Z335" s="260"/>
      <c r="AA335" s="259" t="s">
        <v>395</v>
      </c>
      <c r="AB335" s="263" t="s">
        <v>2873</v>
      </c>
      <c r="AC335" s="259" t="s">
        <v>398</v>
      </c>
      <c r="AE335" s="258">
        <v>1.0</v>
      </c>
      <c r="AF335" s="260"/>
    </row>
    <row r="336">
      <c r="A336" s="258">
        <v>335.0</v>
      </c>
      <c r="B336" s="259" t="s">
        <v>171</v>
      </c>
      <c r="C336" s="259" t="s">
        <v>976</v>
      </c>
      <c r="D336" s="259" t="s">
        <v>7339</v>
      </c>
      <c r="E336" s="259" t="s">
        <v>1506</v>
      </c>
      <c r="F336" s="259" t="s">
        <v>384</v>
      </c>
      <c r="H336" s="258">
        <v>1986.0</v>
      </c>
      <c r="I336" s="259" t="s">
        <v>149</v>
      </c>
      <c r="J336" s="259" t="s">
        <v>149</v>
      </c>
      <c r="K336" s="259" t="s">
        <v>151</v>
      </c>
      <c r="L336" s="259" t="s">
        <v>149</v>
      </c>
      <c r="M336" s="259" t="s">
        <v>149</v>
      </c>
      <c r="N336" s="259" t="s">
        <v>149</v>
      </c>
      <c r="O336" s="259" t="s">
        <v>149</v>
      </c>
      <c r="P336" s="259" t="s">
        <v>149</v>
      </c>
      <c r="Q336" s="259" t="s">
        <v>149</v>
      </c>
      <c r="R336" s="259" t="s">
        <v>149</v>
      </c>
      <c r="S336" s="259" t="s">
        <v>149</v>
      </c>
      <c r="T336" s="259" t="s">
        <v>149</v>
      </c>
      <c r="U336" s="259" t="s">
        <v>149</v>
      </c>
      <c r="V336" s="259" t="s">
        <v>390</v>
      </c>
      <c r="W336" s="259" t="s">
        <v>6035</v>
      </c>
      <c r="X336" s="259" t="s">
        <v>6055</v>
      </c>
      <c r="AA336" s="259" t="s">
        <v>8092</v>
      </c>
      <c r="AC336" s="260"/>
      <c r="AD336" s="260"/>
      <c r="AE336" s="258">
        <v>1.0</v>
      </c>
      <c r="AF336" s="260"/>
    </row>
    <row r="337">
      <c r="A337" s="258">
        <v>336.0</v>
      </c>
      <c r="B337" s="259" t="s">
        <v>171</v>
      </c>
      <c r="C337" s="259" t="s">
        <v>976</v>
      </c>
      <c r="D337" s="259" t="s">
        <v>7339</v>
      </c>
      <c r="E337" s="259" t="s">
        <v>1506</v>
      </c>
      <c r="F337" s="259" t="s">
        <v>1377</v>
      </c>
      <c r="G337" s="259" t="s">
        <v>1507</v>
      </c>
      <c r="H337" s="258">
        <v>1992.0</v>
      </c>
      <c r="I337" s="258">
        <v>1990.0</v>
      </c>
      <c r="J337" s="258">
        <v>1994.0</v>
      </c>
      <c r="K337" s="259" t="s">
        <v>151</v>
      </c>
      <c r="L337" s="259" t="s">
        <v>149</v>
      </c>
      <c r="M337" s="259" t="s">
        <v>149</v>
      </c>
      <c r="N337" s="259" t="s">
        <v>149</v>
      </c>
      <c r="O337" s="259" t="s">
        <v>8120</v>
      </c>
      <c r="P337" s="259" t="s">
        <v>205</v>
      </c>
      <c r="Q337" s="259" t="s">
        <v>8096</v>
      </c>
      <c r="R337" s="259" t="s">
        <v>159</v>
      </c>
      <c r="S337" s="259" t="s">
        <v>149</v>
      </c>
      <c r="T337" s="259" t="s">
        <v>149</v>
      </c>
      <c r="U337" s="259" t="s">
        <v>149</v>
      </c>
      <c r="V337" s="259" t="s">
        <v>660</v>
      </c>
      <c r="W337" s="259" t="s">
        <v>6035</v>
      </c>
      <c r="X337" s="259" t="s">
        <v>369</v>
      </c>
      <c r="Y337" s="260"/>
      <c r="Z337" s="260"/>
      <c r="AA337" s="259" t="s">
        <v>395</v>
      </c>
      <c r="AB337" s="263" t="s">
        <v>2873</v>
      </c>
      <c r="AC337" s="259" t="s">
        <v>398</v>
      </c>
      <c r="AE337" s="258">
        <v>1.0</v>
      </c>
      <c r="AF337" s="260"/>
    </row>
    <row r="338">
      <c r="A338" s="258">
        <v>337.0</v>
      </c>
      <c r="B338" s="259" t="s">
        <v>171</v>
      </c>
      <c r="C338" s="259" t="s">
        <v>976</v>
      </c>
      <c r="D338" s="259" t="s">
        <v>977</v>
      </c>
      <c r="E338" s="259" t="s">
        <v>978</v>
      </c>
      <c r="F338" s="259" t="s">
        <v>934</v>
      </c>
      <c r="H338" s="258">
        <v>2001.0</v>
      </c>
      <c r="I338" s="258">
        <v>2001.0</v>
      </c>
      <c r="J338" s="258">
        <v>2005.0</v>
      </c>
      <c r="K338" s="259" t="s">
        <v>6062</v>
      </c>
      <c r="L338" s="259" t="s">
        <v>8105</v>
      </c>
      <c r="M338" s="259" t="s">
        <v>179</v>
      </c>
      <c r="N338" s="259" t="s">
        <v>939</v>
      </c>
      <c r="O338" s="259" t="s">
        <v>940</v>
      </c>
      <c r="P338" s="259" t="s">
        <v>205</v>
      </c>
      <c r="Q338" s="259" t="s">
        <v>8096</v>
      </c>
      <c r="R338" s="259" t="s">
        <v>204</v>
      </c>
      <c r="S338" s="259" t="s">
        <v>149</v>
      </c>
      <c r="T338" s="259" t="s">
        <v>149</v>
      </c>
      <c r="U338" s="259" t="s">
        <v>149</v>
      </c>
      <c r="V338" s="259" t="s">
        <v>8100</v>
      </c>
      <c r="W338" s="259" t="s">
        <v>6068</v>
      </c>
      <c r="X338" s="260"/>
      <c r="Y338" s="260"/>
      <c r="Z338" s="260"/>
      <c r="AA338" s="259" t="s">
        <v>6214</v>
      </c>
      <c r="AB338" s="263" t="s">
        <v>942</v>
      </c>
      <c r="AC338" s="259" t="s">
        <v>943</v>
      </c>
      <c r="AE338" s="258">
        <v>1.0</v>
      </c>
      <c r="AF338" s="260"/>
    </row>
    <row r="339">
      <c r="A339" s="258">
        <v>338.0</v>
      </c>
      <c r="B339" s="259" t="s">
        <v>171</v>
      </c>
      <c r="C339" s="259" t="s">
        <v>976</v>
      </c>
      <c r="D339" s="259" t="s">
        <v>7350</v>
      </c>
      <c r="E339" s="259" t="s">
        <v>5504</v>
      </c>
      <c r="F339" s="259" t="s">
        <v>1377</v>
      </c>
      <c r="H339" s="258">
        <v>1992.0</v>
      </c>
      <c r="I339" s="258">
        <v>1990.0</v>
      </c>
      <c r="J339" s="258">
        <v>1993.0</v>
      </c>
      <c r="K339" s="259" t="s">
        <v>151</v>
      </c>
      <c r="L339" s="259" t="s">
        <v>149</v>
      </c>
      <c r="M339" s="259" t="s">
        <v>149</v>
      </c>
      <c r="N339" s="259" t="s">
        <v>149</v>
      </c>
      <c r="O339" s="259" t="s">
        <v>8120</v>
      </c>
      <c r="P339" s="259" t="s">
        <v>205</v>
      </c>
      <c r="Q339" s="259" t="s">
        <v>8096</v>
      </c>
      <c r="R339" s="259" t="s">
        <v>159</v>
      </c>
      <c r="S339" s="259" t="s">
        <v>149</v>
      </c>
      <c r="T339" s="259" t="s">
        <v>149</v>
      </c>
      <c r="U339" s="259" t="s">
        <v>149</v>
      </c>
      <c r="V339" s="259" t="s">
        <v>660</v>
      </c>
      <c r="W339" s="259" t="s">
        <v>6035</v>
      </c>
      <c r="X339" s="259" t="s">
        <v>369</v>
      </c>
      <c r="Y339" s="260"/>
      <c r="Z339" s="260"/>
      <c r="AA339" s="259" t="s">
        <v>8092</v>
      </c>
      <c r="AC339" s="260"/>
      <c r="AD339" s="260"/>
      <c r="AE339" s="258">
        <v>1.0</v>
      </c>
      <c r="AF339" s="260"/>
    </row>
    <row r="340">
      <c r="A340" s="258">
        <v>339.0</v>
      </c>
      <c r="B340" s="259" t="s">
        <v>171</v>
      </c>
      <c r="C340" s="259" t="s">
        <v>172</v>
      </c>
      <c r="D340" s="259" t="s">
        <v>2128</v>
      </c>
      <c r="E340" s="259" t="s">
        <v>2129</v>
      </c>
      <c r="F340" s="259" t="s">
        <v>149</v>
      </c>
      <c r="G340" s="259" t="s">
        <v>7354</v>
      </c>
      <c r="H340" s="259" t="s">
        <v>149</v>
      </c>
      <c r="I340" s="259" t="s">
        <v>149</v>
      </c>
      <c r="J340" s="259" t="s">
        <v>149</v>
      </c>
      <c r="K340" s="259" t="s">
        <v>149</v>
      </c>
      <c r="L340" s="259" t="s">
        <v>149</v>
      </c>
      <c r="M340" s="259" t="s">
        <v>149</v>
      </c>
      <c r="N340" s="259" t="s">
        <v>149</v>
      </c>
      <c r="O340" s="259" t="s">
        <v>149</v>
      </c>
      <c r="P340" s="259" t="s">
        <v>149</v>
      </c>
      <c r="Q340" s="259" t="s">
        <v>149</v>
      </c>
      <c r="R340" s="259" t="s">
        <v>149</v>
      </c>
      <c r="S340" s="259" t="s">
        <v>149</v>
      </c>
      <c r="T340" s="259" t="s">
        <v>149</v>
      </c>
      <c r="U340" s="259" t="s">
        <v>149</v>
      </c>
      <c r="V340" s="259" t="s">
        <v>149</v>
      </c>
      <c r="W340" s="259" t="s">
        <v>149</v>
      </c>
      <c r="X340" s="260"/>
      <c r="Y340" s="260"/>
      <c r="Z340" s="260"/>
      <c r="AA340" s="259" t="s">
        <v>8092</v>
      </c>
      <c r="AC340" s="260"/>
      <c r="AD340" s="260"/>
      <c r="AE340" s="258">
        <v>0.0</v>
      </c>
      <c r="AF340" s="258">
        <v>0.0</v>
      </c>
    </row>
    <row r="341">
      <c r="A341" s="258">
        <v>340.0</v>
      </c>
      <c r="B341" s="259" t="s">
        <v>171</v>
      </c>
      <c r="C341" s="259" t="s">
        <v>172</v>
      </c>
      <c r="D341" s="259" t="s">
        <v>7356</v>
      </c>
      <c r="E341" s="259" t="s">
        <v>1552</v>
      </c>
      <c r="F341" s="259" t="s">
        <v>1553</v>
      </c>
      <c r="H341" s="258">
        <v>2021.0</v>
      </c>
      <c r="I341" s="259" t="s">
        <v>149</v>
      </c>
      <c r="J341" s="259" t="s">
        <v>149</v>
      </c>
      <c r="K341" s="259" t="s">
        <v>151</v>
      </c>
      <c r="L341" s="259" t="s">
        <v>149</v>
      </c>
      <c r="M341" s="259" t="s">
        <v>149</v>
      </c>
      <c r="N341" s="259" t="s">
        <v>149</v>
      </c>
      <c r="O341" s="259" t="s">
        <v>7357</v>
      </c>
      <c r="P341" s="259" t="s">
        <v>160</v>
      </c>
      <c r="Q341" s="259" t="s">
        <v>306</v>
      </c>
      <c r="R341" s="259" t="s">
        <v>159</v>
      </c>
      <c r="S341" s="259" t="s">
        <v>149</v>
      </c>
      <c r="T341" s="259" t="s">
        <v>149</v>
      </c>
      <c r="U341" s="259" t="s">
        <v>149</v>
      </c>
      <c r="V341" s="259" t="s">
        <v>8163</v>
      </c>
      <c r="W341" s="259" t="s">
        <v>306</v>
      </c>
      <c r="X341" s="259" t="s">
        <v>1559</v>
      </c>
      <c r="Y341" s="259" t="s">
        <v>1560</v>
      </c>
      <c r="AA341" s="259" t="s">
        <v>8092</v>
      </c>
      <c r="AC341" s="260"/>
      <c r="AD341" s="260"/>
      <c r="AE341" s="258">
        <v>1.0</v>
      </c>
      <c r="AF341" s="260"/>
    </row>
    <row r="342">
      <c r="A342" s="258">
        <v>341.0</v>
      </c>
      <c r="B342" s="259" t="s">
        <v>171</v>
      </c>
      <c r="C342" s="259" t="s">
        <v>172</v>
      </c>
      <c r="D342" s="259" t="s">
        <v>7356</v>
      </c>
      <c r="E342" s="259" t="s">
        <v>1552</v>
      </c>
      <c r="F342" s="259" t="s">
        <v>149</v>
      </c>
      <c r="G342" s="260"/>
      <c r="H342" s="258">
        <v>2016.0</v>
      </c>
      <c r="I342" s="259" t="s">
        <v>149</v>
      </c>
      <c r="J342" s="259" t="s">
        <v>149</v>
      </c>
      <c r="K342" s="259" t="s">
        <v>151</v>
      </c>
      <c r="L342" s="259" t="s">
        <v>2631</v>
      </c>
      <c r="M342" s="259" t="s">
        <v>2631</v>
      </c>
      <c r="N342" s="259" t="s">
        <v>7362</v>
      </c>
      <c r="O342" s="259" t="s">
        <v>7363</v>
      </c>
      <c r="P342" s="259" t="s">
        <v>160</v>
      </c>
      <c r="Q342" s="259" t="s">
        <v>209</v>
      </c>
      <c r="R342" s="259" t="s">
        <v>159</v>
      </c>
      <c r="S342" s="259" t="s">
        <v>149</v>
      </c>
      <c r="T342" s="259" t="s">
        <v>149</v>
      </c>
      <c r="U342" s="259" t="s">
        <v>149</v>
      </c>
      <c r="V342" s="259" t="s">
        <v>7364</v>
      </c>
      <c r="W342" s="259" t="s">
        <v>6068</v>
      </c>
      <c r="X342" s="259" t="s">
        <v>390</v>
      </c>
      <c r="Y342" s="260"/>
      <c r="Z342" s="260"/>
      <c r="AA342" s="259" t="s">
        <v>166</v>
      </c>
      <c r="AB342" s="263" t="s">
        <v>2640</v>
      </c>
      <c r="AE342" s="258">
        <v>1.0</v>
      </c>
      <c r="AF342" s="260"/>
    </row>
    <row r="343">
      <c r="A343" s="258">
        <v>342.0</v>
      </c>
      <c r="B343" s="259" t="s">
        <v>171</v>
      </c>
      <c r="C343" s="259" t="s">
        <v>172</v>
      </c>
      <c r="D343" s="259" t="s">
        <v>611</v>
      </c>
      <c r="E343" s="259" t="s">
        <v>612</v>
      </c>
      <c r="F343" s="259" t="s">
        <v>384</v>
      </c>
      <c r="H343" s="258">
        <v>1986.0</v>
      </c>
      <c r="I343" s="258">
        <v>1985.0</v>
      </c>
      <c r="J343" s="258">
        <v>1987.0</v>
      </c>
      <c r="K343" s="259" t="s">
        <v>151</v>
      </c>
      <c r="L343" s="259" t="s">
        <v>6054</v>
      </c>
      <c r="M343" s="259" t="s">
        <v>6054</v>
      </c>
      <c r="N343" s="259" t="s">
        <v>149</v>
      </c>
      <c r="O343" s="259" t="s">
        <v>390</v>
      </c>
      <c r="P343" s="259" t="s">
        <v>160</v>
      </c>
      <c r="Q343" s="259" t="s">
        <v>6035</v>
      </c>
      <c r="R343" s="259" t="s">
        <v>159</v>
      </c>
      <c r="S343" s="259" t="s">
        <v>149</v>
      </c>
      <c r="T343" s="259" t="s">
        <v>149</v>
      </c>
      <c r="U343" s="259" t="s">
        <v>149</v>
      </c>
      <c r="V343" s="259" t="s">
        <v>390</v>
      </c>
      <c r="W343" s="259" t="s">
        <v>6035</v>
      </c>
      <c r="X343" s="259" t="s">
        <v>6055</v>
      </c>
      <c r="AA343" s="259" t="s">
        <v>395</v>
      </c>
      <c r="AB343" s="263" t="s">
        <v>2873</v>
      </c>
      <c r="AC343" s="259" t="s">
        <v>398</v>
      </c>
      <c r="AE343" s="258">
        <v>1.0</v>
      </c>
      <c r="AF343" s="260"/>
    </row>
    <row r="344">
      <c r="A344" s="258">
        <v>343.0</v>
      </c>
      <c r="B344" s="259" t="s">
        <v>171</v>
      </c>
      <c r="C344" s="259" t="s">
        <v>172</v>
      </c>
      <c r="D344" s="259" t="s">
        <v>277</v>
      </c>
      <c r="E344" s="259" t="s">
        <v>278</v>
      </c>
      <c r="F344" s="259" t="s">
        <v>7370</v>
      </c>
      <c r="H344" s="259" t="s">
        <v>149</v>
      </c>
      <c r="I344" s="259" t="s">
        <v>149</v>
      </c>
      <c r="J344" s="259" t="s">
        <v>149</v>
      </c>
      <c r="K344" s="259" t="s">
        <v>151</v>
      </c>
      <c r="L344" s="259" t="s">
        <v>283</v>
      </c>
      <c r="M344" s="259" t="s">
        <v>283</v>
      </c>
      <c r="N344" s="259" t="s">
        <v>286</v>
      </c>
      <c r="O344" s="259" t="s">
        <v>287</v>
      </c>
      <c r="P344" s="259" t="s">
        <v>160</v>
      </c>
      <c r="Q344" s="259" t="s">
        <v>184</v>
      </c>
      <c r="R344" s="259" t="s">
        <v>159</v>
      </c>
      <c r="S344" s="259" t="s">
        <v>149</v>
      </c>
      <c r="T344" s="259" t="s">
        <v>149</v>
      </c>
      <c r="U344" s="259" t="s">
        <v>149</v>
      </c>
      <c r="V344" s="259" t="s">
        <v>287</v>
      </c>
      <c r="W344" s="259" t="s">
        <v>184</v>
      </c>
      <c r="X344" s="260"/>
      <c r="Y344" s="259" t="s">
        <v>288</v>
      </c>
      <c r="AA344" s="259" t="s">
        <v>6091</v>
      </c>
      <c r="AB344" s="259" t="s">
        <v>7371</v>
      </c>
      <c r="AE344" s="258">
        <v>1.0</v>
      </c>
      <c r="AF344" s="260"/>
    </row>
    <row r="345">
      <c r="A345" s="258">
        <v>344.0</v>
      </c>
      <c r="B345" s="259" t="s">
        <v>171</v>
      </c>
      <c r="C345" s="259" t="s">
        <v>172</v>
      </c>
      <c r="D345" s="259" t="s">
        <v>2642</v>
      </c>
      <c r="E345" s="259" t="s">
        <v>2643</v>
      </c>
      <c r="F345" s="259" t="s">
        <v>149</v>
      </c>
      <c r="G345" s="259" t="s">
        <v>7375</v>
      </c>
      <c r="H345" s="258">
        <v>2022.0</v>
      </c>
      <c r="I345" s="259" t="s">
        <v>149</v>
      </c>
      <c r="J345" s="259" t="s">
        <v>149</v>
      </c>
      <c r="K345" s="259" t="s">
        <v>6062</v>
      </c>
      <c r="L345" s="259" t="s">
        <v>6666</v>
      </c>
      <c r="M345" s="259" t="s">
        <v>179</v>
      </c>
      <c r="N345" s="259" t="s">
        <v>149</v>
      </c>
      <c r="O345" s="259" t="s">
        <v>2816</v>
      </c>
      <c r="P345" s="259" t="s">
        <v>160</v>
      </c>
      <c r="Q345" s="259" t="s">
        <v>6035</v>
      </c>
      <c r="R345" s="259" t="s">
        <v>159</v>
      </c>
      <c r="S345" s="259" t="s">
        <v>149</v>
      </c>
      <c r="T345" s="259" t="s">
        <v>149</v>
      </c>
      <c r="U345" s="259" t="s">
        <v>149</v>
      </c>
      <c r="V345" s="259" t="s">
        <v>2816</v>
      </c>
      <c r="W345" s="259" t="s">
        <v>6035</v>
      </c>
      <c r="X345" s="259" t="s">
        <v>7376</v>
      </c>
      <c r="AA345" s="259" t="s">
        <v>166</v>
      </c>
      <c r="AB345" s="263" t="s">
        <v>2819</v>
      </c>
      <c r="AE345" s="258">
        <v>1.0</v>
      </c>
      <c r="AF345" s="260"/>
    </row>
    <row r="346">
      <c r="A346" s="258">
        <v>345.0</v>
      </c>
      <c r="B346" s="259" t="s">
        <v>171</v>
      </c>
      <c r="C346" s="259" t="s">
        <v>172</v>
      </c>
      <c r="D346" s="259" t="s">
        <v>5529</v>
      </c>
      <c r="E346" s="259" t="s">
        <v>5530</v>
      </c>
      <c r="F346" s="259" t="s">
        <v>149</v>
      </c>
      <c r="G346" s="260"/>
      <c r="H346" s="258">
        <v>2005.0</v>
      </c>
      <c r="I346" s="259" t="s">
        <v>149</v>
      </c>
      <c r="J346" s="259" t="s">
        <v>149</v>
      </c>
      <c r="K346" s="259" t="s">
        <v>151</v>
      </c>
      <c r="L346" s="259" t="s">
        <v>149</v>
      </c>
      <c r="M346" s="259" t="s">
        <v>149</v>
      </c>
      <c r="N346" s="259" t="s">
        <v>149</v>
      </c>
      <c r="O346" s="259" t="s">
        <v>149</v>
      </c>
      <c r="P346" s="259" t="s">
        <v>149</v>
      </c>
      <c r="Q346" s="259" t="s">
        <v>149</v>
      </c>
      <c r="R346" s="259" t="s">
        <v>149</v>
      </c>
      <c r="S346" s="259" t="s">
        <v>149</v>
      </c>
      <c r="T346" s="259" t="s">
        <v>149</v>
      </c>
      <c r="U346" s="259" t="s">
        <v>149</v>
      </c>
      <c r="V346" s="259" t="s">
        <v>1974</v>
      </c>
      <c r="W346" s="259" t="s">
        <v>6035</v>
      </c>
      <c r="Y346" s="260"/>
      <c r="Z346" s="260"/>
      <c r="AA346" s="259" t="s">
        <v>8092</v>
      </c>
      <c r="AC346" s="260"/>
      <c r="AD346" s="260"/>
      <c r="AE346" s="258">
        <v>1.0</v>
      </c>
      <c r="AF346" s="260"/>
    </row>
    <row r="347">
      <c r="A347" s="258">
        <v>346.0</v>
      </c>
      <c r="B347" s="259" t="s">
        <v>171</v>
      </c>
      <c r="C347" s="259" t="s">
        <v>172</v>
      </c>
      <c r="D347" s="259" t="s">
        <v>173</v>
      </c>
      <c r="E347" s="259" t="s">
        <v>174</v>
      </c>
      <c r="F347" s="259" t="s">
        <v>149</v>
      </c>
      <c r="G347" s="259" t="s">
        <v>7383</v>
      </c>
      <c r="H347" s="259" t="s">
        <v>149</v>
      </c>
      <c r="I347" s="259" t="s">
        <v>149</v>
      </c>
      <c r="J347" s="259" t="s">
        <v>149</v>
      </c>
      <c r="K347" s="259" t="s">
        <v>151</v>
      </c>
      <c r="L347" s="259" t="s">
        <v>2217</v>
      </c>
      <c r="M347" s="259" t="s">
        <v>2217</v>
      </c>
      <c r="N347" s="259" t="s">
        <v>149</v>
      </c>
      <c r="O347" s="259" t="s">
        <v>149</v>
      </c>
      <c r="P347" s="259" t="s">
        <v>149</v>
      </c>
      <c r="Q347" s="259" t="s">
        <v>149</v>
      </c>
      <c r="R347" s="259" t="s">
        <v>149</v>
      </c>
      <c r="S347" s="259" t="s">
        <v>149</v>
      </c>
      <c r="T347" s="259" t="s">
        <v>149</v>
      </c>
      <c r="U347" s="259" t="s">
        <v>149</v>
      </c>
      <c r="V347" s="259" t="s">
        <v>2752</v>
      </c>
      <c r="W347" s="259" t="s">
        <v>184</v>
      </c>
      <c r="X347" s="260"/>
      <c r="Y347" s="262"/>
      <c r="Z347" s="260"/>
      <c r="AA347" s="259" t="s">
        <v>6038</v>
      </c>
      <c r="AB347" s="263" t="s">
        <v>2754</v>
      </c>
      <c r="AC347" s="259" t="s">
        <v>188</v>
      </c>
      <c r="AD347" s="259" t="s">
        <v>1140</v>
      </c>
      <c r="AE347" s="258">
        <v>1.0</v>
      </c>
      <c r="AF347" s="260"/>
    </row>
    <row r="348">
      <c r="A348" s="258">
        <v>347.0</v>
      </c>
      <c r="B348" s="259" t="s">
        <v>171</v>
      </c>
      <c r="C348" s="259" t="s">
        <v>172</v>
      </c>
      <c r="D348" s="259" t="s">
        <v>173</v>
      </c>
      <c r="E348" s="259" t="s">
        <v>174</v>
      </c>
      <c r="F348" s="259" t="s">
        <v>149</v>
      </c>
      <c r="G348" s="259" t="s">
        <v>7383</v>
      </c>
      <c r="H348" s="258">
        <v>2017.0</v>
      </c>
      <c r="I348" s="259" t="s">
        <v>149</v>
      </c>
      <c r="J348" s="259" t="s">
        <v>149</v>
      </c>
      <c r="K348" s="259" t="s">
        <v>151</v>
      </c>
      <c r="L348" s="259" t="s">
        <v>2758</v>
      </c>
      <c r="M348" s="259" t="s">
        <v>2758</v>
      </c>
      <c r="N348" s="259" t="s">
        <v>7387</v>
      </c>
      <c r="O348" s="259" t="s">
        <v>2752</v>
      </c>
      <c r="P348" s="259" t="s">
        <v>160</v>
      </c>
      <c r="Q348" s="259" t="s">
        <v>184</v>
      </c>
      <c r="R348" s="259" t="s">
        <v>159</v>
      </c>
      <c r="S348" s="259" t="s">
        <v>149</v>
      </c>
      <c r="T348" s="259" t="s">
        <v>149</v>
      </c>
      <c r="U348" s="259" t="s">
        <v>149</v>
      </c>
      <c r="V348" s="259" t="s">
        <v>2752</v>
      </c>
      <c r="W348" s="259" t="s">
        <v>184</v>
      </c>
      <c r="X348" s="260"/>
      <c r="Y348" s="262"/>
      <c r="Z348" s="260"/>
      <c r="AA348" s="259" t="s">
        <v>6091</v>
      </c>
      <c r="AB348" s="259" t="s">
        <v>2760</v>
      </c>
      <c r="AC348" s="259" t="s">
        <v>188</v>
      </c>
      <c r="AD348" s="259" t="s">
        <v>1140</v>
      </c>
      <c r="AE348" s="258">
        <v>1.0</v>
      </c>
      <c r="AF348" s="260"/>
    </row>
    <row r="349">
      <c r="A349" s="258">
        <v>348.0</v>
      </c>
      <c r="B349" s="259" t="s">
        <v>171</v>
      </c>
      <c r="C349" s="259" t="s">
        <v>172</v>
      </c>
      <c r="D349" s="259" t="s">
        <v>173</v>
      </c>
      <c r="E349" s="259" t="s">
        <v>174</v>
      </c>
      <c r="F349" s="259" t="s">
        <v>7390</v>
      </c>
      <c r="G349" s="259" t="s">
        <v>7391</v>
      </c>
      <c r="H349" s="259" t="s">
        <v>149</v>
      </c>
      <c r="I349" s="259" t="s">
        <v>149</v>
      </c>
      <c r="J349" s="259" t="s">
        <v>149</v>
      </c>
      <c r="K349" s="259" t="s">
        <v>6062</v>
      </c>
      <c r="L349" s="259" t="s">
        <v>179</v>
      </c>
      <c r="M349" s="259" t="s">
        <v>179</v>
      </c>
      <c r="N349" s="259" t="s">
        <v>286</v>
      </c>
      <c r="O349" s="259" t="s">
        <v>2093</v>
      </c>
      <c r="P349" s="259" t="s">
        <v>160</v>
      </c>
      <c r="Q349" s="259" t="s">
        <v>184</v>
      </c>
      <c r="R349" s="259" t="s">
        <v>159</v>
      </c>
      <c r="S349" s="259" t="s">
        <v>149</v>
      </c>
      <c r="T349" s="259" t="s">
        <v>149</v>
      </c>
      <c r="U349" s="259" t="s">
        <v>149</v>
      </c>
      <c r="V349" s="259" t="s">
        <v>2094</v>
      </c>
      <c r="W349" s="259" t="s">
        <v>184</v>
      </c>
      <c r="X349" s="259" t="s">
        <v>369</v>
      </c>
      <c r="Y349" s="260"/>
      <c r="Z349" s="260"/>
      <c r="AA349" s="259" t="s">
        <v>166</v>
      </c>
      <c r="AB349" s="259" t="s">
        <v>7392</v>
      </c>
      <c r="AE349" s="258">
        <v>1.0</v>
      </c>
      <c r="AF349" s="260"/>
    </row>
    <row r="350">
      <c r="A350" s="258">
        <v>349.0</v>
      </c>
      <c r="B350" s="259" t="s">
        <v>171</v>
      </c>
      <c r="C350" s="259" t="s">
        <v>172</v>
      </c>
      <c r="D350" s="259" t="s">
        <v>173</v>
      </c>
      <c r="E350" s="259" t="s">
        <v>174</v>
      </c>
      <c r="F350" s="259" t="s">
        <v>7394</v>
      </c>
      <c r="H350" s="258">
        <v>2004.0</v>
      </c>
      <c r="I350" s="258">
        <v>2002.0</v>
      </c>
      <c r="J350" s="258">
        <v>2006.0</v>
      </c>
      <c r="K350" s="259" t="s">
        <v>6062</v>
      </c>
      <c r="L350" s="259" t="s">
        <v>179</v>
      </c>
      <c r="M350" s="259" t="s">
        <v>179</v>
      </c>
      <c r="N350" s="259" t="s">
        <v>149</v>
      </c>
      <c r="O350" s="259" t="s">
        <v>2752</v>
      </c>
      <c r="P350" s="259" t="s">
        <v>160</v>
      </c>
      <c r="Q350" s="259" t="s">
        <v>184</v>
      </c>
      <c r="R350" s="259" t="s">
        <v>159</v>
      </c>
      <c r="S350" s="259" t="s">
        <v>149</v>
      </c>
      <c r="T350" s="259" t="s">
        <v>149</v>
      </c>
      <c r="U350" s="259" t="s">
        <v>149</v>
      </c>
      <c r="V350" s="259" t="s">
        <v>2752</v>
      </c>
      <c r="W350" s="259" t="s">
        <v>184</v>
      </c>
      <c r="X350" s="260"/>
      <c r="Y350" s="259" t="s">
        <v>185</v>
      </c>
      <c r="AA350" s="259" t="s">
        <v>166</v>
      </c>
      <c r="AB350" s="263" t="s">
        <v>187</v>
      </c>
      <c r="AC350" s="259" t="s">
        <v>188</v>
      </c>
      <c r="AD350" s="259" t="s">
        <v>1140</v>
      </c>
      <c r="AE350" s="258">
        <v>1.0</v>
      </c>
      <c r="AF350" s="260"/>
    </row>
    <row r="351">
      <c r="A351" s="258">
        <v>350.0</v>
      </c>
      <c r="B351" s="259" t="s">
        <v>171</v>
      </c>
      <c r="C351" s="259" t="s">
        <v>172</v>
      </c>
      <c r="D351" s="259" t="s">
        <v>173</v>
      </c>
      <c r="E351" s="259" t="s">
        <v>174</v>
      </c>
      <c r="F351" s="259" t="s">
        <v>1132</v>
      </c>
      <c r="H351" s="259" t="s">
        <v>149</v>
      </c>
      <c r="I351" s="259" t="s">
        <v>149</v>
      </c>
      <c r="J351" s="259" t="s">
        <v>149</v>
      </c>
      <c r="K351" s="259" t="s">
        <v>6624</v>
      </c>
      <c r="L351" s="259" t="s">
        <v>8164</v>
      </c>
      <c r="M351" s="259" t="s">
        <v>8165</v>
      </c>
      <c r="N351" s="259" t="s">
        <v>7400</v>
      </c>
      <c r="O351" s="259" t="s">
        <v>2752</v>
      </c>
      <c r="P351" s="259" t="s">
        <v>160</v>
      </c>
      <c r="Q351" s="259" t="s">
        <v>184</v>
      </c>
      <c r="R351" s="259" t="s">
        <v>159</v>
      </c>
      <c r="S351" s="259" t="s">
        <v>149</v>
      </c>
      <c r="T351" s="259" t="s">
        <v>149</v>
      </c>
      <c r="U351" s="259" t="s">
        <v>149</v>
      </c>
      <c r="V351" s="259" t="s">
        <v>2752</v>
      </c>
      <c r="W351" s="259" t="s">
        <v>184</v>
      </c>
      <c r="X351" s="260"/>
      <c r="Y351" s="259" t="s">
        <v>185</v>
      </c>
      <c r="AA351" s="259" t="s">
        <v>166</v>
      </c>
      <c r="AB351" s="263" t="s">
        <v>1139</v>
      </c>
      <c r="AC351" s="259" t="s">
        <v>188</v>
      </c>
      <c r="AD351" s="259" t="s">
        <v>1140</v>
      </c>
      <c r="AE351" s="258">
        <v>1.0</v>
      </c>
      <c r="AF351" s="260"/>
    </row>
    <row r="352">
      <c r="A352" s="258">
        <v>351.0</v>
      </c>
      <c r="B352" s="259" t="s">
        <v>171</v>
      </c>
      <c r="C352" s="259" t="s">
        <v>172</v>
      </c>
      <c r="D352" s="259" t="s">
        <v>3173</v>
      </c>
      <c r="E352" s="259" t="s">
        <v>3174</v>
      </c>
      <c r="F352" s="259" t="s">
        <v>149</v>
      </c>
      <c r="G352" s="259" t="s">
        <v>8166</v>
      </c>
      <c r="H352" s="258">
        <v>2016.0</v>
      </c>
      <c r="I352" s="259" t="s">
        <v>149</v>
      </c>
      <c r="J352" s="259" t="s">
        <v>149</v>
      </c>
      <c r="K352" s="259" t="s">
        <v>151</v>
      </c>
      <c r="L352" s="259" t="s">
        <v>149</v>
      </c>
      <c r="M352" s="259" t="s">
        <v>149</v>
      </c>
      <c r="N352" s="259" t="s">
        <v>149</v>
      </c>
      <c r="O352" s="259" t="s">
        <v>149</v>
      </c>
      <c r="P352" s="259" t="s">
        <v>149</v>
      </c>
      <c r="Q352" s="259" t="s">
        <v>149</v>
      </c>
      <c r="R352" s="259" t="s">
        <v>149</v>
      </c>
      <c r="S352" s="259" t="s">
        <v>149</v>
      </c>
      <c r="T352" s="259" t="s">
        <v>149</v>
      </c>
      <c r="U352" s="259" t="s">
        <v>149</v>
      </c>
      <c r="V352" s="259" t="s">
        <v>149</v>
      </c>
      <c r="W352" s="259" t="s">
        <v>149</v>
      </c>
      <c r="X352" s="260"/>
      <c r="Y352" s="260"/>
      <c r="Z352" s="260"/>
      <c r="AA352" s="259" t="s">
        <v>166</v>
      </c>
      <c r="AB352" s="263" t="s">
        <v>3176</v>
      </c>
      <c r="AE352" s="258">
        <v>1.0</v>
      </c>
      <c r="AF352" s="260"/>
    </row>
    <row r="353">
      <c r="A353" s="258">
        <v>352.0</v>
      </c>
      <c r="B353" s="259" t="s">
        <v>171</v>
      </c>
      <c r="C353" s="259" t="s">
        <v>172</v>
      </c>
      <c r="D353" s="259" t="s">
        <v>2021</v>
      </c>
      <c r="E353" s="259" t="s">
        <v>2022</v>
      </c>
      <c r="F353" s="259" t="s">
        <v>2023</v>
      </c>
      <c r="G353" s="259" t="s">
        <v>7405</v>
      </c>
      <c r="H353" s="258">
        <v>2015.0</v>
      </c>
      <c r="I353" s="259" t="s">
        <v>149</v>
      </c>
      <c r="J353" s="259" t="s">
        <v>149</v>
      </c>
      <c r="K353" s="259" t="s">
        <v>151</v>
      </c>
      <c r="L353" s="259" t="s">
        <v>362</v>
      </c>
      <c r="M353" s="259" t="s">
        <v>362</v>
      </c>
      <c r="N353" s="259" t="s">
        <v>2026</v>
      </c>
      <c r="O353" s="259" t="s">
        <v>2027</v>
      </c>
      <c r="P353" s="259" t="s">
        <v>160</v>
      </c>
      <c r="Q353" s="259" t="s">
        <v>184</v>
      </c>
      <c r="R353" s="259" t="s">
        <v>159</v>
      </c>
      <c r="S353" s="259" t="s">
        <v>149</v>
      </c>
      <c r="T353" s="259" t="s">
        <v>149</v>
      </c>
      <c r="U353" s="259" t="s">
        <v>149</v>
      </c>
      <c r="V353" s="259" t="s">
        <v>2027</v>
      </c>
      <c r="W353" s="259" t="s">
        <v>306</v>
      </c>
      <c r="X353" s="259" t="s">
        <v>8167</v>
      </c>
      <c r="AA353" s="259" t="s">
        <v>166</v>
      </c>
      <c r="AB353" s="263" t="s">
        <v>2031</v>
      </c>
      <c r="AE353" s="258">
        <v>1.0</v>
      </c>
      <c r="AF353" s="260"/>
    </row>
    <row r="354">
      <c r="A354" s="258">
        <v>353.0</v>
      </c>
      <c r="B354" s="259" t="s">
        <v>171</v>
      </c>
      <c r="C354" s="259" t="s">
        <v>600</v>
      </c>
      <c r="D354" s="259" t="s">
        <v>601</v>
      </c>
      <c r="E354" s="259" t="s">
        <v>602</v>
      </c>
      <c r="F354" s="259" t="s">
        <v>384</v>
      </c>
      <c r="G354" s="259" t="s">
        <v>603</v>
      </c>
      <c r="H354" s="258">
        <v>1986.0</v>
      </c>
      <c r="I354" s="258">
        <v>1985.0</v>
      </c>
      <c r="J354" s="258">
        <v>1987.0</v>
      </c>
      <c r="K354" s="259" t="s">
        <v>151</v>
      </c>
      <c r="L354" s="259" t="s">
        <v>6076</v>
      </c>
      <c r="M354" s="259" t="s">
        <v>6076</v>
      </c>
      <c r="N354" s="259" t="s">
        <v>149</v>
      </c>
      <c r="O354" s="259" t="s">
        <v>390</v>
      </c>
      <c r="P354" s="259" t="s">
        <v>160</v>
      </c>
      <c r="Q354" s="259" t="s">
        <v>6035</v>
      </c>
      <c r="R354" s="259" t="s">
        <v>159</v>
      </c>
      <c r="S354" s="259" t="s">
        <v>149</v>
      </c>
      <c r="T354" s="259" t="s">
        <v>149</v>
      </c>
      <c r="U354" s="259" t="s">
        <v>606</v>
      </c>
      <c r="V354" s="259" t="s">
        <v>390</v>
      </c>
      <c r="W354" s="259" t="s">
        <v>6035</v>
      </c>
      <c r="X354" s="259" t="s">
        <v>6055</v>
      </c>
      <c r="AA354" s="259" t="s">
        <v>395</v>
      </c>
      <c r="AB354" s="263" t="s">
        <v>2873</v>
      </c>
      <c r="AC354" s="259" t="s">
        <v>398</v>
      </c>
      <c r="AE354" s="258">
        <v>1.0</v>
      </c>
      <c r="AF354" s="260"/>
    </row>
    <row r="355">
      <c r="A355" s="258">
        <v>354.0</v>
      </c>
      <c r="B355" s="259" t="s">
        <v>171</v>
      </c>
      <c r="C355" s="259" t="s">
        <v>600</v>
      </c>
      <c r="D355" s="259" t="s">
        <v>601</v>
      </c>
      <c r="E355" s="259" t="s">
        <v>602</v>
      </c>
      <c r="F355" s="259" t="s">
        <v>384</v>
      </c>
      <c r="G355" s="259" t="s">
        <v>608</v>
      </c>
      <c r="H355" s="258">
        <v>1986.0</v>
      </c>
      <c r="I355" s="258">
        <v>1985.0</v>
      </c>
      <c r="J355" s="258">
        <v>1987.0</v>
      </c>
      <c r="K355" s="259" t="s">
        <v>151</v>
      </c>
      <c r="L355" s="259" t="s">
        <v>469</v>
      </c>
      <c r="M355" s="259" t="s">
        <v>469</v>
      </c>
      <c r="N355" s="259" t="s">
        <v>149</v>
      </c>
      <c r="O355" s="259" t="s">
        <v>390</v>
      </c>
      <c r="P355" s="259" t="s">
        <v>160</v>
      </c>
      <c r="Q355" s="259" t="s">
        <v>6035</v>
      </c>
      <c r="R355" s="259" t="s">
        <v>159</v>
      </c>
      <c r="S355" s="259" t="s">
        <v>149</v>
      </c>
      <c r="T355" s="259" t="s">
        <v>149</v>
      </c>
      <c r="U355" s="259" t="s">
        <v>609</v>
      </c>
      <c r="V355" s="259" t="s">
        <v>390</v>
      </c>
      <c r="W355" s="259" t="s">
        <v>6035</v>
      </c>
      <c r="X355" s="259" t="s">
        <v>6055</v>
      </c>
      <c r="AA355" s="259" t="s">
        <v>395</v>
      </c>
      <c r="AB355" s="263" t="s">
        <v>2873</v>
      </c>
      <c r="AC355" s="259" t="s">
        <v>398</v>
      </c>
      <c r="AE355" s="258">
        <v>1.0</v>
      </c>
      <c r="AF355" s="260"/>
    </row>
    <row r="356">
      <c r="A356" s="258">
        <v>355.0</v>
      </c>
      <c r="B356" s="259" t="s">
        <v>171</v>
      </c>
      <c r="C356" s="259" t="s">
        <v>600</v>
      </c>
      <c r="D356" s="259" t="s">
        <v>601</v>
      </c>
      <c r="E356" s="259" t="s">
        <v>602</v>
      </c>
      <c r="F356" s="259" t="s">
        <v>149</v>
      </c>
      <c r="G356" s="260"/>
      <c r="H356" s="258">
        <v>2018.0</v>
      </c>
      <c r="I356" s="259" t="s">
        <v>149</v>
      </c>
      <c r="J356" s="259" t="s">
        <v>149</v>
      </c>
      <c r="K356" s="259" t="s">
        <v>151</v>
      </c>
      <c r="L356" s="259" t="s">
        <v>7418</v>
      </c>
      <c r="M356" s="259" t="s">
        <v>7418</v>
      </c>
      <c r="N356" s="259" t="s">
        <v>149</v>
      </c>
      <c r="O356" s="259" t="s">
        <v>149</v>
      </c>
      <c r="P356" s="259" t="s">
        <v>149</v>
      </c>
      <c r="Q356" s="259" t="s">
        <v>149</v>
      </c>
      <c r="R356" s="259" t="s">
        <v>149</v>
      </c>
      <c r="S356" s="259" t="s">
        <v>149</v>
      </c>
      <c r="T356" s="259" t="s">
        <v>149</v>
      </c>
      <c r="U356" s="259" t="s">
        <v>149</v>
      </c>
      <c r="V356" s="259" t="s">
        <v>7419</v>
      </c>
      <c r="W356" s="259" t="s">
        <v>306</v>
      </c>
      <c r="X356" s="260"/>
      <c r="Y356" s="260"/>
      <c r="Z356" s="260"/>
      <c r="AA356" s="259" t="s">
        <v>6038</v>
      </c>
      <c r="AB356" s="263" t="s">
        <v>7420</v>
      </c>
      <c r="AE356" s="258">
        <v>1.0</v>
      </c>
      <c r="AF356" s="260"/>
    </row>
    <row r="357">
      <c r="A357" s="258">
        <v>356.0</v>
      </c>
      <c r="B357" s="259" t="s">
        <v>171</v>
      </c>
      <c r="C357" s="259" t="s">
        <v>600</v>
      </c>
      <c r="D357" s="259" t="s">
        <v>2252</v>
      </c>
      <c r="E357" s="259" t="s">
        <v>2253</v>
      </c>
      <c r="F357" s="259" t="s">
        <v>8168</v>
      </c>
      <c r="G357" s="259" t="s">
        <v>7378</v>
      </c>
      <c r="H357" s="258">
        <v>2008.0</v>
      </c>
      <c r="I357" s="259" t="s">
        <v>149</v>
      </c>
      <c r="J357" s="259" t="s">
        <v>149</v>
      </c>
      <c r="K357" s="259" t="s">
        <v>8169</v>
      </c>
      <c r="L357" s="259" t="s">
        <v>179</v>
      </c>
      <c r="M357" s="259" t="s">
        <v>179</v>
      </c>
      <c r="N357" s="259" t="s">
        <v>149</v>
      </c>
      <c r="O357" s="259" t="s">
        <v>2257</v>
      </c>
      <c r="P357" s="259" t="s">
        <v>205</v>
      </c>
      <c r="Q357" s="259" t="s">
        <v>8096</v>
      </c>
      <c r="R357" s="259" t="s">
        <v>159</v>
      </c>
      <c r="S357" s="259" t="s">
        <v>7379</v>
      </c>
      <c r="T357" s="259" t="s">
        <v>149</v>
      </c>
      <c r="U357" s="259" t="s">
        <v>2259</v>
      </c>
      <c r="V357" s="259" t="s">
        <v>2260</v>
      </c>
      <c r="W357" s="259" t="s">
        <v>6035</v>
      </c>
      <c r="Y357" s="260"/>
      <c r="Z357" s="259" t="s">
        <v>2261</v>
      </c>
      <c r="AA357" s="259" t="s">
        <v>6091</v>
      </c>
      <c r="AB357" s="263" t="s">
        <v>2263</v>
      </c>
      <c r="AE357" s="258">
        <v>1.0</v>
      </c>
      <c r="AF357" s="260"/>
    </row>
    <row r="358">
      <c r="A358" s="258">
        <v>357.0</v>
      </c>
      <c r="B358" s="259" t="s">
        <v>171</v>
      </c>
      <c r="C358" s="259" t="s">
        <v>600</v>
      </c>
      <c r="D358" s="259" t="s">
        <v>1497</v>
      </c>
      <c r="E358" s="259" t="s">
        <v>1498</v>
      </c>
      <c r="F358" s="259" t="s">
        <v>1377</v>
      </c>
      <c r="H358" s="258">
        <v>1993.0</v>
      </c>
      <c r="I358" s="258">
        <v>1990.0</v>
      </c>
      <c r="J358" s="258">
        <v>1994.0</v>
      </c>
      <c r="K358" s="259" t="s">
        <v>151</v>
      </c>
      <c r="L358" s="259" t="s">
        <v>149</v>
      </c>
      <c r="M358" s="259" t="s">
        <v>149</v>
      </c>
      <c r="N358" s="259" t="s">
        <v>149</v>
      </c>
      <c r="O358" s="259" t="s">
        <v>8120</v>
      </c>
      <c r="P358" s="259" t="s">
        <v>205</v>
      </c>
      <c r="Q358" s="259" t="s">
        <v>8096</v>
      </c>
      <c r="R358" s="259" t="s">
        <v>159</v>
      </c>
      <c r="S358" s="259" t="s">
        <v>149</v>
      </c>
      <c r="T358" s="259" t="s">
        <v>149</v>
      </c>
      <c r="U358" s="259" t="s">
        <v>149</v>
      </c>
      <c r="V358" s="259" t="s">
        <v>660</v>
      </c>
      <c r="W358" s="259" t="s">
        <v>6035</v>
      </c>
      <c r="X358" s="259" t="s">
        <v>369</v>
      </c>
      <c r="Y358" s="260"/>
      <c r="Z358" s="260"/>
      <c r="AA358" s="259" t="s">
        <v>395</v>
      </c>
      <c r="AB358" s="263" t="s">
        <v>2873</v>
      </c>
      <c r="AC358" s="259" t="s">
        <v>398</v>
      </c>
      <c r="AE358" s="258">
        <v>1.0</v>
      </c>
      <c r="AF358" s="260"/>
    </row>
    <row r="359">
      <c r="A359" s="258">
        <v>358.0</v>
      </c>
      <c r="B359" s="259" t="s">
        <v>171</v>
      </c>
      <c r="C359" s="259" t="s">
        <v>600</v>
      </c>
      <c r="D359" s="259" t="s">
        <v>1497</v>
      </c>
      <c r="E359" s="259" t="s">
        <v>1498</v>
      </c>
      <c r="F359" s="259" t="s">
        <v>1377</v>
      </c>
      <c r="G359" s="259" t="s">
        <v>7385</v>
      </c>
      <c r="H359" s="258">
        <v>1993.0</v>
      </c>
      <c r="I359" s="258">
        <v>1990.0</v>
      </c>
      <c r="J359" s="258">
        <v>1994.0</v>
      </c>
      <c r="K359" s="259" t="s">
        <v>151</v>
      </c>
      <c r="L359" s="259" t="s">
        <v>149</v>
      </c>
      <c r="M359" s="259" t="s">
        <v>149</v>
      </c>
      <c r="N359" s="259" t="s">
        <v>149</v>
      </c>
      <c r="O359" s="259" t="s">
        <v>8120</v>
      </c>
      <c r="P359" s="259" t="s">
        <v>205</v>
      </c>
      <c r="Q359" s="259" t="s">
        <v>8096</v>
      </c>
      <c r="R359" s="259" t="s">
        <v>159</v>
      </c>
      <c r="S359" s="259" t="s">
        <v>149</v>
      </c>
      <c r="T359" s="259" t="s">
        <v>149</v>
      </c>
      <c r="U359" s="259" t="s">
        <v>149</v>
      </c>
      <c r="V359" s="259" t="s">
        <v>660</v>
      </c>
      <c r="W359" s="259" t="s">
        <v>6035</v>
      </c>
      <c r="X359" s="259" t="s">
        <v>369</v>
      </c>
      <c r="Y359" s="260"/>
      <c r="Z359" s="260"/>
      <c r="AA359" s="259" t="s">
        <v>395</v>
      </c>
      <c r="AB359" s="263" t="s">
        <v>2873</v>
      </c>
      <c r="AC359" s="259" t="s">
        <v>398</v>
      </c>
      <c r="AE359" s="258">
        <v>1.0</v>
      </c>
      <c r="AF359" s="260"/>
    </row>
    <row r="360">
      <c r="A360" s="258">
        <v>359.0</v>
      </c>
      <c r="B360" s="259" t="s">
        <v>171</v>
      </c>
      <c r="C360" s="259" t="s">
        <v>600</v>
      </c>
      <c r="D360" s="259" t="s">
        <v>5456</v>
      </c>
      <c r="E360" s="259" t="s">
        <v>5457</v>
      </c>
      <c r="F360" s="259" t="s">
        <v>7437</v>
      </c>
      <c r="G360" s="259" t="s">
        <v>8170</v>
      </c>
      <c r="H360" s="258">
        <v>2021.0</v>
      </c>
      <c r="I360" s="259" t="s">
        <v>149</v>
      </c>
      <c r="J360" s="259" t="s">
        <v>149</v>
      </c>
      <c r="K360" s="259" t="s">
        <v>151</v>
      </c>
      <c r="L360" s="259" t="s">
        <v>7439</v>
      </c>
      <c r="M360" s="259" t="s">
        <v>7439</v>
      </c>
      <c r="N360" s="259" t="s">
        <v>1006</v>
      </c>
      <c r="O360" s="259" t="s">
        <v>7440</v>
      </c>
      <c r="P360" s="259" t="s">
        <v>160</v>
      </c>
      <c r="Q360" s="259" t="s">
        <v>306</v>
      </c>
      <c r="R360" s="259" t="s">
        <v>159</v>
      </c>
      <c r="S360" s="259" t="s">
        <v>149</v>
      </c>
      <c r="T360" s="259" t="s">
        <v>149</v>
      </c>
      <c r="U360" s="259" t="s">
        <v>149</v>
      </c>
      <c r="V360" s="259" t="s">
        <v>7440</v>
      </c>
      <c r="W360" s="259" t="s">
        <v>306</v>
      </c>
      <c r="X360" s="259" t="s">
        <v>7441</v>
      </c>
      <c r="Y360" s="259" t="s">
        <v>7442</v>
      </c>
      <c r="Z360" s="259" t="s">
        <v>7443</v>
      </c>
      <c r="AA360" s="259" t="s">
        <v>166</v>
      </c>
      <c r="AB360" s="263" t="s">
        <v>7444</v>
      </c>
      <c r="AC360" s="259" t="s">
        <v>7445</v>
      </c>
      <c r="AE360" s="258">
        <v>1.0</v>
      </c>
      <c r="AF360" s="260"/>
    </row>
    <row r="361">
      <c r="A361" s="258">
        <v>360.0</v>
      </c>
      <c r="B361" s="259" t="s">
        <v>171</v>
      </c>
      <c r="C361" s="259" t="s">
        <v>600</v>
      </c>
      <c r="D361" s="259" t="s">
        <v>5481</v>
      </c>
      <c r="E361" s="259" t="s">
        <v>5482</v>
      </c>
      <c r="F361" s="259" t="s">
        <v>1377</v>
      </c>
      <c r="H361" s="258">
        <v>1992.0</v>
      </c>
      <c r="I361" s="258">
        <v>1990.0</v>
      </c>
      <c r="J361" s="258">
        <v>1993.0</v>
      </c>
      <c r="K361" s="259" t="s">
        <v>151</v>
      </c>
      <c r="L361" s="259" t="s">
        <v>149</v>
      </c>
      <c r="M361" s="259" t="s">
        <v>149</v>
      </c>
      <c r="N361" s="259" t="s">
        <v>149</v>
      </c>
      <c r="O361" s="259" t="s">
        <v>8120</v>
      </c>
      <c r="P361" s="259" t="s">
        <v>205</v>
      </c>
      <c r="Q361" s="259" t="s">
        <v>8096</v>
      </c>
      <c r="R361" s="259" t="s">
        <v>159</v>
      </c>
      <c r="S361" s="259" t="s">
        <v>149</v>
      </c>
      <c r="T361" s="259" t="s">
        <v>149</v>
      </c>
      <c r="U361" s="259" t="s">
        <v>149</v>
      </c>
      <c r="V361" s="259" t="s">
        <v>660</v>
      </c>
      <c r="W361" s="259" t="s">
        <v>6035</v>
      </c>
      <c r="X361" s="259" t="s">
        <v>369</v>
      </c>
      <c r="Y361" s="260"/>
      <c r="Z361" s="260"/>
      <c r="AA361" s="259" t="s">
        <v>8092</v>
      </c>
      <c r="AC361" s="260"/>
      <c r="AD361" s="260"/>
      <c r="AE361" s="258">
        <v>1.0</v>
      </c>
      <c r="AF361" s="260"/>
    </row>
    <row r="362">
      <c r="A362" s="258">
        <v>361.0</v>
      </c>
      <c r="B362" s="259" t="s">
        <v>330</v>
      </c>
      <c r="C362" s="259" t="s">
        <v>2265</v>
      </c>
      <c r="D362" s="259" t="s">
        <v>1255</v>
      </c>
      <c r="E362" s="259" t="s">
        <v>2266</v>
      </c>
      <c r="F362" s="259" t="s">
        <v>6587</v>
      </c>
      <c r="G362" s="260"/>
      <c r="H362" s="258">
        <v>2012.0</v>
      </c>
      <c r="I362" s="258">
        <v>2012.0</v>
      </c>
      <c r="J362" s="259" t="s">
        <v>149</v>
      </c>
      <c r="K362" s="259" t="s">
        <v>151</v>
      </c>
      <c r="L362" s="259" t="s">
        <v>149</v>
      </c>
      <c r="M362" s="259" t="s">
        <v>149</v>
      </c>
      <c r="N362" s="259" t="s">
        <v>149</v>
      </c>
      <c r="O362" s="259" t="s">
        <v>341</v>
      </c>
      <c r="P362" s="259" t="s">
        <v>160</v>
      </c>
      <c r="Q362" s="259" t="s">
        <v>6035</v>
      </c>
      <c r="R362" s="259" t="s">
        <v>159</v>
      </c>
      <c r="S362" s="259" t="s">
        <v>149</v>
      </c>
      <c r="T362" s="259" t="s">
        <v>149</v>
      </c>
      <c r="U362" s="259" t="s">
        <v>149</v>
      </c>
      <c r="V362" s="259" t="s">
        <v>369</v>
      </c>
      <c r="W362" s="259" t="s">
        <v>6035</v>
      </c>
      <c r="Y362" s="260"/>
      <c r="Z362" s="260"/>
      <c r="AA362" s="259" t="s">
        <v>8092</v>
      </c>
      <c r="AC362" s="260"/>
      <c r="AD362" s="260"/>
      <c r="AE362" s="258">
        <v>1.0</v>
      </c>
      <c r="AF362" s="260"/>
    </row>
    <row r="363">
      <c r="A363" s="258">
        <v>362.0</v>
      </c>
      <c r="B363" s="259" t="s">
        <v>330</v>
      </c>
      <c r="C363" s="259" t="s">
        <v>2265</v>
      </c>
      <c r="D363" s="259" t="s">
        <v>1255</v>
      </c>
      <c r="E363" s="259" t="s">
        <v>2266</v>
      </c>
      <c r="F363" s="259" t="s">
        <v>2267</v>
      </c>
      <c r="G363" s="259" t="s">
        <v>7458</v>
      </c>
      <c r="H363" s="258">
        <v>2023.0</v>
      </c>
      <c r="I363" s="259" t="s">
        <v>149</v>
      </c>
      <c r="J363" s="259" t="s">
        <v>149</v>
      </c>
      <c r="K363" s="259" t="s">
        <v>6624</v>
      </c>
      <c r="L363" s="259" t="s">
        <v>320</v>
      </c>
      <c r="M363" s="259" t="s">
        <v>179</v>
      </c>
      <c r="N363" s="259" t="s">
        <v>149</v>
      </c>
      <c r="O363" s="259" t="s">
        <v>2271</v>
      </c>
      <c r="P363" s="259" t="s">
        <v>160</v>
      </c>
      <c r="Q363" s="259" t="s">
        <v>306</v>
      </c>
      <c r="R363" s="259" t="s">
        <v>159</v>
      </c>
      <c r="S363" s="259" t="s">
        <v>149</v>
      </c>
      <c r="T363" s="259" t="s">
        <v>149</v>
      </c>
      <c r="U363" s="259" t="s">
        <v>149</v>
      </c>
      <c r="V363" s="259" t="s">
        <v>2271</v>
      </c>
      <c r="W363" s="259" t="s">
        <v>184</v>
      </c>
      <c r="X363" s="259" t="s">
        <v>7459</v>
      </c>
      <c r="Y363" s="259" t="s">
        <v>7460</v>
      </c>
      <c r="AA363" s="259" t="s">
        <v>166</v>
      </c>
      <c r="AB363" s="263" t="s">
        <v>7461</v>
      </c>
      <c r="AE363" s="258">
        <v>1.0</v>
      </c>
      <c r="AF363" s="260"/>
    </row>
    <row r="364">
      <c r="A364" s="258">
        <v>363.0</v>
      </c>
      <c r="B364" s="259" t="s">
        <v>330</v>
      </c>
      <c r="C364" s="259" t="s">
        <v>331</v>
      </c>
      <c r="D364" s="259" t="s">
        <v>3991</v>
      </c>
      <c r="E364" s="259" t="s">
        <v>981</v>
      </c>
      <c r="F364" s="259" t="s">
        <v>1659</v>
      </c>
      <c r="G364" s="259" t="s">
        <v>1663</v>
      </c>
      <c r="H364" s="258">
        <v>1991.0</v>
      </c>
      <c r="I364" s="258">
        <v>1990.0</v>
      </c>
      <c r="J364" s="258">
        <v>1992.0</v>
      </c>
      <c r="K364" s="259" t="s">
        <v>151</v>
      </c>
      <c r="L364" s="259" t="s">
        <v>7067</v>
      </c>
      <c r="M364" s="259" t="s">
        <v>7067</v>
      </c>
      <c r="N364" s="259" t="s">
        <v>1380</v>
      </c>
      <c r="O364" s="259" t="s">
        <v>321</v>
      </c>
      <c r="P364" s="259" t="s">
        <v>160</v>
      </c>
      <c r="Q364" s="259" t="s">
        <v>6035</v>
      </c>
      <c r="R364" s="259" t="s">
        <v>159</v>
      </c>
      <c r="S364" s="259" t="s">
        <v>149</v>
      </c>
      <c r="T364" s="259" t="s">
        <v>149</v>
      </c>
      <c r="U364" s="259" t="s">
        <v>149</v>
      </c>
      <c r="V364" s="259" t="s">
        <v>1663</v>
      </c>
      <c r="W364" s="259" t="s">
        <v>6035</v>
      </c>
      <c r="Y364" s="260"/>
      <c r="Z364" s="260"/>
      <c r="AA364" s="259" t="s">
        <v>8092</v>
      </c>
      <c r="AC364" s="260"/>
      <c r="AD364" s="260"/>
      <c r="AE364" s="258">
        <v>1.0</v>
      </c>
      <c r="AF364" s="260"/>
    </row>
    <row r="365">
      <c r="A365" s="258">
        <v>364.0</v>
      </c>
      <c r="B365" s="259" t="s">
        <v>330</v>
      </c>
      <c r="C365" s="259" t="s">
        <v>331</v>
      </c>
      <c r="D365" s="259" t="s">
        <v>3991</v>
      </c>
      <c r="E365" s="259" t="s">
        <v>981</v>
      </c>
      <c r="F365" s="259" t="s">
        <v>2023</v>
      </c>
      <c r="G365" s="259" t="s">
        <v>7405</v>
      </c>
      <c r="H365" s="258">
        <v>2012.0</v>
      </c>
      <c r="I365" s="259" t="s">
        <v>149</v>
      </c>
      <c r="J365" s="259" t="s">
        <v>149</v>
      </c>
      <c r="K365" s="259" t="s">
        <v>151</v>
      </c>
      <c r="L365" s="259" t="s">
        <v>362</v>
      </c>
      <c r="M365" s="259" t="s">
        <v>362</v>
      </c>
      <c r="N365" s="259" t="s">
        <v>149</v>
      </c>
      <c r="O365" s="259" t="s">
        <v>2059</v>
      </c>
      <c r="P365" s="259" t="s">
        <v>160</v>
      </c>
      <c r="Q365" s="259" t="s">
        <v>184</v>
      </c>
      <c r="R365" s="259" t="s">
        <v>159</v>
      </c>
      <c r="S365" s="259" t="s">
        <v>149</v>
      </c>
      <c r="T365" s="259" t="s">
        <v>149</v>
      </c>
      <c r="U365" s="259" t="s">
        <v>2060</v>
      </c>
      <c r="V365" s="259" t="s">
        <v>2038</v>
      </c>
      <c r="W365" s="259" t="s">
        <v>306</v>
      </c>
      <c r="X365" s="260"/>
      <c r="Y365" s="259" t="s">
        <v>2061</v>
      </c>
      <c r="AA365" s="259" t="s">
        <v>6091</v>
      </c>
      <c r="AB365" s="263" t="s">
        <v>2063</v>
      </c>
      <c r="AC365" s="259" t="s">
        <v>2064</v>
      </c>
      <c r="AE365" s="258">
        <v>1.0</v>
      </c>
      <c r="AF365" s="260"/>
    </row>
    <row r="366">
      <c r="A366" s="258">
        <v>365.0</v>
      </c>
      <c r="B366" s="259" t="s">
        <v>330</v>
      </c>
      <c r="C366" s="259" t="s">
        <v>331</v>
      </c>
      <c r="D366" s="259" t="s">
        <v>3991</v>
      </c>
      <c r="E366" s="259" t="s">
        <v>981</v>
      </c>
      <c r="F366" s="259" t="s">
        <v>149</v>
      </c>
      <c r="G366" s="259" t="s">
        <v>7473</v>
      </c>
      <c r="H366" s="259" t="s">
        <v>149</v>
      </c>
      <c r="I366" s="259" t="s">
        <v>149</v>
      </c>
      <c r="J366" s="259" t="s">
        <v>149</v>
      </c>
      <c r="K366" s="259" t="s">
        <v>151</v>
      </c>
      <c r="L366" s="259" t="s">
        <v>149</v>
      </c>
      <c r="M366" s="259" t="s">
        <v>149</v>
      </c>
      <c r="N366" s="259" t="s">
        <v>149</v>
      </c>
      <c r="O366" s="259" t="s">
        <v>149</v>
      </c>
      <c r="P366" s="259" t="s">
        <v>149</v>
      </c>
      <c r="Q366" s="259" t="s">
        <v>149</v>
      </c>
      <c r="R366" s="259" t="s">
        <v>149</v>
      </c>
      <c r="S366" s="259" t="s">
        <v>149</v>
      </c>
      <c r="T366" s="259" t="s">
        <v>149</v>
      </c>
      <c r="U366" s="259" t="s">
        <v>149</v>
      </c>
      <c r="V366" s="259" t="s">
        <v>369</v>
      </c>
      <c r="W366" s="259" t="s">
        <v>6035</v>
      </c>
      <c r="Y366" s="260"/>
      <c r="Z366" s="260"/>
      <c r="AA366" s="259" t="s">
        <v>8092</v>
      </c>
      <c r="AC366" s="260"/>
      <c r="AD366" s="260"/>
      <c r="AE366" s="258">
        <v>1.0</v>
      </c>
      <c r="AF366" s="260"/>
    </row>
    <row r="367">
      <c r="A367" s="258">
        <v>366.0</v>
      </c>
      <c r="B367" s="259" t="s">
        <v>330</v>
      </c>
      <c r="C367" s="259" t="s">
        <v>331</v>
      </c>
      <c r="D367" s="259" t="s">
        <v>3991</v>
      </c>
      <c r="E367" s="259" t="s">
        <v>981</v>
      </c>
      <c r="F367" s="259" t="s">
        <v>989</v>
      </c>
      <c r="H367" s="258">
        <v>2019.0</v>
      </c>
      <c r="I367" s="259" t="s">
        <v>149</v>
      </c>
      <c r="J367" s="259" t="s">
        <v>149</v>
      </c>
      <c r="K367" s="259" t="s">
        <v>151</v>
      </c>
      <c r="L367" s="259" t="s">
        <v>152</v>
      </c>
      <c r="M367" s="259" t="s">
        <v>152</v>
      </c>
      <c r="N367" s="259" t="s">
        <v>149</v>
      </c>
      <c r="O367" s="259" t="s">
        <v>993</v>
      </c>
      <c r="P367" s="259" t="s">
        <v>160</v>
      </c>
      <c r="Q367" s="259" t="s">
        <v>6035</v>
      </c>
      <c r="R367" s="259" t="s">
        <v>159</v>
      </c>
      <c r="S367" s="259" t="s">
        <v>149</v>
      </c>
      <c r="T367" s="259" t="s">
        <v>149</v>
      </c>
      <c r="U367" s="259" t="s">
        <v>149</v>
      </c>
      <c r="V367" s="259" t="s">
        <v>994</v>
      </c>
      <c r="W367" s="259" t="s">
        <v>6035</v>
      </c>
      <c r="X367" s="259" t="s">
        <v>369</v>
      </c>
      <c r="Y367" s="260"/>
      <c r="Z367" s="260"/>
      <c r="AA367" s="259" t="s">
        <v>6038</v>
      </c>
      <c r="AB367" s="263" t="s">
        <v>997</v>
      </c>
      <c r="AE367" s="258">
        <v>1.0</v>
      </c>
      <c r="AF367" s="260"/>
    </row>
    <row r="368">
      <c r="A368" s="258">
        <v>367.0</v>
      </c>
      <c r="B368" s="259" t="s">
        <v>330</v>
      </c>
      <c r="C368" s="259" t="s">
        <v>331</v>
      </c>
      <c r="D368" s="259" t="s">
        <v>3991</v>
      </c>
      <c r="E368" s="259" t="s">
        <v>981</v>
      </c>
      <c r="F368" s="259" t="s">
        <v>7479</v>
      </c>
      <c r="G368" s="259" t="s">
        <v>7480</v>
      </c>
      <c r="H368" s="259" t="s">
        <v>149</v>
      </c>
      <c r="I368" s="259" t="s">
        <v>149</v>
      </c>
      <c r="J368" s="259" t="s">
        <v>149</v>
      </c>
      <c r="K368" s="259" t="s">
        <v>6062</v>
      </c>
      <c r="L368" s="259" t="s">
        <v>8105</v>
      </c>
      <c r="M368" s="259" t="s">
        <v>179</v>
      </c>
      <c r="N368" s="259" t="s">
        <v>149</v>
      </c>
      <c r="O368" s="259" t="s">
        <v>149</v>
      </c>
      <c r="P368" s="259" t="s">
        <v>149</v>
      </c>
      <c r="Q368" s="259" t="s">
        <v>149</v>
      </c>
      <c r="R368" s="259" t="s">
        <v>149</v>
      </c>
      <c r="S368" s="259" t="s">
        <v>149</v>
      </c>
      <c r="T368" s="259" t="s">
        <v>149</v>
      </c>
      <c r="U368" s="259" t="s">
        <v>149</v>
      </c>
      <c r="V368" s="259" t="s">
        <v>149</v>
      </c>
      <c r="W368" s="259" t="s">
        <v>149</v>
      </c>
      <c r="X368" s="260"/>
      <c r="Y368" s="259" t="s">
        <v>2247</v>
      </c>
      <c r="Z368" s="259" t="s">
        <v>2248</v>
      </c>
      <c r="AA368" s="259" t="s">
        <v>6091</v>
      </c>
      <c r="AB368" s="263" t="s">
        <v>2250</v>
      </c>
      <c r="AE368" s="258">
        <v>1.0</v>
      </c>
      <c r="AF368" s="260"/>
    </row>
    <row r="369">
      <c r="A369" s="258">
        <v>368.0</v>
      </c>
      <c r="B369" s="259" t="s">
        <v>330</v>
      </c>
      <c r="C369" s="259" t="s">
        <v>331</v>
      </c>
      <c r="D369" s="259" t="s">
        <v>3991</v>
      </c>
      <c r="E369" s="259" t="s">
        <v>981</v>
      </c>
      <c r="F369" s="259" t="s">
        <v>6587</v>
      </c>
      <c r="G369" s="260"/>
      <c r="H369" s="259" t="s">
        <v>149</v>
      </c>
      <c r="I369" s="258">
        <v>2012.0</v>
      </c>
      <c r="J369" s="259" t="s">
        <v>149</v>
      </c>
      <c r="K369" s="259" t="s">
        <v>6624</v>
      </c>
      <c r="L369" s="259" t="s">
        <v>2218</v>
      </c>
      <c r="M369" s="259" t="s">
        <v>179</v>
      </c>
      <c r="N369" s="259" t="s">
        <v>149</v>
      </c>
      <c r="O369" s="259" t="s">
        <v>341</v>
      </c>
      <c r="P369" s="259" t="s">
        <v>160</v>
      </c>
      <c r="Q369" s="259" t="s">
        <v>6035</v>
      </c>
      <c r="R369" s="259" t="s">
        <v>159</v>
      </c>
      <c r="S369" s="259" t="s">
        <v>149</v>
      </c>
      <c r="T369" s="259" t="s">
        <v>149</v>
      </c>
      <c r="U369" s="259" t="s">
        <v>149</v>
      </c>
      <c r="V369" s="259" t="s">
        <v>341</v>
      </c>
      <c r="W369" s="259" t="s">
        <v>6035</v>
      </c>
      <c r="Y369" s="260"/>
      <c r="Z369" s="260"/>
      <c r="AA369" s="259" t="s">
        <v>166</v>
      </c>
      <c r="AB369" s="263" t="s">
        <v>2220</v>
      </c>
      <c r="AE369" s="258">
        <v>1.0</v>
      </c>
      <c r="AF369" s="260"/>
    </row>
    <row r="370">
      <c r="A370" s="258">
        <v>369.0</v>
      </c>
      <c r="B370" s="259" t="s">
        <v>330</v>
      </c>
      <c r="C370" s="259" t="s">
        <v>331</v>
      </c>
      <c r="D370" s="259" t="s">
        <v>3991</v>
      </c>
      <c r="E370" s="259" t="s">
        <v>981</v>
      </c>
      <c r="F370" s="259" t="s">
        <v>149</v>
      </c>
      <c r="G370" s="260"/>
      <c r="H370" s="258">
        <v>2021.0</v>
      </c>
      <c r="I370" s="259" t="s">
        <v>149</v>
      </c>
      <c r="J370" s="259" t="s">
        <v>149</v>
      </c>
      <c r="K370" s="259" t="s">
        <v>151</v>
      </c>
      <c r="L370" s="259" t="s">
        <v>7487</v>
      </c>
      <c r="M370" s="259" t="s">
        <v>7487</v>
      </c>
      <c r="N370" s="259" t="s">
        <v>2751</v>
      </c>
      <c r="O370" s="259" t="s">
        <v>2765</v>
      </c>
      <c r="P370" s="259" t="s">
        <v>160</v>
      </c>
      <c r="Q370" s="259" t="s">
        <v>184</v>
      </c>
      <c r="R370" s="259" t="s">
        <v>159</v>
      </c>
      <c r="S370" s="259" t="s">
        <v>149</v>
      </c>
      <c r="T370" s="259" t="s">
        <v>149</v>
      </c>
      <c r="U370" s="259" t="s">
        <v>149</v>
      </c>
      <c r="V370" s="259" t="s">
        <v>2765</v>
      </c>
      <c r="W370" s="259" t="s">
        <v>184</v>
      </c>
      <c r="X370" s="260"/>
      <c r="Y370" s="260"/>
      <c r="Z370" s="260"/>
      <c r="AA370" s="259" t="s">
        <v>166</v>
      </c>
      <c r="AB370" s="263" t="s">
        <v>2767</v>
      </c>
      <c r="AE370" s="258">
        <v>1.0</v>
      </c>
      <c r="AF370" s="260"/>
    </row>
    <row r="371">
      <c r="A371" s="258">
        <v>370.0</v>
      </c>
      <c r="B371" s="259" t="s">
        <v>330</v>
      </c>
      <c r="C371" s="259" t="s">
        <v>331</v>
      </c>
      <c r="D371" s="259" t="s">
        <v>3991</v>
      </c>
      <c r="E371" s="259" t="s">
        <v>981</v>
      </c>
      <c r="F371" s="259" t="s">
        <v>149</v>
      </c>
      <c r="G371" s="260"/>
      <c r="H371" s="258">
        <v>2022.0</v>
      </c>
      <c r="I371" s="259" t="s">
        <v>149</v>
      </c>
      <c r="J371" s="259" t="s">
        <v>149</v>
      </c>
      <c r="K371" s="259" t="s">
        <v>151</v>
      </c>
      <c r="L371" s="259" t="s">
        <v>149</v>
      </c>
      <c r="M371" s="259" t="s">
        <v>149</v>
      </c>
      <c r="N371" s="259" t="s">
        <v>779</v>
      </c>
      <c r="O371" s="259" t="s">
        <v>2520</v>
      </c>
      <c r="P371" s="259" t="s">
        <v>160</v>
      </c>
      <c r="Q371" s="259" t="s">
        <v>184</v>
      </c>
      <c r="R371" s="259" t="s">
        <v>159</v>
      </c>
      <c r="S371" s="259" t="s">
        <v>149</v>
      </c>
      <c r="T371" s="259" t="s">
        <v>149</v>
      </c>
      <c r="U371" s="259" t="s">
        <v>149</v>
      </c>
      <c r="V371" s="259" t="s">
        <v>2522</v>
      </c>
      <c r="W371" s="259" t="s">
        <v>184</v>
      </c>
      <c r="X371" s="259" t="s">
        <v>3048</v>
      </c>
      <c r="Y371" s="259" t="s">
        <v>8171</v>
      </c>
      <c r="AA371" s="259" t="s">
        <v>166</v>
      </c>
      <c r="AB371" s="259" t="s">
        <v>7492</v>
      </c>
      <c r="AC371" s="259" t="s">
        <v>7493</v>
      </c>
      <c r="AE371" s="258">
        <v>1.0</v>
      </c>
      <c r="AF371" s="260"/>
    </row>
    <row r="372">
      <c r="A372" s="258">
        <v>371.0</v>
      </c>
      <c r="B372" s="259" t="s">
        <v>330</v>
      </c>
      <c r="C372" s="259" t="s">
        <v>331</v>
      </c>
      <c r="D372" s="259" t="s">
        <v>3991</v>
      </c>
      <c r="E372" s="259" t="s">
        <v>981</v>
      </c>
      <c r="F372" s="259" t="s">
        <v>934</v>
      </c>
      <c r="H372" s="258">
        <v>2001.0</v>
      </c>
      <c r="I372" s="258">
        <v>2001.0</v>
      </c>
      <c r="J372" s="258">
        <v>2005.0</v>
      </c>
      <c r="K372" s="259" t="s">
        <v>6062</v>
      </c>
      <c r="L372" s="259" t="s">
        <v>8105</v>
      </c>
      <c r="M372" s="259" t="s">
        <v>179</v>
      </c>
      <c r="N372" s="259" t="s">
        <v>939</v>
      </c>
      <c r="O372" s="259" t="s">
        <v>940</v>
      </c>
      <c r="P372" s="259" t="s">
        <v>205</v>
      </c>
      <c r="Q372" s="259" t="s">
        <v>8096</v>
      </c>
      <c r="R372" s="259" t="s">
        <v>204</v>
      </c>
      <c r="S372" s="259" t="s">
        <v>149</v>
      </c>
      <c r="T372" s="259" t="s">
        <v>149</v>
      </c>
      <c r="U372" s="259" t="s">
        <v>149</v>
      </c>
      <c r="V372" s="259" t="s">
        <v>8100</v>
      </c>
      <c r="W372" s="259" t="s">
        <v>6068</v>
      </c>
      <c r="X372" s="260"/>
      <c r="Y372" s="260"/>
      <c r="Z372" s="260"/>
      <c r="AA372" s="259" t="s">
        <v>6214</v>
      </c>
      <c r="AB372" s="263" t="s">
        <v>942</v>
      </c>
      <c r="AC372" s="259" t="s">
        <v>943</v>
      </c>
      <c r="AE372" s="258">
        <v>1.0</v>
      </c>
      <c r="AF372" s="260"/>
    </row>
    <row r="373">
      <c r="A373" s="258">
        <v>372.0</v>
      </c>
      <c r="B373" s="259" t="s">
        <v>330</v>
      </c>
      <c r="C373" s="259" t="s">
        <v>331</v>
      </c>
      <c r="D373" s="259" t="s">
        <v>8172</v>
      </c>
      <c r="E373" s="259" t="s">
        <v>333</v>
      </c>
      <c r="F373" s="259" t="s">
        <v>334</v>
      </c>
      <c r="H373" s="258">
        <v>2007.0</v>
      </c>
      <c r="I373" s="258">
        <v>2007.0</v>
      </c>
      <c r="J373" s="258">
        <v>2016.0</v>
      </c>
      <c r="K373" s="259" t="s">
        <v>151</v>
      </c>
      <c r="L373" s="259" t="s">
        <v>149</v>
      </c>
      <c r="M373" s="259" t="s">
        <v>149</v>
      </c>
      <c r="N373" s="259" t="s">
        <v>149</v>
      </c>
      <c r="O373" s="259" t="s">
        <v>149</v>
      </c>
      <c r="P373" s="259" t="s">
        <v>149</v>
      </c>
      <c r="Q373" s="259" t="s">
        <v>149</v>
      </c>
      <c r="R373" s="259" t="s">
        <v>149</v>
      </c>
      <c r="S373" s="259" t="s">
        <v>149</v>
      </c>
      <c r="T373" s="259" t="s">
        <v>7503</v>
      </c>
      <c r="U373" s="259" t="s">
        <v>340</v>
      </c>
      <c r="V373" s="259" t="s">
        <v>7504</v>
      </c>
      <c r="W373" s="259" t="s">
        <v>6035</v>
      </c>
      <c r="X373" s="259" t="s">
        <v>341</v>
      </c>
      <c r="Y373" s="260"/>
      <c r="Z373" s="260"/>
      <c r="AA373" s="259" t="s">
        <v>166</v>
      </c>
      <c r="AB373" s="259" t="s">
        <v>7505</v>
      </c>
      <c r="AE373" s="258">
        <v>1.0</v>
      </c>
      <c r="AF373" s="260"/>
    </row>
    <row r="374">
      <c r="A374" s="258">
        <v>373.0</v>
      </c>
      <c r="B374" s="259" t="s">
        <v>330</v>
      </c>
      <c r="C374" s="259" t="s">
        <v>331</v>
      </c>
      <c r="D374" s="259" t="s">
        <v>8172</v>
      </c>
      <c r="E374" s="259" t="s">
        <v>333</v>
      </c>
      <c r="F374" s="259" t="s">
        <v>1580</v>
      </c>
      <c r="H374" s="259" t="s">
        <v>149</v>
      </c>
      <c r="I374" s="259" t="s">
        <v>149</v>
      </c>
      <c r="J374" s="259" t="s">
        <v>149</v>
      </c>
      <c r="K374" s="259" t="s">
        <v>151</v>
      </c>
      <c r="L374" s="259" t="s">
        <v>362</v>
      </c>
      <c r="M374" s="259" t="s">
        <v>362</v>
      </c>
      <c r="N374" s="259" t="s">
        <v>1582</v>
      </c>
      <c r="O374" s="259" t="s">
        <v>228</v>
      </c>
      <c r="P374" s="259" t="s">
        <v>160</v>
      </c>
      <c r="Q374" s="261" t="s">
        <v>6035</v>
      </c>
      <c r="R374" s="259" t="s">
        <v>159</v>
      </c>
      <c r="S374" s="259" t="s">
        <v>149</v>
      </c>
      <c r="T374" s="259" t="s">
        <v>149</v>
      </c>
      <c r="U374" s="259" t="s">
        <v>1583</v>
      </c>
      <c r="V374" s="259" t="s">
        <v>7509</v>
      </c>
      <c r="W374" s="259" t="s">
        <v>6035</v>
      </c>
      <c r="Y374" s="260"/>
      <c r="Z374" s="260"/>
      <c r="AA374" s="259" t="s">
        <v>6038</v>
      </c>
      <c r="AB374" s="263" t="s">
        <v>1585</v>
      </c>
      <c r="AE374" s="258">
        <v>1.0</v>
      </c>
      <c r="AF374" s="260"/>
    </row>
    <row r="375">
      <c r="A375" s="258">
        <v>374.0</v>
      </c>
      <c r="B375" s="259" t="s">
        <v>330</v>
      </c>
      <c r="C375" s="259" t="s">
        <v>615</v>
      </c>
      <c r="D375" s="259" t="s">
        <v>7511</v>
      </c>
      <c r="E375" s="259" t="s">
        <v>617</v>
      </c>
      <c r="F375" s="259" t="s">
        <v>384</v>
      </c>
      <c r="H375" s="258">
        <v>1986.0</v>
      </c>
      <c r="I375" s="258">
        <v>1985.0</v>
      </c>
      <c r="J375" s="258">
        <v>1987.0</v>
      </c>
      <c r="K375" s="259" t="s">
        <v>151</v>
      </c>
      <c r="L375" s="259" t="s">
        <v>6054</v>
      </c>
      <c r="M375" s="259" t="s">
        <v>6054</v>
      </c>
      <c r="N375" s="259" t="s">
        <v>149</v>
      </c>
      <c r="O375" s="259" t="s">
        <v>390</v>
      </c>
      <c r="P375" s="259" t="s">
        <v>160</v>
      </c>
      <c r="Q375" s="259" t="s">
        <v>6035</v>
      </c>
      <c r="R375" s="259" t="s">
        <v>159</v>
      </c>
      <c r="S375" s="259" t="s">
        <v>149</v>
      </c>
      <c r="T375" s="259" t="s">
        <v>149</v>
      </c>
      <c r="U375" s="259" t="s">
        <v>149</v>
      </c>
      <c r="V375" s="259" t="s">
        <v>390</v>
      </c>
      <c r="W375" s="259" t="s">
        <v>6035</v>
      </c>
      <c r="X375" s="259" t="s">
        <v>6055</v>
      </c>
      <c r="AA375" s="259" t="s">
        <v>395</v>
      </c>
      <c r="AB375" s="263" t="s">
        <v>2873</v>
      </c>
      <c r="AC375" s="259" t="s">
        <v>398</v>
      </c>
      <c r="AE375" s="258">
        <v>1.0</v>
      </c>
      <c r="AF375" s="260"/>
    </row>
    <row r="376">
      <c r="A376" s="258">
        <v>375.0</v>
      </c>
      <c r="B376" s="259" t="s">
        <v>330</v>
      </c>
      <c r="C376" s="259" t="s">
        <v>615</v>
      </c>
      <c r="D376" s="259" t="s">
        <v>7511</v>
      </c>
      <c r="E376" s="259" t="s">
        <v>617</v>
      </c>
      <c r="F376" s="259" t="s">
        <v>777</v>
      </c>
      <c r="G376" s="259" t="s">
        <v>7516</v>
      </c>
      <c r="H376" s="258">
        <v>2017.0</v>
      </c>
      <c r="I376" s="259" t="s">
        <v>149</v>
      </c>
      <c r="J376" s="259" t="s">
        <v>149</v>
      </c>
      <c r="K376" s="259" t="s">
        <v>151</v>
      </c>
      <c r="L376" s="259" t="s">
        <v>362</v>
      </c>
      <c r="M376" s="259" t="s">
        <v>362</v>
      </c>
      <c r="N376" s="259" t="s">
        <v>779</v>
      </c>
      <c r="O376" s="259" t="s">
        <v>7517</v>
      </c>
      <c r="P376" s="259" t="s">
        <v>160</v>
      </c>
      <c r="Q376" s="259" t="s">
        <v>184</v>
      </c>
      <c r="R376" s="259" t="s">
        <v>159</v>
      </c>
      <c r="S376" s="259" t="s">
        <v>149</v>
      </c>
      <c r="T376" s="259" t="s">
        <v>149</v>
      </c>
      <c r="U376" s="259" t="s">
        <v>782</v>
      </c>
      <c r="V376" s="259" t="s">
        <v>780</v>
      </c>
      <c r="W376" s="259" t="s">
        <v>184</v>
      </c>
      <c r="X376" s="259" t="s">
        <v>760</v>
      </c>
      <c r="AA376" s="259" t="s">
        <v>6027</v>
      </c>
      <c r="AB376" s="263" t="s">
        <v>784</v>
      </c>
      <c r="AE376" s="258">
        <v>1.0</v>
      </c>
      <c r="AF376" s="260"/>
    </row>
    <row r="377">
      <c r="A377" s="258">
        <v>376.0</v>
      </c>
      <c r="B377" s="259" t="s">
        <v>330</v>
      </c>
      <c r="C377" s="259" t="s">
        <v>615</v>
      </c>
      <c r="D377" s="259" t="s">
        <v>7511</v>
      </c>
      <c r="E377" s="259" t="s">
        <v>617</v>
      </c>
      <c r="F377" s="259" t="s">
        <v>668</v>
      </c>
      <c r="H377" s="258">
        <v>2017.0</v>
      </c>
      <c r="I377" s="259" t="s">
        <v>149</v>
      </c>
      <c r="J377" s="259" t="s">
        <v>149</v>
      </c>
      <c r="K377" s="259" t="s">
        <v>151</v>
      </c>
      <c r="L377" s="259" t="s">
        <v>149</v>
      </c>
      <c r="M377" s="259" t="s">
        <v>149</v>
      </c>
      <c r="N377" s="259" t="s">
        <v>149</v>
      </c>
      <c r="O377" s="259" t="s">
        <v>149</v>
      </c>
      <c r="P377" s="259" t="s">
        <v>149</v>
      </c>
      <c r="Q377" s="259" t="s">
        <v>149</v>
      </c>
      <c r="R377" s="259" t="s">
        <v>149</v>
      </c>
      <c r="S377" s="259" t="s">
        <v>149</v>
      </c>
      <c r="T377" s="259" t="s">
        <v>149</v>
      </c>
      <c r="U377" s="259" t="s">
        <v>675</v>
      </c>
      <c r="V377" s="259" t="s">
        <v>674</v>
      </c>
      <c r="W377" s="259" t="s">
        <v>6035</v>
      </c>
      <c r="X377" s="259" t="s">
        <v>7521</v>
      </c>
      <c r="AA377" s="259" t="s">
        <v>166</v>
      </c>
      <c r="AB377" s="259" t="s">
        <v>679</v>
      </c>
      <c r="AE377" s="258">
        <v>1.0</v>
      </c>
      <c r="AF377" s="260"/>
    </row>
    <row r="378">
      <c r="A378" s="258">
        <v>377.0</v>
      </c>
      <c r="B378" s="259" t="s">
        <v>330</v>
      </c>
      <c r="C378" s="259" t="s">
        <v>615</v>
      </c>
      <c r="D378" s="259" t="s">
        <v>7511</v>
      </c>
      <c r="E378" s="259" t="s">
        <v>617</v>
      </c>
      <c r="F378" s="259" t="s">
        <v>149</v>
      </c>
      <c r="G378" s="260"/>
      <c r="H378" s="258">
        <v>2012.0</v>
      </c>
      <c r="I378" s="259" t="s">
        <v>149</v>
      </c>
      <c r="J378" s="259" t="s">
        <v>149</v>
      </c>
      <c r="K378" s="259" t="s">
        <v>151</v>
      </c>
      <c r="L378" s="259" t="s">
        <v>362</v>
      </c>
      <c r="M378" s="259" t="s">
        <v>362</v>
      </c>
      <c r="N378" s="259" t="s">
        <v>149</v>
      </c>
      <c r="O378" s="259" t="s">
        <v>149</v>
      </c>
      <c r="P378" s="259" t="s">
        <v>149</v>
      </c>
      <c r="Q378" s="259" t="s">
        <v>149</v>
      </c>
      <c r="R378" s="259" t="s">
        <v>149</v>
      </c>
      <c r="S378" s="259" t="s">
        <v>149</v>
      </c>
      <c r="T378" s="259" t="s">
        <v>149</v>
      </c>
      <c r="U378" s="259" t="s">
        <v>149</v>
      </c>
      <c r="V378" s="259" t="s">
        <v>7524</v>
      </c>
      <c r="W378" s="259" t="s">
        <v>6068</v>
      </c>
      <c r="X378" s="260"/>
      <c r="Y378" s="259" t="s">
        <v>2581</v>
      </c>
      <c r="AA378" s="259" t="s">
        <v>6038</v>
      </c>
      <c r="AB378" s="263" t="s">
        <v>2583</v>
      </c>
      <c r="AE378" s="258">
        <v>1.0</v>
      </c>
      <c r="AF378" s="260"/>
    </row>
    <row r="379">
      <c r="A379" s="258">
        <v>378.0</v>
      </c>
      <c r="B379" s="259" t="s">
        <v>330</v>
      </c>
      <c r="C379" s="259" t="s">
        <v>999</v>
      </c>
      <c r="D379" s="259" t="s">
        <v>8173</v>
      </c>
      <c r="E379" s="259" t="s">
        <v>1001</v>
      </c>
      <c r="F379" s="259" t="s">
        <v>149</v>
      </c>
      <c r="G379" s="259" t="s">
        <v>7531</v>
      </c>
      <c r="H379" s="258">
        <v>2004.0</v>
      </c>
      <c r="I379" s="259" t="s">
        <v>149</v>
      </c>
      <c r="J379" s="259" t="s">
        <v>149</v>
      </c>
      <c r="K379" s="259" t="s">
        <v>151</v>
      </c>
      <c r="L379" s="259" t="s">
        <v>149</v>
      </c>
      <c r="M379" s="259" t="s">
        <v>149</v>
      </c>
      <c r="N379" s="259" t="s">
        <v>149</v>
      </c>
      <c r="O379" s="259" t="s">
        <v>149</v>
      </c>
      <c r="P379" s="259" t="s">
        <v>149</v>
      </c>
      <c r="Q379" s="259" t="s">
        <v>149</v>
      </c>
      <c r="R379" s="259" t="s">
        <v>149</v>
      </c>
      <c r="S379" s="259" t="s">
        <v>149</v>
      </c>
      <c r="T379" s="259" t="s">
        <v>149</v>
      </c>
      <c r="U379" s="259" t="s">
        <v>149</v>
      </c>
      <c r="V379" s="259" t="s">
        <v>369</v>
      </c>
      <c r="W379" s="259" t="s">
        <v>6035</v>
      </c>
      <c r="Y379" s="260"/>
      <c r="Z379" s="260"/>
      <c r="AA379" s="259" t="s">
        <v>166</v>
      </c>
      <c r="AB379" s="263" t="s">
        <v>7532</v>
      </c>
      <c r="AE379" s="258">
        <v>1.0</v>
      </c>
      <c r="AF379" s="260"/>
    </row>
    <row r="380">
      <c r="A380" s="258">
        <v>379.0</v>
      </c>
      <c r="B380" s="259" t="s">
        <v>330</v>
      </c>
      <c r="C380" s="259" t="s">
        <v>999</v>
      </c>
      <c r="D380" s="259" t="s">
        <v>3178</v>
      </c>
      <c r="E380" s="259" t="s">
        <v>3179</v>
      </c>
      <c r="F380" s="259" t="s">
        <v>149</v>
      </c>
      <c r="G380" s="259" t="s">
        <v>8174</v>
      </c>
      <c r="H380" s="259" t="s">
        <v>149</v>
      </c>
      <c r="I380" s="259" t="s">
        <v>149</v>
      </c>
      <c r="J380" s="259" t="s">
        <v>149</v>
      </c>
      <c r="K380" s="259" t="s">
        <v>151</v>
      </c>
      <c r="L380" s="259" t="s">
        <v>149</v>
      </c>
      <c r="M380" s="259" t="s">
        <v>149</v>
      </c>
      <c r="N380" s="259" t="s">
        <v>149</v>
      </c>
      <c r="O380" s="259" t="s">
        <v>149</v>
      </c>
      <c r="P380" s="259" t="s">
        <v>149</v>
      </c>
      <c r="Q380" s="259" t="s">
        <v>149</v>
      </c>
      <c r="R380" s="259" t="s">
        <v>149</v>
      </c>
      <c r="S380" s="259" t="s">
        <v>149</v>
      </c>
      <c r="T380" s="259" t="s">
        <v>149</v>
      </c>
      <c r="U380" s="259" t="s">
        <v>149</v>
      </c>
      <c r="V380" s="259" t="s">
        <v>369</v>
      </c>
      <c r="W380" s="259" t="s">
        <v>6035</v>
      </c>
      <c r="Y380" s="260"/>
      <c r="Z380" s="260"/>
      <c r="AA380" s="259" t="s">
        <v>6027</v>
      </c>
      <c r="AB380" s="263" t="s">
        <v>2105</v>
      </c>
      <c r="AE380" s="258">
        <v>1.0</v>
      </c>
      <c r="AF380" s="260"/>
    </row>
    <row r="381">
      <c r="A381" s="258">
        <v>380.0</v>
      </c>
      <c r="B381" s="259" t="s">
        <v>356</v>
      </c>
      <c r="C381" s="259" t="s">
        <v>3569</v>
      </c>
      <c r="D381" s="259" t="s">
        <v>5680</v>
      </c>
      <c r="E381" s="259" t="s">
        <v>5681</v>
      </c>
      <c r="F381" s="259" t="s">
        <v>149</v>
      </c>
      <c r="G381" s="259" t="s">
        <v>7540</v>
      </c>
      <c r="H381" s="259" t="s">
        <v>149</v>
      </c>
      <c r="I381" s="259" t="s">
        <v>149</v>
      </c>
      <c r="J381" s="259" t="s">
        <v>149</v>
      </c>
      <c r="K381" s="259" t="s">
        <v>149</v>
      </c>
      <c r="L381" s="259" t="s">
        <v>149</v>
      </c>
      <c r="M381" s="259" t="s">
        <v>149</v>
      </c>
      <c r="N381" s="259" t="s">
        <v>149</v>
      </c>
      <c r="O381" s="259" t="s">
        <v>149</v>
      </c>
      <c r="P381" s="259" t="s">
        <v>149</v>
      </c>
      <c r="Q381" s="259" t="s">
        <v>149</v>
      </c>
      <c r="R381" s="259" t="s">
        <v>149</v>
      </c>
      <c r="S381" s="259" t="s">
        <v>149</v>
      </c>
      <c r="T381" s="259" t="s">
        <v>149</v>
      </c>
      <c r="U381" s="259" t="s">
        <v>149</v>
      </c>
      <c r="V381" s="259" t="s">
        <v>149</v>
      </c>
      <c r="W381" s="259" t="s">
        <v>149</v>
      </c>
      <c r="X381" s="260"/>
      <c r="Y381" s="260"/>
      <c r="Z381" s="260"/>
      <c r="AA381" s="259" t="s">
        <v>8092</v>
      </c>
      <c r="AC381" s="260"/>
      <c r="AD381" s="260"/>
      <c r="AE381" s="258">
        <v>0.0</v>
      </c>
      <c r="AF381" s="258">
        <v>0.0</v>
      </c>
    </row>
    <row r="382">
      <c r="A382" s="258">
        <v>381.0</v>
      </c>
      <c r="B382" s="259" t="s">
        <v>356</v>
      </c>
      <c r="C382" s="259" t="s">
        <v>3569</v>
      </c>
      <c r="D382" s="259" t="s">
        <v>5682</v>
      </c>
      <c r="E382" s="259" t="s">
        <v>5683</v>
      </c>
      <c r="F382" s="259" t="s">
        <v>149</v>
      </c>
      <c r="G382" s="259" t="s">
        <v>7540</v>
      </c>
      <c r="H382" s="259" t="s">
        <v>149</v>
      </c>
      <c r="I382" s="259" t="s">
        <v>149</v>
      </c>
      <c r="J382" s="259" t="s">
        <v>149</v>
      </c>
      <c r="K382" s="259" t="s">
        <v>149</v>
      </c>
      <c r="L382" s="259" t="s">
        <v>149</v>
      </c>
      <c r="M382" s="259" t="s">
        <v>149</v>
      </c>
      <c r="N382" s="259" t="s">
        <v>149</v>
      </c>
      <c r="O382" s="259" t="s">
        <v>149</v>
      </c>
      <c r="P382" s="259" t="s">
        <v>149</v>
      </c>
      <c r="Q382" s="259" t="s">
        <v>149</v>
      </c>
      <c r="R382" s="259" t="s">
        <v>149</v>
      </c>
      <c r="S382" s="259" t="s">
        <v>149</v>
      </c>
      <c r="T382" s="259" t="s">
        <v>149</v>
      </c>
      <c r="U382" s="259" t="s">
        <v>149</v>
      </c>
      <c r="V382" s="259" t="s">
        <v>149</v>
      </c>
      <c r="W382" s="259" t="s">
        <v>149</v>
      </c>
      <c r="X382" s="260"/>
      <c r="Y382" s="260"/>
      <c r="Z382" s="260"/>
      <c r="AA382" s="259" t="s">
        <v>8092</v>
      </c>
      <c r="AC382" s="260"/>
      <c r="AD382" s="260"/>
      <c r="AE382" s="258">
        <v>0.0</v>
      </c>
      <c r="AF382" s="258">
        <v>0.0</v>
      </c>
    </row>
    <row r="383">
      <c r="A383" s="258">
        <v>382.0</v>
      </c>
      <c r="B383" s="259" t="s">
        <v>356</v>
      </c>
      <c r="C383" s="259" t="s">
        <v>3569</v>
      </c>
      <c r="D383" s="259" t="s">
        <v>5688</v>
      </c>
      <c r="E383" s="259" t="s">
        <v>5689</v>
      </c>
      <c r="F383" s="259" t="s">
        <v>149</v>
      </c>
      <c r="G383" s="259" t="s">
        <v>7540</v>
      </c>
      <c r="H383" s="259" t="s">
        <v>149</v>
      </c>
      <c r="I383" s="259" t="s">
        <v>149</v>
      </c>
      <c r="J383" s="259" t="s">
        <v>149</v>
      </c>
      <c r="K383" s="259" t="s">
        <v>149</v>
      </c>
      <c r="L383" s="259" t="s">
        <v>149</v>
      </c>
      <c r="M383" s="259" t="s">
        <v>149</v>
      </c>
      <c r="N383" s="259" t="s">
        <v>149</v>
      </c>
      <c r="O383" s="259" t="s">
        <v>149</v>
      </c>
      <c r="P383" s="259" t="s">
        <v>149</v>
      </c>
      <c r="Q383" s="259" t="s">
        <v>149</v>
      </c>
      <c r="R383" s="259" t="s">
        <v>149</v>
      </c>
      <c r="S383" s="259" t="s">
        <v>149</v>
      </c>
      <c r="T383" s="259" t="s">
        <v>149</v>
      </c>
      <c r="U383" s="259" t="s">
        <v>149</v>
      </c>
      <c r="V383" s="259" t="s">
        <v>149</v>
      </c>
      <c r="W383" s="259" t="s">
        <v>149</v>
      </c>
      <c r="X383" s="260"/>
      <c r="Y383" s="260"/>
      <c r="Z383" s="260"/>
      <c r="AA383" s="259" t="s">
        <v>8092</v>
      </c>
      <c r="AC383" s="260"/>
      <c r="AD383" s="260"/>
      <c r="AE383" s="258">
        <v>0.0</v>
      </c>
      <c r="AF383" s="258">
        <v>0.0</v>
      </c>
    </row>
    <row r="384">
      <c r="A384" s="258">
        <v>383.0</v>
      </c>
      <c r="B384" s="259" t="s">
        <v>356</v>
      </c>
      <c r="C384" s="259" t="s">
        <v>1997</v>
      </c>
      <c r="D384" s="259" t="s">
        <v>7553</v>
      </c>
      <c r="E384" s="259" t="s">
        <v>1999</v>
      </c>
      <c r="F384" s="259" t="s">
        <v>149</v>
      </c>
      <c r="G384" s="259" t="s">
        <v>7554</v>
      </c>
      <c r="H384" s="259" t="s">
        <v>149</v>
      </c>
      <c r="I384" s="259" t="s">
        <v>149</v>
      </c>
      <c r="J384" s="259" t="s">
        <v>149</v>
      </c>
      <c r="K384" s="259" t="s">
        <v>151</v>
      </c>
      <c r="L384" s="259" t="s">
        <v>362</v>
      </c>
      <c r="M384" s="259" t="s">
        <v>362</v>
      </c>
      <c r="N384" s="259" t="s">
        <v>149</v>
      </c>
      <c r="O384" s="259" t="s">
        <v>149</v>
      </c>
      <c r="P384" s="259" t="s">
        <v>149</v>
      </c>
      <c r="Q384" s="259" t="s">
        <v>149</v>
      </c>
      <c r="R384" s="259" t="s">
        <v>149</v>
      </c>
      <c r="S384" s="259" t="s">
        <v>149</v>
      </c>
      <c r="T384" s="259" t="s">
        <v>149</v>
      </c>
      <c r="U384" s="259" t="s">
        <v>3182</v>
      </c>
      <c r="V384" s="259" t="s">
        <v>149</v>
      </c>
      <c r="W384" s="259" t="s">
        <v>149</v>
      </c>
      <c r="X384" s="260"/>
      <c r="Y384" s="260"/>
      <c r="Z384" s="260"/>
      <c r="AA384" s="259" t="s">
        <v>166</v>
      </c>
      <c r="AB384" s="263" t="s">
        <v>3184</v>
      </c>
      <c r="AE384" s="258">
        <v>1.0</v>
      </c>
      <c r="AF384" s="260"/>
    </row>
    <row r="385">
      <c r="A385" s="258">
        <v>384.0</v>
      </c>
      <c r="B385" s="259" t="s">
        <v>356</v>
      </c>
      <c r="C385" s="259" t="s">
        <v>1997</v>
      </c>
      <c r="D385" s="259" t="s">
        <v>7553</v>
      </c>
      <c r="E385" s="259" t="s">
        <v>1999</v>
      </c>
      <c r="F385" s="259" t="s">
        <v>149</v>
      </c>
      <c r="G385" s="259" t="s">
        <v>2000</v>
      </c>
      <c r="H385" s="258">
        <v>2005.0</v>
      </c>
      <c r="I385" s="258">
        <v>2005.0</v>
      </c>
      <c r="J385" s="258">
        <v>2008.0</v>
      </c>
      <c r="K385" s="259" t="s">
        <v>151</v>
      </c>
      <c r="L385" s="259" t="s">
        <v>362</v>
      </c>
      <c r="M385" s="259" t="s">
        <v>362</v>
      </c>
      <c r="N385" s="259" t="s">
        <v>149</v>
      </c>
      <c r="O385" s="259" t="s">
        <v>149</v>
      </c>
      <c r="P385" s="259" t="s">
        <v>149</v>
      </c>
      <c r="Q385" s="259" t="s">
        <v>149</v>
      </c>
      <c r="R385" s="259" t="s">
        <v>149</v>
      </c>
      <c r="S385" s="259" t="s">
        <v>149</v>
      </c>
      <c r="T385" s="259" t="s">
        <v>149</v>
      </c>
      <c r="U385" s="259" t="s">
        <v>7557</v>
      </c>
      <c r="V385" s="259" t="s">
        <v>2004</v>
      </c>
      <c r="W385" s="259" t="s">
        <v>184</v>
      </c>
      <c r="X385" s="259" t="s">
        <v>8175</v>
      </c>
      <c r="Y385" s="259" t="s">
        <v>8176</v>
      </c>
      <c r="AA385" s="259" t="s">
        <v>166</v>
      </c>
      <c r="AB385" s="263" t="s">
        <v>2007</v>
      </c>
      <c r="AC385" s="259" t="s">
        <v>2008</v>
      </c>
      <c r="AD385" s="259" t="s">
        <v>2009</v>
      </c>
      <c r="AE385" s="258">
        <v>1.0</v>
      </c>
      <c r="AF385" s="260"/>
    </row>
    <row r="386">
      <c r="A386" s="258">
        <v>385.0</v>
      </c>
      <c r="B386" s="259" t="s">
        <v>356</v>
      </c>
      <c r="C386" s="259" t="s">
        <v>1997</v>
      </c>
      <c r="D386" s="259" t="s">
        <v>7553</v>
      </c>
      <c r="E386" s="259" t="s">
        <v>1999</v>
      </c>
      <c r="F386" s="259" t="s">
        <v>777</v>
      </c>
      <c r="G386" s="259" t="s">
        <v>7565</v>
      </c>
      <c r="H386" s="258">
        <v>2019.0</v>
      </c>
      <c r="I386" s="258">
        <v>2016.0</v>
      </c>
      <c r="J386" s="259" t="s">
        <v>149</v>
      </c>
      <c r="K386" s="259" t="s">
        <v>151</v>
      </c>
      <c r="L386" s="259" t="s">
        <v>362</v>
      </c>
      <c r="M386" s="259" t="s">
        <v>362</v>
      </c>
      <c r="N386" s="259" t="s">
        <v>286</v>
      </c>
      <c r="O386" s="259" t="s">
        <v>7517</v>
      </c>
      <c r="P386" s="259" t="s">
        <v>160</v>
      </c>
      <c r="Q386" s="259" t="s">
        <v>184</v>
      </c>
      <c r="R386" s="259" t="s">
        <v>159</v>
      </c>
      <c r="S386" s="259" t="s">
        <v>149</v>
      </c>
      <c r="T386" s="259" t="s">
        <v>149</v>
      </c>
      <c r="U386" s="259" t="s">
        <v>7566</v>
      </c>
      <c r="V386" s="259" t="s">
        <v>780</v>
      </c>
      <c r="W386" s="259" t="s">
        <v>184</v>
      </c>
      <c r="X386" s="259" t="s">
        <v>760</v>
      </c>
      <c r="AA386" s="259" t="s">
        <v>6027</v>
      </c>
      <c r="AB386" s="263" t="s">
        <v>7567</v>
      </c>
      <c r="AE386" s="258">
        <v>1.0</v>
      </c>
      <c r="AF386" s="260"/>
    </row>
    <row r="387">
      <c r="A387" s="258">
        <v>386.0</v>
      </c>
      <c r="B387" s="259" t="s">
        <v>356</v>
      </c>
      <c r="C387" s="259" t="s">
        <v>357</v>
      </c>
      <c r="D387" s="259" t="s">
        <v>2011</v>
      </c>
      <c r="E387" s="259" t="s">
        <v>2012</v>
      </c>
      <c r="F387" s="259" t="s">
        <v>2013</v>
      </c>
      <c r="G387" s="259" t="s">
        <v>7569</v>
      </c>
      <c r="H387" s="258">
        <v>1998.0</v>
      </c>
      <c r="I387" s="258">
        <v>1998.0</v>
      </c>
      <c r="J387" s="259" t="s">
        <v>149</v>
      </c>
      <c r="K387" s="259" t="s">
        <v>151</v>
      </c>
      <c r="L387" s="259" t="s">
        <v>149</v>
      </c>
      <c r="M387" s="259" t="s">
        <v>149</v>
      </c>
      <c r="N387" s="259" t="s">
        <v>149</v>
      </c>
      <c r="O387" s="259" t="s">
        <v>2016</v>
      </c>
      <c r="P387" s="259" t="s">
        <v>205</v>
      </c>
      <c r="Q387" s="259" t="s">
        <v>8096</v>
      </c>
      <c r="R387" s="259" t="s">
        <v>159</v>
      </c>
      <c r="S387" s="259" t="s">
        <v>149</v>
      </c>
      <c r="T387" s="259" t="s">
        <v>149</v>
      </c>
      <c r="U387" s="259" t="s">
        <v>149</v>
      </c>
      <c r="V387" s="259" t="s">
        <v>8177</v>
      </c>
      <c r="W387" s="259" t="s">
        <v>306</v>
      </c>
      <c r="X387" s="260"/>
      <c r="Y387" s="260"/>
      <c r="Z387" s="260"/>
      <c r="AA387" s="259" t="s">
        <v>6027</v>
      </c>
      <c r="AB387" s="263" t="s">
        <v>2019</v>
      </c>
      <c r="AE387" s="258">
        <v>1.0</v>
      </c>
      <c r="AF387" s="260"/>
    </row>
    <row r="388">
      <c r="A388" s="258">
        <v>387.0</v>
      </c>
      <c r="B388" s="259" t="s">
        <v>356</v>
      </c>
      <c r="C388" s="259" t="s">
        <v>357</v>
      </c>
      <c r="D388" s="259" t="s">
        <v>1689</v>
      </c>
      <c r="E388" s="259" t="s">
        <v>1690</v>
      </c>
      <c r="F388" s="259" t="s">
        <v>149</v>
      </c>
      <c r="G388" s="259" t="s">
        <v>7575</v>
      </c>
      <c r="H388" s="258">
        <v>2009.0</v>
      </c>
      <c r="I388" s="259" t="s">
        <v>149</v>
      </c>
      <c r="J388" s="259" t="s">
        <v>149</v>
      </c>
      <c r="K388" s="259" t="s">
        <v>151</v>
      </c>
      <c r="L388" s="259" t="s">
        <v>149</v>
      </c>
      <c r="M388" s="259" t="s">
        <v>149</v>
      </c>
      <c r="N388" s="259" t="s">
        <v>149</v>
      </c>
      <c r="O388" s="259" t="s">
        <v>149</v>
      </c>
      <c r="P388" s="259" t="s">
        <v>149</v>
      </c>
      <c r="Q388" s="259" t="s">
        <v>149</v>
      </c>
      <c r="R388" s="259" t="s">
        <v>149</v>
      </c>
      <c r="S388" s="259" t="s">
        <v>149</v>
      </c>
      <c r="T388" s="259" t="s">
        <v>149</v>
      </c>
      <c r="U388" s="259" t="s">
        <v>149</v>
      </c>
      <c r="V388" s="259" t="s">
        <v>149</v>
      </c>
      <c r="W388" s="259" t="s">
        <v>149</v>
      </c>
      <c r="X388" s="260"/>
      <c r="Y388" s="260"/>
      <c r="Z388" s="260"/>
      <c r="AA388" s="259" t="s">
        <v>166</v>
      </c>
      <c r="AB388" s="263" t="s">
        <v>7576</v>
      </c>
      <c r="AE388" s="258">
        <v>1.0</v>
      </c>
      <c r="AF388" s="260"/>
    </row>
    <row r="389">
      <c r="A389" s="258">
        <v>388.0</v>
      </c>
      <c r="B389" s="259" t="s">
        <v>356</v>
      </c>
      <c r="C389" s="259" t="s">
        <v>357</v>
      </c>
      <c r="D389" s="259" t="s">
        <v>1689</v>
      </c>
      <c r="E389" s="259" t="s">
        <v>1690</v>
      </c>
      <c r="F389" s="259" t="s">
        <v>149</v>
      </c>
      <c r="G389" s="259" t="s">
        <v>7578</v>
      </c>
      <c r="H389" s="258">
        <v>2017.0</v>
      </c>
      <c r="I389" s="259" t="s">
        <v>149</v>
      </c>
      <c r="J389" s="259" t="s">
        <v>149</v>
      </c>
      <c r="K389" s="259" t="s">
        <v>6624</v>
      </c>
      <c r="L389" s="259" t="s">
        <v>320</v>
      </c>
      <c r="M389" s="259" t="s">
        <v>179</v>
      </c>
      <c r="N389" s="259" t="s">
        <v>3030</v>
      </c>
      <c r="O389" s="259" t="s">
        <v>1693</v>
      </c>
      <c r="P389" s="259" t="s">
        <v>160</v>
      </c>
      <c r="Q389" s="259" t="s">
        <v>209</v>
      </c>
      <c r="R389" s="259" t="s">
        <v>159</v>
      </c>
      <c r="S389" s="259" t="s">
        <v>149</v>
      </c>
      <c r="T389" s="259" t="s">
        <v>149</v>
      </c>
      <c r="U389" s="259" t="s">
        <v>149</v>
      </c>
      <c r="V389" s="259" t="s">
        <v>1693</v>
      </c>
      <c r="W389" s="259" t="s">
        <v>6068</v>
      </c>
      <c r="X389" s="260"/>
      <c r="Y389" s="260"/>
      <c r="Z389" s="260"/>
      <c r="AA389" s="259" t="s">
        <v>7149</v>
      </c>
      <c r="AB389" s="263" t="s">
        <v>7573</v>
      </c>
      <c r="AC389" s="259" t="s">
        <v>3033</v>
      </c>
      <c r="AE389" s="258">
        <v>1.0</v>
      </c>
      <c r="AF389" s="260"/>
    </row>
    <row r="390">
      <c r="A390" s="258">
        <v>389.0</v>
      </c>
      <c r="B390" s="259" t="s">
        <v>356</v>
      </c>
      <c r="C390" s="259" t="s">
        <v>357</v>
      </c>
      <c r="D390" s="259" t="s">
        <v>1689</v>
      </c>
      <c r="E390" s="259" t="s">
        <v>1690</v>
      </c>
      <c r="F390" s="259" t="s">
        <v>1683</v>
      </c>
      <c r="H390" s="258">
        <v>2015.0</v>
      </c>
      <c r="I390" s="258">
        <v>2014.0</v>
      </c>
      <c r="J390" s="258">
        <v>2016.0</v>
      </c>
      <c r="K390" s="259" t="s">
        <v>6062</v>
      </c>
      <c r="L390" s="259" t="s">
        <v>320</v>
      </c>
      <c r="M390" s="259" t="s">
        <v>179</v>
      </c>
      <c r="N390" s="259" t="s">
        <v>149</v>
      </c>
      <c r="O390" s="259" t="s">
        <v>321</v>
      </c>
      <c r="P390" s="259" t="s">
        <v>160</v>
      </c>
      <c r="Q390" s="259" t="s">
        <v>6035</v>
      </c>
      <c r="R390" s="259" t="s">
        <v>159</v>
      </c>
      <c r="S390" s="259" t="s">
        <v>149</v>
      </c>
      <c r="T390" s="259" t="s">
        <v>149</v>
      </c>
      <c r="U390" s="259" t="s">
        <v>1692</v>
      </c>
      <c r="V390" s="259" t="s">
        <v>1693</v>
      </c>
      <c r="W390" s="259" t="s">
        <v>6068</v>
      </c>
      <c r="X390" s="259" t="s">
        <v>7580</v>
      </c>
      <c r="Y390" s="259" t="s">
        <v>1695</v>
      </c>
      <c r="AA390" s="259" t="s">
        <v>6069</v>
      </c>
      <c r="AC390" s="260"/>
      <c r="AD390" s="260"/>
      <c r="AE390" s="258">
        <v>1.0</v>
      </c>
      <c r="AF390" s="260"/>
    </row>
    <row r="391">
      <c r="A391" s="258">
        <v>390.0</v>
      </c>
      <c r="B391" s="259" t="s">
        <v>356</v>
      </c>
      <c r="C391" s="259" t="s">
        <v>357</v>
      </c>
      <c r="D391" s="259" t="s">
        <v>358</v>
      </c>
      <c r="E391" s="259" t="s">
        <v>359</v>
      </c>
      <c r="F391" s="259" t="s">
        <v>360</v>
      </c>
      <c r="H391" s="258">
        <v>2009.0</v>
      </c>
      <c r="I391" s="259" t="s">
        <v>149</v>
      </c>
      <c r="J391" s="259" t="s">
        <v>149</v>
      </c>
      <c r="K391" s="259" t="s">
        <v>151</v>
      </c>
      <c r="L391" s="259" t="s">
        <v>149</v>
      </c>
      <c r="M391" s="259" t="s">
        <v>149</v>
      </c>
      <c r="N391" s="259" t="s">
        <v>149</v>
      </c>
      <c r="O391" s="259" t="s">
        <v>7587</v>
      </c>
      <c r="P391" s="259" t="s">
        <v>160</v>
      </c>
      <c r="Q391" s="259" t="s">
        <v>184</v>
      </c>
      <c r="R391" s="259" t="s">
        <v>159</v>
      </c>
      <c r="S391" s="259" t="s">
        <v>149</v>
      </c>
      <c r="T391" s="259" t="s">
        <v>149</v>
      </c>
      <c r="U391" s="259" t="s">
        <v>7588</v>
      </c>
      <c r="V391" s="259" t="s">
        <v>368</v>
      </c>
      <c r="W391" s="259" t="s">
        <v>306</v>
      </c>
      <c r="X391" s="259" t="s">
        <v>369</v>
      </c>
      <c r="Y391" s="259" t="s">
        <v>7589</v>
      </c>
      <c r="AA391" s="259" t="s">
        <v>166</v>
      </c>
      <c r="AB391" s="263" t="s">
        <v>7590</v>
      </c>
      <c r="AE391" s="258">
        <v>1.0</v>
      </c>
      <c r="AF391" s="260"/>
    </row>
    <row r="392">
      <c r="A392" s="258">
        <v>391.0</v>
      </c>
      <c r="B392" s="259" t="s">
        <v>356</v>
      </c>
      <c r="C392" s="259" t="s">
        <v>357</v>
      </c>
      <c r="D392" s="259" t="s">
        <v>358</v>
      </c>
      <c r="E392" s="259" t="s">
        <v>359</v>
      </c>
      <c r="F392" s="259" t="s">
        <v>360</v>
      </c>
      <c r="G392" s="259" t="s">
        <v>7592</v>
      </c>
      <c r="H392" s="258">
        <v>2012.0</v>
      </c>
      <c r="I392" s="259" t="s">
        <v>149</v>
      </c>
      <c r="J392" s="259" t="s">
        <v>149</v>
      </c>
      <c r="K392" s="259" t="s">
        <v>151</v>
      </c>
      <c r="L392" s="259" t="s">
        <v>362</v>
      </c>
      <c r="M392" s="259" t="s">
        <v>362</v>
      </c>
      <c r="N392" s="259" t="s">
        <v>149</v>
      </c>
      <c r="O392" s="259" t="s">
        <v>2349</v>
      </c>
      <c r="P392" s="259" t="s">
        <v>160</v>
      </c>
      <c r="Q392" s="259" t="s">
        <v>306</v>
      </c>
      <c r="R392" s="259" t="s">
        <v>159</v>
      </c>
      <c r="S392" s="259" t="s">
        <v>149</v>
      </c>
      <c r="T392" s="259" t="s">
        <v>149</v>
      </c>
      <c r="U392" s="259" t="s">
        <v>2350</v>
      </c>
      <c r="V392" s="259" t="s">
        <v>368</v>
      </c>
      <c r="W392" s="259" t="s">
        <v>306</v>
      </c>
      <c r="X392" s="259" t="s">
        <v>7593</v>
      </c>
      <c r="Y392" s="259" t="s">
        <v>2352</v>
      </c>
      <c r="Z392" s="259" t="s">
        <v>2353</v>
      </c>
      <c r="AA392" s="259" t="s">
        <v>166</v>
      </c>
      <c r="AB392" s="259" t="s">
        <v>7594</v>
      </c>
      <c r="AE392" s="258">
        <v>1.0</v>
      </c>
      <c r="AF392" s="260"/>
    </row>
    <row r="393">
      <c r="A393" s="258">
        <v>392.0</v>
      </c>
      <c r="B393" s="259" t="s">
        <v>356</v>
      </c>
      <c r="C393" s="259" t="s">
        <v>357</v>
      </c>
      <c r="D393" s="259" t="s">
        <v>375</v>
      </c>
      <c r="E393" s="259" t="s">
        <v>376</v>
      </c>
      <c r="F393" s="259" t="s">
        <v>360</v>
      </c>
      <c r="H393" s="258">
        <v>2012.0</v>
      </c>
      <c r="I393" s="259" t="s">
        <v>149</v>
      </c>
      <c r="J393" s="259" t="s">
        <v>149</v>
      </c>
      <c r="K393" s="259" t="s">
        <v>151</v>
      </c>
      <c r="L393" s="259" t="s">
        <v>362</v>
      </c>
      <c r="M393" s="259" t="s">
        <v>362</v>
      </c>
      <c r="N393" s="259" t="s">
        <v>149</v>
      </c>
      <c r="O393" s="259" t="s">
        <v>149</v>
      </c>
      <c r="P393" s="259" t="s">
        <v>149</v>
      </c>
      <c r="Q393" s="259" t="s">
        <v>149</v>
      </c>
      <c r="R393" s="259" t="s">
        <v>149</v>
      </c>
      <c r="S393" s="259" t="s">
        <v>149</v>
      </c>
      <c r="T393" s="259" t="s">
        <v>149</v>
      </c>
      <c r="U393" s="259" t="s">
        <v>149</v>
      </c>
      <c r="V393" s="259" t="s">
        <v>149</v>
      </c>
      <c r="W393" s="259" t="s">
        <v>149</v>
      </c>
      <c r="X393" s="260"/>
      <c r="Y393" s="260"/>
      <c r="Z393" s="260"/>
      <c r="AA393" s="259" t="s">
        <v>8092</v>
      </c>
      <c r="AC393" s="260"/>
      <c r="AD393" s="260"/>
      <c r="AE393" s="258">
        <v>1.0</v>
      </c>
      <c r="AF393" s="260"/>
    </row>
    <row r="394">
      <c r="A394" s="258">
        <v>393.0</v>
      </c>
      <c r="B394" s="259" t="s">
        <v>345</v>
      </c>
      <c r="C394" s="259" t="s">
        <v>649</v>
      </c>
      <c r="D394" s="259" t="s">
        <v>1172</v>
      </c>
      <c r="E394" s="259" t="s">
        <v>1969</v>
      </c>
      <c r="F394" s="259" t="s">
        <v>149</v>
      </c>
      <c r="G394" s="259" t="s">
        <v>7607</v>
      </c>
      <c r="H394" s="259" t="s">
        <v>149</v>
      </c>
      <c r="I394" s="259" t="s">
        <v>149</v>
      </c>
      <c r="J394" s="259" t="s">
        <v>149</v>
      </c>
      <c r="K394" s="259" t="s">
        <v>151</v>
      </c>
      <c r="L394" s="259" t="s">
        <v>149</v>
      </c>
      <c r="M394" s="259" t="s">
        <v>149</v>
      </c>
      <c r="N394" s="259" t="s">
        <v>149</v>
      </c>
      <c r="O394" s="259" t="s">
        <v>149</v>
      </c>
      <c r="P394" s="259" t="s">
        <v>149</v>
      </c>
      <c r="Q394" s="259" t="s">
        <v>149</v>
      </c>
      <c r="R394" s="259" t="s">
        <v>149</v>
      </c>
      <c r="S394" s="259" t="s">
        <v>149</v>
      </c>
      <c r="T394" s="259" t="s">
        <v>149</v>
      </c>
      <c r="U394" s="259" t="s">
        <v>571</v>
      </c>
      <c r="V394" s="259" t="s">
        <v>390</v>
      </c>
      <c r="W394" s="259" t="s">
        <v>6035</v>
      </c>
      <c r="Y394" s="260"/>
      <c r="Z394" s="260"/>
      <c r="AA394" s="259" t="s">
        <v>6084</v>
      </c>
      <c r="AB394" s="263" t="s">
        <v>2563</v>
      </c>
      <c r="AE394" s="258">
        <v>1.0</v>
      </c>
      <c r="AF394" s="260"/>
    </row>
    <row r="395">
      <c r="A395" s="258">
        <v>394.0</v>
      </c>
      <c r="B395" s="259" t="s">
        <v>345</v>
      </c>
      <c r="C395" s="259" t="s">
        <v>649</v>
      </c>
      <c r="D395" s="259" t="s">
        <v>1172</v>
      </c>
      <c r="E395" s="259" t="s">
        <v>1969</v>
      </c>
      <c r="F395" s="259" t="s">
        <v>149</v>
      </c>
      <c r="G395" s="260"/>
      <c r="H395" s="258">
        <v>2022.0</v>
      </c>
      <c r="I395" s="259" t="s">
        <v>149</v>
      </c>
      <c r="J395" s="259" t="s">
        <v>149</v>
      </c>
      <c r="K395" s="259" t="s">
        <v>151</v>
      </c>
      <c r="L395" s="259" t="s">
        <v>149</v>
      </c>
      <c r="M395" s="259" t="s">
        <v>149</v>
      </c>
      <c r="N395" s="259" t="s">
        <v>149</v>
      </c>
      <c r="O395" s="259" t="s">
        <v>149</v>
      </c>
      <c r="P395" s="259" t="s">
        <v>149</v>
      </c>
      <c r="Q395" s="259" t="s">
        <v>149</v>
      </c>
      <c r="R395" s="259" t="s">
        <v>149</v>
      </c>
      <c r="S395" s="259" t="s">
        <v>149</v>
      </c>
      <c r="T395" s="259" t="s">
        <v>149</v>
      </c>
      <c r="U395" s="259" t="s">
        <v>2498</v>
      </c>
      <c r="V395" s="259" t="s">
        <v>2499</v>
      </c>
      <c r="W395" s="259" t="s">
        <v>6035</v>
      </c>
      <c r="X395" s="259" t="s">
        <v>760</v>
      </c>
      <c r="AA395" s="259" t="s">
        <v>6038</v>
      </c>
      <c r="AB395" s="263" t="s">
        <v>2501</v>
      </c>
      <c r="AE395" s="258">
        <v>1.0</v>
      </c>
      <c r="AF395" s="260"/>
    </row>
    <row r="396">
      <c r="A396" s="258">
        <v>395.0</v>
      </c>
      <c r="B396" s="259" t="s">
        <v>345</v>
      </c>
      <c r="C396" s="259" t="s">
        <v>649</v>
      </c>
      <c r="D396" s="259" t="s">
        <v>7612</v>
      </c>
      <c r="E396" s="259" t="s">
        <v>2740</v>
      </c>
      <c r="F396" s="259" t="s">
        <v>149</v>
      </c>
      <c r="G396" s="260"/>
      <c r="H396" s="258">
        <v>2020.0</v>
      </c>
      <c r="I396" s="259" t="s">
        <v>149</v>
      </c>
      <c r="J396" s="259" t="s">
        <v>149</v>
      </c>
      <c r="K396" s="259" t="s">
        <v>151</v>
      </c>
      <c r="L396" s="259" t="s">
        <v>149</v>
      </c>
      <c r="M396" s="259" t="s">
        <v>149</v>
      </c>
      <c r="N396" s="259" t="s">
        <v>149</v>
      </c>
      <c r="O396" s="259" t="s">
        <v>149</v>
      </c>
      <c r="P396" s="259" t="s">
        <v>149</v>
      </c>
      <c r="Q396" s="259" t="s">
        <v>149</v>
      </c>
      <c r="R396" s="259" t="s">
        <v>149</v>
      </c>
      <c r="S396" s="259" t="s">
        <v>149</v>
      </c>
      <c r="T396" s="259" t="s">
        <v>149</v>
      </c>
      <c r="U396" s="259" t="s">
        <v>2273</v>
      </c>
      <c r="V396" s="259" t="s">
        <v>390</v>
      </c>
      <c r="W396" s="259" t="s">
        <v>6035</v>
      </c>
      <c r="Y396" s="260"/>
      <c r="Z396" s="260"/>
      <c r="AA396" s="259" t="s">
        <v>6038</v>
      </c>
      <c r="AB396" s="263" t="s">
        <v>2745</v>
      </c>
      <c r="AE396" s="258">
        <v>1.0</v>
      </c>
      <c r="AF396" s="260"/>
    </row>
    <row r="397">
      <c r="A397" s="258">
        <v>396.0</v>
      </c>
      <c r="B397" s="259" t="s">
        <v>345</v>
      </c>
      <c r="C397" s="259" t="s">
        <v>649</v>
      </c>
      <c r="D397" s="259" t="s">
        <v>8178</v>
      </c>
      <c r="E397" s="259" t="s">
        <v>651</v>
      </c>
      <c r="F397" s="259" t="s">
        <v>149</v>
      </c>
      <c r="G397" s="260"/>
      <c r="H397" s="259" t="s">
        <v>149</v>
      </c>
      <c r="I397" s="259" t="s">
        <v>149</v>
      </c>
      <c r="J397" s="259" t="s">
        <v>149</v>
      </c>
      <c r="K397" s="259" t="s">
        <v>149</v>
      </c>
      <c r="L397" s="259" t="s">
        <v>149</v>
      </c>
      <c r="M397" s="259" t="s">
        <v>149</v>
      </c>
      <c r="N397" s="259" t="s">
        <v>149</v>
      </c>
      <c r="O397" s="259" t="s">
        <v>149</v>
      </c>
      <c r="P397" s="259" t="s">
        <v>149</v>
      </c>
      <c r="Q397" s="259" t="s">
        <v>149</v>
      </c>
      <c r="R397" s="259" t="s">
        <v>149</v>
      </c>
      <c r="S397" s="259" t="s">
        <v>149</v>
      </c>
      <c r="T397" s="259" t="s">
        <v>149</v>
      </c>
      <c r="U397" s="259" t="s">
        <v>149</v>
      </c>
      <c r="V397" s="259" t="s">
        <v>149</v>
      </c>
      <c r="W397" s="259" t="s">
        <v>149</v>
      </c>
      <c r="X397" s="260"/>
      <c r="Y397" s="260"/>
      <c r="Z397" s="260"/>
      <c r="AA397" s="259" t="s">
        <v>8092</v>
      </c>
      <c r="AC397" s="260"/>
      <c r="AD397" s="260"/>
      <c r="AE397" s="258">
        <v>0.0</v>
      </c>
      <c r="AF397" s="258">
        <v>0.0</v>
      </c>
    </row>
    <row r="398">
      <c r="A398" s="258">
        <v>397.0</v>
      </c>
      <c r="B398" s="259" t="s">
        <v>345</v>
      </c>
      <c r="C398" s="259" t="s">
        <v>649</v>
      </c>
      <c r="D398" s="259" t="s">
        <v>2503</v>
      </c>
      <c r="E398" s="259" t="s">
        <v>2504</v>
      </c>
      <c r="F398" s="259" t="s">
        <v>1309</v>
      </c>
      <c r="G398" s="259" t="s">
        <v>7620</v>
      </c>
      <c r="H398" s="259" t="s">
        <v>149</v>
      </c>
      <c r="I398" s="259" t="s">
        <v>149</v>
      </c>
      <c r="J398" s="259" t="s">
        <v>149</v>
      </c>
      <c r="K398" s="259" t="s">
        <v>151</v>
      </c>
      <c r="L398" s="259" t="s">
        <v>149</v>
      </c>
      <c r="M398" s="259" t="s">
        <v>149</v>
      </c>
      <c r="N398" s="259" t="s">
        <v>149</v>
      </c>
      <c r="O398" s="259" t="s">
        <v>1327</v>
      </c>
      <c r="P398" s="259" t="s">
        <v>205</v>
      </c>
      <c r="Q398" s="259" t="s">
        <v>8096</v>
      </c>
      <c r="R398" s="259" t="s">
        <v>159</v>
      </c>
      <c r="S398" s="259" t="s">
        <v>149</v>
      </c>
      <c r="T398" s="259" t="s">
        <v>149</v>
      </c>
      <c r="U398" s="259" t="s">
        <v>149</v>
      </c>
      <c r="V398" s="259" t="s">
        <v>390</v>
      </c>
      <c r="W398" s="259" t="s">
        <v>6035</v>
      </c>
      <c r="Y398" s="260"/>
      <c r="Z398" s="260"/>
      <c r="AA398" s="259" t="s">
        <v>6084</v>
      </c>
      <c r="AB398" s="263" t="s">
        <v>7621</v>
      </c>
      <c r="AE398" s="258">
        <v>1.0</v>
      </c>
      <c r="AF398" s="260"/>
    </row>
    <row r="399">
      <c r="A399" s="258">
        <v>398.0</v>
      </c>
      <c r="B399" s="259" t="s">
        <v>345</v>
      </c>
      <c r="C399" s="259" t="s">
        <v>346</v>
      </c>
      <c r="D399" s="259" t="s">
        <v>2291</v>
      </c>
      <c r="E399" s="259" t="s">
        <v>2292</v>
      </c>
      <c r="F399" s="259" t="s">
        <v>1913</v>
      </c>
      <c r="H399" s="259" t="s">
        <v>149</v>
      </c>
      <c r="I399" s="259" t="s">
        <v>149</v>
      </c>
      <c r="J399" s="259" t="s">
        <v>149</v>
      </c>
      <c r="K399" s="259" t="s">
        <v>151</v>
      </c>
      <c r="L399" s="259" t="s">
        <v>149</v>
      </c>
      <c r="M399" s="259" t="s">
        <v>149</v>
      </c>
      <c r="N399" s="259" t="s">
        <v>149</v>
      </c>
      <c r="O399" s="259" t="s">
        <v>7630</v>
      </c>
      <c r="P399" s="259" t="s">
        <v>160</v>
      </c>
      <c r="Q399" s="259" t="s">
        <v>184</v>
      </c>
      <c r="R399" s="259" t="s">
        <v>159</v>
      </c>
      <c r="S399" s="259" t="s">
        <v>149</v>
      </c>
      <c r="T399" s="259" t="s">
        <v>149</v>
      </c>
      <c r="U399" s="259" t="s">
        <v>149</v>
      </c>
      <c r="V399" s="259" t="s">
        <v>7631</v>
      </c>
      <c r="W399" s="259" t="s">
        <v>184</v>
      </c>
      <c r="X399" s="260"/>
      <c r="Y399" s="260"/>
      <c r="Z399" s="260"/>
      <c r="AA399" s="259" t="s">
        <v>6027</v>
      </c>
      <c r="AB399" s="263" t="s">
        <v>1919</v>
      </c>
      <c r="AE399" s="258">
        <v>1.0</v>
      </c>
      <c r="AF399" s="260"/>
    </row>
    <row r="400">
      <c r="A400" s="258">
        <v>399.0</v>
      </c>
      <c r="B400" s="259" t="s">
        <v>345</v>
      </c>
      <c r="C400" s="259" t="s">
        <v>346</v>
      </c>
      <c r="D400" s="259" t="s">
        <v>2291</v>
      </c>
      <c r="E400" s="259" t="s">
        <v>2292</v>
      </c>
      <c r="F400" s="259" t="s">
        <v>1092</v>
      </c>
      <c r="G400" s="259" t="s">
        <v>7635</v>
      </c>
      <c r="H400" s="258">
        <v>2018.0</v>
      </c>
      <c r="I400" s="259" t="s">
        <v>149</v>
      </c>
      <c r="J400" s="259" t="s">
        <v>149</v>
      </c>
      <c r="K400" s="259" t="s">
        <v>151</v>
      </c>
      <c r="L400" s="259" t="s">
        <v>149</v>
      </c>
      <c r="M400" s="259" t="s">
        <v>149</v>
      </c>
      <c r="N400" s="259" t="s">
        <v>149</v>
      </c>
      <c r="O400" s="259" t="s">
        <v>2295</v>
      </c>
      <c r="P400" s="259" t="s">
        <v>160</v>
      </c>
      <c r="Q400" s="259" t="s">
        <v>184</v>
      </c>
      <c r="R400" s="259" t="s">
        <v>159</v>
      </c>
      <c r="S400" s="259" t="s">
        <v>149</v>
      </c>
      <c r="T400" s="259" t="s">
        <v>149</v>
      </c>
      <c r="U400" s="259" t="s">
        <v>6370</v>
      </c>
      <c r="V400" s="259" t="s">
        <v>2295</v>
      </c>
      <c r="W400" s="259" t="s">
        <v>184</v>
      </c>
      <c r="X400" s="260"/>
      <c r="Y400" s="259" t="s">
        <v>7636</v>
      </c>
      <c r="AA400" s="259" t="s">
        <v>6084</v>
      </c>
      <c r="AB400" s="263" t="s">
        <v>7637</v>
      </c>
      <c r="AE400" s="258">
        <v>1.0</v>
      </c>
      <c r="AF400" s="260"/>
    </row>
    <row r="401">
      <c r="A401" s="258">
        <v>400.0</v>
      </c>
      <c r="B401" s="259" t="s">
        <v>345</v>
      </c>
      <c r="C401" s="259" t="s">
        <v>346</v>
      </c>
      <c r="D401" s="259" t="s">
        <v>3193</v>
      </c>
      <c r="E401" s="259" t="s">
        <v>3194</v>
      </c>
      <c r="F401" s="259" t="s">
        <v>149</v>
      </c>
      <c r="G401" s="259" t="s">
        <v>8179</v>
      </c>
      <c r="H401" s="259" t="s">
        <v>149</v>
      </c>
      <c r="I401" s="259" t="s">
        <v>149</v>
      </c>
      <c r="J401" s="259" t="s">
        <v>149</v>
      </c>
      <c r="K401" s="259" t="s">
        <v>151</v>
      </c>
      <c r="L401" s="259" t="s">
        <v>149</v>
      </c>
      <c r="M401" s="259" t="s">
        <v>149</v>
      </c>
      <c r="N401" s="259" t="s">
        <v>149</v>
      </c>
      <c r="O401" s="259" t="s">
        <v>149</v>
      </c>
      <c r="P401" s="259" t="s">
        <v>149</v>
      </c>
      <c r="Q401" s="259" t="s">
        <v>149</v>
      </c>
      <c r="R401" s="259" t="s">
        <v>149</v>
      </c>
      <c r="S401" s="259" t="s">
        <v>149</v>
      </c>
      <c r="T401" s="259" t="s">
        <v>149</v>
      </c>
      <c r="U401" s="259" t="s">
        <v>149</v>
      </c>
      <c r="V401" s="259" t="s">
        <v>149</v>
      </c>
      <c r="W401" s="259" t="s">
        <v>149</v>
      </c>
      <c r="X401" s="260"/>
      <c r="Y401" s="260"/>
      <c r="Z401" s="260"/>
      <c r="AA401" s="259" t="s">
        <v>6027</v>
      </c>
      <c r="AB401" s="263" t="s">
        <v>3196</v>
      </c>
      <c r="AE401" s="258">
        <v>1.0</v>
      </c>
      <c r="AF401" s="260"/>
    </row>
    <row r="402">
      <c r="A402" s="258">
        <v>401.0</v>
      </c>
      <c r="B402" s="259" t="s">
        <v>345</v>
      </c>
      <c r="C402" s="259" t="s">
        <v>346</v>
      </c>
      <c r="D402" s="259" t="s">
        <v>1406</v>
      </c>
      <c r="E402" s="259" t="s">
        <v>5744</v>
      </c>
      <c r="F402" s="259" t="s">
        <v>149</v>
      </c>
      <c r="G402" s="259" t="s">
        <v>7643</v>
      </c>
      <c r="H402" s="259" t="s">
        <v>149</v>
      </c>
      <c r="I402" s="259" t="s">
        <v>149</v>
      </c>
      <c r="J402" s="259" t="s">
        <v>149</v>
      </c>
      <c r="K402" s="259" t="s">
        <v>149</v>
      </c>
      <c r="L402" s="259" t="s">
        <v>149</v>
      </c>
      <c r="M402" s="259" t="s">
        <v>149</v>
      </c>
      <c r="N402" s="259" t="s">
        <v>149</v>
      </c>
      <c r="O402" s="259" t="s">
        <v>149</v>
      </c>
      <c r="P402" s="259" t="s">
        <v>149</v>
      </c>
      <c r="Q402" s="259" t="s">
        <v>149</v>
      </c>
      <c r="R402" s="259" t="s">
        <v>149</v>
      </c>
      <c r="S402" s="259" t="s">
        <v>149</v>
      </c>
      <c r="T402" s="259" t="s">
        <v>149</v>
      </c>
      <c r="U402" s="259" t="s">
        <v>149</v>
      </c>
      <c r="V402" s="259" t="s">
        <v>149</v>
      </c>
      <c r="W402" s="259" t="s">
        <v>149</v>
      </c>
      <c r="X402" s="260"/>
      <c r="Y402" s="260"/>
      <c r="Z402" s="260"/>
      <c r="AA402" s="259" t="s">
        <v>8092</v>
      </c>
      <c r="AC402" s="260"/>
      <c r="AD402" s="260"/>
      <c r="AE402" s="258">
        <v>0.0</v>
      </c>
      <c r="AF402" s="258">
        <v>0.0</v>
      </c>
    </row>
    <row r="403">
      <c r="A403" s="258">
        <v>402.0</v>
      </c>
      <c r="B403" s="259" t="s">
        <v>345</v>
      </c>
      <c r="C403" s="259" t="s">
        <v>346</v>
      </c>
      <c r="D403" s="259" t="s">
        <v>3198</v>
      </c>
      <c r="E403" s="259" t="s">
        <v>3199</v>
      </c>
      <c r="F403" s="259" t="s">
        <v>149</v>
      </c>
      <c r="G403" s="260"/>
      <c r="H403" s="258">
        <v>2020.0</v>
      </c>
      <c r="I403" s="259" t="s">
        <v>149</v>
      </c>
      <c r="J403" s="259" t="s">
        <v>149</v>
      </c>
      <c r="K403" s="259" t="s">
        <v>151</v>
      </c>
      <c r="L403" s="259" t="s">
        <v>149</v>
      </c>
      <c r="M403" s="259" t="s">
        <v>149</v>
      </c>
      <c r="N403" s="259" t="s">
        <v>149</v>
      </c>
      <c r="O403" s="259" t="s">
        <v>149</v>
      </c>
      <c r="P403" s="259" t="s">
        <v>149</v>
      </c>
      <c r="Q403" s="259" t="s">
        <v>149</v>
      </c>
      <c r="R403" s="259" t="s">
        <v>149</v>
      </c>
      <c r="S403" s="259" t="s">
        <v>149</v>
      </c>
      <c r="T403" s="259" t="s">
        <v>149</v>
      </c>
      <c r="U403" s="259" t="s">
        <v>149</v>
      </c>
      <c r="V403" s="259" t="s">
        <v>369</v>
      </c>
      <c r="W403" s="259" t="s">
        <v>6035</v>
      </c>
      <c r="X403" s="259" t="s">
        <v>390</v>
      </c>
      <c r="Y403" s="260"/>
      <c r="Z403" s="260"/>
      <c r="AA403" s="259" t="s">
        <v>8092</v>
      </c>
      <c r="AC403" s="260"/>
      <c r="AD403" s="260"/>
      <c r="AE403" s="258">
        <v>1.0</v>
      </c>
      <c r="AF403" s="260"/>
    </row>
    <row r="404">
      <c r="A404" s="258">
        <v>403.0</v>
      </c>
      <c r="B404" s="259" t="s">
        <v>345</v>
      </c>
      <c r="C404" s="259" t="s">
        <v>346</v>
      </c>
      <c r="D404" s="259" t="s">
        <v>7647</v>
      </c>
      <c r="E404" s="259" t="s">
        <v>348</v>
      </c>
      <c r="F404" s="259" t="s">
        <v>7648</v>
      </c>
      <c r="H404" s="259" t="s">
        <v>149</v>
      </c>
      <c r="I404" s="259" t="s">
        <v>149</v>
      </c>
      <c r="J404" s="259" t="s">
        <v>149</v>
      </c>
      <c r="K404" s="259" t="s">
        <v>151</v>
      </c>
      <c r="L404" s="259" t="s">
        <v>149</v>
      </c>
      <c r="M404" s="259" t="s">
        <v>149</v>
      </c>
      <c r="N404" s="259" t="s">
        <v>149</v>
      </c>
      <c r="O404" s="259" t="s">
        <v>149</v>
      </c>
      <c r="P404" s="259" t="s">
        <v>149</v>
      </c>
      <c r="Q404" s="259" t="s">
        <v>149</v>
      </c>
      <c r="R404" s="259" t="s">
        <v>149</v>
      </c>
      <c r="S404" s="259" t="s">
        <v>149</v>
      </c>
      <c r="T404" s="259" t="s">
        <v>149</v>
      </c>
      <c r="U404" s="259" t="s">
        <v>917</v>
      </c>
      <c r="V404" s="259" t="s">
        <v>7649</v>
      </c>
      <c r="W404" s="259" t="s">
        <v>6035</v>
      </c>
      <c r="X404" s="259" t="s">
        <v>228</v>
      </c>
      <c r="Y404" s="259" t="s">
        <v>916</v>
      </c>
      <c r="AA404" s="259" t="s">
        <v>166</v>
      </c>
      <c r="AB404" s="259" t="s">
        <v>7650</v>
      </c>
      <c r="AE404" s="258">
        <v>1.0</v>
      </c>
      <c r="AF404" s="260"/>
    </row>
    <row r="405">
      <c r="A405" s="258">
        <v>404.0</v>
      </c>
      <c r="B405" s="259" t="s">
        <v>345</v>
      </c>
      <c r="C405" s="259" t="s">
        <v>346</v>
      </c>
      <c r="D405" s="259" t="s">
        <v>7647</v>
      </c>
      <c r="E405" s="259" t="s">
        <v>348</v>
      </c>
      <c r="F405" s="259" t="s">
        <v>149</v>
      </c>
      <c r="G405" s="260"/>
      <c r="H405" s="258">
        <v>2015.0</v>
      </c>
      <c r="I405" s="259" t="s">
        <v>149</v>
      </c>
      <c r="J405" s="259" t="s">
        <v>149</v>
      </c>
      <c r="K405" s="259" t="s">
        <v>151</v>
      </c>
      <c r="L405" s="259" t="s">
        <v>149</v>
      </c>
      <c r="M405" s="259" t="s">
        <v>149</v>
      </c>
      <c r="N405" s="259" t="s">
        <v>149</v>
      </c>
      <c r="O405" s="259" t="s">
        <v>149</v>
      </c>
      <c r="P405" s="259" t="s">
        <v>149</v>
      </c>
      <c r="Q405" s="259" t="s">
        <v>149</v>
      </c>
      <c r="R405" s="259" t="s">
        <v>149</v>
      </c>
      <c r="S405" s="259" t="s">
        <v>149</v>
      </c>
      <c r="T405" s="259" t="s">
        <v>149</v>
      </c>
      <c r="U405" s="259" t="s">
        <v>7656</v>
      </c>
      <c r="V405" s="259" t="s">
        <v>228</v>
      </c>
      <c r="W405" s="259" t="s">
        <v>6035</v>
      </c>
      <c r="Y405" s="260"/>
      <c r="Z405" s="260"/>
      <c r="AA405" s="259" t="s">
        <v>6084</v>
      </c>
      <c r="AB405" s="263" t="s">
        <v>7657</v>
      </c>
      <c r="AE405" s="258">
        <v>1.0</v>
      </c>
      <c r="AF405" s="260"/>
    </row>
    <row r="406">
      <c r="A406" s="258">
        <v>405.0</v>
      </c>
      <c r="B406" s="259" t="s">
        <v>345</v>
      </c>
      <c r="C406" s="259" t="s">
        <v>346</v>
      </c>
      <c r="D406" s="259" t="s">
        <v>2375</v>
      </c>
      <c r="E406" s="259" t="s">
        <v>2376</v>
      </c>
      <c r="F406" s="259" t="s">
        <v>7660</v>
      </c>
      <c r="H406" s="258">
        <v>2015.0</v>
      </c>
      <c r="I406" s="259" t="s">
        <v>149</v>
      </c>
      <c r="J406" s="259" t="s">
        <v>149</v>
      </c>
      <c r="K406" s="259" t="s">
        <v>6624</v>
      </c>
      <c r="L406" s="259" t="s">
        <v>149</v>
      </c>
      <c r="M406" s="259" t="s">
        <v>149</v>
      </c>
      <c r="N406" s="259" t="s">
        <v>2379</v>
      </c>
      <c r="O406" s="259" t="s">
        <v>2380</v>
      </c>
      <c r="P406" s="259" t="s">
        <v>160</v>
      </c>
      <c r="Q406" s="259" t="s">
        <v>184</v>
      </c>
      <c r="R406" s="259" t="s">
        <v>159</v>
      </c>
      <c r="S406" s="259" t="s">
        <v>149</v>
      </c>
      <c r="T406" s="259" t="s">
        <v>149</v>
      </c>
      <c r="U406" s="259" t="s">
        <v>149</v>
      </c>
      <c r="V406" s="259" t="s">
        <v>2380</v>
      </c>
      <c r="W406" s="259" t="s">
        <v>184</v>
      </c>
      <c r="X406" s="260"/>
      <c r="Y406" s="259" t="s">
        <v>8180</v>
      </c>
      <c r="AA406" s="259" t="s">
        <v>166</v>
      </c>
      <c r="AB406" s="263" t="s">
        <v>7661</v>
      </c>
      <c r="AE406" s="258">
        <v>1.0</v>
      </c>
      <c r="AF406" s="260"/>
    </row>
    <row r="407">
      <c r="A407" s="258">
        <v>406.0</v>
      </c>
      <c r="B407" s="259" t="s">
        <v>345</v>
      </c>
      <c r="C407" s="259" t="s">
        <v>3204</v>
      </c>
      <c r="D407" s="259" t="s">
        <v>3205</v>
      </c>
      <c r="E407" s="259" t="s">
        <v>3206</v>
      </c>
      <c r="F407" s="259" t="s">
        <v>149</v>
      </c>
      <c r="G407" s="259" t="s">
        <v>8181</v>
      </c>
      <c r="H407" s="259" t="s">
        <v>149</v>
      </c>
      <c r="I407" s="259" t="s">
        <v>149</v>
      </c>
      <c r="J407" s="259" t="s">
        <v>149</v>
      </c>
      <c r="K407" s="259" t="s">
        <v>151</v>
      </c>
      <c r="L407" s="259" t="s">
        <v>149</v>
      </c>
      <c r="M407" s="259" t="s">
        <v>149</v>
      </c>
      <c r="N407" s="259" t="s">
        <v>149</v>
      </c>
      <c r="O407" s="259" t="s">
        <v>149</v>
      </c>
      <c r="P407" s="259" t="s">
        <v>149</v>
      </c>
      <c r="Q407" s="259" t="s">
        <v>149</v>
      </c>
      <c r="R407" s="259" t="s">
        <v>149</v>
      </c>
      <c r="S407" s="259" t="s">
        <v>149</v>
      </c>
      <c r="T407" s="259" t="s">
        <v>149</v>
      </c>
      <c r="U407" s="259" t="s">
        <v>149</v>
      </c>
      <c r="V407" s="259" t="s">
        <v>3207</v>
      </c>
      <c r="W407" s="259" t="s">
        <v>271</v>
      </c>
      <c r="X407" s="260"/>
      <c r="Y407" s="260"/>
      <c r="Z407" s="260"/>
      <c r="AA407" s="259" t="s">
        <v>7666</v>
      </c>
      <c r="AB407" s="263" t="s">
        <v>3209</v>
      </c>
      <c r="AE407" s="258">
        <v>1.0</v>
      </c>
      <c r="AF407" s="260"/>
    </row>
    <row r="408">
      <c r="A408" s="258">
        <v>407.0</v>
      </c>
      <c r="B408" s="259" t="s">
        <v>345</v>
      </c>
      <c r="C408" s="259" t="s">
        <v>1910</v>
      </c>
      <c r="D408" s="259" t="s">
        <v>1911</v>
      </c>
      <c r="E408" s="259" t="s">
        <v>1912</v>
      </c>
      <c r="F408" s="259" t="s">
        <v>149</v>
      </c>
      <c r="G408" s="259" t="s">
        <v>7670</v>
      </c>
      <c r="H408" s="258">
        <v>2019.0</v>
      </c>
      <c r="I408" s="259" t="s">
        <v>149</v>
      </c>
      <c r="J408" s="259" t="s">
        <v>149</v>
      </c>
      <c r="K408" s="259" t="s">
        <v>151</v>
      </c>
      <c r="L408" s="259" t="s">
        <v>149</v>
      </c>
      <c r="M408" s="259" t="s">
        <v>149</v>
      </c>
      <c r="N408" s="259" t="s">
        <v>149</v>
      </c>
      <c r="O408" s="259" t="s">
        <v>8182</v>
      </c>
      <c r="P408" s="259" t="s">
        <v>160</v>
      </c>
      <c r="Q408" s="259" t="s">
        <v>184</v>
      </c>
      <c r="R408" s="259" t="s">
        <v>159</v>
      </c>
      <c r="S408" s="259" t="s">
        <v>149</v>
      </c>
      <c r="T408" s="259" t="s">
        <v>149</v>
      </c>
      <c r="U408" s="259" t="s">
        <v>149</v>
      </c>
      <c r="V408" s="259" t="s">
        <v>8182</v>
      </c>
      <c r="W408" s="259" t="s">
        <v>184</v>
      </c>
      <c r="X408" s="260"/>
      <c r="Y408" s="260"/>
      <c r="Z408" s="260"/>
      <c r="AA408" s="259" t="s">
        <v>8092</v>
      </c>
      <c r="AC408" s="260"/>
      <c r="AD408" s="260"/>
      <c r="AE408" s="258">
        <v>1.0</v>
      </c>
      <c r="AF408" s="260"/>
    </row>
    <row r="409">
      <c r="A409" s="258">
        <v>408.0</v>
      </c>
      <c r="B409" s="259" t="s">
        <v>642</v>
      </c>
      <c r="C409" s="259" t="s">
        <v>1333</v>
      </c>
      <c r="D409" s="259" t="s">
        <v>1334</v>
      </c>
      <c r="E409" s="259" t="s">
        <v>1335</v>
      </c>
      <c r="F409" s="259" t="s">
        <v>1309</v>
      </c>
      <c r="H409" s="258">
        <v>2020.0</v>
      </c>
      <c r="I409" s="259" t="s">
        <v>149</v>
      </c>
      <c r="J409" s="259" t="s">
        <v>149</v>
      </c>
      <c r="K409" s="259" t="s">
        <v>151</v>
      </c>
      <c r="L409" s="259" t="s">
        <v>149</v>
      </c>
      <c r="M409" s="259" t="s">
        <v>149</v>
      </c>
      <c r="N409" s="259" t="s">
        <v>149</v>
      </c>
      <c r="O409" s="259" t="s">
        <v>1327</v>
      </c>
      <c r="P409" s="259" t="s">
        <v>205</v>
      </c>
      <c r="Q409" s="259" t="s">
        <v>8096</v>
      </c>
      <c r="R409" s="259" t="s">
        <v>159</v>
      </c>
      <c r="S409" s="259" t="s">
        <v>149</v>
      </c>
      <c r="T409" s="259" t="s">
        <v>149</v>
      </c>
      <c r="U409" s="259" t="s">
        <v>1336</v>
      </c>
      <c r="V409" s="259" t="s">
        <v>390</v>
      </c>
      <c r="W409" s="259" t="s">
        <v>6035</v>
      </c>
      <c r="X409" s="259" t="s">
        <v>369</v>
      </c>
      <c r="Y409" s="260"/>
      <c r="Z409" s="260"/>
      <c r="AA409" s="259" t="s">
        <v>6084</v>
      </c>
      <c r="AB409" s="263" t="s">
        <v>1331</v>
      </c>
      <c r="AE409" s="258">
        <v>1.0</v>
      </c>
      <c r="AF409" s="260"/>
    </row>
    <row r="410">
      <c r="A410" s="258">
        <v>409.0</v>
      </c>
      <c r="B410" s="259" t="s">
        <v>642</v>
      </c>
      <c r="C410" s="259" t="s">
        <v>1333</v>
      </c>
      <c r="D410" s="259" t="s">
        <v>1338</v>
      </c>
      <c r="E410" s="259" t="s">
        <v>1339</v>
      </c>
      <c r="F410" s="259" t="s">
        <v>1309</v>
      </c>
      <c r="H410" s="258">
        <v>2020.0</v>
      </c>
      <c r="I410" s="259" t="s">
        <v>149</v>
      </c>
      <c r="J410" s="259" t="s">
        <v>149</v>
      </c>
      <c r="K410" s="259" t="s">
        <v>151</v>
      </c>
      <c r="L410" s="259" t="s">
        <v>149</v>
      </c>
      <c r="M410" s="259" t="s">
        <v>149</v>
      </c>
      <c r="N410" s="259" t="s">
        <v>149</v>
      </c>
      <c r="O410" s="259" t="s">
        <v>1327</v>
      </c>
      <c r="P410" s="259" t="s">
        <v>205</v>
      </c>
      <c r="Q410" s="259" t="s">
        <v>8096</v>
      </c>
      <c r="R410" s="259" t="s">
        <v>159</v>
      </c>
      <c r="S410" s="259" t="s">
        <v>149</v>
      </c>
      <c r="T410" s="259" t="s">
        <v>149</v>
      </c>
      <c r="U410" s="259" t="s">
        <v>7678</v>
      </c>
      <c r="V410" s="259" t="s">
        <v>390</v>
      </c>
      <c r="W410" s="259" t="s">
        <v>6035</v>
      </c>
      <c r="X410" s="259" t="s">
        <v>369</v>
      </c>
      <c r="Y410" s="260"/>
      <c r="Z410" s="260"/>
      <c r="AA410" s="259" t="s">
        <v>6084</v>
      </c>
      <c r="AB410" s="263" t="s">
        <v>1331</v>
      </c>
      <c r="AE410" s="258">
        <v>1.0</v>
      </c>
      <c r="AF410" s="260"/>
    </row>
    <row r="411">
      <c r="A411" s="258">
        <v>410.0</v>
      </c>
      <c r="B411" s="259" t="s">
        <v>642</v>
      </c>
      <c r="C411" s="259" t="s">
        <v>1333</v>
      </c>
      <c r="D411" s="259" t="s">
        <v>1347</v>
      </c>
      <c r="E411" s="259" t="s">
        <v>1348</v>
      </c>
      <c r="F411" s="259" t="s">
        <v>1309</v>
      </c>
      <c r="H411" s="258">
        <v>2020.0</v>
      </c>
      <c r="I411" s="259" t="s">
        <v>149</v>
      </c>
      <c r="J411" s="259" t="s">
        <v>149</v>
      </c>
      <c r="K411" s="259" t="s">
        <v>151</v>
      </c>
      <c r="L411" s="259" t="s">
        <v>149</v>
      </c>
      <c r="M411" s="259" t="s">
        <v>149</v>
      </c>
      <c r="N411" s="259" t="s">
        <v>149</v>
      </c>
      <c r="O411" s="259" t="s">
        <v>1327</v>
      </c>
      <c r="P411" s="259" t="s">
        <v>205</v>
      </c>
      <c r="Q411" s="259" t="s">
        <v>8096</v>
      </c>
      <c r="R411" s="259" t="s">
        <v>159</v>
      </c>
      <c r="S411" s="259" t="s">
        <v>149</v>
      </c>
      <c r="T411" s="259" t="s">
        <v>149</v>
      </c>
      <c r="U411" s="259" t="s">
        <v>1350</v>
      </c>
      <c r="V411" s="259" t="s">
        <v>390</v>
      </c>
      <c r="W411" s="259" t="s">
        <v>6035</v>
      </c>
      <c r="X411" s="259" t="s">
        <v>369</v>
      </c>
      <c r="Y411" s="260"/>
      <c r="Z411" s="260"/>
      <c r="AA411" s="259" t="s">
        <v>6084</v>
      </c>
      <c r="AB411" s="263" t="s">
        <v>1331</v>
      </c>
      <c r="AE411" s="258">
        <v>1.0</v>
      </c>
      <c r="AF411" s="260"/>
    </row>
    <row r="412">
      <c r="A412" s="258">
        <v>411.0</v>
      </c>
      <c r="B412" s="259" t="s">
        <v>642</v>
      </c>
      <c r="C412" s="259" t="s">
        <v>2528</v>
      </c>
      <c r="D412" s="259" t="s">
        <v>2529</v>
      </c>
      <c r="E412" s="259" t="s">
        <v>2530</v>
      </c>
      <c r="F412" s="259" t="s">
        <v>1309</v>
      </c>
      <c r="H412" s="258">
        <v>2019.0</v>
      </c>
      <c r="I412" s="259" t="s">
        <v>149</v>
      </c>
      <c r="J412" s="259" t="s">
        <v>149</v>
      </c>
      <c r="K412" s="259" t="s">
        <v>6062</v>
      </c>
      <c r="L412" s="259" t="s">
        <v>320</v>
      </c>
      <c r="M412" s="259" t="s">
        <v>179</v>
      </c>
      <c r="N412" s="259" t="s">
        <v>149</v>
      </c>
      <c r="O412" s="259" t="s">
        <v>1327</v>
      </c>
      <c r="P412" s="259" t="s">
        <v>205</v>
      </c>
      <c r="Q412" s="259" t="s">
        <v>8096</v>
      </c>
      <c r="R412" s="259" t="s">
        <v>159</v>
      </c>
      <c r="S412" s="259" t="s">
        <v>149</v>
      </c>
      <c r="T412" s="259" t="s">
        <v>149</v>
      </c>
      <c r="U412" s="259" t="s">
        <v>149</v>
      </c>
      <c r="V412" s="259" t="s">
        <v>390</v>
      </c>
      <c r="W412" s="259" t="s">
        <v>6035</v>
      </c>
      <c r="X412" s="259" t="s">
        <v>1314</v>
      </c>
      <c r="AA412" s="259" t="s">
        <v>166</v>
      </c>
      <c r="AB412" s="263" t="s">
        <v>7688</v>
      </c>
      <c r="AE412" s="258">
        <v>1.0</v>
      </c>
      <c r="AF412" s="260"/>
    </row>
    <row r="413">
      <c r="A413" s="258">
        <v>412.0</v>
      </c>
      <c r="B413" s="259" t="s">
        <v>642</v>
      </c>
      <c r="C413" s="259" t="s">
        <v>643</v>
      </c>
      <c r="D413" s="259" t="s">
        <v>7691</v>
      </c>
      <c r="E413" s="259" t="s">
        <v>1308</v>
      </c>
      <c r="F413" s="259" t="s">
        <v>1309</v>
      </c>
      <c r="H413" s="258">
        <v>2021.0</v>
      </c>
      <c r="I413" s="259" t="s">
        <v>149</v>
      </c>
      <c r="J413" s="259" t="s">
        <v>149</v>
      </c>
      <c r="K413" s="259" t="s">
        <v>6062</v>
      </c>
      <c r="L413" s="259" t="s">
        <v>320</v>
      </c>
      <c r="M413" s="259" t="s">
        <v>179</v>
      </c>
      <c r="N413" s="259" t="s">
        <v>149</v>
      </c>
      <c r="O413" s="259" t="s">
        <v>1327</v>
      </c>
      <c r="P413" s="259" t="s">
        <v>205</v>
      </c>
      <c r="Q413" s="259" t="s">
        <v>8096</v>
      </c>
      <c r="R413" s="259" t="s">
        <v>159</v>
      </c>
      <c r="S413" s="259" t="s">
        <v>149</v>
      </c>
      <c r="T413" s="259" t="s">
        <v>149</v>
      </c>
      <c r="U413" s="259" t="s">
        <v>149</v>
      </c>
      <c r="V413" s="259" t="s">
        <v>390</v>
      </c>
      <c r="W413" s="259" t="s">
        <v>6035</v>
      </c>
      <c r="X413" s="259" t="s">
        <v>1314</v>
      </c>
      <c r="AA413" s="259" t="s">
        <v>166</v>
      </c>
      <c r="AB413" s="263" t="s">
        <v>7688</v>
      </c>
      <c r="AE413" s="258">
        <v>1.0</v>
      </c>
      <c r="AF413" s="260"/>
    </row>
    <row r="414">
      <c r="A414" s="258">
        <v>413.0</v>
      </c>
      <c r="B414" s="259" t="s">
        <v>642</v>
      </c>
      <c r="C414" s="259" t="s">
        <v>643</v>
      </c>
      <c r="D414" s="259" t="s">
        <v>644</v>
      </c>
      <c r="E414" s="259" t="s">
        <v>645</v>
      </c>
      <c r="F414" s="259" t="s">
        <v>384</v>
      </c>
      <c r="G414" s="259" t="s">
        <v>646</v>
      </c>
      <c r="H414" s="258">
        <v>1986.0</v>
      </c>
      <c r="I414" s="258">
        <v>1985.0</v>
      </c>
      <c r="J414" s="258">
        <v>1987.0</v>
      </c>
      <c r="K414" s="259" t="s">
        <v>151</v>
      </c>
      <c r="L414" s="259" t="s">
        <v>6054</v>
      </c>
      <c r="M414" s="259" t="s">
        <v>6054</v>
      </c>
      <c r="N414" s="259" t="s">
        <v>149</v>
      </c>
      <c r="O414" s="259" t="s">
        <v>390</v>
      </c>
      <c r="P414" s="259" t="s">
        <v>160</v>
      </c>
      <c r="Q414" s="259" t="s">
        <v>6035</v>
      </c>
      <c r="R414" s="259" t="s">
        <v>159</v>
      </c>
      <c r="S414" s="259" t="s">
        <v>149</v>
      </c>
      <c r="T414" s="259" t="s">
        <v>149</v>
      </c>
      <c r="U414" s="259" t="s">
        <v>149</v>
      </c>
      <c r="V414" s="259" t="s">
        <v>390</v>
      </c>
      <c r="W414" s="259" t="s">
        <v>6035</v>
      </c>
      <c r="X414" s="259" t="s">
        <v>6055</v>
      </c>
      <c r="AA414" s="259" t="s">
        <v>395</v>
      </c>
      <c r="AB414" s="263" t="s">
        <v>2873</v>
      </c>
      <c r="AC414" s="259" t="s">
        <v>398</v>
      </c>
      <c r="AE414" s="258">
        <v>1.0</v>
      </c>
      <c r="AF414" s="260"/>
    </row>
    <row r="415">
      <c r="A415" s="258">
        <v>414.0</v>
      </c>
      <c r="B415" s="259" t="s">
        <v>642</v>
      </c>
      <c r="C415" s="259" t="s">
        <v>643</v>
      </c>
      <c r="D415" s="259" t="s">
        <v>644</v>
      </c>
      <c r="E415" s="259" t="s">
        <v>645</v>
      </c>
      <c r="F415" s="259" t="s">
        <v>1309</v>
      </c>
      <c r="H415" s="258">
        <v>2020.0</v>
      </c>
      <c r="I415" s="259" t="s">
        <v>149</v>
      </c>
      <c r="J415" s="259" t="s">
        <v>149</v>
      </c>
      <c r="K415" s="259" t="s">
        <v>151</v>
      </c>
      <c r="L415" s="259" t="s">
        <v>149</v>
      </c>
      <c r="M415" s="259" t="s">
        <v>149</v>
      </c>
      <c r="N415" s="259" t="s">
        <v>149</v>
      </c>
      <c r="O415" s="259" t="s">
        <v>1327</v>
      </c>
      <c r="P415" s="259" t="s">
        <v>205</v>
      </c>
      <c r="Q415" s="259" t="s">
        <v>8096</v>
      </c>
      <c r="R415" s="259" t="s">
        <v>159</v>
      </c>
      <c r="S415" s="259" t="s">
        <v>149</v>
      </c>
      <c r="T415" s="259" t="s">
        <v>149</v>
      </c>
      <c r="U415" s="259" t="s">
        <v>1353</v>
      </c>
      <c r="V415" s="259" t="s">
        <v>390</v>
      </c>
      <c r="W415" s="259" t="s">
        <v>6035</v>
      </c>
      <c r="Y415" s="260"/>
      <c r="Z415" s="260"/>
      <c r="AA415" s="259" t="s">
        <v>6084</v>
      </c>
      <c r="AB415" s="263" t="s">
        <v>1331</v>
      </c>
      <c r="AE415" s="258">
        <v>1.0</v>
      </c>
      <c r="AF415" s="260"/>
    </row>
    <row r="416">
      <c r="A416" s="258">
        <v>415.0</v>
      </c>
      <c r="B416" s="259" t="s">
        <v>642</v>
      </c>
      <c r="C416" s="259" t="s">
        <v>643</v>
      </c>
      <c r="D416" s="259" t="s">
        <v>1355</v>
      </c>
      <c r="E416" s="259" t="s">
        <v>1356</v>
      </c>
      <c r="F416" s="259" t="s">
        <v>1309</v>
      </c>
      <c r="G416" s="259" t="s">
        <v>7702</v>
      </c>
      <c r="H416" s="258">
        <v>2021.0</v>
      </c>
      <c r="I416" s="259" t="s">
        <v>149</v>
      </c>
      <c r="J416" s="259" t="s">
        <v>149</v>
      </c>
      <c r="K416" s="259" t="s">
        <v>6062</v>
      </c>
      <c r="L416" s="259" t="s">
        <v>149</v>
      </c>
      <c r="M416" s="259" t="s">
        <v>149</v>
      </c>
      <c r="N416" s="259" t="s">
        <v>149</v>
      </c>
      <c r="O416" s="259" t="s">
        <v>1327</v>
      </c>
      <c r="P416" s="259" t="s">
        <v>205</v>
      </c>
      <c r="Q416" s="259" t="s">
        <v>8096</v>
      </c>
      <c r="R416" s="259" t="s">
        <v>159</v>
      </c>
      <c r="S416" s="259" t="s">
        <v>149</v>
      </c>
      <c r="T416" s="259" t="s">
        <v>149</v>
      </c>
      <c r="U416" s="259" t="s">
        <v>149</v>
      </c>
      <c r="V416" s="259" t="s">
        <v>390</v>
      </c>
      <c r="W416" s="259" t="s">
        <v>6035</v>
      </c>
      <c r="X416" s="259" t="s">
        <v>1314</v>
      </c>
      <c r="AA416" s="259" t="s">
        <v>8092</v>
      </c>
      <c r="AC416" s="260"/>
      <c r="AD416" s="260"/>
      <c r="AE416" s="258">
        <v>1.0</v>
      </c>
      <c r="AF416" s="260"/>
    </row>
    <row r="417">
      <c r="A417" s="258">
        <v>416.0</v>
      </c>
      <c r="B417" s="259" t="s">
        <v>642</v>
      </c>
      <c r="C417" s="259" t="s">
        <v>2769</v>
      </c>
      <c r="D417" s="259" t="s">
        <v>2770</v>
      </c>
      <c r="E417" s="259" t="s">
        <v>2771</v>
      </c>
      <c r="F417" s="259" t="s">
        <v>149</v>
      </c>
      <c r="G417" s="260"/>
      <c r="H417" s="258">
        <v>2019.0</v>
      </c>
      <c r="I417" s="259" t="s">
        <v>149</v>
      </c>
      <c r="J417" s="259" t="s">
        <v>149</v>
      </c>
      <c r="K417" s="259" t="s">
        <v>151</v>
      </c>
      <c r="L417" s="259" t="s">
        <v>149</v>
      </c>
      <c r="M417" s="259" t="s">
        <v>149</v>
      </c>
      <c r="N417" s="259" t="s">
        <v>149</v>
      </c>
      <c r="O417" s="259" t="s">
        <v>2776</v>
      </c>
      <c r="P417" s="259" t="s">
        <v>160</v>
      </c>
      <c r="Q417" s="259" t="s">
        <v>6035</v>
      </c>
      <c r="R417" s="259" t="s">
        <v>159</v>
      </c>
      <c r="S417" s="259" t="s">
        <v>149</v>
      </c>
      <c r="T417" s="259" t="s">
        <v>149</v>
      </c>
      <c r="U417" s="259" t="s">
        <v>149</v>
      </c>
      <c r="V417" s="259" t="s">
        <v>7705</v>
      </c>
      <c r="W417" s="259" t="s">
        <v>6035</v>
      </c>
      <c r="X417" s="259" t="s">
        <v>390</v>
      </c>
      <c r="Y417" s="260"/>
      <c r="Z417" s="260"/>
      <c r="AA417" s="259" t="s">
        <v>166</v>
      </c>
      <c r="AB417" s="263" t="s">
        <v>2779</v>
      </c>
      <c r="AE417" s="258">
        <v>1.0</v>
      </c>
      <c r="AF417" s="260"/>
    </row>
    <row r="418">
      <c r="A418" s="258">
        <v>417.0</v>
      </c>
      <c r="B418" s="259" t="s">
        <v>642</v>
      </c>
      <c r="C418" s="259" t="s">
        <v>1217</v>
      </c>
      <c r="D418" s="259" t="s">
        <v>1218</v>
      </c>
      <c r="E418" s="259" t="s">
        <v>1219</v>
      </c>
      <c r="F418" s="259" t="s">
        <v>149</v>
      </c>
      <c r="G418" s="260"/>
      <c r="H418" s="258">
        <v>2012.0</v>
      </c>
      <c r="I418" s="259" t="s">
        <v>149</v>
      </c>
      <c r="J418" s="259" t="s">
        <v>149</v>
      </c>
      <c r="K418" s="259" t="s">
        <v>151</v>
      </c>
      <c r="L418" s="259" t="s">
        <v>3399</v>
      </c>
      <c r="M418" s="259" t="s">
        <v>3399</v>
      </c>
      <c r="N418" s="259" t="s">
        <v>149</v>
      </c>
      <c r="O418" s="259" t="s">
        <v>3227</v>
      </c>
      <c r="P418" s="259" t="s">
        <v>160</v>
      </c>
      <c r="Q418" s="259" t="s">
        <v>209</v>
      </c>
      <c r="R418" s="259" t="s">
        <v>159</v>
      </c>
      <c r="S418" s="259" t="s">
        <v>149</v>
      </c>
      <c r="T418" s="259" t="s">
        <v>149</v>
      </c>
      <c r="U418" s="259" t="s">
        <v>149</v>
      </c>
      <c r="V418" s="259" t="s">
        <v>3227</v>
      </c>
      <c r="W418" s="259" t="s">
        <v>6068</v>
      </c>
      <c r="X418" s="260"/>
      <c r="Y418" s="259" t="s">
        <v>3228</v>
      </c>
      <c r="AA418" s="259" t="s">
        <v>6091</v>
      </c>
      <c r="AB418" s="263" t="s">
        <v>3230</v>
      </c>
      <c r="AE418" s="258">
        <v>1.0</v>
      </c>
      <c r="AF418" s="260"/>
    </row>
    <row r="419">
      <c r="A419" s="258">
        <v>418.0</v>
      </c>
      <c r="B419" s="259" t="s">
        <v>642</v>
      </c>
      <c r="C419" s="259" t="s">
        <v>1217</v>
      </c>
      <c r="D419" s="259" t="s">
        <v>1218</v>
      </c>
      <c r="E419" s="259" t="s">
        <v>1219</v>
      </c>
      <c r="F419" s="259" t="s">
        <v>149</v>
      </c>
      <c r="G419" s="260"/>
      <c r="H419" s="258">
        <v>2017.0</v>
      </c>
      <c r="I419" s="259" t="s">
        <v>149</v>
      </c>
      <c r="J419" s="259" t="s">
        <v>149</v>
      </c>
      <c r="K419" s="259" t="s">
        <v>6062</v>
      </c>
      <c r="L419" s="259" t="s">
        <v>320</v>
      </c>
      <c r="M419" s="259" t="s">
        <v>179</v>
      </c>
      <c r="N419" s="259" t="s">
        <v>149</v>
      </c>
      <c r="O419" s="259" t="s">
        <v>7712</v>
      </c>
      <c r="P419" s="259" t="s">
        <v>160</v>
      </c>
      <c r="Q419" s="259" t="s">
        <v>306</v>
      </c>
      <c r="R419" s="259" t="s">
        <v>159</v>
      </c>
      <c r="S419" s="259" t="s">
        <v>149</v>
      </c>
      <c r="T419" s="259" t="s">
        <v>149</v>
      </c>
      <c r="U419" s="259" t="s">
        <v>149</v>
      </c>
      <c r="V419" s="259" t="s">
        <v>7712</v>
      </c>
      <c r="W419" s="259" t="s">
        <v>306</v>
      </c>
      <c r="X419" s="260"/>
      <c r="Y419" s="260"/>
      <c r="Z419" s="260"/>
      <c r="AA419" s="259" t="s">
        <v>6027</v>
      </c>
      <c r="AB419" s="263" t="s">
        <v>7713</v>
      </c>
      <c r="AE419" s="258">
        <v>1.0</v>
      </c>
      <c r="AF419" s="260"/>
    </row>
    <row r="420">
      <c r="A420" s="258">
        <v>419.0</v>
      </c>
      <c r="B420" s="259" t="s">
        <v>642</v>
      </c>
      <c r="C420" s="259" t="s">
        <v>1217</v>
      </c>
      <c r="D420" s="259" t="s">
        <v>1218</v>
      </c>
      <c r="E420" s="259" t="s">
        <v>1219</v>
      </c>
      <c r="F420" s="259" t="s">
        <v>1174</v>
      </c>
      <c r="H420" s="258">
        <v>2013.0</v>
      </c>
      <c r="I420" s="258">
        <v>2012.0</v>
      </c>
      <c r="J420" s="258">
        <v>2013.0</v>
      </c>
      <c r="K420" s="259" t="s">
        <v>6062</v>
      </c>
      <c r="L420" s="259" t="s">
        <v>320</v>
      </c>
      <c r="M420" s="259" t="s">
        <v>179</v>
      </c>
      <c r="N420" s="259" t="s">
        <v>204</v>
      </c>
      <c r="O420" s="259" t="s">
        <v>321</v>
      </c>
      <c r="P420" s="259" t="s">
        <v>160</v>
      </c>
      <c r="Q420" s="259" t="s">
        <v>6035</v>
      </c>
      <c r="R420" s="259" t="s">
        <v>204</v>
      </c>
      <c r="S420" s="259" t="s">
        <v>149</v>
      </c>
      <c r="T420" s="259" t="s">
        <v>149</v>
      </c>
      <c r="U420" s="259" t="s">
        <v>7716</v>
      </c>
      <c r="V420" s="259" t="s">
        <v>7717</v>
      </c>
      <c r="W420" s="259" t="s">
        <v>6068</v>
      </c>
      <c r="X420" s="260"/>
      <c r="Y420" s="260"/>
      <c r="Z420" s="260"/>
      <c r="AA420" s="259" t="s">
        <v>6069</v>
      </c>
      <c r="AC420" s="260"/>
      <c r="AD420" s="260"/>
      <c r="AE420" s="258">
        <v>1.0</v>
      </c>
      <c r="AF420" s="260"/>
    </row>
    <row r="421">
      <c r="A421" s="258">
        <v>420.0</v>
      </c>
      <c r="B421" s="259" t="s">
        <v>642</v>
      </c>
      <c r="C421" s="259" t="s">
        <v>1217</v>
      </c>
      <c r="D421" s="259" t="s">
        <v>1218</v>
      </c>
      <c r="E421" s="259" t="s">
        <v>1219</v>
      </c>
      <c r="F421" s="259" t="s">
        <v>3413</v>
      </c>
      <c r="H421" s="258">
        <v>2014.0</v>
      </c>
      <c r="I421" s="258">
        <v>2014.0</v>
      </c>
      <c r="J421" s="258">
        <v>2017.0</v>
      </c>
      <c r="K421" s="259" t="s">
        <v>6221</v>
      </c>
      <c r="L421" s="259" t="s">
        <v>149</v>
      </c>
      <c r="M421" s="259" t="s">
        <v>149</v>
      </c>
      <c r="N421" s="259" t="s">
        <v>204</v>
      </c>
      <c r="O421" s="259" t="s">
        <v>321</v>
      </c>
      <c r="P421" s="259" t="s">
        <v>160</v>
      </c>
      <c r="Q421" s="259" t="s">
        <v>6035</v>
      </c>
      <c r="R421" s="259" t="s">
        <v>204</v>
      </c>
      <c r="S421" s="259" t="s">
        <v>149</v>
      </c>
      <c r="T421" s="259" t="s">
        <v>149</v>
      </c>
      <c r="U421" s="259" t="s">
        <v>149</v>
      </c>
      <c r="V421" s="259" t="s">
        <v>7717</v>
      </c>
      <c r="W421" s="259" t="s">
        <v>6068</v>
      </c>
      <c r="X421" s="259" t="s">
        <v>1833</v>
      </c>
      <c r="Y421" s="259" t="s">
        <v>885</v>
      </c>
      <c r="AA421" s="259" t="s">
        <v>6257</v>
      </c>
      <c r="AC421" s="259" t="s">
        <v>1872</v>
      </c>
      <c r="AD421" s="259" t="s">
        <v>1873</v>
      </c>
      <c r="AE421" s="258">
        <v>1.0</v>
      </c>
      <c r="AF421" s="260"/>
    </row>
    <row r="422">
      <c r="A422" s="258">
        <v>421.0</v>
      </c>
      <c r="B422" s="259" t="s">
        <v>619</v>
      </c>
      <c r="C422" s="259" t="s">
        <v>7673</v>
      </c>
      <c r="D422" s="259" t="s">
        <v>7673</v>
      </c>
      <c r="E422" s="259" t="s">
        <v>7674</v>
      </c>
      <c r="F422" s="259" t="s">
        <v>384</v>
      </c>
      <c r="G422" s="259" t="s">
        <v>7725</v>
      </c>
      <c r="H422" s="258">
        <v>1981.0</v>
      </c>
      <c r="I422" s="258">
        <v>1985.0</v>
      </c>
      <c r="J422" s="258">
        <v>1987.0</v>
      </c>
      <c r="K422" s="259" t="s">
        <v>151</v>
      </c>
      <c r="L422" s="259" t="s">
        <v>6054</v>
      </c>
      <c r="M422" s="259" t="s">
        <v>6054</v>
      </c>
      <c r="N422" s="259" t="s">
        <v>149</v>
      </c>
      <c r="O422" s="259" t="s">
        <v>390</v>
      </c>
      <c r="P422" s="259" t="s">
        <v>160</v>
      </c>
      <c r="Q422" s="259" t="s">
        <v>6035</v>
      </c>
      <c r="R422" s="259" t="s">
        <v>159</v>
      </c>
      <c r="S422" s="259" t="s">
        <v>149</v>
      </c>
      <c r="T422" s="259" t="s">
        <v>149</v>
      </c>
      <c r="U422" s="259" t="s">
        <v>2885</v>
      </c>
      <c r="V422" s="259" t="s">
        <v>390</v>
      </c>
      <c r="W422" s="259" t="s">
        <v>6035</v>
      </c>
      <c r="X422" s="259" t="s">
        <v>6055</v>
      </c>
      <c r="AA422" s="259" t="s">
        <v>395</v>
      </c>
      <c r="AB422" s="263" t="s">
        <v>2873</v>
      </c>
      <c r="AC422" s="259" t="s">
        <v>398</v>
      </c>
      <c r="AE422" s="258">
        <v>1.0</v>
      </c>
      <c r="AF422" s="259" t="s">
        <v>6109</v>
      </c>
    </row>
    <row r="423">
      <c r="A423" s="258">
        <v>422.0</v>
      </c>
      <c r="B423" s="259" t="s">
        <v>619</v>
      </c>
      <c r="C423" s="259" t="s">
        <v>7673</v>
      </c>
      <c r="D423" s="259" t="s">
        <v>7673</v>
      </c>
      <c r="E423" s="259" t="s">
        <v>7674</v>
      </c>
      <c r="F423" s="259" t="s">
        <v>384</v>
      </c>
      <c r="G423" s="259" t="s">
        <v>8183</v>
      </c>
      <c r="H423" s="258">
        <v>1985.0</v>
      </c>
      <c r="I423" s="258">
        <v>1985.0</v>
      </c>
      <c r="J423" s="258">
        <v>1987.0</v>
      </c>
      <c r="K423" s="259" t="s">
        <v>151</v>
      </c>
      <c r="L423" s="259" t="s">
        <v>6054</v>
      </c>
      <c r="M423" s="259" t="s">
        <v>6054</v>
      </c>
      <c r="N423" s="259" t="s">
        <v>149</v>
      </c>
      <c r="O423" s="259" t="s">
        <v>390</v>
      </c>
      <c r="P423" s="259" t="s">
        <v>160</v>
      </c>
      <c r="Q423" s="259" t="s">
        <v>6035</v>
      </c>
      <c r="R423" s="259" t="s">
        <v>159</v>
      </c>
      <c r="S423" s="259" t="s">
        <v>149</v>
      </c>
      <c r="T423" s="259" t="s">
        <v>149</v>
      </c>
      <c r="U423" s="259" t="s">
        <v>414</v>
      </c>
      <c r="V423" s="259" t="s">
        <v>390</v>
      </c>
      <c r="W423" s="259" t="s">
        <v>6035</v>
      </c>
      <c r="X423" s="259" t="s">
        <v>6055</v>
      </c>
      <c r="AA423" s="259" t="s">
        <v>395</v>
      </c>
      <c r="AB423" s="263" t="s">
        <v>2873</v>
      </c>
      <c r="AC423" s="259" t="s">
        <v>398</v>
      </c>
      <c r="AE423" s="258">
        <v>1.0</v>
      </c>
      <c r="AF423" s="260"/>
    </row>
  </sheetData>
  <autoFilter ref="$A$1:$AF$423">
    <sortState ref="A1:AF423">
      <sortCondition ref="A1:A423"/>
      <sortCondition ref="O1:O423"/>
      <sortCondition ref="Q1:Q423"/>
      <sortCondition ref="P1:P423"/>
    </sortState>
  </autoFilter>
  <mergeCells count="754">
    <mergeCell ref="F316:G316"/>
    <mergeCell ref="F327:G327"/>
    <mergeCell ref="F328:G328"/>
    <mergeCell ref="F330:G330"/>
    <mergeCell ref="F331:G331"/>
    <mergeCell ref="F332:G332"/>
    <mergeCell ref="F334:G334"/>
    <mergeCell ref="F350:G350"/>
    <mergeCell ref="F351:G351"/>
    <mergeCell ref="F335:G335"/>
    <mergeCell ref="F336:G336"/>
    <mergeCell ref="F338:G338"/>
    <mergeCell ref="F339:G339"/>
    <mergeCell ref="F341:G341"/>
    <mergeCell ref="F343:G343"/>
    <mergeCell ref="F344:G344"/>
    <mergeCell ref="F241:G241"/>
    <mergeCell ref="F248:G248"/>
    <mergeCell ref="F250:G250"/>
    <mergeCell ref="F253:G253"/>
    <mergeCell ref="F255:G255"/>
    <mergeCell ref="F257:G257"/>
    <mergeCell ref="F260:G260"/>
    <mergeCell ref="F261:G261"/>
    <mergeCell ref="F263:G263"/>
    <mergeCell ref="F264:G264"/>
    <mergeCell ref="F267:G267"/>
    <mergeCell ref="F270:G270"/>
    <mergeCell ref="F272:G272"/>
    <mergeCell ref="F273:G273"/>
    <mergeCell ref="Y327:Z327"/>
    <mergeCell ref="AA327:AB327"/>
    <mergeCell ref="X328:Z328"/>
    <mergeCell ref="AA328:AB328"/>
    <mergeCell ref="X330:Z330"/>
    <mergeCell ref="AA330:AB330"/>
    <mergeCell ref="AA331:AB331"/>
    <mergeCell ref="Y332:Z332"/>
    <mergeCell ref="AB332:AD332"/>
    <mergeCell ref="X333:Z333"/>
    <mergeCell ref="AB333:AD333"/>
    <mergeCell ref="X334:Y334"/>
    <mergeCell ref="AA334:AB334"/>
    <mergeCell ref="AC335:AD335"/>
    <mergeCell ref="X336:Z336"/>
    <mergeCell ref="AA336:AB336"/>
    <mergeCell ref="AC337:AD337"/>
    <mergeCell ref="AC338:AD338"/>
    <mergeCell ref="AA339:AB339"/>
    <mergeCell ref="AA340:AB340"/>
    <mergeCell ref="Y341:Z341"/>
    <mergeCell ref="X345:Z345"/>
    <mergeCell ref="W346:X346"/>
    <mergeCell ref="AA346:AB346"/>
    <mergeCell ref="AA341:AB341"/>
    <mergeCell ref="AB342:AD342"/>
    <mergeCell ref="X343:Z343"/>
    <mergeCell ref="AC343:AD343"/>
    <mergeCell ref="Y344:Z344"/>
    <mergeCell ref="AB344:AD344"/>
    <mergeCell ref="AB345:AD345"/>
    <mergeCell ref="W25:X25"/>
    <mergeCell ref="X26:Z26"/>
    <mergeCell ref="X23:Z23"/>
    <mergeCell ref="F24:G24"/>
    <mergeCell ref="W24:X24"/>
    <mergeCell ref="AA24:AB24"/>
    <mergeCell ref="F25:G25"/>
    <mergeCell ref="AA25:AB25"/>
    <mergeCell ref="AB26:AC26"/>
    <mergeCell ref="W30:X30"/>
    <mergeCell ref="W31:X31"/>
    <mergeCell ref="AA31:AB31"/>
    <mergeCell ref="X32:Z32"/>
    <mergeCell ref="AC32:AD32"/>
    <mergeCell ref="X33:Z33"/>
    <mergeCell ref="AC33:AD33"/>
    <mergeCell ref="X34:Y34"/>
    <mergeCell ref="AA34:AB34"/>
    <mergeCell ref="W27:X27"/>
    <mergeCell ref="AA27:AB27"/>
    <mergeCell ref="Y28:Z28"/>
    <mergeCell ref="AA28:AB28"/>
    <mergeCell ref="X29:Z29"/>
    <mergeCell ref="AC29:AD29"/>
    <mergeCell ref="AC30:AD30"/>
    <mergeCell ref="AA2:AB2"/>
    <mergeCell ref="F3:G3"/>
    <mergeCell ref="AA3:AB3"/>
    <mergeCell ref="X4:Y4"/>
    <mergeCell ref="AC4:AD4"/>
    <mergeCell ref="F5:G5"/>
    <mergeCell ref="AA5:AB5"/>
    <mergeCell ref="X6:Z6"/>
    <mergeCell ref="AC6:AD6"/>
    <mergeCell ref="X7:Z7"/>
    <mergeCell ref="AC7:AD7"/>
    <mergeCell ref="X8:Z8"/>
    <mergeCell ref="AB8:AD8"/>
    <mergeCell ref="AC9:AD9"/>
    <mergeCell ref="AC10:AD10"/>
    <mergeCell ref="AA11:AB11"/>
    <mergeCell ref="AC12:AD12"/>
    <mergeCell ref="AA13:AB13"/>
    <mergeCell ref="AC14:AD14"/>
    <mergeCell ref="AC15:AD15"/>
    <mergeCell ref="AA16:AB16"/>
    <mergeCell ref="X18:Z18"/>
    <mergeCell ref="W19:X19"/>
    <mergeCell ref="AA19:AB19"/>
    <mergeCell ref="X20:Y20"/>
    <mergeCell ref="X21:Z21"/>
    <mergeCell ref="W22:X22"/>
    <mergeCell ref="AA22:AB22"/>
    <mergeCell ref="X9:Z9"/>
    <mergeCell ref="X10:Y10"/>
    <mergeCell ref="X12:Y12"/>
    <mergeCell ref="W13:X13"/>
    <mergeCell ref="X14:Y14"/>
    <mergeCell ref="X15:Y15"/>
    <mergeCell ref="X17:Y17"/>
    <mergeCell ref="F40:G40"/>
    <mergeCell ref="F45:G45"/>
    <mergeCell ref="X45:Y45"/>
    <mergeCell ref="AA45:AB45"/>
    <mergeCell ref="F48:G48"/>
    <mergeCell ref="F52:G52"/>
    <mergeCell ref="Y52:Z52"/>
    <mergeCell ref="AA52:AB52"/>
    <mergeCell ref="AC52:AD52"/>
    <mergeCell ref="AC54:AD54"/>
    <mergeCell ref="F220:G220"/>
    <mergeCell ref="F221:G221"/>
    <mergeCell ref="F222:G222"/>
    <mergeCell ref="F223:G223"/>
    <mergeCell ref="F224:G224"/>
    <mergeCell ref="F227:G227"/>
    <mergeCell ref="F228:G228"/>
    <mergeCell ref="F229:G229"/>
    <mergeCell ref="F230:G230"/>
    <mergeCell ref="F231:G231"/>
    <mergeCell ref="F232:G232"/>
    <mergeCell ref="F234:G234"/>
    <mergeCell ref="F236:G236"/>
    <mergeCell ref="F239:G239"/>
    <mergeCell ref="AB369:AD369"/>
    <mergeCell ref="AB370:AD370"/>
    <mergeCell ref="Y371:Z371"/>
    <mergeCell ref="AC371:AD371"/>
    <mergeCell ref="AC372:AD372"/>
    <mergeCell ref="AB373:AD373"/>
    <mergeCell ref="X375:Z375"/>
    <mergeCell ref="X376:Z376"/>
    <mergeCell ref="AB376:AD376"/>
    <mergeCell ref="X377:Z377"/>
    <mergeCell ref="AB377:AD377"/>
    <mergeCell ref="Y378:Z378"/>
    <mergeCell ref="AB378:AD378"/>
    <mergeCell ref="AB379:AD379"/>
    <mergeCell ref="F377:G377"/>
    <mergeCell ref="F390:G390"/>
    <mergeCell ref="F391:G391"/>
    <mergeCell ref="F393:G393"/>
    <mergeCell ref="F358:G358"/>
    <mergeCell ref="F361:G361"/>
    <mergeCell ref="F367:G367"/>
    <mergeCell ref="F372:G372"/>
    <mergeCell ref="F373:G373"/>
    <mergeCell ref="F374:G374"/>
    <mergeCell ref="F375:G375"/>
    <mergeCell ref="AB395:AD395"/>
    <mergeCell ref="AB396:AD396"/>
    <mergeCell ref="AA397:AB397"/>
    <mergeCell ref="AB391:AD391"/>
    <mergeCell ref="AB392:AD392"/>
    <mergeCell ref="AA393:AB393"/>
    <mergeCell ref="W394:X394"/>
    <mergeCell ref="AB394:AD394"/>
    <mergeCell ref="X395:Z395"/>
    <mergeCell ref="W396:X396"/>
    <mergeCell ref="W126:X126"/>
    <mergeCell ref="AB126:AD126"/>
    <mergeCell ref="W127:X127"/>
    <mergeCell ref="AB127:AD127"/>
    <mergeCell ref="Y128:Z128"/>
    <mergeCell ref="AB128:AD128"/>
    <mergeCell ref="AB129:AD129"/>
    <mergeCell ref="AB130:AD130"/>
    <mergeCell ref="AB131:AD131"/>
    <mergeCell ref="AB132:AD132"/>
    <mergeCell ref="X133:Z133"/>
    <mergeCell ref="AA133:AB133"/>
    <mergeCell ref="W134:X134"/>
    <mergeCell ref="AB134:AD134"/>
    <mergeCell ref="AB139:AD139"/>
    <mergeCell ref="AB140:AD140"/>
    <mergeCell ref="AA135:AB135"/>
    <mergeCell ref="AB136:AD136"/>
    <mergeCell ref="AC137:AD137"/>
    <mergeCell ref="X138:Z138"/>
    <mergeCell ref="AB138:AD138"/>
    <mergeCell ref="X139:Z139"/>
    <mergeCell ref="X140:Z140"/>
    <mergeCell ref="W102:X102"/>
    <mergeCell ref="Y103:Z103"/>
    <mergeCell ref="X108:Z108"/>
    <mergeCell ref="Y109:Z109"/>
    <mergeCell ref="Y110:Z110"/>
    <mergeCell ref="X114:Z114"/>
    <mergeCell ref="X115:Z115"/>
    <mergeCell ref="Y117:Z117"/>
    <mergeCell ref="X98:Z98"/>
    <mergeCell ref="X99:Z99"/>
    <mergeCell ref="AA99:AB99"/>
    <mergeCell ref="X100:Z100"/>
    <mergeCell ref="AB100:AD100"/>
    <mergeCell ref="AC101:AD101"/>
    <mergeCell ref="AB102:AD102"/>
    <mergeCell ref="AB103:AD103"/>
    <mergeCell ref="AB104:AD104"/>
    <mergeCell ref="AB105:AD105"/>
    <mergeCell ref="AB106:AD106"/>
    <mergeCell ref="AB107:AD107"/>
    <mergeCell ref="AC108:AD108"/>
    <mergeCell ref="AC111:AD111"/>
    <mergeCell ref="AB112:AD112"/>
    <mergeCell ref="AA114:AB114"/>
    <mergeCell ref="AB115:AD115"/>
    <mergeCell ref="AB116:AD116"/>
    <mergeCell ref="AB117:AD117"/>
    <mergeCell ref="AC118:AD118"/>
    <mergeCell ref="AB119:AD119"/>
    <mergeCell ref="AB124:AD124"/>
    <mergeCell ref="AB125:AD125"/>
    <mergeCell ref="AB120:AD120"/>
    <mergeCell ref="AB121:AD121"/>
    <mergeCell ref="X122:Z122"/>
    <mergeCell ref="AA122:AB122"/>
    <mergeCell ref="Y123:Z123"/>
    <mergeCell ref="AB123:AD123"/>
    <mergeCell ref="W125:X125"/>
    <mergeCell ref="X141:Z141"/>
    <mergeCell ref="AC141:AD141"/>
    <mergeCell ref="AC183:AD183"/>
    <mergeCell ref="AA184:AB184"/>
    <mergeCell ref="AB176:AD176"/>
    <mergeCell ref="AB177:AD177"/>
    <mergeCell ref="AC178:AD178"/>
    <mergeCell ref="AC179:AD179"/>
    <mergeCell ref="AB180:AD180"/>
    <mergeCell ref="AB181:AD181"/>
    <mergeCell ref="AB182:AD182"/>
    <mergeCell ref="AC162:AD162"/>
    <mergeCell ref="AC163:AD163"/>
    <mergeCell ref="AC164:AD164"/>
    <mergeCell ref="AC165:AD165"/>
    <mergeCell ref="AC166:AD166"/>
    <mergeCell ref="AC167:AD167"/>
    <mergeCell ref="AC168:AD168"/>
    <mergeCell ref="AC169:AD169"/>
    <mergeCell ref="AC170:AD170"/>
    <mergeCell ref="AC171:AD171"/>
    <mergeCell ref="AC172:AD172"/>
    <mergeCell ref="AC173:AD173"/>
    <mergeCell ref="AC174:AD174"/>
    <mergeCell ref="AC175:AD175"/>
    <mergeCell ref="AB185:AD185"/>
    <mergeCell ref="AC187:AD187"/>
    <mergeCell ref="AB188:AD188"/>
    <mergeCell ref="AA189:AB189"/>
    <mergeCell ref="AC190:AD190"/>
    <mergeCell ref="AC191:AD191"/>
    <mergeCell ref="AC194:AD194"/>
    <mergeCell ref="Y185:Z185"/>
    <mergeCell ref="X187:Z187"/>
    <mergeCell ref="W188:X188"/>
    <mergeCell ref="W189:X189"/>
    <mergeCell ref="X191:Z191"/>
    <mergeCell ref="X194:Z194"/>
    <mergeCell ref="X195:Y195"/>
    <mergeCell ref="AC215:AD215"/>
    <mergeCell ref="AC216:AD216"/>
    <mergeCell ref="AC204:AD204"/>
    <mergeCell ref="AC205:AD205"/>
    <mergeCell ref="AC206:AD206"/>
    <mergeCell ref="AC209:AD209"/>
    <mergeCell ref="AC210:AD210"/>
    <mergeCell ref="AC213:AD213"/>
    <mergeCell ref="AC214:AD214"/>
    <mergeCell ref="AC217:AD217"/>
    <mergeCell ref="AC218:AD218"/>
    <mergeCell ref="AB195:AD195"/>
    <mergeCell ref="AC196:AD196"/>
    <mergeCell ref="AC197:AD197"/>
    <mergeCell ref="AC198:AD198"/>
    <mergeCell ref="AC200:AD200"/>
    <mergeCell ref="AC201:AD201"/>
    <mergeCell ref="AB203:AD203"/>
    <mergeCell ref="X143:Z143"/>
    <mergeCell ref="AA143:AB143"/>
    <mergeCell ref="Y144:Z144"/>
    <mergeCell ref="AB144:AD144"/>
    <mergeCell ref="AB145:AD145"/>
    <mergeCell ref="AC146:AD146"/>
    <mergeCell ref="AC147:AD147"/>
    <mergeCell ref="AC148:AD148"/>
    <mergeCell ref="AC149:AD149"/>
    <mergeCell ref="AB150:AD150"/>
    <mergeCell ref="AC151:AD151"/>
    <mergeCell ref="AC152:AD152"/>
    <mergeCell ref="AC153:AD153"/>
    <mergeCell ref="AC154:AD154"/>
    <mergeCell ref="AC155:AD155"/>
    <mergeCell ref="AC156:AD156"/>
    <mergeCell ref="AC157:AD157"/>
    <mergeCell ref="AC158:AD158"/>
    <mergeCell ref="AC159:AD159"/>
    <mergeCell ref="AB160:AD160"/>
    <mergeCell ref="AC161:AD161"/>
    <mergeCell ref="Y145:Z145"/>
    <mergeCell ref="X148:Z148"/>
    <mergeCell ref="X149:Z149"/>
    <mergeCell ref="X151:Z151"/>
    <mergeCell ref="X159:Z159"/>
    <mergeCell ref="W160:X160"/>
    <mergeCell ref="X162:Z162"/>
    <mergeCell ref="X166:Z166"/>
    <mergeCell ref="X176:Z176"/>
    <mergeCell ref="X177:Z177"/>
    <mergeCell ref="Y178:Z178"/>
    <mergeCell ref="W179:X179"/>
    <mergeCell ref="Y181:Z181"/>
    <mergeCell ref="X183:Z183"/>
    <mergeCell ref="X217:Z217"/>
    <mergeCell ref="X218:Z218"/>
    <mergeCell ref="X219:Z219"/>
    <mergeCell ref="AC219:AD219"/>
    <mergeCell ref="Y198:Z198"/>
    <mergeCell ref="X203:Z203"/>
    <mergeCell ref="X210:Z210"/>
    <mergeCell ref="X213:Z213"/>
    <mergeCell ref="X214:Z214"/>
    <mergeCell ref="X215:Z215"/>
    <mergeCell ref="X216:Z216"/>
    <mergeCell ref="X35:Y35"/>
    <mergeCell ref="W36:X36"/>
    <mergeCell ref="AA36:AB36"/>
    <mergeCell ref="W37:X37"/>
    <mergeCell ref="AA37:AB37"/>
    <mergeCell ref="X39:Y39"/>
    <mergeCell ref="Y41:Z41"/>
    <mergeCell ref="AB40:AD40"/>
    <mergeCell ref="AC41:AD41"/>
    <mergeCell ref="AC42:AD42"/>
    <mergeCell ref="AC43:AD43"/>
    <mergeCell ref="AC44:AD44"/>
    <mergeCell ref="AC46:AD46"/>
    <mergeCell ref="AA47:AB47"/>
    <mergeCell ref="X42:Z42"/>
    <mergeCell ref="X43:Z43"/>
    <mergeCell ref="X44:Z44"/>
    <mergeCell ref="Y47:Z47"/>
    <mergeCell ref="X49:Y49"/>
    <mergeCell ref="X50:Z50"/>
    <mergeCell ref="X51:Z51"/>
    <mergeCell ref="AC49:AD49"/>
    <mergeCell ref="AC50:AD50"/>
    <mergeCell ref="AA51:AB51"/>
    <mergeCell ref="AC51:AD51"/>
    <mergeCell ref="AC53:AD53"/>
    <mergeCell ref="AC56:AD56"/>
    <mergeCell ref="AC57:AD57"/>
    <mergeCell ref="X53:Z53"/>
    <mergeCell ref="X56:Y56"/>
    <mergeCell ref="X57:Z57"/>
    <mergeCell ref="X58:Z58"/>
    <mergeCell ref="X62:Y62"/>
    <mergeCell ref="X63:Z63"/>
    <mergeCell ref="Y74:Z74"/>
    <mergeCell ref="AC95:AD95"/>
    <mergeCell ref="AC96:AD96"/>
    <mergeCell ref="AA97:AB97"/>
    <mergeCell ref="AA98:AB98"/>
    <mergeCell ref="X75:Z75"/>
    <mergeCell ref="X90:Y90"/>
    <mergeCell ref="X91:Z91"/>
    <mergeCell ref="X93:Y93"/>
    <mergeCell ref="X95:Y95"/>
    <mergeCell ref="X96:Z96"/>
    <mergeCell ref="X97:Z97"/>
    <mergeCell ref="X249:Z249"/>
    <mergeCell ref="AC249:AD249"/>
    <mergeCell ref="W251:X251"/>
    <mergeCell ref="AC251:AD251"/>
    <mergeCell ref="AB243:AD243"/>
    <mergeCell ref="AB244:AD244"/>
    <mergeCell ref="X245:Z245"/>
    <mergeCell ref="AC245:AD245"/>
    <mergeCell ref="X246:Y246"/>
    <mergeCell ref="AB246:AD246"/>
    <mergeCell ref="W247:X247"/>
    <mergeCell ref="AC58:AD58"/>
    <mergeCell ref="AC62:AD62"/>
    <mergeCell ref="AC63:AD63"/>
    <mergeCell ref="AA64:AB64"/>
    <mergeCell ref="AB66:AD66"/>
    <mergeCell ref="AA74:AB74"/>
    <mergeCell ref="AC74:AD74"/>
    <mergeCell ref="AA75:AB75"/>
    <mergeCell ref="AC75:AD75"/>
    <mergeCell ref="AC90:AD90"/>
    <mergeCell ref="AC91:AD91"/>
    <mergeCell ref="AA92:AB92"/>
    <mergeCell ref="AB93:AD93"/>
    <mergeCell ref="AA94:AB94"/>
    <mergeCell ref="AA192:AB192"/>
    <mergeCell ref="AC193:AD193"/>
    <mergeCell ref="X202:Y202"/>
    <mergeCell ref="AB202:AD202"/>
    <mergeCell ref="Y207:Z207"/>
    <mergeCell ref="AB207:AD207"/>
    <mergeCell ref="AB208:AD208"/>
    <mergeCell ref="W211:X211"/>
    <mergeCell ref="AC211:AD211"/>
    <mergeCell ref="AA212:AB212"/>
    <mergeCell ref="W220:X220"/>
    <mergeCell ref="AB220:AD220"/>
    <mergeCell ref="W221:X221"/>
    <mergeCell ref="AB222:AD222"/>
    <mergeCell ref="AA229:AB229"/>
    <mergeCell ref="AA231:AB231"/>
    <mergeCell ref="AA232:AB232"/>
    <mergeCell ref="W234:X234"/>
    <mergeCell ref="W235:X235"/>
    <mergeCell ref="X237:Y237"/>
    <mergeCell ref="W238:X238"/>
    <mergeCell ref="X242:Y242"/>
    <mergeCell ref="X243:Y243"/>
    <mergeCell ref="AB233:AD233"/>
    <mergeCell ref="AC234:AD234"/>
    <mergeCell ref="AB235:AD235"/>
    <mergeCell ref="AB237:AD237"/>
    <mergeCell ref="AB238:AD238"/>
    <mergeCell ref="AB240:AD240"/>
    <mergeCell ref="AB242:AD242"/>
    <mergeCell ref="AC261:AD261"/>
    <mergeCell ref="AA262:AB262"/>
    <mergeCell ref="AC262:AD262"/>
    <mergeCell ref="X263:Z263"/>
    <mergeCell ref="AA263:AB263"/>
    <mergeCell ref="X265:Z265"/>
    <mergeCell ref="X266:Z266"/>
    <mergeCell ref="X267:Y267"/>
    <mergeCell ref="AC267:AD267"/>
    <mergeCell ref="Y268:Z268"/>
    <mergeCell ref="AB268:AD268"/>
    <mergeCell ref="AA269:AB269"/>
    <mergeCell ref="AB270:AD270"/>
    <mergeCell ref="AB271:AD271"/>
    <mergeCell ref="AB276:AD276"/>
    <mergeCell ref="AC277:AD277"/>
    <mergeCell ref="X272:Z272"/>
    <mergeCell ref="AA272:AB272"/>
    <mergeCell ref="X274:Z274"/>
    <mergeCell ref="AC274:AD274"/>
    <mergeCell ref="X275:Z275"/>
    <mergeCell ref="AC275:AD275"/>
    <mergeCell ref="X277:Z277"/>
    <mergeCell ref="AB282:AD282"/>
    <mergeCell ref="AB283:AD283"/>
    <mergeCell ref="X278:Z278"/>
    <mergeCell ref="AC278:AD278"/>
    <mergeCell ref="AC279:AD279"/>
    <mergeCell ref="AC280:AD280"/>
    <mergeCell ref="AC281:AD281"/>
    <mergeCell ref="Y282:Z282"/>
    <mergeCell ref="Y283:Z283"/>
    <mergeCell ref="AC289:AD289"/>
    <mergeCell ref="AC290:AD290"/>
    <mergeCell ref="AC291:AD291"/>
    <mergeCell ref="AC292:AD292"/>
    <mergeCell ref="AC293:AD293"/>
    <mergeCell ref="X284:Z284"/>
    <mergeCell ref="AC284:AD284"/>
    <mergeCell ref="AC286:AD286"/>
    <mergeCell ref="AC287:AD287"/>
    <mergeCell ref="X288:Z288"/>
    <mergeCell ref="AC288:AD288"/>
    <mergeCell ref="X290:Z290"/>
    <mergeCell ref="W236:X236"/>
    <mergeCell ref="W239:X239"/>
    <mergeCell ref="Y222:Z222"/>
    <mergeCell ref="Y223:Z223"/>
    <mergeCell ref="Y227:Z227"/>
    <mergeCell ref="Y228:Z228"/>
    <mergeCell ref="X229:Z229"/>
    <mergeCell ref="X231:Z231"/>
    <mergeCell ref="X232:Y232"/>
    <mergeCell ref="AB223:AD223"/>
    <mergeCell ref="AB224:AD224"/>
    <mergeCell ref="AB225:AD225"/>
    <mergeCell ref="AA226:AB226"/>
    <mergeCell ref="AB227:AD227"/>
    <mergeCell ref="AB228:AD228"/>
    <mergeCell ref="AB230:AD230"/>
    <mergeCell ref="AB236:AD236"/>
    <mergeCell ref="AB239:AD239"/>
    <mergeCell ref="AB241:AC241"/>
    <mergeCell ref="AC248:AD248"/>
    <mergeCell ref="AC250:AD250"/>
    <mergeCell ref="AA253:AB253"/>
    <mergeCell ref="X256:Z256"/>
    <mergeCell ref="AA257:AB257"/>
    <mergeCell ref="AC255:AD255"/>
    <mergeCell ref="AC256:AD256"/>
    <mergeCell ref="W258:X258"/>
    <mergeCell ref="AB258:AD258"/>
    <mergeCell ref="X259:Z259"/>
    <mergeCell ref="AC259:AD259"/>
    <mergeCell ref="AC260:AD260"/>
    <mergeCell ref="AC265:AD265"/>
    <mergeCell ref="AC266:AD266"/>
    <mergeCell ref="X294:Z294"/>
    <mergeCell ref="AC294:AD294"/>
    <mergeCell ref="AB297:AD297"/>
    <mergeCell ref="AB298:AD298"/>
    <mergeCell ref="AB299:AD299"/>
    <mergeCell ref="AB300:AD300"/>
    <mergeCell ref="AB301:AD301"/>
    <mergeCell ref="AC323:AD323"/>
    <mergeCell ref="AC324:AD324"/>
    <mergeCell ref="AA325:AB325"/>
    <mergeCell ref="AA326:AB326"/>
    <mergeCell ref="X329:Y329"/>
    <mergeCell ref="AA329:AB329"/>
    <mergeCell ref="AA315:AB315"/>
    <mergeCell ref="AA317:AB317"/>
    <mergeCell ref="AC321:AD321"/>
    <mergeCell ref="X322:Z322"/>
    <mergeCell ref="AC322:AD322"/>
    <mergeCell ref="X323:Z323"/>
    <mergeCell ref="X324:Z324"/>
    <mergeCell ref="AC17:AD17"/>
    <mergeCell ref="AC18:AD18"/>
    <mergeCell ref="AC20:AD20"/>
    <mergeCell ref="AC21:AD21"/>
    <mergeCell ref="AC23:AD23"/>
    <mergeCell ref="AC35:AD35"/>
    <mergeCell ref="AC38:AD38"/>
    <mergeCell ref="AC39:AD39"/>
    <mergeCell ref="AC48:AD48"/>
    <mergeCell ref="AC55:AD55"/>
    <mergeCell ref="AC59:AD59"/>
    <mergeCell ref="AC60:AD60"/>
    <mergeCell ref="AC61:AD61"/>
    <mergeCell ref="AC65:AD65"/>
    <mergeCell ref="AC67:AD67"/>
    <mergeCell ref="AC68:AD68"/>
    <mergeCell ref="AC69:AD69"/>
    <mergeCell ref="AC70:AD70"/>
    <mergeCell ref="AC71:AD71"/>
    <mergeCell ref="AC72:AD72"/>
    <mergeCell ref="AC73:AD73"/>
    <mergeCell ref="AC76:AD76"/>
    <mergeCell ref="AC77:AD77"/>
    <mergeCell ref="AC78:AD78"/>
    <mergeCell ref="AC81:AD81"/>
    <mergeCell ref="AC83:AD83"/>
    <mergeCell ref="AC85:AD85"/>
    <mergeCell ref="AC86:AD86"/>
    <mergeCell ref="AC88:AD88"/>
    <mergeCell ref="AC89:AD89"/>
    <mergeCell ref="AC142:AD142"/>
    <mergeCell ref="AC273:AD273"/>
    <mergeCell ref="AC285:AD285"/>
    <mergeCell ref="AC296:AD296"/>
    <mergeCell ref="AB302:AD302"/>
    <mergeCell ref="AA303:AB303"/>
    <mergeCell ref="AC304:AD304"/>
    <mergeCell ref="AC305:AD305"/>
    <mergeCell ref="AC306:AD306"/>
    <mergeCell ref="AC307:AD307"/>
    <mergeCell ref="X308:Z308"/>
    <mergeCell ref="AC308:AD308"/>
    <mergeCell ref="AC309:AD309"/>
    <mergeCell ref="AC310:AD310"/>
    <mergeCell ref="AC311:AD311"/>
    <mergeCell ref="AC312:AD312"/>
    <mergeCell ref="AC313:AD313"/>
    <mergeCell ref="AC314:AD314"/>
    <mergeCell ref="Y315:Z315"/>
    <mergeCell ref="F174:G174"/>
    <mergeCell ref="F175:G175"/>
    <mergeCell ref="F178:G178"/>
    <mergeCell ref="F181:G181"/>
    <mergeCell ref="F182:G182"/>
    <mergeCell ref="F184:G184"/>
    <mergeCell ref="F186:G186"/>
    <mergeCell ref="F192:G192"/>
    <mergeCell ref="F193:G193"/>
    <mergeCell ref="F202:G202"/>
    <mergeCell ref="F207:G207"/>
    <mergeCell ref="F208:G208"/>
    <mergeCell ref="F211:G211"/>
    <mergeCell ref="F212:G212"/>
    <mergeCell ref="F413:G413"/>
    <mergeCell ref="F415:G415"/>
    <mergeCell ref="F420:G420"/>
    <mergeCell ref="F421:G421"/>
    <mergeCell ref="F399:G399"/>
    <mergeCell ref="F404:G404"/>
    <mergeCell ref="F406:G406"/>
    <mergeCell ref="F409:G409"/>
    <mergeCell ref="F410:G410"/>
    <mergeCell ref="F411:G411"/>
    <mergeCell ref="F412:G412"/>
    <mergeCell ref="F26:G26"/>
    <mergeCell ref="F27:G27"/>
    <mergeCell ref="F28:G28"/>
    <mergeCell ref="F31:G31"/>
    <mergeCell ref="F35:G35"/>
    <mergeCell ref="F36:G36"/>
    <mergeCell ref="F37:G37"/>
    <mergeCell ref="F54:G54"/>
    <mergeCell ref="F66:G66"/>
    <mergeCell ref="F67:G67"/>
    <mergeCell ref="F74:G74"/>
    <mergeCell ref="F93:G93"/>
    <mergeCell ref="F97:G97"/>
    <mergeCell ref="F98:G98"/>
    <mergeCell ref="F99:G99"/>
    <mergeCell ref="F101:G101"/>
    <mergeCell ref="F103:G103"/>
    <mergeCell ref="F107:G107"/>
    <mergeCell ref="F109:G109"/>
    <mergeCell ref="F110:G110"/>
    <mergeCell ref="F111:G111"/>
    <mergeCell ref="F113:G113"/>
    <mergeCell ref="F114:G114"/>
    <mergeCell ref="F115:G115"/>
    <mergeCell ref="F118:G118"/>
    <mergeCell ref="F123:G123"/>
    <mergeCell ref="F128:G128"/>
    <mergeCell ref="F132:G132"/>
    <mergeCell ref="F133:G133"/>
    <mergeCell ref="F134:G134"/>
    <mergeCell ref="F135:G135"/>
    <mergeCell ref="F142:G142"/>
    <mergeCell ref="F143:G143"/>
    <mergeCell ref="F144:G144"/>
    <mergeCell ref="F145:G145"/>
    <mergeCell ref="F146:G146"/>
    <mergeCell ref="F147:G147"/>
    <mergeCell ref="F158:G158"/>
    <mergeCell ref="F160:G160"/>
    <mergeCell ref="F161:G161"/>
    <mergeCell ref="F165:G165"/>
    <mergeCell ref="F171:G171"/>
    <mergeCell ref="F285:G285"/>
    <mergeCell ref="F295:G295"/>
    <mergeCell ref="F296:G296"/>
    <mergeCell ref="F302:G302"/>
    <mergeCell ref="F303:G303"/>
    <mergeCell ref="F304:G304"/>
    <mergeCell ref="F315:G315"/>
    <mergeCell ref="AB380:AD380"/>
    <mergeCell ref="AA381:AB381"/>
    <mergeCell ref="AA382:AB382"/>
    <mergeCell ref="AA383:AB383"/>
    <mergeCell ref="AB384:AD384"/>
    <mergeCell ref="Y385:Z385"/>
    <mergeCell ref="X386:Z386"/>
    <mergeCell ref="AB386:AD386"/>
    <mergeCell ref="AB387:AD387"/>
    <mergeCell ref="AB388:AD388"/>
    <mergeCell ref="AC389:AD389"/>
    <mergeCell ref="Y390:Z390"/>
    <mergeCell ref="AA390:AB390"/>
    <mergeCell ref="Y391:Z391"/>
    <mergeCell ref="W398:X398"/>
    <mergeCell ref="AB398:AD398"/>
    <mergeCell ref="AB399:AD399"/>
    <mergeCell ref="Y400:Z400"/>
    <mergeCell ref="AB400:AD400"/>
    <mergeCell ref="AB401:AD401"/>
    <mergeCell ref="AA402:AB402"/>
    <mergeCell ref="AA403:AB403"/>
    <mergeCell ref="Y404:Z404"/>
    <mergeCell ref="AB404:AD404"/>
    <mergeCell ref="W405:X405"/>
    <mergeCell ref="AB405:AD405"/>
    <mergeCell ref="Y406:Z406"/>
    <mergeCell ref="AB406:AD406"/>
    <mergeCell ref="AB412:AD412"/>
    <mergeCell ref="AB413:AD413"/>
    <mergeCell ref="AB407:AD407"/>
    <mergeCell ref="AA408:AB408"/>
    <mergeCell ref="AB409:AD409"/>
    <mergeCell ref="AB410:AD410"/>
    <mergeCell ref="AB411:AD411"/>
    <mergeCell ref="X412:Z412"/>
    <mergeCell ref="X413:Z413"/>
    <mergeCell ref="X414:Z414"/>
    <mergeCell ref="AC414:AD414"/>
    <mergeCell ref="W415:X415"/>
    <mergeCell ref="AB415:AD415"/>
    <mergeCell ref="X416:Z416"/>
    <mergeCell ref="AA416:AB416"/>
    <mergeCell ref="Y418:Z418"/>
    <mergeCell ref="AB417:AD417"/>
    <mergeCell ref="AB418:AD418"/>
    <mergeCell ref="AB419:AD419"/>
    <mergeCell ref="AA420:AB420"/>
    <mergeCell ref="Y421:Z421"/>
    <mergeCell ref="AA421:AB421"/>
    <mergeCell ref="AC422:AD422"/>
    <mergeCell ref="AB349:AD349"/>
    <mergeCell ref="Y350:Z350"/>
    <mergeCell ref="Y351:Z351"/>
    <mergeCell ref="AB352:AD352"/>
    <mergeCell ref="X353:Z353"/>
    <mergeCell ref="AB353:AD353"/>
    <mergeCell ref="AC354:AD354"/>
    <mergeCell ref="AC355:AD355"/>
    <mergeCell ref="AB356:AD356"/>
    <mergeCell ref="AB357:AD357"/>
    <mergeCell ref="AC358:AD358"/>
    <mergeCell ref="AC359:AD359"/>
    <mergeCell ref="AC360:AD360"/>
    <mergeCell ref="AA361:AB361"/>
    <mergeCell ref="W366:X366"/>
    <mergeCell ref="W369:X369"/>
    <mergeCell ref="W374:X374"/>
    <mergeCell ref="W379:X379"/>
    <mergeCell ref="W380:X380"/>
    <mergeCell ref="X354:Z354"/>
    <mergeCell ref="X355:Z355"/>
    <mergeCell ref="W357:X357"/>
    <mergeCell ref="W362:X362"/>
    <mergeCell ref="Y363:Z363"/>
    <mergeCell ref="W364:X364"/>
    <mergeCell ref="Y365:Z365"/>
    <mergeCell ref="AA362:AB362"/>
    <mergeCell ref="AB363:AD363"/>
    <mergeCell ref="AA364:AB364"/>
    <mergeCell ref="AC365:AD365"/>
    <mergeCell ref="AA366:AB366"/>
    <mergeCell ref="AB367:AD367"/>
    <mergeCell ref="AB368:AD368"/>
    <mergeCell ref="AB374:AD374"/>
    <mergeCell ref="AC375:AD375"/>
    <mergeCell ref="X422:Z422"/>
    <mergeCell ref="X423:Z423"/>
    <mergeCell ref="AC423:AD423"/>
  </mergeCells>
  <hyperlinks>
    <hyperlink r:id="rId1" ref="AB4"/>
    <hyperlink r:id="rId2" ref="AB6"/>
    <hyperlink r:id="rId3" ref="AB7"/>
    <hyperlink r:id="rId4" ref="AB8"/>
    <hyperlink r:id="rId5" ref="AB9"/>
    <hyperlink r:id="rId6" ref="AB10"/>
    <hyperlink r:id="rId7" ref="AB12"/>
    <hyperlink r:id="rId8" ref="AB14"/>
    <hyperlink r:id="rId9" ref="AB15"/>
    <hyperlink r:id="rId10" ref="AB17"/>
    <hyperlink r:id="rId11" ref="AB18"/>
    <hyperlink r:id="rId12" ref="AB20"/>
    <hyperlink r:id="rId13" ref="AB21"/>
    <hyperlink r:id="rId14" ref="AB23"/>
    <hyperlink r:id="rId15" ref="AB26"/>
    <hyperlink r:id="rId16" ref="AB29"/>
    <hyperlink r:id="rId17" ref="AB32"/>
    <hyperlink r:id="rId18" ref="AB33"/>
    <hyperlink r:id="rId19" ref="AB35"/>
    <hyperlink r:id="rId20" ref="AB38"/>
    <hyperlink r:id="rId21" ref="AB39"/>
    <hyperlink r:id="rId22" ref="AB40"/>
    <hyperlink r:id="rId23" ref="AB41"/>
    <hyperlink r:id="rId24" ref="AB42"/>
    <hyperlink r:id="rId25" ref="AB43"/>
    <hyperlink r:id="rId26" ref="AB46"/>
    <hyperlink r:id="rId27" ref="AB48"/>
    <hyperlink r:id="rId28" ref="AB49"/>
    <hyperlink r:id="rId29" ref="AB50"/>
    <hyperlink r:id="rId30" ref="AB53"/>
    <hyperlink r:id="rId31" ref="AB54"/>
    <hyperlink r:id="rId32" ref="AB55"/>
    <hyperlink r:id="rId33" ref="AB56"/>
    <hyperlink r:id="rId34" ref="AB58"/>
    <hyperlink r:id="rId35" ref="AB59"/>
    <hyperlink r:id="rId36" ref="AB60"/>
    <hyperlink r:id="rId37" ref="AB61"/>
    <hyperlink r:id="rId38" ref="AB62"/>
    <hyperlink r:id="rId39" ref="AB63"/>
    <hyperlink r:id="rId40" ref="AB65"/>
    <hyperlink r:id="rId41" ref="AB66"/>
    <hyperlink r:id="rId42" ref="AB67"/>
    <hyperlink r:id="rId43" ref="AB76"/>
    <hyperlink r:id="rId44" ref="AB77"/>
    <hyperlink r:id="rId45" ref="AB78"/>
    <hyperlink r:id="rId46" ref="AB79"/>
    <hyperlink r:id="rId47" ref="AB80"/>
    <hyperlink r:id="rId48" ref="AB81"/>
    <hyperlink r:id="rId49" ref="AB82"/>
    <hyperlink r:id="rId50" ref="AB83"/>
    <hyperlink r:id="rId51" ref="AB84"/>
    <hyperlink r:id="rId52" ref="AB85"/>
    <hyperlink r:id="rId53" ref="AB86"/>
    <hyperlink r:id="rId54" ref="AB87"/>
    <hyperlink r:id="rId55" ref="AB88"/>
    <hyperlink r:id="rId56" ref="AB89"/>
    <hyperlink r:id="rId57" ref="AB90"/>
    <hyperlink r:id="rId58" ref="AB91"/>
    <hyperlink r:id="rId59" ref="AB93"/>
    <hyperlink r:id="rId60" ref="AB95"/>
    <hyperlink r:id="rId61" ref="AB96"/>
    <hyperlink r:id="rId62" ref="AB100"/>
    <hyperlink r:id="rId63" ref="AB101"/>
    <hyperlink r:id="rId64" ref="AB102"/>
    <hyperlink r:id="rId65" ref="AB103"/>
    <hyperlink r:id="rId66" ref="AB104"/>
    <hyperlink r:id="rId67" ref="AB105"/>
    <hyperlink r:id="rId68" ref="AB106"/>
    <hyperlink r:id="rId69" ref="AB107"/>
    <hyperlink r:id="rId70" ref="AB108"/>
    <hyperlink r:id="rId71" ref="AB111"/>
    <hyperlink r:id="rId72" ref="AB112"/>
    <hyperlink r:id="rId73" ref="AB115"/>
    <hyperlink r:id="rId74" ref="AB116"/>
    <hyperlink r:id="rId75" ref="AB117"/>
    <hyperlink r:id="rId76" ref="AB118"/>
    <hyperlink r:id="rId77" ref="AB119"/>
    <hyperlink r:id="rId78" ref="AB120"/>
    <hyperlink r:id="rId79" ref="AB121"/>
    <hyperlink r:id="rId80" ref="U123"/>
    <hyperlink r:id="rId81" ref="AB124"/>
    <hyperlink r:id="rId82" ref="AB125"/>
    <hyperlink r:id="rId83" ref="AB126"/>
    <hyperlink r:id="rId84" ref="AB127"/>
    <hyperlink r:id="rId85" ref="AB128"/>
    <hyperlink r:id="rId86" ref="AB129"/>
    <hyperlink r:id="rId87" ref="AB130"/>
    <hyperlink r:id="rId88" ref="AB131"/>
    <hyperlink r:id="rId89" ref="AB132"/>
    <hyperlink r:id="rId90" ref="AB134"/>
    <hyperlink r:id="rId91" ref="AB136"/>
    <hyperlink r:id="rId92" ref="AB137"/>
    <hyperlink r:id="rId93" ref="AB138"/>
    <hyperlink r:id="rId94" ref="AB139"/>
    <hyperlink r:id="rId95" ref="AB140"/>
    <hyperlink r:id="rId96" ref="AB141"/>
    <hyperlink r:id="rId97" ref="AB142"/>
    <hyperlink r:id="rId98" ref="AB144"/>
    <hyperlink r:id="rId99" ref="AB145"/>
    <hyperlink r:id="rId100" ref="AB146"/>
    <hyperlink r:id="rId101" ref="AB147"/>
    <hyperlink r:id="rId102" ref="AB148"/>
    <hyperlink r:id="rId103" ref="AB149"/>
    <hyperlink r:id="rId104" ref="AB150"/>
    <hyperlink r:id="rId105" ref="AB151"/>
    <hyperlink r:id="rId106" ref="AB152"/>
    <hyperlink r:id="rId107" ref="AB153"/>
    <hyperlink r:id="rId108" ref="AB154"/>
    <hyperlink r:id="rId109" ref="AB155"/>
    <hyperlink r:id="rId110" ref="AB156"/>
    <hyperlink r:id="rId111" ref="AB157"/>
    <hyperlink r:id="rId112" ref="AB158"/>
    <hyperlink r:id="rId113" ref="AB159"/>
    <hyperlink r:id="rId114" ref="AB160"/>
    <hyperlink r:id="rId115" ref="AB161"/>
    <hyperlink r:id="rId116" ref="AB162"/>
    <hyperlink r:id="rId117" ref="AB163"/>
    <hyperlink r:id="rId118" ref="AB164"/>
    <hyperlink r:id="rId119" ref="AB165"/>
    <hyperlink r:id="rId120" ref="AB166"/>
    <hyperlink r:id="rId121" ref="AB167"/>
    <hyperlink r:id="rId122" ref="AB168"/>
    <hyperlink r:id="rId123" ref="AB169"/>
    <hyperlink r:id="rId124" ref="AB170"/>
    <hyperlink r:id="rId125" ref="AB171"/>
    <hyperlink r:id="rId126" ref="AB172"/>
    <hyperlink r:id="rId127" ref="AB173"/>
    <hyperlink r:id="rId128" ref="AB174"/>
    <hyperlink r:id="rId129" ref="AB175"/>
    <hyperlink r:id="rId130" ref="AB176"/>
    <hyperlink r:id="rId131" ref="AB177"/>
    <hyperlink r:id="rId132" ref="AB178"/>
    <hyperlink r:id="rId133" ref="AB179"/>
    <hyperlink r:id="rId134" ref="AB180"/>
    <hyperlink r:id="rId135" ref="AB181"/>
    <hyperlink r:id="rId136" ref="AB183"/>
    <hyperlink r:id="rId137" ref="AB185"/>
    <hyperlink r:id="rId138" ref="AB186"/>
    <hyperlink r:id="rId139" ref="AB187"/>
    <hyperlink r:id="rId140" ref="AB188"/>
    <hyperlink r:id="rId141" ref="AB190"/>
    <hyperlink r:id="rId142" ref="AB191"/>
    <hyperlink r:id="rId143" ref="AB193"/>
    <hyperlink r:id="rId144" ref="AB194"/>
    <hyperlink r:id="rId145" ref="AB195"/>
    <hyperlink r:id="rId146" ref="AB196"/>
    <hyperlink r:id="rId147" ref="AB197"/>
    <hyperlink r:id="rId148" ref="AB198"/>
    <hyperlink r:id="rId149" ref="AB199"/>
    <hyperlink r:id="rId150" ref="AB200"/>
    <hyperlink r:id="rId151" ref="AB201"/>
    <hyperlink r:id="rId152" ref="AB202"/>
    <hyperlink r:id="rId153" ref="AB203"/>
    <hyperlink r:id="rId154" ref="AB204"/>
    <hyperlink r:id="rId155" ref="AB205"/>
    <hyperlink r:id="rId156" ref="AB206"/>
    <hyperlink r:id="rId157" ref="AB208"/>
    <hyperlink r:id="rId158" ref="AB209"/>
    <hyperlink r:id="rId159" ref="AB210"/>
    <hyperlink r:id="rId160" ref="AB211"/>
    <hyperlink r:id="rId161" ref="AB213"/>
    <hyperlink r:id="rId162" ref="AB214"/>
    <hyperlink r:id="rId163" ref="AB215"/>
    <hyperlink r:id="rId164" ref="AB216"/>
    <hyperlink r:id="rId165" ref="AB217"/>
    <hyperlink r:id="rId166" ref="AB218"/>
    <hyperlink r:id="rId167" ref="AB219"/>
    <hyperlink r:id="rId168" ref="AB220"/>
    <hyperlink r:id="rId169" ref="AB222"/>
    <hyperlink r:id="rId170" ref="AB223"/>
    <hyperlink r:id="rId171" ref="AB224"/>
    <hyperlink r:id="rId172" ref="AB225"/>
    <hyperlink r:id="rId173" ref="AB227"/>
    <hyperlink r:id="rId174" ref="AB233"/>
    <hyperlink r:id="rId175" ref="AB234"/>
    <hyperlink r:id="rId176" ref="AB235"/>
    <hyperlink r:id="rId177" ref="AB236"/>
    <hyperlink r:id="rId178" ref="AB237"/>
    <hyperlink r:id="rId179" ref="AB238"/>
    <hyperlink r:id="rId180" ref="AB239"/>
    <hyperlink r:id="rId181" ref="AB240"/>
    <hyperlink r:id="rId182" ref="AB241"/>
    <hyperlink r:id="rId183" ref="AB242"/>
    <hyperlink r:id="rId184" ref="AB243"/>
    <hyperlink r:id="rId185" ref="AB244"/>
    <hyperlink r:id="rId186" ref="AB245"/>
    <hyperlink r:id="rId187" ref="AB246"/>
    <hyperlink r:id="rId188" ref="AB247"/>
    <hyperlink r:id="rId189" ref="AB248"/>
    <hyperlink r:id="rId190" ref="AB249"/>
    <hyperlink r:id="rId191" ref="AB250"/>
    <hyperlink r:id="rId192" ref="AB251"/>
    <hyperlink r:id="rId193" ref="AB254"/>
    <hyperlink r:id="rId194" ref="AB255"/>
    <hyperlink r:id="rId195" ref="AB256"/>
    <hyperlink r:id="rId196" ref="AB258"/>
    <hyperlink r:id="rId197" ref="AB259"/>
    <hyperlink r:id="rId198" ref="AB260"/>
    <hyperlink r:id="rId199" ref="AB261"/>
    <hyperlink r:id="rId200" ref="AB264"/>
    <hyperlink r:id="rId201" ref="AB265"/>
    <hyperlink r:id="rId202" ref="AB266"/>
    <hyperlink r:id="rId203" ref="AB267"/>
    <hyperlink r:id="rId204" ref="AB268"/>
    <hyperlink r:id="rId205" ref="AB270"/>
    <hyperlink r:id="rId206" ref="AB271"/>
    <hyperlink r:id="rId207" ref="AB273"/>
    <hyperlink r:id="rId208" ref="AB274"/>
    <hyperlink r:id="rId209" ref="AB275"/>
    <hyperlink r:id="rId210" ref="AB276"/>
    <hyperlink r:id="rId211" ref="AB277"/>
    <hyperlink r:id="rId212" ref="AB278"/>
    <hyperlink r:id="rId213" ref="AB279"/>
    <hyperlink r:id="rId214" ref="AB280"/>
    <hyperlink r:id="rId215" ref="AB281"/>
    <hyperlink r:id="rId216" ref="AB282"/>
    <hyperlink r:id="rId217" ref="AB283"/>
    <hyperlink r:id="rId218" ref="AB284"/>
    <hyperlink r:id="rId219" ref="AB285"/>
    <hyperlink r:id="rId220" ref="AB286"/>
    <hyperlink r:id="rId221" ref="AB287"/>
    <hyperlink r:id="rId222" ref="AB288"/>
    <hyperlink r:id="rId223" ref="AB289"/>
    <hyperlink r:id="rId224" ref="AB290"/>
    <hyperlink r:id="rId225" ref="AB291"/>
    <hyperlink r:id="rId226" ref="AB292"/>
    <hyperlink r:id="rId227" ref="AB293"/>
    <hyperlink r:id="rId228" ref="AB294"/>
    <hyperlink r:id="rId229" ref="AB296"/>
    <hyperlink r:id="rId230" ref="AB297"/>
    <hyperlink r:id="rId231" ref="AB298"/>
    <hyperlink r:id="rId232" ref="AB299"/>
    <hyperlink r:id="rId233" ref="AB300"/>
    <hyperlink r:id="rId234" ref="AB301"/>
    <hyperlink r:id="rId235" ref="AB302"/>
    <hyperlink r:id="rId236" ref="AB304"/>
    <hyperlink r:id="rId237" ref="AB305"/>
    <hyperlink r:id="rId238" ref="AB306"/>
    <hyperlink r:id="rId239" ref="AB307"/>
    <hyperlink r:id="rId240" ref="AB308"/>
    <hyperlink r:id="rId241" ref="AB309"/>
    <hyperlink r:id="rId242" ref="AB310"/>
    <hyperlink r:id="rId243" ref="AB311"/>
    <hyperlink r:id="rId244" ref="AB312"/>
    <hyperlink r:id="rId245" ref="AB313"/>
    <hyperlink r:id="rId246" ref="AB314"/>
    <hyperlink r:id="rId247" ref="AB316"/>
    <hyperlink r:id="rId248" ref="AB320"/>
    <hyperlink r:id="rId249" ref="AB321"/>
    <hyperlink r:id="rId250" ref="AB322"/>
    <hyperlink r:id="rId251" ref="AB323"/>
    <hyperlink r:id="rId252" ref="AB324"/>
    <hyperlink r:id="rId253" ref="AB332"/>
    <hyperlink r:id="rId254" ref="AB333"/>
    <hyperlink r:id="rId255" ref="AB335"/>
    <hyperlink r:id="rId256" ref="AB337"/>
    <hyperlink r:id="rId257" ref="AB338"/>
    <hyperlink r:id="rId258" ref="AB342"/>
    <hyperlink r:id="rId259" ref="AB343"/>
    <hyperlink r:id="rId260" ref="AB345"/>
    <hyperlink r:id="rId261" ref="AB347"/>
    <hyperlink r:id="rId262" ref="AB350"/>
    <hyperlink r:id="rId263" ref="AB351"/>
    <hyperlink r:id="rId264" ref="AB352"/>
    <hyperlink r:id="rId265" ref="AB353"/>
    <hyperlink r:id="rId266" ref="AB354"/>
    <hyperlink r:id="rId267" ref="AB355"/>
    <hyperlink r:id="rId268" ref="AB356"/>
    <hyperlink r:id="rId269" ref="AB357"/>
    <hyperlink r:id="rId270" ref="AB358"/>
    <hyperlink r:id="rId271" ref="AB359"/>
    <hyperlink r:id="rId272" ref="AB360"/>
    <hyperlink r:id="rId273" ref="AB363"/>
    <hyperlink r:id="rId274" ref="AB365"/>
    <hyperlink r:id="rId275" ref="AB367"/>
    <hyperlink r:id="rId276" ref="AB368"/>
    <hyperlink r:id="rId277" ref="AB369"/>
    <hyperlink r:id="rId278" ref="AB370"/>
    <hyperlink r:id="rId279" ref="AB372"/>
    <hyperlink r:id="rId280" ref="AB374"/>
    <hyperlink r:id="rId281" ref="AB375"/>
    <hyperlink r:id="rId282" ref="AB376"/>
    <hyperlink r:id="rId283" ref="AB378"/>
    <hyperlink r:id="rId284" ref="AB379"/>
    <hyperlink r:id="rId285" ref="AB380"/>
    <hyperlink r:id="rId286" ref="AB384"/>
    <hyperlink r:id="rId287" ref="AB385"/>
    <hyperlink r:id="rId288" ref="AB386"/>
    <hyperlink r:id="rId289" ref="AB387"/>
    <hyperlink r:id="rId290" ref="AB388"/>
    <hyperlink r:id="rId291" ref="AB389"/>
    <hyperlink r:id="rId292" ref="AB391"/>
    <hyperlink r:id="rId293" ref="AB394"/>
    <hyperlink r:id="rId294" ref="AB395"/>
    <hyperlink r:id="rId295" ref="AB396"/>
    <hyperlink r:id="rId296" ref="AB398"/>
    <hyperlink r:id="rId297" ref="AB399"/>
    <hyperlink r:id="rId298" ref="AB400"/>
    <hyperlink r:id="rId299" ref="AB401"/>
    <hyperlink r:id="rId300" ref="AB405"/>
    <hyperlink r:id="rId301" ref="AB406"/>
    <hyperlink r:id="rId302" ref="AB407"/>
    <hyperlink r:id="rId303" ref="AB409"/>
    <hyperlink r:id="rId304" ref="AB410"/>
    <hyperlink r:id="rId305" ref="AB411"/>
    <hyperlink r:id="rId306" ref="AB412"/>
    <hyperlink r:id="rId307" ref="AB413"/>
    <hyperlink r:id="rId308" ref="AB414"/>
    <hyperlink r:id="rId309" ref="AB415"/>
    <hyperlink r:id="rId310" ref="AB417"/>
    <hyperlink r:id="rId311" ref="AB418"/>
    <hyperlink r:id="rId312" ref="AB419"/>
    <hyperlink r:id="rId313" ref="AB422"/>
    <hyperlink r:id="rId314" ref="AB423"/>
  </hyperlinks>
  <printOptions/>
  <pageMargins bottom="0.75" footer="0.0" header="0.0" left="0.7" right="0.7" top="0.75"/>
  <pageSetup orientation="portrait"/>
  <drawing r:id="rId31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1.22" defaultRowHeight="15.0"/>
  <cols>
    <col customWidth="1" min="1" max="1" width="5.56"/>
    <col customWidth="1" min="2" max="2" width="10.22"/>
    <col customWidth="1" min="3" max="3" width="4.44"/>
    <col customWidth="1" min="4" max="4" width="7.56"/>
    <col customWidth="1" min="5" max="5" width="7.44"/>
    <col customWidth="1" min="6" max="6" width="9.56"/>
    <col customWidth="1" min="7" max="7" width="12.22"/>
    <col customWidth="1" min="8" max="8" width="19.11"/>
    <col customWidth="1" min="9" max="9" width="17.22"/>
    <col customWidth="1" min="10" max="10" width="18.78"/>
    <col customWidth="1" min="11" max="11" width="17.67"/>
    <col customWidth="1" min="12" max="12" width="8.56"/>
    <col customWidth="1" min="13" max="13" width="9.11"/>
    <col customWidth="1" min="14" max="14" width="9.33"/>
    <col customWidth="1" min="15" max="15" width="23.67"/>
    <col customWidth="1" min="16" max="16" width="19.89"/>
    <col customWidth="1" min="17" max="17" width="14.33"/>
    <col customWidth="1" min="18" max="18" width="19.89"/>
    <col customWidth="1" min="19" max="19" width="17.67"/>
    <col customWidth="1" hidden="1" min="20" max="20" width="23.33"/>
    <col customWidth="1" min="21" max="21" width="19.89"/>
    <col customWidth="1" min="22" max="22" width="32.22"/>
    <col customWidth="1" min="23" max="23" width="26.22"/>
    <col customWidth="1" min="24" max="24" width="26.44"/>
    <col customWidth="1" min="27" max="27" width="18.78"/>
    <col customWidth="1" min="28" max="28" width="14.22"/>
    <col customWidth="1" min="34" max="34" width="15.89"/>
    <col customWidth="1" min="35" max="35" width="18.44"/>
  </cols>
  <sheetData>
    <row r="1">
      <c r="A1" s="145" t="s">
        <v>38</v>
      </c>
      <c r="B1" s="1" t="s">
        <v>40</v>
      </c>
      <c r="C1" s="267" t="s">
        <v>42</v>
      </c>
      <c r="D1" s="1" t="s">
        <v>44</v>
      </c>
      <c r="E1" s="1" t="s">
        <v>135</v>
      </c>
      <c r="F1" s="268" t="s">
        <v>51</v>
      </c>
      <c r="G1" s="268" t="s">
        <v>53</v>
      </c>
      <c r="H1" s="268" t="s">
        <v>10</v>
      </c>
      <c r="I1" s="141" t="s">
        <v>56</v>
      </c>
      <c r="J1" s="1" t="s">
        <v>6002</v>
      </c>
      <c r="K1" s="1" t="s">
        <v>60</v>
      </c>
      <c r="L1" s="269" t="s">
        <v>62</v>
      </c>
      <c r="M1" s="270" t="s">
        <v>64</v>
      </c>
      <c r="N1" s="270" t="s">
        <v>66</v>
      </c>
      <c r="O1" s="125" t="s">
        <v>69</v>
      </c>
      <c r="P1" s="125" t="s">
        <v>71</v>
      </c>
      <c r="Q1" s="271" t="s">
        <v>8184</v>
      </c>
      <c r="R1" s="271" t="s">
        <v>8185</v>
      </c>
      <c r="S1" s="271" t="s">
        <v>8186</v>
      </c>
      <c r="T1" s="272" t="s">
        <v>6010</v>
      </c>
      <c r="U1" s="1" t="s">
        <v>8187</v>
      </c>
      <c r="V1" s="125" t="s">
        <v>84</v>
      </c>
      <c r="W1" s="1" t="s">
        <v>88</v>
      </c>
      <c r="X1" s="1" t="s">
        <v>91</v>
      </c>
      <c r="Y1" s="1" t="s">
        <v>95</v>
      </c>
      <c r="Z1" s="268" t="s">
        <v>6018</v>
      </c>
      <c r="AA1" s="1" t="s">
        <v>8084</v>
      </c>
      <c r="AB1" s="270" t="s">
        <v>101</v>
      </c>
      <c r="AC1" s="1" t="s">
        <v>137</v>
      </c>
      <c r="AD1" s="1" t="s">
        <v>105</v>
      </c>
      <c r="AE1" s="1" t="s">
        <v>108</v>
      </c>
      <c r="AF1" s="268" t="s">
        <v>6023</v>
      </c>
      <c r="AG1" s="268" t="s">
        <v>114</v>
      </c>
      <c r="AH1" s="268" t="s">
        <v>116</v>
      </c>
      <c r="AI1" s="268" t="s">
        <v>118</v>
      </c>
      <c r="AJ1" s="1" t="s">
        <v>123</v>
      </c>
      <c r="AK1" s="268" t="s">
        <v>125</v>
      </c>
      <c r="AL1" s="1" t="s">
        <v>127</v>
      </c>
      <c r="AM1" s="268" t="s">
        <v>129</v>
      </c>
      <c r="AN1" s="268" t="s">
        <v>131</v>
      </c>
    </row>
    <row r="2">
      <c r="A2" s="186">
        <v>460.0</v>
      </c>
      <c r="B2" s="153" t="str">
        <f t="shared" ref="B2:B36" si="1">CONCATENATE(C2, "-", I2, "-", A2)
</f>
        <v>2023-PH013302000-460</v>
      </c>
      <c r="C2" s="152">
        <v>2023.0</v>
      </c>
      <c r="D2" s="129" t="s">
        <v>140</v>
      </c>
      <c r="E2" s="3" t="s">
        <v>3279</v>
      </c>
      <c r="F2" s="8" t="s">
        <v>143</v>
      </c>
      <c r="G2" s="8" t="s">
        <v>438</v>
      </c>
      <c r="H2" s="8" t="s">
        <v>439</v>
      </c>
      <c r="I2" s="153" t="s">
        <v>440</v>
      </c>
      <c r="J2" s="8" t="s">
        <v>1144</v>
      </c>
      <c r="L2" s="142" t="s">
        <v>6063</v>
      </c>
      <c r="M2" s="142"/>
      <c r="N2" s="142"/>
      <c r="O2" s="273" t="s">
        <v>150</v>
      </c>
      <c r="P2" s="8"/>
      <c r="Q2" s="8"/>
      <c r="R2" s="8"/>
      <c r="S2" s="8"/>
      <c r="T2" s="8"/>
      <c r="V2" s="8"/>
      <c r="X2" s="8" t="s">
        <v>1146</v>
      </c>
      <c r="Y2" s="8"/>
      <c r="Z2" s="8"/>
      <c r="AA2" s="8"/>
      <c r="AB2" s="142"/>
      <c r="AE2" s="8" t="s">
        <v>6186</v>
      </c>
      <c r="AF2" s="3" t="s">
        <v>6035</v>
      </c>
      <c r="AJ2" s="8"/>
    </row>
    <row r="3">
      <c r="A3" s="186">
        <v>461.0</v>
      </c>
      <c r="B3" s="153" t="str">
        <f t="shared" si="1"/>
        <v>2023-PH015513000-461</v>
      </c>
      <c r="C3" s="152">
        <v>2023.0</v>
      </c>
      <c r="D3" s="129" t="s">
        <v>140</v>
      </c>
      <c r="E3" s="3" t="s">
        <v>3279</v>
      </c>
      <c r="F3" s="8" t="s">
        <v>143</v>
      </c>
      <c r="G3" s="8" t="s">
        <v>144</v>
      </c>
      <c r="H3" s="8" t="s">
        <v>3750</v>
      </c>
      <c r="I3" s="153" t="s">
        <v>3751</v>
      </c>
      <c r="J3" s="8" t="s">
        <v>6113</v>
      </c>
      <c r="L3" s="142" t="s">
        <v>6268</v>
      </c>
      <c r="M3" s="142"/>
      <c r="N3" s="142"/>
      <c r="O3" s="273" t="s">
        <v>150</v>
      </c>
      <c r="P3" s="8"/>
      <c r="Q3" s="8"/>
      <c r="R3" s="8"/>
      <c r="S3" s="8"/>
      <c r="T3" s="8"/>
      <c r="V3" s="8"/>
      <c r="Y3" s="8"/>
      <c r="Z3" s="8"/>
      <c r="AA3" s="8"/>
      <c r="AB3" s="142"/>
      <c r="AE3" s="8" t="s">
        <v>369</v>
      </c>
      <c r="AF3" s="3" t="s">
        <v>6035</v>
      </c>
      <c r="AG3" s="8" t="s">
        <v>660</v>
      </c>
      <c r="AJ3" s="8"/>
    </row>
    <row r="4">
      <c r="A4" s="186">
        <v>462.0</v>
      </c>
      <c r="B4" s="153" t="str">
        <f t="shared" si="1"/>
        <v>2023-PH015514000-462</v>
      </c>
      <c r="C4" s="152">
        <v>2023.0</v>
      </c>
      <c r="D4" s="129" t="s">
        <v>648</v>
      </c>
      <c r="E4" s="3" t="s">
        <v>3279</v>
      </c>
      <c r="F4" s="8" t="s">
        <v>143</v>
      </c>
      <c r="G4" s="8" t="s">
        <v>144</v>
      </c>
      <c r="H4" s="8" t="s">
        <v>693</v>
      </c>
      <c r="I4" s="153" t="s">
        <v>694</v>
      </c>
      <c r="J4" s="8" t="s">
        <v>6113</v>
      </c>
      <c r="L4" s="142" t="s">
        <v>6333</v>
      </c>
      <c r="M4" s="142"/>
      <c r="N4" s="142"/>
      <c r="O4" s="8" t="s">
        <v>151</v>
      </c>
      <c r="P4" s="8"/>
      <c r="Q4" s="8"/>
      <c r="R4" s="8"/>
      <c r="S4" s="8"/>
      <c r="T4" s="8"/>
      <c r="V4" s="8"/>
      <c r="Y4" s="8"/>
      <c r="Z4" s="8"/>
      <c r="AA4" s="8"/>
      <c r="AB4" s="142"/>
      <c r="AE4" s="8" t="s">
        <v>6113</v>
      </c>
      <c r="AF4" s="8"/>
      <c r="AJ4" s="8"/>
      <c r="AK4" s="8" t="s">
        <v>395</v>
      </c>
      <c r="AL4" s="172" t="s">
        <v>2873</v>
      </c>
    </row>
    <row r="5">
      <c r="A5" s="186">
        <v>463.0</v>
      </c>
      <c r="B5" s="153" t="str">
        <f t="shared" si="1"/>
        <v>2023-PH015522000-463</v>
      </c>
      <c r="C5" s="152">
        <v>2023.0</v>
      </c>
      <c r="D5" s="129" t="s">
        <v>140</v>
      </c>
      <c r="E5" s="3" t="s">
        <v>3279</v>
      </c>
      <c r="F5" s="8" t="s">
        <v>143</v>
      </c>
      <c r="G5" s="8" t="s">
        <v>144</v>
      </c>
      <c r="H5" s="8" t="s">
        <v>1649</v>
      </c>
      <c r="I5" s="153" t="s">
        <v>1650</v>
      </c>
      <c r="J5" s="8" t="s">
        <v>6113</v>
      </c>
      <c r="L5" s="142" t="s">
        <v>6152</v>
      </c>
      <c r="M5" s="142"/>
      <c r="N5" s="142"/>
      <c r="O5" s="273" t="s">
        <v>150</v>
      </c>
      <c r="P5" s="8"/>
      <c r="Q5" s="8"/>
      <c r="R5" s="8"/>
      <c r="S5" s="8"/>
      <c r="T5" s="8"/>
      <c r="V5" s="8"/>
      <c r="Y5" s="8"/>
      <c r="Z5" s="8"/>
      <c r="AA5" s="8"/>
      <c r="AB5" s="142"/>
      <c r="AE5" s="8" t="s">
        <v>390</v>
      </c>
      <c r="AF5" s="3" t="s">
        <v>6035</v>
      </c>
      <c r="AG5" s="8" t="s">
        <v>158</v>
      </c>
      <c r="AJ5" s="8"/>
    </row>
    <row r="6">
      <c r="A6" s="186">
        <v>464.0</v>
      </c>
      <c r="B6" s="153" t="str">
        <f t="shared" si="1"/>
        <v>2023-PH030807000-464</v>
      </c>
      <c r="C6" s="152">
        <v>2023.0</v>
      </c>
      <c r="D6" s="129" t="s">
        <v>140</v>
      </c>
      <c r="E6" s="3" t="s">
        <v>3279</v>
      </c>
      <c r="F6" s="8" t="s">
        <v>293</v>
      </c>
      <c r="G6" s="8" t="s">
        <v>1283</v>
      </c>
      <c r="H6" s="8" t="s">
        <v>1375</v>
      </c>
      <c r="I6" s="153" t="s">
        <v>1376</v>
      </c>
      <c r="J6" s="8" t="s">
        <v>652</v>
      </c>
      <c r="L6" s="142" t="s">
        <v>6404</v>
      </c>
      <c r="M6" s="142"/>
      <c r="N6" s="142"/>
      <c r="O6" s="273" t="s">
        <v>150</v>
      </c>
      <c r="P6" s="8"/>
      <c r="Q6" s="8"/>
      <c r="R6" s="8"/>
      <c r="S6" s="8"/>
      <c r="T6" s="8"/>
      <c r="V6" s="8"/>
      <c r="W6" s="8" t="s">
        <v>6535</v>
      </c>
      <c r="X6" s="8" t="s">
        <v>6536</v>
      </c>
      <c r="Y6" s="8"/>
      <c r="Z6" s="8"/>
      <c r="AA6" s="8"/>
      <c r="AB6" s="142"/>
      <c r="AF6" s="3" t="s">
        <v>149</v>
      </c>
      <c r="AH6" s="8" t="s">
        <v>6537</v>
      </c>
      <c r="AJ6" s="8"/>
      <c r="AK6" s="8" t="s">
        <v>166</v>
      </c>
      <c r="AL6" s="8" t="s">
        <v>6538</v>
      </c>
    </row>
    <row r="7">
      <c r="A7" s="186">
        <v>465.0</v>
      </c>
      <c r="B7" s="153" t="str">
        <f t="shared" si="1"/>
        <v>2023-PH041008000-465</v>
      </c>
      <c r="C7" s="152">
        <v>2023.0</v>
      </c>
      <c r="D7" s="129" t="s">
        <v>140</v>
      </c>
      <c r="E7" s="3" t="s">
        <v>3279</v>
      </c>
      <c r="F7" s="8" t="s">
        <v>257</v>
      </c>
      <c r="G7" s="8" t="s">
        <v>258</v>
      </c>
      <c r="H7" s="8" t="s">
        <v>1752</v>
      </c>
      <c r="I7" s="153" t="s">
        <v>1753</v>
      </c>
      <c r="J7" s="154" t="s">
        <v>149</v>
      </c>
      <c r="L7" s="142" t="s">
        <v>6145</v>
      </c>
      <c r="M7" s="142"/>
      <c r="N7" s="142"/>
      <c r="O7" s="273" t="s">
        <v>150</v>
      </c>
      <c r="P7" s="8"/>
      <c r="Q7" s="8"/>
      <c r="R7" s="8"/>
      <c r="S7" s="8"/>
      <c r="T7" s="8"/>
      <c r="V7" s="8"/>
      <c r="W7" s="8" t="s">
        <v>2513</v>
      </c>
      <c r="X7" s="8" t="s">
        <v>6619</v>
      </c>
      <c r="Y7" s="8"/>
      <c r="Z7" s="8"/>
      <c r="AA7" s="8"/>
      <c r="AB7" s="142"/>
      <c r="AF7" s="3" t="s">
        <v>149</v>
      </c>
      <c r="AJ7" s="8"/>
      <c r="AK7" s="8" t="s">
        <v>166</v>
      </c>
      <c r="AL7" s="8" t="s">
        <v>6620</v>
      </c>
    </row>
    <row r="8">
      <c r="A8" s="186">
        <v>466.0</v>
      </c>
      <c r="B8" s="153" t="str">
        <f t="shared" si="1"/>
        <v>2023-PH045619000-466</v>
      </c>
      <c r="C8" s="152">
        <v>2023.0</v>
      </c>
      <c r="D8" s="129" t="s">
        <v>140</v>
      </c>
      <c r="E8" s="3" t="s">
        <v>3279</v>
      </c>
      <c r="F8" s="8" t="s">
        <v>257</v>
      </c>
      <c r="G8" s="8" t="s">
        <v>497</v>
      </c>
      <c r="H8" s="8" t="s">
        <v>510</v>
      </c>
      <c r="I8" s="153" t="s">
        <v>511</v>
      </c>
      <c r="J8" s="8" t="s">
        <v>6742</v>
      </c>
      <c r="L8" s="142" t="s">
        <v>6064</v>
      </c>
      <c r="M8" s="142"/>
      <c r="N8" s="142"/>
      <c r="O8" s="273" t="s">
        <v>150</v>
      </c>
      <c r="P8" s="8"/>
      <c r="Q8" s="8"/>
      <c r="R8" s="8"/>
      <c r="S8" s="8"/>
      <c r="T8" s="8"/>
      <c r="V8" s="8"/>
      <c r="X8" s="8" t="s">
        <v>1594</v>
      </c>
      <c r="Y8" s="8"/>
      <c r="Z8" s="8"/>
      <c r="AA8" s="8"/>
      <c r="AB8" s="142"/>
      <c r="AE8" s="8" t="s">
        <v>6743</v>
      </c>
      <c r="AF8" s="3" t="s">
        <v>6035</v>
      </c>
      <c r="AJ8" s="8"/>
      <c r="AK8" s="8" t="s">
        <v>6038</v>
      </c>
      <c r="AL8" s="8" t="s">
        <v>6744</v>
      </c>
    </row>
    <row r="9">
      <c r="A9" s="186">
        <v>467.0</v>
      </c>
      <c r="B9" s="153" t="str">
        <f t="shared" si="1"/>
        <v>2023-PH054109000-467</v>
      </c>
      <c r="C9" s="152">
        <v>2023.0</v>
      </c>
      <c r="D9" s="129" t="s">
        <v>140</v>
      </c>
      <c r="E9" s="3" t="s">
        <v>3279</v>
      </c>
      <c r="F9" s="8" t="s">
        <v>535</v>
      </c>
      <c r="G9" s="8" t="s">
        <v>1191</v>
      </c>
      <c r="H9" s="8" t="s">
        <v>4636</v>
      </c>
      <c r="I9" s="153" t="s">
        <v>4637</v>
      </c>
      <c r="J9" s="8" t="s">
        <v>6928</v>
      </c>
      <c r="L9" s="142" t="s">
        <v>6113</v>
      </c>
      <c r="M9" s="142"/>
      <c r="N9" s="142"/>
      <c r="O9" s="273" t="s">
        <v>150</v>
      </c>
      <c r="P9" s="8"/>
      <c r="Q9" s="8"/>
      <c r="R9" s="8"/>
      <c r="S9" s="8"/>
      <c r="T9" s="8"/>
      <c r="V9" s="8"/>
      <c r="X9" s="8" t="s">
        <v>6929</v>
      </c>
      <c r="Y9" s="8"/>
      <c r="Z9" s="8"/>
      <c r="AA9" s="8"/>
      <c r="AB9" s="142"/>
      <c r="AD9" s="188"/>
      <c r="AE9" s="8" t="s">
        <v>6113</v>
      </c>
      <c r="AF9" s="3" t="s">
        <v>149</v>
      </c>
      <c r="AJ9" s="8"/>
      <c r="AK9" s="8" t="s">
        <v>6257</v>
      </c>
      <c r="AL9" s="172" t="s">
        <v>6930</v>
      </c>
    </row>
    <row r="10">
      <c r="A10" s="186">
        <v>468.0</v>
      </c>
      <c r="B10" s="153" t="str">
        <f t="shared" si="1"/>
        <v>2023-PH084802000-468</v>
      </c>
      <c r="C10" s="152">
        <v>2023.0</v>
      </c>
      <c r="D10" s="129" t="s">
        <v>140</v>
      </c>
      <c r="E10" s="3" t="s">
        <v>3279</v>
      </c>
      <c r="F10" s="8" t="s">
        <v>579</v>
      </c>
      <c r="G10" s="8" t="s">
        <v>714</v>
      </c>
      <c r="H10" s="8" t="s">
        <v>715</v>
      </c>
      <c r="I10" s="8" t="s">
        <v>716</v>
      </c>
      <c r="J10" s="8" t="s">
        <v>6704</v>
      </c>
      <c r="L10" s="142" t="s">
        <v>6392</v>
      </c>
      <c r="M10" s="142"/>
      <c r="N10" s="142"/>
      <c r="O10" s="273" t="s">
        <v>150</v>
      </c>
      <c r="P10" s="8"/>
      <c r="Q10" s="8"/>
      <c r="R10" s="8"/>
      <c r="S10" s="8"/>
      <c r="T10" s="8"/>
      <c r="V10" s="8"/>
      <c r="W10" s="8" t="s">
        <v>699</v>
      </c>
      <c r="Y10" s="8"/>
      <c r="Z10" s="8"/>
      <c r="AA10" s="8"/>
      <c r="AB10" s="142"/>
      <c r="AE10" s="8" t="s">
        <v>724</v>
      </c>
      <c r="AF10" s="3" t="s">
        <v>184</v>
      </c>
      <c r="AJ10" s="8"/>
    </row>
    <row r="11">
      <c r="A11" s="186">
        <v>469.0</v>
      </c>
      <c r="B11" s="153" t="str">
        <f t="shared" si="1"/>
        <v>2023-PH097211000-469</v>
      </c>
      <c r="C11" s="152">
        <v>2023.0</v>
      </c>
      <c r="D11" s="129" t="s">
        <v>140</v>
      </c>
      <c r="E11" s="3" t="s">
        <v>3279</v>
      </c>
      <c r="F11" s="8" t="s">
        <v>590</v>
      </c>
      <c r="G11" s="8" t="s">
        <v>591</v>
      </c>
      <c r="H11" s="8" t="s">
        <v>5287</v>
      </c>
      <c r="I11" s="8" t="s">
        <v>5288</v>
      </c>
      <c r="J11" s="8" t="s">
        <v>6113</v>
      </c>
      <c r="L11" s="142" t="s">
        <v>6030</v>
      </c>
      <c r="M11" s="142"/>
      <c r="N11" s="142"/>
      <c r="O11" s="273" t="s">
        <v>150</v>
      </c>
      <c r="P11" s="8"/>
      <c r="Q11" s="8"/>
      <c r="R11" s="8"/>
      <c r="S11" s="8"/>
      <c r="T11" s="8"/>
      <c r="V11" s="154"/>
      <c r="W11" s="154" t="s">
        <v>149</v>
      </c>
      <c r="Y11" s="8"/>
      <c r="Z11" s="8"/>
      <c r="AA11" s="8"/>
      <c r="AB11" s="154" t="s">
        <v>149</v>
      </c>
      <c r="AC11" s="154" t="s">
        <v>149</v>
      </c>
      <c r="AD11" s="154" t="s">
        <v>149</v>
      </c>
      <c r="AE11" s="154" t="s">
        <v>149</v>
      </c>
      <c r="AF11" s="3" t="s">
        <v>149</v>
      </c>
      <c r="AG11" s="154" t="s">
        <v>149</v>
      </c>
      <c r="AH11" s="154" t="s">
        <v>149</v>
      </c>
      <c r="AI11" s="154" t="s">
        <v>149</v>
      </c>
      <c r="AJ11" s="8"/>
      <c r="AK11" s="154" t="s">
        <v>149</v>
      </c>
      <c r="AL11" s="154" t="s">
        <v>149</v>
      </c>
      <c r="AM11" s="154" t="s">
        <v>149</v>
      </c>
      <c r="AN11" s="154" t="s">
        <v>149</v>
      </c>
    </row>
    <row r="12">
      <c r="A12" s="186">
        <v>470.0</v>
      </c>
      <c r="B12" s="153" t="str">
        <f t="shared" si="1"/>
        <v>2023-PH103506000-470</v>
      </c>
      <c r="C12" s="152">
        <v>2023.0</v>
      </c>
      <c r="D12" s="129" t="s">
        <v>140</v>
      </c>
      <c r="E12" s="3" t="s">
        <v>3279</v>
      </c>
      <c r="F12" s="8" t="s">
        <v>171</v>
      </c>
      <c r="G12" s="8" t="s">
        <v>600</v>
      </c>
      <c r="H12" s="8" t="s">
        <v>5456</v>
      </c>
      <c r="I12" s="8" t="s">
        <v>5457</v>
      </c>
      <c r="J12" s="8" t="s">
        <v>7437</v>
      </c>
      <c r="K12" s="226"/>
      <c r="L12" s="142" t="s">
        <v>6030</v>
      </c>
      <c r="M12" s="142"/>
      <c r="N12" s="142"/>
      <c r="O12" s="273" t="s">
        <v>150</v>
      </c>
      <c r="P12" s="8"/>
      <c r="Q12" s="8"/>
      <c r="R12" s="8"/>
      <c r="S12" s="8"/>
      <c r="T12" s="8"/>
      <c r="V12" s="8"/>
      <c r="W12" s="8" t="s">
        <v>1006</v>
      </c>
      <c r="X12" s="8" t="s">
        <v>7440</v>
      </c>
      <c r="Y12" s="8"/>
      <c r="Z12" s="8"/>
      <c r="AA12" s="8"/>
      <c r="AB12" s="142"/>
      <c r="AE12" s="8" t="s">
        <v>7440</v>
      </c>
      <c r="AF12" s="3" t="s">
        <v>306</v>
      </c>
      <c r="AG12" s="8" t="s">
        <v>7441</v>
      </c>
      <c r="AH12" s="8" t="s">
        <v>7442</v>
      </c>
      <c r="AI12" s="8" t="s">
        <v>7443</v>
      </c>
      <c r="AJ12" s="8"/>
      <c r="AK12" s="8" t="s">
        <v>166</v>
      </c>
      <c r="AL12" s="172" t="s">
        <v>7444</v>
      </c>
      <c r="AM12" s="8" t="s">
        <v>7445</v>
      </c>
    </row>
    <row r="13">
      <c r="A13" s="186">
        <v>471.0</v>
      </c>
      <c r="B13" s="153" t="str">
        <f t="shared" si="1"/>
        <v>2023-PH103507000-471</v>
      </c>
      <c r="C13" s="152">
        <v>2023.0</v>
      </c>
      <c r="D13" s="129" t="s">
        <v>140</v>
      </c>
      <c r="E13" s="3" t="s">
        <v>3279</v>
      </c>
      <c r="F13" s="8" t="s">
        <v>171</v>
      </c>
      <c r="G13" s="8" t="s">
        <v>600</v>
      </c>
      <c r="H13" s="8" t="s">
        <v>601</v>
      </c>
      <c r="I13" s="8" t="s">
        <v>602</v>
      </c>
      <c r="J13" s="8" t="s">
        <v>6113</v>
      </c>
      <c r="L13" s="142" t="s">
        <v>6098</v>
      </c>
      <c r="M13" s="142"/>
      <c r="N13" s="142"/>
      <c r="O13" s="273" t="s">
        <v>150</v>
      </c>
      <c r="P13" s="8"/>
      <c r="Q13" s="8"/>
      <c r="R13" s="8"/>
      <c r="S13" s="8"/>
      <c r="T13" s="8"/>
      <c r="V13" s="8"/>
      <c r="Y13" s="8"/>
      <c r="Z13" s="8"/>
      <c r="AA13" s="8"/>
      <c r="AB13" s="142"/>
      <c r="AE13" s="8" t="s">
        <v>7419</v>
      </c>
      <c r="AF13" s="3" t="s">
        <v>306</v>
      </c>
      <c r="AJ13" s="8"/>
      <c r="AK13" s="8" t="s">
        <v>6038</v>
      </c>
      <c r="AL13" s="8" t="s">
        <v>7420</v>
      </c>
    </row>
    <row r="14">
      <c r="A14" s="186">
        <v>472.0</v>
      </c>
      <c r="B14" s="153" t="str">
        <f t="shared" si="1"/>
        <v>2023-PH103522000-472</v>
      </c>
      <c r="C14" s="152">
        <v>2023.0</v>
      </c>
      <c r="D14" s="129" t="s">
        <v>140</v>
      </c>
      <c r="E14" s="3" t="s">
        <v>3279</v>
      </c>
      <c r="F14" s="8" t="s">
        <v>171</v>
      </c>
      <c r="G14" s="8" t="s">
        <v>600</v>
      </c>
      <c r="H14" s="8" t="s">
        <v>5481</v>
      </c>
      <c r="I14" s="8" t="s">
        <v>5482</v>
      </c>
      <c r="J14" s="8" t="s">
        <v>7449</v>
      </c>
      <c r="L14" s="142"/>
      <c r="M14" s="142" t="s">
        <v>6198</v>
      </c>
      <c r="N14" s="142" t="s">
        <v>7351</v>
      </c>
      <c r="O14" s="273" t="s">
        <v>150</v>
      </c>
      <c r="P14" s="8"/>
      <c r="Q14" s="8"/>
      <c r="R14" s="8"/>
      <c r="S14" s="8"/>
      <c r="T14" s="8"/>
      <c r="V14" s="8"/>
      <c r="X14" s="8" t="s">
        <v>1381</v>
      </c>
      <c r="Y14" s="8"/>
      <c r="Z14" s="8"/>
      <c r="AA14" s="8"/>
      <c r="AB14" s="142"/>
      <c r="AE14" s="8" t="s">
        <v>660</v>
      </c>
      <c r="AF14" s="3" t="s">
        <v>6035</v>
      </c>
      <c r="AG14" s="8" t="s">
        <v>369</v>
      </c>
      <c r="AJ14" s="8"/>
    </row>
    <row r="15">
      <c r="A15" s="186">
        <v>473.0</v>
      </c>
      <c r="B15" s="153" t="str">
        <f t="shared" si="1"/>
        <v>2023-PH104210000-473</v>
      </c>
      <c r="C15" s="152">
        <v>2023.0</v>
      </c>
      <c r="D15" s="129" t="s">
        <v>140</v>
      </c>
      <c r="E15" s="3" t="s">
        <v>3279</v>
      </c>
      <c r="F15" s="8" t="s">
        <v>171</v>
      </c>
      <c r="G15" s="8" t="s">
        <v>976</v>
      </c>
      <c r="H15" s="8" t="s">
        <v>7339</v>
      </c>
      <c r="I15" s="8" t="s">
        <v>1506</v>
      </c>
      <c r="J15" s="8" t="s">
        <v>384</v>
      </c>
      <c r="L15" s="142" t="s">
        <v>6051</v>
      </c>
      <c r="M15" s="142"/>
      <c r="N15" s="142"/>
      <c r="O15" s="273" t="s">
        <v>150</v>
      </c>
      <c r="P15" s="8"/>
      <c r="Q15" s="8"/>
      <c r="R15" s="8"/>
      <c r="S15" s="8"/>
      <c r="T15" s="8"/>
      <c r="V15" s="8"/>
      <c r="Y15" s="8"/>
      <c r="Z15" s="8"/>
      <c r="AA15" s="8"/>
      <c r="AB15" s="142"/>
      <c r="AE15" s="8" t="s">
        <v>390</v>
      </c>
      <c r="AF15" s="3" t="s">
        <v>6035</v>
      </c>
      <c r="AG15" s="8" t="s">
        <v>6055</v>
      </c>
      <c r="AJ15" s="8"/>
    </row>
    <row r="16">
      <c r="A16" s="186">
        <v>474.0</v>
      </c>
      <c r="B16" s="153" t="str">
        <f t="shared" si="1"/>
        <v>2023-PH104215000-474</v>
      </c>
      <c r="C16" s="152">
        <v>2023.0</v>
      </c>
      <c r="D16" s="129" t="s">
        <v>140</v>
      </c>
      <c r="E16" s="3" t="s">
        <v>3279</v>
      </c>
      <c r="F16" s="8" t="s">
        <v>171</v>
      </c>
      <c r="G16" s="8" t="s">
        <v>976</v>
      </c>
      <c r="H16" s="8" t="s">
        <v>7350</v>
      </c>
      <c r="I16" s="8" t="s">
        <v>5504</v>
      </c>
      <c r="J16" s="8" t="s">
        <v>1377</v>
      </c>
      <c r="L16" s="142"/>
      <c r="M16" s="142" t="s">
        <v>6198</v>
      </c>
      <c r="N16" s="142" t="s">
        <v>7351</v>
      </c>
      <c r="O16" s="273" t="s">
        <v>150</v>
      </c>
      <c r="P16" s="8"/>
      <c r="Q16" s="8"/>
      <c r="R16" s="8"/>
      <c r="S16" s="8"/>
      <c r="T16" s="8"/>
      <c r="V16" s="8"/>
      <c r="X16" s="8" t="s">
        <v>1381</v>
      </c>
      <c r="Y16" s="8"/>
      <c r="Z16" s="8"/>
      <c r="AA16" s="8"/>
      <c r="AB16" s="142"/>
      <c r="AE16" s="8" t="s">
        <v>660</v>
      </c>
      <c r="AF16" s="3" t="s">
        <v>6035</v>
      </c>
      <c r="AG16" s="8" t="s">
        <v>369</v>
      </c>
      <c r="AJ16" s="8"/>
    </row>
    <row r="17">
      <c r="A17" s="186">
        <v>475.0</v>
      </c>
      <c r="B17" s="153" t="str">
        <f t="shared" si="1"/>
        <v>2023-PH104318000-475</v>
      </c>
      <c r="C17" s="152">
        <v>2023.0</v>
      </c>
      <c r="D17" s="129" t="s">
        <v>140</v>
      </c>
      <c r="E17" s="3" t="s">
        <v>3279</v>
      </c>
      <c r="F17" s="8" t="s">
        <v>171</v>
      </c>
      <c r="G17" s="8" t="s">
        <v>172</v>
      </c>
      <c r="H17" s="8" t="s">
        <v>5529</v>
      </c>
      <c r="I17" s="8" t="s">
        <v>5530</v>
      </c>
      <c r="J17" s="8" t="s">
        <v>6113</v>
      </c>
      <c r="L17" s="142" t="s">
        <v>6230</v>
      </c>
      <c r="M17" s="142"/>
      <c r="N17" s="142"/>
      <c r="O17" s="273" t="s">
        <v>150</v>
      </c>
      <c r="P17" s="8"/>
      <c r="Q17" s="8"/>
      <c r="R17" s="8"/>
      <c r="S17" s="8"/>
      <c r="T17" s="8"/>
      <c r="V17" s="8"/>
      <c r="Y17" s="8"/>
      <c r="Z17" s="8"/>
      <c r="AA17" s="8"/>
      <c r="AB17" s="142"/>
      <c r="AE17" s="8" t="s">
        <v>1974</v>
      </c>
      <c r="AF17" s="3" t="s">
        <v>6035</v>
      </c>
      <c r="AJ17" s="8"/>
    </row>
    <row r="18">
      <c r="A18" s="186">
        <v>476.0</v>
      </c>
      <c r="B18" s="153" t="str">
        <f t="shared" si="1"/>
        <v>2023-PH112317000-476</v>
      </c>
      <c r="C18" s="152">
        <v>2023.0</v>
      </c>
      <c r="D18" s="129" t="s">
        <v>140</v>
      </c>
      <c r="E18" s="3" t="s">
        <v>3279</v>
      </c>
      <c r="F18" s="8" t="s">
        <v>330</v>
      </c>
      <c r="G18" s="8" t="s">
        <v>331</v>
      </c>
      <c r="H18" s="8" t="s">
        <v>3991</v>
      </c>
      <c r="I18" s="8" t="s">
        <v>981</v>
      </c>
      <c r="J18" s="8" t="s">
        <v>6113</v>
      </c>
      <c r="L18" s="142" t="s">
        <v>6113</v>
      </c>
      <c r="M18" s="142"/>
      <c r="N18" s="142"/>
      <c r="O18" s="273" t="s">
        <v>150</v>
      </c>
      <c r="P18" s="8"/>
      <c r="Q18" s="8"/>
      <c r="R18" s="8"/>
      <c r="S18" s="8"/>
      <c r="T18" s="8"/>
      <c r="V18" s="8"/>
      <c r="Y18" s="8"/>
      <c r="Z18" s="8"/>
      <c r="AA18" s="8"/>
      <c r="AB18" s="142"/>
      <c r="AE18" s="8" t="s">
        <v>369</v>
      </c>
      <c r="AF18" s="3" t="s">
        <v>6035</v>
      </c>
      <c r="AG18" s="3" t="s">
        <v>149</v>
      </c>
      <c r="AJ18" s="8"/>
    </row>
    <row r="19">
      <c r="A19" s="186">
        <v>477.0</v>
      </c>
      <c r="B19" s="153" t="str">
        <f t="shared" si="1"/>
        <v>2023-PH118203000-477</v>
      </c>
      <c r="C19" s="152">
        <v>2023.0</v>
      </c>
      <c r="D19" s="129" t="s">
        <v>140</v>
      </c>
      <c r="E19" s="3" t="s">
        <v>3279</v>
      </c>
      <c r="F19" s="8" t="s">
        <v>330</v>
      </c>
      <c r="G19" s="8" t="s">
        <v>2265</v>
      </c>
      <c r="H19" s="8" t="s">
        <v>1255</v>
      </c>
      <c r="I19" s="8" t="s">
        <v>2266</v>
      </c>
      <c r="J19" s="8" t="s">
        <v>6587</v>
      </c>
      <c r="L19" s="142"/>
      <c r="M19" s="142" t="s">
        <v>6151</v>
      </c>
      <c r="N19" s="142"/>
      <c r="O19" s="273" t="s">
        <v>150</v>
      </c>
      <c r="P19" s="8"/>
      <c r="Q19" s="8"/>
      <c r="R19" s="8"/>
      <c r="S19" s="8"/>
      <c r="T19" s="8"/>
      <c r="V19" s="8"/>
      <c r="X19" s="8" t="s">
        <v>341</v>
      </c>
      <c r="Y19" s="8"/>
      <c r="Z19" s="8"/>
      <c r="AA19" s="8"/>
      <c r="AB19" s="142"/>
      <c r="AE19" s="8" t="s">
        <v>369</v>
      </c>
      <c r="AF19" s="3" t="s">
        <v>6035</v>
      </c>
      <c r="AJ19" s="8"/>
    </row>
    <row r="20">
      <c r="A20" s="186">
        <v>478.0</v>
      </c>
      <c r="B20" s="153" t="str">
        <f t="shared" si="1"/>
        <v>2023-PH126303000-478</v>
      </c>
      <c r="C20" s="152">
        <v>2023.0</v>
      </c>
      <c r="D20" s="129" t="s">
        <v>140</v>
      </c>
      <c r="E20" s="3" t="s">
        <v>3279</v>
      </c>
      <c r="F20" s="8" t="s">
        <v>356</v>
      </c>
      <c r="G20" s="8" t="s">
        <v>1997</v>
      </c>
      <c r="H20" s="8" t="s">
        <v>7553</v>
      </c>
      <c r="I20" s="8" t="s">
        <v>1999</v>
      </c>
      <c r="J20" s="8" t="s">
        <v>777</v>
      </c>
      <c r="L20" s="142" t="s">
        <v>6273</v>
      </c>
      <c r="M20" s="142" t="s">
        <v>6064</v>
      </c>
      <c r="N20" s="3" t="s">
        <v>149</v>
      </c>
      <c r="O20" s="273" t="s">
        <v>150</v>
      </c>
      <c r="P20" s="8"/>
      <c r="Q20" s="8"/>
      <c r="R20" s="8"/>
      <c r="S20" s="8"/>
      <c r="T20" s="8"/>
      <c r="V20" s="8"/>
      <c r="W20" s="8" t="s">
        <v>286</v>
      </c>
      <c r="X20" s="8" t="s">
        <v>7517</v>
      </c>
      <c r="Y20" s="8"/>
      <c r="Z20" s="8"/>
      <c r="AA20" s="8"/>
      <c r="AB20" s="3" t="s">
        <v>149</v>
      </c>
      <c r="AC20" s="3" t="s">
        <v>149</v>
      </c>
      <c r="AD20" s="8" t="s">
        <v>7566</v>
      </c>
      <c r="AE20" s="8" t="s">
        <v>780</v>
      </c>
      <c r="AF20" s="3" t="s">
        <v>184</v>
      </c>
      <c r="AG20" s="3" t="s">
        <v>149</v>
      </c>
      <c r="AH20" s="8" t="s">
        <v>760</v>
      </c>
      <c r="AI20" s="3" t="s">
        <v>149</v>
      </c>
      <c r="AJ20" s="8"/>
      <c r="AK20" s="8" t="s">
        <v>6027</v>
      </c>
      <c r="AL20" s="8" t="s">
        <v>7567</v>
      </c>
      <c r="AM20" s="3" t="s">
        <v>149</v>
      </c>
      <c r="AN20" s="3" t="s">
        <v>149</v>
      </c>
    </row>
    <row r="21">
      <c r="A21" s="186">
        <v>479.0</v>
      </c>
      <c r="B21" s="153" t="str">
        <f t="shared" si="1"/>
        <v>2023-PH128003000-479</v>
      </c>
      <c r="C21" s="152">
        <v>2023.0</v>
      </c>
      <c r="D21" s="129" t="s">
        <v>140</v>
      </c>
      <c r="E21" s="3" t="s">
        <v>3279</v>
      </c>
      <c r="F21" s="8" t="s">
        <v>356</v>
      </c>
      <c r="G21" s="8" t="s">
        <v>357</v>
      </c>
      <c r="H21" s="8" t="s">
        <v>1689</v>
      </c>
      <c r="I21" s="8" t="s">
        <v>1690</v>
      </c>
      <c r="J21" s="3" t="s">
        <v>149</v>
      </c>
      <c r="L21" s="142" t="s">
        <v>6329</v>
      </c>
      <c r="M21" s="142"/>
      <c r="N21" s="142"/>
      <c r="O21" s="273" t="s">
        <v>150</v>
      </c>
      <c r="P21" s="8"/>
      <c r="Q21" s="8"/>
      <c r="R21" s="8"/>
      <c r="S21" s="8"/>
      <c r="T21" s="8"/>
      <c r="V21" s="8"/>
      <c r="Y21" s="8"/>
      <c r="Z21" s="8"/>
      <c r="AA21" s="8"/>
      <c r="AB21" s="142"/>
      <c r="AF21" s="3" t="s">
        <v>149</v>
      </c>
      <c r="AJ21" s="8"/>
      <c r="AK21" s="8" t="s">
        <v>166</v>
      </c>
      <c r="AL21" s="8" t="s">
        <v>7576</v>
      </c>
      <c r="AM21" s="3" t="s">
        <v>149</v>
      </c>
      <c r="AN21" s="3" t="s">
        <v>149</v>
      </c>
    </row>
    <row r="22">
      <c r="A22" s="186">
        <v>480.0</v>
      </c>
      <c r="B22" s="153" t="str">
        <f t="shared" si="1"/>
        <v>2023-PH166706000-480</v>
      </c>
      <c r="C22" s="152">
        <v>2023.0</v>
      </c>
      <c r="D22" s="129" t="s">
        <v>140</v>
      </c>
      <c r="E22" s="3" t="s">
        <v>3279</v>
      </c>
      <c r="F22" s="8" t="s">
        <v>345</v>
      </c>
      <c r="G22" s="8" t="s">
        <v>346</v>
      </c>
      <c r="H22" s="8" t="s">
        <v>2291</v>
      </c>
      <c r="I22" s="8" t="s">
        <v>2292</v>
      </c>
      <c r="J22" s="8" t="s">
        <v>1913</v>
      </c>
      <c r="L22" s="142"/>
      <c r="M22" s="142"/>
      <c r="N22" s="142"/>
      <c r="O22" s="273" t="s">
        <v>150</v>
      </c>
      <c r="P22" s="8"/>
      <c r="Q22" s="8"/>
      <c r="R22" s="8"/>
      <c r="S22" s="8"/>
      <c r="T22" s="8"/>
      <c r="V22" s="8"/>
      <c r="X22" s="8" t="s">
        <v>7630</v>
      </c>
      <c r="Y22" s="8"/>
      <c r="Z22" s="8"/>
      <c r="AA22" s="8"/>
      <c r="AB22" s="142"/>
      <c r="AE22" s="8" t="s">
        <v>7631</v>
      </c>
      <c r="AF22" s="3" t="s">
        <v>184</v>
      </c>
      <c r="AJ22" s="8"/>
      <c r="AK22" s="8" t="s">
        <v>6027</v>
      </c>
      <c r="AL22" s="172" t="s">
        <v>1919</v>
      </c>
    </row>
    <row r="23">
      <c r="A23" s="186">
        <v>481.0</v>
      </c>
      <c r="B23" s="153" t="str">
        <f t="shared" si="1"/>
        <v>2023-PH184529000-481</v>
      </c>
      <c r="C23" s="152">
        <v>2023.0</v>
      </c>
      <c r="D23" s="129" t="s">
        <v>140</v>
      </c>
      <c r="E23" s="3" t="s">
        <v>3279</v>
      </c>
      <c r="F23" s="8" t="s">
        <v>314</v>
      </c>
      <c r="G23" s="8" t="s">
        <v>626</v>
      </c>
      <c r="H23" s="8" t="s">
        <v>4871</v>
      </c>
      <c r="I23" s="153" t="s">
        <v>7070</v>
      </c>
      <c r="J23" s="8" t="s">
        <v>6113</v>
      </c>
      <c r="L23" s="142" t="s">
        <v>6113</v>
      </c>
      <c r="M23" s="142"/>
      <c r="N23" s="142"/>
      <c r="O23" s="273" t="s">
        <v>150</v>
      </c>
      <c r="P23" s="8"/>
      <c r="Q23" s="8"/>
      <c r="R23" s="8"/>
      <c r="S23" s="8"/>
      <c r="T23" s="8"/>
      <c r="V23" s="8"/>
      <c r="Y23" s="8"/>
      <c r="Z23" s="8"/>
      <c r="AA23" s="8"/>
      <c r="AB23" s="142"/>
      <c r="AF23" s="3" t="s">
        <v>149</v>
      </c>
      <c r="AJ23" s="8"/>
    </row>
    <row r="24">
      <c r="A24" s="186">
        <v>482.0</v>
      </c>
      <c r="B24" s="153" t="str">
        <f t="shared" si="1"/>
        <v>2023-PH126505000-482</v>
      </c>
      <c r="C24" s="152">
        <v>2023.0</v>
      </c>
      <c r="D24" s="129" t="s">
        <v>648</v>
      </c>
      <c r="E24" s="3" t="s">
        <v>3279</v>
      </c>
      <c r="F24" s="8" t="s">
        <v>356</v>
      </c>
      <c r="G24" s="8" t="s">
        <v>3569</v>
      </c>
      <c r="H24" s="8" t="s">
        <v>5680</v>
      </c>
      <c r="I24" s="8" t="s">
        <v>5681</v>
      </c>
      <c r="J24" s="8" t="s">
        <v>6113</v>
      </c>
      <c r="L24" s="142"/>
      <c r="M24" s="142"/>
      <c r="N24" s="142"/>
      <c r="O24" s="273" t="s">
        <v>149</v>
      </c>
      <c r="P24" s="8"/>
      <c r="Q24" s="8"/>
      <c r="R24" s="8"/>
      <c r="S24" s="8"/>
      <c r="T24" s="8"/>
      <c r="V24" s="8"/>
      <c r="Y24" s="8"/>
      <c r="Z24" s="8"/>
      <c r="AA24" s="8"/>
      <c r="AB24" s="142"/>
      <c r="AF24" s="8"/>
      <c r="AJ24" s="8"/>
    </row>
    <row r="25">
      <c r="A25" s="186">
        <v>483.0</v>
      </c>
      <c r="B25" s="153" t="str">
        <f t="shared" si="1"/>
        <v>2023-PH126506000-483</v>
      </c>
      <c r="C25" s="152">
        <v>2023.0</v>
      </c>
      <c r="D25" s="129" t="s">
        <v>648</v>
      </c>
      <c r="E25" s="3" t="s">
        <v>3279</v>
      </c>
      <c r="F25" s="8" t="s">
        <v>356</v>
      </c>
      <c r="G25" s="8" t="s">
        <v>3569</v>
      </c>
      <c r="H25" s="8" t="s">
        <v>5682</v>
      </c>
      <c r="I25" s="8" t="s">
        <v>5683</v>
      </c>
      <c r="J25" s="8" t="s">
        <v>6113</v>
      </c>
      <c r="L25" s="142"/>
      <c r="M25" s="142"/>
      <c r="N25" s="142"/>
      <c r="O25" s="273" t="s">
        <v>149</v>
      </c>
      <c r="P25" s="8"/>
      <c r="Q25" s="8"/>
      <c r="R25" s="8"/>
      <c r="S25" s="8"/>
      <c r="T25" s="8"/>
      <c r="V25" s="8"/>
      <c r="Y25" s="8"/>
      <c r="Z25" s="8"/>
      <c r="AA25" s="8"/>
      <c r="AB25" s="142"/>
      <c r="AF25" s="8"/>
      <c r="AJ25" s="8"/>
    </row>
    <row r="26">
      <c r="A26" s="186">
        <v>484.0</v>
      </c>
      <c r="B26" s="153" t="str">
        <f t="shared" si="1"/>
        <v>2023-PH126509000-484</v>
      </c>
      <c r="C26" s="152">
        <v>2023.0</v>
      </c>
      <c r="D26" s="129" t="s">
        <v>648</v>
      </c>
      <c r="E26" s="3" t="s">
        <v>3279</v>
      </c>
      <c r="F26" s="8" t="s">
        <v>356</v>
      </c>
      <c r="G26" s="8" t="s">
        <v>3569</v>
      </c>
      <c r="H26" s="8" t="s">
        <v>5688</v>
      </c>
      <c r="I26" s="8" t="s">
        <v>5689</v>
      </c>
      <c r="J26" s="8" t="s">
        <v>6113</v>
      </c>
      <c r="L26" s="142"/>
      <c r="M26" s="142"/>
      <c r="N26" s="142"/>
      <c r="O26" s="273" t="s">
        <v>149</v>
      </c>
      <c r="P26" s="8"/>
      <c r="Q26" s="8"/>
      <c r="R26" s="8"/>
      <c r="S26" s="8"/>
      <c r="T26" s="8"/>
      <c r="V26" s="8"/>
      <c r="Y26" s="8"/>
      <c r="Z26" s="8"/>
      <c r="AA26" s="8"/>
      <c r="AB26" s="142"/>
      <c r="AF26" s="8"/>
      <c r="AJ26" s="8"/>
    </row>
    <row r="27">
      <c r="A27" s="186">
        <v>485.0</v>
      </c>
      <c r="B27" s="153" t="str">
        <f t="shared" si="1"/>
        <v>2023-PH037105000-485</v>
      </c>
      <c r="C27" s="152">
        <v>2023.0</v>
      </c>
      <c r="D27" s="129" t="s">
        <v>140</v>
      </c>
      <c r="E27" s="3" t="s">
        <v>3279</v>
      </c>
      <c r="F27" s="8" t="s">
        <v>293</v>
      </c>
      <c r="G27" s="8" t="s">
        <v>294</v>
      </c>
      <c r="H27" s="8" t="s">
        <v>295</v>
      </c>
      <c r="I27" s="153" t="s">
        <v>296</v>
      </c>
      <c r="J27" s="8" t="s">
        <v>6553</v>
      </c>
      <c r="K27" s="154"/>
      <c r="L27" s="142" t="s">
        <v>6145</v>
      </c>
      <c r="M27" s="142" t="s">
        <v>6145</v>
      </c>
      <c r="N27" s="142" t="s">
        <v>16</v>
      </c>
      <c r="O27" s="273" t="s">
        <v>177</v>
      </c>
      <c r="P27" s="8"/>
      <c r="Q27" s="8"/>
      <c r="R27" s="8"/>
      <c r="S27" s="8"/>
      <c r="T27" s="8"/>
      <c r="V27" s="8"/>
      <c r="W27" s="8" t="s">
        <v>304</v>
      </c>
      <c r="X27" s="8" t="s">
        <v>305</v>
      </c>
      <c r="Y27" s="8"/>
      <c r="Z27" s="8"/>
      <c r="AA27" s="8"/>
      <c r="AB27" s="154" t="s">
        <v>149</v>
      </c>
      <c r="AC27" s="154" t="s">
        <v>149</v>
      </c>
      <c r="AD27" s="154" t="s">
        <v>149</v>
      </c>
      <c r="AE27" s="8" t="s">
        <v>6531</v>
      </c>
      <c r="AF27" s="3" t="s">
        <v>306</v>
      </c>
      <c r="AG27" s="8" t="s">
        <v>6532</v>
      </c>
      <c r="AH27" s="8" t="s">
        <v>6533</v>
      </c>
      <c r="AI27" s="154" t="s">
        <v>149</v>
      </c>
      <c r="AJ27" s="8"/>
      <c r="AK27" s="8" t="s">
        <v>213</v>
      </c>
      <c r="AL27" s="154" t="s">
        <v>149</v>
      </c>
      <c r="AM27" s="8" t="s">
        <v>311</v>
      </c>
      <c r="AN27" s="172" t="s">
        <v>312</v>
      </c>
    </row>
    <row r="28">
      <c r="A28" s="186">
        <v>486.0</v>
      </c>
      <c r="B28" s="153" t="str">
        <f t="shared" si="1"/>
        <v>2023-PH041008000-486</v>
      </c>
      <c r="C28" s="152">
        <v>2023.0</v>
      </c>
      <c r="D28" s="129" t="s">
        <v>140</v>
      </c>
      <c r="E28" s="3" t="s">
        <v>3279</v>
      </c>
      <c r="F28" s="8" t="s">
        <v>257</v>
      </c>
      <c r="G28" s="8" t="s">
        <v>258</v>
      </c>
      <c r="H28" s="8" t="s">
        <v>1752</v>
      </c>
      <c r="I28" s="153" t="s">
        <v>1753</v>
      </c>
      <c r="J28" s="8" t="s">
        <v>6587</v>
      </c>
      <c r="L28" s="154" t="s">
        <v>149</v>
      </c>
      <c r="M28" s="154" t="s">
        <v>149</v>
      </c>
      <c r="N28" s="142"/>
      <c r="O28" s="273" t="s">
        <v>177</v>
      </c>
      <c r="P28" s="8"/>
      <c r="Q28" s="8"/>
      <c r="R28" s="8"/>
      <c r="S28" s="8"/>
      <c r="T28" s="8"/>
      <c r="V28" s="8"/>
      <c r="X28" s="8" t="s">
        <v>341</v>
      </c>
      <c r="Y28" s="8"/>
      <c r="Z28" s="8"/>
      <c r="AA28" s="8"/>
      <c r="AB28" s="142"/>
      <c r="AE28" s="8" t="s">
        <v>341</v>
      </c>
      <c r="AF28" s="3" t="s">
        <v>6035</v>
      </c>
      <c r="AJ28" s="8"/>
      <c r="AK28" s="8" t="s">
        <v>6027</v>
      </c>
      <c r="AL28" s="8" t="s">
        <v>6632</v>
      </c>
    </row>
    <row r="29">
      <c r="A29" s="186">
        <v>487.0</v>
      </c>
      <c r="B29" s="153" t="str">
        <f t="shared" si="1"/>
        <v>2023-PH071203000-487</v>
      </c>
      <c r="C29" s="152">
        <v>2023.0</v>
      </c>
      <c r="D29" s="129" t="s">
        <v>140</v>
      </c>
      <c r="E29" s="3" t="s">
        <v>3279</v>
      </c>
      <c r="F29" s="8" t="s">
        <v>193</v>
      </c>
      <c r="G29" s="8" t="s">
        <v>563</v>
      </c>
      <c r="H29" s="8" t="s">
        <v>230</v>
      </c>
      <c r="I29" s="212" t="s">
        <v>1713</v>
      </c>
      <c r="J29" s="8" t="s">
        <v>6113</v>
      </c>
      <c r="L29" s="142" t="s">
        <v>6268</v>
      </c>
      <c r="M29" s="142" t="s">
        <v>6268</v>
      </c>
      <c r="N29" s="142" t="s">
        <v>6064</v>
      </c>
      <c r="O29" s="273" t="s">
        <v>177</v>
      </c>
      <c r="P29" s="8"/>
      <c r="Q29" s="8"/>
      <c r="R29" s="8"/>
      <c r="S29" s="8"/>
      <c r="T29" s="8"/>
      <c r="V29" s="8"/>
      <c r="W29" s="8" t="s">
        <v>7077</v>
      </c>
      <c r="X29" s="8" t="s">
        <v>321</v>
      </c>
      <c r="Y29" s="8"/>
      <c r="Z29" s="8"/>
      <c r="AA29" s="8"/>
      <c r="AB29" s="142"/>
      <c r="AD29" s="8" t="s">
        <v>7078</v>
      </c>
      <c r="AE29" s="8" t="s">
        <v>1714</v>
      </c>
      <c r="AF29" s="3" t="s">
        <v>6068</v>
      </c>
      <c r="AJ29" s="8"/>
      <c r="AK29" s="8" t="s">
        <v>6214</v>
      </c>
      <c r="AL29" s="8" t="s">
        <v>7079</v>
      </c>
      <c r="AM29" s="8" t="s">
        <v>1716</v>
      </c>
      <c r="AN29" s="172" t="s">
        <v>1717</v>
      </c>
    </row>
    <row r="30">
      <c r="A30" s="186">
        <v>488.0</v>
      </c>
      <c r="B30" s="153" t="str">
        <f t="shared" si="1"/>
        <v>2023-PH153830000-488</v>
      </c>
      <c r="C30" s="152">
        <v>2023.0</v>
      </c>
      <c r="D30" s="129" t="s">
        <v>140</v>
      </c>
      <c r="E30" s="3" t="s">
        <v>3279</v>
      </c>
      <c r="F30" s="8" t="s">
        <v>642</v>
      </c>
      <c r="G30" s="8" t="s">
        <v>643</v>
      </c>
      <c r="H30" s="8" t="s">
        <v>7691</v>
      </c>
      <c r="I30" s="8" t="s">
        <v>1308</v>
      </c>
      <c r="J30" s="8" t="s">
        <v>1309</v>
      </c>
      <c r="L30" s="142" t="s">
        <v>6030</v>
      </c>
      <c r="M30" s="142"/>
      <c r="N30" s="142"/>
      <c r="O30" s="273" t="s">
        <v>177</v>
      </c>
      <c r="P30" s="8"/>
      <c r="Q30" s="8"/>
      <c r="R30" s="8"/>
      <c r="S30" s="8"/>
      <c r="T30" s="8"/>
      <c r="V30" s="8"/>
      <c r="X30" s="8" t="s">
        <v>6907</v>
      </c>
      <c r="Y30" s="8"/>
      <c r="Z30" s="8"/>
      <c r="AA30" s="8"/>
      <c r="AB30" s="142"/>
      <c r="AE30" s="8" t="s">
        <v>390</v>
      </c>
      <c r="AF30" s="3" t="s">
        <v>6035</v>
      </c>
      <c r="AG30" s="8" t="s">
        <v>1314</v>
      </c>
      <c r="AJ30" s="8"/>
      <c r="AK30" s="8" t="s">
        <v>166</v>
      </c>
      <c r="AL30" s="172" t="s">
        <v>7688</v>
      </c>
    </row>
    <row r="31">
      <c r="A31" s="186">
        <v>489.0</v>
      </c>
      <c r="B31" s="153" t="str">
        <f t="shared" si="1"/>
        <v>2023-PH166710000-489</v>
      </c>
      <c r="C31" s="152">
        <v>2023.0</v>
      </c>
      <c r="D31" s="129" t="s">
        <v>648</v>
      </c>
      <c r="E31" s="3" t="s">
        <v>3279</v>
      </c>
      <c r="F31" s="8" t="s">
        <v>345</v>
      </c>
      <c r="G31" s="8" t="s">
        <v>346</v>
      </c>
      <c r="H31" s="8" t="s">
        <v>1406</v>
      </c>
      <c r="I31" s="8" t="s">
        <v>5744</v>
      </c>
      <c r="J31" s="8" t="s">
        <v>6113</v>
      </c>
      <c r="L31" s="142"/>
      <c r="M31" s="142"/>
      <c r="N31" s="142"/>
      <c r="O31" s="273" t="s">
        <v>149</v>
      </c>
      <c r="P31" s="8"/>
      <c r="Q31" s="8"/>
      <c r="R31" s="8"/>
      <c r="S31" s="8"/>
      <c r="T31" s="8"/>
      <c r="V31" s="8"/>
      <c r="Y31" s="8"/>
      <c r="Z31" s="8"/>
      <c r="AA31" s="8"/>
      <c r="AB31" s="142"/>
      <c r="AF31" s="8"/>
      <c r="AJ31" s="8"/>
    </row>
    <row r="32">
      <c r="A32" s="186">
        <v>490.0</v>
      </c>
      <c r="B32" s="153" t="str">
        <f t="shared" si="1"/>
        <v>2023-PH157002000-490</v>
      </c>
      <c r="C32" s="152">
        <v>2023.0</v>
      </c>
      <c r="D32" s="129" t="s">
        <v>140</v>
      </c>
      <c r="E32" s="3" t="s">
        <v>3279</v>
      </c>
      <c r="F32" s="8" t="s">
        <v>642</v>
      </c>
      <c r="G32" s="8" t="s">
        <v>1217</v>
      </c>
      <c r="H32" s="8" t="s">
        <v>1218</v>
      </c>
      <c r="I32" s="8" t="s">
        <v>1219</v>
      </c>
      <c r="J32" s="8" t="s">
        <v>6113</v>
      </c>
      <c r="L32" s="142" t="s">
        <v>6152</v>
      </c>
      <c r="M32" s="142"/>
      <c r="N32" s="142"/>
      <c r="O32" s="273" t="s">
        <v>177</v>
      </c>
      <c r="P32" s="8"/>
      <c r="Q32" s="8"/>
      <c r="R32" s="8"/>
      <c r="S32" s="8"/>
      <c r="T32" s="8"/>
      <c r="V32" s="8"/>
      <c r="X32" s="8" t="s">
        <v>7712</v>
      </c>
      <c r="Y32" s="8"/>
      <c r="Z32" s="8"/>
      <c r="AA32" s="8"/>
      <c r="AB32" s="142"/>
      <c r="AE32" s="8" t="s">
        <v>7712</v>
      </c>
      <c r="AF32" s="3" t="s">
        <v>271</v>
      </c>
      <c r="AJ32" s="8"/>
      <c r="AK32" s="8" t="s">
        <v>6027</v>
      </c>
      <c r="AL32" s="172" t="s">
        <v>7713</v>
      </c>
    </row>
    <row r="33">
      <c r="A33" s="186">
        <v>491.0</v>
      </c>
      <c r="B33" s="153" t="str">
        <f t="shared" si="1"/>
        <v>2023-PH013305000-491</v>
      </c>
      <c r="C33" s="152">
        <v>2023.0</v>
      </c>
      <c r="D33" s="129" t="s">
        <v>140</v>
      </c>
      <c r="E33" s="3" t="s">
        <v>3279</v>
      </c>
      <c r="F33" s="8" t="s">
        <v>143</v>
      </c>
      <c r="G33" s="8" t="s">
        <v>438</v>
      </c>
      <c r="H33" s="8" t="s">
        <v>6121</v>
      </c>
      <c r="I33" s="153" t="s">
        <v>1565</v>
      </c>
      <c r="J33" s="8" t="s">
        <v>652</v>
      </c>
      <c r="L33" s="142" t="s">
        <v>6151</v>
      </c>
      <c r="M33" s="142"/>
      <c r="N33" s="142"/>
      <c r="O33" s="273" t="s">
        <v>150</v>
      </c>
      <c r="P33" s="8"/>
      <c r="Q33" s="8"/>
      <c r="R33" s="8"/>
      <c r="S33" s="8"/>
      <c r="T33" s="8"/>
      <c r="V33" s="8"/>
      <c r="Y33" s="8"/>
      <c r="Z33" s="8"/>
      <c r="AA33" s="8"/>
      <c r="AB33" s="142"/>
      <c r="AE33" s="8" t="s">
        <v>369</v>
      </c>
      <c r="AF33" s="3" t="s">
        <v>6035</v>
      </c>
      <c r="AG33" s="8" t="s">
        <v>6189</v>
      </c>
      <c r="AH33" s="8" t="s">
        <v>6190</v>
      </c>
      <c r="AJ33" s="8"/>
    </row>
    <row r="34">
      <c r="A34" s="186">
        <v>492.0</v>
      </c>
      <c r="B34" s="153" t="str">
        <f t="shared" si="1"/>
        <v>2023-PH013317000-492</v>
      </c>
      <c r="C34" s="152">
        <v>2023.0</v>
      </c>
      <c r="D34" s="129" t="s">
        <v>140</v>
      </c>
      <c r="E34" s="3" t="s">
        <v>3279</v>
      </c>
      <c r="F34" s="8" t="s">
        <v>143</v>
      </c>
      <c r="G34" s="8" t="s">
        <v>438</v>
      </c>
      <c r="H34" s="8" t="s">
        <v>2850</v>
      </c>
      <c r="I34" s="153" t="s">
        <v>2851</v>
      </c>
      <c r="J34" s="8" t="s">
        <v>384</v>
      </c>
      <c r="L34" s="142"/>
      <c r="M34" s="142" t="s">
        <v>6198</v>
      </c>
      <c r="N34" s="142" t="s">
        <v>6199</v>
      </c>
      <c r="O34" s="273" t="s">
        <v>150</v>
      </c>
      <c r="P34" s="8"/>
      <c r="Q34" s="8"/>
      <c r="R34" s="8"/>
      <c r="S34" s="8"/>
      <c r="T34" s="8"/>
      <c r="V34" s="8"/>
      <c r="X34" s="8" t="s">
        <v>660</v>
      </c>
      <c r="Y34" s="8"/>
      <c r="Z34" s="8"/>
      <c r="AA34" s="8"/>
      <c r="AB34" s="142"/>
      <c r="AE34" s="8" t="s">
        <v>660</v>
      </c>
      <c r="AF34" s="3" t="s">
        <v>6035</v>
      </c>
      <c r="AJ34" s="8"/>
    </row>
    <row r="35">
      <c r="A35" s="186">
        <v>493.0</v>
      </c>
      <c r="B35" s="153" t="str">
        <f t="shared" si="1"/>
        <v>2023-PH013301000-493</v>
      </c>
      <c r="C35" s="152">
        <v>2023.0</v>
      </c>
      <c r="D35" s="129" t="s">
        <v>140</v>
      </c>
      <c r="E35" s="3" t="s">
        <v>3279</v>
      </c>
      <c r="F35" s="8" t="s">
        <v>143</v>
      </c>
      <c r="G35" s="8" t="s">
        <v>438</v>
      </c>
      <c r="H35" s="8" t="s">
        <v>2845</v>
      </c>
      <c r="I35" s="153" t="s">
        <v>2846</v>
      </c>
      <c r="J35" s="8" t="s">
        <v>6113</v>
      </c>
      <c r="L35" s="142" t="s">
        <v>6089</v>
      </c>
      <c r="M35" s="142"/>
      <c r="N35" s="142"/>
      <c r="O35" s="273" t="s">
        <v>150</v>
      </c>
      <c r="P35" s="8"/>
      <c r="Q35" s="8"/>
      <c r="R35" s="8"/>
      <c r="S35" s="8"/>
      <c r="T35" s="8"/>
      <c r="V35" s="8"/>
      <c r="Y35" s="8"/>
      <c r="Z35" s="8"/>
      <c r="AA35" s="8"/>
      <c r="AB35" s="142"/>
      <c r="AE35" s="8" t="s">
        <v>6140</v>
      </c>
      <c r="AF35" s="3" t="s">
        <v>6035</v>
      </c>
      <c r="AJ35" s="8"/>
    </row>
    <row r="36">
      <c r="A36" s="186">
        <v>494.0</v>
      </c>
      <c r="B36" s="153" t="str">
        <f t="shared" si="1"/>
        <v>2023-PH012933000-494</v>
      </c>
      <c r="C36" s="152">
        <v>2023.0</v>
      </c>
      <c r="D36" s="129" t="s">
        <v>140</v>
      </c>
      <c r="E36" s="3" t="s">
        <v>3279</v>
      </c>
      <c r="F36" s="8" t="s">
        <v>143</v>
      </c>
      <c r="G36" s="8" t="s">
        <v>404</v>
      </c>
      <c r="H36" s="8" t="s">
        <v>428</v>
      </c>
      <c r="I36" s="153" t="s">
        <v>429</v>
      </c>
      <c r="J36" s="8" t="s">
        <v>6113</v>
      </c>
      <c r="L36" s="142"/>
      <c r="M36" s="142" t="s">
        <v>6114</v>
      </c>
      <c r="N36" s="142" t="s">
        <v>6042</v>
      </c>
      <c r="O36" s="273" t="s">
        <v>150</v>
      </c>
      <c r="P36" s="8"/>
      <c r="Q36" s="8"/>
      <c r="R36" s="8"/>
      <c r="S36" s="8"/>
      <c r="T36" s="8"/>
      <c r="V36" s="273"/>
      <c r="X36" s="8" t="s">
        <v>390</v>
      </c>
      <c r="Y36" s="8"/>
      <c r="Z36" s="8"/>
      <c r="AA36" s="8"/>
      <c r="AB36" s="142"/>
      <c r="AE36" s="8" t="s">
        <v>390</v>
      </c>
      <c r="AF36" s="3" t="s">
        <v>6035</v>
      </c>
      <c r="AJ36" s="8"/>
    </row>
  </sheetData>
  <autoFilter ref="$A$1:$AN$36">
    <sortState ref="A1:AN36">
      <sortCondition ref="AF1:AF36"/>
      <sortCondition ref="A1:A36"/>
      <sortCondition ref="H1:H36"/>
    </sortState>
  </autoFilter>
  <dataValidations>
    <dataValidation type="list" allowBlank="1" showErrorMessage="1" sqref="H2:H36">
      <formula1>Municipality!$C$2:$C36</formula1>
    </dataValidation>
    <dataValidation type="list" allowBlank="1" showErrorMessage="1" sqref="R2:R36">
      <formula1>Glossary!$U$2:$U36</formula1>
    </dataValidation>
    <dataValidation type="list" allowBlank="1" showErrorMessage="1" sqref="F2:F36">
      <formula1>Municipality!$A$2:$A36</formula1>
    </dataValidation>
    <dataValidation type="list" allowBlank="1" showErrorMessage="1" sqref="Z2:Z36">
      <formula1>Glossary!$AN$2:$AN36</formula1>
    </dataValidation>
    <dataValidation type="list" allowBlank="1" showErrorMessage="1" sqref="Q2:Q36">
      <formula1>Glossary!$R$2:$R36</formula1>
    </dataValidation>
    <dataValidation type="list" allowBlank="1" showErrorMessage="1" sqref="T2:T36">
      <formula1>"Concrete structure,Metal structure,Natural material,Synthetic material,Coral nursery unit (CNU),Rope nursery,Microsolar panel implant,Electrochemical mineral accretion,Unknown,Not applicable"</formula1>
    </dataValidation>
    <dataValidation type="list" allowBlank="1" showErrorMessage="1" sqref="S2:S36">
      <formula1>Glossary!$X$2:$X36</formula1>
    </dataValidation>
    <dataValidation type="list" allowBlank="1" showErrorMessage="1" sqref="G2:G36">
      <formula1>Municipality!$B$2:$B36</formula1>
    </dataValidation>
    <dataValidation type="list" allowBlank="1" showErrorMessage="1" sqref="Y2:Y36">
      <formula1>Glossary!$AH$2:$AH36</formula1>
    </dataValidation>
    <dataValidation type="list" allowBlank="1" showErrorMessage="1" sqref="V2:V36">
      <formula1>Glossary!$AD$2:$AD36</formula1>
    </dataValidation>
    <dataValidation type="list" allowBlank="1" showErrorMessage="1" sqref="P2:P36">
      <formula1>Glossary!$O$2:$O36</formula1>
    </dataValidation>
    <dataValidation type="list" allowBlank="1" showErrorMessage="1" sqref="AF2:AF36">
      <formula1>Glossary!$AQ$2:$AQ36</formula1>
    </dataValidation>
    <dataValidation type="list" allowBlank="1" showErrorMessage="1" sqref="E2:E36">
      <formula1>Glossary!$D$2:$D36</formula1>
    </dataValidation>
    <dataValidation type="list" allowBlank="1" showErrorMessage="1" sqref="AA2:AA36">
      <formula1>Glossary!$AK$2:$AK36</formula1>
    </dataValidation>
    <dataValidation type="list" allowBlank="1" showErrorMessage="1" sqref="I2:I36">
      <formula1>Municipality!$D36:$D$1775</formula1>
    </dataValidation>
    <dataValidation type="list" allowBlank="1" showErrorMessage="1" sqref="AJ2:AJ36">
      <formula1>Glossary!$BC$22:$BC36</formula1>
    </dataValidation>
    <dataValidation type="list" allowBlank="1" showErrorMessage="1" sqref="O2:O36">
      <formula1>Glossary!$L$2:$L36</formula1>
    </dataValidation>
    <dataValidation type="list" allowBlank="1" showErrorMessage="1" sqref="D2:D36">
      <formula1>Glossary!$A$2:$A36</formula1>
    </dataValidation>
  </dataValidations>
  <hyperlinks>
    <hyperlink r:id="rId1" ref="AL4"/>
    <hyperlink r:id="rId2" ref="AL9"/>
    <hyperlink r:id="rId3" ref="AL12"/>
    <hyperlink r:id="rId4" ref="AL22"/>
    <hyperlink r:id="rId5" ref="AN27"/>
    <hyperlink r:id="rId6" ref="AN29"/>
    <hyperlink r:id="rId7" ref="AL30"/>
    <hyperlink r:id="rId8" ref="AL32"/>
  </hyperlinks>
  <drawing r:id="rId9"/>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1.22" defaultRowHeight="15.0"/>
  <cols>
    <col customWidth="1" min="1" max="1" width="5.78"/>
    <col customWidth="1" min="2" max="2" width="4.56"/>
    <col customWidth="1" min="3" max="3" width="11.11"/>
    <col customWidth="1" min="4" max="4" width="11.89"/>
    <col customWidth="1" min="5" max="5" width="23.67"/>
    <col customWidth="1" min="6" max="6" width="18.56"/>
    <col customWidth="1" min="7" max="7" width="7.67"/>
    <col customWidth="1" min="8" max="8" width="11.22"/>
    <col customWidth="1" min="9" max="9" width="21.56"/>
    <col customWidth="1" min="10" max="10" width="15.33"/>
    <col customWidth="1" min="11" max="11" width="16.0"/>
    <col customWidth="1" min="12" max="12" width="32.22"/>
    <col customWidth="1" min="13" max="13" width="39.78"/>
    <col customWidth="1" min="22" max="25" width="11.78"/>
    <col customWidth="1" min="37" max="37" width="16.44"/>
  </cols>
  <sheetData>
    <row r="1">
      <c r="A1" s="146" t="s">
        <v>3233</v>
      </c>
      <c r="B1" s="274" t="s">
        <v>38</v>
      </c>
      <c r="C1" s="275" t="s">
        <v>44</v>
      </c>
      <c r="D1" s="275" t="s">
        <v>5998</v>
      </c>
      <c r="E1" s="275" t="s">
        <v>5999</v>
      </c>
      <c r="F1" s="275" t="s">
        <v>6000</v>
      </c>
      <c r="G1" s="275" t="s">
        <v>6008</v>
      </c>
      <c r="H1" s="149" t="s">
        <v>51</v>
      </c>
      <c r="I1" s="149" t="s">
        <v>53</v>
      </c>
      <c r="J1" s="149" t="s">
        <v>10</v>
      </c>
      <c r="K1" s="149" t="s">
        <v>56</v>
      </c>
      <c r="L1" s="149" t="s">
        <v>6002</v>
      </c>
      <c r="M1" s="149" t="s">
        <v>7782</v>
      </c>
      <c r="N1" s="142" t="s">
        <v>6004</v>
      </c>
      <c r="O1" s="142" t="s">
        <v>6005</v>
      </c>
      <c r="P1" s="142" t="s">
        <v>6006</v>
      </c>
      <c r="Q1" s="149" t="s">
        <v>6001</v>
      </c>
      <c r="R1" s="149" t="s">
        <v>7783</v>
      </c>
      <c r="S1" s="3" t="s">
        <v>8188</v>
      </c>
      <c r="T1" s="149" t="s">
        <v>7784</v>
      </c>
      <c r="U1" s="149" t="s">
        <v>6016</v>
      </c>
      <c r="V1" s="149" t="s">
        <v>6017</v>
      </c>
      <c r="W1" s="149" t="s">
        <v>6018</v>
      </c>
      <c r="X1" s="149" t="s">
        <v>6018</v>
      </c>
      <c r="Y1" s="149" t="s">
        <v>6019</v>
      </c>
      <c r="Z1" s="149" t="s">
        <v>6020</v>
      </c>
      <c r="AA1" s="149" t="s">
        <v>6021</v>
      </c>
      <c r="AB1" s="149" t="s">
        <v>6022</v>
      </c>
      <c r="AC1" s="149" t="s">
        <v>6023</v>
      </c>
      <c r="AD1" s="149" t="s">
        <v>114</v>
      </c>
      <c r="AE1" s="149" t="s">
        <v>116</v>
      </c>
      <c r="AF1" s="149" t="s">
        <v>118</v>
      </c>
      <c r="AG1" s="149" t="s">
        <v>6026</v>
      </c>
      <c r="AH1" s="149" t="s">
        <v>125</v>
      </c>
      <c r="AI1" s="149" t="s">
        <v>6027</v>
      </c>
      <c r="AJ1" s="149" t="s">
        <v>129</v>
      </c>
      <c r="AK1" s="149" t="s">
        <v>131</v>
      </c>
    </row>
    <row r="2">
      <c r="A2" s="152">
        <v>2023.0</v>
      </c>
      <c r="B2" s="151">
        <v>393.0</v>
      </c>
      <c r="C2" s="129" t="s">
        <v>140</v>
      </c>
      <c r="D2" s="8"/>
      <c r="F2" s="8" t="str">
        <f>CONCATENATE(A2,K2,B2)</f>
        <v>2023PH160201000393</v>
      </c>
      <c r="H2" s="8" t="s">
        <v>345</v>
      </c>
      <c r="I2" s="8" t="s">
        <v>649</v>
      </c>
      <c r="J2" s="8" t="s">
        <v>1172</v>
      </c>
      <c r="K2" s="8" t="s">
        <v>1969</v>
      </c>
      <c r="L2" s="8" t="s">
        <v>6113</v>
      </c>
      <c r="M2" s="8" t="s">
        <v>7607</v>
      </c>
      <c r="N2" s="142" t="s">
        <v>6113</v>
      </c>
      <c r="O2" s="142"/>
      <c r="P2" s="142"/>
      <c r="Q2" s="8" t="s">
        <v>151</v>
      </c>
      <c r="AA2" s="8" t="s">
        <v>571</v>
      </c>
      <c r="AB2" s="8" t="s">
        <v>390</v>
      </c>
      <c r="AH2" s="8" t="s">
        <v>6084</v>
      </c>
      <c r="AI2" s="8" t="s">
        <v>2563</v>
      </c>
    </row>
    <row r="3">
      <c r="A3" s="152">
        <v>2024.0</v>
      </c>
      <c r="B3" s="151">
        <v>1.0</v>
      </c>
      <c r="C3" s="153"/>
      <c r="D3" s="153"/>
      <c r="E3" s="153"/>
      <c r="F3" s="153"/>
      <c r="G3" s="153"/>
      <c r="H3" s="153" t="s">
        <v>143</v>
      </c>
      <c r="I3" s="153" t="s">
        <v>381</v>
      </c>
      <c r="J3" s="153" t="s">
        <v>2585</v>
      </c>
      <c r="K3" s="153" t="s">
        <v>2586</v>
      </c>
      <c r="L3" s="158" t="s">
        <v>149</v>
      </c>
      <c r="M3" s="158" t="s">
        <v>2587</v>
      </c>
      <c r="N3" s="230">
        <v>2021.0</v>
      </c>
      <c r="O3" s="192" t="s">
        <v>149</v>
      </c>
      <c r="P3" s="192" t="s">
        <v>149</v>
      </c>
      <c r="Q3" s="153" t="s">
        <v>151</v>
      </c>
      <c r="R3" s="158" t="s">
        <v>789</v>
      </c>
      <c r="S3" s="158" t="s">
        <v>789</v>
      </c>
      <c r="T3" s="158" t="s">
        <v>6034</v>
      </c>
      <c r="U3" s="158" t="s">
        <v>149</v>
      </c>
      <c r="V3" s="158" t="s">
        <v>149</v>
      </c>
      <c r="W3" s="158" t="s">
        <v>149</v>
      </c>
      <c r="X3" s="158" t="s">
        <v>149</v>
      </c>
      <c r="Y3" s="158" t="s">
        <v>149</v>
      </c>
      <c r="Z3" s="158" t="s">
        <v>149</v>
      </c>
      <c r="AA3" s="158" t="s">
        <v>149</v>
      </c>
      <c r="AB3" s="153" t="s">
        <v>390</v>
      </c>
      <c r="AC3" s="153" t="s">
        <v>6035</v>
      </c>
      <c r="AD3" s="158" t="s">
        <v>6036</v>
      </c>
      <c r="AE3" s="153"/>
      <c r="AF3" s="158" t="s">
        <v>2590</v>
      </c>
      <c r="AG3" s="153" t="s">
        <v>6038</v>
      </c>
      <c r="AH3" s="153" t="s">
        <v>6039</v>
      </c>
      <c r="AI3" s="165" t="s">
        <v>2592</v>
      </c>
      <c r="AJ3" s="153"/>
      <c r="AK3" s="153"/>
    </row>
    <row r="4">
      <c r="A4" s="152">
        <v>2023.0</v>
      </c>
      <c r="B4" s="151">
        <v>394.0</v>
      </c>
      <c r="C4" s="129" t="s">
        <v>140</v>
      </c>
      <c r="D4" s="8"/>
      <c r="F4" s="8" t="str">
        <f t="shared" ref="F4:F7" si="1">CONCATENATE(A4,K4,B4)</f>
        <v>2023PH160201000394</v>
      </c>
      <c r="H4" s="8" t="s">
        <v>345</v>
      </c>
      <c r="I4" s="8" t="s">
        <v>649</v>
      </c>
      <c r="J4" s="8" t="s">
        <v>1172</v>
      </c>
      <c r="K4" s="208" t="s">
        <v>1969</v>
      </c>
      <c r="L4" s="8" t="s">
        <v>6113</v>
      </c>
      <c r="N4" s="142" t="s">
        <v>6145</v>
      </c>
      <c r="O4" s="142"/>
      <c r="P4" s="142"/>
      <c r="Q4" s="8" t="s">
        <v>151</v>
      </c>
      <c r="AA4" s="8" t="s">
        <v>2498</v>
      </c>
      <c r="AB4" s="8" t="s">
        <v>2499</v>
      </c>
      <c r="AD4" s="8" t="s">
        <v>760</v>
      </c>
      <c r="AH4" s="8" t="s">
        <v>6038</v>
      </c>
      <c r="AI4" s="8" t="s">
        <v>2501</v>
      </c>
    </row>
    <row r="5">
      <c r="A5" s="152">
        <v>2025.0</v>
      </c>
      <c r="B5" s="151">
        <v>394.0</v>
      </c>
      <c r="C5" s="153" t="s">
        <v>8189</v>
      </c>
      <c r="D5" s="153"/>
      <c r="E5" s="153"/>
      <c r="F5" s="8" t="str">
        <f t="shared" si="1"/>
        <v>2025PH160201000394</v>
      </c>
      <c r="G5" s="153"/>
      <c r="H5" s="153" t="s">
        <v>345</v>
      </c>
      <c r="I5" s="153" t="s">
        <v>649</v>
      </c>
      <c r="J5" s="153" t="s">
        <v>1172</v>
      </c>
      <c r="K5" s="153" t="s">
        <v>1969</v>
      </c>
      <c r="L5" s="158" t="s">
        <v>149</v>
      </c>
      <c r="M5" s="153" t="s">
        <v>1971</v>
      </c>
      <c r="N5" s="160" t="s">
        <v>149</v>
      </c>
      <c r="O5" s="160" t="s">
        <v>149</v>
      </c>
      <c r="P5" s="160" t="s">
        <v>149</v>
      </c>
      <c r="Q5" s="153" t="s">
        <v>151</v>
      </c>
      <c r="R5" s="158" t="s">
        <v>149</v>
      </c>
      <c r="S5" s="158" t="s">
        <v>149</v>
      </c>
      <c r="T5" s="158" t="s">
        <v>2561</v>
      </c>
      <c r="U5" s="158" t="s">
        <v>149</v>
      </c>
      <c r="V5" s="158" t="s">
        <v>149</v>
      </c>
      <c r="W5" s="158" t="s">
        <v>149</v>
      </c>
      <c r="X5" s="158" t="s">
        <v>149</v>
      </c>
      <c r="Y5" s="158" t="s">
        <v>149</v>
      </c>
      <c r="Z5" s="158" t="s">
        <v>149</v>
      </c>
      <c r="AA5" s="153" t="s">
        <v>571</v>
      </c>
      <c r="AB5" s="153" t="s">
        <v>390</v>
      </c>
      <c r="AC5" s="153" t="s">
        <v>6035</v>
      </c>
      <c r="AD5" s="153"/>
      <c r="AE5" s="153"/>
      <c r="AF5" s="153"/>
      <c r="AG5" s="153" t="s">
        <v>6084</v>
      </c>
      <c r="AH5" s="153" t="s">
        <v>2562</v>
      </c>
      <c r="AI5" s="165" t="s">
        <v>2563</v>
      </c>
      <c r="AJ5" s="153"/>
      <c r="AK5" s="153"/>
    </row>
    <row r="6">
      <c r="A6" s="152">
        <v>2023.0</v>
      </c>
      <c r="B6" s="151">
        <v>395.0</v>
      </c>
      <c r="C6" s="129" t="s">
        <v>140</v>
      </c>
      <c r="D6" s="8"/>
      <c r="F6" s="8" t="str">
        <f t="shared" si="1"/>
        <v>2023PH160202000395</v>
      </c>
      <c r="H6" s="8" t="s">
        <v>345</v>
      </c>
      <c r="I6" s="8" t="s">
        <v>649</v>
      </c>
      <c r="J6" s="8" t="s">
        <v>7612</v>
      </c>
      <c r="K6" s="208" t="s">
        <v>2740</v>
      </c>
      <c r="L6" s="8" t="s">
        <v>6113</v>
      </c>
      <c r="N6" s="142" t="s">
        <v>6906</v>
      </c>
      <c r="O6" s="142"/>
      <c r="P6" s="142"/>
      <c r="Q6" s="8" t="s">
        <v>151</v>
      </c>
      <c r="AA6" s="8" t="s">
        <v>2273</v>
      </c>
      <c r="AB6" s="8" t="s">
        <v>390</v>
      </c>
      <c r="AH6" s="8" t="s">
        <v>6038</v>
      </c>
      <c r="AI6" s="8" t="s">
        <v>2745</v>
      </c>
    </row>
    <row r="7">
      <c r="A7" s="152">
        <v>2025.0</v>
      </c>
      <c r="B7" s="151">
        <v>395.0</v>
      </c>
      <c r="C7" s="153" t="s">
        <v>8189</v>
      </c>
      <c r="D7" s="153"/>
      <c r="E7" s="153"/>
      <c r="F7" s="8" t="str">
        <f t="shared" si="1"/>
        <v>2025PH160201000395</v>
      </c>
      <c r="G7" s="153"/>
      <c r="H7" s="153" t="s">
        <v>345</v>
      </c>
      <c r="I7" s="153" t="s">
        <v>649</v>
      </c>
      <c r="J7" s="153" t="s">
        <v>1172</v>
      </c>
      <c r="K7" s="173" t="s">
        <v>1969</v>
      </c>
      <c r="L7" s="158" t="s">
        <v>149</v>
      </c>
      <c r="M7" s="153" t="s">
        <v>1971</v>
      </c>
      <c r="N7" s="216" t="s">
        <v>6145</v>
      </c>
      <c r="O7" s="160" t="s">
        <v>149</v>
      </c>
      <c r="P7" s="160" t="s">
        <v>149</v>
      </c>
      <c r="Q7" s="153" t="s">
        <v>151</v>
      </c>
      <c r="R7" s="158" t="s">
        <v>911</v>
      </c>
      <c r="S7" s="158" t="s">
        <v>911</v>
      </c>
      <c r="T7" s="158" t="s">
        <v>2497</v>
      </c>
      <c r="U7" s="158" t="s">
        <v>149</v>
      </c>
      <c r="V7" s="158" t="s">
        <v>149</v>
      </c>
      <c r="W7" s="158" t="s">
        <v>149</v>
      </c>
      <c r="X7" s="158" t="s">
        <v>159</v>
      </c>
      <c r="Y7" s="158" t="s">
        <v>149</v>
      </c>
      <c r="Z7" s="158" t="s">
        <v>149</v>
      </c>
      <c r="AA7" s="153" t="s">
        <v>2498</v>
      </c>
      <c r="AB7" s="153" t="s">
        <v>2499</v>
      </c>
      <c r="AC7" s="153" t="s">
        <v>6035</v>
      </c>
      <c r="AD7" s="153" t="s">
        <v>760</v>
      </c>
      <c r="AE7" s="153"/>
      <c r="AF7" s="153"/>
      <c r="AG7" s="153" t="s">
        <v>6038</v>
      </c>
      <c r="AH7" s="153" t="s">
        <v>2500</v>
      </c>
      <c r="AI7" s="165" t="s">
        <v>2501</v>
      </c>
      <c r="AJ7" s="153"/>
      <c r="AK7" s="153"/>
    </row>
    <row r="8">
      <c r="A8" s="152">
        <v>2024.0</v>
      </c>
      <c r="B8" s="151">
        <v>3.0</v>
      </c>
      <c r="C8" s="153"/>
      <c r="D8" s="153"/>
      <c r="E8" s="153"/>
      <c r="F8" s="153"/>
      <c r="G8" s="153"/>
      <c r="H8" s="153" t="s">
        <v>143</v>
      </c>
      <c r="I8" s="153" t="s">
        <v>381</v>
      </c>
      <c r="J8" s="153" t="s">
        <v>2363</v>
      </c>
      <c r="K8" s="173" t="s">
        <v>2364</v>
      </c>
      <c r="L8" s="158" t="s">
        <v>149</v>
      </c>
      <c r="M8" s="153" t="s">
        <v>2365</v>
      </c>
      <c r="N8" s="276">
        <v>2023.0</v>
      </c>
      <c r="O8" s="192" t="s">
        <v>149</v>
      </c>
      <c r="P8" s="192" t="s">
        <v>149</v>
      </c>
      <c r="Q8" s="153" t="s">
        <v>151</v>
      </c>
      <c r="R8" s="153" t="s">
        <v>8190</v>
      </c>
      <c r="S8" s="153" t="s">
        <v>8191</v>
      </c>
      <c r="T8" s="158" t="s">
        <v>6046</v>
      </c>
      <c r="U8" s="153" t="s">
        <v>2367</v>
      </c>
      <c r="V8" s="158" t="s">
        <v>160</v>
      </c>
      <c r="W8" s="158" t="s">
        <v>184</v>
      </c>
      <c r="X8" s="158" t="s">
        <v>159</v>
      </c>
      <c r="Y8" s="158" t="s">
        <v>149</v>
      </c>
      <c r="Z8" s="171" t="s">
        <v>149</v>
      </c>
      <c r="AA8" s="171" t="s">
        <v>149</v>
      </c>
      <c r="AB8" s="153" t="s">
        <v>8192</v>
      </c>
      <c r="AC8" s="153" t="s">
        <v>184</v>
      </c>
      <c r="AD8" s="153" t="s">
        <v>6048</v>
      </c>
      <c r="AE8" s="153" t="s">
        <v>2371</v>
      </c>
      <c r="AF8" s="153"/>
      <c r="AG8" s="158" t="s">
        <v>166</v>
      </c>
      <c r="AH8" s="153" t="s">
        <v>2372</v>
      </c>
      <c r="AI8" s="172" t="s">
        <v>2373</v>
      </c>
      <c r="AJ8" s="153"/>
      <c r="AK8" s="239"/>
    </row>
    <row r="9">
      <c r="A9" s="152">
        <v>2023.0</v>
      </c>
      <c r="B9" s="151">
        <v>396.0</v>
      </c>
      <c r="C9" s="129" t="s">
        <v>648</v>
      </c>
      <c r="D9" s="8"/>
      <c r="F9" s="8" t="str">
        <f t="shared" ref="F9:F10" si="2">CONCATENATE(A9,K9,B9)</f>
        <v>2023PH160203000396</v>
      </c>
      <c r="H9" s="8" t="s">
        <v>345</v>
      </c>
      <c r="I9" s="8" t="s">
        <v>649</v>
      </c>
      <c r="J9" s="8" t="s">
        <v>8178</v>
      </c>
      <c r="K9" s="208" t="s">
        <v>651</v>
      </c>
      <c r="N9" s="142"/>
      <c r="O9" s="142"/>
      <c r="P9" s="142"/>
    </row>
    <row r="10">
      <c r="A10" s="152">
        <v>2025.0</v>
      </c>
      <c r="B10" s="151">
        <v>396.0</v>
      </c>
      <c r="C10" s="158" t="s">
        <v>8189</v>
      </c>
      <c r="D10" s="158"/>
      <c r="E10" s="158"/>
      <c r="F10" s="8" t="str">
        <f t="shared" si="2"/>
        <v>2025PH160201000396</v>
      </c>
      <c r="G10" s="158"/>
      <c r="H10" s="158" t="s">
        <v>345</v>
      </c>
      <c r="I10" s="158" t="s">
        <v>649</v>
      </c>
      <c r="J10" s="158" t="s">
        <v>1172</v>
      </c>
      <c r="K10" s="202" t="s">
        <v>1969</v>
      </c>
      <c r="L10" s="158" t="s">
        <v>1970</v>
      </c>
      <c r="M10" s="158" t="s">
        <v>1971</v>
      </c>
      <c r="N10" s="160" t="s">
        <v>16</v>
      </c>
      <c r="O10" s="160" t="s">
        <v>149</v>
      </c>
      <c r="P10" s="160" t="s">
        <v>149</v>
      </c>
      <c r="Q10" s="158" t="s">
        <v>151</v>
      </c>
      <c r="R10" s="158" t="s">
        <v>911</v>
      </c>
      <c r="S10" s="158" t="s">
        <v>911</v>
      </c>
      <c r="T10" s="158" t="s">
        <v>7614</v>
      </c>
      <c r="U10" s="158" t="s">
        <v>1973</v>
      </c>
      <c r="V10" s="158" t="s">
        <v>160</v>
      </c>
      <c r="W10" s="158" t="s">
        <v>271</v>
      </c>
      <c r="X10" s="158" t="s">
        <v>159</v>
      </c>
      <c r="Y10" s="158" t="s">
        <v>149</v>
      </c>
      <c r="Z10" s="158" t="s">
        <v>149</v>
      </c>
      <c r="AA10" s="158" t="s">
        <v>149</v>
      </c>
      <c r="AB10" s="158" t="s">
        <v>1973</v>
      </c>
      <c r="AC10" s="158" t="s">
        <v>271</v>
      </c>
      <c r="AD10" s="158" t="s">
        <v>7615</v>
      </c>
      <c r="AE10" s="158" t="s">
        <v>1975</v>
      </c>
      <c r="AF10" s="153"/>
      <c r="AG10" s="158" t="s">
        <v>6038</v>
      </c>
      <c r="AH10" s="158" t="s">
        <v>1976</v>
      </c>
      <c r="AI10" s="177" t="s">
        <v>1977</v>
      </c>
      <c r="AJ10" s="153"/>
      <c r="AK10" s="153"/>
    </row>
    <row r="11">
      <c r="A11" s="152">
        <v>2024.0</v>
      </c>
      <c r="B11" s="151">
        <v>4.0</v>
      </c>
      <c r="C11" s="153"/>
      <c r="D11" s="153"/>
      <c r="E11" s="153"/>
      <c r="F11" s="153"/>
      <c r="G11" s="153"/>
      <c r="H11" s="153" t="s">
        <v>143</v>
      </c>
      <c r="I11" s="153" t="s">
        <v>381</v>
      </c>
      <c r="J11" s="153" t="s">
        <v>8193</v>
      </c>
      <c r="K11" s="153" t="s">
        <v>383</v>
      </c>
      <c r="L11" s="153" t="s">
        <v>384</v>
      </c>
      <c r="M11" s="153" t="s">
        <v>385</v>
      </c>
      <c r="N11" s="230">
        <v>1986.0</v>
      </c>
      <c r="O11" s="230">
        <v>1985.0</v>
      </c>
      <c r="P11" s="192">
        <v>1987.0</v>
      </c>
      <c r="Q11" s="153" t="s">
        <v>151</v>
      </c>
      <c r="R11" s="153" t="s">
        <v>6054</v>
      </c>
      <c r="S11" s="158" t="s">
        <v>6054</v>
      </c>
      <c r="T11" s="158" t="s">
        <v>149</v>
      </c>
      <c r="U11" s="153" t="s">
        <v>390</v>
      </c>
      <c r="V11" s="158" t="s">
        <v>160</v>
      </c>
      <c r="W11" s="158" t="s">
        <v>6035</v>
      </c>
      <c r="X11" s="158" t="s">
        <v>159</v>
      </c>
      <c r="Y11" s="158" t="s">
        <v>149</v>
      </c>
      <c r="Z11" s="158" t="s">
        <v>149</v>
      </c>
      <c r="AA11" s="153" t="s">
        <v>391</v>
      </c>
      <c r="AB11" s="153" t="s">
        <v>390</v>
      </c>
      <c r="AC11" s="153" t="s">
        <v>6035</v>
      </c>
      <c r="AD11" s="153" t="s">
        <v>6055</v>
      </c>
      <c r="AE11" s="153"/>
      <c r="AF11" s="153" t="s">
        <v>6056</v>
      </c>
      <c r="AG11" s="158" t="s">
        <v>395</v>
      </c>
      <c r="AH11" s="153" t="s">
        <v>6060</v>
      </c>
      <c r="AI11" s="177" t="s">
        <v>397</v>
      </c>
      <c r="AJ11" s="153" t="s">
        <v>398</v>
      </c>
      <c r="AK11" s="153"/>
    </row>
    <row r="12">
      <c r="A12" s="152">
        <v>2023.0</v>
      </c>
      <c r="B12" s="151">
        <v>397.0</v>
      </c>
      <c r="C12" s="129" t="s">
        <v>140</v>
      </c>
      <c r="D12" s="8"/>
      <c r="F12" s="8" t="str">
        <f t="shared" ref="F12:F13" si="3">CONCATENATE(A12,K12,B12)</f>
        <v>2023PH160204000397</v>
      </c>
      <c r="H12" s="8" t="s">
        <v>345</v>
      </c>
      <c r="I12" s="8" t="s">
        <v>649</v>
      </c>
      <c r="J12" s="8" t="s">
        <v>2503</v>
      </c>
      <c r="K12" s="208" t="s">
        <v>2504</v>
      </c>
      <c r="L12" s="8" t="s">
        <v>1309</v>
      </c>
      <c r="M12" s="8" t="s">
        <v>7620</v>
      </c>
      <c r="N12" s="142" t="s">
        <v>6113</v>
      </c>
      <c r="O12" s="142"/>
      <c r="P12" s="142"/>
      <c r="Q12" s="8" t="s">
        <v>151</v>
      </c>
      <c r="U12" s="8" t="s">
        <v>6907</v>
      </c>
      <c r="AB12" s="8" t="s">
        <v>390</v>
      </c>
      <c r="AH12" s="8" t="s">
        <v>6084</v>
      </c>
      <c r="AI12" s="8" t="s">
        <v>7621</v>
      </c>
    </row>
    <row r="13">
      <c r="A13" s="152">
        <v>2025.0</v>
      </c>
      <c r="B13" s="151">
        <v>397.0</v>
      </c>
      <c r="C13" s="153" t="s">
        <v>8189</v>
      </c>
      <c r="D13" s="153"/>
      <c r="E13" s="153"/>
      <c r="F13" s="8" t="str">
        <f t="shared" si="3"/>
        <v>2025PH160202000397</v>
      </c>
      <c r="G13" s="153"/>
      <c r="H13" s="153" t="s">
        <v>345</v>
      </c>
      <c r="I13" s="153" t="s">
        <v>649</v>
      </c>
      <c r="J13" s="153" t="s">
        <v>7612</v>
      </c>
      <c r="K13" s="153" t="s">
        <v>2740</v>
      </c>
      <c r="L13" s="158" t="s">
        <v>149</v>
      </c>
      <c r="M13" s="153" t="s">
        <v>2741</v>
      </c>
      <c r="N13" s="175" t="s">
        <v>6906</v>
      </c>
      <c r="O13" s="160" t="s">
        <v>149</v>
      </c>
      <c r="P13" s="160" t="s">
        <v>149</v>
      </c>
      <c r="Q13" s="153" t="s">
        <v>151</v>
      </c>
      <c r="R13" s="158" t="s">
        <v>152</v>
      </c>
      <c r="S13" s="158" t="s">
        <v>152</v>
      </c>
      <c r="T13" s="158" t="s">
        <v>684</v>
      </c>
      <c r="U13" s="158" t="s">
        <v>2742</v>
      </c>
      <c r="V13" s="158" t="s">
        <v>160</v>
      </c>
      <c r="W13" s="158" t="s">
        <v>6035</v>
      </c>
      <c r="X13" s="158" t="s">
        <v>159</v>
      </c>
      <c r="Y13" s="158" t="s">
        <v>149</v>
      </c>
      <c r="Z13" s="158" t="s">
        <v>149</v>
      </c>
      <c r="AA13" s="153" t="s">
        <v>2273</v>
      </c>
      <c r="AB13" s="158" t="s">
        <v>228</v>
      </c>
      <c r="AC13" s="153" t="s">
        <v>6035</v>
      </c>
      <c r="AD13" s="158" t="s">
        <v>390</v>
      </c>
      <c r="AE13" s="158" t="s">
        <v>2743</v>
      </c>
      <c r="AF13" s="153"/>
      <c r="AG13" s="153" t="s">
        <v>6038</v>
      </c>
      <c r="AH13" s="153" t="s">
        <v>2744</v>
      </c>
      <c r="AI13" s="165" t="s">
        <v>2745</v>
      </c>
      <c r="AJ13" s="153"/>
      <c r="AK13" s="153"/>
    </row>
    <row r="14">
      <c r="A14" s="152">
        <v>2024.0</v>
      </c>
      <c r="B14" s="151">
        <v>5.0</v>
      </c>
      <c r="C14" s="153"/>
      <c r="D14" s="153"/>
      <c r="E14" s="153"/>
      <c r="F14" s="153"/>
      <c r="G14" s="153"/>
      <c r="H14" s="153" t="s">
        <v>143</v>
      </c>
      <c r="I14" s="153" t="s">
        <v>381</v>
      </c>
      <c r="J14" s="153" t="s">
        <v>1681</v>
      </c>
      <c r="K14" s="173" t="s">
        <v>1682</v>
      </c>
      <c r="L14" s="153" t="s">
        <v>1683</v>
      </c>
      <c r="M14" s="153"/>
      <c r="N14" s="192">
        <v>2015.0</v>
      </c>
      <c r="O14" s="230">
        <v>2014.0</v>
      </c>
      <c r="P14" s="230">
        <v>2016.0</v>
      </c>
      <c r="Q14" s="153" t="s">
        <v>6062</v>
      </c>
      <c r="R14" s="153" t="s">
        <v>320</v>
      </c>
      <c r="S14" s="158" t="s">
        <v>179</v>
      </c>
      <c r="T14" s="158" t="s">
        <v>6067</v>
      </c>
      <c r="U14" s="153" t="s">
        <v>321</v>
      </c>
      <c r="V14" s="158" t="s">
        <v>160</v>
      </c>
      <c r="W14" s="158" t="s">
        <v>6035</v>
      </c>
      <c r="X14" s="158" t="s">
        <v>159</v>
      </c>
      <c r="Y14" s="158" t="s">
        <v>149</v>
      </c>
      <c r="Z14" s="158" t="s">
        <v>149</v>
      </c>
      <c r="AA14" s="153" t="s">
        <v>1685</v>
      </c>
      <c r="AB14" s="153" t="s">
        <v>1686</v>
      </c>
      <c r="AC14" s="158" t="s">
        <v>6068</v>
      </c>
      <c r="AD14" s="153"/>
      <c r="AE14" s="153"/>
      <c r="AF14" s="153"/>
      <c r="AG14" s="158" t="s">
        <v>6069</v>
      </c>
      <c r="AH14" s="153" t="s">
        <v>1300</v>
      </c>
      <c r="AI14" s="153" t="s">
        <v>6070</v>
      </c>
      <c r="AJ14" s="153"/>
      <c r="AK14" s="153"/>
    </row>
    <row r="15">
      <c r="A15" s="152">
        <v>2025.0</v>
      </c>
      <c r="B15" s="151">
        <v>398.0</v>
      </c>
      <c r="C15" s="153" t="s">
        <v>8189</v>
      </c>
      <c r="D15" s="153"/>
      <c r="E15" s="153"/>
      <c r="F15" s="8" t="str">
        <f>CONCATENATE(A15,K15,B15)</f>
        <v>2025PH160203000398</v>
      </c>
      <c r="G15" s="153"/>
      <c r="H15" s="153" t="s">
        <v>345</v>
      </c>
      <c r="I15" s="153" t="s">
        <v>649</v>
      </c>
      <c r="J15" s="153" t="s">
        <v>8194</v>
      </c>
      <c r="K15" s="173" t="s">
        <v>651</v>
      </c>
      <c r="L15" s="153" t="s">
        <v>652</v>
      </c>
      <c r="M15" s="153" t="s">
        <v>653</v>
      </c>
      <c r="N15" s="175" t="s">
        <v>6053</v>
      </c>
      <c r="O15" s="160" t="s">
        <v>149</v>
      </c>
      <c r="P15" s="160" t="s">
        <v>149</v>
      </c>
      <c r="Q15" s="153" t="s">
        <v>151</v>
      </c>
      <c r="R15" s="153" t="s">
        <v>7626</v>
      </c>
      <c r="S15" s="158" t="s">
        <v>7626</v>
      </c>
      <c r="T15" s="158" t="s">
        <v>7627</v>
      </c>
      <c r="U15" s="158" t="s">
        <v>659</v>
      </c>
      <c r="V15" s="158" t="s">
        <v>160</v>
      </c>
      <c r="W15" s="158" t="s">
        <v>6035</v>
      </c>
      <c r="X15" s="158" t="s">
        <v>159</v>
      </c>
      <c r="Y15" s="158" t="s">
        <v>149</v>
      </c>
      <c r="Z15" s="158" t="s">
        <v>149</v>
      </c>
      <c r="AA15" s="158" t="s">
        <v>149</v>
      </c>
      <c r="AB15" s="158" t="s">
        <v>661</v>
      </c>
      <c r="AC15" s="158" t="s">
        <v>662</v>
      </c>
      <c r="AD15" s="158" t="s">
        <v>7628</v>
      </c>
      <c r="AE15" s="158"/>
      <c r="AF15" s="158"/>
      <c r="AG15" s="158" t="s">
        <v>6517</v>
      </c>
      <c r="AH15" s="153" t="s">
        <v>664</v>
      </c>
      <c r="AI15" s="172" t="s">
        <v>665</v>
      </c>
      <c r="AJ15" s="153"/>
      <c r="AK15" s="153"/>
    </row>
    <row r="16">
      <c r="A16" s="152">
        <v>2024.0</v>
      </c>
      <c r="B16" s="151">
        <v>6.0</v>
      </c>
      <c r="C16" s="153"/>
      <c r="D16" s="153"/>
      <c r="E16" s="153"/>
      <c r="F16" s="153"/>
      <c r="G16" s="153"/>
      <c r="H16" s="153" t="s">
        <v>143</v>
      </c>
      <c r="I16" s="153" t="s">
        <v>381</v>
      </c>
      <c r="J16" s="153" t="s">
        <v>400</v>
      </c>
      <c r="K16" s="153" t="s">
        <v>401</v>
      </c>
      <c r="L16" s="153" t="s">
        <v>384</v>
      </c>
      <c r="M16" s="153" t="s">
        <v>7789</v>
      </c>
      <c r="N16" s="230">
        <v>1986.0</v>
      </c>
      <c r="O16" s="230">
        <v>1985.0</v>
      </c>
      <c r="P16" s="230">
        <v>1987.0</v>
      </c>
      <c r="Q16" s="153" t="s">
        <v>151</v>
      </c>
      <c r="R16" s="153" t="s">
        <v>6054</v>
      </c>
      <c r="S16" s="158" t="s">
        <v>6054</v>
      </c>
      <c r="T16" s="158" t="s">
        <v>149</v>
      </c>
      <c r="U16" s="153" t="s">
        <v>390</v>
      </c>
      <c r="V16" s="158" t="s">
        <v>160</v>
      </c>
      <c r="W16" s="158" t="s">
        <v>6035</v>
      </c>
      <c r="X16" s="158" t="s">
        <v>159</v>
      </c>
      <c r="Y16" s="158" t="s">
        <v>149</v>
      </c>
      <c r="Z16" s="158" t="s">
        <v>149</v>
      </c>
      <c r="AA16" s="153" t="s">
        <v>391</v>
      </c>
      <c r="AB16" s="153" t="s">
        <v>390</v>
      </c>
      <c r="AC16" s="153" t="s">
        <v>6035</v>
      </c>
      <c r="AD16" s="153" t="s">
        <v>6055</v>
      </c>
      <c r="AE16" s="153"/>
      <c r="AF16" s="153"/>
      <c r="AG16" s="158" t="s">
        <v>395</v>
      </c>
      <c r="AH16" s="153" t="s">
        <v>6060</v>
      </c>
      <c r="AI16" s="177" t="s">
        <v>397</v>
      </c>
      <c r="AJ16" s="153" t="s">
        <v>398</v>
      </c>
      <c r="AK16" s="153"/>
    </row>
    <row r="17">
      <c r="A17" s="152">
        <v>2025.0</v>
      </c>
      <c r="B17" s="151">
        <v>399.0</v>
      </c>
      <c r="C17" s="158" t="s">
        <v>8189</v>
      </c>
      <c r="D17" s="158"/>
      <c r="E17" s="158"/>
      <c r="F17" s="8" t="str">
        <f t="shared" ref="F17:F19" si="4">CONCATENATE(A17,K17,B17)</f>
        <v>2025PH160204000399</v>
      </c>
      <c r="G17" s="158"/>
      <c r="H17" s="158" t="s">
        <v>345</v>
      </c>
      <c r="I17" s="158" t="s">
        <v>649</v>
      </c>
      <c r="J17" s="158" t="s">
        <v>2503</v>
      </c>
      <c r="K17" s="202" t="s">
        <v>2504</v>
      </c>
      <c r="L17" s="158" t="s">
        <v>149</v>
      </c>
      <c r="M17" s="158" t="s">
        <v>7633</v>
      </c>
      <c r="N17" s="160" t="s">
        <v>6273</v>
      </c>
      <c r="O17" s="160" t="s">
        <v>149</v>
      </c>
      <c r="P17" s="160" t="s">
        <v>149</v>
      </c>
      <c r="Q17" s="158" t="s">
        <v>151</v>
      </c>
      <c r="R17" s="158" t="s">
        <v>149</v>
      </c>
      <c r="S17" s="158" t="s">
        <v>149</v>
      </c>
      <c r="T17" s="158" t="s">
        <v>2506</v>
      </c>
      <c r="U17" s="158" t="s">
        <v>390</v>
      </c>
      <c r="V17" s="158" t="s">
        <v>160</v>
      </c>
      <c r="W17" s="158" t="s">
        <v>6035</v>
      </c>
      <c r="X17" s="158" t="s">
        <v>159</v>
      </c>
      <c r="Y17" s="158" t="s">
        <v>149</v>
      </c>
      <c r="Z17" s="158" t="s">
        <v>149</v>
      </c>
      <c r="AA17" s="158" t="s">
        <v>2507</v>
      </c>
      <c r="AB17" s="158" t="s">
        <v>390</v>
      </c>
      <c r="AC17" s="158" t="s">
        <v>6035</v>
      </c>
      <c r="AD17" s="158"/>
      <c r="AE17" s="158"/>
      <c r="AF17" s="158"/>
      <c r="AG17" s="158" t="s">
        <v>6084</v>
      </c>
      <c r="AH17" s="158" t="s">
        <v>2508</v>
      </c>
      <c r="AI17" s="172" t="s">
        <v>2509</v>
      </c>
      <c r="AJ17" s="158"/>
      <c r="AK17" s="158"/>
    </row>
    <row r="18">
      <c r="A18" s="152">
        <v>2023.0</v>
      </c>
      <c r="B18" s="151">
        <v>219.0</v>
      </c>
      <c r="C18" s="129" t="s">
        <v>140</v>
      </c>
      <c r="D18" s="8"/>
      <c r="F18" s="8" t="str">
        <f t="shared" si="4"/>
        <v>2023PH060406000219</v>
      </c>
      <c r="H18" s="8" t="s">
        <v>314</v>
      </c>
      <c r="I18" s="8" t="s">
        <v>315</v>
      </c>
      <c r="J18" s="8" t="s">
        <v>747</v>
      </c>
      <c r="K18" s="208" t="s">
        <v>748</v>
      </c>
      <c r="L18" s="8" t="s">
        <v>6742</v>
      </c>
      <c r="N18" s="142" t="s">
        <v>6089</v>
      </c>
      <c r="O18" s="142"/>
      <c r="P18" s="142"/>
      <c r="Q18" s="8" t="s">
        <v>151</v>
      </c>
      <c r="T18" s="8" t="s">
        <v>6968</v>
      </c>
      <c r="AE18" s="8" t="s">
        <v>6969</v>
      </c>
      <c r="AF18" s="8" t="s">
        <v>1613</v>
      </c>
      <c r="AH18" s="8" t="s">
        <v>6970</v>
      </c>
      <c r="AI18" s="172" t="s">
        <v>1609</v>
      </c>
    </row>
    <row r="19">
      <c r="A19" s="152">
        <v>2023.0</v>
      </c>
      <c r="B19" s="151">
        <v>220.0</v>
      </c>
      <c r="C19" s="129" t="s">
        <v>140</v>
      </c>
      <c r="D19" s="8"/>
      <c r="F19" s="8" t="str">
        <f t="shared" si="4"/>
        <v>2023PH060406000220</v>
      </c>
      <c r="H19" s="8" t="s">
        <v>314</v>
      </c>
      <c r="I19" s="8" t="s">
        <v>315</v>
      </c>
      <c r="J19" s="8" t="s">
        <v>747</v>
      </c>
      <c r="K19" s="8" t="s">
        <v>748</v>
      </c>
      <c r="L19" s="8" t="s">
        <v>749</v>
      </c>
      <c r="N19" s="142" t="s">
        <v>6145</v>
      </c>
      <c r="O19" s="142" t="s">
        <v>6145</v>
      </c>
      <c r="P19" s="142" t="s">
        <v>14</v>
      </c>
      <c r="Q19" s="8" t="s">
        <v>151</v>
      </c>
      <c r="T19" s="8" t="s">
        <v>752</v>
      </c>
      <c r="U19" s="8" t="s">
        <v>369</v>
      </c>
      <c r="AB19" s="8" t="s">
        <v>369</v>
      </c>
      <c r="AH19" s="8" t="s">
        <v>213</v>
      </c>
      <c r="AJ19" s="8" t="s">
        <v>753</v>
      </c>
      <c r="AK19" s="8" t="s">
        <v>754</v>
      </c>
    </row>
    <row r="20">
      <c r="A20" s="152">
        <v>2024.0</v>
      </c>
      <c r="B20" s="151">
        <v>7.0</v>
      </c>
      <c r="C20" s="153"/>
      <c r="D20" s="153"/>
      <c r="E20" s="153"/>
      <c r="F20" s="153"/>
      <c r="G20" s="153"/>
      <c r="H20" s="153" t="s">
        <v>143</v>
      </c>
      <c r="I20" s="153" t="s">
        <v>404</v>
      </c>
      <c r="J20" s="153" t="s">
        <v>405</v>
      </c>
      <c r="K20" s="173" t="s">
        <v>406</v>
      </c>
      <c r="L20" s="153" t="s">
        <v>384</v>
      </c>
      <c r="M20" s="153" t="s">
        <v>2836</v>
      </c>
      <c r="N20" s="230">
        <v>1982.0</v>
      </c>
      <c r="O20" s="230">
        <v>1985.0</v>
      </c>
      <c r="P20" s="230">
        <v>1987.0</v>
      </c>
      <c r="Q20" s="153" t="s">
        <v>151</v>
      </c>
      <c r="R20" s="153" t="s">
        <v>6076</v>
      </c>
      <c r="S20" s="158" t="s">
        <v>6076</v>
      </c>
      <c r="T20" s="158" t="s">
        <v>149</v>
      </c>
      <c r="U20" s="153" t="s">
        <v>390</v>
      </c>
      <c r="V20" s="158" t="s">
        <v>160</v>
      </c>
      <c r="W20" s="158" t="s">
        <v>6035</v>
      </c>
      <c r="X20" s="158" t="s">
        <v>159</v>
      </c>
      <c r="Y20" s="158" t="s">
        <v>149</v>
      </c>
      <c r="Z20" s="158" t="s">
        <v>149</v>
      </c>
      <c r="AA20" s="153" t="s">
        <v>7790</v>
      </c>
      <c r="AB20" s="153" t="s">
        <v>390</v>
      </c>
      <c r="AC20" s="153" t="s">
        <v>6035</v>
      </c>
      <c r="AD20" s="153" t="s">
        <v>6055</v>
      </c>
      <c r="AE20" s="153"/>
      <c r="AF20" s="153"/>
      <c r="AG20" s="158" t="s">
        <v>395</v>
      </c>
      <c r="AH20" s="153" t="s">
        <v>6060</v>
      </c>
      <c r="AI20" s="177" t="s">
        <v>397</v>
      </c>
      <c r="AJ20" s="153" t="s">
        <v>398</v>
      </c>
      <c r="AK20" s="153"/>
    </row>
    <row r="21">
      <c r="A21" s="152">
        <v>2025.0</v>
      </c>
      <c r="B21" s="151">
        <v>220.0</v>
      </c>
      <c r="C21" s="153" t="s">
        <v>8189</v>
      </c>
      <c r="D21" s="153"/>
      <c r="E21" s="153"/>
      <c r="F21" s="8" t="str">
        <f t="shared" ref="F21:F22" si="5">CONCATENATE(A21,K21,B21)</f>
        <v>2025PH060404000220</v>
      </c>
      <c r="G21" s="153"/>
      <c r="H21" s="153" t="s">
        <v>314</v>
      </c>
      <c r="I21" s="153" t="s">
        <v>315</v>
      </c>
      <c r="J21" s="153" t="s">
        <v>3090</v>
      </c>
      <c r="K21" s="173" t="s">
        <v>3091</v>
      </c>
      <c r="L21" s="158" t="s">
        <v>149</v>
      </c>
      <c r="M21" s="153" t="s">
        <v>6972</v>
      </c>
      <c r="N21" s="216" t="s">
        <v>6152</v>
      </c>
      <c r="O21" s="160" t="s">
        <v>149</v>
      </c>
      <c r="P21" s="160" t="s">
        <v>149</v>
      </c>
      <c r="Q21" s="153" t="s">
        <v>151</v>
      </c>
      <c r="R21" s="158" t="s">
        <v>149</v>
      </c>
      <c r="S21" s="158" t="s">
        <v>149</v>
      </c>
      <c r="T21" s="158" t="s">
        <v>149</v>
      </c>
      <c r="U21" s="153" t="s">
        <v>158</v>
      </c>
      <c r="V21" s="158" t="s">
        <v>160</v>
      </c>
      <c r="W21" s="158" t="s">
        <v>6035</v>
      </c>
      <c r="X21" s="158" t="s">
        <v>159</v>
      </c>
      <c r="Y21" s="158" t="s">
        <v>149</v>
      </c>
      <c r="Z21" s="158" t="s">
        <v>149</v>
      </c>
      <c r="AA21" s="158" t="s">
        <v>149</v>
      </c>
      <c r="AB21" s="153" t="s">
        <v>158</v>
      </c>
      <c r="AC21" s="153" t="s">
        <v>6035</v>
      </c>
      <c r="AD21" s="153"/>
      <c r="AE21" s="153"/>
      <c r="AF21" s="153"/>
      <c r="AG21" s="158" t="s">
        <v>166</v>
      </c>
      <c r="AH21" s="153" t="s">
        <v>3092</v>
      </c>
      <c r="AI21" s="172" t="s">
        <v>3093</v>
      </c>
      <c r="AJ21" s="153"/>
      <c r="AK21" s="153"/>
    </row>
    <row r="22">
      <c r="A22" s="152">
        <v>2023.0</v>
      </c>
      <c r="B22" s="151">
        <v>221.0</v>
      </c>
      <c r="C22" s="129" t="s">
        <v>140</v>
      </c>
      <c r="D22" s="8"/>
      <c r="F22" s="8" t="str">
        <f t="shared" si="5"/>
        <v>2023PH060412000221</v>
      </c>
      <c r="H22" s="8" t="s">
        <v>314</v>
      </c>
      <c r="I22" s="8" t="s">
        <v>315</v>
      </c>
      <c r="J22" s="8" t="s">
        <v>316</v>
      </c>
      <c r="K22" s="8" t="s">
        <v>317</v>
      </c>
      <c r="L22" s="8" t="s">
        <v>1080</v>
      </c>
      <c r="N22" s="142" t="s">
        <v>6145</v>
      </c>
      <c r="O22" s="142"/>
      <c r="P22" s="142"/>
      <c r="Q22" s="8" t="s">
        <v>6062</v>
      </c>
      <c r="R22" s="8" t="s">
        <v>730</v>
      </c>
      <c r="T22" s="8" t="s">
        <v>6978</v>
      </c>
      <c r="U22" s="8" t="s">
        <v>1084</v>
      </c>
      <c r="AB22" s="8" t="s">
        <v>739</v>
      </c>
      <c r="AD22" s="8" t="s">
        <v>369</v>
      </c>
      <c r="AE22" s="8" t="s">
        <v>1085</v>
      </c>
      <c r="AH22" s="8" t="s">
        <v>166</v>
      </c>
      <c r="AI22" s="172" t="s">
        <v>6979</v>
      </c>
    </row>
    <row r="23">
      <c r="A23" s="152">
        <v>2024.0</v>
      </c>
      <c r="B23" s="151">
        <v>8.0</v>
      </c>
      <c r="C23" s="153"/>
      <c r="D23" s="153"/>
      <c r="E23" s="153"/>
      <c r="F23" s="153"/>
      <c r="G23" s="153"/>
      <c r="H23" s="153" t="s">
        <v>143</v>
      </c>
      <c r="I23" s="153" t="s">
        <v>404</v>
      </c>
      <c r="J23" s="153" t="s">
        <v>405</v>
      </c>
      <c r="K23" s="173" t="s">
        <v>406</v>
      </c>
      <c r="L23" s="153" t="s">
        <v>384</v>
      </c>
      <c r="M23" s="153" t="s">
        <v>2836</v>
      </c>
      <c r="N23" s="230">
        <v>1983.0</v>
      </c>
      <c r="O23" s="192">
        <v>1985.0</v>
      </c>
      <c r="P23" s="192">
        <v>1987.0</v>
      </c>
      <c r="Q23" s="153" t="s">
        <v>151</v>
      </c>
      <c r="R23" s="153" t="s">
        <v>6079</v>
      </c>
      <c r="S23" s="158" t="s">
        <v>6079</v>
      </c>
      <c r="T23" s="158" t="s">
        <v>149</v>
      </c>
      <c r="U23" s="153" t="s">
        <v>390</v>
      </c>
      <c r="V23" s="158" t="s">
        <v>160</v>
      </c>
      <c r="W23" s="158" t="s">
        <v>6035</v>
      </c>
      <c r="X23" s="158" t="s">
        <v>159</v>
      </c>
      <c r="Y23" s="158" t="s">
        <v>149</v>
      </c>
      <c r="Z23" s="158" t="s">
        <v>149</v>
      </c>
      <c r="AA23" s="158" t="s">
        <v>2843</v>
      </c>
      <c r="AB23" s="153" t="s">
        <v>390</v>
      </c>
      <c r="AC23" s="153" t="s">
        <v>6035</v>
      </c>
      <c r="AD23" s="153" t="s">
        <v>6055</v>
      </c>
      <c r="AE23" s="153"/>
      <c r="AF23" s="153"/>
      <c r="AG23" s="153" t="s">
        <v>6084</v>
      </c>
      <c r="AH23" s="153" t="s">
        <v>8195</v>
      </c>
      <c r="AI23" s="165" t="s">
        <v>6080</v>
      </c>
      <c r="AJ23" s="153"/>
      <c r="AK23" s="153"/>
    </row>
    <row r="24">
      <c r="A24" s="152">
        <v>2025.0</v>
      </c>
      <c r="B24" s="151">
        <v>221.0</v>
      </c>
      <c r="C24" s="153" t="s">
        <v>8189</v>
      </c>
      <c r="D24" s="153"/>
      <c r="E24" s="153"/>
      <c r="F24" s="8" t="str">
        <f t="shared" ref="F24:F25" si="6">CONCATENATE(A24,K24,B24)</f>
        <v>2025PH060406000221</v>
      </c>
      <c r="G24" s="153"/>
      <c r="H24" s="153" t="s">
        <v>314</v>
      </c>
      <c r="I24" s="153" t="s">
        <v>315</v>
      </c>
      <c r="J24" s="153" t="s">
        <v>747</v>
      </c>
      <c r="K24" s="153" t="s">
        <v>748</v>
      </c>
      <c r="L24" s="153" t="s">
        <v>6742</v>
      </c>
      <c r="M24" s="153"/>
      <c r="N24" s="175" t="s">
        <v>6089</v>
      </c>
      <c r="O24" s="160" t="s">
        <v>149</v>
      </c>
      <c r="P24" s="160" t="s">
        <v>149</v>
      </c>
      <c r="Q24" s="153" t="s">
        <v>151</v>
      </c>
      <c r="R24" s="158" t="s">
        <v>790</v>
      </c>
      <c r="S24" s="158" t="s">
        <v>790</v>
      </c>
      <c r="T24" s="153" t="s">
        <v>8196</v>
      </c>
      <c r="U24" s="158" t="s">
        <v>1612</v>
      </c>
      <c r="V24" s="158" t="s">
        <v>160</v>
      </c>
      <c r="W24" s="158" t="s">
        <v>6035</v>
      </c>
      <c r="X24" s="158" t="s">
        <v>159</v>
      </c>
      <c r="Y24" s="158" t="s">
        <v>149</v>
      </c>
      <c r="Z24" s="158" t="s">
        <v>149</v>
      </c>
      <c r="AA24" s="158" t="s">
        <v>149</v>
      </c>
      <c r="AB24" s="158" t="s">
        <v>1613</v>
      </c>
      <c r="AC24" s="158" t="s">
        <v>662</v>
      </c>
      <c r="AD24" s="153" t="s">
        <v>1594</v>
      </c>
      <c r="AE24" s="153"/>
      <c r="AF24" s="153"/>
      <c r="AG24" s="153" t="s">
        <v>6976</v>
      </c>
      <c r="AH24" s="153" t="s">
        <v>1608</v>
      </c>
      <c r="AI24" s="165" t="s">
        <v>1614</v>
      </c>
      <c r="AJ24" s="153"/>
      <c r="AK24" s="153"/>
    </row>
    <row r="25">
      <c r="A25" s="152">
        <v>2023.0</v>
      </c>
      <c r="B25" s="151">
        <v>222.0</v>
      </c>
      <c r="C25" s="129" t="s">
        <v>140</v>
      </c>
      <c r="D25" s="8"/>
      <c r="F25" s="8" t="str">
        <f t="shared" si="6"/>
        <v>2023PH060412000222</v>
      </c>
      <c r="H25" s="8" t="s">
        <v>314</v>
      </c>
      <c r="I25" s="8" t="s">
        <v>315</v>
      </c>
      <c r="J25" s="8" t="s">
        <v>316</v>
      </c>
      <c r="K25" s="8" t="s">
        <v>317</v>
      </c>
      <c r="L25" s="8" t="s">
        <v>736</v>
      </c>
      <c r="N25" s="142" t="s">
        <v>6114</v>
      </c>
      <c r="O25" s="142"/>
      <c r="P25" s="142"/>
      <c r="Q25" s="8" t="s">
        <v>6062</v>
      </c>
      <c r="R25" s="8" t="s">
        <v>730</v>
      </c>
      <c r="U25" s="8" t="s">
        <v>738</v>
      </c>
      <c r="AB25" s="8" t="s">
        <v>739</v>
      </c>
      <c r="AD25" s="8" t="s">
        <v>369</v>
      </c>
      <c r="AE25" s="8" t="s">
        <v>738</v>
      </c>
      <c r="AH25" s="8" t="s">
        <v>166</v>
      </c>
      <c r="AI25" s="8" t="s">
        <v>741</v>
      </c>
    </row>
    <row r="26">
      <c r="A26" s="152">
        <v>2024.0</v>
      </c>
      <c r="B26" s="151">
        <v>9.0</v>
      </c>
      <c r="C26" s="153"/>
      <c r="D26" s="153"/>
      <c r="E26" s="153"/>
      <c r="F26" s="153"/>
      <c r="G26" s="153"/>
      <c r="H26" s="153" t="s">
        <v>143</v>
      </c>
      <c r="I26" s="153" t="s">
        <v>404</v>
      </c>
      <c r="J26" s="153" t="s">
        <v>405</v>
      </c>
      <c r="K26" s="153" t="s">
        <v>406</v>
      </c>
      <c r="L26" s="153" t="s">
        <v>384</v>
      </c>
      <c r="M26" s="153" t="s">
        <v>407</v>
      </c>
      <c r="N26" s="230">
        <v>1986.0</v>
      </c>
      <c r="O26" s="230">
        <v>1985.0</v>
      </c>
      <c r="P26" s="230">
        <v>1987.0</v>
      </c>
      <c r="Q26" s="153" t="s">
        <v>151</v>
      </c>
      <c r="R26" s="153" t="s">
        <v>6054</v>
      </c>
      <c r="S26" s="158" t="s">
        <v>6054</v>
      </c>
      <c r="T26" s="158" t="s">
        <v>149</v>
      </c>
      <c r="U26" s="153" t="s">
        <v>390</v>
      </c>
      <c r="V26" s="158" t="s">
        <v>160</v>
      </c>
      <c r="W26" s="158" t="s">
        <v>6035</v>
      </c>
      <c r="X26" s="158" t="s">
        <v>159</v>
      </c>
      <c r="Y26" s="158" t="s">
        <v>149</v>
      </c>
      <c r="Z26" s="158" t="s">
        <v>149</v>
      </c>
      <c r="AA26" s="153" t="s">
        <v>391</v>
      </c>
      <c r="AB26" s="153" t="s">
        <v>390</v>
      </c>
      <c r="AC26" s="153" t="s">
        <v>6035</v>
      </c>
      <c r="AD26" s="153" t="s">
        <v>6055</v>
      </c>
      <c r="AE26" s="153"/>
      <c r="AF26" s="153"/>
      <c r="AG26" s="158" t="s">
        <v>395</v>
      </c>
      <c r="AH26" s="153" t="s">
        <v>6060</v>
      </c>
      <c r="AI26" s="177" t="s">
        <v>397</v>
      </c>
      <c r="AJ26" s="153" t="s">
        <v>398</v>
      </c>
      <c r="AK26" s="153"/>
    </row>
    <row r="27">
      <c r="A27" s="152">
        <v>2025.0</v>
      </c>
      <c r="B27" s="151">
        <v>222.0</v>
      </c>
      <c r="C27" s="153" t="s">
        <v>8189</v>
      </c>
      <c r="D27" s="153"/>
      <c r="E27" s="153"/>
      <c r="F27" s="8" t="str">
        <f t="shared" ref="F27:F28" si="7">CONCATENATE(A27,K27,B27)</f>
        <v>2025PH060406000222</v>
      </c>
      <c r="G27" s="153"/>
      <c r="H27" s="153" t="s">
        <v>314</v>
      </c>
      <c r="I27" s="153" t="s">
        <v>315</v>
      </c>
      <c r="J27" s="153" t="s">
        <v>747</v>
      </c>
      <c r="K27" s="153" t="s">
        <v>748</v>
      </c>
      <c r="L27" s="158" t="s">
        <v>149</v>
      </c>
      <c r="M27" s="153" t="s">
        <v>6972</v>
      </c>
      <c r="N27" s="175" t="s">
        <v>6152</v>
      </c>
      <c r="O27" s="164" t="s">
        <v>149</v>
      </c>
      <c r="P27" s="160" t="s">
        <v>149</v>
      </c>
      <c r="Q27" s="153" t="s">
        <v>151</v>
      </c>
      <c r="R27" s="158" t="s">
        <v>149</v>
      </c>
      <c r="S27" s="158" t="s">
        <v>149</v>
      </c>
      <c r="T27" s="158" t="s">
        <v>149</v>
      </c>
      <c r="U27" s="153" t="s">
        <v>158</v>
      </c>
      <c r="V27" s="158" t="s">
        <v>160</v>
      </c>
      <c r="W27" s="158" t="s">
        <v>6035</v>
      </c>
      <c r="X27" s="158" t="s">
        <v>159</v>
      </c>
      <c r="Y27" s="158" t="s">
        <v>149</v>
      </c>
      <c r="Z27" s="158" t="s">
        <v>149</v>
      </c>
      <c r="AA27" s="158" t="s">
        <v>149</v>
      </c>
      <c r="AB27" s="153" t="s">
        <v>158</v>
      </c>
      <c r="AC27" s="153" t="s">
        <v>6035</v>
      </c>
      <c r="AD27" s="153"/>
      <c r="AE27" s="153"/>
      <c r="AF27" s="153"/>
      <c r="AG27" s="158" t="s">
        <v>166</v>
      </c>
      <c r="AH27" s="153" t="s">
        <v>3092</v>
      </c>
      <c r="AI27" s="165" t="s">
        <v>3093</v>
      </c>
      <c r="AJ27" s="153"/>
      <c r="AK27" s="153"/>
    </row>
    <row r="28">
      <c r="A28" s="152">
        <v>2023.0</v>
      </c>
      <c r="B28" s="151">
        <v>223.0</v>
      </c>
      <c r="C28" s="129" t="s">
        <v>140</v>
      </c>
      <c r="D28" s="8"/>
      <c r="F28" s="8" t="str">
        <f t="shared" si="7"/>
        <v>2023PH060412000223</v>
      </c>
      <c r="H28" s="8" t="s">
        <v>314</v>
      </c>
      <c r="I28" s="8" t="s">
        <v>315</v>
      </c>
      <c r="J28" s="8" t="s">
        <v>316</v>
      </c>
      <c r="K28" s="8" t="s">
        <v>317</v>
      </c>
      <c r="L28" s="8" t="s">
        <v>736</v>
      </c>
      <c r="N28" s="142" t="s">
        <v>6042</v>
      </c>
      <c r="O28" s="142"/>
      <c r="P28" s="142"/>
      <c r="Q28" s="8" t="s">
        <v>151</v>
      </c>
      <c r="U28" s="8" t="s">
        <v>745</v>
      </c>
      <c r="AB28" s="8" t="s">
        <v>739</v>
      </c>
      <c r="AD28" s="8" t="s">
        <v>369</v>
      </c>
      <c r="AH28" s="8" t="s">
        <v>166</v>
      </c>
      <c r="AI28" s="172" t="s">
        <v>741</v>
      </c>
    </row>
    <row r="29">
      <c r="A29" s="152">
        <v>2024.0</v>
      </c>
      <c r="B29" s="151">
        <v>10.0</v>
      </c>
      <c r="C29" s="153"/>
      <c r="D29" s="153"/>
      <c r="E29" s="153"/>
      <c r="F29" s="153"/>
      <c r="G29" s="153"/>
      <c r="H29" s="153" t="s">
        <v>143</v>
      </c>
      <c r="I29" s="153" t="s">
        <v>404</v>
      </c>
      <c r="J29" s="153" t="s">
        <v>405</v>
      </c>
      <c r="K29" s="173" t="s">
        <v>406</v>
      </c>
      <c r="L29" s="153" t="s">
        <v>384</v>
      </c>
      <c r="M29" s="153" t="s">
        <v>409</v>
      </c>
      <c r="N29" s="230">
        <v>1986.0</v>
      </c>
      <c r="O29" s="230">
        <v>1985.0</v>
      </c>
      <c r="P29" s="230">
        <v>1987.0</v>
      </c>
      <c r="Q29" s="153" t="s">
        <v>151</v>
      </c>
      <c r="R29" s="153" t="s">
        <v>6054</v>
      </c>
      <c r="S29" s="158" t="s">
        <v>6054</v>
      </c>
      <c r="T29" s="158" t="s">
        <v>149</v>
      </c>
      <c r="U29" s="153" t="s">
        <v>390</v>
      </c>
      <c r="V29" s="158" t="s">
        <v>160</v>
      </c>
      <c r="W29" s="158" t="s">
        <v>6035</v>
      </c>
      <c r="X29" s="158" t="s">
        <v>159</v>
      </c>
      <c r="Y29" s="158" t="s">
        <v>149</v>
      </c>
      <c r="Z29" s="158" t="s">
        <v>149</v>
      </c>
      <c r="AA29" s="153" t="s">
        <v>391</v>
      </c>
      <c r="AB29" s="153" t="s">
        <v>390</v>
      </c>
      <c r="AC29" s="153" t="s">
        <v>6035</v>
      </c>
      <c r="AD29" s="153" t="s">
        <v>6055</v>
      </c>
      <c r="AE29" s="153"/>
      <c r="AF29" s="153" t="s">
        <v>6056</v>
      </c>
      <c r="AG29" s="158" t="s">
        <v>395</v>
      </c>
      <c r="AH29" s="153" t="s">
        <v>6060</v>
      </c>
      <c r="AI29" s="177" t="s">
        <v>397</v>
      </c>
      <c r="AJ29" s="153" t="s">
        <v>398</v>
      </c>
      <c r="AK29" s="153"/>
    </row>
    <row r="30">
      <c r="A30" s="152">
        <v>2025.0</v>
      </c>
      <c r="B30" s="151">
        <v>223.0</v>
      </c>
      <c r="C30" s="153" t="s">
        <v>8189</v>
      </c>
      <c r="D30" s="153"/>
      <c r="E30" s="153"/>
      <c r="F30" s="8" t="str">
        <f t="shared" ref="F30:F31" si="8">CONCATENATE(A30,K30,B30)</f>
        <v>2025PH060406000223</v>
      </c>
      <c r="G30" s="153"/>
      <c r="H30" s="153" t="s">
        <v>314</v>
      </c>
      <c r="I30" s="153" t="s">
        <v>315</v>
      </c>
      <c r="J30" s="153" t="s">
        <v>747</v>
      </c>
      <c r="K30" s="153" t="s">
        <v>748</v>
      </c>
      <c r="L30" s="153" t="s">
        <v>749</v>
      </c>
      <c r="M30" s="153"/>
      <c r="N30" s="175" t="s">
        <v>6145</v>
      </c>
      <c r="O30" s="175" t="s">
        <v>6145</v>
      </c>
      <c r="P30" s="175" t="s">
        <v>14</v>
      </c>
      <c r="Q30" s="153" t="s">
        <v>151</v>
      </c>
      <c r="R30" s="158" t="s">
        <v>149</v>
      </c>
      <c r="S30" s="158" t="s">
        <v>149</v>
      </c>
      <c r="T30" s="153" t="s">
        <v>752</v>
      </c>
      <c r="U30" s="153" t="s">
        <v>369</v>
      </c>
      <c r="V30" s="158" t="s">
        <v>160</v>
      </c>
      <c r="W30" s="158" t="s">
        <v>6035</v>
      </c>
      <c r="X30" s="158" t="s">
        <v>159</v>
      </c>
      <c r="Y30" s="158" t="s">
        <v>149</v>
      </c>
      <c r="Z30" s="158" t="s">
        <v>149</v>
      </c>
      <c r="AA30" s="158" t="s">
        <v>149</v>
      </c>
      <c r="AB30" s="153" t="s">
        <v>369</v>
      </c>
      <c r="AC30" s="153" t="s">
        <v>6035</v>
      </c>
      <c r="AD30" s="153"/>
      <c r="AE30" s="153"/>
      <c r="AF30" s="153"/>
      <c r="AG30" s="153" t="s">
        <v>213</v>
      </c>
      <c r="AH30" s="153" t="s">
        <v>213</v>
      </c>
      <c r="AI30" s="153"/>
      <c r="AJ30" s="153" t="s">
        <v>753</v>
      </c>
      <c r="AK30" s="153" t="s">
        <v>754</v>
      </c>
    </row>
    <row r="31">
      <c r="A31" s="152">
        <v>2023.0</v>
      </c>
      <c r="B31" s="151">
        <v>224.0</v>
      </c>
      <c r="C31" s="129" t="s">
        <v>140</v>
      </c>
      <c r="D31" s="8"/>
      <c r="F31" s="8" t="str">
        <f t="shared" si="8"/>
        <v>2023PH060412000224</v>
      </c>
      <c r="H31" s="8" t="s">
        <v>314</v>
      </c>
      <c r="I31" s="8" t="s">
        <v>315</v>
      </c>
      <c r="J31" s="8" t="s">
        <v>316</v>
      </c>
      <c r="K31" s="8" t="s">
        <v>317</v>
      </c>
      <c r="L31" s="8" t="s">
        <v>8197</v>
      </c>
      <c r="M31" s="8" t="s">
        <v>6987</v>
      </c>
      <c r="N31" s="142" t="s">
        <v>6113</v>
      </c>
      <c r="O31" s="142"/>
      <c r="P31" s="142"/>
      <c r="Q31" s="8" t="s">
        <v>151</v>
      </c>
      <c r="R31" s="8" t="s">
        <v>337</v>
      </c>
      <c r="U31" s="8" t="s">
        <v>3103</v>
      </c>
      <c r="AB31" s="8" t="s">
        <v>3103</v>
      </c>
      <c r="AH31" s="8" t="s">
        <v>6027</v>
      </c>
      <c r="AI31" s="8" t="s">
        <v>3106</v>
      </c>
    </row>
    <row r="32">
      <c r="A32" s="152">
        <v>2024.0</v>
      </c>
      <c r="B32" s="151">
        <v>11.0</v>
      </c>
      <c r="C32" s="153"/>
      <c r="D32" s="153"/>
      <c r="E32" s="153"/>
      <c r="F32" s="153"/>
      <c r="G32" s="153"/>
      <c r="H32" s="153" t="s">
        <v>143</v>
      </c>
      <c r="I32" s="153" t="s">
        <v>404</v>
      </c>
      <c r="J32" s="153" t="s">
        <v>405</v>
      </c>
      <c r="K32" s="173" t="s">
        <v>406</v>
      </c>
      <c r="L32" s="183" t="s">
        <v>149</v>
      </c>
      <c r="M32" s="153" t="s">
        <v>6090</v>
      </c>
      <c r="N32" s="276">
        <v>2013.0</v>
      </c>
      <c r="O32" s="192" t="s">
        <v>149</v>
      </c>
      <c r="P32" s="192" t="s">
        <v>149</v>
      </c>
      <c r="Q32" s="153" t="s">
        <v>151</v>
      </c>
      <c r="R32" s="158" t="s">
        <v>153</v>
      </c>
      <c r="S32" s="158" t="s">
        <v>153</v>
      </c>
      <c r="T32" s="158" t="s">
        <v>149</v>
      </c>
      <c r="U32" s="158" t="s">
        <v>390</v>
      </c>
      <c r="V32" s="158" t="s">
        <v>160</v>
      </c>
      <c r="W32" s="158" t="s">
        <v>6035</v>
      </c>
      <c r="X32" s="158" t="s">
        <v>159</v>
      </c>
      <c r="Y32" s="158" t="s">
        <v>149</v>
      </c>
      <c r="Z32" s="158" t="s">
        <v>149</v>
      </c>
      <c r="AA32" s="158" t="s">
        <v>149</v>
      </c>
      <c r="AB32" s="158" t="s">
        <v>390</v>
      </c>
      <c r="AC32" s="153" t="s">
        <v>6035</v>
      </c>
      <c r="AD32" s="158" t="s">
        <v>369</v>
      </c>
      <c r="AE32" s="153"/>
      <c r="AF32" s="153"/>
      <c r="AG32" s="158" t="s">
        <v>6091</v>
      </c>
      <c r="AH32" s="153" t="s">
        <v>6092</v>
      </c>
      <c r="AI32" s="172" t="s">
        <v>2599</v>
      </c>
      <c r="AJ32" s="153"/>
      <c r="AK32" s="153"/>
    </row>
    <row r="33">
      <c r="A33" s="152">
        <v>2025.0</v>
      </c>
      <c r="B33" s="151">
        <v>224.0</v>
      </c>
      <c r="C33" s="153" t="s">
        <v>8189</v>
      </c>
      <c r="D33" s="153"/>
      <c r="E33" s="153"/>
      <c r="F33" s="8" t="str">
        <f t="shared" ref="F33:F34" si="9">CONCATENATE(A33,K33,B33)</f>
        <v>2025PH060407000224</v>
      </c>
      <c r="G33" s="153"/>
      <c r="H33" s="153" t="s">
        <v>314</v>
      </c>
      <c r="I33" s="153" t="s">
        <v>315</v>
      </c>
      <c r="J33" s="153" t="s">
        <v>3096</v>
      </c>
      <c r="K33" s="173" t="s">
        <v>3097</v>
      </c>
      <c r="L33" s="158" t="s">
        <v>149</v>
      </c>
      <c r="M33" s="153" t="s">
        <v>6985</v>
      </c>
      <c r="N33" s="164" t="s">
        <v>149</v>
      </c>
      <c r="O33" s="164" t="s">
        <v>149</v>
      </c>
      <c r="P33" s="160" t="s">
        <v>149</v>
      </c>
      <c r="Q33" s="153" t="s">
        <v>151</v>
      </c>
      <c r="R33" s="153" t="s">
        <v>6054</v>
      </c>
      <c r="S33" s="158" t="s">
        <v>6054</v>
      </c>
      <c r="T33" s="158" t="s">
        <v>149</v>
      </c>
      <c r="U33" s="158" t="s">
        <v>149</v>
      </c>
      <c r="V33" s="158" t="s">
        <v>149</v>
      </c>
      <c r="W33" s="158" t="s">
        <v>149</v>
      </c>
      <c r="X33" s="158" t="s">
        <v>149</v>
      </c>
      <c r="Y33" s="158" t="s">
        <v>149</v>
      </c>
      <c r="Z33" s="158" t="s">
        <v>149</v>
      </c>
      <c r="AA33" s="158" t="s">
        <v>149</v>
      </c>
      <c r="AB33" s="158" t="s">
        <v>149</v>
      </c>
      <c r="AC33" s="158" t="s">
        <v>149</v>
      </c>
      <c r="AD33" s="153"/>
      <c r="AE33" s="153"/>
      <c r="AF33" s="153"/>
      <c r="AG33" s="158" t="s">
        <v>1159</v>
      </c>
      <c r="AH33" s="153" t="s">
        <v>3098</v>
      </c>
      <c r="AI33" s="172" t="s">
        <v>3099</v>
      </c>
      <c r="AJ33" s="153"/>
      <c r="AK33" s="153"/>
    </row>
    <row r="34">
      <c r="A34" s="152">
        <v>2023.0</v>
      </c>
      <c r="B34" s="151">
        <v>225.0</v>
      </c>
      <c r="C34" s="129" t="s">
        <v>648</v>
      </c>
      <c r="D34" s="8"/>
      <c r="F34" s="8" t="str">
        <f t="shared" si="9"/>
        <v>2023PH060412000225</v>
      </c>
      <c r="H34" s="8" t="s">
        <v>314</v>
      </c>
      <c r="I34" s="8" t="s">
        <v>315</v>
      </c>
      <c r="J34" s="8" t="s">
        <v>316</v>
      </c>
      <c r="K34" s="8" t="s">
        <v>317</v>
      </c>
      <c r="L34" s="8" t="s">
        <v>6113</v>
      </c>
      <c r="N34" s="142" t="s">
        <v>6042</v>
      </c>
      <c r="O34" s="142"/>
      <c r="P34" s="142"/>
    </row>
    <row r="35">
      <c r="A35" s="152">
        <v>2024.0</v>
      </c>
      <c r="B35" s="151">
        <v>12.0</v>
      </c>
      <c r="C35" s="153"/>
      <c r="D35" s="153"/>
      <c r="E35" s="153"/>
      <c r="F35" s="153"/>
      <c r="G35" s="153"/>
      <c r="H35" s="153" t="s">
        <v>143</v>
      </c>
      <c r="I35" s="153" t="s">
        <v>404</v>
      </c>
      <c r="J35" s="153" t="s">
        <v>8198</v>
      </c>
      <c r="K35" s="153" t="s">
        <v>412</v>
      </c>
      <c r="L35" s="153" t="s">
        <v>384</v>
      </c>
      <c r="M35" s="153" t="s">
        <v>413</v>
      </c>
      <c r="N35" s="230">
        <v>1986.0</v>
      </c>
      <c r="O35" s="230">
        <v>1985.0</v>
      </c>
      <c r="P35" s="230">
        <v>1987.0</v>
      </c>
      <c r="Q35" s="153" t="s">
        <v>151</v>
      </c>
      <c r="R35" s="153" t="s">
        <v>6054</v>
      </c>
      <c r="S35" s="158" t="s">
        <v>6054</v>
      </c>
      <c r="T35" s="158" t="s">
        <v>149</v>
      </c>
      <c r="U35" s="153" t="s">
        <v>390</v>
      </c>
      <c r="V35" s="158" t="s">
        <v>160</v>
      </c>
      <c r="W35" s="158" t="s">
        <v>6035</v>
      </c>
      <c r="X35" s="158" t="s">
        <v>159</v>
      </c>
      <c r="Y35" s="158" t="s">
        <v>149</v>
      </c>
      <c r="Z35" s="158" t="s">
        <v>149</v>
      </c>
      <c r="AA35" s="153" t="s">
        <v>414</v>
      </c>
      <c r="AB35" s="153" t="s">
        <v>390</v>
      </c>
      <c r="AC35" s="153" t="s">
        <v>6035</v>
      </c>
      <c r="AD35" s="153" t="s">
        <v>6055</v>
      </c>
      <c r="AE35" s="153"/>
      <c r="AF35" s="153" t="s">
        <v>6056</v>
      </c>
      <c r="AG35" s="158" t="s">
        <v>395</v>
      </c>
      <c r="AH35" s="153" t="s">
        <v>6060</v>
      </c>
      <c r="AI35" s="177" t="s">
        <v>397</v>
      </c>
      <c r="AJ35" s="153" t="s">
        <v>398</v>
      </c>
      <c r="AK35" s="153"/>
    </row>
    <row r="36">
      <c r="A36" s="152">
        <v>2025.0</v>
      </c>
      <c r="B36" s="151">
        <v>225.0</v>
      </c>
      <c r="C36" s="153" t="s">
        <v>8189</v>
      </c>
      <c r="D36" s="153"/>
      <c r="E36" s="153"/>
      <c r="F36" s="8" t="str">
        <f t="shared" ref="F36:F37" si="10">CONCATENATE(A36,K36,B36)</f>
        <v>2025PH060412000225</v>
      </c>
      <c r="G36" s="153"/>
      <c r="H36" s="153" t="s">
        <v>314</v>
      </c>
      <c r="I36" s="153" t="s">
        <v>315</v>
      </c>
      <c r="J36" s="153" t="s">
        <v>316</v>
      </c>
      <c r="K36" s="153" t="s">
        <v>317</v>
      </c>
      <c r="L36" s="158" t="s">
        <v>149</v>
      </c>
      <c r="M36" s="153" t="s">
        <v>6990</v>
      </c>
      <c r="N36" s="175" t="s">
        <v>8199</v>
      </c>
      <c r="O36" s="164" t="s">
        <v>149</v>
      </c>
      <c r="P36" s="160" t="s">
        <v>149</v>
      </c>
      <c r="Q36" s="153" t="s">
        <v>151</v>
      </c>
      <c r="R36" s="153" t="s">
        <v>790</v>
      </c>
      <c r="S36" s="153" t="s">
        <v>790</v>
      </c>
      <c r="T36" s="158" t="s">
        <v>149</v>
      </c>
      <c r="U36" s="158" t="s">
        <v>149</v>
      </c>
      <c r="V36" s="158" t="s">
        <v>149</v>
      </c>
      <c r="W36" s="158" t="s">
        <v>149</v>
      </c>
      <c r="X36" s="158" t="s">
        <v>149</v>
      </c>
      <c r="Y36" s="158" t="s">
        <v>149</v>
      </c>
      <c r="Z36" s="158" t="s">
        <v>149</v>
      </c>
      <c r="AA36" s="158" t="s">
        <v>149</v>
      </c>
      <c r="AB36" s="158" t="s">
        <v>149</v>
      </c>
      <c r="AC36" s="158" t="s">
        <v>149</v>
      </c>
      <c r="AD36" s="153"/>
      <c r="AE36" s="153"/>
      <c r="AF36" s="153"/>
      <c r="AG36" s="158" t="s">
        <v>1159</v>
      </c>
      <c r="AH36" s="153" t="s">
        <v>3098</v>
      </c>
      <c r="AI36" s="165" t="s">
        <v>3099</v>
      </c>
      <c r="AJ36" s="153"/>
      <c r="AK36" s="153"/>
    </row>
    <row r="37">
      <c r="A37" s="152">
        <v>2023.0</v>
      </c>
      <c r="B37" s="151">
        <v>226.0</v>
      </c>
      <c r="C37" s="129" t="s">
        <v>140</v>
      </c>
      <c r="D37" s="8"/>
      <c r="F37" s="8" t="str">
        <f t="shared" si="10"/>
        <v>2023PH060412000226</v>
      </c>
      <c r="H37" s="8" t="s">
        <v>314</v>
      </c>
      <c r="I37" s="8" t="s">
        <v>315</v>
      </c>
      <c r="J37" s="8" t="s">
        <v>316</v>
      </c>
      <c r="K37" s="8" t="s">
        <v>317</v>
      </c>
      <c r="L37" s="8" t="s">
        <v>318</v>
      </c>
      <c r="N37" s="142" t="s">
        <v>6113</v>
      </c>
      <c r="O37" s="142"/>
      <c r="P37" s="142"/>
      <c r="Q37" s="8" t="s">
        <v>6062</v>
      </c>
      <c r="AD37" s="8" t="s">
        <v>325</v>
      </c>
      <c r="AE37" s="8" t="s">
        <v>326</v>
      </c>
      <c r="AH37" s="8" t="s">
        <v>166</v>
      </c>
      <c r="AI37" s="172" t="s">
        <v>6992</v>
      </c>
    </row>
    <row r="38">
      <c r="A38" s="152">
        <v>2024.0</v>
      </c>
      <c r="B38" s="151">
        <v>13.0</v>
      </c>
      <c r="C38" s="153"/>
      <c r="D38" s="153"/>
      <c r="E38" s="153"/>
      <c r="F38" s="153"/>
      <c r="G38" s="153"/>
      <c r="H38" s="153" t="s">
        <v>143</v>
      </c>
      <c r="I38" s="153" t="s">
        <v>404</v>
      </c>
      <c r="J38" s="153" t="s">
        <v>8200</v>
      </c>
      <c r="K38" s="153" t="s">
        <v>412</v>
      </c>
      <c r="L38" s="158" t="s">
        <v>149</v>
      </c>
      <c r="M38" s="158" t="s">
        <v>3047</v>
      </c>
      <c r="N38" s="230">
        <v>2018.0</v>
      </c>
      <c r="O38" s="192" t="s">
        <v>149</v>
      </c>
      <c r="P38" s="192" t="s">
        <v>149</v>
      </c>
      <c r="Q38" s="153" t="s">
        <v>151</v>
      </c>
      <c r="R38" s="158" t="s">
        <v>153</v>
      </c>
      <c r="S38" s="158" t="s">
        <v>153</v>
      </c>
      <c r="T38" s="158" t="s">
        <v>149</v>
      </c>
      <c r="U38" s="153" t="s">
        <v>390</v>
      </c>
      <c r="V38" s="158" t="s">
        <v>160</v>
      </c>
      <c r="W38" s="158" t="s">
        <v>6035</v>
      </c>
      <c r="X38" s="158" t="s">
        <v>159</v>
      </c>
      <c r="Y38" s="158" t="s">
        <v>149</v>
      </c>
      <c r="Z38" s="158" t="s">
        <v>149</v>
      </c>
      <c r="AA38" s="158" t="s">
        <v>149</v>
      </c>
      <c r="AB38" s="158" t="s">
        <v>390</v>
      </c>
      <c r="AC38" s="153" t="s">
        <v>6035</v>
      </c>
      <c r="AD38" s="158" t="s">
        <v>3048</v>
      </c>
      <c r="AE38" s="153"/>
      <c r="AF38" s="153"/>
      <c r="AG38" s="158" t="s">
        <v>6038</v>
      </c>
      <c r="AH38" s="158" t="s">
        <v>6100</v>
      </c>
      <c r="AI38" s="177" t="s">
        <v>3050</v>
      </c>
      <c r="AJ38" s="153"/>
      <c r="AK38" s="153"/>
    </row>
    <row r="39">
      <c r="A39" s="152">
        <v>2025.0</v>
      </c>
      <c r="B39" s="151">
        <v>226.0</v>
      </c>
      <c r="C39" s="153" t="s">
        <v>8189</v>
      </c>
      <c r="D39" s="153"/>
      <c r="E39" s="153"/>
      <c r="F39" s="8" t="str">
        <f t="shared" ref="F39:F40" si="11">CONCATENATE(A39,K39,B39)</f>
        <v>2025PH060412000226</v>
      </c>
      <c r="G39" s="153"/>
      <c r="H39" s="153" t="s">
        <v>314</v>
      </c>
      <c r="I39" s="153" t="s">
        <v>315</v>
      </c>
      <c r="J39" s="153" t="s">
        <v>316</v>
      </c>
      <c r="K39" s="173" t="s">
        <v>317</v>
      </c>
      <c r="L39" s="153" t="s">
        <v>1080</v>
      </c>
      <c r="M39" s="153"/>
      <c r="N39" s="175" t="s">
        <v>6145</v>
      </c>
      <c r="O39" s="160" t="s">
        <v>149</v>
      </c>
      <c r="P39" s="160" t="s">
        <v>149</v>
      </c>
      <c r="Q39" s="153" t="s">
        <v>6062</v>
      </c>
      <c r="R39" s="153" t="s">
        <v>730</v>
      </c>
      <c r="S39" s="153" t="s">
        <v>179</v>
      </c>
      <c r="T39" s="153" t="s">
        <v>6978</v>
      </c>
      <c r="U39" s="153" t="s">
        <v>1084</v>
      </c>
      <c r="V39" s="158" t="s">
        <v>160</v>
      </c>
      <c r="W39" s="158" t="s">
        <v>184</v>
      </c>
      <c r="X39" s="158" t="s">
        <v>159</v>
      </c>
      <c r="Y39" s="158" t="s">
        <v>149</v>
      </c>
      <c r="Z39" s="158" t="s">
        <v>149</v>
      </c>
      <c r="AA39" s="158" t="s">
        <v>149</v>
      </c>
      <c r="AB39" s="153" t="s">
        <v>739</v>
      </c>
      <c r="AC39" s="158" t="s">
        <v>306</v>
      </c>
      <c r="AD39" s="153" t="s">
        <v>369</v>
      </c>
      <c r="AE39" s="153" t="s">
        <v>1085</v>
      </c>
      <c r="AF39" s="153"/>
      <c r="AG39" s="158" t="s">
        <v>166</v>
      </c>
      <c r="AH39" s="153" t="s">
        <v>1086</v>
      </c>
      <c r="AI39" s="165" t="s">
        <v>6979</v>
      </c>
      <c r="AJ39" s="153"/>
      <c r="AK39" s="153"/>
    </row>
    <row r="40">
      <c r="A40" s="152">
        <v>2023.0</v>
      </c>
      <c r="B40" s="151">
        <v>227.0</v>
      </c>
      <c r="C40" s="129" t="s">
        <v>140</v>
      </c>
      <c r="D40" s="8"/>
      <c r="F40" s="8" t="str">
        <f t="shared" si="11"/>
        <v>2023PH060412000227</v>
      </c>
      <c r="H40" s="8" t="s">
        <v>314</v>
      </c>
      <c r="I40" s="8" t="s">
        <v>315</v>
      </c>
      <c r="J40" s="8" t="s">
        <v>316</v>
      </c>
      <c r="K40" s="8" t="s">
        <v>317</v>
      </c>
      <c r="L40" s="8" t="s">
        <v>850</v>
      </c>
      <c r="N40" s="142" t="s">
        <v>6151</v>
      </c>
      <c r="O40" s="142"/>
      <c r="P40" s="142"/>
      <c r="Q40" s="8" t="s">
        <v>151</v>
      </c>
      <c r="R40" s="8" t="s">
        <v>8028</v>
      </c>
      <c r="U40" s="8" t="s">
        <v>852</v>
      </c>
      <c r="AB40" s="8" t="s">
        <v>326</v>
      </c>
      <c r="AE40" s="8" t="s">
        <v>854</v>
      </c>
      <c r="AH40" s="8" t="s">
        <v>6517</v>
      </c>
      <c r="AI40" s="8" t="s">
        <v>6995</v>
      </c>
    </row>
    <row r="41">
      <c r="A41" s="152">
        <v>2024.0</v>
      </c>
      <c r="B41" s="151">
        <v>14.0</v>
      </c>
      <c r="C41" s="153"/>
      <c r="D41" s="153"/>
      <c r="E41" s="153"/>
      <c r="F41" s="153"/>
      <c r="G41" s="153"/>
      <c r="H41" s="153" t="s">
        <v>143</v>
      </c>
      <c r="I41" s="153" t="s">
        <v>404</v>
      </c>
      <c r="J41" s="153" t="s">
        <v>416</v>
      </c>
      <c r="K41" s="173" t="s">
        <v>417</v>
      </c>
      <c r="L41" s="153" t="s">
        <v>384</v>
      </c>
      <c r="M41" s="153" t="s">
        <v>418</v>
      </c>
      <c r="N41" s="276">
        <v>1986.0</v>
      </c>
      <c r="O41" s="230">
        <v>1985.0</v>
      </c>
      <c r="P41" s="230">
        <v>1987.0</v>
      </c>
      <c r="Q41" s="153" t="s">
        <v>151</v>
      </c>
      <c r="R41" s="153" t="s">
        <v>6054</v>
      </c>
      <c r="S41" s="158" t="s">
        <v>6054</v>
      </c>
      <c r="T41" s="158" t="s">
        <v>149</v>
      </c>
      <c r="U41" s="153" t="s">
        <v>390</v>
      </c>
      <c r="V41" s="158" t="s">
        <v>160</v>
      </c>
      <c r="W41" s="158" t="s">
        <v>6035</v>
      </c>
      <c r="X41" s="158" t="s">
        <v>159</v>
      </c>
      <c r="Y41" s="158" t="s">
        <v>149</v>
      </c>
      <c r="Z41" s="158" t="s">
        <v>149</v>
      </c>
      <c r="AA41" s="153" t="s">
        <v>414</v>
      </c>
      <c r="AB41" s="153" t="s">
        <v>390</v>
      </c>
      <c r="AC41" s="153" t="s">
        <v>6035</v>
      </c>
      <c r="AD41" s="153" t="s">
        <v>6055</v>
      </c>
      <c r="AE41" s="153"/>
      <c r="AF41" s="153" t="s">
        <v>6056</v>
      </c>
      <c r="AG41" s="158" t="s">
        <v>395</v>
      </c>
      <c r="AH41" s="153" t="s">
        <v>6060</v>
      </c>
      <c r="AI41" s="177" t="s">
        <v>397</v>
      </c>
      <c r="AJ41" s="153" t="s">
        <v>398</v>
      </c>
      <c r="AK41" s="153"/>
    </row>
    <row r="42">
      <c r="A42" s="152">
        <v>2025.0</v>
      </c>
      <c r="B42" s="151">
        <v>227.0</v>
      </c>
      <c r="C42" s="153" t="s">
        <v>8189</v>
      </c>
      <c r="D42" s="153"/>
      <c r="E42" s="153"/>
      <c r="F42" s="8" t="str">
        <f t="shared" ref="F42:F43" si="12">CONCATENATE(A42,K42,B42)</f>
        <v>2025PH060412000227</v>
      </c>
      <c r="G42" s="153"/>
      <c r="H42" s="153" t="s">
        <v>314</v>
      </c>
      <c r="I42" s="153" t="s">
        <v>315</v>
      </c>
      <c r="J42" s="153" t="s">
        <v>316</v>
      </c>
      <c r="K42" s="173" t="s">
        <v>317</v>
      </c>
      <c r="L42" s="153" t="s">
        <v>736</v>
      </c>
      <c r="M42" s="153" t="s">
        <v>6997</v>
      </c>
      <c r="N42" s="175" t="s">
        <v>6114</v>
      </c>
      <c r="O42" s="160" t="s">
        <v>149</v>
      </c>
      <c r="P42" s="160" t="s">
        <v>149</v>
      </c>
      <c r="Q42" s="153" t="s">
        <v>6062</v>
      </c>
      <c r="R42" s="153" t="s">
        <v>730</v>
      </c>
      <c r="S42" s="153" t="s">
        <v>179</v>
      </c>
      <c r="T42" s="158" t="s">
        <v>149</v>
      </c>
      <c r="U42" s="153" t="s">
        <v>738</v>
      </c>
      <c r="V42" s="158" t="s">
        <v>160</v>
      </c>
      <c r="W42" s="158" t="s">
        <v>184</v>
      </c>
      <c r="X42" s="158" t="s">
        <v>159</v>
      </c>
      <c r="Y42" s="158" t="s">
        <v>149</v>
      </c>
      <c r="Z42" s="158" t="s">
        <v>149</v>
      </c>
      <c r="AA42" s="158" t="s">
        <v>149</v>
      </c>
      <c r="AB42" s="153" t="s">
        <v>739</v>
      </c>
      <c r="AC42" s="158" t="s">
        <v>306</v>
      </c>
      <c r="AD42" s="153" t="s">
        <v>369</v>
      </c>
      <c r="AE42" s="153" t="s">
        <v>738</v>
      </c>
      <c r="AF42" s="153"/>
      <c r="AG42" s="158" t="s">
        <v>166</v>
      </c>
      <c r="AH42" s="153" t="s">
        <v>6998</v>
      </c>
      <c r="AI42" s="165" t="s">
        <v>741</v>
      </c>
      <c r="AJ42" s="153"/>
      <c r="AK42" s="153"/>
    </row>
    <row r="43">
      <c r="A43" s="152">
        <v>2023.0</v>
      </c>
      <c r="B43" s="151">
        <v>228.0</v>
      </c>
      <c r="C43" s="129" t="s">
        <v>140</v>
      </c>
      <c r="D43" s="8"/>
      <c r="F43" s="8" t="str">
        <f t="shared" si="12"/>
        <v>2023PH060412000228</v>
      </c>
      <c r="H43" s="8" t="s">
        <v>314</v>
      </c>
      <c r="I43" s="8" t="s">
        <v>315</v>
      </c>
      <c r="J43" s="8" t="s">
        <v>316</v>
      </c>
      <c r="K43" s="208" t="s">
        <v>317</v>
      </c>
      <c r="L43" s="8" t="s">
        <v>1174</v>
      </c>
      <c r="N43" s="142"/>
      <c r="O43" s="142" t="s">
        <v>6151</v>
      </c>
      <c r="P43" s="142" t="s">
        <v>6089</v>
      </c>
      <c r="Q43" s="8" t="s">
        <v>6062</v>
      </c>
      <c r="R43" s="8" t="s">
        <v>320</v>
      </c>
      <c r="U43" s="8" t="s">
        <v>321</v>
      </c>
      <c r="AA43" s="8" t="s">
        <v>1267</v>
      </c>
      <c r="AB43" s="8" t="s">
        <v>885</v>
      </c>
      <c r="AE43" s="8" t="s">
        <v>1204</v>
      </c>
      <c r="AH43" s="8" t="s">
        <v>6069</v>
      </c>
    </row>
    <row r="44">
      <c r="A44" s="152">
        <v>2024.0</v>
      </c>
      <c r="B44" s="151">
        <v>15.0</v>
      </c>
      <c r="C44" s="153"/>
      <c r="D44" s="153"/>
      <c r="E44" s="153"/>
      <c r="F44" s="153"/>
      <c r="G44" s="153"/>
      <c r="H44" s="153" t="s">
        <v>143</v>
      </c>
      <c r="I44" s="153" t="s">
        <v>404</v>
      </c>
      <c r="J44" s="153" t="s">
        <v>420</v>
      </c>
      <c r="K44" s="153" t="s">
        <v>421</v>
      </c>
      <c r="L44" s="153" t="s">
        <v>384</v>
      </c>
      <c r="M44" s="153" t="s">
        <v>422</v>
      </c>
      <c r="N44" s="230">
        <v>1986.0</v>
      </c>
      <c r="O44" s="230">
        <v>1985.0</v>
      </c>
      <c r="P44" s="230">
        <v>1987.0</v>
      </c>
      <c r="Q44" s="153" t="s">
        <v>151</v>
      </c>
      <c r="R44" s="153" t="s">
        <v>6054</v>
      </c>
      <c r="S44" s="158" t="s">
        <v>6054</v>
      </c>
      <c r="T44" s="158" t="s">
        <v>149</v>
      </c>
      <c r="U44" s="153" t="s">
        <v>390</v>
      </c>
      <c r="V44" s="158" t="s">
        <v>160</v>
      </c>
      <c r="W44" s="158" t="s">
        <v>6035</v>
      </c>
      <c r="X44" s="158" t="s">
        <v>159</v>
      </c>
      <c r="Y44" s="158" t="s">
        <v>149</v>
      </c>
      <c r="Z44" s="158" t="s">
        <v>149</v>
      </c>
      <c r="AA44" s="153" t="s">
        <v>414</v>
      </c>
      <c r="AB44" s="153" t="s">
        <v>390</v>
      </c>
      <c r="AC44" s="153" t="s">
        <v>6035</v>
      </c>
      <c r="AD44" s="153" t="s">
        <v>6055</v>
      </c>
      <c r="AE44" s="153"/>
      <c r="AF44" s="153" t="s">
        <v>6056</v>
      </c>
      <c r="AG44" s="158" t="s">
        <v>395</v>
      </c>
      <c r="AH44" s="153" t="s">
        <v>6060</v>
      </c>
      <c r="AI44" s="177" t="s">
        <v>397</v>
      </c>
      <c r="AJ44" s="153" t="s">
        <v>398</v>
      </c>
      <c r="AK44" s="153"/>
    </row>
    <row r="45">
      <c r="A45" s="152">
        <v>2025.0</v>
      </c>
      <c r="B45" s="151">
        <v>228.0</v>
      </c>
      <c r="C45" s="153" t="s">
        <v>8189</v>
      </c>
      <c r="D45" s="153"/>
      <c r="E45" s="153"/>
      <c r="F45" s="8" t="str">
        <f t="shared" ref="F45:F46" si="13">CONCATENATE(A45,K45,B45)</f>
        <v>2025PH060412000228</v>
      </c>
      <c r="G45" s="153"/>
      <c r="H45" s="153" t="s">
        <v>314</v>
      </c>
      <c r="I45" s="153" t="s">
        <v>315</v>
      </c>
      <c r="J45" s="153" t="s">
        <v>316</v>
      </c>
      <c r="K45" s="153" t="s">
        <v>317</v>
      </c>
      <c r="L45" s="153" t="s">
        <v>736</v>
      </c>
      <c r="M45" s="153" t="s">
        <v>7001</v>
      </c>
      <c r="N45" s="175" t="s">
        <v>6042</v>
      </c>
      <c r="O45" s="160" t="s">
        <v>149</v>
      </c>
      <c r="P45" s="160" t="s">
        <v>149</v>
      </c>
      <c r="Q45" s="153" t="s">
        <v>151</v>
      </c>
      <c r="R45" s="158" t="s">
        <v>149</v>
      </c>
      <c r="S45" s="158" t="s">
        <v>149</v>
      </c>
      <c r="T45" s="158" t="s">
        <v>149</v>
      </c>
      <c r="U45" s="153" t="s">
        <v>745</v>
      </c>
      <c r="V45" s="158" t="s">
        <v>160</v>
      </c>
      <c r="W45" s="158" t="s">
        <v>184</v>
      </c>
      <c r="X45" s="158" t="s">
        <v>159</v>
      </c>
      <c r="Y45" s="158" t="s">
        <v>149</v>
      </c>
      <c r="Z45" s="158" t="s">
        <v>149</v>
      </c>
      <c r="AA45" s="158" t="s">
        <v>149</v>
      </c>
      <c r="AB45" s="153" t="s">
        <v>739</v>
      </c>
      <c r="AC45" s="158" t="s">
        <v>306</v>
      </c>
      <c r="AD45" s="153" t="s">
        <v>369</v>
      </c>
      <c r="AE45" s="153"/>
      <c r="AF45" s="153"/>
      <c r="AG45" s="158" t="s">
        <v>166</v>
      </c>
      <c r="AH45" s="153" t="s">
        <v>6998</v>
      </c>
      <c r="AI45" s="165" t="s">
        <v>741</v>
      </c>
      <c r="AJ45" s="153"/>
      <c r="AK45" s="153"/>
    </row>
    <row r="46">
      <c r="A46" s="152">
        <v>2023.0</v>
      </c>
      <c r="B46" s="151">
        <v>229.0</v>
      </c>
      <c r="C46" s="129" t="s">
        <v>140</v>
      </c>
      <c r="D46" s="8"/>
      <c r="F46" s="8" t="str">
        <f t="shared" si="13"/>
        <v>2023PH060417000229</v>
      </c>
      <c r="H46" s="8" t="s">
        <v>314</v>
      </c>
      <c r="I46" s="8" t="s">
        <v>315</v>
      </c>
      <c r="J46" s="8" t="s">
        <v>1199</v>
      </c>
      <c r="K46" s="8" t="s">
        <v>1200</v>
      </c>
      <c r="L46" s="8" t="s">
        <v>2237</v>
      </c>
      <c r="N46" s="142" t="s">
        <v>6113</v>
      </c>
      <c r="O46" s="142"/>
      <c r="P46" s="142"/>
      <c r="Q46" s="8" t="s">
        <v>6624</v>
      </c>
      <c r="R46" s="8" t="s">
        <v>179</v>
      </c>
      <c r="T46" s="8" t="s">
        <v>2238</v>
      </c>
      <c r="Z46" s="8" t="s">
        <v>2239</v>
      </c>
      <c r="AB46" s="8" t="s">
        <v>369</v>
      </c>
      <c r="AD46" s="8" t="s">
        <v>390</v>
      </c>
      <c r="AH46" s="8" t="s">
        <v>1159</v>
      </c>
      <c r="AI46" s="8" t="s">
        <v>7005</v>
      </c>
    </row>
    <row r="47">
      <c r="A47" s="152">
        <v>2024.0</v>
      </c>
      <c r="B47" s="151">
        <v>16.0</v>
      </c>
      <c r="C47" s="153"/>
      <c r="D47" s="153"/>
      <c r="E47" s="153"/>
      <c r="F47" s="153"/>
      <c r="G47" s="153"/>
      <c r="H47" s="153" t="s">
        <v>143</v>
      </c>
      <c r="I47" s="153" t="s">
        <v>404</v>
      </c>
      <c r="J47" s="153" t="s">
        <v>3052</v>
      </c>
      <c r="K47" s="153" t="s">
        <v>3053</v>
      </c>
      <c r="L47" s="185" t="s">
        <v>149</v>
      </c>
      <c r="M47" s="158" t="s">
        <v>3054</v>
      </c>
      <c r="N47" s="192" t="s">
        <v>149</v>
      </c>
      <c r="O47" s="192" t="s">
        <v>149</v>
      </c>
      <c r="P47" s="192" t="s">
        <v>149</v>
      </c>
      <c r="Q47" s="153" t="s">
        <v>151</v>
      </c>
      <c r="R47" s="158" t="s">
        <v>2049</v>
      </c>
      <c r="S47" s="158" t="s">
        <v>2049</v>
      </c>
      <c r="T47" s="158" t="s">
        <v>149</v>
      </c>
      <c r="U47" s="158" t="s">
        <v>3055</v>
      </c>
      <c r="V47" s="158" t="s">
        <v>160</v>
      </c>
      <c r="W47" s="158" t="s">
        <v>184</v>
      </c>
      <c r="X47" s="158" t="s">
        <v>159</v>
      </c>
      <c r="Y47" s="158" t="s">
        <v>149</v>
      </c>
      <c r="Z47" s="158" t="s">
        <v>149</v>
      </c>
      <c r="AA47" s="158" t="s">
        <v>149</v>
      </c>
      <c r="AB47" s="153" t="s">
        <v>3055</v>
      </c>
      <c r="AC47" s="158" t="s">
        <v>184</v>
      </c>
      <c r="AD47" s="153"/>
      <c r="AE47" s="153"/>
      <c r="AF47" s="153"/>
      <c r="AG47" s="153" t="s">
        <v>6038</v>
      </c>
      <c r="AH47" s="153" t="s">
        <v>6105</v>
      </c>
      <c r="AI47" s="153"/>
      <c r="AJ47" s="153"/>
      <c r="AK47" s="153"/>
    </row>
    <row r="48">
      <c r="A48" s="152">
        <v>2025.0</v>
      </c>
      <c r="B48" s="151">
        <v>229.0</v>
      </c>
      <c r="C48" s="153" t="s">
        <v>8189</v>
      </c>
      <c r="D48" s="153"/>
      <c r="E48" s="153"/>
      <c r="F48" s="8" t="str">
        <f t="shared" ref="F48:F49" si="14">CONCATENATE(A48,K48,B48)</f>
        <v>2025PH060412000229</v>
      </c>
      <c r="G48" s="153"/>
      <c r="H48" s="153" t="s">
        <v>314</v>
      </c>
      <c r="I48" s="153" t="s">
        <v>315</v>
      </c>
      <c r="J48" s="153" t="s">
        <v>316</v>
      </c>
      <c r="K48" s="153" t="s">
        <v>317</v>
      </c>
      <c r="L48" s="158" t="s">
        <v>149</v>
      </c>
      <c r="M48" s="153" t="s">
        <v>6987</v>
      </c>
      <c r="N48" s="160" t="s">
        <v>149</v>
      </c>
      <c r="O48" s="160" t="s">
        <v>149</v>
      </c>
      <c r="P48" s="160" t="s">
        <v>149</v>
      </c>
      <c r="Q48" s="153" t="s">
        <v>151</v>
      </c>
      <c r="R48" s="158" t="s">
        <v>337</v>
      </c>
      <c r="S48" s="153" t="s">
        <v>337</v>
      </c>
      <c r="T48" s="158" t="s">
        <v>149</v>
      </c>
      <c r="U48" s="153" t="s">
        <v>3103</v>
      </c>
      <c r="V48" s="158" t="s">
        <v>160</v>
      </c>
      <c r="W48" s="158" t="s">
        <v>271</v>
      </c>
      <c r="X48" s="158" t="s">
        <v>159</v>
      </c>
      <c r="Y48" s="158" t="s">
        <v>149</v>
      </c>
      <c r="Z48" s="158" t="s">
        <v>149</v>
      </c>
      <c r="AA48" s="153" t="s">
        <v>3104</v>
      </c>
      <c r="AB48" s="153" t="s">
        <v>3103</v>
      </c>
      <c r="AC48" s="153" t="s">
        <v>271</v>
      </c>
      <c r="AD48" s="153"/>
      <c r="AE48" s="153"/>
      <c r="AF48" s="153"/>
      <c r="AG48" s="153" t="s">
        <v>7003</v>
      </c>
      <c r="AH48" s="153" t="s">
        <v>3105</v>
      </c>
      <c r="AI48" s="165" t="s">
        <v>3106</v>
      </c>
      <c r="AJ48" s="153"/>
      <c r="AK48" s="153"/>
    </row>
    <row r="49">
      <c r="A49" s="152">
        <v>2023.0</v>
      </c>
      <c r="B49" s="151">
        <v>230.0</v>
      </c>
      <c r="C49" s="129" t="s">
        <v>140</v>
      </c>
      <c r="D49" s="8"/>
      <c r="F49" s="8" t="str">
        <f t="shared" si="14"/>
        <v>2023PH060417000230</v>
      </c>
      <c r="H49" s="8" t="s">
        <v>314</v>
      </c>
      <c r="I49" s="8" t="s">
        <v>315</v>
      </c>
      <c r="J49" s="8" t="s">
        <v>1199</v>
      </c>
      <c r="K49" s="208" t="s">
        <v>1200</v>
      </c>
      <c r="L49" s="8" t="s">
        <v>1174</v>
      </c>
      <c r="N49" s="142"/>
      <c r="O49" s="142" t="s">
        <v>6151</v>
      </c>
      <c r="P49" s="142" t="s">
        <v>6089</v>
      </c>
      <c r="Q49" s="8" t="s">
        <v>6062</v>
      </c>
      <c r="R49" s="8" t="s">
        <v>1201</v>
      </c>
      <c r="T49" s="8" t="s">
        <v>1202</v>
      </c>
      <c r="U49" s="8" t="s">
        <v>321</v>
      </c>
      <c r="AA49" s="8" t="s">
        <v>1203</v>
      </c>
      <c r="AB49" s="8" t="s">
        <v>885</v>
      </c>
      <c r="AD49" s="8" t="s">
        <v>1204</v>
      </c>
      <c r="AH49" s="8" t="s">
        <v>6069</v>
      </c>
    </row>
    <row r="50">
      <c r="A50" s="152">
        <v>2024.0</v>
      </c>
      <c r="B50" s="151">
        <v>17.0</v>
      </c>
      <c r="C50" s="153"/>
      <c r="D50" s="153"/>
      <c r="E50" s="153"/>
      <c r="F50" s="153"/>
      <c r="G50" s="153"/>
      <c r="H50" s="153" t="s">
        <v>143</v>
      </c>
      <c r="I50" s="153" t="s">
        <v>404</v>
      </c>
      <c r="J50" s="153" t="s">
        <v>424</v>
      </c>
      <c r="K50" s="173" t="s">
        <v>425</v>
      </c>
      <c r="L50" s="153" t="s">
        <v>384</v>
      </c>
      <c r="M50" s="153" t="s">
        <v>426</v>
      </c>
      <c r="N50" s="230">
        <v>1986.0</v>
      </c>
      <c r="O50" s="230">
        <v>1985.0</v>
      </c>
      <c r="P50" s="230">
        <v>1987.0</v>
      </c>
      <c r="Q50" s="153" t="s">
        <v>151</v>
      </c>
      <c r="R50" s="153" t="s">
        <v>6054</v>
      </c>
      <c r="S50" s="158" t="s">
        <v>6054</v>
      </c>
      <c r="T50" s="158" t="s">
        <v>149</v>
      </c>
      <c r="U50" s="153" t="s">
        <v>390</v>
      </c>
      <c r="V50" s="158" t="s">
        <v>160</v>
      </c>
      <c r="W50" s="158" t="s">
        <v>6035</v>
      </c>
      <c r="X50" s="158" t="s">
        <v>159</v>
      </c>
      <c r="Y50" s="158" t="s">
        <v>149</v>
      </c>
      <c r="Z50" s="158" t="s">
        <v>149</v>
      </c>
      <c r="AA50" s="153" t="s">
        <v>391</v>
      </c>
      <c r="AB50" s="153" t="s">
        <v>390</v>
      </c>
      <c r="AC50" s="153" t="s">
        <v>6035</v>
      </c>
      <c r="AD50" s="153" t="s">
        <v>6055</v>
      </c>
      <c r="AE50" s="153"/>
      <c r="AF50" s="153" t="s">
        <v>6056</v>
      </c>
      <c r="AG50" s="158" t="s">
        <v>395</v>
      </c>
      <c r="AH50" s="153" t="s">
        <v>6060</v>
      </c>
      <c r="AI50" s="177" t="s">
        <v>397</v>
      </c>
      <c r="AJ50" s="153" t="s">
        <v>398</v>
      </c>
      <c r="AK50" s="153"/>
    </row>
    <row r="51">
      <c r="A51" s="152">
        <v>2025.0</v>
      </c>
      <c r="B51" s="151">
        <v>230.0</v>
      </c>
      <c r="C51" s="153" t="s">
        <v>8189</v>
      </c>
      <c r="D51" s="153"/>
      <c r="E51" s="153"/>
      <c r="F51" s="8" t="str">
        <f t="shared" ref="F51:F52" si="15">CONCATENATE(A51,K51,B51)</f>
        <v>2025PH060412000230</v>
      </c>
      <c r="G51" s="153"/>
      <c r="H51" s="153" t="s">
        <v>314</v>
      </c>
      <c r="I51" s="153" t="s">
        <v>315</v>
      </c>
      <c r="J51" s="153" t="s">
        <v>316</v>
      </c>
      <c r="K51" s="153" t="s">
        <v>317</v>
      </c>
      <c r="L51" s="153" t="s">
        <v>318</v>
      </c>
      <c r="M51" s="153"/>
      <c r="N51" s="160" t="s">
        <v>149</v>
      </c>
      <c r="O51" s="160" t="s">
        <v>149</v>
      </c>
      <c r="P51" s="160" t="s">
        <v>149</v>
      </c>
      <c r="Q51" s="153" t="s">
        <v>6062</v>
      </c>
      <c r="R51" s="158" t="s">
        <v>149</v>
      </c>
      <c r="S51" s="158" t="s">
        <v>149</v>
      </c>
      <c r="T51" s="158" t="s">
        <v>149</v>
      </c>
      <c r="U51" s="153" t="s">
        <v>321</v>
      </c>
      <c r="V51" s="158" t="s">
        <v>160</v>
      </c>
      <c r="W51" s="158" t="s">
        <v>6035</v>
      </c>
      <c r="X51" s="158" t="s">
        <v>159</v>
      </c>
      <c r="Y51" s="158" t="s">
        <v>149</v>
      </c>
      <c r="Z51" s="158" t="s">
        <v>149</v>
      </c>
      <c r="AA51" s="158" t="s">
        <v>149</v>
      </c>
      <c r="AB51" s="153" t="s">
        <v>324</v>
      </c>
      <c r="AC51" s="158" t="s">
        <v>271</v>
      </c>
      <c r="AD51" s="153" t="s">
        <v>325</v>
      </c>
      <c r="AE51" s="153" t="s">
        <v>326</v>
      </c>
      <c r="AF51" s="153"/>
      <c r="AG51" s="158" t="s">
        <v>166</v>
      </c>
      <c r="AH51" s="153" t="s">
        <v>327</v>
      </c>
      <c r="AI51" s="165" t="s">
        <v>328</v>
      </c>
      <c r="AJ51" s="153"/>
      <c r="AK51" s="153"/>
    </row>
    <row r="52">
      <c r="A52" s="152">
        <v>2025.0</v>
      </c>
      <c r="B52" s="151">
        <v>231.0</v>
      </c>
      <c r="C52" s="153" t="s">
        <v>8189</v>
      </c>
      <c r="D52" s="153"/>
      <c r="E52" s="153"/>
      <c r="F52" s="8" t="str">
        <f t="shared" si="15"/>
        <v>2025PH060412000231</v>
      </c>
      <c r="G52" s="153"/>
      <c r="H52" s="153" t="s">
        <v>314</v>
      </c>
      <c r="I52" s="153" t="s">
        <v>315</v>
      </c>
      <c r="J52" s="153" t="s">
        <v>316</v>
      </c>
      <c r="K52" s="153" t="s">
        <v>317</v>
      </c>
      <c r="L52" s="153" t="s">
        <v>850</v>
      </c>
      <c r="M52" s="153"/>
      <c r="N52" s="175" t="s">
        <v>6151</v>
      </c>
      <c r="O52" s="160" t="s">
        <v>149</v>
      </c>
      <c r="P52" s="160" t="s">
        <v>149</v>
      </c>
      <c r="Q52" s="153" t="s">
        <v>151</v>
      </c>
      <c r="R52" s="158" t="s">
        <v>851</v>
      </c>
      <c r="S52" s="153" t="s">
        <v>851</v>
      </c>
      <c r="T52" s="158" t="s">
        <v>149</v>
      </c>
      <c r="U52" s="153" t="s">
        <v>852</v>
      </c>
      <c r="V52" s="158" t="s">
        <v>160</v>
      </c>
      <c r="W52" s="158" t="s">
        <v>306</v>
      </c>
      <c r="X52" s="158" t="s">
        <v>159</v>
      </c>
      <c r="Y52" s="158" t="s">
        <v>149</v>
      </c>
      <c r="Z52" s="158" t="s">
        <v>149</v>
      </c>
      <c r="AA52" s="188" t="s">
        <v>853</v>
      </c>
      <c r="AB52" s="153" t="s">
        <v>326</v>
      </c>
      <c r="AC52" s="158" t="s">
        <v>271</v>
      </c>
      <c r="AD52" s="153"/>
      <c r="AE52" s="153" t="s">
        <v>854</v>
      </c>
      <c r="AF52" s="153"/>
      <c r="AG52" s="158" t="s">
        <v>166</v>
      </c>
      <c r="AH52" s="153" t="s">
        <v>855</v>
      </c>
      <c r="AI52" s="153" t="s">
        <v>856</v>
      </c>
      <c r="AJ52" s="153"/>
      <c r="AK52" s="153"/>
    </row>
    <row r="53">
      <c r="A53" s="152">
        <v>2024.0</v>
      </c>
      <c r="B53" s="151">
        <v>18.0</v>
      </c>
      <c r="C53" s="153"/>
      <c r="D53" s="153"/>
      <c r="E53" s="153"/>
      <c r="F53" s="153"/>
      <c r="G53" s="153"/>
      <c r="H53" s="153" t="s">
        <v>143</v>
      </c>
      <c r="I53" s="153" t="s">
        <v>404</v>
      </c>
      <c r="J53" s="153" t="s">
        <v>428</v>
      </c>
      <c r="K53" s="153" t="s">
        <v>429</v>
      </c>
      <c r="L53" s="153" t="s">
        <v>384</v>
      </c>
      <c r="M53" s="153" t="s">
        <v>6108</v>
      </c>
      <c r="N53" s="230">
        <v>1986.0</v>
      </c>
      <c r="O53" s="230">
        <v>1985.0</v>
      </c>
      <c r="P53" s="230">
        <v>1987.0</v>
      </c>
      <c r="Q53" s="153" t="s">
        <v>151</v>
      </c>
      <c r="R53" s="153" t="s">
        <v>6054</v>
      </c>
      <c r="S53" s="158" t="s">
        <v>6054</v>
      </c>
      <c r="T53" s="158" t="s">
        <v>149</v>
      </c>
      <c r="U53" s="153" t="s">
        <v>390</v>
      </c>
      <c r="V53" s="158" t="s">
        <v>160</v>
      </c>
      <c r="W53" s="158" t="s">
        <v>6035</v>
      </c>
      <c r="X53" s="158" t="s">
        <v>159</v>
      </c>
      <c r="Y53" s="158" t="s">
        <v>149</v>
      </c>
      <c r="Z53" s="158" t="s">
        <v>149</v>
      </c>
      <c r="AA53" s="153" t="s">
        <v>431</v>
      </c>
      <c r="AB53" s="153" t="s">
        <v>390</v>
      </c>
      <c r="AC53" s="153" t="s">
        <v>6035</v>
      </c>
      <c r="AD53" s="153" t="s">
        <v>6055</v>
      </c>
      <c r="AE53" s="153"/>
      <c r="AF53" s="153"/>
      <c r="AG53" s="158" t="s">
        <v>395</v>
      </c>
      <c r="AH53" s="153" t="s">
        <v>6060</v>
      </c>
      <c r="AI53" s="177" t="s">
        <v>397</v>
      </c>
      <c r="AJ53" s="153" t="s">
        <v>398</v>
      </c>
      <c r="AK53" s="153"/>
    </row>
    <row r="54">
      <c r="A54" s="152">
        <v>2025.0</v>
      </c>
      <c r="B54" s="151">
        <v>232.0</v>
      </c>
      <c r="C54" s="153" t="s">
        <v>8189</v>
      </c>
      <c r="D54" s="153"/>
      <c r="E54" s="153"/>
      <c r="F54" s="8" t="str">
        <f t="shared" ref="F54:F56" si="16">CONCATENATE(A54,K54,B54)</f>
        <v>2025PH060412000232</v>
      </c>
      <c r="G54" s="153"/>
      <c r="H54" s="153" t="s">
        <v>314</v>
      </c>
      <c r="I54" s="153" t="s">
        <v>315</v>
      </c>
      <c r="J54" s="153" t="s">
        <v>316</v>
      </c>
      <c r="K54" s="153" t="s">
        <v>317</v>
      </c>
      <c r="L54" s="153" t="s">
        <v>1174</v>
      </c>
      <c r="M54" s="153"/>
      <c r="N54" s="160" t="s">
        <v>149</v>
      </c>
      <c r="O54" s="175" t="s">
        <v>6151</v>
      </c>
      <c r="P54" s="175" t="s">
        <v>6089</v>
      </c>
      <c r="Q54" s="153" t="s">
        <v>6062</v>
      </c>
      <c r="R54" s="153" t="s">
        <v>320</v>
      </c>
      <c r="S54" s="158" t="s">
        <v>179</v>
      </c>
      <c r="T54" s="158" t="s">
        <v>149</v>
      </c>
      <c r="U54" s="153" t="s">
        <v>321</v>
      </c>
      <c r="V54" s="158" t="s">
        <v>160</v>
      </c>
      <c r="W54" s="158" t="s">
        <v>6035</v>
      </c>
      <c r="X54" s="158" t="s">
        <v>159</v>
      </c>
      <c r="Y54" s="158" t="s">
        <v>149</v>
      </c>
      <c r="Z54" s="158" t="s">
        <v>149</v>
      </c>
      <c r="AA54" s="153" t="s">
        <v>1267</v>
      </c>
      <c r="AB54" s="153" t="s">
        <v>885</v>
      </c>
      <c r="AC54" s="158" t="s">
        <v>6068</v>
      </c>
      <c r="AD54" s="153"/>
      <c r="AE54" s="153" t="s">
        <v>1204</v>
      </c>
      <c r="AF54" s="153"/>
      <c r="AG54" s="158" t="s">
        <v>6069</v>
      </c>
      <c r="AH54" s="153" t="s">
        <v>1268</v>
      </c>
      <c r="AI54" s="153" t="s">
        <v>6070</v>
      </c>
      <c r="AJ54" s="153"/>
      <c r="AK54" s="153"/>
    </row>
    <row r="55">
      <c r="A55" s="152">
        <v>2025.0</v>
      </c>
      <c r="B55" s="151">
        <v>233.0</v>
      </c>
      <c r="C55" s="153" t="s">
        <v>8189</v>
      </c>
      <c r="D55" s="153"/>
      <c r="E55" s="153"/>
      <c r="F55" s="8" t="str">
        <f t="shared" si="16"/>
        <v>2025PH060414000233</v>
      </c>
      <c r="G55" s="153"/>
      <c r="H55" s="153" t="s">
        <v>314</v>
      </c>
      <c r="I55" s="153" t="s">
        <v>315</v>
      </c>
      <c r="J55" s="153" t="s">
        <v>3108</v>
      </c>
      <c r="K55" s="153" t="s">
        <v>3109</v>
      </c>
      <c r="L55" s="158" t="s">
        <v>149</v>
      </c>
      <c r="M55" s="153" t="s">
        <v>6972</v>
      </c>
      <c r="N55" s="175" t="s">
        <v>6152</v>
      </c>
      <c r="O55" s="164" t="s">
        <v>149</v>
      </c>
      <c r="P55" s="164" t="s">
        <v>149</v>
      </c>
      <c r="Q55" s="153" t="s">
        <v>151</v>
      </c>
      <c r="R55" s="158" t="s">
        <v>149</v>
      </c>
      <c r="S55" s="158" t="s">
        <v>149</v>
      </c>
      <c r="T55" s="158" t="s">
        <v>149</v>
      </c>
      <c r="U55" s="153" t="s">
        <v>158</v>
      </c>
      <c r="V55" s="158" t="s">
        <v>160</v>
      </c>
      <c r="W55" s="158" t="s">
        <v>6035</v>
      </c>
      <c r="X55" s="158" t="s">
        <v>159</v>
      </c>
      <c r="Y55" s="158" t="s">
        <v>149</v>
      </c>
      <c r="Z55" s="158" t="s">
        <v>149</v>
      </c>
      <c r="AA55" s="158" t="s">
        <v>149</v>
      </c>
      <c r="AB55" s="153" t="s">
        <v>158</v>
      </c>
      <c r="AC55" s="153" t="s">
        <v>6035</v>
      </c>
      <c r="AD55" s="153"/>
      <c r="AE55" s="153"/>
      <c r="AF55" s="153"/>
      <c r="AG55" s="158" t="s">
        <v>166</v>
      </c>
      <c r="AH55" s="153" t="s">
        <v>3092</v>
      </c>
      <c r="AI55" s="172" t="s">
        <v>3093</v>
      </c>
      <c r="AJ55" s="153"/>
      <c r="AK55" s="153"/>
    </row>
    <row r="56">
      <c r="A56" s="152">
        <v>2025.0</v>
      </c>
      <c r="B56" s="151">
        <v>234.0</v>
      </c>
      <c r="C56" s="153" t="s">
        <v>8189</v>
      </c>
      <c r="D56" s="153"/>
      <c r="E56" s="153"/>
      <c r="F56" s="8" t="str">
        <f t="shared" si="16"/>
        <v>2025PH060415000234</v>
      </c>
      <c r="G56" s="153"/>
      <c r="H56" s="153" t="s">
        <v>314</v>
      </c>
      <c r="I56" s="153" t="s">
        <v>315</v>
      </c>
      <c r="J56" s="153" t="s">
        <v>3111</v>
      </c>
      <c r="K56" s="153" t="s">
        <v>3112</v>
      </c>
      <c r="L56" s="158" t="s">
        <v>149</v>
      </c>
      <c r="M56" s="153" t="s">
        <v>7015</v>
      </c>
      <c r="N56" s="164" t="s">
        <v>149</v>
      </c>
      <c r="O56" s="164" t="s">
        <v>149</v>
      </c>
      <c r="P56" s="164" t="s">
        <v>149</v>
      </c>
      <c r="Q56" s="153" t="s">
        <v>151</v>
      </c>
      <c r="R56" s="153" t="s">
        <v>3113</v>
      </c>
      <c r="S56" s="158" t="s">
        <v>149</v>
      </c>
      <c r="T56" s="158" t="s">
        <v>149</v>
      </c>
      <c r="U56" s="158" t="s">
        <v>149</v>
      </c>
      <c r="V56" s="158" t="s">
        <v>149</v>
      </c>
      <c r="W56" s="158" t="s">
        <v>149</v>
      </c>
      <c r="X56" s="158" t="s">
        <v>149</v>
      </c>
      <c r="Y56" s="158" t="s">
        <v>149</v>
      </c>
      <c r="Z56" s="158" t="s">
        <v>149</v>
      </c>
      <c r="AA56" s="158" t="s">
        <v>149</v>
      </c>
      <c r="AB56" s="158" t="s">
        <v>149</v>
      </c>
      <c r="AC56" s="158" t="s">
        <v>149</v>
      </c>
      <c r="AD56" s="153"/>
      <c r="AE56" s="153"/>
      <c r="AF56" s="153"/>
      <c r="AG56" s="158" t="s">
        <v>1159</v>
      </c>
      <c r="AH56" s="153" t="s">
        <v>3098</v>
      </c>
      <c r="AI56" s="172" t="s">
        <v>3099</v>
      </c>
      <c r="AJ56" s="153"/>
      <c r="AK56" s="153"/>
    </row>
    <row r="57">
      <c r="A57" s="152">
        <v>2024.0</v>
      </c>
      <c r="B57" s="151">
        <v>20.0</v>
      </c>
      <c r="C57" s="153"/>
      <c r="D57" s="153"/>
      <c r="E57" s="153"/>
      <c r="F57" s="153"/>
      <c r="G57" s="153"/>
      <c r="H57" s="153" t="s">
        <v>143</v>
      </c>
      <c r="I57" s="153" t="s">
        <v>404</v>
      </c>
      <c r="J57" s="158" t="s">
        <v>433</v>
      </c>
      <c r="K57" s="153" t="s">
        <v>434</v>
      </c>
      <c r="L57" s="153" t="s">
        <v>384</v>
      </c>
      <c r="M57" s="153" t="s">
        <v>435</v>
      </c>
      <c r="N57" s="230">
        <v>1986.0</v>
      </c>
      <c r="O57" s="230">
        <v>1985.0</v>
      </c>
      <c r="P57" s="230">
        <v>1987.0</v>
      </c>
      <c r="Q57" s="153" t="s">
        <v>151</v>
      </c>
      <c r="R57" s="153" t="s">
        <v>6054</v>
      </c>
      <c r="S57" s="158" t="s">
        <v>6054</v>
      </c>
      <c r="T57" s="158" t="s">
        <v>149</v>
      </c>
      <c r="U57" s="153" t="s">
        <v>390</v>
      </c>
      <c r="V57" s="158" t="s">
        <v>160</v>
      </c>
      <c r="W57" s="158" t="s">
        <v>6035</v>
      </c>
      <c r="X57" s="158" t="s">
        <v>159</v>
      </c>
      <c r="Y57" s="158" t="s">
        <v>149</v>
      </c>
      <c r="Z57" s="158" t="s">
        <v>149</v>
      </c>
      <c r="AA57" s="153" t="s">
        <v>436</v>
      </c>
      <c r="AB57" s="153" t="s">
        <v>390</v>
      </c>
      <c r="AC57" s="153" t="s">
        <v>6035</v>
      </c>
      <c r="AD57" s="153" t="s">
        <v>6055</v>
      </c>
      <c r="AE57" s="153"/>
      <c r="AF57" s="153" t="s">
        <v>6056</v>
      </c>
      <c r="AG57" s="158" t="s">
        <v>395</v>
      </c>
      <c r="AH57" s="153" t="s">
        <v>6060</v>
      </c>
      <c r="AI57" s="177" t="s">
        <v>397</v>
      </c>
      <c r="AJ57" s="153" t="s">
        <v>398</v>
      </c>
      <c r="AK57" s="153"/>
    </row>
    <row r="58">
      <c r="A58" s="152">
        <v>2025.0</v>
      </c>
      <c r="B58" s="151">
        <v>235.0</v>
      </c>
      <c r="C58" s="153" t="s">
        <v>8189</v>
      </c>
      <c r="D58" s="153"/>
      <c r="E58" s="153"/>
      <c r="F58" s="8" t="str">
        <f t="shared" ref="F58:F60" si="17">CONCATENATE(A58,K58,B58)</f>
        <v>2025PH060416000235</v>
      </c>
      <c r="G58" s="153"/>
      <c r="H58" s="153" t="s">
        <v>314</v>
      </c>
      <c r="I58" s="153" t="s">
        <v>315</v>
      </c>
      <c r="J58" s="153" t="s">
        <v>3115</v>
      </c>
      <c r="K58" s="153" t="s">
        <v>3116</v>
      </c>
      <c r="L58" s="158" t="s">
        <v>149</v>
      </c>
      <c r="M58" s="153" t="s">
        <v>7019</v>
      </c>
      <c r="N58" s="175" t="s">
        <v>6152</v>
      </c>
      <c r="O58" s="164" t="s">
        <v>149</v>
      </c>
      <c r="P58" s="164" t="s">
        <v>149</v>
      </c>
      <c r="Q58" s="153" t="s">
        <v>151</v>
      </c>
      <c r="R58" s="158" t="s">
        <v>149</v>
      </c>
      <c r="S58" s="158" t="s">
        <v>149</v>
      </c>
      <c r="T58" s="158" t="s">
        <v>149</v>
      </c>
      <c r="U58" s="153" t="s">
        <v>158</v>
      </c>
      <c r="V58" s="158" t="s">
        <v>160</v>
      </c>
      <c r="W58" s="158" t="s">
        <v>6035</v>
      </c>
      <c r="X58" s="158" t="s">
        <v>159</v>
      </c>
      <c r="Y58" s="158" t="s">
        <v>149</v>
      </c>
      <c r="Z58" s="158" t="s">
        <v>149</v>
      </c>
      <c r="AA58" s="158" t="s">
        <v>149</v>
      </c>
      <c r="AB58" s="153" t="s">
        <v>158</v>
      </c>
      <c r="AC58" s="153" t="s">
        <v>6035</v>
      </c>
      <c r="AD58" s="153"/>
      <c r="AE58" s="153"/>
      <c r="AF58" s="153"/>
      <c r="AG58" s="158" t="s">
        <v>166</v>
      </c>
      <c r="AH58" s="153" t="s">
        <v>3092</v>
      </c>
      <c r="AI58" s="172" t="s">
        <v>3093</v>
      </c>
      <c r="AJ58" s="153"/>
      <c r="AK58" s="153"/>
    </row>
    <row r="59">
      <c r="A59" s="152">
        <v>2025.0</v>
      </c>
      <c r="B59" s="151">
        <v>236.0</v>
      </c>
      <c r="C59" s="153" t="s">
        <v>8189</v>
      </c>
      <c r="D59" s="153"/>
      <c r="E59" s="153"/>
      <c r="F59" s="8" t="str">
        <f t="shared" si="17"/>
        <v>2025PH060417000236</v>
      </c>
      <c r="G59" s="153"/>
      <c r="H59" s="153" t="s">
        <v>314</v>
      </c>
      <c r="I59" s="153" t="s">
        <v>315</v>
      </c>
      <c r="J59" s="153" t="s">
        <v>1199</v>
      </c>
      <c r="K59" s="153" t="s">
        <v>1200</v>
      </c>
      <c r="L59" s="158" t="s">
        <v>149</v>
      </c>
      <c r="M59" s="153" t="s">
        <v>6990</v>
      </c>
      <c r="N59" s="175" t="s">
        <v>8199</v>
      </c>
      <c r="O59" s="164" t="s">
        <v>149</v>
      </c>
      <c r="P59" s="164" t="s">
        <v>149</v>
      </c>
      <c r="Q59" s="153" t="s">
        <v>151</v>
      </c>
      <c r="R59" s="158" t="s">
        <v>3119</v>
      </c>
      <c r="S59" s="158" t="s">
        <v>149</v>
      </c>
      <c r="T59" s="158" t="s">
        <v>149</v>
      </c>
      <c r="U59" s="158" t="s">
        <v>149</v>
      </c>
      <c r="V59" s="158" t="s">
        <v>149</v>
      </c>
      <c r="W59" s="158" t="s">
        <v>149</v>
      </c>
      <c r="X59" s="158" t="s">
        <v>149</v>
      </c>
      <c r="Y59" s="158" t="s">
        <v>149</v>
      </c>
      <c r="Z59" s="158" t="s">
        <v>149</v>
      </c>
      <c r="AA59" s="153" t="s">
        <v>3120</v>
      </c>
      <c r="AB59" s="158" t="s">
        <v>149</v>
      </c>
      <c r="AC59" s="158" t="s">
        <v>149</v>
      </c>
      <c r="AD59" s="153"/>
      <c r="AE59" s="153"/>
      <c r="AF59" s="153"/>
      <c r="AG59" s="158" t="s">
        <v>1159</v>
      </c>
      <c r="AH59" s="153" t="s">
        <v>3098</v>
      </c>
      <c r="AI59" s="165" t="s">
        <v>3099</v>
      </c>
      <c r="AJ59" s="153"/>
      <c r="AK59" s="153"/>
    </row>
    <row r="60">
      <c r="A60" s="152">
        <v>2025.0</v>
      </c>
      <c r="B60" s="151">
        <v>237.0</v>
      </c>
      <c r="C60" s="153" t="s">
        <v>8189</v>
      </c>
      <c r="D60" s="153"/>
      <c r="E60" s="153"/>
      <c r="F60" s="8" t="str">
        <f t="shared" si="17"/>
        <v>2025PH060417000237</v>
      </c>
      <c r="G60" s="153"/>
      <c r="H60" s="153" t="s">
        <v>314</v>
      </c>
      <c r="I60" s="153" t="s">
        <v>315</v>
      </c>
      <c r="J60" s="153" t="s">
        <v>1199</v>
      </c>
      <c r="K60" s="153" t="s">
        <v>1200</v>
      </c>
      <c r="L60" s="153" t="s">
        <v>2237</v>
      </c>
      <c r="M60" s="153"/>
      <c r="N60" s="160" t="s">
        <v>149</v>
      </c>
      <c r="O60" s="160" t="s">
        <v>149</v>
      </c>
      <c r="P60" s="160" t="s">
        <v>149</v>
      </c>
      <c r="Q60" s="153" t="s">
        <v>6624</v>
      </c>
      <c r="R60" s="153" t="s">
        <v>179</v>
      </c>
      <c r="S60" s="153" t="s">
        <v>179</v>
      </c>
      <c r="T60" s="153" t="s">
        <v>2238</v>
      </c>
      <c r="U60" s="158" t="s">
        <v>149</v>
      </c>
      <c r="V60" s="158" t="s">
        <v>149</v>
      </c>
      <c r="W60" s="158" t="s">
        <v>149</v>
      </c>
      <c r="X60" s="158" t="s">
        <v>149</v>
      </c>
      <c r="Y60" s="158" t="s">
        <v>149</v>
      </c>
      <c r="Z60" s="153" t="s">
        <v>2239</v>
      </c>
      <c r="AA60" s="153" t="s">
        <v>2240</v>
      </c>
      <c r="AB60" s="158" t="s">
        <v>369</v>
      </c>
      <c r="AC60" s="153" t="s">
        <v>6035</v>
      </c>
      <c r="AD60" s="158" t="s">
        <v>390</v>
      </c>
      <c r="AE60" s="153"/>
      <c r="AF60" s="153"/>
      <c r="AG60" s="158" t="s">
        <v>1159</v>
      </c>
      <c r="AH60" s="153" t="s">
        <v>2241</v>
      </c>
      <c r="AI60" s="153" t="s">
        <v>7005</v>
      </c>
      <c r="AJ60" s="153"/>
      <c r="AK60" s="153"/>
    </row>
    <row r="61">
      <c r="A61" s="152">
        <v>2024.0</v>
      </c>
      <c r="B61" s="151">
        <v>21.0</v>
      </c>
      <c r="C61" s="153"/>
      <c r="D61" s="153"/>
      <c r="E61" s="153"/>
      <c r="F61" s="153"/>
      <c r="G61" s="153"/>
      <c r="H61" s="153" t="s">
        <v>143</v>
      </c>
      <c r="I61" s="153" t="s">
        <v>438</v>
      </c>
      <c r="J61" s="153" t="s">
        <v>2845</v>
      </c>
      <c r="K61" s="153" t="s">
        <v>2846</v>
      </c>
      <c r="L61" s="153" t="s">
        <v>384</v>
      </c>
      <c r="M61" s="153" t="s">
        <v>2847</v>
      </c>
      <c r="N61" s="230">
        <v>1982.0</v>
      </c>
      <c r="O61" s="230">
        <v>1985.0</v>
      </c>
      <c r="P61" s="230">
        <v>1987.0</v>
      </c>
      <c r="Q61" s="153" t="s">
        <v>151</v>
      </c>
      <c r="R61" s="158" t="s">
        <v>6054</v>
      </c>
      <c r="S61" s="158" t="s">
        <v>6054</v>
      </c>
      <c r="T61" s="158" t="s">
        <v>149</v>
      </c>
      <c r="U61" s="153" t="s">
        <v>390</v>
      </c>
      <c r="V61" s="158" t="s">
        <v>160</v>
      </c>
      <c r="W61" s="158" t="s">
        <v>6035</v>
      </c>
      <c r="X61" s="158" t="s">
        <v>159</v>
      </c>
      <c r="Y61" s="158" t="s">
        <v>149</v>
      </c>
      <c r="Z61" s="158" t="s">
        <v>149</v>
      </c>
      <c r="AA61" s="153" t="s">
        <v>2848</v>
      </c>
      <c r="AB61" s="153" t="s">
        <v>390</v>
      </c>
      <c r="AC61" s="153" t="s">
        <v>6035</v>
      </c>
      <c r="AD61" s="153" t="s">
        <v>6055</v>
      </c>
      <c r="AE61" s="153"/>
      <c r="AF61" s="153"/>
      <c r="AG61" s="158" t="s">
        <v>395</v>
      </c>
      <c r="AH61" s="153" t="s">
        <v>6060</v>
      </c>
      <c r="AI61" s="177" t="s">
        <v>397</v>
      </c>
      <c r="AJ61" s="153" t="s">
        <v>398</v>
      </c>
      <c r="AK61" s="153"/>
    </row>
    <row r="62">
      <c r="A62" s="152">
        <v>2025.0</v>
      </c>
      <c r="B62" s="151">
        <v>238.0</v>
      </c>
      <c r="C62" s="153" t="s">
        <v>8189</v>
      </c>
      <c r="D62" s="153"/>
      <c r="E62" s="153"/>
      <c r="F62" s="8" t="str">
        <f t="shared" ref="F62:F63" si="18">CONCATENATE(A62,K62,B62)</f>
        <v>2025PH060417000238</v>
      </c>
      <c r="G62" s="153"/>
      <c r="H62" s="153" t="s">
        <v>314</v>
      </c>
      <c r="I62" s="153" t="s">
        <v>315</v>
      </c>
      <c r="J62" s="153" t="s">
        <v>1199</v>
      </c>
      <c r="K62" s="173" t="s">
        <v>1200</v>
      </c>
      <c r="L62" s="153" t="s">
        <v>1174</v>
      </c>
      <c r="M62" s="153"/>
      <c r="N62" s="160" t="s">
        <v>6089</v>
      </c>
      <c r="O62" s="175" t="s">
        <v>6151</v>
      </c>
      <c r="P62" s="175" t="s">
        <v>6089</v>
      </c>
      <c r="Q62" s="153" t="s">
        <v>6062</v>
      </c>
      <c r="R62" s="153" t="s">
        <v>1201</v>
      </c>
      <c r="S62" s="158" t="s">
        <v>179</v>
      </c>
      <c r="T62" s="153" t="s">
        <v>1202</v>
      </c>
      <c r="U62" s="153" t="s">
        <v>321</v>
      </c>
      <c r="V62" s="158" t="s">
        <v>160</v>
      </c>
      <c r="W62" s="158" t="s">
        <v>6035</v>
      </c>
      <c r="X62" s="158" t="s">
        <v>204</v>
      </c>
      <c r="Y62" s="158" t="s">
        <v>149</v>
      </c>
      <c r="Z62" s="158" t="s">
        <v>149</v>
      </c>
      <c r="AA62" s="153" t="s">
        <v>1203</v>
      </c>
      <c r="AB62" s="153" t="s">
        <v>885</v>
      </c>
      <c r="AC62" s="158" t="s">
        <v>6068</v>
      </c>
      <c r="AD62" s="153" t="s">
        <v>1204</v>
      </c>
      <c r="AE62" s="153"/>
      <c r="AF62" s="153"/>
      <c r="AG62" s="158" t="s">
        <v>6069</v>
      </c>
      <c r="AH62" s="153" t="s">
        <v>1205</v>
      </c>
      <c r="AI62" s="153" t="s">
        <v>6070</v>
      </c>
      <c r="AJ62" s="153"/>
      <c r="AK62" s="153"/>
    </row>
    <row r="63">
      <c r="A63" s="152">
        <v>2025.0</v>
      </c>
      <c r="B63" s="151">
        <v>184.0</v>
      </c>
      <c r="C63" s="153" t="s">
        <v>8189</v>
      </c>
      <c r="D63" s="153"/>
      <c r="E63" s="153"/>
      <c r="F63" s="8" t="str">
        <f t="shared" si="18"/>
        <v>2025PH050501000184</v>
      </c>
      <c r="G63" s="153"/>
      <c r="H63" s="153" t="s">
        <v>535</v>
      </c>
      <c r="I63" s="153" t="s">
        <v>893</v>
      </c>
      <c r="J63" s="153" t="s">
        <v>1622</v>
      </c>
      <c r="K63" s="173" t="s">
        <v>1623</v>
      </c>
      <c r="L63" s="158" t="s">
        <v>1624</v>
      </c>
      <c r="M63" s="158" t="s">
        <v>1625</v>
      </c>
      <c r="N63" s="175" t="s">
        <v>6145</v>
      </c>
      <c r="O63" s="160" t="s">
        <v>149</v>
      </c>
      <c r="P63" s="160" t="s">
        <v>149</v>
      </c>
      <c r="Q63" s="153" t="s">
        <v>6062</v>
      </c>
      <c r="R63" s="153" t="s">
        <v>8201</v>
      </c>
      <c r="S63" s="158" t="s">
        <v>179</v>
      </c>
      <c r="T63" s="153" t="s">
        <v>8202</v>
      </c>
      <c r="U63" s="153" t="s">
        <v>1627</v>
      </c>
      <c r="V63" s="158" t="s">
        <v>160</v>
      </c>
      <c r="W63" s="158" t="s">
        <v>6035</v>
      </c>
      <c r="X63" s="158" t="s">
        <v>159</v>
      </c>
      <c r="Y63" s="158" t="s">
        <v>149</v>
      </c>
      <c r="Z63" s="158" t="s">
        <v>149</v>
      </c>
      <c r="AA63" s="158" t="s">
        <v>1629</v>
      </c>
      <c r="AB63" s="153" t="s">
        <v>1627</v>
      </c>
      <c r="AC63" s="153" t="s">
        <v>6035</v>
      </c>
      <c r="AD63" s="153"/>
      <c r="AE63" s="153"/>
      <c r="AF63" s="153"/>
      <c r="AG63" s="158" t="s">
        <v>166</v>
      </c>
      <c r="AH63" s="153" t="s">
        <v>1630</v>
      </c>
      <c r="AI63" s="172" t="s">
        <v>1631</v>
      </c>
      <c r="AJ63" s="153"/>
      <c r="AK63" s="153"/>
    </row>
    <row r="64">
      <c r="A64" s="152">
        <v>2024.0</v>
      </c>
      <c r="B64" s="151">
        <v>22.0</v>
      </c>
      <c r="C64" s="153"/>
      <c r="D64" s="153"/>
      <c r="E64" s="153"/>
      <c r="F64" s="153"/>
      <c r="G64" s="153"/>
      <c r="H64" s="153" t="s">
        <v>143</v>
      </c>
      <c r="I64" s="153" t="s">
        <v>438</v>
      </c>
      <c r="J64" s="153" t="s">
        <v>439</v>
      </c>
      <c r="K64" s="153" t="s">
        <v>440</v>
      </c>
      <c r="L64" s="153" t="s">
        <v>384</v>
      </c>
      <c r="M64" s="153" t="s">
        <v>441</v>
      </c>
      <c r="N64" s="230">
        <v>1986.0</v>
      </c>
      <c r="O64" s="230">
        <v>1985.0</v>
      </c>
      <c r="P64" s="230">
        <v>1987.0</v>
      </c>
      <c r="Q64" s="153" t="s">
        <v>151</v>
      </c>
      <c r="R64" s="153" t="s">
        <v>6054</v>
      </c>
      <c r="S64" s="158" t="s">
        <v>6054</v>
      </c>
      <c r="T64" s="158" t="s">
        <v>149</v>
      </c>
      <c r="U64" s="153" t="s">
        <v>390</v>
      </c>
      <c r="V64" s="158" t="s">
        <v>160</v>
      </c>
      <c r="W64" s="158" t="s">
        <v>6035</v>
      </c>
      <c r="X64" s="158" t="s">
        <v>159</v>
      </c>
      <c r="Y64" s="158" t="s">
        <v>149</v>
      </c>
      <c r="Z64" s="158" t="s">
        <v>149</v>
      </c>
      <c r="AA64" s="153" t="s">
        <v>391</v>
      </c>
      <c r="AB64" s="153" t="s">
        <v>390</v>
      </c>
      <c r="AC64" s="153" t="s">
        <v>6035</v>
      </c>
      <c r="AD64" s="153" t="s">
        <v>6055</v>
      </c>
      <c r="AE64" s="153"/>
      <c r="AF64" s="153"/>
      <c r="AG64" s="158" t="s">
        <v>395</v>
      </c>
      <c r="AH64" s="153" t="s">
        <v>6060</v>
      </c>
      <c r="AI64" s="177" t="s">
        <v>397</v>
      </c>
      <c r="AJ64" s="153" t="s">
        <v>398</v>
      </c>
      <c r="AK64" s="153"/>
    </row>
    <row r="65">
      <c r="A65" s="152">
        <v>2025.0</v>
      </c>
      <c r="B65" s="151">
        <v>185.0</v>
      </c>
      <c r="C65" s="153" t="s">
        <v>8189</v>
      </c>
      <c r="D65" s="153"/>
      <c r="E65" s="153"/>
      <c r="F65" s="8" t="str">
        <f t="shared" ref="F65:F66" si="19">CONCATENATE(A65,K65,B65)</f>
        <v>2025PH050506000185</v>
      </c>
      <c r="G65" s="153"/>
      <c r="H65" s="153" t="s">
        <v>535</v>
      </c>
      <c r="I65" s="153" t="s">
        <v>893</v>
      </c>
      <c r="J65" s="153" t="s">
        <v>6851</v>
      </c>
      <c r="K65" s="153" t="s">
        <v>1876</v>
      </c>
      <c r="L65" s="158" t="s">
        <v>149</v>
      </c>
      <c r="M65" s="153"/>
      <c r="N65" s="160" t="s">
        <v>149</v>
      </c>
      <c r="O65" s="160" t="s">
        <v>149</v>
      </c>
      <c r="P65" s="160" t="s">
        <v>149</v>
      </c>
      <c r="Q65" s="153" t="s">
        <v>6062</v>
      </c>
      <c r="R65" s="153" t="s">
        <v>8203</v>
      </c>
      <c r="S65" s="158" t="s">
        <v>179</v>
      </c>
      <c r="T65" s="158" t="s">
        <v>2357</v>
      </c>
      <c r="U65" s="153" t="s">
        <v>369</v>
      </c>
      <c r="V65" s="158" t="s">
        <v>160</v>
      </c>
      <c r="W65" s="158" t="s">
        <v>6035</v>
      </c>
      <c r="X65" s="158" t="s">
        <v>159</v>
      </c>
      <c r="Y65" s="158" t="s">
        <v>149</v>
      </c>
      <c r="Z65" s="158" t="s">
        <v>149</v>
      </c>
      <c r="AA65" s="158" t="s">
        <v>149</v>
      </c>
      <c r="AB65" s="153" t="s">
        <v>369</v>
      </c>
      <c r="AC65" s="153" t="s">
        <v>6035</v>
      </c>
      <c r="AD65" s="153" t="s">
        <v>6853</v>
      </c>
      <c r="AE65" s="153" t="s">
        <v>2359</v>
      </c>
      <c r="AF65" s="153"/>
      <c r="AG65" s="158" t="s">
        <v>6091</v>
      </c>
      <c r="AH65" s="153" t="s">
        <v>2360</v>
      </c>
      <c r="AI65" s="172" t="s">
        <v>2361</v>
      </c>
      <c r="AJ65" s="153"/>
      <c r="AK65" s="153"/>
    </row>
    <row r="66">
      <c r="A66" s="152">
        <v>2025.0</v>
      </c>
      <c r="B66" s="151">
        <v>186.0</v>
      </c>
      <c r="C66" s="158" t="s">
        <v>8189</v>
      </c>
      <c r="D66" s="158"/>
      <c r="E66" s="158"/>
      <c r="F66" s="8" t="str">
        <f t="shared" si="19"/>
        <v>2025PH050506000186</v>
      </c>
      <c r="G66" s="158"/>
      <c r="H66" s="158" t="s">
        <v>535</v>
      </c>
      <c r="I66" s="158" t="s">
        <v>893</v>
      </c>
      <c r="J66" s="158" t="s">
        <v>6851</v>
      </c>
      <c r="K66" s="158" t="s">
        <v>1876</v>
      </c>
      <c r="L66" s="158" t="s">
        <v>1877</v>
      </c>
      <c r="M66" s="158" t="s">
        <v>1878</v>
      </c>
      <c r="N66" s="160" t="s">
        <v>18</v>
      </c>
      <c r="O66" s="160" t="s">
        <v>18</v>
      </c>
      <c r="P66" s="160" t="s">
        <v>16</v>
      </c>
      <c r="Q66" s="158" t="s">
        <v>151</v>
      </c>
      <c r="R66" s="158" t="s">
        <v>1880</v>
      </c>
      <c r="S66" s="158" t="s">
        <v>1880</v>
      </c>
      <c r="T66" s="158" t="s">
        <v>1881</v>
      </c>
      <c r="U66" s="158" t="s">
        <v>1882</v>
      </c>
      <c r="V66" s="158" t="s">
        <v>160</v>
      </c>
      <c r="W66" s="158" t="s">
        <v>6035</v>
      </c>
      <c r="X66" s="158" t="s">
        <v>159</v>
      </c>
      <c r="Y66" s="158" t="s">
        <v>149</v>
      </c>
      <c r="Z66" s="158" t="s">
        <v>149</v>
      </c>
      <c r="AA66" s="158" t="s">
        <v>1883</v>
      </c>
      <c r="AB66" s="158" t="s">
        <v>1884</v>
      </c>
      <c r="AC66" s="158" t="s">
        <v>6035</v>
      </c>
      <c r="AD66" s="158" t="s">
        <v>1885</v>
      </c>
      <c r="AE66" s="158" t="s">
        <v>1886</v>
      </c>
      <c r="AF66" s="158"/>
      <c r="AG66" s="158" t="s">
        <v>6038</v>
      </c>
      <c r="AH66" s="158" t="s">
        <v>6855</v>
      </c>
      <c r="AI66" s="172" t="s">
        <v>1888</v>
      </c>
      <c r="AJ66" s="158"/>
      <c r="AK66" s="158"/>
    </row>
    <row r="67">
      <c r="A67" s="152">
        <v>2024.0</v>
      </c>
      <c r="B67" s="151">
        <v>23.0</v>
      </c>
      <c r="C67" s="153"/>
      <c r="D67" s="153"/>
      <c r="E67" s="153"/>
      <c r="F67" s="153"/>
      <c r="G67" s="153"/>
      <c r="H67" s="153" t="s">
        <v>143</v>
      </c>
      <c r="I67" s="153" t="s">
        <v>438</v>
      </c>
      <c r="J67" s="153" t="s">
        <v>1633</v>
      </c>
      <c r="K67" s="153" t="s">
        <v>1634</v>
      </c>
      <c r="L67" s="153" t="s">
        <v>1635</v>
      </c>
      <c r="M67" s="153"/>
      <c r="N67" s="230">
        <v>2021.0</v>
      </c>
      <c r="O67" s="192" t="s">
        <v>149</v>
      </c>
      <c r="P67" s="192" t="s">
        <v>149</v>
      </c>
      <c r="Q67" s="153" t="s">
        <v>151</v>
      </c>
      <c r="R67" s="158" t="s">
        <v>153</v>
      </c>
      <c r="S67" s="158" t="s">
        <v>153</v>
      </c>
      <c r="T67" s="158" t="s">
        <v>1647</v>
      </c>
      <c r="U67" s="158" t="s">
        <v>158</v>
      </c>
      <c r="V67" s="158" t="s">
        <v>160</v>
      </c>
      <c r="W67" s="158" t="s">
        <v>6035</v>
      </c>
      <c r="X67" s="158" t="s">
        <v>159</v>
      </c>
      <c r="Y67" s="158" t="s">
        <v>149</v>
      </c>
      <c r="Z67" s="158" t="s">
        <v>149</v>
      </c>
      <c r="AA67" s="158" t="s">
        <v>6127</v>
      </c>
      <c r="AB67" s="153" t="s">
        <v>158</v>
      </c>
      <c r="AC67" s="153" t="s">
        <v>6035</v>
      </c>
      <c r="AD67" s="158" t="s">
        <v>6128</v>
      </c>
      <c r="AE67" s="158"/>
      <c r="AF67" s="158"/>
      <c r="AG67" s="158" t="s">
        <v>166</v>
      </c>
      <c r="AH67" s="153" t="s">
        <v>1640</v>
      </c>
      <c r="AI67" s="172" t="s">
        <v>1641</v>
      </c>
      <c r="AJ67" s="153"/>
      <c r="AK67" s="153"/>
    </row>
    <row r="68">
      <c r="A68" s="152">
        <v>2023.0</v>
      </c>
      <c r="B68" s="151">
        <v>187.0</v>
      </c>
      <c r="C68" s="129" t="s">
        <v>140</v>
      </c>
      <c r="D68" s="8"/>
      <c r="H68" s="8" t="s">
        <v>535</v>
      </c>
      <c r="I68" s="8" t="s">
        <v>893</v>
      </c>
      <c r="J68" s="8" t="s">
        <v>1622</v>
      </c>
      <c r="K68" s="153" t="s">
        <v>1623</v>
      </c>
      <c r="L68" s="8" t="s">
        <v>6113</v>
      </c>
      <c r="N68" s="142" t="s">
        <v>6145</v>
      </c>
      <c r="O68" s="142" t="s">
        <v>8035</v>
      </c>
      <c r="P68" s="142"/>
      <c r="Q68" s="8" t="s">
        <v>6062</v>
      </c>
      <c r="R68" s="8" t="s">
        <v>320</v>
      </c>
      <c r="T68" s="8" t="s">
        <v>6861</v>
      </c>
      <c r="U68" s="8" t="s">
        <v>1627</v>
      </c>
      <c r="AB68" s="8" t="s">
        <v>1627</v>
      </c>
      <c r="AH68" s="8" t="s">
        <v>166</v>
      </c>
      <c r="AI68" s="8" t="s">
        <v>1631</v>
      </c>
    </row>
    <row r="69">
      <c r="A69" s="152">
        <v>2025.0</v>
      </c>
      <c r="B69" s="151">
        <v>187.0</v>
      </c>
      <c r="C69" s="153" t="s">
        <v>8189</v>
      </c>
      <c r="D69" s="153"/>
      <c r="E69" s="153"/>
      <c r="F69" s="153"/>
      <c r="G69" s="153"/>
      <c r="H69" s="153" t="s">
        <v>535</v>
      </c>
      <c r="I69" s="153" t="s">
        <v>893</v>
      </c>
      <c r="J69" s="153" t="s">
        <v>2450</v>
      </c>
      <c r="K69" s="153" t="s">
        <v>2451</v>
      </c>
      <c r="L69" s="158" t="s">
        <v>149</v>
      </c>
      <c r="M69" s="153" t="s">
        <v>6858</v>
      </c>
      <c r="N69" s="216" t="s">
        <v>6098</v>
      </c>
      <c r="O69" s="160" t="s">
        <v>6098</v>
      </c>
      <c r="P69" s="160" t="s">
        <v>149</v>
      </c>
      <c r="Q69" s="153" t="s">
        <v>151</v>
      </c>
      <c r="R69" s="153" t="s">
        <v>911</v>
      </c>
      <c r="S69" s="158" t="s">
        <v>911</v>
      </c>
      <c r="T69" s="153" t="s">
        <v>2452</v>
      </c>
      <c r="U69" s="153" t="s">
        <v>8204</v>
      </c>
      <c r="V69" s="158" t="s">
        <v>160</v>
      </c>
      <c r="W69" s="158" t="s">
        <v>6035</v>
      </c>
      <c r="X69" s="158" t="s">
        <v>159</v>
      </c>
      <c r="Y69" s="158" t="s">
        <v>149</v>
      </c>
      <c r="Z69" s="158" t="s">
        <v>149</v>
      </c>
      <c r="AA69" s="153" t="s">
        <v>782</v>
      </c>
      <c r="AB69" s="153" t="s">
        <v>390</v>
      </c>
      <c r="AC69" s="153" t="s">
        <v>6035</v>
      </c>
      <c r="AD69" s="153" t="s">
        <v>369</v>
      </c>
      <c r="AE69" s="153"/>
      <c r="AF69" s="153"/>
      <c r="AG69" s="153" t="s">
        <v>6038</v>
      </c>
      <c r="AH69" s="153" t="s">
        <v>2454</v>
      </c>
      <c r="AI69" s="172" t="s">
        <v>2455</v>
      </c>
      <c r="AJ69" s="153"/>
      <c r="AK69" s="153"/>
    </row>
    <row r="70">
      <c r="A70" s="152">
        <v>2024.0</v>
      </c>
      <c r="B70" s="151">
        <v>24.0</v>
      </c>
      <c r="C70" s="153"/>
      <c r="D70" s="153"/>
      <c r="E70" s="153"/>
      <c r="F70" s="153"/>
      <c r="G70" s="153"/>
      <c r="H70" s="153" t="s">
        <v>143</v>
      </c>
      <c r="I70" s="153" t="s">
        <v>438</v>
      </c>
      <c r="J70" s="153" t="s">
        <v>6121</v>
      </c>
      <c r="K70" s="153" t="s">
        <v>1565</v>
      </c>
      <c r="L70" s="153" t="s">
        <v>6122</v>
      </c>
      <c r="M70" s="153"/>
      <c r="N70" s="230">
        <v>2021.0</v>
      </c>
      <c r="O70" s="192" t="s">
        <v>149</v>
      </c>
      <c r="P70" s="192" t="s">
        <v>149</v>
      </c>
      <c r="Q70" s="153" t="s">
        <v>151</v>
      </c>
      <c r="R70" s="158" t="s">
        <v>149</v>
      </c>
      <c r="S70" s="158" t="s">
        <v>149</v>
      </c>
      <c r="T70" s="158" t="s">
        <v>6130</v>
      </c>
      <c r="U70" s="153" t="s">
        <v>6124</v>
      </c>
      <c r="V70" s="158" t="s">
        <v>160</v>
      </c>
      <c r="W70" s="158" t="s">
        <v>271</v>
      </c>
      <c r="X70" s="158" t="s">
        <v>159</v>
      </c>
      <c r="Y70" s="158" t="s">
        <v>149</v>
      </c>
      <c r="Z70" s="158" t="s">
        <v>149</v>
      </c>
      <c r="AA70" s="153" t="s">
        <v>1536</v>
      </c>
      <c r="AB70" s="158" t="s">
        <v>6125</v>
      </c>
      <c r="AC70" s="153" t="s">
        <v>6035</v>
      </c>
      <c r="AD70" s="158" t="s">
        <v>369</v>
      </c>
      <c r="AE70" s="158" t="s">
        <v>6131</v>
      </c>
      <c r="AF70" s="158"/>
      <c r="AG70" s="158" t="s">
        <v>166</v>
      </c>
      <c r="AH70" s="153" t="s">
        <v>1574</v>
      </c>
      <c r="AI70" s="165" t="s">
        <v>1575</v>
      </c>
      <c r="AJ70" s="153"/>
      <c r="AK70" s="153" t="s">
        <v>1577</v>
      </c>
    </row>
    <row r="71">
      <c r="A71" s="152">
        <v>2023.0</v>
      </c>
      <c r="B71" s="151">
        <v>188.0</v>
      </c>
      <c r="C71" s="129" t="s">
        <v>140</v>
      </c>
      <c r="D71" s="8"/>
      <c r="H71" s="8" t="s">
        <v>535</v>
      </c>
      <c r="I71" s="8" t="s">
        <v>893</v>
      </c>
      <c r="J71" s="8" t="s">
        <v>8036</v>
      </c>
      <c r="K71" s="153" t="s">
        <v>1876</v>
      </c>
      <c r="L71" s="8" t="s">
        <v>6113</v>
      </c>
      <c r="N71" s="142" t="s">
        <v>6113</v>
      </c>
      <c r="O71" s="142"/>
      <c r="P71" s="142"/>
      <c r="Q71" s="8" t="s">
        <v>6062</v>
      </c>
      <c r="R71" s="8" t="s">
        <v>320</v>
      </c>
      <c r="T71" s="8" t="s">
        <v>6863</v>
      </c>
      <c r="U71" s="8" t="s">
        <v>369</v>
      </c>
      <c r="AB71" s="8" t="s">
        <v>369</v>
      </c>
    </row>
    <row r="72">
      <c r="A72" s="152">
        <v>2025.0</v>
      </c>
      <c r="B72" s="151">
        <v>188.0</v>
      </c>
      <c r="C72" s="153" t="s">
        <v>8189</v>
      </c>
      <c r="D72" s="153"/>
      <c r="E72" s="153"/>
      <c r="F72" s="153"/>
      <c r="G72" s="153"/>
      <c r="H72" s="153" t="s">
        <v>535</v>
      </c>
      <c r="I72" s="153" t="s">
        <v>893</v>
      </c>
      <c r="J72" s="153" t="s">
        <v>2797</v>
      </c>
      <c r="K72" s="153" t="s">
        <v>2798</v>
      </c>
      <c r="L72" s="158" t="s">
        <v>149</v>
      </c>
      <c r="M72" s="153"/>
      <c r="N72" s="160" t="s">
        <v>149</v>
      </c>
      <c r="O72" s="160" t="s">
        <v>149</v>
      </c>
      <c r="P72" s="160" t="s">
        <v>149</v>
      </c>
      <c r="Q72" s="153" t="s">
        <v>6062</v>
      </c>
      <c r="R72" s="153" t="s">
        <v>8205</v>
      </c>
      <c r="S72" s="158" t="s">
        <v>179</v>
      </c>
      <c r="T72" s="158" t="s">
        <v>6866</v>
      </c>
      <c r="U72" s="158" t="s">
        <v>369</v>
      </c>
      <c r="V72" s="158" t="s">
        <v>160</v>
      </c>
      <c r="W72" s="158" t="s">
        <v>6035</v>
      </c>
      <c r="X72" s="158" t="s">
        <v>159</v>
      </c>
      <c r="Y72" s="158" t="s">
        <v>149</v>
      </c>
      <c r="Z72" s="158" t="s">
        <v>149</v>
      </c>
      <c r="AA72" s="158" t="s">
        <v>149</v>
      </c>
      <c r="AB72" s="158" t="s">
        <v>369</v>
      </c>
      <c r="AC72" s="158" t="s">
        <v>6035</v>
      </c>
      <c r="AD72" s="153"/>
      <c r="AE72" s="153"/>
      <c r="AF72" s="153"/>
      <c r="AG72" s="158" t="s">
        <v>1159</v>
      </c>
      <c r="AH72" s="153" t="s">
        <v>1160</v>
      </c>
      <c r="AI72" s="172" t="s">
        <v>1161</v>
      </c>
      <c r="AJ72" s="153" t="s">
        <v>2803</v>
      </c>
      <c r="AK72" s="153"/>
    </row>
    <row r="73">
      <c r="A73" s="152">
        <v>2024.0</v>
      </c>
      <c r="B73" s="151">
        <v>25.0</v>
      </c>
      <c r="C73" s="153"/>
      <c r="D73" s="153"/>
      <c r="E73" s="153"/>
      <c r="F73" s="153"/>
      <c r="G73" s="153"/>
      <c r="H73" s="153" t="s">
        <v>143</v>
      </c>
      <c r="I73" s="153" t="s">
        <v>438</v>
      </c>
      <c r="J73" s="153" t="s">
        <v>6121</v>
      </c>
      <c r="K73" s="153" t="s">
        <v>1565</v>
      </c>
      <c r="L73" s="153" t="s">
        <v>1635</v>
      </c>
      <c r="M73" s="153"/>
      <c r="N73" s="230">
        <v>2021.0</v>
      </c>
      <c r="O73" s="192" t="s">
        <v>149</v>
      </c>
      <c r="P73" s="192" t="s">
        <v>149</v>
      </c>
      <c r="Q73" s="153" t="s">
        <v>151</v>
      </c>
      <c r="R73" s="158" t="s">
        <v>153</v>
      </c>
      <c r="S73" s="158" t="s">
        <v>153</v>
      </c>
      <c r="T73" s="158" t="s">
        <v>1647</v>
      </c>
      <c r="U73" s="158" t="s">
        <v>158</v>
      </c>
      <c r="V73" s="158" t="s">
        <v>160</v>
      </c>
      <c r="W73" s="158" t="s">
        <v>6035</v>
      </c>
      <c r="X73" s="158" t="s">
        <v>159</v>
      </c>
      <c r="Y73" s="158" t="s">
        <v>149</v>
      </c>
      <c r="Z73" s="158" t="s">
        <v>149</v>
      </c>
      <c r="AA73" s="158" t="s">
        <v>6127</v>
      </c>
      <c r="AB73" s="158" t="s">
        <v>158</v>
      </c>
      <c r="AC73" s="153" t="s">
        <v>6035</v>
      </c>
      <c r="AD73" s="158" t="s">
        <v>6128</v>
      </c>
      <c r="AE73" s="158"/>
      <c r="AF73" s="153"/>
      <c r="AG73" s="158" t="s">
        <v>166</v>
      </c>
      <c r="AH73" s="153" t="s">
        <v>1640</v>
      </c>
      <c r="AI73" s="153" t="s">
        <v>1641</v>
      </c>
      <c r="AJ73" s="153"/>
      <c r="AK73" s="153"/>
    </row>
    <row r="74">
      <c r="A74" s="152">
        <v>2023.0</v>
      </c>
      <c r="B74" s="151">
        <v>189.0</v>
      </c>
      <c r="C74" s="129" t="s">
        <v>140</v>
      </c>
      <c r="D74" s="8"/>
      <c r="H74" s="8" t="s">
        <v>535</v>
      </c>
      <c r="I74" s="8" t="s">
        <v>893</v>
      </c>
      <c r="J74" s="8" t="s">
        <v>2797</v>
      </c>
      <c r="K74" s="153" t="s">
        <v>2798</v>
      </c>
      <c r="L74" s="8" t="s">
        <v>6113</v>
      </c>
      <c r="N74" s="142" t="s">
        <v>6113</v>
      </c>
      <c r="O74" s="142"/>
      <c r="P74" s="142"/>
      <c r="Q74" s="8" t="s">
        <v>6062</v>
      </c>
      <c r="R74" s="8" t="s">
        <v>6868</v>
      </c>
      <c r="T74" s="8" t="s">
        <v>699</v>
      </c>
      <c r="U74" s="8" t="s">
        <v>6869</v>
      </c>
      <c r="AB74" s="8" t="s">
        <v>1158</v>
      </c>
      <c r="AH74" s="8" t="s">
        <v>1159</v>
      </c>
      <c r="AI74" s="8" t="s">
        <v>1161</v>
      </c>
      <c r="AJ74" s="8" t="s">
        <v>2803</v>
      </c>
    </row>
    <row r="75">
      <c r="A75" s="152">
        <v>2025.0</v>
      </c>
      <c r="B75" s="151">
        <v>189.0</v>
      </c>
      <c r="C75" s="153" t="s">
        <v>8189</v>
      </c>
      <c r="D75" s="153"/>
      <c r="E75" s="153"/>
      <c r="F75" s="153"/>
      <c r="G75" s="153"/>
      <c r="H75" s="153" t="s">
        <v>535</v>
      </c>
      <c r="I75" s="153" t="s">
        <v>893</v>
      </c>
      <c r="J75" s="153" t="s">
        <v>894</v>
      </c>
      <c r="K75" s="153" t="s">
        <v>895</v>
      </c>
      <c r="L75" s="153" t="s">
        <v>384</v>
      </c>
      <c r="M75" s="153" t="s">
        <v>2868</v>
      </c>
      <c r="N75" s="175" t="s">
        <v>6078</v>
      </c>
      <c r="O75" s="175" t="s">
        <v>6052</v>
      </c>
      <c r="P75" s="175" t="s">
        <v>6053</v>
      </c>
      <c r="Q75" s="153" t="s">
        <v>151</v>
      </c>
      <c r="R75" s="153" t="s">
        <v>469</v>
      </c>
      <c r="S75" s="158" t="s">
        <v>469</v>
      </c>
      <c r="T75" s="158" t="s">
        <v>149</v>
      </c>
      <c r="U75" s="153" t="s">
        <v>390</v>
      </c>
      <c r="V75" s="158" t="s">
        <v>160</v>
      </c>
      <c r="W75" s="158" t="s">
        <v>6035</v>
      </c>
      <c r="X75" s="158" t="s">
        <v>159</v>
      </c>
      <c r="Y75" s="158" t="s">
        <v>149</v>
      </c>
      <c r="Z75" s="158" t="s">
        <v>149</v>
      </c>
      <c r="AA75" s="153" t="s">
        <v>2870</v>
      </c>
      <c r="AB75" s="153" t="s">
        <v>390</v>
      </c>
      <c r="AC75" s="153" t="s">
        <v>6035</v>
      </c>
      <c r="AD75" s="153" t="s">
        <v>6055</v>
      </c>
      <c r="AE75" s="153"/>
      <c r="AF75" s="153"/>
      <c r="AG75" s="158" t="s">
        <v>395</v>
      </c>
      <c r="AH75" s="153" t="s">
        <v>6060</v>
      </c>
      <c r="AI75" s="158" t="s">
        <v>397</v>
      </c>
      <c r="AJ75" s="153" t="s">
        <v>398</v>
      </c>
      <c r="AK75" s="153"/>
    </row>
    <row r="76">
      <c r="A76" s="152">
        <v>2023.0</v>
      </c>
      <c r="B76" s="151">
        <v>190.0</v>
      </c>
      <c r="C76" s="129" t="s">
        <v>140</v>
      </c>
      <c r="D76" s="8"/>
      <c r="H76" s="8" t="s">
        <v>535</v>
      </c>
      <c r="I76" s="8" t="s">
        <v>893</v>
      </c>
      <c r="J76" s="8" t="s">
        <v>894</v>
      </c>
      <c r="K76" s="277" t="s">
        <v>895</v>
      </c>
      <c r="L76" s="8" t="s">
        <v>384</v>
      </c>
      <c r="M76" s="8" t="s">
        <v>2868</v>
      </c>
      <c r="N76" s="278" t="s">
        <v>6078</v>
      </c>
      <c r="O76" s="142" t="s">
        <v>6052</v>
      </c>
      <c r="P76" s="142" t="s">
        <v>6053</v>
      </c>
      <c r="Q76" s="8" t="s">
        <v>151</v>
      </c>
      <c r="R76" s="8" t="s">
        <v>469</v>
      </c>
      <c r="U76" s="8" t="s">
        <v>390</v>
      </c>
      <c r="AA76" s="8" t="s">
        <v>2870</v>
      </c>
      <c r="AB76" s="8" t="s">
        <v>390</v>
      </c>
      <c r="AD76" s="8" t="s">
        <v>6055</v>
      </c>
      <c r="AH76" s="8" t="s">
        <v>6057</v>
      </c>
      <c r="AI76" s="8" t="s">
        <v>2873</v>
      </c>
      <c r="AJ76" s="8" t="s">
        <v>398</v>
      </c>
      <c r="AL76" s="8" t="s">
        <v>6109</v>
      </c>
    </row>
    <row r="77">
      <c r="A77" s="152">
        <v>2025.0</v>
      </c>
      <c r="B77" s="151">
        <v>190.0</v>
      </c>
      <c r="C77" s="153" t="s">
        <v>8189</v>
      </c>
      <c r="D77" s="153"/>
      <c r="E77" s="153"/>
      <c r="F77" s="153"/>
      <c r="G77" s="153"/>
      <c r="H77" s="153" t="s">
        <v>535</v>
      </c>
      <c r="I77" s="153" t="s">
        <v>893</v>
      </c>
      <c r="J77" s="153" t="s">
        <v>894</v>
      </c>
      <c r="K77" s="153" t="s">
        <v>895</v>
      </c>
      <c r="L77" s="153" t="s">
        <v>896</v>
      </c>
      <c r="M77" s="153" t="s">
        <v>6873</v>
      </c>
      <c r="N77" s="175" t="s">
        <v>6089</v>
      </c>
      <c r="O77" s="164" t="s">
        <v>149</v>
      </c>
      <c r="P77" s="160" t="s">
        <v>149</v>
      </c>
      <c r="Q77" s="153" t="s">
        <v>6872</v>
      </c>
      <c r="R77" s="158" t="s">
        <v>899</v>
      </c>
      <c r="S77" s="158" t="s">
        <v>899</v>
      </c>
      <c r="T77" s="153" t="s">
        <v>8206</v>
      </c>
      <c r="U77" s="153" t="s">
        <v>901</v>
      </c>
      <c r="V77" s="158" t="s">
        <v>160</v>
      </c>
      <c r="W77" s="158" t="s">
        <v>271</v>
      </c>
      <c r="X77" s="158" t="s">
        <v>159</v>
      </c>
      <c r="Y77" s="158" t="s">
        <v>149</v>
      </c>
      <c r="Z77" s="153" t="s">
        <v>902</v>
      </c>
      <c r="AA77" s="158" t="s">
        <v>149</v>
      </c>
      <c r="AB77" s="153" t="s">
        <v>901</v>
      </c>
      <c r="AC77" s="153" t="s">
        <v>271</v>
      </c>
      <c r="AD77" s="153" t="s">
        <v>6877</v>
      </c>
      <c r="AE77" s="153" t="s">
        <v>904</v>
      </c>
      <c r="AF77" s="153"/>
      <c r="AG77" s="158" t="s">
        <v>166</v>
      </c>
      <c r="AH77" s="153" t="s">
        <v>905</v>
      </c>
      <c r="AI77" s="165" t="s">
        <v>906</v>
      </c>
      <c r="AJ77" s="153"/>
      <c r="AK77" s="153"/>
    </row>
    <row r="78">
      <c r="A78" s="152">
        <v>2024.0</v>
      </c>
      <c r="B78" s="151">
        <v>27.0</v>
      </c>
      <c r="C78" s="153"/>
      <c r="D78" s="153"/>
      <c r="E78" s="153"/>
      <c r="F78" s="153"/>
      <c r="G78" s="153"/>
      <c r="H78" s="153" t="s">
        <v>143</v>
      </c>
      <c r="I78" s="153" t="s">
        <v>438</v>
      </c>
      <c r="J78" s="153" t="s">
        <v>443</v>
      </c>
      <c r="K78" s="153" t="s">
        <v>444</v>
      </c>
      <c r="L78" s="153" t="s">
        <v>384</v>
      </c>
      <c r="M78" s="153" t="s">
        <v>445</v>
      </c>
      <c r="N78" s="230">
        <v>1986.0</v>
      </c>
      <c r="O78" s="230">
        <v>1985.0</v>
      </c>
      <c r="P78" s="230">
        <v>1987.0</v>
      </c>
      <c r="Q78" s="153" t="s">
        <v>151</v>
      </c>
      <c r="R78" s="158" t="s">
        <v>149</v>
      </c>
      <c r="S78" s="158" t="s">
        <v>149</v>
      </c>
      <c r="T78" s="158" t="s">
        <v>149</v>
      </c>
      <c r="U78" s="153" t="s">
        <v>390</v>
      </c>
      <c r="V78" s="158" t="s">
        <v>160</v>
      </c>
      <c r="W78" s="158" t="s">
        <v>6035</v>
      </c>
      <c r="X78" s="158" t="s">
        <v>159</v>
      </c>
      <c r="Y78" s="158" t="s">
        <v>149</v>
      </c>
      <c r="Z78" s="158" t="s">
        <v>149</v>
      </c>
      <c r="AA78" s="158" t="s">
        <v>149</v>
      </c>
      <c r="AB78" s="153" t="s">
        <v>390</v>
      </c>
      <c r="AC78" s="153" t="s">
        <v>6035</v>
      </c>
      <c r="AD78" s="153" t="s">
        <v>6055</v>
      </c>
      <c r="AE78" s="153"/>
      <c r="AF78" s="153"/>
      <c r="AG78" s="158" t="s">
        <v>395</v>
      </c>
      <c r="AH78" s="153" t="s">
        <v>6060</v>
      </c>
      <c r="AI78" s="177" t="s">
        <v>397</v>
      </c>
      <c r="AJ78" s="153" t="s">
        <v>398</v>
      </c>
      <c r="AK78" s="153"/>
    </row>
    <row r="79">
      <c r="A79" s="152">
        <v>2023.0</v>
      </c>
      <c r="B79" s="151">
        <v>191.0</v>
      </c>
      <c r="C79" s="129" t="s">
        <v>140</v>
      </c>
      <c r="D79" s="8"/>
      <c r="H79" s="8" t="s">
        <v>535</v>
      </c>
      <c r="I79" s="8" t="s">
        <v>893</v>
      </c>
      <c r="J79" s="8" t="s">
        <v>8043</v>
      </c>
      <c r="K79" s="153" t="s">
        <v>1152</v>
      </c>
      <c r="L79" s="8" t="s">
        <v>1153</v>
      </c>
      <c r="N79" s="142"/>
      <c r="O79" s="142"/>
      <c r="P79" s="142"/>
      <c r="Q79" s="8" t="s">
        <v>6062</v>
      </c>
      <c r="T79" s="8" t="s">
        <v>699</v>
      </c>
    </row>
    <row r="80">
      <c r="A80" s="152">
        <v>2025.0</v>
      </c>
      <c r="B80" s="151">
        <v>191.0</v>
      </c>
      <c r="C80" s="153" t="s">
        <v>8189</v>
      </c>
      <c r="D80" s="153"/>
      <c r="E80" s="153"/>
      <c r="F80" s="153"/>
      <c r="G80" s="153"/>
      <c r="H80" s="153" t="s">
        <v>535</v>
      </c>
      <c r="I80" s="153" t="s">
        <v>893</v>
      </c>
      <c r="J80" s="153" t="s">
        <v>8207</v>
      </c>
      <c r="K80" s="153" t="s">
        <v>1152</v>
      </c>
      <c r="L80" s="153" t="s">
        <v>1153</v>
      </c>
      <c r="M80" s="158" t="s">
        <v>1154</v>
      </c>
      <c r="N80" s="175" t="s">
        <v>6064</v>
      </c>
      <c r="O80" s="160" t="s">
        <v>149</v>
      </c>
      <c r="P80" s="160" t="s">
        <v>149</v>
      </c>
      <c r="Q80" s="153" t="s">
        <v>6062</v>
      </c>
      <c r="R80" s="158" t="s">
        <v>1156</v>
      </c>
      <c r="S80" s="158" t="s">
        <v>1156</v>
      </c>
      <c r="T80" s="153" t="s">
        <v>1157</v>
      </c>
      <c r="U80" s="158" t="s">
        <v>1158</v>
      </c>
      <c r="V80" s="158" t="s">
        <v>160</v>
      </c>
      <c r="W80" s="158" t="s">
        <v>209</v>
      </c>
      <c r="X80" s="158" t="s">
        <v>204</v>
      </c>
      <c r="Y80" s="158" t="s">
        <v>149</v>
      </c>
      <c r="Z80" s="158" t="s">
        <v>149</v>
      </c>
      <c r="AA80" s="158" t="s">
        <v>149</v>
      </c>
      <c r="AB80" s="153" t="s">
        <v>1158</v>
      </c>
      <c r="AC80" s="158" t="s">
        <v>6068</v>
      </c>
      <c r="AD80" s="153"/>
      <c r="AE80" s="153"/>
      <c r="AF80" s="153"/>
      <c r="AG80" s="158" t="s">
        <v>1159</v>
      </c>
      <c r="AH80" s="153" t="s">
        <v>1160</v>
      </c>
      <c r="AI80" s="172" t="s">
        <v>1161</v>
      </c>
      <c r="AJ80" s="153"/>
      <c r="AK80" s="153"/>
    </row>
    <row r="81">
      <c r="A81" s="152">
        <v>2024.0</v>
      </c>
      <c r="B81" s="151">
        <v>28.0</v>
      </c>
      <c r="C81" s="153"/>
      <c r="D81" s="153"/>
      <c r="E81" s="153"/>
      <c r="F81" s="153"/>
      <c r="G81" s="153"/>
      <c r="H81" s="153" t="s">
        <v>143</v>
      </c>
      <c r="I81" s="153" t="s">
        <v>438</v>
      </c>
      <c r="J81" s="153" t="s">
        <v>2723</v>
      </c>
      <c r="K81" s="153" t="s">
        <v>2724</v>
      </c>
      <c r="L81" s="158" t="s">
        <v>149</v>
      </c>
      <c r="M81" s="153"/>
      <c r="N81" s="230">
        <v>2021.0</v>
      </c>
      <c r="O81" s="192" t="s">
        <v>149</v>
      </c>
      <c r="P81" s="192" t="s">
        <v>149</v>
      </c>
      <c r="Q81" s="153" t="s">
        <v>151</v>
      </c>
      <c r="R81" s="158" t="s">
        <v>153</v>
      </c>
      <c r="S81" s="158" t="s">
        <v>153</v>
      </c>
      <c r="T81" s="153" t="s">
        <v>6135</v>
      </c>
      <c r="U81" s="158" t="s">
        <v>369</v>
      </c>
      <c r="V81" s="158" t="s">
        <v>160</v>
      </c>
      <c r="W81" s="158" t="s">
        <v>6035</v>
      </c>
      <c r="X81" s="158" t="s">
        <v>159</v>
      </c>
      <c r="Y81" s="158" t="s">
        <v>149</v>
      </c>
      <c r="Z81" s="158" t="s">
        <v>149</v>
      </c>
      <c r="AA81" s="171" t="s">
        <v>2728</v>
      </c>
      <c r="AB81" s="153" t="s">
        <v>369</v>
      </c>
      <c r="AC81" s="153" t="s">
        <v>6035</v>
      </c>
      <c r="AD81" s="153"/>
      <c r="AE81" s="153"/>
      <c r="AF81" s="153"/>
      <c r="AG81" s="153" t="s">
        <v>6038</v>
      </c>
      <c r="AH81" s="158" t="s">
        <v>2729</v>
      </c>
      <c r="AI81" s="165" t="s">
        <v>2730</v>
      </c>
      <c r="AJ81" s="153" t="s">
        <v>2731</v>
      </c>
      <c r="AK81" s="153"/>
    </row>
    <row r="82">
      <c r="A82" s="152">
        <v>2023.0</v>
      </c>
      <c r="B82" s="151">
        <v>192.0</v>
      </c>
      <c r="C82" s="129" t="s">
        <v>140</v>
      </c>
      <c r="D82" s="8"/>
      <c r="H82" s="8" t="s">
        <v>535</v>
      </c>
      <c r="I82" s="8" t="s">
        <v>893</v>
      </c>
      <c r="J82" s="8" t="s">
        <v>1442</v>
      </c>
      <c r="K82" s="279" t="s">
        <v>1443</v>
      </c>
      <c r="L82" s="8" t="s">
        <v>1377</v>
      </c>
      <c r="N82" s="142"/>
      <c r="O82" s="142" t="s">
        <v>6198</v>
      </c>
      <c r="P82" s="142" t="s">
        <v>6199</v>
      </c>
      <c r="Q82" s="8" t="s">
        <v>151</v>
      </c>
      <c r="U82" s="8" t="s">
        <v>1381</v>
      </c>
      <c r="AB82" s="8" t="s">
        <v>660</v>
      </c>
      <c r="AD82" s="8" t="s">
        <v>369</v>
      </c>
      <c r="AH82" s="8" t="s">
        <v>395</v>
      </c>
      <c r="AI82" s="8" t="s">
        <v>2873</v>
      </c>
      <c r="AJ82" s="8" t="s">
        <v>398</v>
      </c>
    </row>
    <row r="83">
      <c r="A83" s="152">
        <v>2025.0</v>
      </c>
      <c r="B83" s="151">
        <v>192.0</v>
      </c>
      <c r="C83" s="153" t="s">
        <v>8189</v>
      </c>
      <c r="D83" s="153"/>
      <c r="E83" s="153"/>
      <c r="F83" s="153"/>
      <c r="G83" s="153"/>
      <c r="H83" s="153" t="s">
        <v>535</v>
      </c>
      <c r="I83" s="153" t="s">
        <v>893</v>
      </c>
      <c r="J83" s="153" t="s">
        <v>1442</v>
      </c>
      <c r="K83" s="153" t="s">
        <v>1443</v>
      </c>
      <c r="L83" s="153" t="s">
        <v>1377</v>
      </c>
      <c r="M83" s="153"/>
      <c r="N83" s="160" t="s">
        <v>6896</v>
      </c>
      <c r="O83" s="175" t="s">
        <v>6198</v>
      </c>
      <c r="P83" s="175" t="s">
        <v>6199</v>
      </c>
      <c r="Q83" s="153" t="s">
        <v>151</v>
      </c>
      <c r="R83" s="158" t="s">
        <v>149</v>
      </c>
      <c r="S83" s="158" t="s">
        <v>149</v>
      </c>
      <c r="T83" s="158" t="s">
        <v>149</v>
      </c>
      <c r="U83" s="153" t="s">
        <v>1381</v>
      </c>
      <c r="V83" s="158" t="s">
        <v>6154</v>
      </c>
      <c r="W83" s="158" t="s">
        <v>206</v>
      </c>
      <c r="X83" s="158" t="s">
        <v>159</v>
      </c>
      <c r="Y83" s="158" t="s">
        <v>149</v>
      </c>
      <c r="Z83" s="158" t="s">
        <v>149</v>
      </c>
      <c r="AA83" s="158" t="s">
        <v>149</v>
      </c>
      <c r="AB83" s="153" t="s">
        <v>660</v>
      </c>
      <c r="AC83" s="153" t="s">
        <v>6035</v>
      </c>
      <c r="AD83" s="153" t="s">
        <v>369</v>
      </c>
      <c r="AE83" s="153"/>
      <c r="AF83" s="153"/>
      <c r="AG83" s="158" t="s">
        <v>395</v>
      </c>
      <c r="AH83" s="153" t="s">
        <v>6060</v>
      </c>
      <c r="AI83" s="158" t="s">
        <v>6711</v>
      </c>
      <c r="AJ83" s="153" t="s">
        <v>398</v>
      </c>
      <c r="AK83" s="153"/>
    </row>
    <row r="84">
      <c r="A84" s="152">
        <v>2024.0</v>
      </c>
      <c r="B84" s="151">
        <v>29.0</v>
      </c>
      <c r="C84" s="153"/>
      <c r="D84" s="153"/>
      <c r="E84" s="153"/>
      <c r="F84" s="153"/>
      <c r="G84" s="153"/>
      <c r="H84" s="153" t="s">
        <v>143</v>
      </c>
      <c r="I84" s="153" t="s">
        <v>438</v>
      </c>
      <c r="J84" s="153" t="s">
        <v>1142</v>
      </c>
      <c r="K84" s="153" t="s">
        <v>1143</v>
      </c>
      <c r="L84" s="153" t="s">
        <v>1144</v>
      </c>
      <c r="M84" s="153"/>
      <c r="N84" s="230">
        <v>2014.0</v>
      </c>
      <c r="O84" s="192">
        <v>2012.0</v>
      </c>
      <c r="P84" s="192">
        <v>2017.0</v>
      </c>
      <c r="Q84" s="153" t="s">
        <v>151</v>
      </c>
      <c r="R84" s="158" t="s">
        <v>149</v>
      </c>
      <c r="S84" s="158" t="s">
        <v>149</v>
      </c>
      <c r="T84" s="158" t="s">
        <v>6153</v>
      </c>
      <c r="U84" s="153" t="s">
        <v>1146</v>
      </c>
      <c r="V84" s="158" t="s">
        <v>6154</v>
      </c>
      <c r="W84" s="158" t="s">
        <v>206</v>
      </c>
      <c r="X84" s="158" t="s">
        <v>159</v>
      </c>
      <c r="Y84" s="158" t="s">
        <v>149</v>
      </c>
      <c r="Z84" s="158" t="s">
        <v>149</v>
      </c>
      <c r="AA84" s="158" t="s">
        <v>149</v>
      </c>
      <c r="AB84" s="158" t="s">
        <v>369</v>
      </c>
      <c r="AC84" s="153" t="s">
        <v>6035</v>
      </c>
      <c r="AD84" s="153"/>
      <c r="AE84" s="153"/>
      <c r="AF84" s="153"/>
      <c r="AG84" s="153" t="s">
        <v>6084</v>
      </c>
      <c r="AH84" s="153" t="s">
        <v>1148</v>
      </c>
      <c r="AI84" s="153" t="s">
        <v>1149</v>
      </c>
      <c r="AJ84" s="153"/>
      <c r="AK84" s="153"/>
    </row>
    <row r="85">
      <c r="A85" s="152">
        <v>2023.0</v>
      </c>
      <c r="B85" s="151">
        <v>193.0</v>
      </c>
      <c r="C85" s="129" t="s">
        <v>140</v>
      </c>
      <c r="D85" s="8"/>
      <c r="H85" s="8" t="s">
        <v>535</v>
      </c>
      <c r="I85" s="8" t="s">
        <v>893</v>
      </c>
      <c r="J85" s="8" t="s">
        <v>1442</v>
      </c>
      <c r="K85" s="153" t="s">
        <v>1443</v>
      </c>
      <c r="L85" s="8" t="s">
        <v>6113</v>
      </c>
      <c r="N85" s="142" t="s">
        <v>6198</v>
      </c>
      <c r="O85" s="142"/>
      <c r="P85" s="142"/>
      <c r="Q85" s="8" t="s">
        <v>151</v>
      </c>
      <c r="T85" s="8" t="s">
        <v>6506</v>
      </c>
      <c r="AB85" s="8" t="s">
        <v>2304</v>
      </c>
      <c r="AD85" s="8" t="s">
        <v>6507</v>
      </c>
      <c r="AH85" s="8" t="s">
        <v>395</v>
      </c>
      <c r="AI85" s="8" t="s">
        <v>2873</v>
      </c>
      <c r="AJ85" s="8" t="s">
        <v>398</v>
      </c>
    </row>
    <row r="86">
      <c r="A86" s="152">
        <v>2025.0</v>
      </c>
      <c r="B86" s="151">
        <v>193.0</v>
      </c>
      <c r="C86" s="153" t="s">
        <v>8189</v>
      </c>
      <c r="D86" s="153"/>
      <c r="E86" s="153"/>
      <c r="F86" s="153"/>
      <c r="G86" s="153"/>
      <c r="H86" s="153" t="s">
        <v>535</v>
      </c>
      <c r="I86" s="153" t="s">
        <v>893</v>
      </c>
      <c r="J86" s="153" t="s">
        <v>1442</v>
      </c>
      <c r="K86" s="153" t="s">
        <v>1443</v>
      </c>
      <c r="L86" s="158" t="s">
        <v>149</v>
      </c>
      <c r="M86" s="153"/>
      <c r="N86" s="175" t="s">
        <v>6198</v>
      </c>
      <c r="O86" s="160" t="s">
        <v>6198</v>
      </c>
      <c r="P86" s="160" t="s">
        <v>6198</v>
      </c>
      <c r="Q86" s="153" t="s">
        <v>151</v>
      </c>
      <c r="R86" s="158" t="s">
        <v>6054</v>
      </c>
      <c r="S86" s="158" t="s">
        <v>6054</v>
      </c>
      <c r="T86" s="153" t="s">
        <v>8208</v>
      </c>
      <c r="U86" s="158" t="s">
        <v>2304</v>
      </c>
      <c r="V86" s="158" t="s">
        <v>160</v>
      </c>
      <c r="W86" s="158" t="s">
        <v>6035</v>
      </c>
      <c r="X86" s="158" t="s">
        <v>159</v>
      </c>
      <c r="Y86" s="158" t="s">
        <v>149</v>
      </c>
      <c r="Z86" s="158" t="s">
        <v>149</v>
      </c>
      <c r="AA86" s="158" t="s">
        <v>149</v>
      </c>
      <c r="AB86" s="153" t="s">
        <v>2304</v>
      </c>
      <c r="AC86" s="158" t="s">
        <v>6035</v>
      </c>
      <c r="AD86" s="153" t="s">
        <v>6507</v>
      </c>
      <c r="AE86" s="153"/>
      <c r="AF86" s="153"/>
      <c r="AG86" s="158" t="s">
        <v>395</v>
      </c>
      <c r="AH86" s="153" t="s">
        <v>6060</v>
      </c>
      <c r="AI86" s="158" t="s">
        <v>6711</v>
      </c>
      <c r="AJ86" s="153" t="s">
        <v>398</v>
      </c>
      <c r="AK86" s="153"/>
    </row>
    <row r="87">
      <c r="A87" s="152">
        <v>2024.0</v>
      </c>
      <c r="B87" s="151">
        <v>30.0</v>
      </c>
      <c r="C87" s="153"/>
      <c r="D87" s="153"/>
      <c r="E87" s="153"/>
      <c r="F87" s="153"/>
      <c r="G87" s="153"/>
      <c r="H87" s="153" t="s">
        <v>143</v>
      </c>
      <c r="I87" s="153" t="s">
        <v>438</v>
      </c>
      <c r="J87" s="153" t="s">
        <v>2538</v>
      </c>
      <c r="K87" s="153" t="s">
        <v>2539</v>
      </c>
      <c r="L87" s="158" t="s">
        <v>149</v>
      </c>
      <c r="M87" s="153" t="s">
        <v>2540</v>
      </c>
      <c r="N87" s="230">
        <v>2023.0</v>
      </c>
      <c r="O87" s="192" t="s">
        <v>149</v>
      </c>
      <c r="P87" s="192" t="s">
        <v>149</v>
      </c>
      <c r="Q87" s="153" t="s">
        <v>151</v>
      </c>
      <c r="R87" s="158" t="s">
        <v>153</v>
      </c>
      <c r="S87" s="158" t="s">
        <v>153</v>
      </c>
      <c r="T87" s="158" t="s">
        <v>6192</v>
      </c>
      <c r="U87" s="153" t="s">
        <v>158</v>
      </c>
      <c r="V87" s="158" t="s">
        <v>160</v>
      </c>
      <c r="W87" s="158" t="s">
        <v>6035</v>
      </c>
      <c r="X87" s="158" t="s">
        <v>159</v>
      </c>
      <c r="Y87" s="158" t="s">
        <v>149</v>
      </c>
      <c r="Z87" s="158" t="s">
        <v>149</v>
      </c>
      <c r="AA87" s="158" t="s">
        <v>149</v>
      </c>
      <c r="AB87" s="153" t="s">
        <v>158</v>
      </c>
      <c r="AC87" s="153" t="s">
        <v>6035</v>
      </c>
      <c r="AD87" s="153" t="s">
        <v>369</v>
      </c>
      <c r="AE87" s="153"/>
      <c r="AF87" s="153"/>
      <c r="AG87" s="158" t="s">
        <v>166</v>
      </c>
      <c r="AH87" s="153" t="s">
        <v>2542</v>
      </c>
      <c r="AI87" s="165" t="s">
        <v>2543</v>
      </c>
      <c r="AJ87" s="239"/>
      <c r="AK87" s="153"/>
    </row>
    <row r="88">
      <c r="A88" s="152">
        <v>2023.0</v>
      </c>
      <c r="B88" s="151">
        <v>231.0</v>
      </c>
      <c r="C88" s="129" t="s">
        <v>140</v>
      </c>
      <c r="D88" s="8"/>
      <c r="H88" s="8" t="s">
        <v>314</v>
      </c>
      <c r="I88" s="8" t="s">
        <v>858</v>
      </c>
      <c r="J88" s="8" t="s">
        <v>1296</v>
      </c>
      <c r="K88" s="8" t="s">
        <v>1297</v>
      </c>
      <c r="L88" s="8" t="s">
        <v>1174</v>
      </c>
      <c r="N88" s="142"/>
      <c r="O88" s="142" t="s">
        <v>6151</v>
      </c>
      <c r="P88" s="142" t="s">
        <v>6089</v>
      </c>
      <c r="Q88" s="8" t="s">
        <v>6062</v>
      </c>
      <c r="R88" s="8" t="s">
        <v>1201</v>
      </c>
      <c r="U88" s="8" t="s">
        <v>321</v>
      </c>
      <c r="AA88" s="8" t="s">
        <v>1298</v>
      </c>
      <c r="AB88" s="8" t="s">
        <v>885</v>
      </c>
      <c r="AD88" s="8" t="s">
        <v>1299</v>
      </c>
      <c r="AH88" s="8" t="s">
        <v>6069</v>
      </c>
    </row>
    <row r="89">
      <c r="A89" s="152">
        <v>2023.0</v>
      </c>
      <c r="B89" s="151">
        <v>232.0</v>
      </c>
      <c r="C89" s="129" t="s">
        <v>140</v>
      </c>
      <c r="D89" s="8"/>
      <c r="H89" s="8" t="s">
        <v>314</v>
      </c>
      <c r="I89" s="8" t="s">
        <v>858</v>
      </c>
      <c r="J89" s="8" t="s">
        <v>1296</v>
      </c>
      <c r="K89" s="8" t="s">
        <v>1297</v>
      </c>
      <c r="L89" s="8" t="s">
        <v>6587</v>
      </c>
      <c r="N89" s="142" t="s">
        <v>6064</v>
      </c>
      <c r="O89" s="142"/>
      <c r="P89" s="142"/>
      <c r="Q89" s="8" t="s">
        <v>6113</v>
      </c>
      <c r="T89" s="8" t="s">
        <v>2147</v>
      </c>
      <c r="AH89" s="8" t="s">
        <v>6038</v>
      </c>
      <c r="AI89" s="8" t="s">
        <v>2149</v>
      </c>
    </row>
    <row r="90">
      <c r="A90" s="152">
        <v>2024.0</v>
      </c>
      <c r="B90" s="151">
        <v>31.0</v>
      </c>
      <c r="C90" s="153"/>
      <c r="D90" s="153"/>
      <c r="E90" s="153"/>
      <c r="F90" s="153"/>
      <c r="G90" s="153"/>
      <c r="H90" s="153" t="s">
        <v>143</v>
      </c>
      <c r="I90" s="153" t="s">
        <v>438</v>
      </c>
      <c r="J90" s="153" t="s">
        <v>2850</v>
      </c>
      <c r="K90" s="173" t="s">
        <v>2851</v>
      </c>
      <c r="L90" s="153" t="s">
        <v>384</v>
      </c>
      <c r="M90" s="153" t="s">
        <v>6181</v>
      </c>
      <c r="N90" s="230">
        <v>1981.0</v>
      </c>
      <c r="O90" s="230">
        <v>1985.0</v>
      </c>
      <c r="P90" s="230">
        <v>1987.0</v>
      </c>
      <c r="Q90" s="153" t="s">
        <v>151</v>
      </c>
      <c r="R90" s="158" t="s">
        <v>149</v>
      </c>
      <c r="S90" s="158" t="s">
        <v>149</v>
      </c>
      <c r="T90" s="158" t="s">
        <v>149</v>
      </c>
      <c r="U90" s="153" t="s">
        <v>390</v>
      </c>
      <c r="V90" s="158" t="s">
        <v>160</v>
      </c>
      <c r="W90" s="158" t="s">
        <v>6035</v>
      </c>
      <c r="X90" s="158" t="s">
        <v>159</v>
      </c>
      <c r="Y90" s="158" t="s">
        <v>149</v>
      </c>
      <c r="Z90" s="158" t="s">
        <v>149</v>
      </c>
      <c r="AA90" s="153" t="s">
        <v>2853</v>
      </c>
      <c r="AB90" s="153" t="s">
        <v>390</v>
      </c>
      <c r="AC90" s="153" t="s">
        <v>6035</v>
      </c>
      <c r="AD90" s="153" t="s">
        <v>6055</v>
      </c>
      <c r="AE90" s="153"/>
      <c r="AF90" s="153"/>
      <c r="AG90" s="158" t="s">
        <v>395</v>
      </c>
      <c r="AH90" s="153" t="s">
        <v>6060</v>
      </c>
      <c r="AI90" s="177" t="s">
        <v>397</v>
      </c>
      <c r="AJ90" s="153" t="s">
        <v>398</v>
      </c>
      <c r="AK90" s="239"/>
    </row>
    <row r="91">
      <c r="A91" s="152">
        <v>2023.0</v>
      </c>
      <c r="B91" s="151">
        <v>233.0</v>
      </c>
      <c r="C91" s="129" t="s">
        <v>140</v>
      </c>
      <c r="D91" s="8"/>
      <c r="H91" s="8" t="s">
        <v>314</v>
      </c>
      <c r="I91" s="8" t="s">
        <v>858</v>
      </c>
      <c r="J91" s="8" t="s">
        <v>859</v>
      </c>
      <c r="K91" s="208" t="s">
        <v>860</v>
      </c>
      <c r="L91" s="8" t="s">
        <v>861</v>
      </c>
      <c r="N91" s="174" t="s">
        <v>6199</v>
      </c>
      <c r="O91" s="142"/>
      <c r="P91" s="142"/>
      <c r="Q91" s="8" t="s">
        <v>151</v>
      </c>
      <c r="R91" s="8" t="s">
        <v>3393</v>
      </c>
      <c r="T91" s="8" t="s">
        <v>866</v>
      </c>
      <c r="AA91" s="8" t="s">
        <v>867</v>
      </c>
      <c r="AB91" s="8" t="s">
        <v>868</v>
      </c>
      <c r="AH91" s="8" t="s">
        <v>395</v>
      </c>
      <c r="AI91" s="8" t="s">
        <v>2873</v>
      </c>
      <c r="AJ91" s="8" t="s">
        <v>398</v>
      </c>
    </row>
    <row r="92">
      <c r="A92" s="152">
        <v>2025.0</v>
      </c>
      <c r="B92" s="151">
        <v>239.0</v>
      </c>
      <c r="C92" s="153" t="s">
        <v>8189</v>
      </c>
      <c r="D92" s="153"/>
      <c r="E92" s="153"/>
      <c r="F92" s="153"/>
      <c r="G92" s="153"/>
      <c r="H92" s="153" t="s">
        <v>314</v>
      </c>
      <c r="I92" s="153" t="s">
        <v>858</v>
      </c>
      <c r="J92" s="153" t="s">
        <v>1296</v>
      </c>
      <c r="K92" s="153" t="s">
        <v>1297</v>
      </c>
      <c r="L92" s="153" t="s">
        <v>1174</v>
      </c>
      <c r="M92" s="153"/>
      <c r="N92" s="160" t="s">
        <v>6089</v>
      </c>
      <c r="O92" s="175" t="s">
        <v>6151</v>
      </c>
      <c r="P92" s="175" t="s">
        <v>6089</v>
      </c>
      <c r="Q92" s="153" t="s">
        <v>6062</v>
      </c>
      <c r="R92" s="153" t="s">
        <v>1201</v>
      </c>
      <c r="S92" s="158" t="s">
        <v>179</v>
      </c>
      <c r="T92" s="158" t="s">
        <v>149</v>
      </c>
      <c r="U92" s="153" t="s">
        <v>321</v>
      </c>
      <c r="V92" s="158" t="s">
        <v>160</v>
      </c>
      <c r="W92" s="158" t="s">
        <v>6035</v>
      </c>
      <c r="X92" s="158" t="s">
        <v>204</v>
      </c>
      <c r="Y92" s="158" t="s">
        <v>149</v>
      </c>
      <c r="Z92" s="158" t="s">
        <v>149</v>
      </c>
      <c r="AA92" s="153" t="s">
        <v>1298</v>
      </c>
      <c r="AB92" s="153" t="s">
        <v>885</v>
      </c>
      <c r="AC92" s="158" t="s">
        <v>6068</v>
      </c>
      <c r="AD92" s="153" t="s">
        <v>1299</v>
      </c>
      <c r="AE92" s="153"/>
      <c r="AF92" s="153"/>
      <c r="AG92" s="158" t="s">
        <v>6069</v>
      </c>
      <c r="AH92" s="153" t="s">
        <v>1300</v>
      </c>
      <c r="AI92" s="153" t="s">
        <v>7029</v>
      </c>
      <c r="AJ92" s="153"/>
      <c r="AK92" s="153"/>
    </row>
    <row r="93">
      <c r="A93" s="152">
        <v>2024.0</v>
      </c>
      <c r="B93" s="151">
        <v>32.0</v>
      </c>
      <c r="C93" s="153"/>
      <c r="D93" s="153"/>
      <c r="E93" s="153"/>
      <c r="F93" s="153"/>
      <c r="G93" s="153"/>
      <c r="H93" s="153" t="s">
        <v>143</v>
      </c>
      <c r="I93" s="153" t="s">
        <v>438</v>
      </c>
      <c r="J93" s="153" t="s">
        <v>447</v>
      </c>
      <c r="K93" s="153" t="s">
        <v>448</v>
      </c>
      <c r="L93" s="153" t="s">
        <v>384</v>
      </c>
      <c r="M93" s="153" t="s">
        <v>449</v>
      </c>
      <c r="N93" s="230">
        <v>1985.0</v>
      </c>
      <c r="O93" s="230">
        <v>1985.0</v>
      </c>
      <c r="P93" s="230">
        <v>1987.0</v>
      </c>
      <c r="Q93" s="153" t="s">
        <v>151</v>
      </c>
      <c r="R93" s="153" t="s">
        <v>6054</v>
      </c>
      <c r="S93" s="158" t="s">
        <v>6054</v>
      </c>
      <c r="T93" s="158" t="s">
        <v>149</v>
      </c>
      <c r="U93" s="153" t="s">
        <v>390</v>
      </c>
      <c r="V93" s="158" t="s">
        <v>160</v>
      </c>
      <c r="W93" s="158" t="s">
        <v>6035</v>
      </c>
      <c r="X93" s="158" t="s">
        <v>159</v>
      </c>
      <c r="Y93" s="158" t="s">
        <v>149</v>
      </c>
      <c r="Z93" s="158" t="s">
        <v>149</v>
      </c>
      <c r="AA93" s="153" t="s">
        <v>450</v>
      </c>
      <c r="AB93" s="153" t="s">
        <v>390</v>
      </c>
      <c r="AC93" s="153" t="s">
        <v>6035</v>
      </c>
      <c r="AD93" s="153" t="s">
        <v>6055</v>
      </c>
      <c r="AE93" s="153"/>
      <c r="AF93" s="153"/>
      <c r="AG93" s="158" t="s">
        <v>395</v>
      </c>
      <c r="AH93" s="153" t="s">
        <v>6060</v>
      </c>
      <c r="AI93" s="177" t="s">
        <v>397</v>
      </c>
      <c r="AJ93" s="153" t="s">
        <v>398</v>
      </c>
      <c r="AK93" s="153"/>
    </row>
    <row r="94">
      <c r="A94" s="152">
        <v>2025.0</v>
      </c>
      <c r="B94" s="151">
        <v>240.0</v>
      </c>
      <c r="C94" s="153" t="s">
        <v>8189</v>
      </c>
      <c r="D94" s="153"/>
      <c r="E94" s="153"/>
      <c r="F94" s="153"/>
      <c r="G94" s="153"/>
      <c r="H94" s="153" t="s">
        <v>314</v>
      </c>
      <c r="I94" s="153" t="s">
        <v>858</v>
      </c>
      <c r="J94" s="153" t="s">
        <v>1296</v>
      </c>
      <c r="K94" s="153" t="s">
        <v>1297</v>
      </c>
      <c r="L94" s="153" t="s">
        <v>6587</v>
      </c>
      <c r="M94" s="153"/>
      <c r="N94" s="175" t="s">
        <v>6064</v>
      </c>
      <c r="O94" s="160" t="s">
        <v>149</v>
      </c>
      <c r="P94" s="160" t="s">
        <v>149</v>
      </c>
      <c r="Q94" s="158" t="s">
        <v>149</v>
      </c>
      <c r="R94" s="158" t="s">
        <v>149</v>
      </c>
      <c r="S94" s="158" t="s">
        <v>149</v>
      </c>
      <c r="T94" s="153" t="s">
        <v>2147</v>
      </c>
      <c r="U94" s="158" t="s">
        <v>341</v>
      </c>
      <c r="V94" s="158" t="s">
        <v>160</v>
      </c>
      <c r="W94" s="158" t="s">
        <v>6035</v>
      </c>
      <c r="X94" s="158" t="s">
        <v>159</v>
      </c>
      <c r="Y94" s="158" t="s">
        <v>149</v>
      </c>
      <c r="Z94" s="158" t="s">
        <v>149</v>
      </c>
      <c r="AA94" s="158" t="s">
        <v>149</v>
      </c>
      <c r="AB94" s="153" t="s">
        <v>341</v>
      </c>
      <c r="AC94" s="153" t="s">
        <v>6035</v>
      </c>
      <c r="AD94" s="153"/>
      <c r="AE94" s="153"/>
      <c r="AF94" s="153"/>
      <c r="AG94" s="153" t="s">
        <v>6038</v>
      </c>
      <c r="AH94" s="153" t="s">
        <v>2148</v>
      </c>
      <c r="AI94" s="165" t="s">
        <v>2149</v>
      </c>
      <c r="AJ94" s="239"/>
      <c r="AK94" s="153"/>
    </row>
    <row r="95">
      <c r="A95" s="152">
        <v>2025.0</v>
      </c>
      <c r="B95" s="151">
        <v>241.0</v>
      </c>
      <c r="C95" s="153" t="s">
        <v>8189</v>
      </c>
      <c r="D95" s="153"/>
      <c r="E95" s="153"/>
      <c r="F95" s="153"/>
      <c r="G95" s="153"/>
      <c r="H95" s="153" t="s">
        <v>314</v>
      </c>
      <c r="I95" s="153" t="s">
        <v>858</v>
      </c>
      <c r="J95" s="153" t="s">
        <v>3122</v>
      </c>
      <c r="K95" s="173" t="s">
        <v>3123</v>
      </c>
      <c r="L95" s="158" t="s">
        <v>149</v>
      </c>
      <c r="M95" s="153"/>
      <c r="N95" s="175" t="s">
        <v>6268</v>
      </c>
      <c r="O95" s="160" t="s">
        <v>149</v>
      </c>
      <c r="P95" s="160" t="s">
        <v>149</v>
      </c>
      <c r="Q95" s="153" t="s">
        <v>151</v>
      </c>
      <c r="R95" s="153" t="s">
        <v>7036</v>
      </c>
      <c r="S95" s="158" t="s">
        <v>790</v>
      </c>
      <c r="T95" s="158" t="s">
        <v>149</v>
      </c>
      <c r="U95" s="153" t="s">
        <v>3124</v>
      </c>
      <c r="V95" s="158" t="s">
        <v>160</v>
      </c>
      <c r="W95" s="158" t="s">
        <v>6035</v>
      </c>
      <c r="X95" s="158" t="s">
        <v>159</v>
      </c>
      <c r="Y95" s="158" t="s">
        <v>149</v>
      </c>
      <c r="Z95" s="158" t="s">
        <v>149</v>
      </c>
      <c r="AA95" s="158" t="s">
        <v>149</v>
      </c>
      <c r="AB95" s="153" t="s">
        <v>3124</v>
      </c>
      <c r="AC95" s="153" t="s">
        <v>6035</v>
      </c>
      <c r="AD95" s="153" t="s">
        <v>7037</v>
      </c>
      <c r="AE95" s="153"/>
      <c r="AF95" s="153"/>
      <c r="AG95" s="153" t="s">
        <v>6038</v>
      </c>
      <c r="AH95" s="153" t="s">
        <v>3127</v>
      </c>
      <c r="AI95" s="177" t="s">
        <v>3128</v>
      </c>
      <c r="AJ95" s="239"/>
      <c r="AK95" s="153"/>
    </row>
    <row r="96">
      <c r="A96" s="152">
        <v>2024.0</v>
      </c>
      <c r="B96" s="151">
        <v>33.0</v>
      </c>
      <c r="C96" s="153"/>
      <c r="D96" s="153"/>
      <c r="E96" s="153"/>
      <c r="F96" s="153"/>
      <c r="G96" s="153"/>
      <c r="H96" s="153" t="s">
        <v>143</v>
      </c>
      <c r="I96" s="153" t="s">
        <v>438</v>
      </c>
      <c r="J96" s="153" t="s">
        <v>8209</v>
      </c>
      <c r="K96" s="173" t="s">
        <v>2034</v>
      </c>
      <c r="L96" s="158" t="s">
        <v>149</v>
      </c>
      <c r="M96" s="158" t="s">
        <v>2416</v>
      </c>
      <c r="N96" s="230">
        <v>2014.0</v>
      </c>
      <c r="O96" s="192" t="s">
        <v>149</v>
      </c>
      <c r="P96" s="192" t="s">
        <v>149</v>
      </c>
      <c r="Q96" s="153" t="s">
        <v>151</v>
      </c>
      <c r="R96" s="158" t="s">
        <v>6175</v>
      </c>
      <c r="S96" s="158" t="s">
        <v>6175</v>
      </c>
      <c r="T96" s="158" t="s">
        <v>6176</v>
      </c>
      <c r="U96" s="153" t="s">
        <v>1882</v>
      </c>
      <c r="V96" s="158" t="s">
        <v>160</v>
      </c>
      <c r="W96" s="158" t="s">
        <v>6035</v>
      </c>
      <c r="X96" s="158" t="s">
        <v>159</v>
      </c>
      <c r="Y96" s="158" t="s">
        <v>149</v>
      </c>
      <c r="Z96" s="158" t="s">
        <v>149</v>
      </c>
      <c r="AA96" s="158" t="s">
        <v>2419</v>
      </c>
      <c r="AB96" s="153" t="s">
        <v>1882</v>
      </c>
      <c r="AC96" s="153" t="s">
        <v>6035</v>
      </c>
      <c r="AD96" s="158" t="s">
        <v>6177</v>
      </c>
      <c r="AE96" s="153"/>
      <c r="AF96" s="153"/>
      <c r="AG96" s="153" t="s">
        <v>6038</v>
      </c>
      <c r="AH96" s="153" t="s">
        <v>6178</v>
      </c>
      <c r="AI96" s="172" t="s">
        <v>2422</v>
      </c>
      <c r="AJ96" s="153"/>
      <c r="AK96" s="153"/>
    </row>
    <row r="97">
      <c r="A97" s="152">
        <v>2025.0</v>
      </c>
      <c r="B97" s="151">
        <v>242.0</v>
      </c>
      <c r="C97" s="153" t="s">
        <v>8189</v>
      </c>
      <c r="D97" s="153"/>
      <c r="E97" s="153"/>
      <c r="F97" s="153"/>
      <c r="G97" s="153"/>
      <c r="H97" s="153" t="s">
        <v>314</v>
      </c>
      <c r="I97" s="153" t="s">
        <v>858</v>
      </c>
      <c r="J97" s="153" t="s">
        <v>2660</v>
      </c>
      <c r="K97" s="153" t="s">
        <v>2661</v>
      </c>
      <c r="L97" s="158" t="s">
        <v>149</v>
      </c>
      <c r="M97" s="153" t="s">
        <v>2662</v>
      </c>
      <c r="N97" s="175" t="s">
        <v>6145</v>
      </c>
      <c r="O97" s="160" t="s">
        <v>149</v>
      </c>
      <c r="P97" s="160" t="s">
        <v>149</v>
      </c>
      <c r="Q97" s="153" t="s">
        <v>151</v>
      </c>
      <c r="R97" s="153" t="s">
        <v>7040</v>
      </c>
      <c r="S97" s="158" t="s">
        <v>337</v>
      </c>
      <c r="T97" s="153" t="s">
        <v>2663</v>
      </c>
      <c r="U97" s="153" t="s">
        <v>2664</v>
      </c>
      <c r="V97" s="158" t="s">
        <v>160</v>
      </c>
      <c r="W97" s="158" t="s">
        <v>184</v>
      </c>
      <c r="X97" s="158" t="s">
        <v>159</v>
      </c>
      <c r="Y97" s="158" t="s">
        <v>149</v>
      </c>
      <c r="Z97" s="158" t="s">
        <v>149</v>
      </c>
      <c r="AA97" s="158" t="s">
        <v>149</v>
      </c>
      <c r="AB97" s="153" t="s">
        <v>2664</v>
      </c>
      <c r="AC97" s="158" t="s">
        <v>184</v>
      </c>
      <c r="AD97" s="153"/>
      <c r="AE97" s="153"/>
      <c r="AF97" s="153"/>
      <c r="AG97" s="158" t="s">
        <v>166</v>
      </c>
      <c r="AH97" s="153" t="s">
        <v>2665</v>
      </c>
      <c r="AI97" s="172" t="s">
        <v>2666</v>
      </c>
      <c r="AJ97" s="239"/>
      <c r="AK97" s="153"/>
    </row>
    <row r="98">
      <c r="A98" s="152">
        <v>2025.0</v>
      </c>
      <c r="B98" s="151">
        <v>243.0</v>
      </c>
      <c r="C98" s="153" t="s">
        <v>8189</v>
      </c>
      <c r="D98" s="153"/>
      <c r="E98" s="153"/>
      <c r="F98" s="153"/>
      <c r="G98" s="153"/>
      <c r="H98" s="153" t="s">
        <v>314</v>
      </c>
      <c r="I98" s="153" t="s">
        <v>858</v>
      </c>
      <c r="J98" s="153" t="s">
        <v>859</v>
      </c>
      <c r="K98" s="153" t="s">
        <v>860</v>
      </c>
      <c r="L98" s="153" t="s">
        <v>861</v>
      </c>
      <c r="M98" s="153"/>
      <c r="N98" s="175" t="s">
        <v>6199</v>
      </c>
      <c r="O98" s="160" t="s">
        <v>149</v>
      </c>
      <c r="P98" s="160" t="s">
        <v>149</v>
      </c>
      <c r="Q98" s="153" t="s">
        <v>151</v>
      </c>
      <c r="R98" s="153" t="s">
        <v>3393</v>
      </c>
      <c r="S98" s="158" t="s">
        <v>3393</v>
      </c>
      <c r="T98" s="153" t="s">
        <v>866</v>
      </c>
      <c r="U98" s="158" t="s">
        <v>149</v>
      </c>
      <c r="V98" s="158" t="s">
        <v>149</v>
      </c>
      <c r="W98" s="158" t="s">
        <v>149</v>
      </c>
      <c r="X98" s="158" t="s">
        <v>149</v>
      </c>
      <c r="Y98" s="158" t="s">
        <v>149</v>
      </c>
      <c r="Z98" s="158" t="s">
        <v>149</v>
      </c>
      <c r="AA98" s="153" t="s">
        <v>867</v>
      </c>
      <c r="AB98" s="153" t="s">
        <v>868</v>
      </c>
      <c r="AC98" s="158" t="s">
        <v>869</v>
      </c>
      <c r="AD98" s="153"/>
      <c r="AE98" s="153"/>
      <c r="AF98" s="153"/>
      <c r="AG98" s="158" t="s">
        <v>395</v>
      </c>
      <c r="AH98" s="153" t="s">
        <v>6060</v>
      </c>
      <c r="AI98" s="158" t="s">
        <v>6711</v>
      </c>
      <c r="AJ98" s="153" t="s">
        <v>398</v>
      </c>
      <c r="AK98" s="153"/>
    </row>
    <row r="99" ht="15.0" customHeight="1">
      <c r="A99" s="152">
        <v>2024.0</v>
      </c>
      <c r="B99" s="151">
        <v>34.0</v>
      </c>
      <c r="C99" s="153"/>
      <c r="D99" s="153"/>
      <c r="E99" s="153"/>
      <c r="F99" s="153"/>
      <c r="G99" s="153"/>
      <c r="H99" s="153" t="s">
        <v>143</v>
      </c>
      <c r="I99" s="153" t="s">
        <v>438</v>
      </c>
      <c r="J99" s="153" t="s">
        <v>8210</v>
      </c>
      <c r="K99" s="153" t="s">
        <v>2034</v>
      </c>
      <c r="L99" s="153" t="s">
        <v>6144</v>
      </c>
      <c r="M99" s="153" t="s">
        <v>6160</v>
      </c>
      <c r="N99" s="230">
        <v>2022.0</v>
      </c>
      <c r="O99" s="192">
        <v>2011.0</v>
      </c>
      <c r="P99" s="192" t="s">
        <v>149</v>
      </c>
      <c r="Q99" s="153" t="s">
        <v>151</v>
      </c>
      <c r="R99" s="153" t="s">
        <v>8211</v>
      </c>
      <c r="S99" s="158" t="s">
        <v>6162</v>
      </c>
      <c r="T99" s="153" t="s">
        <v>6147</v>
      </c>
      <c r="U99" s="153" t="s">
        <v>2038</v>
      </c>
      <c r="V99" s="158" t="s">
        <v>160</v>
      </c>
      <c r="W99" s="158" t="s">
        <v>6035</v>
      </c>
      <c r="X99" s="158" t="s">
        <v>159</v>
      </c>
      <c r="Y99" s="158" t="s">
        <v>149</v>
      </c>
      <c r="Z99" s="158" t="s">
        <v>149</v>
      </c>
      <c r="AA99" s="153" t="s">
        <v>2039</v>
      </c>
      <c r="AB99" s="153" t="s">
        <v>8212</v>
      </c>
      <c r="AC99" s="158" t="s">
        <v>271</v>
      </c>
      <c r="AD99" s="153" t="s">
        <v>6165</v>
      </c>
      <c r="AE99" s="153"/>
      <c r="AF99" s="153" t="s">
        <v>6166</v>
      </c>
      <c r="AG99" s="158" t="s">
        <v>166</v>
      </c>
      <c r="AH99" s="153" t="s">
        <v>2043</v>
      </c>
      <c r="AI99" s="172" t="s">
        <v>6149</v>
      </c>
      <c r="AJ99" s="153" t="s">
        <v>2045</v>
      </c>
      <c r="AK99" s="153"/>
    </row>
    <row r="100" ht="15.0" customHeight="1">
      <c r="A100" s="152">
        <v>2025.0</v>
      </c>
      <c r="B100" s="151">
        <v>89.0</v>
      </c>
      <c r="C100" s="153" t="s">
        <v>8189</v>
      </c>
      <c r="D100" s="153"/>
      <c r="E100" s="153"/>
      <c r="F100" s="153"/>
      <c r="G100" s="153"/>
      <c r="H100" s="153" t="s">
        <v>293</v>
      </c>
      <c r="I100" s="153" t="s">
        <v>1208</v>
      </c>
      <c r="J100" s="153" t="s">
        <v>1209</v>
      </c>
      <c r="K100" s="153" t="s">
        <v>1210</v>
      </c>
      <c r="L100" s="153" t="s">
        <v>6515</v>
      </c>
      <c r="M100" s="153"/>
      <c r="N100" s="160" t="s">
        <v>6089</v>
      </c>
      <c r="O100" s="175" t="s">
        <v>6151</v>
      </c>
      <c r="P100" s="175" t="s">
        <v>6089</v>
      </c>
      <c r="Q100" s="153" t="s">
        <v>6062</v>
      </c>
      <c r="R100" s="153" t="s">
        <v>320</v>
      </c>
      <c r="S100" s="153" t="s">
        <v>179</v>
      </c>
      <c r="T100" s="153" t="s">
        <v>1211</v>
      </c>
      <c r="U100" s="153" t="s">
        <v>321</v>
      </c>
      <c r="V100" s="158" t="s">
        <v>160</v>
      </c>
      <c r="W100" s="158" t="s">
        <v>6035</v>
      </c>
      <c r="X100" s="158" t="s">
        <v>159</v>
      </c>
      <c r="Y100" s="158" t="s">
        <v>149</v>
      </c>
      <c r="Z100" s="158" t="s">
        <v>149</v>
      </c>
      <c r="AA100" s="153" t="s">
        <v>6496</v>
      </c>
      <c r="AB100" s="153" t="s">
        <v>885</v>
      </c>
      <c r="AC100" s="158" t="s">
        <v>6068</v>
      </c>
      <c r="AD100" s="153" t="s">
        <v>1213</v>
      </c>
      <c r="AE100" s="153"/>
      <c r="AF100" s="153"/>
      <c r="AG100" s="158" t="s">
        <v>6069</v>
      </c>
      <c r="AH100" s="153" t="s">
        <v>1214</v>
      </c>
      <c r="AI100" s="153" t="s">
        <v>6070</v>
      </c>
      <c r="AJ100" s="153"/>
      <c r="AK100" s="153"/>
    </row>
    <row r="101" ht="15.0" customHeight="1">
      <c r="A101" s="152">
        <v>2023.0</v>
      </c>
      <c r="B101" s="151">
        <v>96.0</v>
      </c>
      <c r="C101" s="129" t="s">
        <v>140</v>
      </c>
      <c r="D101" s="8"/>
      <c r="H101" s="8" t="s">
        <v>293</v>
      </c>
      <c r="I101" s="8" t="s">
        <v>1208</v>
      </c>
      <c r="J101" s="8" t="s">
        <v>1209</v>
      </c>
      <c r="K101" s="173" t="s">
        <v>1210</v>
      </c>
      <c r="L101" s="8" t="s">
        <v>6515</v>
      </c>
      <c r="N101" s="142"/>
      <c r="O101" s="142" t="s">
        <v>6151</v>
      </c>
      <c r="P101" s="142" t="s">
        <v>6089</v>
      </c>
      <c r="Q101" s="8" t="s">
        <v>6062</v>
      </c>
      <c r="R101" s="8" t="s">
        <v>320</v>
      </c>
      <c r="T101" s="8" t="s">
        <v>1211</v>
      </c>
      <c r="U101" s="8" t="s">
        <v>321</v>
      </c>
      <c r="AA101" s="8" t="s">
        <v>1212</v>
      </c>
      <c r="AB101" s="8" t="s">
        <v>885</v>
      </c>
      <c r="AD101" s="8" t="s">
        <v>1213</v>
      </c>
      <c r="AH101" s="8" t="s">
        <v>6069</v>
      </c>
    </row>
    <row r="102" ht="15.0" customHeight="1">
      <c r="A102" s="152">
        <v>2024.0</v>
      </c>
      <c r="B102" s="151">
        <v>35.0</v>
      </c>
      <c r="C102" s="153"/>
      <c r="D102" s="153"/>
      <c r="E102" s="153"/>
      <c r="F102" s="153"/>
      <c r="G102" s="153"/>
      <c r="H102" s="153" t="s">
        <v>143</v>
      </c>
      <c r="I102" s="153" t="s">
        <v>438</v>
      </c>
      <c r="J102" s="153" t="s">
        <v>491</v>
      </c>
      <c r="K102" s="153" t="s">
        <v>1646</v>
      </c>
      <c r="L102" s="153" t="s">
        <v>1635</v>
      </c>
      <c r="M102" s="153"/>
      <c r="N102" s="230">
        <v>2021.0</v>
      </c>
      <c r="O102" s="192" t="s">
        <v>149</v>
      </c>
      <c r="P102" s="192" t="s">
        <v>149</v>
      </c>
      <c r="Q102" s="153" t="s">
        <v>151</v>
      </c>
      <c r="R102" s="158" t="s">
        <v>153</v>
      </c>
      <c r="S102" s="158" t="s">
        <v>153</v>
      </c>
      <c r="T102" s="158" t="s">
        <v>1647</v>
      </c>
      <c r="U102" s="158" t="s">
        <v>158</v>
      </c>
      <c r="V102" s="158" t="s">
        <v>160</v>
      </c>
      <c r="W102" s="158" t="s">
        <v>6035</v>
      </c>
      <c r="X102" s="158" t="s">
        <v>159</v>
      </c>
      <c r="Y102" s="158" t="s">
        <v>149</v>
      </c>
      <c r="Z102" s="158" t="s">
        <v>149</v>
      </c>
      <c r="AA102" s="158" t="s">
        <v>6127</v>
      </c>
      <c r="AB102" s="158" t="s">
        <v>158</v>
      </c>
      <c r="AC102" s="153" t="s">
        <v>6035</v>
      </c>
      <c r="AD102" s="158" t="s">
        <v>6128</v>
      </c>
      <c r="AE102" s="153"/>
      <c r="AF102" s="153"/>
      <c r="AG102" s="158" t="s">
        <v>166</v>
      </c>
      <c r="AH102" s="153" t="s">
        <v>1640</v>
      </c>
      <c r="AI102" s="172" t="s">
        <v>1641</v>
      </c>
      <c r="AJ102" s="153"/>
      <c r="AK102" s="153"/>
    </row>
    <row r="103" ht="15.0" customHeight="1">
      <c r="A103" s="152">
        <v>2023.0</v>
      </c>
      <c r="B103" s="151">
        <v>408.0</v>
      </c>
      <c r="C103" s="129" t="s">
        <v>140</v>
      </c>
      <c r="D103" s="8"/>
      <c r="H103" s="8" t="s">
        <v>642</v>
      </c>
      <c r="I103" s="8" t="s">
        <v>1333</v>
      </c>
      <c r="J103" s="8" t="s">
        <v>1334</v>
      </c>
      <c r="K103" s="8" t="s">
        <v>1335</v>
      </c>
      <c r="L103" s="8" t="s">
        <v>1309</v>
      </c>
      <c r="N103" s="142" t="s">
        <v>6906</v>
      </c>
      <c r="O103" s="142"/>
      <c r="P103" s="142"/>
      <c r="Q103" s="8" t="s">
        <v>151</v>
      </c>
      <c r="U103" s="8" t="s">
        <v>6907</v>
      </c>
      <c r="AA103" s="8" t="s">
        <v>1336</v>
      </c>
      <c r="AB103" s="8" t="s">
        <v>390</v>
      </c>
      <c r="AD103" s="8" t="s">
        <v>369</v>
      </c>
      <c r="AH103" s="8" t="s">
        <v>6084</v>
      </c>
      <c r="AI103" s="8" t="s">
        <v>1331</v>
      </c>
    </row>
    <row r="104" ht="15.0" customHeight="1">
      <c r="A104" s="152">
        <v>2023.0</v>
      </c>
      <c r="B104" s="151">
        <v>409.0</v>
      </c>
      <c r="C104" s="129" t="s">
        <v>140</v>
      </c>
      <c r="D104" s="8"/>
      <c r="H104" s="8" t="s">
        <v>642</v>
      </c>
      <c r="I104" s="8" t="s">
        <v>1333</v>
      </c>
      <c r="J104" s="8" t="s">
        <v>1338</v>
      </c>
      <c r="K104" s="8" t="s">
        <v>1339</v>
      </c>
      <c r="L104" s="8" t="s">
        <v>1309</v>
      </c>
      <c r="N104" s="142" t="s">
        <v>6906</v>
      </c>
      <c r="O104" s="142"/>
      <c r="P104" s="142"/>
      <c r="Q104" s="8" t="s">
        <v>151</v>
      </c>
      <c r="U104" s="8" t="s">
        <v>6907</v>
      </c>
      <c r="AA104" s="8" t="s">
        <v>7678</v>
      </c>
      <c r="AB104" s="8" t="s">
        <v>390</v>
      </c>
      <c r="AD104" s="8" t="s">
        <v>369</v>
      </c>
      <c r="AH104" s="8" t="s">
        <v>6084</v>
      </c>
      <c r="AI104" s="8" t="s">
        <v>1331</v>
      </c>
    </row>
    <row r="105" ht="15.0" customHeight="1">
      <c r="A105" s="152">
        <v>2024.0</v>
      </c>
      <c r="B105" s="151">
        <v>36.0</v>
      </c>
      <c r="C105" s="153"/>
      <c r="D105" s="153"/>
      <c r="E105" s="153"/>
      <c r="F105" s="153"/>
      <c r="G105" s="153"/>
      <c r="H105" s="153" t="s">
        <v>143</v>
      </c>
      <c r="I105" s="153" t="s">
        <v>144</v>
      </c>
      <c r="J105" s="153" t="s">
        <v>145</v>
      </c>
      <c r="K105" s="153" t="s">
        <v>146</v>
      </c>
      <c r="L105" s="158" t="s">
        <v>6217</v>
      </c>
      <c r="M105" s="153"/>
      <c r="N105" s="192" t="s">
        <v>149</v>
      </c>
      <c r="O105" s="230">
        <v>1982.0</v>
      </c>
      <c r="P105" s="230">
        <v>1990.0</v>
      </c>
      <c r="Q105" s="153" t="s">
        <v>151</v>
      </c>
      <c r="R105" s="158" t="s">
        <v>149</v>
      </c>
      <c r="S105" s="158" t="s">
        <v>149</v>
      </c>
      <c r="T105" s="153" t="s">
        <v>6204</v>
      </c>
      <c r="U105" s="153" t="s">
        <v>2111</v>
      </c>
      <c r="V105" s="158" t="s">
        <v>6154</v>
      </c>
      <c r="W105" s="158" t="s">
        <v>206</v>
      </c>
      <c r="X105" s="158" t="s">
        <v>159</v>
      </c>
      <c r="Y105" s="158" t="s">
        <v>149</v>
      </c>
      <c r="Z105" s="158" t="s">
        <v>149</v>
      </c>
      <c r="AA105" s="158" t="s">
        <v>149</v>
      </c>
      <c r="AB105" s="153" t="s">
        <v>2111</v>
      </c>
      <c r="AC105" s="158" t="s">
        <v>206</v>
      </c>
      <c r="AD105" s="153"/>
      <c r="AE105" s="153"/>
      <c r="AF105" s="153"/>
      <c r="AG105" s="158" t="s">
        <v>395</v>
      </c>
      <c r="AH105" s="153" t="s">
        <v>6060</v>
      </c>
      <c r="AI105" s="177" t="s">
        <v>397</v>
      </c>
      <c r="AJ105" s="153"/>
      <c r="AK105" s="153"/>
    </row>
    <row r="106" ht="15.0" customHeight="1">
      <c r="A106" s="152">
        <v>2023.0</v>
      </c>
      <c r="B106" s="151">
        <v>410.0</v>
      </c>
      <c r="C106" s="129" t="s">
        <v>140</v>
      </c>
      <c r="D106" s="8"/>
      <c r="H106" s="8" t="s">
        <v>642</v>
      </c>
      <c r="I106" s="8" t="s">
        <v>1333</v>
      </c>
      <c r="J106" s="8" t="s">
        <v>1347</v>
      </c>
      <c r="K106" s="8" t="s">
        <v>1348</v>
      </c>
      <c r="L106" s="8" t="s">
        <v>1309</v>
      </c>
      <c r="N106" s="142" t="s">
        <v>6906</v>
      </c>
      <c r="O106" s="142"/>
      <c r="P106" s="142"/>
      <c r="Q106" s="8" t="s">
        <v>151</v>
      </c>
      <c r="U106" s="8" t="s">
        <v>6907</v>
      </c>
      <c r="AA106" s="8" t="s">
        <v>1350</v>
      </c>
      <c r="AB106" s="8" t="s">
        <v>390</v>
      </c>
      <c r="AD106" s="8" t="s">
        <v>369</v>
      </c>
      <c r="AH106" s="8" t="s">
        <v>6084</v>
      </c>
      <c r="AI106" s="8" t="s">
        <v>1331</v>
      </c>
    </row>
    <row r="107" ht="15.0" customHeight="1">
      <c r="A107" s="152">
        <v>2025.0</v>
      </c>
      <c r="B107" s="151">
        <v>439.0</v>
      </c>
      <c r="C107" s="153" t="s">
        <v>8189</v>
      </c>
      <c r="D107" s="153"/>
      <c r="E107" s="153"/>
      <c r="F107" s="153"/>
      <c r="G107" s="153"/>
      <c r="H107" s="153" t="s">
        <v>642</v>
      </c>
      <c r="I107" s="153" t="s">
        <v>1333</v>
      </c>
      <c r="J107" s="153" t="s">
        <v>1334</v>
      </c>
      <c r="K107" s="153" t="s">
        <v>1335</v>
      </c>
      <c r="L107" s="153" t="s">
        <v>1309</v>
      </c>
      <c r="M107" s="153"/>
      <c r="N107" s="175" t="s">
        <v>6906</v>
      </c>
      <c r="O107" s="160" t="s">
        <v>6064</v>
      </c>
      <c r="P107" s="160" t="s">
        <v>6906</v>
      </c>
      <c r="Q107" s="153" t="s">
        <v>151</v>
      </c>
      <c r="R107" s="158" t="s">
        <v>149</v>
      </c>
      <c r="S107" s="158" t="s">
        <v>149</v>
      </c>
      <c r="T107" s="158" t="s">
        <v>6910</v>
      </c>
      <c r="U107" s="158" t="s">
        <v>1327</v>
      </c>
      <c r="V107" s="158" t="s">
        <v>6154</v>
      </c>
      <c r="W107" s="158" t="s">
        <v>206</v>
      </c>
      <c r="X107" s="158" t="s">
        <v>159</v>
      </c>
      <c r="Y107" s="158" t="s">
        <v>149</v>
      </c>
      <c r="Z107" s="158" t="s">
        <v>149</v>
      </c>
      <c r="AA107" s="153" t="s">
        <v>1336</v>
      </c>
      <c r="AB107" s="153" t="s">
        <v>390</v>
      </c>
      <c r="AC107" s="153" t="s">
        <v>6035</v>
      </c>
      <c r="AD107" s="153" t="s">
        <v>369</v>
      </c>
      <c r="AE107" s="153"/>
      <c r="AF107" s="153"/>
      <c r="AG107" s="153" t="s">
        <v>6084</v>
      </c>
      <c r="AH107" s="153" t="s">
        <v>1330</v>
      </c>
      <c r="AI107" s="165" t="s">
        <v>1331</v>
      </c>
      <c r="AJ107" s="153"/>
      <c r="AK107" s="153"/>
    </row>
    <row r="108" ht="15.0" customHeight="1">
      <c r="A108" s="152">
        <v>2024.0</v>
      </c>
      <c r="B108" s="151">
        <v>37.0</v>
      </c>
      <c r="C108" s="153"/>
      <c r="D108" s="153"/>
      <c r="E108" s="153"/>
      <c r="F108" s="153"/>
      <c r="G108" s="153"/>
      <c r="H108" s="153" t="s">
        <v>143</v>
      </c>
      <c r="I108" s="153" t="s">
        <v>144</v>
      </c>
      <c r="J108" s="153" t="s">
        <v>145</v>
      </c>
      <c r="K108" s="173" t="s">
        <v>146</v>
      </c>
      <c r="L108" s="153" t="s">
        <v>384</v>
      </c>
      <c r="M108" s="153" t="s">
        <v>452</v>
      </c>
      <c r="N108" s="230">
        <v>1985.0</v>
      </c>
      <c r="O108" s="230">
        <v>1985.0</v>
      </c>
      <c r="P108" s="230">
        <v>1987.0</v>
      </c>
      <c r="Q108" s="153" t="s">
        <v>151</v>
      </c>
      <c r="R108" s="153" t="s">
        <v>6054</v>
      </c>
      <c r="S108" s="158" t="s">
        <v>6054</v>
      </c>
      <c r="T108" s="158" t="s">
        <v>149</v>
      </c>
      <c r="U108" s="153" t="s">
        <v>390</v>
      </c>
      <c r="V108" s="158" t="s">
        <v>160</v>
      </c>
      <c r="W108" s="158" t="s">
        <v>6035</v>
      </c>
      <c r="X108" s="158" t="s">
        <v>159</v>
      </c>
      <c r="Y108" s="158" t="s">
        <v>149</v>
      </c>
      <c r="Z108" s="158" t="s">
        <v>149</v>
      </c>
      <c r="AA108" s="153" t="s">
        <v>453</v>
      </c>
      <c r="AB108" s="153" t="s">
        <v>390</v>
      </c>
      <c r="AC108" s="153" t="s">
        <v>6035</v>
      </c>
      <c r="AD108" s="153" t="s">
        <v>6055</v>
      </c>
      <c r="AE108" s="153"/>
      <c r="AF108" s="153" t="s">
        <v>6056</v>
      </c>
      <c r="AG108" s="158" t="s">
        <v>395</v>
      </c>
      <c r="AH108" s="153" t="s">
        <v>6060</v>
      </c>
      <c r="AI108" s="177" t="s">
        <v>397</v>
      </c>
      <c r="AJ108" s="153" t="s">
        <v>398</v>
      </c>
      <c r="AK108" s="153"/>
    </row>
    <row r="109" ht="15.0" customHeight="1">
      <c r="A109" s="152">
        <v>2025.0</v>
      </c>
      <c r="B109" s="151">
        <v>440.0</v>
      </c>
      <c r="C109" s="153" t="s">
        <v>8189</v>
      </c>
      <c r="D109" s="153"/>
      <c r="E109" s="153"/>
      <c r="F109" s="153"/>
      <c r="G109" s="153"/>
      <c r="H109" s="153" t="s">
        <v>642</v>
      </c>
      <c r="I109" s="153" t="s">
        <v>1333</v>
      </c>
      <c r="J109" s="153" t="s">
        <v>1338</v>
      </c>
      <c r="K109" s="153" t="s">
        <v>1339</v>
      </c>
      <c r="L109" s="153" t="s">
        <v>1309</v>
      </c>
      <c r="M109" s="153" t="s">
        <v>1340</v>
      </c>
      <c r="N109" s="175" t="s">
        <v>6906</v>
      </c>
      <c r="O109" s="160" t="s">
        <v>6064</v>
      </c>
      <c r="P109" s="160" t="s">
        <v>6906</v>
      </c>
      <c r="Q109" s="153" t="s">
        <v>151</v>
      </c>
      <c r="R109" s="158" t="s">
        <v>149</v>
      </c>
      <c r="S109" s="158" t="s">
        <v>149</v>
      </c>
      <c r="T109" s="158" t="s">
        <v>6910</v>
      </c>
      <c r="U109" s="158" t="s">
        <v>1327</v>
      </c>
      <c r="V109" s="158" t="s">
        <v>6154</v>
      </c>
      <c r="W109" s="158" t="s">
        <v>206</v>
      </c>
      <c r="X109" s="158" t="s">
        <v>159</v>
      </c>
      <c r="Y109" s="158" t="s">
        <v>149</v>
      </c>
      <c r="Z109" s="158" t="s">
        <v>149</v>
      </c>
      <c r="AA109" s="153" t="s">
        <v>1341</v>
      </c>
      <c r="AB109" s="153" t="s">
        <v>390</v>
      </c>
      <c r="AC109" s="153" t="s">
        <v>6035</v>
      </c>
      <c r="AD109" s="153" t="s">
        <v>369</v>
      </c>
      <c r="AE109" s="153"/>
      <c r="AF109" s="153"/>
      <c r="AG109" s="153" t="s">
        <v>6084</v>
      </c>
      <c r="AH109" s="153" t="s">
        <v>1330</v>
      </c>
      <c r="AI109" s="172" t="s">
        <v>1331</v>
      </c>
      <c r="AJ109" s="153"/>
      <c r="AK109" s="153"/>
    </row>
    <row r="110" ht="15.0" customHeight="1">
      <c r="A110" s="152">
        <v>2025.0</v>
      </c>
      <c r="B110" s="151">
        <v>441.0</v>
      </c>
      <c r="C110" s="158" t="s">
        <v>8189</v>
      </c>
      <c r="D110" s="158"/>
      <c r="E110" s="158"/>
      <c r="F110" s="158"/>
      <c r="G110" s="158"/>
      <c r="H110" s="158" t="s">
        <v>642</v>
      </c>
      <c r="I110" s="158" t="s">
        <v>1333</v>
      </c>
      <c r="J110" s="158" t="s">
        <v>1338</v>
      </c>
      <c r="K110" s="158" t="s">
        <v>1339</v>
      </c>
      <c r="L110" s="158" t="s">
        <v>1309</v>
      </c>
      <c r="M110" s="158" t="s">
        <v>1344</v>
      </c>
      <c r="N110" s="160" t="s">
        <v>6906</v>
      </c>
      <c r="O110" s="160" t="s">
        <v>6064</v>
      </c>
      <c r="P110" s="160" t="s">
        <v>6906</v>
      </c>
      <c r="Q110" s="158" t="s">
        <v>151</v>
      </c>
      <c r="R110" s="158" t="s">
        <v>149</v>
      </c>
      <c r="S110" s="158" t="s">
        <v>149</v>
      </c>
      <c r="T110" s="158" t="s">
        <v>6910</v>
      </c>
      <c r="U110" s="158" t="s">
        <v>1327</v>
      </c>
      <c r="V110" s="158" t="s">
        <v>6154</v>
      </c>
      <c r="W110" s="158" t="s">
        <v>206</v>
      </c>
      <c r="X110" s="158" t="s">
        <v>159</v>
      </c>
      <c r="Y110" s="158" t="s">
        <v>149</v>
      </c>
      <c r="Z110" s="158" t="s">
        <v>149</v>
      </c>
      <c r="AA110" s="158" t="s">
        <v>1345</v>
      </c>
      <c r="AB110" s="158" t="s">
        <v>390</v>
      </c>
      <c r="AC110" s="158" t="s">
        <v>6035</v>
      </c>
      <c r="AD110" s="158" t="s">
        <v>369</v>
      </c>
      <c r="AE110" s="158"/>
      <c r="AF110" s="158"/>
      <c r="AG110" s="158" t="s">
        <v>6084</v>
      </c>
      <c r="AH110" s="158" t="s">
        <v>1330</v>
      </c>
      <c r="AI110" s="177" t="s">
        <v>1331</v>
      </c>
      <c r="AJ110" s="158"/>
      <c r="AK110" s="158"/>
    </row>
    <row r="111" ht="15.0" customHeight="1">
      <c r="A111" s="152">
        <v>2024.0</v>
      </c>
      <c r="B111" s="151">
        <v>38.0</v>
      </c>
      <c r="C111" s="153"/>
      <c r="D111" s="153"/>
      <c r="E111" s="153"/>
      <c r="F111" s="153"/>
      <c r="G111" s="153"/>
      <c r="H111" s="153" t="s">
        <v>143</v>
      </c>
      <c r="I111" s="153" t="s">
        <v>144</v>
      </c>
      <c r="J111" s="153" t="s">
        <v>145</v>
      </c>
      <c r="K111" s="153" t="s">
        <v>146</v>
      </c>
      <c r="L111" s="153" t="s">
        <v>147</v>
      </c>
      <c r="M111" s="158" t="s">
        <v>452</v>
      </c>
      <c r="N111" s="230">
        <v>2021.0</v>
      </c>
      <c r="O111" s="192" t="s">
        <v>149</v>
      </c>
      <c r="P111" s="192" t="s">
        <v>149</v>
      </c>
      <c r="Q111" s="153" t="s">
        <v>151</v>
      </c>
      <c r="R111" s="158" t="s">
        <v>153</v>
      </c>
      <c r="S111" s="158" t="s">
        <v>153</v>
      </c>
      <c r="T111" s="158" t="s">
        <v>6195</v>
      </c>
      <c r="U111" s="158" t="s">
        <v>158</v>
      </c>
      <c r="V111" s="158" t="s">
        <v>160</v>
      </c>
      <c r="W111" s="158" t="s">
        <v>6035</v>
      </c>
      <c r="X111" s="158" t="s">
        <v>159</v>
      </c>
      <c r="Y111" s="158" t="s">
        <v>149</v>
      </c>
      <c r="Z111" s="158" t="s">
        <v>149</v>
      </c>
      <c r="AA111" s="158" t="s">
        <v>162</v>
      </c>
      <c r="AB111" s="153" t="s">
        <v>158</v>
      </c>
      <c r="AC111" s="153" t="s">
        <v>6035</v>
      </c>
      <c r="AD111" s="153" t="s">
        <v>8213</v>
      </c>
      <c r="AE111" s="153"/>
      <c r="AF111" s="153"/>
      <c r="AG111" s="158" t="s">
        <v>166</v>
      </c>
      <c r="AH111" s="153" t="s">
        <v>167</v>
      </c>
      <c r="AI111" s="165" t="s">
        <v>168</v>
      </c>
      <c r="AJ111" s="153"/>
      <c r="AK111" s="153"/>
    </row>
    <row r="112" ht="15.0" customHeight="1">
      <c r="A112" s="152">
        <v>2025.0</v>
      </c>
      <c r="B112" s="151">
        <v>442.0</v>
      </c>
      <c r="C112" s="153" t="s">
        <v>8189</v>
      </c>
      <c r="D112" s="153"/>
      <c r="E112" s="153"/>
      <c r="F112" s="153"/>
      <c r="G112" s="153"/>
      <c r="H112" s="153" t="s">
        <v>642</v>
      </c>
      <c r="I112" s="153" t="s">
        <v>1333</v>
      </c>
      <c r="J112" s="153" t="s">
        <v>1347</v>
      </c>
      <c r="K112" s="153" t="s">
        <v>1348</v>
      </c>
      <c r="L112" s="153" t="s">
        <v>1309</v>
      </c>
      <c r="M112" s="153" t="s">
        <v>1349</v>
      </c>
      <c r="N112" s="175" t="s">
        <v>6906</v>
      </c>
      <c r="O112" s="160" t="s">
        <v>6064</v>
      </c>
      <c r="P112" s="160" t="s">
        <v>6906</v>
      </c>
      <c r="Q112" s="153" t="s">
        <v>151</v>
      </c>
      <c r="R112" s="158" t="s">
        <v>149</v>
      </c>
      <c r="S112" s="158" t="s">
        <v>149</v>
      </c>
      <c r="T112" s="158" t="s">
        <v>6910</v>
      </c>
      <c r="U112" s="158" t="s">
        <v>1327</v>
      </c>
      <c r="V112" s="158" t="s">
        <v>6154</v>
      </c>
      <c r="W112" s="158" t="s">
        <v>206</v>
      </c>
      <c r="X112" s="158" t="s">
        <v>159</v>
      </c>
      <c r="Y112" s="158" t="s">
        <v>149</v>
      </c>
      <c r="Z112" s="158" t="s">
        <v>149</v>
      </c>
      <c r="AA112" s="153" t="s">
        <v>1350</v>
      </c>
      <c r="AB112" s="153" t="s">
        <v>390</v>
      </c>
      <c r="AC112" s="153" t="s">
        <v>6035</v>
      </c>
      <c r="AD112" s="153" t="s">
        <v>369</v>
      </c>
      <c r="AE112" s="153"/>
      <c r="AF112" s="153"/>
      <c r="AG112" s="153" t="s">
        <v>6084</v>
      </c>
      <c r="AH112" s="153" t="s">
        <v>1330</v>
      </c>
      <c r="AI112" s="153" t="s">
        <v>1331</v>
      </c>
      <c r="AJ112" s="153"/>
      <c r="AK112" s="153"/>
    </row>
    <row r="113" ht="15.0" customHeight="1">
      <c r="A113" s="152">
        <v>2025.0</v>
      </c>
      <c r="B113" s="151">
        <v>90.0</v>
      </c>
      <c r="C113" s="153" t="s">
        <v>8189</v>
      </c>
      <c r="D113" s="153"/>
      <c r="E113" s="153"/>
      <c r="F113" s="153"/>
      <c r="G113" s="153"/>
      <c r="H113" s="153" t="s">
        <v>293</v>
      </c>
      <c r="I113" s="153" t="s">
        <v>1283</v>
      </c>
      <c r="J113" s="153" t="s">
        <v>1284</v>
      </c>
      <c r="K113" s="153" t="s">
        <v>1285</v>
      </c>
      <c r="L113" s="153" t="s">
        <v>1174</v>
      </c>
      <c r="M113" s="153"/>
      <c r="N113" s="160" t="s">
        <v>6089</v>
      </c>
      <c r="O113" s="175" t="s">
        <v>6151</v>
      </c>
      <c r="P113" s="175" t="s">
        <v>6089</v>
      </c>
      <c r="Q113" s="153" t="s">
        <v>6062</v>
      </c>
      <c r="R113" s="153" t="s">
        <v>320</v>
      </c>
      <c r="S113" s="153" t="s">
        <v>179</v>
      </c>
      <c r="T113" s="158" t="s">
        <v>149</v>
      </c>
      <c r="U113" s="153" t="s">
        <v>321</v>
      </c>
      <c r="V113" s="158" t="s">
        <v>160</v>
      </c>
      <c r="W113" s="158" t="s">
        <v>6035</v>
      </c>
      <c r="X113" s="158" t="s">
        <v>159</v>
      </c>
      <c r="Y113" s="158" t="s">
        <v>149</v>
      </c>
      <c r="Z113" s="158" t="s">
        <v>149</v>
      </c>
      <c r="AA113" s="153" t="s">
        <v>6499</v>
      </c>
      <c r="AB113" s="153" t="s">
        <v>885</v>
      </c>
      <c r="AC113" s="158" t="s">
        <v>6068</v>
      </c>
      <c r="AD113" s="153" t="s">
        <v>1287</v>
      </c>
      <c r="AE113" s="153"/>
      <c r="AF113" s="153"/>
      <c r="AG113" s="158" t="s">
        <v>6069</v>
      </c>
      <c r="AH113" s="153" t="s">
        <v>1288</v>
      </c>
      <c r="AI113" s="153" t="s">
        <v>6070</v>
      </c>
      <c r="AJ113" s="153"/>
      <c r="AK113" s="153"/>
    </row>
    <row r="114">
      <c r="A114" s="152">
        <v>2024.0</v>
      </c>
      <c r="B114" s="151">
        <v>39.0</v>
      </c>
      <c r="C114" s="153"/>
      <c r="D114" s="153"/>
      <c r="E114" s="153"/>
      <c r="F114" s="153"/>
      <c r="G114" s="153"/>
      <c r="H114" s="153" t="s">
        <v>143</v>
      </c>
      <c r="I114" s="153" t="s">
        <v>144</v>
      </c>
      <c r="J114" s="153" t="s">
        <v>4284</v>
      </c>
      <c r="K114" s="153" t="s">
        <v>222</v>
      </c>
      <c r="L114" s="153" t="s">
        <v>384</v>
      </c>
      <c r="M114" s="153" t="s">
        <v>2855</v>
      </c>
      <c r="N114" s="230">
        <v>1981.0</v>
      </c>
      <c r="O114" s="230">
        <v>1985.0</v>
      </c>
      <c r="P114" s="230">
        <v>1987.0</v>
      </c>
      <c r="Q114" s="153" t="s">
        <v>151</v>
      </c>
      <c r="R114" s="158" t="s">
        <v>6054</v>
      </c>
      <c r="S114" s="158" t="s">
        <v>6054</v>
      </c>
      <c r="T114" s="158" t="s">
        <v>149</v>
      </c>
      <c r="U114" s="153" t="s">
        <v>390</v>
      </c>
      <c r="V114" s="158" t="s">
        <v>160</v>
      </c>
      <c r="W114" s="158" t="s">
        <v>6035</v>
      </c>
      <c r="X114" s="158" t="s">
        <v>159</v>
      </c>
      <c r="Y114" s="158" t="s">
        <v>149</v>
      </c>
      <c r="Z114" s="158" t="s">
        <v>149</v>
      </c>
      <c r="AA114" s="153" t="s">
        <v>2853</v>
      </c>
      <c r="AB114" s="153" t="s">
        <v>390</v>
      </c>
      <c r="AC114" s="153" t="s">
        <v>6035</v>
      </c>
      <c r="AD114" s="153" t="s">
        <v>6055</v>
      </c>
      <c r="AE114" s="153" t="s">
        <v>6201</v>
      </c>
      <c r="AF114" s="153"/>
      <c r="AG114" s="158" t="s">
        <v>395</v>
      </c>
      <c r="AH114" s="153" t="s">
        <v>6060</v>
      </c>
      <c r="AI114" s="165" t="s">
        <v>397</v>
      </c>
      <c r="AJ114" s="153" t="s">
        <v>398</v>
      </c>
      <c r="AK114" s="153"/>
    </row>
    <row r="115">
      <c r="A115" s="152">
        <v>2025.0</v>
      </c>
      <c r="B115" s="151">
        <v>91.0</v>
      </c>
      <c r="C115" s="153" t="s">
        <v>8189</v>
      </c>
      <c r="D115" s="153"/>
      <c r="E115" s="153"/>
      <c r="F115" s="153"/>
      <c r="G115" s="153"/>
      <c r="H115" s="153" t="s">
        <v>293</v>
      </c>
      <c r="I115" s="153" t="s">
        <v>1283</v>
      </c>
      <c r="J115" s="153" t="s">
        <v>1284</v>
      </c>
      <c r="K115" s="153" t="s">
        <v>1285</v>
      </c>
      <c r="L115" s="153" t="s">
        <v>1683</v>
      </c>
      <c r="M115" s="153"/>
      <c r="N115" s="160" t="s">
        <v>6268</v>
      </c>
      <c r="O115" s="175" t="s">
        <v>6063</v>
      </c>
      <c r="P115" s="175" t="s">
        <v>6064</v>
      </c>
      <c r="Q115" s="153" t="s">
        <v>6062</v>
      </c>
      <c r="R115" s="153" t="s">
        <v>320</v>
      </c>
      <c r="S115" s="158" t="s">
        <v>179</v>
      </c>
      <c r="T115" s="158" t="s">
        <v>149</v>
      </c>
      <c r="U115" s="153" t="s">
        <v>321</v>
      </c>
      <c r="V115" s="158" t="s">
        <v>160</v>
      </c>
      <c r="W115" s="158" t="s">
        <v>6035</v>
      </c>
      <c r="X115" s="158" t="s">
        <v>159</v>
      </c>
      <c r="Y115" s="158" t="s">
        <v>149</v>
      </c>
      <c r="Z115" s="158" t="s">
        <v>149</v>
      </c>
      <c r="AA115" s="158" t="s">
        <v>149</v>
      </c>
      <c r="AB115" s="153" t="s">
        <v>1703</v>
      </c>
      <c r="AC115" s="153" t="s">
        <v>306</v>
      </c>
      <c r="AD115" s="153" t="s">
        <v>1287</v>
      </c>
      <c r="AE115" s="153"/>
      <c r="AF115" s="153"/>
      <c r="AG115" s="153" t="s">
        <v>6069</v>
      </c>
      <c r="AH115" s="153" t="s">
        <v>1300</v>
      </c>
      <c r="AI115" s="153" t="s">
        <v>6070</v>
      </c>
      <c r="AJ115" s="153"/>
      <c r="AK115" s="153"/>
    </row>
    <row r="116">
      <c r="A116" s="152">
        <v>2025.0</v>
      </c>
      <c r="B116" s="151">
        <v>92.0</v>
      </c>
      <c r="C116" s="153" t="s">
        <v>8189</v>
      </c>
      <c r="D116" s="153"/>
      <c r="E116" s="153"/>
      <c r="F116" s="153"/>
      <c r="G116" s="153"/>
      <c r="H116" s="153" t="s">
        <v>293</v>
      </c>
      <c r="I116" s="153" t="s">
        <v>1283</v>
      </c>
      <c r="J116" s="153" t="s">
        <v>2300</v>
      </c>
      <c r="K116" s="153" t="s">
        <v>2301</v>
      </c>
      <c r="L116" s="158" t="s">
        <v>149</v>
      </c>
      <c r="M116" s="153"/>
      <c r="N116" s="175" t="s">
        <v>6198</v>
      </c>
      <c r="O116" s="160" t="s">
        <v>149</v>
      </c>
      <c r="P116" s="160" t="s">
        <v>149</v>
      </c>
      <c r="Q116" s="153" t="s">
        <v>151</v>
      </c>
      <c r="R116" s="158" t="s">
        <v>6054</v>
      </c>
      <c r="S116" s="158" t="s">
        <v>6054</v>
      </c>
      <c r="T116" s="153" t="s">
        <v>6506</v>
      </c>
      <c r="U116" s="158" t="s">
        <v>149</v>
      </c>
      <c r="V116" s="158" t="s">
        <v>149</v>
      </c>
      <c r="W116" s="158" t="s">
        <v>149</v>
      </c>
      <c r="X116" s="158" t="s">
        <v>149</v>
      </c>
      <c r="Y116" s="158" t="s">
        <v>149</v>
      </c>
      <c r="Z116" s="158" t="s">
        <v>149</v>
      </c>
      <c r="AA116" s="158" t="s">
        <v>149</v>
      </c>
      <c r="AB116" s="153" t="s">
        <v>2304</v>
      </c>
      <c r="AC116" s="158" t="s">
        <v>184</v>
      </c>
      <c r="AD116" s="153" t="s">
        <v>6507</v>
      </c>
      <c r="AE116" s="153"/>
      <c r="AF116" s="153"/>
      <c r="AG116" s="158" t="s">
        <v>395</v>
      </c>
      <c r="AH116" s="153" t="s">
        <v>6060</v>
      </c>
      <c r="AI116" s="158" t="s">
        <v>397</v>
      </c>
      <c r="AJ116" s="153"/>
      <c r="AK116" s="153"/>
    </row>
    <row r="117">
      <c r="A117" s="152">
        <v>2024.0</v>
      </c>
      <c r="B117" s="151">
        <v>40.0</v>
      </c>
      <c r="C117" s="153"/>
      <c r="D117" s="153"/>
      <c r="E117" s="153"/>
      <c r="F117" s="153"/>
      <c r="G117" s="153"/>
      <c r="H117" s="153" t="s">
        <v>143</v>
      </c>
      <c r="I117" s="153" t="s">
        <v>144</v>
      </c>
      <c r="J117" s="153" t="s">
        <v>4284</v>
      </c>
      <c r="K117" s="153" t="s">
        <v>222</v>
      </c>
      <c r="L117" s="153" t="s">
        <v>384</v>
      </c>
      <c r="M117" s="153" t="s">
        <v>455</v>
      </c>
      <c r="N117" s="230">
        <v>1985.0</v>
      </c>
      <c r="O117" s="230">
        <v>1985.0</v>
      </c>
      <c r="P117" s="230">
        <v>1987.0</v>
      </c>
      <c r="Q117" s="153" t="s">
        <v>151</v>
      </c>
      <c r="R117" s="153" t="s">
        <v>6054</v>
      </c>
      <c r="S117" s="158" t="s">
        <v>6054</v>
      </c>
      <c r="T117" s="158" t="s">
        <v>149</v>
      </c>
      <c r="U117" s="153" t="s">
        <v>390</v>
      </c>
      <c r="V117" s="158" t="s">
        <v>160</v>
      </c>
      <c r="W117" s="158" t="s">
        <v>6035</v>
      </c>
      <c r="X117" s="158" t="s">
        <v>159</v>
      </c>
      <c r="Y117" s="158" t="s">
        <v>149</v>
      </c>
      <c r="Z117" s="158" t="s">
        <v>149</v>
      </c>
      <c r="AA117" s="153" t="s">
        <v>453</v>
      </c>
      <c r="AB117" s="153" t="s">
        <v>390</v>
      </c>
      <c r="AC117" s="153" t="s">
        <v>6035</v>
      </c>
      <c r="AD117" s="153" t="s">
        <v>6055</v>
      </c>
      <c r="AE117" s="153"/>
      <c r="AF117" s="153"/>
      <c r="AG117" s="158" t="s">
        <v>395</v>
      </c>
      <c r="AH117" s="153" t="s">
        <v>6060</v>
      </c>
      <c r="AI117" s="165" t="s">
        <v>397</v>
      </c>
      <c r="AJ117" s="153" t="s">
        <v>398</v>
      </c>
      <c r="AK117" s="153"/>
    </row>
    <row r="118">
      <c r="A118" s="152">
        <v>2025.0</v>
      </c>
      <c r="B118" s="151">
        <v>93.0</v>
      </c>
      <c r="C118" s="153" t="s">
        <v>8189</v>
      </c>
      <c r="D118" s="153"/>
      <c r="E118" s="153"/>
      <c r="F118" s="153"/>
      <c r="G118" s="153"/>
      <c r="H118" s="153" t="s">
        <v>293</v>
      </c>
      <c r="I118" s="153" t="s">
        <v>1283</v>
      </c>
      <c r="J118" s="153" t="s">
        <v>1375</v>
      </c>
      <c r="K118" s="173" t="s">
        <v>1376</v>
      </c>
      <c r="L118" s="153" t="s">
        <v>1377</v>
      </c>
      <c r="M118" s="153"/>
      <c r="N118" s="160" t="s">
        <v>6896</v>
      </c>
      <c r="O118" s="175" t="s">
        <v>6198</v>
      </c>
      <c r="P118" s="175" t="s">
        <v>6199</v>
      </c>
      <c r="Q118" s="153" t="s">
        <v>151</v>
      </c>
      <c r="R118" s="158" t="s">
        <v>149</v>
      </c>
      <c r="S118" s="158" t="s">
        <v>149</v>
      </c>
      <c r="T118" s="158" t="s">
        <v>149</v>
      </c>
      <c r="U118" s="153" t="s">
        <v>1381</v>
      </c>
      <c r="V118" s="158" t="s">
        <v>6154</v>
      </c>
      <c r="W118" s="158" t="s">
        <v>206</v>
      </c>
      <c r="X118" s="158" t="s">
        <v>159</v>
      </c>
      <c r="Y118" s="158" t="s">
        <v>149</v>
      </c>
      <c r="Z118" s="158" t="s">
        <v>149</v>
      </c>
      <c r="AA118" s="158" t="s">
        <v>149</v>
      </c>
      <c r="AB118" s="153" t="s">
        <v>660</v>
      </c>
      <c r="AC118" s="153" t="s">
        <v>6035</v>
      </c>
      <c r="AD118" s="153" t="s">
        <v>369</v>
      </c>
      <c r="AE118" s="153"/>
      <c r="AF118" s="153"/>
      <c r="AG118" s="158" t="s">
        <v>395</v>
      </c>
      <c r="AH118" s="153" t="s">
        <v>6060</v>
      </c>
      <c r="AI118" s="158" t="s">
        <v>397</v>
      </c>
      <c r="AJ118" s="153" t="s">
        <v>398</v>
      </c>
      <c r="AK118" s="153"/>
    </row>
    <row r="119">
      <c r="A119" s="152">
        <v>2025.0</v>
      </c>
      <c r="B119" s="151">
        <v>94.0</v>
      </c>
      <c r="C119" s="153" t="s">
        <v>8189</v>
      </c>
      <c r="D119" s="153"/>
      <c r="E119" s="153"/>
      <c r="F119" s="153"/>
      <c r="G119" s="153"/>
      <c r="H119" s="153" t="s">
        <v>293</v>
      </c>
      <c r="I119" s="153" t="s">
        <v>1283</v>
      </c>
      <c r="J119" s="153" t="s">
        <v>1375</v>
      </c>
      <c r="K119" s="153" t="s">
        <v>1376</v>
      </c>
      <c r="L119" s="158" t="s">
        <v>149</v>
      </c>
      <c r="M119" s="153" t="s">
        <v>3059</v>
      </c>
      <c r="N119" s="164" t="s">
        <v>149</v>
      </c>
      <c r="O119" s="160" t="s">
        <v>149</v>
      </c>
      <c r="P119" s="160" t="s">
        <v>149</v>
      </c>
      <c r="Q119" s="153" t="s">
        <v>6062</v>
      </c>
      <c r="R119" s="153" t="s">
        <v>320</v>
      </c>
      <c r="S119" s="158" t="s">
        <v>179</v>
      </c>
      <c r="T119" s="158" t="s">
        <v>149</v>
      </c>
      <c r="U119" s="153" t="s">
        <v>3060</v>
      </c>
      <c r="V119" s="158" t="s">
        <v>160</v>
      </c>
      <c r="W119" s="158" t="s">
        <v>184</v>
      </c>
      <c r="X119" s="158" t="s">
        <v>159</v>
      </c>
      <c r="Y119" s="158" t="s">
        <v>149</v>
      </c>
      <c r="Z119" s="158" t="s">
        <v>149</v>
      </c>
      <c r="AA119" s="158" t="s">
        <v>149</v>
      </c>
      <c r="AB119" s="153" t="s">
        <v>3061</v>
      </c>
      <c r="AC119" s="153" t="s">
        <v>6035</v>
      </c>
      <c r="AD119" s="153"/>
      <c r="AE119" s="153"/>
      <c r="AF119" s="153"/>
      <c r="AG119" s="153" t="s">
        <v>6084</v>
      </c>
      <c r="AH119" s="153" t="s">
        <v>3062</v>
      </c>
      <c r="AI119" s="165" t="s">
        <v>3063</v>
      </c>
      <c r="AJ119" s="153"/>
      <c r="AK119" s="153"/>
    </row>
    <row r="120">
      <c r="A120" s="152">
        <v>2024.0</v>
      </c>
      <c r="B120" s="151">
        <v>41.0</v>
      </c>
      <c r="C120" s="153"/>
      <c r="D120" s="153"/>
      <c r="E120" s="153"/>
      <c r="F120" s="153"/>
      <c r="G120" s="153"/>
      <c r="H120" s="153" t="s">
        <v>143</v>
      </c>
      <c r="I120" s="153" t="s">
        <v>144</v>
      </c>
      <c r="J120" s="153" t="s">
        <v>4284</v>
      </c>
      <c r="K120" s="153" t="s">
        <v>222</v>
      </c>
      <c r="L120" s="153" t="s">
        <v>384</v>
      </c>
      <c r="M120" s="153" t="s">
        <v>457</v>
      </c>
      <c r="N120" s="230">
        <v>1987.0</v>
      </c>
      <c r="O120" s="230">
        <v>1985.0</v>
      </c>
      <c r="P120" s="230">
        <v>1987.0</v>
      </c>
      <c r="Q120" s="153" t="s">
        <v>151</v>
      </c>
      <c r="R120" s="153" t="s">
        <v>6054</v>
      </c>
      <c r="S120" s="158" t="s">
        <v>6054</v>
      </c>
      <c r="T120" s="158" t="s">
        <v>149</v>
      </c>
      <c r="U120" s="153" t="s">
        <v>390</v>
      </c>
      <c r="V120" s="158" t="s">
        <v>160</v>
      </c>
      <c r="W120" s="158" t="s">
        <v>6035</v>
      </c>
      <c r="X120" s="158" t="s">
        <v>159</v>
      </c>
      <c r="Y120" s="158" t="s">
        <v>149</v>
      </c>
      <c r="Z120" s="158" t="s">
        <v>149</v>
      </c>
      <c r="AA120" s="153" t="s">
        <v>391</v>
      </c>
      <c r="AB120" s="153" t="s">
        <v>390</v>
      </c>
      <c r="AC120" s="153" t="s">
        <v>6035</v>
      </c>
      <c r="AD120" s="153" t="s">
        <v>6055</v>
      </c>
      <c r="AE120" s="153"/>
      <c r="AF120" s="153"/>
      <c r="AG120" s="158" t="s">
        <v>395</v>
      </c>
      <c r="AH120" s="153" t="s">
        <v>6060</v>
      </c>
      <c r="AI120" s="165" t="s">
        <v>397</v>
      </c>
      <c r="AJ120" s="153" t="s">
        <v>398</v>
      </c>
      <c r="AK120" s="153"/>
    </row>
    <row r="121">
      <c r="A121" s="152">
        <v>2025.0</v>
      </c>
      <c r="B121" s="151">
        <v>95.0</v>
      </c>
      <c r="C121" s="153" t="s">
        <v>8189</v>
      </c>
      <c r="D121" s="153"/>
      <c r="E121" s="153"/>
      <c r="F121" s="153"/>
      <c r="G121" s="153"/>
      <c r="H121" s="153" t="s">
        <v>293</v>
      </c>
      <c r="I121" s="153" t="s">
        <v>1283</v>
      </c>
      <c r="J121" s="153" t="s">
        <v>1795</v>
      </c>
      <c r="K121" s="153" t="s">
        <v>1796</v>
      </c>
      <c r="L121" s="158" t="s">
        <v>149</v>
      </c>
      <c r="M121" s="153"/>
      <c r="N121" s="175" t="s">
        <v>6042</v>
      </c>
      <c r="O121" s="160" t="s">
        <v>149</v>
      </c>
      <c r="P121" s="160" t="s">
        <v>149</v>
      </c>
      <c r="Q121" s="153" t="s">
        <v>151</v>
      </c>
      <c r="R121" s="158" t="s">
        <v>149</v>
      </c>
      <c r="S121" s="158" t="s">
        <v>149</v>
      </c>
      <c r="T121" s="153" t="s">
        <v>2735</v>
      </c>
      <c r="U121" s="158" t="s">
        <v>149</v>
      </c>
      <c r="V121" s="158" t="s">
        <v>149</v>
      </c>
      <c r="W121" s="158" t="s">
        <v>149</v>
      </c>
      <c r="X121" s="158" t="s">
        <v>149</v>
      </c>
      <c r="Y121" s="158" t="s">
        <v>149</v>
      </c>
      <c r="Z121" s="158" t="s">
        <v>149</v>
      </c>
      <c r="AA121" s="158" t="s">
        <v>149</v>
      </c>
      <c r="AB121" s="153" t="s">
        <v>228</v>
      </c>
      <c r="AC121" s="153" t="s">
        <v>6035</v>
      </c>
      <c r="AD121" s="153" t="s">
        <v>390</v>
      </c>
      <c r="AE121" s="153"/>
      <c r="AF121" s="153"/>
      <c r="AG121" s="158" t="s">
        <v>166</v>
      </c>
      <c r="AH121" s="153" t="s">
        <v>2736</v>
      </c>
      <c r="AI121" s="165" t="s">
        <v>2737</v>
      </c>
      <c r="AJ121" s="153"/>
      <c r="AK121" s="153"/>
    </row>
    <row r="122">
      <c r="A122" s="152">
        <v>2025.0</v>
      </c>
      <c r="B122" s="151">
        <v>96.0</v>
      </c>
      <c r="C122" s="153" t="s">
        <v>8189</v>
      </c>
      <c r="D122" s="153"/>
      <c r="E122" s="153"/>
      <c r="F122" s="153"/>
      <c r="G122" s="153"/>
      <c r="H122" s="153" t="s">
        <v>293</v>
      </c>
      <c r="I122" s="153" t="s">
        <v>1283</v>
      </c>
      <c r="J122" s="153" t="s">
        <v>1795</v>
      </c>
      <c r="K122" s="153" t="s">
        <v>1796</v>
      </c>
      <c r="L122" s="158" t="s">
        <v>149</v>
      </c>
      <c r="M122" s="153" t="s">
        <v>507</v>
      </c>
      <c r="N122" s="175" t="s">
        <v>6268</v>
      </c>
      <c r="O122" s="160" t="s">
        <v>149</v>
      </c>
      <c r="P122" s="160" t="s">
        <v>149</v>
      </c>
      <c r="Q122" s="153" t="s">
        <v>151</v>
      </c>
      <c r="R122" s="158" t="s">
        <v>149</v>
      </c>
      <c r="S122" s="158" t="s">
        <v>149</v>
      </c>
      <c r="T122" s="158" t="s">
        <v>149</v>
      </c>
      <c r="U122" s="153" t="s">
        <v>158</v>
      </c>
      <c r="V122" s="158" t="s">
        <v>160</v>
      </c>
      <c r="W122" s="158" t="s">
        <v>6035</v>
      </c>
      <c r="X122" s="158" t="s">
        <v>159</v>
      </c>
      <c r="Y122" s="158" t="s">
        <v>149</v>
      </c>
      <c r="Z122" s="158" t="s">
        <v>149</v>
      </c>
      <c r="AA122" s="158" t="s">
        <v>149</v>
      </c>
      <c r="AB122" s="153" t="s">
        <v>158</v>
      </c>
      <c r="AC122" s="153" t="s">
        <v>6035</v>
      </c>
      <c r="AD122" s="153"/>
      <c r="AE122" s="153"/>
      <c r="AF122" s="153"/>
      <c r="AG122" s="158" t="s">
        <v>6517</v>
      </c>
      <c r="AH122" s="153" t="s">
        <v>3065</v>
      </c>
      <c r="AI122" s="165" t="s">
        <v>3066</v>
      </c>
      <c r="AJ122" s="153"/>
      <c r="AK122" s="153"/>
    </row>
    <row r="123">
      <c r="A123" s="152">
        <v>2024.0</v>
      </c>
      <c r="B123" s="151">
        <v>42.0</v>
      </c>
      <c r="C123" s="153"/>
      <c r="D123" s="153"/>
      <c r="E123" s="153"/>
      <c r="F123" s="153"/>
      <c r="G123" s="153"/>
      <c r="H123" s="153" t="s">
        <v>143</v>
      </c>
      <c r="I123" s="153" t="s">
        <v>144</v>
      </c>
      <c r="J123" s="153" t="s">
        <v>4284</v>
      </c>
      <c r="K123" s="153" t="s">
        <v>222</v>
      </c>
      <c r="L123" s="158" t="s">
        <v>149</v>
      </c>
      <c r="M123" s="153" t="s">
        <v>2897</v>
      </c>
      <c r="N123" s="230">
        <v>1999.0</v>
      </c>
      <c r="O123" s="230">
        <v>1999.0</v>
      </c>
      <c r="P123" s="230">
        <v>2000.0</v>
      </c>
      <c r="Q123" s="153" t="s">
        <v>3324</v>
      </c>
      <c r="R123" s="158" t="s">
        <v>2899</v>
      </c>
      <c r="S123" s="158" t="s">
        <v>2899</v>
      </c>
      <c r="T123" s="153" t="s">
        <v>8214</v>
      </c>
      <c r="U123" s="153" t="s">
        <v>2833</v>
      </c>
      <c r="V123" s="158" t="s">
        <v>160</v>
      </c>
      <c r="W123" s="158" t="s">
        <v>6035</v>
      </c>
      <c r="X123" s="158" t="s">
        <v>204</v>
      </c>
      <c r="Y123" s="158" t="s">
        <v>149</v>
      </c>
      <c r="Z123" s="158" t="s">
        <v>149</v>
      </c>
      <c r="AA123" s="158" t="s">
        <v>149</v>
      </c>
      <c r="AB123" s="153" t="s">
        <v>233</v>
      </c>
      <c r="AC123" s="158" t="s">
        <v>6068</v>
      </c>
      <c r="AD123" s="153" t="s">
        <v>2901</v>
      </c>
      <c r="AE123" s="153"/>
      <c r="AF123" s="153"/>
      <c r="AG123" s="158" t="s">
        <v>6214</v>
      </c>
      <c r="AH123" s="153" t="s">
        <v>2902</v>
      </c>
      <c r="AI123" s="165" t="s">
        <v>6215</v>
      </c>
      <c r="AJ123" s="153" t="s">
        <v>2904</v>
      </c>
      <c r="AK123" s="153"/>
    </row>
    <row r="124">
      <c r="A124" s="152">
        <v>2023.0</v>
      </c>
      <c r="B124" s="151">
        <v>97.0</v>
      </c>
      <c r="C124" s="129" t="s">
        <v>140</v>
      </c>
      <c r="D124" s="8"/>
      <c r="H124" s="8" t="s">
        <v>293</v>
      </c>
      <c r="I124" s="8" t="s">
        <v>1283</v>
      </c>
      <c r="J124" s="8" t="s">
        <v>1284</v>
      </c>
      <c r="K124" s="153" t="s">
        <v>1285</v>
      </c>
      <c r="L124" s="8" t="s">
        <v>1174</v>
      </c>
      <c r="N124" s="142"/>
      <c r="O124" s="142" t="s">
        <v>6151</v>
      </c>
      <c r="P124" s="142" t="s">
        <v>6089</v>
      </c>
      <c r="Q124" s="8" t="s">
        <v>6062</v>
      </c>
      <c r="R124" s="8" t="s">
        <v>320</v>
      </c>
      <c r="U124" s="8" t="s">
        <v>321</v>
      </c>
      <c r="AA124" s="8" t="s">
        <v>1286</v>
      </c>
      <c r="AB124" s="8" t="s">
        <v>885</v>
      </c>
      <c r="AD124" s="8" t="s">
        <v>1287</v>
      </c>
      <c r="AH124" s="8" t="s">
        <v>6069</v>
      </c>
    </row>
    <row r="125">
      <c r="A125" s="152">
        <v>2025.0</v>
      </c>
      <c r="B125" s="151">
        <v>97.0</v>
      </c>
      <c r="C125" s="153" t="s">
        <v>8189</v>
      </c>
      <c r="D125" s="153"/>
      <c r="E125" s="153"/>
      <c r="F125" s="153"/>
      <c r="G125" s="153"/>
      <c r="H125" s="153" t="s">
        <v>293</v>
      </c>
      <c r="I125" s="153" t="s">
        <v>1283</v>
      </c>
      <c r="J125" s="153" t="s">
        <v>1795</v>
      </c>
      <c r="K125" s="153" t="s">
        <v>1796</v>
      </c>
      <c r="L125" s="158" t="s">
        <v>149</v>
      </c>
      <c r="M125" s="153" t="s">
        <v>3068</v>
      </c>
      <c r="N125" s="175" t="s">
        <v>6152</v>
      </c>
      <c r="O125" s="160" t="s">
        <v>149</v>
      </c>
      <c r="P125" s="160" t="s">
        <v>149</v>
      </c>
      <c r="Q125" s="153" t="s">
        <v>151</v>
      </c>
      <c r="R125" s="158" t="s">
        <v>149</v>
      </c>
      <c r="S125" s="158" t="s">
        <v>149</v>
      </c>
      <c r="T125" s="158" t="s">
        <v>149</v>
      </c>
      <c r="U125" s="153" t="s">
        <v>158</v>
      </c>
      <c r="V125" s="158" t="s">
        <v>160</v>
      </c>
      <c r="W125" s="158" t="s">
        <v>6035</v>
      </c>
      <c r="X125" s="158" t="s">
        <v>159</v>
      </c>
      <c r="Y125" s="158" t="s">
        <v>149</v>
      </c>
      <c r="Z125" s="158" t="s">
        <v>149</v>
      </c>
      <c r="AA125" s="158" t="s">
        <v>149</v>
      </c>
      <c r="AB125" s="153" t="s">
        <v>158</v>
      </c>
      <c r="AC125" s="153" t="s">
        <v>6035</v>
      </c>
      <c r="AD125" s="153"/>
      <c r="AE125" s="153"/>
      <c r="AF125" s="153"/>
      <c r="AG125" s="158" t="s">
        <v>6517</v>
      </c>
      <c r="AH125" s="153" t="s">
        <v>3065</v>
      </c>
      <c r="AI125" s="165" t="s">
        <v>3066</v>
      </c>
      <c r="AJ125" s="153"/>
      <c r="AK125" s="153"/>
    </row>
    <row r="126">
      <c r="A126" s="152">
        <v>2024.0</v>
      </c>
      <c r="B126" s="151">
        <v>43.0</v>
      </c>
      <c r="C126" s="153"/>
      <c r="D126" s="153"/>
      <c r="E126" s="153"/>
      <c r="F126" s="153"/>
      <c r="G126" s="153"/>
      <c r="H126" s="153" t="s">
        <v>143</v>
      </c>
      <c r="I126" s="153" t="s">
        <v>144</v>
      </c>
      <c r="J126" s="153" t="s">
        <v>4284</v>
      </c>
      <c r="K126" s="153" t="s">
        <v>222</v>
      </c>
      <c r="L126" s="153" t="s">
        <v>1683</v>
      </c>
      <c r="M126" s="153" t="s">
        <v>223</v>
      </c>
      <c r="N126" s="192">
        <v>2015.0</v>
      </c>
      <c r="O126" s="230">
        <v>2014.0</v>
      </c>
      <c r="P126" s="230">
        <v>2016.0</v>
      </c>
      <c r="Q126" s="153" t="s">
        <v>6062</v>
      </c>
      <c r="R126" s="153" t="s">
        <v>320</v>
      </c>
      <c r="S126" s="158" t="s">
        <v>179</v>
      </c>
      <c r="T126" s="158" t="s">
        <v>149</v>
      </c>
      <c r="U126" s="153" t="s">
        <v>321</v>
      </c>
      <c r="V126" s="158" t="s">
        <v>160</v>
      </c>
      <c r="W126" s="158" t="s">
        <v>6035</v>
      </c>
      <c r="X126" s="158" t="s">
        <v>159</v>
      </c>
      <c r="Y126" s="158" t="s">
        <v>149</v>
      </c>
      <c r="Z126" s="158" t="s">
        <v>149</v>
      </c>
      <c r="AA126" s="153" t="s">
        <v>1698</v>
      </c>
      <c r="AB126" s="153" t="s">
        <v>1699</v>
      </c>
      <c r="AC126" s="158" t="s">
        <v>6068</v>
      </c>
      <c r="AD126" s="153" t="s">
        <v>1700</v>
      </c>
      <c r="AE126" s="153"/>
      <c r="AF126" s="153"/>
      <c r="AG126" s="153" t="s">
        <v>6084</v>
      </c>
      <c r="AH126" s="153" t="s">
        <v>1300</v>
      </c>
      <c r="AI126" s="153" t="s">
        <v>6070</v>
      </c>
      <c r="AJ126" s="153"/>
      <c r="AK126" s="153"/>
    </row>
    <row r="127">
      <c r="A127" s="152">
        <v>2023.0</v>
      </c>
      <c r="B127" s="151">
        <v>98.0</v>
      </c>
      <c r="C127" s="129" t="s">
        <v>140</v>
      </c>
      <c r="D127" s="8"/>
      <c r="H127" s="8" t="s">
        <v>293</v>
      </c>
      <c r="I127" s="8" t="s">
        <v>1283</v>
      </c>
      <c r="J127" s="8" t="s">
        <v>1284</v>
      </c>
      <c r="K127" s="153" t="s">
        <v>1285</v>
      </c>
      <c r="L127" s="8" t="s">
        <v>1683</v>
      </c>
      <c r="N127" s="142"/>
      <c r="O127" s="142" t="s">
        <v>6063</v>
      </c>
      <c r="P127" s="142" t="s">
        <v>6064</v>
      </c>
      <c r="Q127" s="8" t="s">
        <v>6062</v>
      </c>
      <c r="R127" s="8" t="s">
        <v>320</v>
      </c>
      <c r="U127" s="8" t="s">
        <v>321</v>
      </c>
      <c r="AB127" s="8" t="s">
        <v>1703</v>
      </c>
      <c r="AD127" s="8" t="s">
        <v>1287</v>
      </c>
      <c r="AH127" s="8" t="s">
        <v>6069</v>
      </c>
    </row>
    <row r="128">
      <c r="A128" s="152">
        <v>2025.0</v>
      </c>
      <c r="B128" s="151">
        <v>98.0</v>
      </c>
      <c r="C128" s="153" t="s">
        <v>8189</v>
      </c>
      <c r="D128" s="153"/>
      <c r="E128" s="153"/>
      <c r="F128" s="153"/>
      <c r="G128" s="153"/>
      <c r="H128" s="153" t="s">
        <v>293</v>
      </c>
      <c r="I128" s="153" t="s">
        <v>1283</v>
      </c>
      <c r="J128" s="153" t="s">
        <v>1795</v>
      </c>
      <c r="K128" s="153" t="s">
        <v>1796</v>
      </c>
      <c r="L128" s="153" t="s">
        <v>1797</v>
      </c>
      <c r="M128" s="153" t="s">
        <v>6522</v>
      </c>
      <c r="N128" s="175" t="s">
        <v>6145</v>
      </c>
      <c r="O128" s="160" t="s">
        <v>149</v>
      </c>
      <c r="P128" s="160" t="s">
        <v>149</v>
      </c>
      <c r="Q128" s="153" t="s">
        <v>151</v>
      </c>
      <c r="R128" s="158" t="s">
        <v>149</v>
      </c>
      <c r="S128" s="158" t="s">
        <v>149</v>
      </c>
      <c r="T128" s="153" t="s">
        <v>6523</v>
      </c>
      <c r="U128" s="153" t="s">
        <v>1802</v>
      </c>
      <c r="V128" s="158" t="s">
        <v>160</v>
      </c>
      <c r="W128" s="158" t="s">
        <v>184</v>
      </c>
      <c r="X128" s="158" t="s">
        <v>159</v>
      </c>
      <c r="Y128" s="158" t="s">
        <v>149</v>
      </c>
      <c r="Z128" s="158" t="s">
        <v>149</v>
      </c>
      <c r="AA128" s="158" t="s">
        <v>149</v>
      </c>
      <c r="AB128" s="153" t="s">
        <v>1802</v>
      </c>
      <c r="AC128" s="158" t="s">
        <v>184</v>
      </c>
      <c r="AD128" s="153"/>
      <c r="AE128" s="153"/>
      <c r="AF128" s="153"/>
      <c r="AG128" s="153" t="s">
        <v>6038</v>
      </c>
      <c r="AH128" s="153" t="s">
        <v>1803</v>
      </c>
      <c r="AI128" s="165" t="s">
        <v>1804</v>
      </c>
      <c r="AJ128" s="153"/>
      <c r="AK128" s="153"/>
    </row>
    <row r="129">
      <c r="A129" s="152">
        <v>2024.0</v>
      </c>
      <c r="B129" s="151">
        <v>44.0</v>
      </c>
      <c r="C129" s="153"/>
      <c r="D129" s="153"/>
      <c r="E129" s="153"/>
      <c r="F129" s="153"/>
      <c r="G129" s="153"/>
      <c r="H129" s="153" t="s">
        <v>143</v>
      </c>
      <c r="I129" s="153" t="s">
        <v>144</v>
      </c>
      <c r="J129" s="153" t="s">
        <v>4284</v>
      </c>
      <c r="K129" s="153" t="s">
        <v>222</v>
      </c>
      <c r="L129" s="153" t="s">
        <v>6235</v>
      </c>
      <c r="M129" s="153" t="s">
        <v>223</v>
      </c>
      <c r="N129" s="230">
        <v>2018.0</v>
      </c>
      <c r="O129" s="280"/>
      <c r="P129" s="280"/>
      <c r="Q129" s="153" t="s">
        <v>6221</v>
      </c>
      <c r="R129" s="158" t="s">
        <v>200</v>
      </c>
      <c r="S129" s="158" t="s">
        <v>224</v>
      </c>
      <c r="T129" s="158" t="s">
        <v>225</v>
      </c>
      <c r="U129" s="153" t="s">
        <v>203</v>
      </c>
      <c r="V129" s="158" t="s">
        <v>6154</v>
      </c>
      <c r="W129" s="158" t="s">
        <v>206</v>
      </c>
      <c r="X129" s="158" t="s">
        <v>159</v>
      </c>
      <c r="Y129" s="158" t="s">
        <v>149</v>
      </c>
      <c r="Z129" s="158" t="s">
        <v>149</v>
      </c>
      <c r="AA129" s="158" t="s">
        <v>149</v>
      </c>
      <c r="AB129" s="153" t="s">
        <v>226</v>
      </c>
      <c r="AC129" s="158" t="s">
        <v>6068</v>
      </c>
      <c r="AD129" s="153" t="s">
        <v>228</v>
      </c>
      <c r="AE129" s="153"/>
      <c r="AF129" s="153" t="s">
        <v>208</v>
      </c>
      <c r="AG129" s="153" t="s">
        <v>214</v>
      </c>
      <c r="AH129" s="153" t="s">
        <v>214</v>
      </c>
      <c r="AI129" s="153"/>
      <c r="AJ129" s="153"/>
      <c r="AK129" s="153"/>
    </row>
    <row r="130">
      <c r="A130" s="152">
        <v>2023.0</v>
      </c>
      <c r="B130" s="151">
        <v>99.0</v>
      </c>
      <c r="C130" s="129" t="s">
        <v>140</v>
      </c>
      <c r="D130" s="8"/>
      <c r="H130" s="8" t="s">
        <v>293</v>
      </c>
      <c r="I130" s="8" t="s">
        <v>1283</v>
      </c>
      <c r="J130" s="8" t="s">
        <v>2300</v>
      </c>
      <c r="K130" s="153" t="s">
        <v>2301</v>
      </c>
      <c r="L130" s="8" t="s">
        <v>6113</v>
      </c>
      <c r="N130" s="142" t="s">
        <v>6198</v>
      </c>
      <c r="O130" s="142"/>
      <c r="P130" s="142"/>
      <c r="Q130" s="8" t="s">
        <v>151</v>
      </c>
      <c r="R130" s="8" t="s">
        <v>386</v>
      </c>
      <c r="T130" s="8" t="s">
        <v>6506</v>
      </c>
      <c r="AB130" s="8" t="s">
        <v>2304</v>
      </c>
      <c r="AD130" s="8" t="s">
        <v>6507</v>
      </c>
      <c r="AH130" s="8" t="s">
        <v>395</v>
      </c>
      <c r="AI130" s="8" t="s">
        <v>2873</v>
      </c>
    </row>
    <row r="131">
      <c r="A131" s="152">
        <v>2025.0</v>
      </c>
      <c r="B131" s="151">
        <v>99.0</v>
      </c>
      <c r="C131" s="153" t="s">
        <v>8189</v>
      </c>
      <c r="D131" s="153"/>
      <c r="E131" s="153"/>
      <c r="F131" s="153"/>
      <c r="G131" s="153"/>
      <c r="H131" s="153" t="s">
        <v>293</v>
      </c>
      <c r="I131" s="153" t="s">
        <v>1283</v>
      </c>
      <c r="J131" s="153" t="s">
        <v>1979</v>
      </c>
      <c r="K131" s="153" t="s">
        <v>1980</v>
      </c>
      <c r="L131" s="153" t="s">
        <v>1981</v>
      </c>
      <c r="M131" s="153" t="s">
        <v>1982</v>
      </c>
      <c r="N131" s="164" t="s">
        <v>149</v>
      </c>
      <c r="O131" s="160" t="s">
        <v>149</v>
      </c>
      <c r="P131" s="160" t="s">
        <v>149</v>
      </c>
      <c r="Q131" s="153" t="s">
        <v>151</v>
      </c>
      <c r="R131" s="158" t="s">
        <v>149</v>
      </c>
      <c r="S131" s="158" t="s">
        <v>149</v>
      </c>
      <c r="T131" s="153" t="s">
        <v>819</v>
      </c>
      <c r="U131" s="158" t="s">
        <v>369</v>
      </c>
      <c r="V131" s="158" t="s">
        <v>160</v>
      </c>
      <c r="W131" s="158" t="s">
        <v>6035</v>
      </c>
      <c r="X131" s="158" t="s">
        <v>159</v>
      </c>
      <c r="Y131" s="158" t="s">
        <v>149</v>
      </c>
      <c r="Z131" s="158" t="s">
        <v>149</v>
      </c>
      <c r="AA131" s="153" t="s">
        <v>1984</v>
      </c>
      <c r="AB131" s="153" t="s">
        <v>369</v>
      </c>
      <c r="AC131" s="153" t="s">
        <v>6035</v>
      </c>
      <c r="AD131" s="153"/>
      <c r="AE131" s="153"/>
      <c r="AF131" s="153"/>
      <c r="AG131" s="153" t="s">
        <v>6084</v>
      </c>
      <c r="AH131" s="153" t="s">
        <v>823</v>
      </c>
      <c r="AI131" s="172" t="s">
        <v>824</v>
      </c>
      <c r="AJ131" s="153"/>
      <c r="AK131" s="153"/>
    </row>
    <row r="132">
      <c r="A132" s="152">
        <v>2024.0</v>
      </c>
      <c r="B132" s="151">
        <v>45.0</v>
      </c>
      <c r="C132" s="153"/>
      <c r="D132" s="153"/>
      <c r="E132" s="153"/>
      <c r="F132" s="153"/>
      <c r="G132" s="153"/>
      <c r="H132" s="153" t="s">
        <v>143</v>
      </c>
      <c r="I132" s="153" t="s">
        <v>144</v>
      </c>
      <c r="J132" s="153" t="s">
        <v>4284</v>
      </c>
      <c r="K132" s="153" t="s">
        <v>222</v>
      </c>
      <c r="L132" s="158" t="s">
        <v>1776</v>
      </c>
      <c r="M132" s="158" t="s">
        <v>223</v>
      </c>
      <c r="N132" s="192">
        <v>2017.0</v>
      </c>
      <c r="O132" s="192" t="s">
        <v>149</v>
      </c>
      <c r="P132" s="192" t="s">
        <v>149</v>
      </c>
      <c r="Q132" s="153" t="s">
        <v>6062</v>
      </c>
      <c r="R132" s="158" t="s">
        <v>320</v>
      </c>
      <c r="S132" s="158" t="s">
        <v>179</v>
      </c>
      <c r="T132" s="158" t="s">
        <v>149</v>
      </c>
      <c r="U132" s="158" t="s">
        <v>1777</v>
      </c>
      <c r="V132" s="158" t="s">
        <v>160</v>
      </c>
      <c r="W132" s="158" t="s">
        <v>184</v>
      </c>
      <c r="X132" s="158" t="s">
        <v>159</v>
      </c>
      <c r="Y132" s="158" t="s">
        <v>149</v>
      </c>
      <c r="Z132" s="158" t="s">
        <v>149</v>
      </c>
      <c r="AA132" s="158" t="s">
        <v>6224</v>
      </c>
      <c r="AB132" s="153" t="s">
        <v>228</v>
      </c>
      <c r="AC132" s="153" t="s">
        <v>6035</v>
      </c>
      <c r="AD132" s="153" t="s">
        <v>8215</v>
      </c>
      <c r="AE132" s="153" t="s">
        <v>8216</v>
      </c>
      <c r="AF132" s="153"/>
      <c r="AG132" s="153" t="s">
        <v>6084</v>
      </c>
      <c r="AH132" s="153" t="s">
        <v>1300</v>
      </c>
      <c r="AI132" s="153" t="s">
        <v>6070</v>
      </c>
      <c r="AJ132" s="153"/>
      <c r="AK132" s="153"/>
    </row>
    <row r="133">
      <c r="A133" s="152">
        <v>2023.0</v>
      </c>
      <c r="B133" s="151">
        <v>100.0</v>
      </c>
      <c r="C133" s="129" t="s">
        <v>140</v>
      </c>
      <c r="D133" s="8"/>
      <c r="H133" s="8" t="s">
        <v>293</v>
      </c>
      <c r="I133" s="8" t="s">
        <v>1283</v>
      </c>
      <c r="J133" s="8" t="s">
        <v>1375</v>
      </c>
      <c r="K133" s="279" t="s">
        <v>1376</v>
      </c>
      <c r="L133" s="8" t="s">
        <v>1377</v>
      </c>
      <c r="N133" s="142"/>
      <c r="O133" s="142" t="s">
        <v>6198</v>
      </c>
      <c r="P133" s="142" t="s">
        <v>6199</v>
      </c>
      <c r="Q133" s="8" t="s">
        <v>151</v>
      </c>
      <c r="U133" s="8" t="s">
        <v>1381</v>
      </c>
      <c r="AB133" s="8" t="s">
        <v>660</v>
      </c>
      <c r="AD133" s="8" t="s">
        <v>369</v>
      </c>
      <c r="AH133" s="8" t="s">
        <v>395</v>
      </c>
      <c r="AI133" s="8" t="s">
        <v>2873</v>
      </c>
      <c r="AJ133" s="8" t="s">
        <v>398</v>
      </c>
    </row>
    <row r="134">
      <c r="A134" s="152">
        <v>2023.0</v>
      </c>
      <c r="B134" s="151">
        <v>101.0</v>
      </c>
      <c r="C134" s="129" t="s">
        <v>140</v>
      </c>
      <c r="D134" s="8"/>
      <c r="H134" s="8" t="s">
        <v>293</v>
      </c>
      <c r="I134" s="8" t="s">
        <v>1283</v>
      </c>
      <c r="J134" s="8" t="s">
        <v>1375</v>
      </c>
      <c r="K134" s="153" t="s">
        <v>1376</v>
      </c>
      <c r="L134" s="8" t="s">
        <v>6113</v>
      </c>
      <c r="N134" s="142" t="s">
        <v>6113</v>
      </c>
      <c r="O134" s="142"/>
      <c r="P134" s="142"/>
      <c r="Q134" s="8" t="s">
        <v>6062</v>
      </c>
      <c r="R134" s="8" t="s">
        <v>320</v>
      </c>
      <c r="AB134" s="8" t="s">
        <v>3061</v>
      </c>
      <c r="AH134" s="8" t="s">
        <v>6084</v>
      </c>
      <c r="AI134" s="172" t="s">
        <v>3063</v>
      </c>
    </row>
    <row r="135">
      <c r="A135" s="152">
        <v>2024.0</v>
      </c>
      <c r="B135" s="151">
        <v>46.0</v>
      </c>
      <c r="C135" s="153"/>
      <c r="D135" s="153"/>
      <c r="E135" s="153"/>
      <c r="F135" s="153"/>
      <c r="G135" s="153"/>
      <c r="H135" s="153" t="s">
        <v>143</v>
      </c>
      <c r="I135" s="153" t="s">
        <v>144</v>
      </c>
      <c r="J135" s="153" t="s">
        <v>4284</v>
      </c>
      <c r="K135" s="153" t="s">
        <v>222</v>
      </c>
      <c r="L135" s="153" t="s">
        <v>934</v>
      </c>
      <c r="M135" s="153"/>
      <c r="N135" s="230">
        <v>2001.0</v>
      </c>
      <c r="O135" s="230">
        <v>2001.0</v>
      </c>
      <c r="P135" s="230">
        <v>2005.0</v>
      </c>
      <c r="Q135" s="153" t="s">
        <v>6062</v>
      </c>
      <c r="R135" s="153" t="s">
        <v>3245</v>
      </c>
      <c r="S135" s="158" t="s">
        <v>179</v>
      </c>
      <c r="T135" s="153" t="s">
        <v>939</v>
      </c>
      <c r="U135" s="153" t="s">
        <v>940</v>
      </c>
      <c r="V135" s="158" t="s">
        <v>160</v>
      </c>
      <c r="W135" s="158" t="s">
        <v>206</v>
      </c>
      <c r="X135" s="158" t="s">
        <v>159</v>
      </c>
      <c r="Y135" s="158" t="s">
        <v>149</v>
      </c>
      <c r="Z135" s="158" t="s">
        <v>149</v>
      </c>
      <c r="AA135" s="158" t="s">
        <v>149</v>
      </c>
      <c r="AB135" s="153" t="s">
        <v>233</v>
      </c>
      <c r="AC135" s="158" t="s">
        <v>6068</v>
      </c>
      <c r="AD135" s="153"/>
      <c r="AE135" s="153"/>
      <c r="AF135" s="153"/>
      <c r="AG135" s="158" t="s">
        <v>6214</v>
      </c>
      <c r="AH135" s="153" t="s">
        <v>941</v>
      </c>
      <c r="AI135" s="165" t="s">
        <v>942</v>
      </c>
      <c r="AJ135" s="153" t="s">
        <v>943</v>
      </c>
      <c r="AK135" s="153"/>
    </row>
    <row r="136">
      <c r="A136" s="152">
        <v>2023.0</v>
      </c>
      <c r="B136" s="151">
        <v>102.0</v>
      </c>
      <c r="C136" s="129" t="s">
        <v>140</v>
      </c>
      <c r="D136" s="8"/>
      <c r="H136" s="8" t="s">
        <v>293</v>
      </c>
      <c r="I136" s="8" t="s">
        <v>1283</v>
      </c>
      <c r="J136" s="8" t="s">
        <v>1375</v>
      </c>
      <c r="K136" s="153" t="s">
        <v>1376</v>
      </c>
      <c r="L136" s="8" t="s">
        <v>652</v>
      </c>
      <c r="N136" s="142" t="s">
        <v>6404</v>
      </c>
      <c r="O136" s="142"/>
      <c r="P136" s="142"/>
      <c r="Q136" s="8" t="s">
        <v>151</v>
      </c>
      <c r="T136" s="8" t="s">
        <v>6535</v>
      </c>
      <c r="U136" s="8" t="s">
        <v>6536</v>
      </c>
      <c r="AE136" s="8" t="s">
        <v>6537</v>
      </c>
      <c r="AH136" s="8" t="s">
        <v>166</v>
      </c>
      <c r="AI136" s="8" t="s">
        <v>6538</v>
      </c>
    </row>
    <row r="137">
      <c r="A137" s="152">
        <v>2023.0</v>
      </c>
      <c r="B137" s="151">
        <v>103.0</v>
      </c>
      <c r="C137" s="129" t="s">
        <v>140</v>
      </c>
      <c r="D137" s="8"/>
      <c r="H137" s="8" t="s">
        <v>293</v>
      </c>
      <c r="I137" s="8" t="s">
        <v>1283</v>
      </c>
      <c r="J137" s="8" t="s">
        <v>1795</v>
      </c>
      <c r="K137" s="153" t="s">
        <v>1796</v>
      </c>
      <c r="L137" s="8" t="s">
        <v>6113</v>
      </c>
      <c r="N137" s="142" t="s">
        <v>6042</v>
      </c>
      <c r="O137" s="142"/>
      <c r="P137" s="142"/>
      <c r="Q137" s="8" t="s">
        <v>151</v>
      </c>
      <c r="AH137" s="8" t="s">
        <v>166</v>
      </c>
      <c r="AI137" s="8" t="s">
        <v>2737</v>
      </c>
    </row>
    <row r="138">
      <c r="A138" s="152">
        <v>2024.0</v>
      </c>
      <c r="B138" s="151">
        <v>47.0</v>
      </c>
      <c r="C138" s="153"/>
      <c r="D138" s="153"/>
      <c r="E138" s="153"/>
      <c r="F138" s="153"/>
      <c r="G138" s="153"/>
      <c r="H138" s="153" t="s">
        <v>143</v>
      </c>
      <c r="I138" s="153" t="s">
        <v>144</v>
      </c>
      <c r="J138" s="153" t="s">
        <v>230</v>
      </c>
      <c r="K138" s="173" t="s">
        <v>231</v>
      </c>
      <c r="L138" s="153" t="s">
        <v>384</v>
      </c>
      <c r="M138" s="153" t="s">
        <v>459</v>
      </c>
      <c r="N138" s="276">
        <v>1986.0</v>
      </c>
      <c r="O138" s="230">
        <v>1985.0</v>
      </c>
      <c r="P138" s="230">
        <v>1987.0</v>
      </c>
      <c r="Q138" s="153" t="s">
        <v>151</v>
      </c>
      <c r="R138" s="153" t="s">
        <v>6054</v>
      </c>
      <c r="S138" s="158" t="s">
        <v>6054</v>
      </c>
      <c r="T138" s="158" t="s">
        <v>149</v>
      </c>
      <c r="U138" s="153" t="s">
        <v>390</v>
      </c>
      <c r="V138" s="158" t="s">
        <v>160</v>
      </c>
      <c r="W138" s="158" t="s">
        <v>6035</v>
      </c>
      <c r="X138" s="158" t="s">
        <v>159</v>
      </c>
      <c r="Y138" s="158" t="s">
        <v>149</v>
      </c>
      <c r="Z138" s="158" t="s">
        <v>149</v>
      </c>
      <c r="AA138" s="153" t="s">
        <v>391</v>
      </c>
      <c r="AB138" s="153" t="s">
        <v>390</v>
      </c>
      <c r="AC138" s="153" t="s">
        <v>6035</v>
      </c>
      <c r="AD138" s="153" t="s">
        <v>6055</v>
      </c>
      <c r="AE138" s="153"/>
      <c r="AF138" s="153" t="s">
        <v>6056</v>
      </c>
      <c r="AG138" s="158" t="s">
        <v>395</v>
      </c>
      <c r="AH138" s="153" t="s">
        <v>6060</v>
      </c>
      <c r="AI138" s="177" t="s">
        <v>397</v>
      </c>
      <c r="AJ138" s="153" t="s">
        <v>398</v>
      </c>
      <c r="AK138" s="153"/>
    </row>
    <row r="139">
      <c r="A139" s="152">
        <v>2023.0</v>
      </c>
      <c r="B139" s="151">
        <v>104.0</v>
      </c>
      <c r="C139" s="129" t="s">
        <v>140</v>
      </c>
      <c r="D139" s="8"/>
      <c r="H139" s="8" t="s">
        <v>293</v>
      </c>
      <c r="I139" s="8" t="s">
        <v>1283</v>
      </c>
      <c r="J139" s="8" t="s">
        <v>1795</v>
      </c>
      <c r="K139" s="173" t="s">
        <v>1796</v>
      </c>
      <c r="L139" s="8" t="s">
        <v>6113</v>
      </c>
      <c r="N139" s="174" t="s">
        <v>6268</v>
      </c>
      <c r="O139" s="142"/>
      <c r="P139" s="142"/>
      <c r="Q139" s="8" t="s">
        <v>151</v>
      </c>
      <c r="U139" s="8" t="s">
        <v>158</v>
      </c>
      <c r="AH139" s="8" t="s">
        <v>6517</v>
      </c>
      <c r="AI139" s="8" t="s">
        <v>3066</v>
      </c>
    </row>
    <row r="140">
      <c r="A140" s="152">
        <v>2023.0</v>
      </c>
      <c r="B140" s="151">
        <v>105.0</v>
      </c>
      <c r="C140" s="129" t="s">
        <v>140</v>
      </c>
      <c r="D140" s="8"/>
      <c r="H140" s="8" t="s">
        <v>293</v>
      </c>
      <c r="I140" s="8" t="s">
        <v>1283</v>
      </c>
      <c r="J140" s="8" t="s">
        <v>1795</v>
      </c>
      <c r="K140" s="173" t="s">
        <v>1796</v>
      </c>
      <c r="L140" s="8" t="s">
        <v>6113</v>
      </c>
      <c r="N140" s="174" t="s">
        <v>6152</v>
      </c>
      <c r="O140" s="142"/>
      <c r="P140" s="142"/>
      <c r="Q140" s="8" t="s">
        <v>151</v>
      </c>
      <c r="U140" s="8" t="s">
        <v>158</v>
      </c>
      <c r="AH140" s="8" t="s">
        <v>6517</v>
      </c>
      <c r="AI140" s="172" t="s">
        <v>3066</v>
      </c>
    </row>
    <row r="141">
      <c r="A141" s="152">
        <v>2024.0</v>
      </c>
      <c r="B141" s="151">
        <v>48.0</v>
      </c>
      <c r="C141" s="153"/>
      <c r="D141" s="153"/>
      <c r="E141" s="153"/>
      <c r="F141" s="153"/>
      <c r="G141" s="153"/>
      <c r="H141" s="153" t="s">
        <v>143</v>
      </c>
      <c r="I141" s="153" t="s">
        <v>144</v>
      </c>
      <c r="J141" s="153" t="s">
        <v>230</v>
      </c>
      <c r="K141" s="173" t="s">
        <v>231</v>
      </c>
      <c r="L141" s="153" t="s">
        <v>384</v>
      </c>
      <c r="M141" s="153" t="s">
        <v>461</v>
      </c>
      <c r="N141" s="230">
        <v>1986.0</v>
      </c>
      <c r="O141" s="230">
        <v>1985.0</v>
      </c>
      <c r="P141" s="230">
        <v>1987.0</v>
      </c>
      <c r="Q141" s="153" t="s">
        <v>151</v>
      </c>
      <c r="R141" s="153" t="s">
        <v>6054</v>
      </c>
      <c r="S141" s="158" t="s">
        <v>6054</v>
      </c>
      <c r="T141" s="158" t="s">
        <v>149</v>
      </c>
      <c r="U141" s="153" t="s">
        <v>390</v>
      </c>
      <c r="V141" s="158" t="s">
        <v>160</v>
      </c>
      <c r="W141" s="158" t="s">
        <v>6035</v>
      </c>
      <c r="X141" s="158" t="s">
        <v>159</v>
      </c>
      <c r="Y141" s="158" t="s">
        <v>149</v>
      </c>
      <c r="Z141" s="158" t="s">
        <v>149</v>
      </c>
      <c r="AA141" s="153" t="s">
        <v>391</v>
      </c>
      <c r="AB141" s="153" t="s">
        <v>390</v>
      </c>
      <c r="AC141" s="153" t="s">
        <v>6035</v>
      </c>
      <c r="AD141" s="153" t="s">
        <v>6055</v>
      </c>
      <c r="AE141" s="153"/>
      <c r="AF141" s="153"/>
      <c r="AG141" s="158" t="s">
        <v>395</v>
      </c>
      <c r="AH141" s="153" t="s">
        <v>6060</v>
      </c>
      <c r="AI141" s="177" t="s">
        <v>397</v>
      </c>
      <c r="AJ141" s="153" t="s">
        <v>398</v>
      </c>
      <c r="AK141" s="153"/>
    </row>
    <row r="142">
      <c r="A142" s="152">
        <v>2023.0</v>
      </c>
      <c r="B142" s="151">
        <v>106.0</v>
      </c>
      <c r="C142" s="129" t="s">
        <v>140</v>
      </c>
      <c r="D142" s="8"/>
      <c r="H142" s="8" t="s">
        <v>293</v>
      </c>
      <c r="I142" s="8" t="s">
        <v>1283</v>
      </c>
      <c r="J142" s="8" t="s">
        <v>1795</v>
      </c>
      <c r="K142" s="173" t="s">
        <v>1796</v>
      </c>
      <c r="L142" s="8" t="s">
        <v>1797</v>
      </c>
      <c r="N142" s="142" t="s">
        <v>6145</v>
      </c>
      <c r="O142" s="142"/>
      <c r="P142" s="142"/>
      <c r="Q142" s="8" t="s">
        <v>151</v>
      </c>
      <c r="T142" s="8" t="s">
        <v>6523</v>
      </c>
      <c r="U142" s="8" t="s">
        <v>1802</v>
      </c>
      <c r="AB142" s="8" t="s">
        <v>1802</v>
      </c>
      <c r="AH142" s="8" t="s">
        <v>6038</v>
      </c>
      <c r="AI142" s="8" t="s">
        <v>1804</v>
      </c>
    </row>
    <row r="143">
      <c r="A143" s="152">
        <v>2025.0</v>
      </c>
      <c r="B143" s="151">
        <v>110.0</v>
      </c>
      <c r="C143" s="153" t="s">
        <v>8189</v>
      </c>
      <c r="D143" s="153"/>
      <c r="E143" s="153"/>
      <c r="F143" s="153"/>
      <c r="G143" s="153"/>
      <c r="H143" s="153" t="s">
        <v>257</v>
      </c>
      <c r="I143" s="153" t="s">
        <v>258</v>
      </c>
      <c r="J143" s="153" t="s">
        <v>3075</v>
      </c>
      <c r="K143" s="153" t="s">
        <v>3076</v>
      </c>
      <c r="L143" s="158" t="s">
        <v>149</v>
      </c>
      <c r="M143" s="153" t="s">
        <v>6560</v>
      </c>
      <c r="N143" s="175" t="s">
        <v>6145</v>
      </c>
      <c r="O143" s="160" t="s">
        <v>149</v>
      </c>
      <c r="P143" s="160" t="s">
        <v>149</v>
      </c>
      <c r="Q143" s="153" t="s">
        <v>151</v>
      </c>
      <c r="R143" s="158" t="s">
        <v>149</v>
      </c>
      <c r="S143" s="158" t="s">
        <v>149</v>
      </c>
      <c r="T143" s="158" t="s">
        <v>149</v>
      </c>
      <c r="U143" s="153" t="s">
        <v>2664</v>
      </c>
      <c r="V143" s="158" t="s">
        <v>160</v>
      </c>
      <c r="W143" s="158" t="s">
        <v>184</v>
      </c>
      <c r="X143" s="158" t="s">
        <v>159</v>
      </c>
      <c r="Y143" s="158" t="s">
        <v>149</v>
      </c>
      <c r="Z143" s="158" t="s">
        <v>149</v>
      </c>
      <c r="AA143" s="153" t="s">
        <v>795</v>
      </c>
      <c r="AB143" s="153" t="s">
        <v>3078</v>
      </c>
      <c r="AC143" s="153" t="s">
        <v>184</v>
      </c>
      <c r="AD143" s="153" t="s">
        <v>3079</v>
      </c>
      <c r="AE143" s="153"/>
      <c r="AF143" s="153"/>
      <c r="AG143" s="158" t="s">
        <v>166</v>
      </c>
      <c r="AH143" s="153" t="s">
        <v>2665</v>
      </c>
      <c r="AI143" s="172" t="s">
        <v>2666</v>
      </c>
      <c r="AJ143" s="153"/>
      <c r="AK143" s="153"/>
    </row>
    <row r="144">
      <c r="A144" s="152">
        <v>2024.0</v>
      </c>
      <c r="B144" s="151">
        <v>49.0</v>
      </c>
      <c r="C144" s="153"/>
      <c r="D144" s="153"/>
      <c r="E144" s="153"/>
      <c r="F144" s="153"/>
      <c r="G144" s="153"/>
      <c r="H144" s="153" t="s">
        <v>143</v>
      </c>
      <c r="I144" s="153" t="s">
        <v>144</v>
      </c>
      <c r="J144" s="153" t="s">
        <v>230</v>
      </c>
      <c r="K144" s="153" t="s">
        <v>231</v>
      </c>
      <c r="L144" s="153" t="s">
        <v>1828</v>
      </c>
      <c r="M144" s="153" t="s">
        <v>6242</v>
      </c>
      <c r="N144" s="230">
        <v>2014.0</v>
      </c>
      <c r="O144" s="230">
        <v>2014.0</v>
      </c>
      <c r="P144" s="230">
        <v>2017.0</v>
      </c>
      <c r="Q144" s="153" t="s">
        <v>6221</v>
      </c>
      <c r="R144" s="158" t="s">
        <v>1830</v>
      </c>
      <c r="S144" s="192" t="s">
        <v>1830</v>
      </c>
      <c r="T144" s="153" t="s">
        <v>1831</v>
      </c>
      <c r="U144" s="153" t="s">
        <v>321</v>
      </c>
      <c r="V144" s="158" t="s">
        <v>160</v>
      </c>
      <c r="W144" s="158" t="s">
        <v>6035</v>
      </c>
      <c r="X144" s="158" t="s">
        <v>204</v>
      </c>
      <c r="Y144" s="244">
        <v>2803661.28</v>
      </c>
      <c r="Z144" s="158" t="s">
        <v>149</v>
      </c>
      <c r="AA144" s="158" t="s">
        <v>149</v>
      </c>
      <c r="AB144" s="153" t="s">
        <v>233</v>
      </c>
      <c r="AC144" s="158" t="s">
        <v>6068</v>
      </c>
      <c r="AD144" s="153" t="s">
        <v>1833</v>
      </c>
      <c r="AE144" s="153"/>
      <c r="AF144" s="153"/>
      <c r="AG144" s="153" t="s">
        <v>6084</v>
      </c>
      <c r="AH144" s="153" t="s">
        <v>1834</v>
      </c>
      <c r="AI144" s="153" t="s">
        <v>6070</v>
      </c>
      <c r="AJ144" s="153" t="s">
        <v>943</v>
      </c>
      <c r="AK144" s="153"/>
    </row>
    <row r="145">
      <c r="A145" s="152">
        <v>2025.0</v>
      </c>
      <c r="B145" s="151">
        <v>111.0</v>
      </c>
      <c r="C145" s="153" t="s">
        <v>8189</v>
      </c>
      <c r="D145" s="153"/>
      <c r="E145" s="153"/>
      <c r="F145" s="153"/>
      <c r="G145" s="153"/>
      <c r="H145" s="153" t="s">
        <v>257</v>
      </c>
      <c r="I145" s="153" t="s">
        <v>258</v>
      </c>
      <c r="J145" s="153" t="s">
        <v>2424</v>
      </c>
      <c r="K145" s="153" t="s">
        <v>2425</v>
      </c>
      <c r="L145" s="158" t="s">
        <v>149</v>
      </c>
      <c r="M145" s="158" t="s">
        <v>2426</v>
      </c>
      <c r="N145" s="175" t="s">
        <v>6596</v>
      </c>
      <c r="O145" s="164" t="s">
        <v>149</v>
      </c>
      <c r="P145" s="164" t="s">
        <v>149</v>
      </c>
      <c r="Q145" s="153" t="s">
        <v>151</v>
      </c>
      <c r="R145" s="158" t="s">
        <v>2427</v>
      </c>
      <c r="S145" s="158" t="s">
        <v>2427</v>
      </c>
      <c r="T145" s="158" t="s">
        <v>2428</v>
      </c>
      <c r="U145" s="153" t="s">
        <v>2429</v>
      </c>
      <c r="V145" s="153" t="s">
        <v>160</v>
      </c>
      <c r="W145" s="153" t="s">
        <v>184</v>
      </c>
      <c r="X145" s="153" t="s">
        <v>159</v>
      </c>
      <c r="Y145" s="158" t="s">
        <v>149</v>
      </c>
      <c r="Z145" s="158" t="s">
        <v>6564</v>
      </c>
      <c r="AA145" s="153" t="s">
        <v>2431</v>
      </c>
      <c r="AB145" s="153" t="s">
        <v>2429</v>
      </c>
      <c r="AC145" s="158" t="s">
        <v>184</v>
      </c>
      <c r="AD145" s="153"/>
      <c r="AE145" s="153"/>
      <c r="AF145" s="153"/>
      <c r="AG145" s="158" t="s">
        <v>6027</v>
      </c>
      <c r="AH145" s="153" t="s">
        <v>2432</v>
      </c>
      <c r="AI145" s="165" t="s">
        <v>2433</v>
      </c>
      <c r="AJ145" s="153"/>
      <c r="AK145" s="153"/>
    </row>
    <row r="146">
      <c r="A146" s="152">
        <v>2025.0</v>
      </c>
      <c r="B146" s="151">
        <v>112.0</v>
      </c>
      <c r="C146" s="153" t="s">
        <v>8189</v>
      </c>
      <c r="D146" s="153"/>
      <c r="E146" s="153"/>
      <c r="F146" s="153"/>
      <c r="G146" s="153"/>
      <c r="H146" s="153" t="s">
        <v>257</v>
      </c>
      <c r="I146" s="153" t="s">
        <v>258</v>
      </c>
      <c r="J146" s="153" t="s">
        <v>2424</v>
      </c>
      <c r="K146" s="173" t="s">
        <v>2425</v>
      </c>
      <c r="L146" s="158" t="s">
        <v>149</v>
      </c>
      <c r="M146" s="158" t="s">
        <v>2426</v>
      </c>
      <c r="N146" s="175" t="s">
        <v>6268</v>
      </c>
      <c r="O146" s="160" t="s">
        <v>149</v>
      </c>
      <c r="P146" s="160" t="s">
        <v>149</v>
      </c>
      <c r="Q146" s="153" t="s">
        <v>151</v>
      </c>
      <c r="R146" s="158" t="s">
        <v>2427</v>
      </c>
      <c r="S146" s="158" t="s">
        <v>2427</v>
      </c>
      <c r="T146" s="158" t="s">
        <v>2428</v>
      </c>
      <c r="U146" s="153" t="s">
        <v>2429</v>
      </c>
      <c r="V146" s="158" t="s">
        <v>160</v>
      </c>
      <c r="W146" s="158" t="s">
        <v>184</v>
      </c>
      <c r="X146" s="158" t="s">
        <v>159</v>
      </c>
      <c r="Y146" s="158" t="s">
        <v>149</v>
      </c>
      <c r="Z146" s="158" t="s">
        <v>6567</v>
      </c>
      <c r="AA146" s="153" t="s">
        <v>2435</v>
      </c>
      <c r="AB146" s="153" t="s">
        <v>2429</v>
      </c>
      <c r="AC146" s="158" t="s">
        <v>184</v>
      </c>
      <c r="AD146" s="153"/>
      <c r="AE146" s="153"/>
      <c r="AF146" s="153"/>
      <c r="AG146" s="158" t="s">
        <v>6027</v>
      </c>
      <c r="AH146" s="153" t="s">
        <v>2432</v>
      </c>
      <c r="AI146" s="165" t="s">
        <v>2433</v>
      </c>
      <c r="AJ146" s="153"/>
      <c r="AK146" s="153"/>
    </row>
    <row r="147">
      <c r="A147" s="152">
        <v>2024.0</v>
      </c>
      <c r="B147" s="151">
        <v>50.0</v>
      </c>
      <c r="C147" s="153"/>
      <c r="D147" s="153"/>
      <c r="E147" s="153"/>
      <c r="F147" s="153"/>
      <c r="G147" s="153"/>
      <c r="H147" s="153" t="s">
        <v>143</v>
      </c>
      <c r="I147" s="153" t="s">
        <v>144</v>
      </c>
      <c r="J147" s="153" t="s">
        <v>230</v>
      </c>
      <c r="K147" s="153" t="s">
        <v>231</v>
      </c>
      <c r="L147" s="153" t="s">
        <v>1846</v>
      </c>
      <c r="M147" s="153"/>
      <c r="N147" s="230">
        <v>2014.0</v>
      </c>
      <c r="O147" s="230">
        <v>2014.0</v>
      </c>
      <c r="P147" s="230">
        <v>2017.0</v>
      </c>
      <c r="Q147" s="153" t="s">
        <v>6221</v>
      </c>
      <c r="R147" s="158" t="s">
        <v>1847</v>
      </c>
      <c r="S147" s="158" t="s">
        <v>1847</v>
      </c>
      <c r="T147" s="153" t="s">
        <v>1848</v>
      </c>
      <c r="U147" s="153" t="s">
        <v>321</v>
      </c>
      <c r="V147" s="158" t="s">
        <v>160</v>
      </c>
      <c r="W147" s="158" t="s">
        <v>6035</v>
      </c>
      <c r="X147" s="158" t="s">
        <v>204</v>
      </c>
      <c r="Y147" s="244">
        <v>2682661.5</v>
      </c>
      <c r="Z147" s="158" t="s">
        <v>149</v>
      </c>
      <c r="AA147" s="158" t="s">
        <v>149</v>
      </c>
      <c r="AB147" s="153" t="s">
        <v>233</v>
      </c>
      <c r="AC147" s="158" t="s">
        <v>6068</v>
      </c>
      <c r="AD147" s="153" t="s">
        <v>1850</v>
      </c>
      <c r="AE147" s="153" t="s">
        <v>885</v>
      </c>
      <c r="AF147" s="153"/>
      <c r="AG147" s="153" t="s">
        <v>6084</v>
      </c>
      <c r="AH147" s="153" t="s">
        <v>1851</v>
      </c>
      <c r="AI147" s="153" t="s">
        <v>6070</v>
      </c>
      <c r="AJ147" s="153" t="s">
        <v>943</v>
      </c>
      <c r="AK147" s="153"/>
    </row>
    <row r="148">
      <c r="A148" s="152">
        <v>2025.0</v>
      </c>
      <c r="B148" s="151">
        <v>113.0</v>
      </c>
      <c r="C148" s="153" t="s">
        <v>8189</v>
      </c>
      <c r="D148" s="153"/>
      <c r="E148" s="153"/>
      <c r="F148" s="153"/>
      <c r="G148" s="153"/>
      <c r="H148" s="153" t="s">
        <v>257</v>
      </c>
      <c r="I148" s="153" t="s">
        <v>258</v>
      </c>
      <c r="J148" s="153" t="s">
        <v>2609</v>
      </c>
      <c r="K148" s="173" t="s">
        <v>2610</v>
      </c>
      <c r="L148" s="158" t="s">
        <v>149</v>
      </c>
      <c r="M148" s="153" t="s">
        <v>6570</v>
      </c>
      <c r="N148" s="160" t="s">
        <v>149</v>
      </c>
      <c r="O148" s="160" t="s">
        <v>149</v>
      </c>
      <c r="P148" s="160" t="s">
        <v>149</v>
      </c>
      <c r="Q148" s="153" t="s">
        <v>151</v>
      </c>
      <c r="R148" s="153" t="s">
        <v>2612</v>
      </c>
      <c r="S148" s="158" t="s">
        <v>2612</v>
      </c>
      <c r="T148" s="153" t="s">
        <v>8217</v>
      </c>
      <c r="U148" s="153" t="s">
        <v>2614</v>
      </c>
      <c r="V148" s="158" t="s">
        <v>160</v>
      </c>
      <c r="W148" s="158" t="s">
        <v>184</v>
      </c>
      <c r="X148" s="158" t="s">
        <v>159</v>
      </c>
      <c r="Y148" s="158" t="s">
        <v>149</v>
      </c>
      <c r="Z148" s="158" t="s">
        <v>149</v>
      </c>
      <c r="AA148" s="158" t="s">
        <v>149</v>
      </c>
      <c r="AB148" s="153" t="s">
        <v>2614</v>
      </c>
      <c r="AC148" s="158" t="s">
        <v>184</v>
      </c>
      <c r="AD148" s="153"/>
      <c r="AE148" s="153"/>
      <c r="AF148" s="153"/>
      <c r="AG148" s="158" t="s">
        <v>6027</v>
      </c>
      <c r="AH148" s="153" t="s">
        <v>2615</v>
      </c>
      <c r="AI148" s="165" t="s">
        <v>2616</v>
      </c>
      <c r="AJ148" s="153"/>
      <c r="AK148" s="153"/>
    </row>
    <row r="149">
      <c r="A149" s="152">
        <v>2025.0</v>
      </c>
      <c r="B149" s="151">
        <v>114.0</v>
      </c>
      <c r="C149" s="153" t="s">
        <v>8189</v>
      </c>
      <c r="D149" s="153"/>
      <c r="E149" s="153"/>
      <c r="F149" s="153"/>
      <c r="G149" s="153"/>
      <c r="H149" s="153" t="s">
        <v>257</v>
      </c>
      <c r="I149" s="153" t="s">
        <v>258</v>
      </c>
      <c r="J149" s="153" t="s">
        <v>6577</v>
      </c>
      <c r="K149" s="173" t="s">
        <v>2310</v>
      </c>
      <c r="L149" s="158" t="s">
        <v>149</v>
      </c>
      <c r="M149" s="153"/>
      <c r="N149" s="175" t="s">
        <v>6198</v>
      </c>
      <c r="O149" s="160" t="s">
        <v>6198</v>
      </c>
      <c r="P149" s="160" t="s">
        <v>6198</v>
      </c>
      <c r="Q149" s="153" t="s">
        <v>151</v>
      </c>
      <c r="R149" s="158" t="s">
        <v>149</v>
      </c>
      <c r="S149" s="158" t="s">
        <v>149</v>
      </c>
      <c r="T149" s="153" t="s">
        <v>6506</v>
      </c>
      <c r="U149" s="158" t="s">
        <v>149</v>
      </c>
      <c r="V149" s="158" t="s">
        <v>149</v>
      </c>
      <c r="W149" s="158" t="s">
        <v>149</v>
      </c>
      <c r="X149" s="158" t="s">
        <v>149</v>
      </c>
      <c r="Y149" s="158" t="s">
        <v>149</v>
      </c>
      <c r="Z149" s="158" t="s">
        <v>149</v>
      </c>
      <c r="AA149" s="158" t="s">
        <v>149</v>
      </c>
      <c r="AB149" s="153" t="s">
        <v>2304</v>
      </c>
      <c r="AC149" s="158" t="s">
        <v>6035</v>
      </c>
      <c r="AD149" s="153" t="s">
        <v>6578</v>
      </c>
      <c r="AE149" s="153"/>
      <c r="AF149" s="153"/>
      <c r="AG149" s="158" t="s">
        <v>395</v>
      </c>
      <c r="AH149" s="153" t="s">
        <v>6060</v>
      </c>
      <c r="AI149" s="177" t="s">
        <v>397</v>
      </c>
      <c r="AJ149" s="153"/>
      <c r="AK149" s="153"/>
    </row>
    <row r="150">
      <c r="A150" s="152">
        <v>2024.0</v>
      </c>
      <c r="B150" s="151">
        <v>51.0</v>
      </c>
      <c r="C150" s="153"/>
      <c r="D150" s="153"/>
      <c r="E150" s="153"/>
      <c r="F150" s="153"/>
      <c r="G150" s="153"/>
      <c r="H150" s="153" t="s">
        <v>143</v>
      </c>
      <c r="I150" s="153" t="s">
        <v>144</v>
      </c>
      <c r="J150" s="153" t="s">
        <v>230</v>
      </c>
      <c r="K150" s="153" t="s">
        <v>231</v>
      </c>
      <c r="L150" s="153" t="s">
        <v>6235</v>
      </c>
      <c r="M150" s="158" t="s">
        <v>232</v>
      </c>
      <c r="N150" s="230">
        <v>2018.0</v>
      </c>
      <c r="O150" s="230"/>
      <c r="P150" s="230"/>
      <c r="Q150" s="153" t="s">
        <v>6221</v>
      </c>
      <c r="R150" s="158" t="s">
        <v>200</v>
      </c>
      <c r="S150" s="158" t="s">
        <v>224</v>
      </c>
      <c r="T150" s="158" t="s">
        <v>225</v>
      </c>
      <c r="U150" s="153" t="s">
        <v>203</v>
      </c>
      <c r="V150" s="158" t="s">
        <v>6154</v>
      </c>
      <c r="W150" s="158" t="s">
        <v>206</v>
      </c>
      <c r="X150" s="158" t="s">
        <v>159</v>
      </c>
      <c r="Y150" s="158" t="s">
        <v>149</v>
      </c>
      <c r="Z150" s="158" t="s">
        <v>149</v>
      </c>
      <c r="AA150" s="158" t="s">
        <v>149</v>
      </c>
      <c r="AB150" s="153" t="s">
        <v>233</v>
      </c>
      <c r="AC150" s="158" t="s">
        <v>6068</v>
      </c>
      <c r="AD150" s="153"/>
      <c r="AE150" s="153"/>
      <c r="AF150" s="153" t="s">
        <v>208</v>
      </c>
      <c r="AG150" s="153" t="s">
        <v>214</v>
      </c>
      <c r="AH150" s="153" t="s">
        <v>214</v>
      </c>
      <c r="AI150" s="153"/>
      <c r="AJ150" s="153"/>
      <c r="AK150" s="153"/>
    </row>
    <row r="151">
      <c r="A151" s="152">
        <v>2025.0</v>
      </c>
      <c r="B151" s="151">
        <v>115.0</v>
      </c>
      <c r="C151" s="153" t="s">
        <v>8189</v>
      </c>
      <c r="D151" s="153"/>
      <c r="E151" s="153"/>
      <c r="F151" s="153"/>
      <c r="G151" s="153"/>
      <c r="H151" s="153" t="s">
        <v>257</v>
      </c>
      <c r="I151" s="153" t="s">
        <v>258</v>
      </c>
      <c r="J151" s="153" t="s">
        <v>1752</v>
      </c>
      <c r="K151" s="173" t="s">
        <v>1753</v>
      </c>
      <c r="L151" s="153" t="s">
        <v>1754</v>
      </c>
      <c r="M151" s="158" t="s">
        <v>1755</v>
      </c>
      <c r="N151" s="175" t="s">
        <v>6273</v>
      </c>
      <c r="O151" s="160" t="s">
        <v>149</v>
      </c>
      <c r="P151" s="160" t="s">
        <v>149</v>
      </c>
      <c r="Q151" s="153" t="s">
        <v>151</v>
      </c>
      <c r="R151" s="153" t="s">
        <v>789</v>
      </c>
      <c r="S151" s="158" t="s">
        <v>789</v>
      </c>
      <c r="T151" s="158" t="s">
        <v>6581</v>
      </c>
      <c r="U151" s="153" t="s">
        <v>1757</v>
      </c>
      <c r="V151" s="158" t="s">
        <v>160</v>
      </c>
      <c r="W151" s="158" t="s">
        <v>6035</v>
      </c>
      <c r="X151" s="158" t="s">
        <v>159</v>
      </c>
      <c r="Y151" s="158" t="s">
        <v>149</v>
      </c>
      <c r="Z151" s="158" t="s">
        <v>149</v>
      </c>
      <c r="AA151" s="158" t="s">
        <v>782</v>
      </c>
      <c r="AB151" s="153" t="s">
        <v>1757</v>
      </c>
      <c r="AC151" s="153" t="s">
        <v>6035</v>
      </c>
      <c r="AD151" s="153" t="s">
        <v>6582</v>
      </c>
      <c r="AE151" s="153" t="s">
        <v>1759</v>
      </c>
      <c r="AF151" s="153"/>
      <c r="AG151" s="158" t="s">
        <v>166</v>
      </c>
      <c r="AH151" s="153" t="s">
        <v>1760</v>
      </c>
      <c r="AI151" s="153" t="s">
        <v>6583</v>
      </c>
      <c r="AJ151" s="153"/>
      <c r="AK151" s="153"/>
    </row>
    <row r="152">
      <c r="A152" s="152">
        <v>2025.0</v>
      </c>
      <c r="B152" s="151">
        <v>116.0</v>
      </c>
      <c r="C152" s="153" t="s">
        <v>8189</v>
      </c>
      <c r="D152" s="153"/>
      <c r="E152" s="153"/>
      <c r="F152" s="153"/>
      <c r="G152" s="153"/>
      <c r="H152" s="153" t="s">
        <v>257</v>
      </c>
      <c r="I152" s="153" t="s">
        <v>258</v>
      </c>
      <c r="J152" s="153" t="s">
        <v>1752</v>
      </c>
      <c r="K152" s="173" t="s">
        <v>1753</v>
      </c>
      <c r="L152" s="158" t="s">
        <v>1770</v>
      </c>
      <c r="M152" s="158" t="s">
        <v>1771</v>
      </c>
      <c r="N152" s="160" t="s">
        <v>6145</v>
      </c>
      <c r="O152" s="160" t="s">
        <v>6145</v>
      </c>
      <c r="P152" s="160" t="s">
        <v>149</v>
      </c>
      <c r="Q152" s="153" t="s">
        <v>151</v>
      </c>
      <c r="R152" s="158" t="s">
        <v>654</v>
      </c>
      <c r="S152" s="158" t="s">
        <v>654</v>
      </c>
      <c r="T152" s="158" t="s">
        <v>149</v>
      </c>
      <c r="U152" s="153" t="s">
        <v>872</v>
      </c>
      <c r="V152" s="158" t="s">
        <v>160</v>
      </c>
      <c r="W152" s="158" t="s">
        <v>306</v>
      </c>
      <c r="X152" s="158" t="s">
        <v>159</v>
      </c>
      <c r="Y152" s="158" t="s">
        <v>149</v>
      </c>
      <c r="Z152" s="158" t="s">
        <v>149</v>
      </c>
      <c r="AA152" s="158" t="s">
        <v>149</v>
      </c>
      <c r="AB152" s="153" t="s">
        <v>872</v>
      </c>
      <c r="AC152" s="153" t="s">
        <v>306</v>
      </c>
      <c r="AD152" s="158" t="s">
        <v>760</v>
      </c>
      <c r="AE152" s="158" t="s">
        <v>1772</v>
      </c>
      <c r="AF152" s="153"/>
      <c r="AG152" s="158" t="s">
        <v>6027</v>
      </c>
      <c r="AH152" s="153" t="s">
        <v>1773</v>
      </c>
      <c r="AI152" s="165" t="s">
        <v>1774</v>
      </c>
      <c r="AJ152" s="153"/>
      <c r="AK152" s="153"/>
    </row>
    <row r="153">
      <c r="A153" s="152">
        <v>2024.0</v>
      </c>
      <c r="B153" s="151">
        <v>52.0</v>
      </c>
      <c r="C153" s="153"/>
      <c r="D153" s="153"/>
      <c r="E153" s="153"/>
      <c r="F153" s="153"/>
      <c r="G153" s="153"/>
      <c r="H153" s="153" t="s">
        <v>143</v>
      </c>
      <c r="I153" s="153" t="s">
        <v>144</v>
      </c>
      <c r="J153" s="153" t="s">
        <v>230</v>
      </c>
      <c r="K153" s="173" t="s">
        <v>231</v>
      </c>
      <c r="L153" s="153" t="s">
        <v>8218</v>
      </c>
      <c r="M153" s="158" t="s">
        <v>6252</v>
      </c>
      <c r="N153" s="230">
        <v>2001.0</v>
      </c>
      <c r="O153" s="230">
        <v>2001.0</v>
      </c>
      <c r="P153" s="230">
        <v>2005.0</v>
      </c>
      <c r="Q153" s="153" t="s">
        <v>6062</v>
      </c>
      <c r="R153" s="153" t="s">
        <v>8219</v>
      </c>
      <c r="S153" s="153" t="s">
        <v>8220</v>
      </c>
      <c r="T153" s="153" t="s">
        <v>939</v>
      </c>
      <c r="U153" s="153" t="s">
        <v>940</v>
      </c>
      <c r="V153" s="158" t="s">
        <v>6154</v>
      </c>
      <c r="W153" s="158" t="s">
        <v>206</v>
      </c>
      <c r="X153" s="158" t="s">
        <v>159</v>
      </c>
      <c r="Y153" s="158" t="s">
        <v>149</v>
      </c>
      <c r="Z153" s="158" t="s">
        <v>149</v>
      </c>
      <c r="AA153" s="158" t="s">
        <v>149</v>
      </c>
      <c r="AB153" s="153" t="s">
        <v>233</v>
      </c>
      <c r="AC153" s="158" t="s">
        <v>6068</v>
      </c>
      <c r="AD153" s="153"/>
      <c r="AE153" s="153"/>
      <c r="AF153" s="153"/>
      <c r="AG153" s="158" t="s">
        <v>6214</v>
      </c>
      <c r="AH153" s="153" t="s">
        <v>941</v>
      </c>
      <c r="AI153" s="172" t="s">
        <v>948</v>
      </c>
      <c r="AJ153" s="153" t="s">
        <v>943</v>
      </c>
      <c r="AK153" s="153"/>
    </row>
    <row r="154">
      <c r="A154" s="152">
        <v>2025.0</v>
      </c>
      <c r="B154" s="151">
        <v>117.0</v>
      </c>
      <c r="C154" s="153" t="s">
        <v>8189</v>
      </c>
      <c r="D154" s="153"/>
      <c r="E154" s="153"/>
      <c r="F154" s="153"/>
      <c r="G154" s="153"/>
      <c r="H154" s="153" t="s">
        <v>257</v>
      </c>
      <c r="I154" s="153" t="s">
        <v>258</v>
      </c>
      <c r="J154" s="153" t="s">
        <v>1752</v>
      </c>
      <c r="K154" s="173" t="s">
        <v>1753</v>
      </c>
      <c r="L154" s="153" t="s">
        <v>6587</v>
      </c>
      <c r="M154" s="158" t="s">
        <v>6588</v>
      </c>
      <c r="N154" s="160" t="s">
        <v>6098</v>
      </c>
      <c r="O154" s="160" t="s">
        <v>149</v>
      </c>
      <c r="P154" s="160" t="s">
        <v>149</v>
      </c>
      <c r="Q154" s="158" t="s">
        <v>151</v>
      </c>
      <c r="R154" s="158" t="s">
        <v>1880</v>
      </c>
      <c r="S154" s="158" t="s">
        <v>1880</v>
      </c>
      <c r="T154" s="158" t="s">
        <v>2139</v>
      </c>
      <c r="U154" s="153" t="s">
        <v>341</v>
      </c>
      <c r="V154" s="158" t="s">
        <v>160</v>
      </c>
      <c r="W154" s="158" t="s">
        <v>6035</v>
      </c>
      <c r="X154" s="158" t="s">
        <v>159</v>
      </c>
      <c r="Y154" s="158" t="s">
        <v>6590</v>
      </c>
      <c r="Z154" s="158" t="s">
        <v>149</v>
      </c>
      <c r="AA154" s="158" t="s">
        <v>2141</v>
      </c>
      <c r="AB154" s="153" t="s">
        <v>341</v>
      </c>
      <c r="AC154" s="153" t="s">
        <v>6035</v>
      </c>
      <c r="AD154" s="158" t="s">
        <v>369</v>
      </c>
      <c r="AE154" s="158" t="s">
        <v>6591</v>
      </c>
      <c r="AF154" s="158" t="s">
        <v>6592</v>
      </c>
      <c r="AG154" s="153" t="s">
        <v>6038</v>
      </c>
      <c r="AH154" s="153" t="s">
        <v>2144</v>
      </c>
      <c r="AI154" s="172" t="s">
        <v>2145</v>
      </c>
      <c r="AJ154" s="153"/>
      <c r="AK154" s="153"/>
    </row>
    <row r="155">
      <c r="A155" s="152">
        <v>2023.0</v>
      </c>
      <c r="B155" s="151">
        <v>118.0</v>
      </c>
      <c r="C155" s="129" t="s">
        <v>140</v>
      </c>
      <c r="D155" s="8"/>
      <c r="H155" s="8" t="s">
        <v>257</v>
      </c>
      <c r="I155" s="8" t="s">
        <v>258</v>
      </c>
      <c r="J155" s="8" t="s">
        <v>2424</v>
      </c>
      <c r="K155" s="173" t="s">
        <v>2425</v>
      </c>
      <c r="L155" s="8" t="s">
        <v>6113</v>
      </c>
      <c r="N155" s="142" t="s">
        <v>6596</v>
      </c>
      <c r="O155" s="142"/>
      <c r="P155" s="142"/>
      <c r="Q155" s="8" t="s">
        <v>151</v>
      </c>
      <c r="T155" s="8" t="s">
        <v>6597</v>
      </c>
      <c r="U155" s="8" t="s">
        <v>2429</v>
      </c>
      <c r="AA155" s="8" t="s">
        <v>2431</v>
      </c>
      <c r="AB155" s="8" t="s">
        <v>2429</v>
      </c>
      <c r="AH155" s="8" t="s">
        <v>6027</v>
      </c>
      <c r="AI155" s="8" t="s">
        <v>2433</v>
      </c>
    </row>
    <row r="156">
      <c r="A156" s="152">
        <v>2025.0</v>
      </c>
      <c r="B156" s="151">
        <v>118.0</v>
      </c>
      <c r="C156" s="153" t="s">
        <v>8189</v>
      </c>
      <c r="D156" s="153"/>
      <c r="E156" s="153"/>
      <c r="F156" s="153"/>
      <c r="G156" s="153"/>
      <c r="H156" s="153" t="s">
        <v>257</v>
      </c>
      <c r="I156" s="153" t="s">
        <v>258</v>
      </c>
      <c r="J156" s="153" t="s">
        <v>1752</v>
      </c>
      <c r="K156" s="173" t="s">
        <v>1753</v>
      </c>
      <c r="L156" s="153" t="s">
        <v>2098</v>
      </c>
      <c r="M156" s="153" t="s">
        <v>2099</v>
      </c>
      <c r="N156" s="164" t="s">
        <v>149</v>
      </c>
      <c r="O156" s="160" t="s">
        <v>149</v>
      </c>
      <c r="P156" s="160" t="s">
        <v>149</v>
      </c>
      <c r="Q156" s="153" t="s">
        <v>151</v>
      </c>
      <c r="R156" s="158" t="s">
        <v>149</v>
      </c>
      <c r="S156" s="158" t="s">
        <v>149</v>
      </c>
      <c r="T156" s="158" t="s">
        <v>149</v>
      </c>
      <c r="U156" s="158" t="s">
        <v>149</v>
      </c>
      <c r="V156" s="158" t="s">
        <v>149</v>
      </c>
      <c r="W156" s="158" t="s">
        <v>149</v>
      </c>
      <c r="X156" s="158" t="s">
        <v>149</v>
      </c>
      <c r="Y156" s="158" t="s">
        <v>149</v>
      </c>
      <c r="Z156" s="158" t="s">
        <v>149</v>
      </c>
      <c r="AA156" s="158" t="s">
        <v>149</v>
      </c>
      <c r="AB156" s="153" t="s">
        <v>369</v>
      </c>
      <c r="AC156" s="153" t="s">
        <v>6035</v>
      </c>
      <c r="AD156" s="153"/>
      <c r="AE156" s="153"/>
      <c r="AF156" s="153"/>
      <c r="AG156" s="153" t="s">
        <v>6084</v>
      </c>
      <c r="AH156" s="153" t="s">
        <v>823</v>
      </c>
      <c r="AI156" s="172" t="s">
        <v>824</v>
      </c>
      <c r="AJ156" s="153"/>
      <c r="AK156" s="153"/>
    </row>
    <row r="157">
      <c r="A157" s="152">
        <v>2023.0</v>
      </c>
      <c r="B157" s="151">
        <v>119.0</v>
      </c>
      <c r="C157" s="129" t="s">
        <v>140</v>
      </c>
      <c r="D157" s="8"/>
      <c r="H157" s="8" t="s">
        <v>257</v>
      </c>
      <c r="I157" s="8" t="s">
        <v>258</v>
      </c>
      <c r="J157" s="8" t="s">
        <v>2424</v>
      </c>
      <c r="K157" s="173" t="s">
        <v>2425</v>
      </c>
      <c r="L157" s="8" t="s">
        <v>6113</v>
      </c>
      <c r="N157" s="142" t="s">
        <v>6268</v>
      </c>
      <c r="O157" s="142"/>
      <c r="P157" s="142"/>
      <c r="Q157" s="8" t="s">
        <v>151</v>
      </c>
      <c r="T157" s="8" t="s">
        <v>6597</v>
      </c>
      <c r="U157" s="8" t="s">
        <v>2429</v>
      </c>
      <c r="AA157" s="8" t="s">
        <v>2435</v>
      </c>
      <c r="AB157" s="8" t="s">
        <v>2429</v>
      </c>
      <c r="AH157" s="8" t="s">
        <v>6027</v>
      </c>
      <c r="AI157" s="172" t="s">
        <v>2433</v>
      </c>
    </row>
    <row r="158">
      <c r="A158" s="152">
        <v>2024.0</v>
      </c>
      <c r="B158" s="151">
        <v>54.0</v>
      </c>
      <c r="C158" s="153"/>
      <c r="D158" s="153"/>
      <c r="E158" s="153"/>
      <c r="F158" s="153"/>
      <c r="G158" s="153"/>
      <c r="H158" s="153" t="s">
        <v>143</v>
      </c>
      <c r="I158" s="153" t="s">
        <v>144</v>
      </c>
      <c r="J158" s="153" t="s">
        <v>230</v>
      </c>
      <c r="K158" s="173" t="s">
        <v>231</v>
      </c>
      <c r="L158" s="158" t="s">
        <v>149</v>
      </c>
      <c r="M158" s="158" t="s">
        <v>6260</v>
      </c>
      <c r="N158" s="192">
        <v>2011.0</v>
      </c>
      <c r="O158" s="192">
        <v>2010.0</v>
      </c>
      <c r="P158" s="192" t="s">
        <v>149</v>
      </c>
      <c r="Q158" s="153" t="s">
        <v>6259</v>
      </c>
      <c r="R158" s="158" t="s">
        <v>6262</v>
      </c>
      <c r="S158" s="158" t="s">
        <v>2907</v>
      </c>
      <c r="T158" s="153" t="s">
        <v>8221</v>
      </c>
      <c r="U158" s="153" t="s">
        <v>2909</v>
      </c>
      <c r="V158" s="158" t="s">
        <v>160</v>
      </c>
      <c r="W158" s="158" t="s">
        <v>209</v>
      </c>
      <c r="X158" s="158" t="s">
        <v>204</v>
      </c>
      <c r="Y158" s="158" t="s">
        <v>149</v>
      </c>
      <c r="Z158" s="158" t="s">
        <v>149</v>
      </c>
      <c r="AA158" s="158" t="s">
        <v>149</v>
      </c>
      <c r="AB158" s="153" t="s">
        <v>233</v>
      </c>
      <c r="AC158" s="158" t="s">
        <v>6068</v>
      </c>
      <c r="AD158" s="153" t="s">
        <v>321</v>
      </c>
      <c r="AE158" s="153"/>
      <c r="AF158" s="153"/>
      <c r="AG158" s="158" t="s">
        <v>6214</v>
      </c>
      <c r="AH158" s="153" t="s">
        <v>2910</v>
      </c>
      <c r="AI158" s="165" t="s">
        <v>2911</v>
      </c>
      <c r="AJ158" s="153" t="s">
        <v>1061</v>
      </c>
      <c r="AK158" s="153"/>
    </row>
    <row r="159">
      <c r="A159" s="152">
        <v>2025.0</v>
      </c>
      <c r="B159" s="151">
        <v>119.0</v>
      </c>
      <c r="C159" s="153" t="s">
        <v>8189</v>
      </c>
      <c r="D159" s="153"/>
      <c r="E159" s="153"/>
      <c r="F159" s="153"/>
      <c r="G159" s="153"/>
      <c r="H159" s="153" t="s">
        <v>257</v>
      </c>
      <c r="I159" s="153" t="s">
        <v>258</v>
      </c>
      <c r="J159" s="153" t="s">
        <v>1890</v>
      </c>
      <c r="K159" s="173" t="s">
        <v>1891</v>
      </c>
      <c r="L159" s="153" t="s">
        <v>1892</v>
      </c>
      <c r="M159" s="153" t="s">
        <v>1893</v>
      </c>
      <c r="N159" s="175" t="s">
        <v>6152</v>
      </c>
      <c r="O159" s="160" t="s">
        <v>149</v>
      </c>
      <c r="P159" s="160" t="s">
        <v>149</v>
      </c>
      <c r="Q159" s="153" t="s">
        <v>151</v>
      </c>
      <c r="R159" s="158" t="s">
        <v>1895</v>
      </c>
      <c r="S159" s="158" t="s">
        <v>1895</v>
      </c>
      <c r="T159" s="158" t="s">
        <v>149</v>
      </c>
      <c r="U159" s="158" t="s">
        <v>341</v>
      </c>
      <c r="V159" s="158" t="s">
        <v>160</v>
      </c>
      <c r="W159" s="158" t="s">
        <v>6035</v>
      </c>
      <c r="X159" s="158" t="s">
        <v>159</v>
      </c>
      <c r="Y159" s="158" t="s">
        <v>149</v>
      </c>
      <c r="Z159" s="158" t="s">
        <v>149</v>
      </c>
      <c r="AA159" s="158" t="s">
        <v>149</v>
      </c>
      <c r="AB159" s="158" t="s">
        <v>1896</v>
      </c>
      <c r="AC159" s="158" t="s">
        <v>306</v>
      </c>
      <c r="AD159" s="153" t="s">
        <v>341</v>
      </c>
      <c r="AE159" s="158"/>
      <c r="AF159" s="158" t="s">
        <v>1897</v>
      </c>
      <c r="AG159" s="158" t="s">
        <v>6027</v>
      </c>
      <c r="AH159" s="153" t="s">
        <v>1898</v>
      </c>
      <c r="AI159" s="172" t="s">
        <v>1899</v>
      </c>
      <c r="AJ159" s="153"/>
      <c r="AK159" s="153"/>
    </row>
    <row r="160">
      <c r="A160" s="152">
        <v>2023.0</v>
      </c>
      <c r="B160" s="151">
        <v>120.0</v>
      </c>
      <c r="C160" s="129" t="s">
        <v>140</v>
      </c>
      <c r="D160" s="8"/>
      <c r="H160" s="8" t="s">
        <v>257</v>
      </c>
      <c r="I160" s="8" t="s">
        <v>258</v>
      </c>
      <c r="J160" s="8" t="s">
        <v>2609</v>
      </c>
      <c r="K160" s="153" t="s">
        <v>2610</v>
      </c>
      <c r="L160" s="8" t="s">
        <v>6113</v>
      </c>
      <c r="M160" s="8" t="s">
        <v>8012</v>
      </c>
      <c r="N160" s="142"/>
      <c r="O160" s="142"/>
      <c r="P160" s="142"/>
      <c r="Q160" s="8" t="s">
        <v>151</v>
      </c>
      <c r="R160" s="8" t="s">
        <v>2612</v>
      </c>
      <c r="T160" s="8" t="s">
        <v>6602</v>
      </c>
      <c r="U160" s="8" t="s">
        <v>2614</v>
      </c>
      <c r="AB160" s="8" t="s">
        <v>2614</v>
      </c>
      <c r="AH160" s="8" t="s">
        <v>6027</v>
      </c>
      <c r="AI160" s="8" t="s">
        <v>2616</v>
      </c>
    </row>
    <row r="161">
      <c r="A161" s="152">
        <v>2024.0</v>
      </c>
      <c r="B161" s="151">
        <v>55.0</v>
      </c>
      <c r="C161" s="153"/>
      <c r="D161" s="153"/>
      <c r="E161" s="153"/>
      <c r="F161" s="153"/>
      <c r="G161" s="153"/>
      <c r="H161" s="153" t="s">
        <v>143</v>
      </c>
      <c r="I161" s="153" t="s">
        <v>144</v>
      </c>
      <c r="J161" s="153" t="s">
        <v>230</v>
      </c>
      <c r="K161" s="153" t="s">
        <v>231</v>
      </c>
      <c r="L161" s="153" t="s">
        <v>197</v>
      </c>
      <c r="M161" s="158" t="s">
        <v>6267</v>
      </c>
      <c r="N161" s="230">
        <v>2013.0</v>
      </c>
      <c r="O161" s="230">
        <v>2013.0</v>
      </c>
      <c r="P161" s="230">
        <v>2015.0</v>
      </c>
      <c r="Q161" s="153" t="s">
        <v>6221</v>
      </c>
      <c r="R161" s="158" t="s">
        <v>200</v>
      </c>
      <c r="S161" s="158" t="s">
        <v>224</v>
      </c>
      <c r="T161" s="153" t="s">
        <v>6269</v>
      </c>
      <c r="U161" s="153" t="s">
        <v>203</v>
      </c>
      <c r="V161" s="158" t="s">
        <v>6154</v>
      </c>
      <c r="W161" s="158" t="s">
        <v>206</v>
      </c>
      <c r="X161" s="158" t="s">
        <v>159</v>
      </c>
      <c r="Y161" s="158" t="s">
        <v>149</v>
      </c>
      <c r="Z161" s="158" t="s">
        <v>149</v>
      </c>
      <c r="AA161" s="158" t="s">
        <v>149</v>
      </c>
      <c r="AB161" s="153" t="s">
        <v>208</v>
      </c>
      <c r="AC161" s="158" t="s">
        <v>6068</v>
      </c>
      <c r="AD161" s="153" t="s">
        <v>8222</v>
      </c>
      <c r="AE161" s="153"/>
      <c r="AF161" s="153"/>
      <c r="AG161" s="158" t="s">
        <v>6214</v>
      </c>
      <c r="AH161" s="153" t="s">
        <v>243</v>
      </c>
      <c r="AI161" s="165" t="s">
        <v>244</v>
      </c>
      <c r="AJ161" s="153" t="s">
        <v>245</v>
      </c>
      <c r="AK161" s="153"/>
    </row>
    <row r="162">
      <c r="A162" s="152">
        <v>2025.0</v>
      </c>
      <c r="B162" s="151">
        <v>120.0</v>
      </c>
      <c r="C162" s="153" t="s">
        <v>8189</v>
      </c>
      <c r="D162" s="153"/>
      <c r="E162" s="153"/>
      <c r="F162" s="153"/>
      <c r="G162" s="153"/>
      <c r="H162" s="153" t="s">
        <v>257</v>
      </c>
      <c r="I162" s="153" t="s">
        <v>258</v>
      </c>
      <c r="J162" s="153" t="s">
        <v>1958</v>
      </c>
      <c r="K162" s="173" t="s">
        <v>1959</v>
      </c>
      <c r="L162" s="158" t="s">
        <v>149</v>
      </c>
      <c r="M162" s="158" t="s">
        <v>6604</v>
      </c>
      <c r="N162" s="175" t="s">
        <v>6063</v>
      </c>
      <c r="O162" s="160" t="s">
        <v>149</v>
      </c>
      <c r="P162" s="160" t="s">
        <v>149</v>
      </c>
      <c r="Q162" s="153" t="s">
        <v>151</v>
      </c>
      <c r="R162" s="158" t="s">
        <v>152</v>
      </c>
      <c r="S162" s="158" t="s">
        <v>152</v>
      </c>
      <c r="T162" s="158" t="s">
        <v>2439</v>
      </c>
      <c r="U162" s="153" t="s">
        <v>369</v>
      </c>
      <c r="V162" s="158" t="s">
        <v>160</v>
      </c>
      <c r="W162" s="158" t="s">
        <v>6035</v>
      </c>
      <c r="X162" s="158" t="s">
        <v>159</v>
      </c>
      <c r="Y162" s="158" t="s">
        <v>149</v>
      </c>
      <c r="Z162" s="158" t="s">
        <v>149</v>
      </c>
      <c r="AA162" s="158" t="s">
        <v>149</v>
      </c>
      <c r="AB162" s="153" t="s">
        <v>369</v>
      </c>
      <c r="AC162" s="153" t="s">
        <v>6035</v>
      </c>
      <c r="AD162" s="153" t="s">
        <v>390</v>
      </c>
      <c r="AE162" s="153"/>
      <c r="AF162" s="153"/>
      <c r="AG162" s="158" t="s">
        <v>166</v>
      </c>
      <c r="AH162" s="153" t="s">
        <v>2445</v>
      </c>
      <c r="AI162" s="165" t="s">
        <v>2442</v>
      </c>
      <c r="AJ162" s="153"/>
      <c r="AK162" s="153"/>
    </row>
    <row r="163">
      <c r="A163" s="152">
        <v>2023.0</v>
      </c>
      <c r="B163" s="151">
        <v>121.0</v>
      </c>
      <c r="C163" s="129" t="s">
        <v>140</v>
      </c>
      <c r="D163" s="8"/>
      <c r="H163" s="8" t="s">
        <v>257</v>
      </c>
      <c r="I163" s="8" t="s">
        <v>258</v>
      </c>
      <c r="J163" s="8" t="s">
        <v>6577</v>
      </c>
      <c r="K163" s="173" t="s">
        <v>2310</v>
      </c>
      <c r="L163" s="8" t="s">
        <v>6113</v>
      </c>
      <c r="N163" s="142" t="s">
        <v>6198</v>
      </c>
      <c r="O163" s="142"/>
      <c r="P163" s="142"/>
      <c r="Q163" s="8" t="s">
        <v>151</v>
      </c>
      <c r="T163" s="8" t="s">
        <v>6506</v>
      </c>
      <c r="AB163" s="8" t="s">
        <v>2304</v>
      </c>
      <c r="AD163" s="8" t="s">
        <v>6507</v>
      </c>
    </row>
    <row r="164">
      <c r="A164" s="152">
        <v>2024.0</v>
      </c>
      <c r="B164" s="151">
        <v>56.0</v>
      </c>
      <c r="C164" s="153"/>
      <c r="D164" s="153"/>
      <c r="E164" s="153"/>
      <c r="F164" s="153"/>
      <c r="G164" s="153"/>
      <c r="H164" s="153" t="s">
        <v>143</v>
      </c>
      <c r="I164" s="153" t="s">
        <v>144</v>
      </c>
      <c r="J164" s="153" t="s">
        <v>230</v>
      </c>
      <c r="K164" s="173" t="s">
        <v>231</v>
      </c>
      <c r="L164" s="153" t="s">
        <v>6305</v>
      </c>
      <c r="M164" s="153" t="s">
        <v>247</v>
      </c>
      <c r="N164" s="230">
        <v>2016.0</v>
      </c>
      <c r="O164" s="230">
        <v>2016.0</v>
      </c>
      <c r="P164" s="230">
        <v>2019.0</v>
      </c>
      <c r="Q164" s="153" t="s">
        <v>6221</v>
      </c>
      <c r="R164" s="158" t="s">
        <v>200</v>
      </c>
      <c r="S164" s="158" t="s">
        <v>224</v>
      </c>
      <c r="T164" s="153" t="s">
        <v>248</v>
      </c>
      <c r="U164" s="153" t="s">
        <v>203</v>
      </c>
      <c r="V164" s="158" t="s">
        <v>6154</v>
      </c>
      <c r="W164" s="158" t="s">
        <v>206</v>
      </c>
      <c r="X164" s="158" t="s">
        <v>159</v>
      </c>
      <c r="Y164" s="158" t="s">
        <v>149</v>
      </c>
      <c r="Z164" s="158" t="s">
        <v>149</v>
      </c>
      <c r="AA164" s="158" t="s">
        <v>149</v>
      </c>
      <c r="AB164" s="153" t="s">
        <v>208</v>
      </c>
      <c r="AC164" s="158" t="s">
        <v>6068</v>
      </c>
      <c r="AD164" s="153" t="s">
        <v>8223</v>
      </c>
      <c r="AE164" s="153"/>
      <c r="AF164" s="153"/>
      <c r="AG164" s="158" t="s">
        <v>6214</v>
      </c>
      <c r="AH164" s="153" t="s">
        <v>250</v>
      </c>
      <c r="AI164" s="165" t="s">
        <v>251</v>
      </c>
      <c r="AJ164" s="153" t="s">
        <v>252</v>
      </c>
      <c r="AK164" s="153"/>
    </row>
    <row r="165">
      <c r="A165" s="152">
        <v>2025.0</v>
      </c>
      <c r="B165" s="151">
        <v>121.0</v>
      </c>
      <c r="C165" s="153" t="s">
        <v>8189</v>
      </c>
      <c r="D165" s="153"/>
      <c r="E165" s="153"/>
      <c r="F165" s="153"/>
      <c r="G165" s="153"/>
      <c r="H165" s="153" t="s">
        <v>257</v>
      </c>
      <c r="I165" s="153" t="s">
        <v>258</v>
      </c>
      <c r="J165" s="153" t="s">
        <v>1958</v>
      </c>
      <c r="K165" s="173" t="s">
        <v>1959</v>
      </c>
      <c r="L165" s="158" t="s">
        <v>149</v>
      </c>
      <c r="M165" s="158" t="s">
        <v>6607</v>
      </c>
      <c r="N165" s="175" t="s">
        <v>6268</v>
      </c>
      <c r="O165" s="160" t="s">
        <v>149</v>
      </c>
      <c r="P165" s="160" t="s">
        <v>149</v>
      </c>
      <c r="Q165" s="153" t="s">
        <v>151</v>
      </c>
      <c r="R165" s="158" t="s">
        <v>152</v>
      </c>
      <c r="S165" s="158" t="s">
        <v>152</v>
      </c>
      <c r="T165" s="158" t="s">
        <v>2439</v>
      </c>
      <c r="U165" s="153" t="s">
        <v>369</v>
      </c>
      <c r="V165" s="158" t="s">
        <v>160</v>
      </c>
      <c r="W165" s="158" t="s">
        <v>6035</v>
      </c>
      <c r="X165" s="158" t="s">
        <v>159</v>
      </c>
      <c r="Y165" s="158" t="s">
        <v>149</v>
      </c>
      <c r="Z165" s="158" t="s">
        <v>149</v>
      </c>
      <c r="AA165" s="158" t="s">
        <v>149</v>
      </c>
      <c r="AB165" s="153" t="s">
        <v>369</v>
      </c>
      <c r="AC165" s="153" t="s">
        <v>6035</v>
      </c>
      <c r="AD165" s="153" t="s">
        <v>390</v>
      </c>
      <c r="AE165" s="153"/>
      <c r="AF165" s="153"/>
      <c r="AG165" s="158" t="s">
        <v>166</v>
      </c>
      <c r="AH165" s="153" t="s">
        <v>2445</v>
      </c>
      <c r="AI165" s="153" t="s">
        <v>2446</v>
      </c>
      <c r="AJ165" s="153"/>
      <c r="AK165" s="153"/>
    </row>
    <row r="166">
      <c r="A166" s="152">
        <v>2023.0</v>
      </c>
      <c r="B166" s="151">
        <v>122.0</v>
      </c>
      <c r="C166" s="129" t="s">
        <v>140</v>
      </c>
      <c r="D166" s="8"/>
      <c r="H166" s="8" t="s">
        <v>257</v>
      </c>
      <c r="I166" s="8" t="s">
        <v>258</v>
      </c>
      <c r="J166" s="8" t="s">
        <v>1752</v>
      </c>
      <c r="K166" s="173" t="s">
        <v>1753</v>
      </c>
      <c r="L166" s="8" t="s">
        <v>6609</v>
      </c>
      <c r="N166" s="142" t="s">
        <v>6273</v>
      </c>
      <c r="O166" s="142"/>
      <c r="P166" s="142"/>
      <c r="Q166" s="8" t="s">
        <v>151</v>
      </c>
      <c r="R166" s="8" t="s">
        <v>790</v>
      </c>
      <c r="T166" s="8" t="s">
        <v>2513</v>
      </c>
      <c r="U166" s="8" t="s">
        <v>1757</v>
      </c>
      <c r="AA166" s="8" t="s">
        <v>8137</v>
      </c>
      <c r="AB166" s="8" t="s">
        <v>1757</v>
      </c>
      <c r="AD166" s="8" t="s">
        <v>6582</v>
      </c>
      <c r="AE166" s="8" t="s">
        <v>1759</v>
      </c>
      <c r="AH166" s="8" t="s">
        <v>166</v>
      </c>
      <c r="AI166" s="8" t="s">
        <v>6583</v>
      </c>
    </row>
    <row r="167">
      <c r="A167" s="152">
        <v>2024.0</v>
      </c>
      <c r="B167" s="151">
        <v>57.0</v>
      </c>
      <c r="C167" s="153"/>
      <c r="D167" s="153"/>
      <c r="E167" s="153"/>
      <c r="F167" s="153"/>
      <c r="G167" s="153"/>
      <c r="H167" s="153" t="s">
        <v>143</v>
      </c>
      <c r="I167" s="153" t="s">
        <v>144</v>
      </c>
      <c r="J167" s="153" t="s">
        <v>230</v>
      </c>
      <c r="K167" s="173" t="s">
        <v>231</v>
      </c>
      <c r="L167" s="158" t="s">
        <v>149</v>
      </c>
      <c r="M167" s="158" t="s">
        <v>6283</v>
      </c>
      <c r="N167" s="230">
        <v>2016.0</v>
      </c>
      <c r="O167" s="192" t="s">
        <v>149</v>
      </c>
      <c r="P167" s="192" t="s">
        <v>149</v>
      </c>
      <c r="Q167" s="153" t="s">
        <v>8224</v>
      </c>
      <c r="R167" s="153" t="s">
        <v>2913</v>
      </c>
      <c r="S167" s="158" t="s">
        <v>2913</v>
      </c>
      <c r="T167" s="153" t="s">
        <v>8225</v>
      </c>
      <c r="U167" s="153" t="s">
        <v>321</v>
      </c>
      <c r="V167" s="158" t="s">
        <v>160</v>
      </c>
      <c r="W167" s="158" t="s">
        <v>6035</v>
      </c>
      <c r="X167" s="158" t="s">
        <v>204</v>
      </c>
      <c r="Y167" s="158" t="s">
        <v>149</v>
      </c>
      <c r="Z167" s="158" t="s">
        <v>149</v>
      </c>
      <c r="AA167" s="153" t="s">
        <v>2915</v>
      </c>
      <c r="AB167" s="153" t="s">
        <v>233</v>
      </c>
      <c r="AC167" s="158" t="s">
        <v>6068</v>
      </c>
      <c r="AD167" s="153"/>
      <c r="AE167" s="153"/>
      <c r="AF167" s="153"/>
      <c r="AG167" s="158" t="s">
        <v>6214</v>
      </c>
      <c r="AH167" s="153" t="s">
        <v>2916</v>
      </c>
      <c r="AI167" s="165" t="s">
        <v>2917</v>
      </c>
      <c r="AJ167" s="153" t="s">
        <v>2918</v>
      </c>
      <c r="AK167" s="153"/>
    </row>
    <row r="168">
      <c r="A168" s="152">
        <v>2025.0</v>
      </c>
      <c r="B168" s="151">
        <v>122.0</v>
      </c>
      <c r="C168" s="153" t="s">
        <v>8189</v>
      </c>
      <c r="D168" s="153"/>
      <c r="E168" s="153"/>
      <c r="F168" s="153"/>
      <c r="G168" s="153"/>
      <c r="H168" s="153" t="s">
        <v>257</v>
      </c>
      <c r="I168" s="153" t="s">
        <v>258</v>
      </c>
      <c r="J168" s="153" t="s">
        <v>1958</v>
      </c>
      <c r="K168" s="173" t="s">
        <v>1959</v>
      </c>
      <c r="L168" s="158" t="s">
        <v>149</v>
      </c>
      <c r="M168" s="158" t="s">
        <v>2448</v>
      </c>
      <c r="N168" s="175" t="s">
        <v>6064</v>
      </c>
      <c r="O168" s="160" t="s">
        <v>149</v>
      </c>
      <c r="P168" s="160" t="s">
        <v>149</v>
      </c>
      <c r="Q168" s="153" t="s">
        <v>151</v>
      </c>
      <c r="R168" s="158" t="s">
        <v>152</v>
      </c>
      <c r="S168" s="158" t="s">
        <v>152</v>
      </c>
      <c r="T168" s="158" t="s">
        <v>2439</v>
      </c>
      <c r="U168" s="153" t="s">
        <v>369</v>
      </c>
      <c r="V168" s="158" t="s">
        <v>160</v>
      </c>
      <c r="W168" s="158" t="s">
        <v>6035</v>
      </c>
      <c r="X168" s="158" t="s">
        <v>159</v>
      </c>
      <c r="Y168" s="158" t="s">
        <v>149</v>
      </c>
      <c r="Z168" s="158" t="s">
        <v>149</v>
      </c>
      <c r="AA168" s="158" t="s">
        <v>149</v>
      </c>
      <c r="AB168" s="153" t="s">
        <v>369</v>
      </c>
      <c r="AC168" s="153" t="s">
        <v>6035</v>
      </c>
      <c r="AD168" s="153" t="s">
        <v>390</v>
      </c>
      <c r="AE168" s="153"/>
      <c r="AF168" s="153"/>
      <c r="AG168" s="158" t="s">
        <v>166</v>
      </c>
      <c r="AH168" s="153" t="s">
        <v>2445</v>
      </c>
      <c r="AI168" s="153" t="s">
        <v>2446</v>
      </c>
      <c r="AJ168" s="153"/>
      <c r="AK168" s="153"/>
    </row>
    <row r="169">
      <c r="A169" s="152">
        <v>2023.0</v>
      </c>
      <c r="B169" s="151">
        <v>123.0</v>
      </c>
      <c r="C169" s="129" t="s">
        <v>140</v>
      </c>
      <c r="D169" s="8"/>
      <c r="H169" s="8" t="s">
        <v>257</v>
      </c>
      <c r="I169" s="8" t="s">
        <v>258</v>
      </c>
      <c r="J169" s="8" t="s">
        <v>1752</v>
      </c>
      <c r="K169" s="173" t="s">
        <v>1753</v>
      </c>
      <c r="L169" s="8" t="s">
        <v>6113</v>
      </c>
      <c r="N169" s="142" t="s">
        <v>6329</v>
      </c>
      <c r="O169" s="142"/>
      <c r="P169" s="142"/>
      <c r="Q169" s="8" t="s">
        <v>151</v>
      </c>
      <c r="U169" s="8" t="s">
        <v>872</v>
      </c>
      <c r="AB169" s="8" t="s">
        <v>872</v>
      </c>
      <c r="AH169" s="8" t="s">
        <v>6027</v>
      </c>
      <c r="AI169" s="8" t="s">
        <v>875</v>
      </c>
    </row>
    <row r="170">
      <c r="A170" s="152">
        <v>2024.0</v>
      </c>
      <c r="B170" s="151">
        <v>58.0</v>
      </c>
      <c r="C170" s="153"/>
      <c r="D170" s="153"/>
      <c r="E170" s="153"/>
      <c r="F170" s="153"/>
      <c r="G170" s="153"/>
      <c r="H170" s="153" t="s">
        <v>143</v>
      </c>
      <c r="I170" s="153" t="s">
        <v>144</v>
      </c>
      <c r="J170" s="153" t="s">
        <v>230</v>
      </c>
      <c r="K170" s="173" t="s">
        <v>231</v>
      </c>
      <c r="L170" s="158" t="s">
        <v>149</v>
      </c>
      <c r="M170" s="153" t="s">
        <v>6291</v>
      </c>
      <c r="N170" s="230">
        <v>2011.0</v>
      </c>
      <c r="O170" s="230">
        <v>2010.0</v>
      </c>
      <c r="P170" s="230">
        <v>2012.0</v>
      </c>
      <c r="Q170" s="153" t="s">
        <v>6259</v>
      </c>
      <c r="R170" s="153" t="s">
        <v>8226</v>
      </c>
      <c r="S170" s="158" t="s">
        <v>2922</v>
      </c>
      <c r="T170" s="153" t="s">
        <v>8227</v>
      </c>
      <c r="U170" s="153" t="s">
        <v>321</v>
      </c>
      <c r="V170" s="158" t="s">
        <v>160</v>
      </c>
      <c r="W170" s="158" t="s">
        <v>6035</v>
      </c>
      <c r="X170" s="158" t="s">
        <v>204</v>
      </c>
      <c r="Y170" s="158" t="s">
        <v>149</v>
      </c>
      <c r="Z170" s="158" t="s">
        <v>149</v>
      </c>
      <c r="AA170" s="153" t="s">
        <v>2924</v>
      </c>
      <c r="AB170" s="153" t="s">
        <v>233</v>
      </c>
      <c r="AC170" s="158" t="s">
        <v>6068</v>
      </c>
      <c r="AD170" s="153"/>
      <c r="AE170" s="153"/>
      <c r="AF170" s="153"/>
      <c r="AG170" s="158" t="s">
        <v>6214</v>
      </c>
      <c r="AH170" s="153" t="s">
        <v>2925</v>
      </c>
      <c r="AI170" s="165" t="s">
        <v>2926</v>
      </c>
      <c r="AJ170" s="153" t="s">
        <v>2927</v>
      </c>
      <c r="AK170" s="239"/>
    </row>
    <row r="171">
      <c r="A171" s="152">
        <v>2025.0</v>
      </c>
      <c r="B171" s="151">
        <v>123.0</v>
      </c>
      <c r="C171" s="153" t="s">
        <v>8189</v>
      </c>
      <c r="D171" s="153"/>
      <c r="E171" s="153"/>
      <c r="F171" s="153"/>
      <c r="G171" s="153"/>
      <c r="H171" s="153" t="s">
        <v>257</v>
      </c>
      <c r="I171" s="153" t="s">
        <v>258</v>
      </c>
      <c r="J171" s="153" t="s">
        <v>1958</v>
      </c>
      <c r="K171" s="173" t="s">
        <v>1959</v>
      </c>
      <c r="L171" s="153" t="s">
        <v>8228</v>
      </c>
      <c r="M171" s="158" t="s">
        <v>1961</v>
      </c>
      <c r="N171" s="175" t="s">
        <v>18</v>
      </c>
      <c r="O171" s="160" t="s">
        <v>6030</v>
      </c>
      <c r="P171" s="160" t="s">
        <v>14</v>
      </c>
      <c r="Q171" s="153" t="s">
        <v>6259</v>
      </c>
      <c r="R171" s="153" t="s">
        <v>8229</v>
      </c>
      <c r="S171" s="158" t="s">
        <v>1962</v>
      </c>
      <c r="T171" s="158" t="s">
        <v>149</v>
      </c>
      <c r="U171" s="153" t="s">
        <v>203</v>
      </c>
      <c r="V171" s="158" t="s">
        <v>6154</v>
      </c>
      <c r="W171" s="158" t="s">
        <v>206</v>
      </c>
      <c r="X171" s="158" t="s">
        <v>159</v>
      </c>
      <c r="Y171" s="158" t="s">
        <v>149</v>
      </c>
      <c r="Z171" s="158" t="s">
        <v>149</v>
      </c>
      <c r="AA171" s="158" t="s">
        <v>149</v>
      </c>
      <c r="AB171" s="153" t="s">
        <v>208</v>
      </c>
      <c r="AC171" s="158" t="s">
        <v>6068</v>
      </c>
      <c r="AD171" s="153" t="s">
        <v>6614</v>
      </c>
      <c r="AE171" s="153"/>
      <c r="AF171" s="153"/>
      <c r="AG171" s="153" t="s">
        <v>214</v>
      </c>
      <c r="AH171" s="153" t="s">
        <v>214</v>
      </c>
      <c r="AI171" s="153"/>
      <c r="AJ171" s="153"/>
      <c r="AK171" s="153"/>
    </row>
    <row r="172">
      <c r="A172" s="152">
        <v>2023.0</v>
      </c>
      <c r="B172" s="151">
        <v>124.0</v>
      </c>
      <c r="C172" s="129" t="s">
        <v>140</v>
      </c>
      <c r="D172" s="8"/>
      <c r="H172" s="8" t="s">
        <v>257</v>
      </c>
      <c r="I172" s="8" t="s">
        <v>258</v>
      </c>
      <c r="J172" s="8" t="s">
        <v>1752</v>
      </c>
      <c r="K172" s="173" t="s">
        <v>1753</v>
      </c>
      <c r="L172" s="8" t="s">
        <v>6113</v>
      </c>
      <c r="N172" s="142" t="s">
        <v>6145</v>
      </c>
      <c r="O172" s="142"/>
      <c r="P172" s="142"/>
      <c r="Q172" s="8" t="s">
        <v>151</v>
      </c>
      <c r="T172" s="8" t="s">
        <v>2513</v>
      </c>
      <c r="U172" s="8" t="s">
        <v>6619</v>
      </c>
      <c r="AH172" s="8" t="s">
        <v>166</v>
      </c>
      <c r="AI172" s="8" t="s">
        <v>6620</v>
      </c>
    </row>
    <row r="173">
      <c r="A173" s="152">
        <v>2024.0</v>
      </c>
      <c r="B173" s="151">
        <v>59.0</v>
      </c>
      <c r="C173" s="153"/>
      <c r="D173" s="153"/>
      <c r="E173" s="153"/>
      <c r="F173" s="153"/>
      <c r="G173" s="153"/>
      <c r="H173" s="153" t="s">
        <v>143</v>
      </c>
      <c r="I173" s="153" t="s">
        <v>144</v>
      </c>
      <c r="J173" s="153" t="s">
        <v>230</v>
      </c>
      <c r="K173" s="173" t="s">
        <v>231</v>
      </c>
      <c r="L173" s="158" t="s">
        <v>149</v>
      </c>
      <c r="M173" s="153" t="s">
        <v>2929</v>
      </c>
      <c r="N173" s="230">
        <v>2015.0</v>
      </c>
      <c r="O173" s="192" t="s">
        <v>149</v>
      </c>
      <c r="P173" s="192" t="s">
        <v>149</v>
      </c>
      <c r="Q173" s="153" t="s">
        <v>6221</v>
      </c>
      <c r="R173" s="158" t="s">
        <v>6300</v>
      </c>
      <c r="S173" s="153" t="s">
        <v>8230</v>
      </c>
      <c r="T173" s="153" t="s">
        <v>8231</v>
      </c>
      <c r="U173" s="158" t="s">
        <v>149</v>
      </c>
      <c r="V173" s="158" t="s">
        <v>149</v>
      </c>
      <c r="W173" s="158" t="s">
        <v>149</v>
      </c>
      <c r="X173" s="158" t="s">
        <v>149</v>
      </c>
      <c r="Y173" s="158" t="s">
        <v>149</v>
      </c>
      <c r="Z173" s="158" t="s">
        <v>149</v>
      </c>
      <c r="AA173" s="153" t="s">
        <v>8232</v>
      </c>
      <c r="AB173" s="153" t="s">
        <v>233</v>
      </c>
      <c r="AC173" s="158" t="s">
        <v>6068</v>
      </c>
      <c r="AD173" s="153"/>
      <c r="AE173" s="153"/>
      <c r="AF173" s="153"/>
      <c r="AG173" s="158" t="s">
        <v>6214</v>
      </c>
      <c r="AH173" s="153" t="s">
        <v>8233</v>
      </c>
      <c r="AI173" s="177" t="s">
        <v>2934</v>
      </c>
      <c r="AJ173" s="153" t="s">
        <v>2935</v>
      </c>
      <c r="AK173" s="239"/>
    </row>
    <row r="174">
      <c r="A174" s="152">
        <v>2025.0</v>
      </c>
      <c r="B174" s="151">
        <v>124.0</v>
      </c>
      <c r="C174" s="153" t="s">
        <v>8189</v>
      </c>
      <c r="D174" s="153"/>
      <c r="E174" s="153"/>
      <c r="F174" s="153"/>
      <c r="G174" s="153"/>
      <c r="H174" s="153" t="s">
        <v>257</v>
      </c>
      <c r="I174" s="153" t="s">
        <v>258</v>
      </c>
      <c r="J174" s="153" t="s">
        <v>1255</v>
      </c>
      <c r="K174" s="173" t="s">
        <v>1256</v>
      </c>
      <c r="L174" s="153" t="s">
        <v>1921</v>
      </c>
      <c r="M174" s="153" t="s">
        <v>6617</v>
      </c>
      <c r="N174" s="175" t="s">
        <v>6404</v>
      </c>
      <c r="O174" s="160" t="s">
        <v>6404</v>
      </c>
      <c r="P174" s="160" t="s">
        <v>6114</v>
      </c>
      <c r="Q174" s="153" t="s">
        <v>151</v>
      </c>
      <c r="R174" s="153" t="s">
        <v>851</v>
      </c>
      <c r="S174" s="158" t="s">
        <v>851</v>
      </c>
      <c r="T174" s="153" t="s">
        <v>1923</v>
      </c>
      <c r="U174" s="153" t="s">
        <v>1924</v>
      </c>
      <c r="V174" s="158" t="s">
        <v>6154</v>
      </c>
      <c r="W174" s="158" t="s">
        <v>206</v>
      </c>
      <c r="X174" s="158" t="s">
        <v>159</v>
      </c>
      <c r="Y174" s="158" t="s">
        <v>149</v>
      </c>
      <c r="Z174" s="158" t="s">
        <v>149</v>
      </c>
      <c r="AA174" s="153" t="s">
        <v>1925</v>
      </c>
      <c r="AB174" s="153" t="s">
        <v>1926</v>
      </c>
      <c r="AC174" s="153" t="s">
        <v>271</v>
      </c>
      <c r="AD174" s="153"/>
      <c r="AE174" s="153" t="s">
        <v>724</v>
      </c>
      <c r="AF174" s="153"/>
      <c r="AG174" s="158" t="s">
        <v>6517</v>
      </c>
      <c r="AH174" s="153" t="s">
        <v>1927</v>
      </c>
      <c r="AI174" s="165" t="s">
        <v>1928</v>
      </c>
      <c r="AJ174" s="153"/>
      <c r="AK174" s="153"/>
    </row>
    <row r="175">
      <c r="A175" s="152">
        <v>2023.0</v>
      </c>
      <c r="B175" s="151">
        <v>125.0</v>
      </c>
      <c r="C175" s="129" t="s">
        <v>140</v>
      </c>
      <c r="D175" s="8"/>
      <c r="H175" s="8" t="s">
        <v>257</v>
      </c>
      <c r="I175" s="8" t="s">
        <v>258</v>
      </c>
      <c r="J175" s="8" t="s">
        <v>1752</v>
      </c>
      <c r="K175" s="173" t="s">
        <v>1753</v>
      </c>
      <c r="L175" s="8" t="s">
        <v>6587</v>
      </c>
      <c r="N175" s="142" t="s">
        <v>6098</v>
      </c>
      <c r="O175" s="142"/>
      <c r="P175" s="142"/>
      <c r="Q175" s="8" t="s">
        <v>151</v>
      </c>
      <c r="U175" s="8" t="s">
        <v>341</v>
      </c>
      <c r="AB175" s="8" t="s">
        <v>341</v>
      </c>
      <c r="AH175" s="8" t="s">
        <v>166</v>
      </c>
      <c r="AI175" s="8" t="s">
        <v>6622</v>
      </c>
    </row>
    <row r="176">
      <c r="A176" s="152">
        <v>2024.0</v>
      </c>
      <c r="B176" s="151">
        <v>60.0</v>
      </c>
      <c r="C176" s="153"/>
      <c r="D176" s="153"/>
      <c r="E176" s="153"/>
      <c r="F176" s="153"/>
      <c r="G176" s="153"/>
      <c r="H176" s="153" t="s">
        <v>143</v>
      </c>
      <c r="I176" s="153" t="s">
        <v>144</v>
      </c>
      <c r="J176" s="153" t="s">
        <v>463</v>
      </c>
      <c r="K176" s="153" t="s">
        <v>464</v>
      </c>
      <c r="L176" s="153" t="s">
        <v>384</v>
      </c>
      <c r="M176" s="153" t="s">
        <v>465</v>
      </c>
      <c r="N176" s="230">
        <v>1985.0</v>
      </c>
      <c r="O176" s="230">
        <v>1985.0</v>
      </c>
      <c r="P176" s="230">
        <v>1987.0</v>
      </c>
      <c r="Q176" s="153" t="s">
        <v>151</v>
      </c>
      <c r="R176" s="153" t="s">
        <v>6054</v>
      </c>
      <c r="S176" s="158" t="s">
        <v>6054</v>
      </c>
      <c r="T176" s="158" t="s">
        <v>149</v>
      </c>
      <c r="U176" s="153" t="s">
        <v>390</v>
      </c>
      <c r="V176" s="158" t="s">
        <v>160</v>
      </c>
      <c r="W176" s="158" t="s">
        <v>6035</v>
      </c>
      <c r="X176" s="158" t="s">
        <v>159</v>
      </c>
      <c r="Y176" s="158" t="s">
        <v>149</v>
      </c>
      <c r="Z176" s="158" t="s">
        <v>149</v>
      </c>
      <c r="AA176" s="153" t="s">
        <v>450</v>
      </c>
      <c r="AB176" s="153" t="s">
        <v>390</v>
      </c>
      <c r="AC176" s="153" t="s">
        <v>6035</v>
      </c>
      <c r="AD176" s="153" t="s">
        <v>6055</v>
      </c>
      <c r="AE176" s="153"/>
      <c r="AF176" s="153" t="s">
        <v>6056</v>
      </c>
      <c r="AG176" s="158" t="s">
        <v>395</v>
      </c>
      <c r="AH176" s="153" t="s">
        <v>6060</v>
      </c>
      <c r="AI176" s="158" t="s">
        <v>397</v>
      </c>
      <c r="AJ176" s="153" t="s">
        <v>398</v>
      </c>
      <c r="AK176" s="153"/>
    </row>
    <row r="177">
      <c r="A177" s="152">
        <v>2025.0</v>
      </c>
      <c r="B177" s="151">
        <v>125.0</v>
      </c>
      <c r="C177" s="153" t="s">
        <v>8189</v>
      </c>
      <c r="D177" s="153"/>
      <c r="E177" s="153"/>
      <c r="F177" s="153"/>
      <c r="G177" s="153"/>
      <c r="H177" s="153" t="s">
        <v>257</v>
      </c>
      <c r="I177" s="153" t="s">
        <v>258</v>
      </c>
      <c r="J177" s="153" t="s">
        <v>1255</v>
      </c>
      <c r="K177" s="153" t="s">
        <v>1256</v>
      </c>
      <c r="L177" s="153" t="s">
        <v>1901</v>
      </c>
      <c r="M177" s="158" t="s">
        <v>1902</v>
      </c>
      <c r="N177" s="175" t="s">
        <v>6152</v>
      </c>
      <c r="O177" s="160" t="s">
        <v>149</v>
      </c>
      <c r="P177" s="160" t="s">
        <v>149</v>
      </c>
      <c r="Q177" s="153" t="s">
        <v>6624</v>
      </c>
      <c r="R177" s="153" t="s">
        <v>8234</v>
      </c>
      <c r="S177" s="158" t="s">
        <v>1903</v>
      </c>
      <c r="T177" s="153" t="s">
        <v>1904</v>
      </c>
      <c r="U177" s="158" t="s">
        <v>1905</v>
      </c>
      <c r="V177" s="158" t="s">
        <v>160</v>
      </c>
      <c r="W177" s="158" t="s">
        <v>184</v>
      </c>
      <c r="X177" s="158" t="s">
        <v>159</v>
      </c>
      <c r="Y177" s="158" t="s">
        <v>149</v>
      </c>
      <c r="Z177" s="158" t="s">
        <v>149</v>
      </c>
      <c r="AA177" s="158" t="s">
        <v>149</v>
      </c>
      <c r="AB177" s="153" t="s">
        <v>1906</v>
      </c>
      <c r="AC177" s="158" t="s">
        <v>184</v>
      </c>
      <c r="AD177" s="153"/>
      <c r="AE177" s="153"/>
      <c r="AF177" s="153"/>
      <c r="AG177" s="158" t="s">
        <v>6091</v>
      </c>
      <c r="AH177" s="153" t="s">
        <v>1907</v>
      </c>
      <c r="AI177" s="165" t="s">
        <v>1908</v>
      </c>
      <c r="AJ177" s="153"/>
      <c r="AK177" s="153"/>
    </row>
    <row r="178">
      <c r="A178" s="152">
        <v>2023.0</v>
      </c>
      <c r="B178" s="151">
        <v>126.0</v>
      </c>
      <c r="C178" s="129" t="s">
        <v>140</v>
      </c>
      <c r="D178" s="8"/>
      <c r="H178" s="8" t="s">
        <v>257</v>
      </c>
      <c r="I178" s="8" t="s">
        <v>258</v>
      </c>
      <c r="J178" s="8" t="s">
        <v>1752</v>
      </c>
      <c r="K178" s="153" t="s">
        <v>1753</v>
      </c>
      <c r="L178" s="8" t="s">
        <v>6587</v>
      </c>
      <c r="M178" s="8" t="s">
        <v>6631</v>
      </c>
      <c r="N178" s="142" t="s">
        <v>6113</v>
      </c>
      <c r="O178" s="142"/>
      <c r="P178" s="142"/>
      <c r="Q178" s="8" t="s">
        <v>6062</v>
      </c>
      <c r="R178" s="8" t="s">
        <v>320</v>
      </c>
      <c r="U178" s="8" t="s">
        <v>341</v>
      </c>
      <c r="AB178" s="8" t="s">
        <v>341</v>
      </c>
      <c r="AH178" s="8" t="s">
        <v>6027</v>
      </c>
      <c r="AI178" s="8" t="s">
        <v>6632</v>
      </c>
    </row>
    <row r="179">
      <c r="A179" s="152">
        <v>2024.0</v>
      </c>
      <c r="B179" s="151">
        <v>61.0</v>
      </c>
      <c r="C179" s="153"/>
      <c r="D179" s="153"/>
      <c r="E179" s="153"/>
      <c r="F179" s="153"/>
      <c r="G179" s="153"/>
      <c r="H179" s="153" t="s">
        <v>143</v>
      </c>
      <c r="I179" s="153" t="s">
        <v>144</v>
      </c>
      <c r="J179" s="153" t="s">
        <v>463</v>
      </c>
      <c r="K179" s="153" t="s">
        <v>464</v>
      </c>
      <c r="L179" s="153" t="s">
        <v>384</v>
      </c>
      <c r="M179" s="153" t="s">
        <v>8235</v>
      </c>
      <c r="N179" s="230">
        <v>1985.0</v>
      </c>
      <c r="O179" s="230">
        <v>1985.0</v>
      </c>
      <c r="P179" s="230">
        <v>1987.0</v>
      </c>
      <c r="Q179" s="153" t="s">
        <v>151</v>
      </c>
      <c r="R179" s="153" t="s">
        <v>469</v>
      </c>
      <c r="S179" s="158" t="s">
        <v>469</v>
      </c>
      <c r="T179" s="158" t="s">
        <v>149</v>
      </c>
      <c r="U179" s="153" t="s">
        <v>390</v>
      </c>
      <c r="V179" s="158" t="s">
        <v>160</v>
      </c>
      <c r="W179" s="158" t="s">
        <v>6035</v>
      </c>
      <c r="X179" s="158" t="s">
        <v>159</v>
      </c>
      <c r="Y179" s="158" t="s">
        <v>149</v>
      </c>
      <c r="Z179" s="158" t="s">
        <v>149</v>
      </c>
      <c r="AA179" s="153" t="s">
        <v>6314</v>
      </c>
      <c r="AB179" s="153" t="s">
        <v>390</v>
      </c>
      <c r="AC179" s="153" t="s">
        <v>6035</v>
      </c>
      <c r="AD179" s="153" t="s">
        <v>6055</v>
      </c>
      <c r="AE179" s="153"/>
      <c r="AF179" s="153"/>
      <c r="AG179" s="158" t="s">
        <v>395</v>
      </c>
      <c r="AH179" s="153" t="s">
        <v>6060</v>
      </c>
      <c r="AI179" s="158" t="s">
        <v>397</v>
      </c>
      <c r="AJ179" s="153" t="s">
        <v>398</v>
      </c>
      <c r="AK179" s="153"/>
    </row>
    <row r="180">
      <c r="A180" s="152">
        <v>2025.0</v>
      </c>
      <c r="B180" s="151">
        <v>126.0</v>
      </c>
      <c r="C180" s="153" t="s">
        <v>8189</v>
      </c>
      <c r="D180" s="153"/>
      <c r="E180" s="153"/>
      <c r="F180" s="153"/>
      <c r="G180" s="153"/>
      <c r="H180" s="153" t="s">
        <v>257</v>
      </c>
      <c r="I180" s="153" t="s">
        <v>258</v>
      </c>
      <c r="J180" s="153" t="s">
        <v>1255</v>
      </c>
      <c r="K180" s="153" t="s">
        <v>1256</v>
      </c>
      <c r="L180" s="153" t="s">
        <v>1174</v>
      </c>
      <c r="M180" s="158" t="s">
        <v>1257</v>
      </c>
      <c r="N180" s="160" t="s">
        <v>6151</v>
      </c>
      <c r="O180" s="175" t="s">
        <v>6151</v>
      </c>
      <c r="P180" s="175" t="s">
        <v>6089</v>
      </c>
      <c r="Q180" s="153" t="s">
        <v>6062</v>
      </c>
      <c r="R180" s="153" t="s">
        <v>320</v>
      </c>
      <c r="S180" s="158" t="s">
        <v>179</v>
      </c>
      <c r="T180" s="158" t="s">
        <v>1222</v>
      </c>
      <c r="U180" s="153" t="s">
        <v>321</v>
      </c>
      <c r="V180" s="158" t="s">
        <v>160</v>
      </c>
      <c r="W180" s="158" t="s">
        <v>6035</v>
      </c>
      <c r="X180" s="158" t="s">
        <v>159</v>
      </c>
      <c r="Y180" s="158" t="s">
        <v>149</v>
      </c>
      <c r="Z180" s="158" t="s">
        <v>149</v>
      </c>
      <c r="AA180" s="158" t="s">
        <v>1258</v>
      </c>
      <c r="AB180" s="153" t="s">
        <v>885</v>
      </c>
      <c r="AC180" s="158" t="s">
        <v>6068</v>
      </c>
      <c r="AD180" s="153" t="s">
        <v>1259</v>
      </c>
      <c r="AE180" s="153"/>
      <c r="AF180" s="153"/>
      <c r="AG180" s="158" t="s">
        <v>6069</v>
      </c>
      <c r="AH180" s="153" t="s">
        <v>1260</v>
      </c>
      <c r="AI180" s="153" t="s">
        <v>6070</v>
      </c>
      <c r="AJ180" s="153"/>
      <c r="AK180" s="153"/>
    </row>
    <row r="181">
      <c r="A181" s="152">
        <v>2023.0</v>
      </c>
      <c r="B181" s="151">
        <v>127.0</v>
      </c>
      <c r="C181" s="129" t="s">
        <v>140</v>
      </c>
      <c r="D181" s="8"/>
      <c r="H181" s="8" t="s">
        <v>257</v>
      </c>
      <c r="I181" s="8" t="s">
        <v>258</v>
      </c>
      <c r="J181" s="8" t="s">
        <v>1890</v>
      </c>
      <c r="K181" s="153" t="s">
        <v>1891</v>
      </c>
      <c r="L181" s="8" t="s">
        <v>1892</v>
      </c>
      <c r="N181" s="142" t="s">
        <v>6152</v>
      </c>
      <c r="O181" s="142"/>
      <c r="P181" s="142"/>
      <c r="Q181" s="8" t="s">
        <v>151</v>
      </c>
      <c r="AB181" s="8" t="s">
        <v>369</v>
      </c>
      <c r="AD181" s="8" t="s">
        <v>341</v>
      </c>
      <c r="AE181" s="8" t="s">
        <v>1896</v>
      </c>
      <c r="AH181" s="8" t="s">
        <v>6027</v>
      </c>
      <c r="AI181" s="172" t="s">
        <v>1899</v>
      </c>
    </row>
    <row r="182">
      <c r="A182" s="152">
        <v>2025.0</v>
      </c>
      <c r="B182" s="151">
        <v>127.0</v>
      </c>
      <c r="C182" s="153" t="s">
        <v>8189</v>
      </c>
      <c r="D182" s="153"/>
      <c r="E182" s="153"/>
      <c r="F182" s="153"/>
      <c r="G182" s="153"/>
      <c r="H182" s="153" t="s">
        <v>257</v>
      </c>
      <c r="I182" s="153" t="s">
        <v>258</v>
      </c>
      <c r="J182" s="153" t="s">
        <v>1255</v>
      </c>
      <c r="K182" s="153" t="s">
        <v>1256</v>
      </c>
      <c r="L182" s="158" t="s">
        <v>2081</v>
      </c>
      <c r="M182" s="153" t="s">
        <v>8236</v>
      </c>
      <c r="N182" s="175" t="s">
        <v>6064</v>
      </c>
      <c r="O182" s="160" t="s">
        <v>149</v>
      </c>
      <c r="P182" s="160" t="s">
        <v>149</v>
      </c>
      <c r="Q182" s="153" t="s">
        <v>151</v>
      </c>
      <c r="R182" s="153" t="s">
        <v>2082</v>
      </c>
      <c r="S182" s="158" t="s">
        <v>2082</v>
      </c>
      <c r="T182" s="153" t="s">
        <v>8237</v>
      </c>
      <c r="U182" s="153" t="s">
        <v>2084</v>
      </c>
      <c r="V182" s="158" t="s">
        <v>160</v>
      </c>
      <c r="W182" s="158" t="s">
        <v>184</v>
      </c>
      <c r="X182" s="158" t="s">
        <v>159</v>
      </c>
      <c r="Y182" s="158" t="s">
        <v>149</v>
      </c>
      <c r="Z182" s="158" t="s">
        <v>149</v>
      </c>
      <c r="AA182" s="153" t="s">
        <v>6637</v>
      </c>
      <c r="AB182" s="153" t="s">
        <v>2086</v>
      </c>
      <c r="AC182" s="158" t="s">
        <v>184</v>
      </c>
      <c r="AD182" s="153" t="s">
        <v>2087</v>
      </c>
      <c r="AE182" s="158" t="s">
        <v>2088</v>
      </c>
      <c r="AF182" s="153"/>
      <c r="AG182" s="158" t="s">
        <v>166</v>
      </c>
      <c r="AH182" s="153" t="s">
        <v>8238</v>
      </c>
      <c r="AI182" s="172" t="s">
        <v>2090</v>
      </c>
      <c r="AJ182" s="153"/>
      <c r="AK182" s="153"/>
    </row>
    <row r="183">
      <c r="A183" s="152">
        <v>2023.0</v>
      </c>
      <c r="B183" s="151">
        <v>128.0</v>
      </c>
      <c r="C183" s="129" t="s">
        <v>140</v>
      </c>
      <c r="D183" s="8"/>
      <c r="H183" s="8" t="s">
        <v>257</v>
      </c>
      <c r="I183" s="8" t="s">
        <v>258</v>
      </c>
      <c r="J183" s="8" t="s">
        <v>1958</v>
      </c>
      <c r="K183" s="173" t="s">
        <v>1959</v>
      </c>
      <c r="L183" s="8" t="s">
        <v>6113</v>
      </c>
      <c r="N183" s="142" t="s">
        <v>6063</v>
      </c>
      <c r="O183" s="142"/>
      <c r="P183" s="142"/>
      <c r="Q183" s="8" t="s">
        <v>151</v>
      </c>
      <c r="U183" s="8" t="s">
        <v>369</v>
      </c>
      <c r="AB183" s="8" t="s">
        <v>369</v>
      </c>
      <c r="AD183" s="8" t="s">
        <v>390</v>
      </c>
      <c r="AH183" s="8" t="s">
        <v>166</v>
      </c>
      <c r="AI183" s="8" t="s">
        <v>2446</v>
      </c>
    </row>
    <row r="184">
      <c r="A184" s="152">
        <v>2024.0</v>
      </c>
      <c r="B184" s="151">
        <v>63.0</v>
      </c>
      <c r="C184" s="153"/>
      <c r="D184" s="153"/>
      <c r="E184" s="153"/>
      <c r="F184" s="153"/>
      <c r="G184" s="153"/>
      <c r="H184" s="153" t="s">
        <v>143</v>
      </c>
      <c r="I184" s="153" t="s">
        <v>144</v>
      </c>
      <c r="J184" s="153" t="s">
        <v>693</v>
      </c>
      <c r="K184" s="153" t="s">
        <v>694</v>
      </c>
      <c r="L184" s="158" t="s">
        <v>149</v>
      </c>
      <c r="M184" s="158"/>
      <c r="N184" s="230">
        <v>1978.0</v>
      </c>
      <c r="O184" s="192" t="s">
        <v>149</v>
      </c>
      <c r="P184" s="192" t="s">
        <v>149</v>
      </c>
      <c r="Q184" s="153" t="s">
        <v>151</v>
      </c>
      <c r="R184" s="158" t="s">
        <v>6054</v>
      </c>
      <c r="S184" s="158" t="s">
        <v>6054</v>
      </c>
      <c r="T184" s="153" t="s">
        <v>699</v>
      </c>
      <c r="U184" s="153" t="s">
        <v>2111</v>
      </c>
      <c r="V184" s="158" t="s">
        <v>6154</v>
      </c>
      <c r="W184" s="158" t="s">
        <v>206</v>
      </c>
      <c r="X184" s="158" t="s">
        <v>159</v>
      </c>
      <c r="Y184" s="158" t="s">
        <v>149</v>
      </c>
      <c r="Z184" s="158" t="s">
        <v>149</v>
      </c>
      <c r="AA184" s="153" t="s">
        <v>2938</v>
      </c>
      <c r="AB184" s="158" t="s">
        <v>233</v>
      </c>
      <c r="AC184" s="158" t="s">
        <v>6068</v>
      </c>
      <c r="AD184" s="158" t="s">
        <v>6320</v>
      </c>
      <c r="AE184" s="158" t="s">
        <v>6321</v>
      </c>
      <c r="AF184" s="158"/>
      <c r="AG184" s="158" t="s">
        <v>395</v>
      </c>
      <c r="AH184" s="153" t="s">
        <v>6060</v>
      </c>
      <c r="AI184" s="158" t="s">
        <v>397</v>
      </c>
      <c r="AJ184" s="153" t="s">
        <v>398</v>
      </c>
      <c r="AK184" s="153"/>
    </row>
    <row r="185">
      <c r="A185" s="152">
        <v>2025.0</v>
      </c>
      <c r="B185" s="151">
        <v>128.0</v>
      </c>
      <c r="C185" s="153" t="s">
        <v>8189</v>
      </c>
      <c r="D185" s="153"/>
      <c r="E185" s="153"/>
      <c r="F185" s="153"/>
      <c r="G185" s="153"/>
      <c r="H185" s="153" t="s">
        <v>257</v>
      </c>
      <c r="I185" s="153" t="s">
        <v>258</v>
      </c>
      <c r="J185" s="153" t="s">
        <v>259</v>
      </c>
      <c r="K185" s="153" t="s">
        <v>260</v>
      </c>
      <c r="L185" s="153" t="s">
        <v>261</v>
      </c>
      <c r="M185" s="158" t="s">
        <v>262</v>
      </c>
      <c r="N185" s="175" t="s">
        <v>6151</v>
      </c>
      <c r="O185" s="160" t="s">
        <v>149</v>
      </c>
      <c r="P185" s="160" t="s">
        <v>149</v>
      </c>
      <c r="Q185" s="153" t="s">
        <v>6624</v>
      </c>
      <c r="R185" s="158" t="s">
        <v>6641</v>
      </c>
      <c r="S185" s="158" t="s">
        <v>266</v>
      </c>
      <c r="T185" s="158" t="s">
        <v>6642</v>
      </c>
      <c r="U185" s="153" t="s">
        <v>270</v>
      </c>
      <c r="V185" s="158" t="s">
        <v>160</v>
      </c>
      <c r="W185" s="158" t="s">
        <v>271</v>
      </c>
      <c r="X185" s="158" t="s">
        <v>159</v>
      </c>
      <c r="Y185" s="158" t="s">
        <v>149</v>
      </c>
      <c r="Z185" s="158" t="s">
        <v>149</v>
      </c>
      <c r="AA185" s="158" t="s">
        <v>149</v>
      </c>
      <c r="AB185" s="158" t="s">
        <v>270</v>
      </c>
      <c r="AC185" s="158" t="s">
        <v>271</v>
      </c>
      <c r="AD185" s="153"/>
      <c r="AE185" s="158" t="s">
        <v>6643</v>
      </c>
      <c r="AF185" s="153"/>
      <c r="AG185" s="158" t="s">
        <v>6091</v>
      </c>
      <c r="AH185" s="153" t="s">
        <v>274</v>
      </c>
      <c r="AI185" s="172" t="s">
        <v>8239</v>
      </c>
      <c r="AJ185" s="153"/>
      <c r="AK185" s="153"/>
    </row>
    <row r="186">
      <c r="A186" s="152">
        <v>2023.0</v>
      </c>
      <c r="B186" s="151">
        <v>129.0</v>
      </c>
      <c r="C186" s="129" t="s">
        <v>140</v>
      </c>
      <c r="D186" s="8"/>
      <c r="H186" s="8" t="s">
        <v>257</v>
      </c>
      <c r="I186" s="8" t="s">
        <v>258</v>
      </c>
      <c r="J186" s="8" t="s">
        <v>1958</v>
      </c>
      <c r="K186" s="153" t="s">
        <v>1959</v>
      </c>
      <c r="L186" s="8" t="s">
        <v>6113</v>
      </c>
      <c r="N186" s="142" t="s">
        <v>6268</v>
      </c>
      <c r="O186" s="142"/>
      <c r="P186" s="142"/>
      <c r="Q186" s="8" t="s">
        <v>151</v>
      </c>
      <c r="U186" s="8" t="s">
        <v>369</v>
      </c>
      <c r="AB186" s="8" t="s">
        <v>369</v>
      </c>
      <c r="AD186" s="8" t="s">
        <v>390</v>
      </c>
      <c r="AH186" s="8" t="s">
        <v>166</v>
      </c>
      <c r="AI186" s="8" t="s">
        <v>2446</v>
      </c>
    </row>
    <row r="187">
      <c r="A187" s="152">
        <v>2025.0</v>
      </c>
      <c r="B187" s="151">
        <v>129.0</v>
      </c>
      <c r="C187" s="153" t="s">
        <v>8189</v>
      </c>
      <c r="D187" s="153"/>
      <c r="E187" s="153"/>
      <c r="F187" s="153"/>
      <c r="G187" s="153"/>
      <c r="H187" s="153" t="s">
        <v>257</v>
      </c>
      <c r="I187" s="153" t="s">
        <v>258</v>
      </c>
      <c r="J187" s="153" t="s">
        <v>259</v>
      </c>
      <c r="K187" s="173" t="s">
        <v>260</v>
      </c>
      <c r="L187" s="158" t="s">
        <v>149</v>
      </c>
      <c r="M187" s="158" t="s">
        <v>3040</v>
      </c>
      <c r="N187" s="175" t="s">
        <v>6098</v>
      </c>
      <c r="O187" s="160" t="s">
        <v>149</v>
      </c>
      <c r="P187" s="160" t="s">
        <v>149</v>
      </c>
      <c r="Q187" s="153" t="s">
        <v>151</v>
      </c>
      <c r="R187" s="158" t="s">
        <v>152</v>
      </c>
      <c r="S187" s="158" t="s">
        <v>152</v>
      </c>
      <c r="T187" s="158" t="s">
        <v>149</v>
      </c>
      <c r="U187" s="153" t="s">
        <v>341</v>
      </c>
      <c r="V187" s="158" t="s">
        <v>160</v>
      </c>
      <c r="W187" s="158" t="s">
        <v>6035</v>
      </c>
      <c r="X187" s="158" t="s">
        <v>159</v>
      </c>
      <c r="Y187" s="158" t="s">
        <v>149</v>
      </c>
      <c r="Z187" s="158" t="s">
        <v>149</v>
      </c>
      <c r="AA187" s="158" t="s">
        <v>149</v>
      </c>
      <c r="AB187" s="153" t="s">
        <v>369</v>
      </c>
      <c r="AC187" s="153" t="s">
        <v>6035</v>
      </c>
      <c r="AD187" s="153" t="s">
        <v>341</v>
      </c>
      <c r="AE187" s="153" t="s">
        <v>8240</v>
      </c>
      <c r="AF187" s="153" t="s">
        <v>3042</v>
      </c>
      <c r="AG187" s="158" t="s">
        <v>6027</v>
      </c>
      <c r="AH187" s="153" t="s">
        <v>3043</v>
      </c>
      <c r="AI187" s="165" t="s">
        <v>3044</v>
      </c>
      <c r="AJ187" s="153"/>
      <c r="AK187" s="153"/>
    </row>
    <row r="188">
      <c r="A188" s="152">
        <v>2023.0</v>
      </c>
      <c r="B188" s="151">
        <v>130.0</v>
      </c>
      <c r="C188" s="129" t="s">
        <v>140</v>
      </c>
      <c r="D188" s="8"/>
      <c r="H188" s="8" t="s">
        <v>257</v>
      </c>
      <c r="I188" s="8" t="s">
        <v>258</v>
      </c>
      <c r="J188" s="8" t="s">
        <v>1958</v>
      </c>
      <c r="K188" s="153" t="s">
        <v>1959</v>
      </c>
      <c r="L188" s="8" t="s">
        <v>6113</v>
      </c>
      <c r="N188" s="142" t="s">
        <v>6064</v>
      </c>
      <c r="O188" s="142"/>
      <c r="P188" s="142"/>
      <c r="Q188" s="8" t="s">
        <v>151</v>
      </c>
      <c r="U188" s="8" t="s">
        <v>369</v>
      </c>
      <c r="AB188" s="8" t="s">
        <v>369</v>
      </c>
      <c r="AD188" s="8" t="s">
        <v>390</v>
      </c>
      <c r="AH188" s="8" t="s">
        <v>166</v>
      </c>
      <c r="AI188" s="8" t="s">
        <v>2446</v>
      </c>
    </row>
    <row r="189">
      <c r="A189" s="152">
        <v>2024.0</v>
      </c>
      <c r="B189" s="151">
        <v>65.0</v>
      </c>
      <c r="C189" s="153"/>
      <c r="D189" s="153"/>
      <c r="E189" s="153"/>
      <c r="F189" s="153"/>
      <c r="G189" s="153"/>
      <c r="H189" s="153" t="s">
        <v>143</v>
      </c>
      <c r="I189" s="153" t="s">
        <v>144</v>
      </c>
      <c r="J189" s="153" t="s">
        <v>693</v>
      </c>
      <c r="K189" s="153" t="s">
        <v>694</v>
      </c>
      <c r="L189" s="153" t="s">
        <v>729</v>
      </c>
      <c r="M189" s="153"/>
      <c r="N189" s="230">
        <v>2004.0</v>
      </c>
      <c r="O189" s="230">
        <v>2004.0</v>
      </c>
      <c r="P189" s="230">
        <v>2009.0</v>
      </c>
      <c r="Q189" s="153" t="s">
        <v>6062</v>
      </c>
      <c r="R189" s="153" t="s">
        <v>730</v>
      </c>
      <c r="S189" s="158" t="s">
        <v>730</v>
      </c>
      <c r="T189" s="158" t="s">
        <v>149</v>
      </c>
      <c r="U189" s="158" t="s">
        <v>149</v>
      </c>
      <c r="V189" s="158" t="s">
        <v>149</v>
      </c>
      <c r="W189" s="158" t="s">
        <v>149</v>
      </c>
      <c r="X189" s="158" t="s">
        <v>149</v>
      </c>
      <c r="Y189" s="158" t="s">
        <v>149</v>
      </c>
      <c r="Z189" s="158" t="s">
        <v>149</v>
      </c>
      <c r="AA189" s="158" t="s">
        <v>149</v>
      </c>
      <c r="AB189" s="158" t="s">
        <v>149</v>
      </c>
      <c r="AC189" s="158" t="s">
        <v>149</v>
      </c>
      <c r="AD189" s="153"/>
      <c r="AE189" s="153"/>
      <c r="AF189" s="153"/>
      <c r="AG189" s="153" t="s">
        <v>6084</v>
      </c>
      <c r="AH189" s="153" t="s">
        <v>732</v>
      </c>
      <c r="AI189" s="165" t="s">
        <v>733</v>
      </c>
      <c r="AJ189" s="153" t="s">
        <v>734</v>
      </c>
      <c r="AK189" s="153"/>
    </row>
    <row r="190">
      <c r="A190" s="152">
        <v>2025.0</v>
      </c>
      <c r="B190" s="151">
        <v>130.0</v>
      </c>
      <c r="C190" s="153" t="s">
        <v>8189</v>
      </c>
      <c r="D190" s="153"/>
      <c r="E190" s="153"/>
      <c r="F190" s="153"/>
      <c r="G190" s="153"/>
      <c r="H190" s="153" t="s">
        <v>257</v>
      </c>
      <c r="I190" s="153" t="s">
        <v>258</v>
      </c>
      <c r="J190" s="153" t="s">
        <v>1667</v>
      </c>
      <c r="K190" s="153" t="s">
        <v>3010</v>
      </c>
      <c r="L190" s="158" t="s">
        <v>149</v>
      </c>
      <c r="M190" s="153"/>
      <c r="N190" s="175" t="s">
        <v>6352</v>
      </c>
      <c r="O190" s="160" t="s">
        <v>149</v>
      </c>
      <c r="P190" s="160" t="s">
        <v>149</v>
      </c>
      <c r="Q190" s="153" t="s">
        <v>151</v>
      </c>
      <c r="R190" s="158" t="s">
        <v>3011</v>
      </c>
      <c r="S190" s="158" t="s">
        <v>3011</v>
      </c>
      <c r="T190" s="158" t="s">
        <v>149</v>
      </c>
      <c r="U190" s="158" t="s">
        <v>149</v>
      </c>
      <c r="V190" s="158" t="s">
        <v>149</v>
      </c>
      <c r="W190" s="158" t="s">
        <v>149</v>
      </c>
      <c r="X190" s="158" t="s">
        <v>149</v>
      </c>
      <c r="Y190" s="158" t="s">
        <v>149</v>
      </c>
      <c r="Z190" s="158" t="s">
        <v>149</v>
      </c>
      <c r="AA190" s="158" t="s">
        <v>149</v>
      </c>
      <c r="AB190" s="158" t="s">
        <v>149</v>
      </c>
      <c r="AC190" s="158" t="s">
        <v>149</v>
      </c>
      <c r="AD190" s="153"/>
      <c r="AE190" s="153"/>
      <c r="AF190" s="153"/>
      <c r="AG190" s="158" t="s">
        <v>395</v>
      </c>
      <c r="AH190" s="153" t="s">
        <v>6060</v>
      </c>
      <c r="AI190" s="158" t="s">
        <v>397</v>
      </c>
      <c r="AJ190" s="153" t="s">
        <v>398</v>
      </c>
      <c r="AK190" s="153"/>
    </row>
    <row r="191">
      <c r="A191" s="152">
        <v>2023.0</v>
      </c>
      <c r="B191" s="151">
        <v>131.0</v>
      </c>
      <c r="C191" s="129" t="s">
        <v>140</v>
      </c>
      <c r="D191" s="8"/>
      <c r="H191" s="8" t="s">
        <v>257</v>
      </c>
      <c r="I191" s="8" t="s">
        <v>258</v>
      </c>
      <c r="J191" s="8" t="s">
        <v>1255</v>
      </c>
      <c r="K191" s="173" t="s">
        <v>1256</v>
      </c>
      <c r="L191" s="8" t="s">
        <v>1901</v>
      </c>
      <c r="N191" s="174" t="s">
        <v>6152</v>
      </c>
      <c r="O191" s="142"/>
      <c r="P191" s="142"/>
      <c r="Q191" s="8" t="s">
        <v>6651</v>
      </c>
      <c r="R191" s="8" t="s">
        <v>6288</v>
      </c>
      <c r="T191" s="8" t="s">
        <v>8020</v>
      </c>
      <c r="U191" s="8" t="s">
        <v>1906</v>
      </c>
      <c r="AB191" s="8" t="s">
        <v>1906</v>
      </c>
      <c r="AH191" s="8" t="s">
        <v>6091</v>
      </c>
      <c r="AI191" s="172" t="s">
        <v>1908</v>
      </c>
    </row>
    <row r="192">
      <c r="A192" s="152">
        <v>2024.0</v>
      </c>
      <c r="B192" s="151">
        <v>66.0</v>
      </c>
      <c r="C192" s="153"/>
      <c r="D192" s="153"/>
      <c r="E192" s="153"/>
      <c r="F192" s="153"/>
      <c r="G192" s="153"/>
      <c r="H192" s="153" t="s">
        <v>143</v>
      </c>
      <c r="I192" s="153" t="s">
        <v>144</v>
      </c>
      <c r="J192" s="153" t="s">
        <v>693</v>
      </c>
      <c r="K192" s="153" t="s">
        <v>694</v>
      </c>
      <c r="L192" s="153" t="s">
        <v>695</v>
      </c>
      <c r="M192" s="153" t="s">
        <v>8241</v>
      </c>
      <c r="N192" s="230">
        <v>1991.0</v>
      </c>
      <c r="O192" s="192">
        <v>1991.0</v>
      </c>
      <c r="P192" s="192">
        <v>1991.0</v>
      </c>
      <c r="Q192" s="153" t="s">
        <v>151</v>
      </c>
      <c r="R192" s="153" t="s">
        <v>697</v>
      </c>
      <c r="S192" s="158" t="s">
        <v>697</v>
      </c>
      <c r="T192" s="153" t="s">
        <v>699</v>
      </c>
      <c r="U192" s="158" t="s">
        <v>695</v>
      </c>
      <c r="V192" s="158" t="s">
        <v>6154</v>
      </c>
      <c r="W192" s="158" t="s">
        <v>206</v>
      </c>
      <c r="X192" s="158" t="s">
        <v>204</v>
      </c>
      <c r="Y192" s="158" t="s">
        <v>149</v>
      </c>
      <c r="Z192" s="158" t="s">
        <v>149</v>
      </c>
      <c r="AA192" s="158" t="s">
        <v>700</v>
      </c>
      <c r="AB192" s="153" t="s">
        <v>233</v>
      </c>
      <c r="AC192" s="158" t="s">
        <v>6068</v>
      </c>
      <c r="AD192" s="153"/>
      <c r="AE192" s="153"/>
      <c r="AF192" s="153"/>
      <c r="AG192" s="158" t="s">
        <v>6214</v>
      </c>
      <c r="AH192" s="153" t="s">
        <v>701</v>
      </c>
      <c r="AI192" s="153" t="s">
        <v>6334</v>
      </c>
      <c r="AJ192" s="153" t="s">
        <v>703</v>
      </c>
      <c r="AK192" s="153"/>
    </row>
    <row r="193">
      <c r="A193" s="152">
        <v>2025.0</v>
      </c>
      <c r="B193" s="151">
        <v>131.0</v>
      </c>
      <c r="C193" s="153" t="s">
        <v>8189</v>
      </c>
      <c r="D193" s="153"/>
      <c r="E193" s="153"/>
      <c r="F193" s="153"/>
      <c r="G193" s="153"/>
      <c r="H193" s="153" t="s">
        <v>257</v>
      </c>
      <c r="I193" s="153" t="s">
        <v>258</v>
      </c>
      <c r="J193" s="153" t="s">
        <v>491</v>
      </c>
      <c r="K193" s="173" t="s">
        <v>492</v>
      </c>
      <c r="L193" s="153" t="s">
        <v>384</v>
      </c>
      <c r="M193" s="158" t="s">
        <v>493</v>
      </c>
      <c r="N193" s="175" t="s">
        <v>6073</v>
      </c>
      <c r="O193" s="160" t="s">
        <v>149</v>
      </c>
      <c r="P193" s="160" t="s">
        <v>149</v>
      </c>
      <c r="Q193" s="153" t="s">
        <v>151</v>
      </c>
      <c r="R193" s="153" t="s">
        <v>6076</v>
      </c>
      <c r="S193" s="158" t="s">
        <v>6076</v>
      </c>
      <c r="T193" s="158" t="s">
        <v>149</v>
      </c>
      <c r="U193" s="153" t="s">
        <v>390</v>
      </c>
      <c r="V193" s="158" t="s">
        <v>160</v>
      </c>
      <c r="W193" s="158" t="s">
        <v>6035</v>
      </c>
      <c r="X193" s="158" t="s">
        <v>159</v>
      </c>
      <c r="Y193" s="158" t="s">
        <v>149</v>
      </c>
      <c r="Z193" s="158" t="s">
        <v>149</v>
      </c>
      <c r="AA193" s="153" t="s">
        <v>2862</v>
      </c>
      <c r="AB193" s="153" t="s">
        <v>390</v>
      </c>
      <c r="AC193" s="153" t="s">
        <v>6035</v>
      </c>
      <c r="AD193" s="153" t="s">
        <v>6055</v>
      </c>
      <c r="AE193" s="153"/>
      <c r="AF193" s="153"/>
      <c r="AG193" s="158" t="s">
        <v>6257</v>
      </c>
      <c r="AH193" s="153" t="s">
        <v>8242</v>
      </c>
      <c r="AI193" s="172" t="s">
        <v>6080</v>
      </c>
      <c r="AJ193" s="153"/>
      <c r="AK193" s="153"/>
    </row>
    <row r="194">
      <c r="A194" s="152">
        <v>2023.0</v>
      </c>
      <c r="B194" s="151">
        <v>132.0</v>
      </c>
      <c r="C194" s="129" t="s">
        <v>140</v>
      </c>
      <c r="D194" s="8"/>
      <c r="H194" s="8" t="s">
        <v>257</v>
      </c>
      <c r="I194" s="8" t="s">
        <v>258</v>
      </c>
      <c r="J194" s="8" t="s">
        <v>1255</v>
      </c>
      <c r="K194" s="153" t="s">
        <v>1256</v>
      </c>
      <c r="L194" s="8" t="s">
        <v>1174</v>
      </c>
      <c r="N194" s="142"/>
      <c r="O194" s="142" t="s">
        <v>6151</v>
      </c>
      <c r="P194" s="142" t="s">
        <v>6089</v>
      </c>
      <c r="Q194" s="8" t="s">
        <v>6062</v>
      </c>
      <c r="R194" s="8" t="s">
        <v>320</v>
      </c>
      <c r="U194" s="8" t="s">
        <v>321</v>
      </c>
      <c r="AA194" s="8" t="s">
        <v>6655</v>
      </c>
      <c r="AB194" s="8" t="s">
        <v>885</v>
      </c>
      <c r="AD194" s="8" t="s">
        <v>1259</v>
      </c>
      <c r="AH194" s="8" t="s">
        <v>6069</v>
      </c>
    </row>
    <row r="195">
      <c r="A195" s="152">
        <v>2024.0</v>
      </c>
      <c r="B195" s="151">
        <v>67.0</v>
      </c>
      <c r="C195" s="153"/>
      <c r="D195" s="153"/>
      <c r="E195" s="153"/>
      <c r="F195" s="153"/>
      <c r="G195" s="153"/>
      <c r="H195" s="153" t="s">
        <v>143</v>
      </c>
      <c r="I195" s="153" t="s">
        <v>144</v>
      </c>
      <c r="J195" s="153" t="s">
        <v>693</v>
      </c>
      <c r="K195" s="153" t="s">
        <v>694</v>
      </c>
      <c r="L195" s="153" t="s">
        <v>1377</v>
      </c>
      <c r="M195" s="153" t="s">
        <v>8243</v>
      </c>
      <c r="N195" s="230">
        <v>1994.0</v>
      </c>
      <c r="O195" s="230">
        <v>1994.0</v>
      </c>
      <c r="P195" s="230">
        <v>1995.0</v>
      </c>
      <c r="Q195" s="153" t="s">
        <v>6062</v>
      </c>
      <c r="R195" s="153" t="s">
        <v>179</v>
      </c>
      <c r="S195" s="158" t="s">
        <v>179</v>
      </c>
      <c r="T195" s="153" t="s">
        <v>8244</v>
      </c>
      <c r="U195" s="153" t="s">
        <v>1381</v>
      </c>
      <c r="V195" s="158" t="s">
        <v>6154</v>
      </c>
      <c r="W195" s="158" t="s">
        <v>206</v>
      </c>
      <c r="X195" s="158" t="s">
        <v>204</v>
      </c>
      <c r="Y195" s="158" t="s">
        <v>149</v>
      </c>
      <c r="Z195" s="158" t="s">
        <v>149</v>
      </c>
      <c r="AA195" s="158" t="s">
        <v>149</v>
      </c>
      <c r="AB195" s="153" t="s">
        <v>233</v>
      </c>
      <c r="AC195" s="158" t="s">
        <v>6068</v>
      </c>
      <c r="AD195" s="153" t="s">
        <v>660</v>
      </c>
      <c r="AE195" s="153"/>
      <c r="AF195" s="153"/>
      <c r="AG195" s="158" t="s">
        <v>6214</v>
      </c>
      <c r="AH195" s="153" t="s">
        <v>1513</v>
      </c>
      <c r="AI195" s="165" t="s">
        <v>6341</v>
      </c>
      <c r="AJ195" s="153" t="s">
        <v>1068</v>
      </c>
      <c r="AK195" s="153"/>
    </row>
    <row r="196">
      <c r="A196" s="152">
        <v>2025.0</v>
      </c>
      <c r="B196" s="151">
        <v>132.0</v>
      </c>
      <c r="C196" s="153" t="s">
        <v>8189</v>
      </c>
      <c r="D196" s="153"/>
      <c r="E196" s="153"/>
      <c r="F196" s="153"/>
      <c r="G196" s="153"/>
      <c r="H196" s="153" t="s">
        <v>257</v>
      </c>
      <c r="I196" s="153" t="s">
        <v>258</v>
      </c>
      <c r="J196" s="153" t="s">
        <v>491</v>
      </c>
      <c r="K196" s="173" t="s">
        <v>492</v>
      </c>
      <c r="L196" s="153" t="s">
        <v>384</v>
      </c>
      <c r="M196" s="158" t="s">
        <v>493</v>
      </c>
      <c r="N196" s="175" t="s">
        <v>6352</v>
      </c>
      <c r="O196" s="160" t="s">
        <v>149</v>
      </c>
      <c r="P196" s="160" t="s">
        <v>149</v>
      </c>
      <c r="Q196" s="153" t="s">
        <v>151</v>
      </c>
      <c r="R196" s="153" t="s">
        <v>6054</v>
      </c>
      <c r="S196" s="158" t="s">
        <v>6054</v>
      </c>
      <c r="T196" s="158" t="s">
        <v>149</v>
      </c>
      <c r="U196" s="153" t="s">
        <v>390</v>
      </c>
      <c r="V196" s="158" t="s">
        <v>160</v>
      </c>
      <c r="W196" s="158" t="s">
        <v>6035</v>
      </c>
      <c r="X196" s="158" t="s">
        <v>159</v>
      </c>
      <c r="Y196" s="158" t="s">
        <v>149</v>
      </c>
      <c r="Z196" s="158" t="s">
        <v>149</v>
      </c>
      <c r="AA196" s="153" t="s">
        <v>450</v>
      </c>
      <c r="AB196" s="153" t="s">
        <v>390</v>
      </c>
      <c r="AC196" s="153" t="s">
        <v>6035</v>
      </c>
      <c r="AD196" s="153" t="s">
        <v>6055</v>
      </c>
      <c r="AE196" s="153"/>
      <c r="AF196" s="153"/>
      <c r="AG196" s="158" t="s">
        <v>6257</v>
      </c>
      <c r="AH196" s="153" t="s">
        <v>8245</v>
      </c>
      <c r="AI196" s="153" t="s">
        <v>6080</v>
      </c>
      <c r="AJ196" s="153"/>
      <c r="AK196" s="153"/>
    </row>
    <row r="197">
      <c r="A197" s="152">
        <v>2023.0</v>
      </c>
      <c r="B197" s="151">
        <v>133.0</v>
      </c>
      <c r="C197" s="129" t="s">
        <v>140</v>
      </c>
      <c r="D197" s="8"/>
      <c r="H197" s="8" t="s">
        <v>257</v>
      </c>
      <c r="I197" s="8" t="s">
        <v>258</v>
      </c>
      <c r="J197" s="8" t="s">
        <v>1255</v>
      </c>
      <c r="K197" s="153" t="s">
        <v>1256</v>
      </c>
      <c r="L197" s="8" t="s">
        <v>6659</v>
      </c>
      <c r="N197" s="142" t="s">
        <v>6064</v>
      </c>
      <c r="O197" s="142"/>
      <c r="P197" s="142"/>
      <c r="Q197" s="8" t="s">
        <v>8022</v>
      </c>
      <c r="R197" s="8" t="s">
        <v>2082</v>
      </c>
      <c r="T197" s="8" t="s">
        <v>6660</v>
      </c>
      <c r="U197" s="8" t="s">
        <v>2084</v>
      </c>
      <c r="AB197" s="8" t="s">
        <v>6661</v>
      </c>
      <c r="AD197" s="8" t="s">
        <v>2087</v>
      </c>
      <c r="AH197" s="8" t="s">
        <v>166</v>
      </c>
      <c r="AI197" s="8" t="s">
        <v>2090</v>
      </c>
    </row>
    <row r="198">
      <c r="A198" s="152">
        <v>2024.0</v>
      </c>
      <c r="B198" s="151">
        <v>68.0</v>
      </c>
      <c r="C198" s="153"/>
      <c r="D198" s="153"/>
      <c r="E198" s="153"/>
      <c r="F198" s="153"/>
      <c r="G198" s="153"/>
      <c r="H198" s="153" t="s">
        <v>143</v>
      </c>
      <c r="I198" s="153" t="s">
        <v>144</v>
      </c>
      <c r="J198" s="153" t="s">
        <v>693</v>
      </c>
      <c r="K198" s="153" t="s">
        <v>694</v>
      </c>
      <c r="L198" s="158" t="s">
        <v>149</v>
      </c>
      <c r="M198" s="158" t="s">
        <v>2941</v>
      </c>
      <c r="N198" s="192">
        <v>1980.0</v>
      </c>
      <c r="O198" s="230">
        <v>1980.0</v>
      </c>
      <c r="P198" s="230">
        <v>1982.0</v>
      </c>
      <c r="Q198" s="153" t="s">
        <v>6062</v>
      </c>
      <c r="R198" s="153" t="s">
        <v>179</v>
      </c>
      <c r="S198" s="158" t="s">
        <v>179</v>
      </c>
      <c r="T198" s="153" t="s">
        <v>8246</v>
      </c>
      <c r="U198" s="158" t="s">
        <v>149</v>
      </c>
      <c r="V198" s="158" t="s">
        <v>149</v>
      </c>
      <c r="W198" s="158" t="s">
        <v>149</v>
      </c>
      <c r="X198" s="158" t="s">
        <v>204</v>
      </c>
      <c r="Y198" s="158" t="s">
        <v>149</v>
      </c>
      <c r="Z198" s="158" t="s">
        <v>149</v>
      </c>
      <c r="AA198" s="158" t="s">
        <v>149</v>
      </c>
      <c r="AB198" s="153" t="s">
        <v>233</v>
      </c>
      <c r="AC198" s="158" t="s">
        <v>6068</v>
      </c>
      <c r="AD198" s="153"/>
      <c r="AE198" s="153"/>
      <c r="AF198" s="153"/>
      <c r="AG198" s="158" t="s">
        <v>6214</v>
      </c>
      <c r="AH198" s="153" t="s">
        <v>2943</v>
      </c>
      <c r="AI198" s="177" t="s">
        <v>2944</v>
      </c>
      <c r="AJ198" s="153" t="s">
        <v>1068</v>
      </c>
      <c r="AK198" s="153"/>
    </row>
    <row r="199">
      <c r="A199" s="152">
        <v>2025.0</v>
      </c>
      <c r="B199" s="151">
        <v>133.0</v>
      </c>
      <c r="C199" s="153" t="s">
        <v>8189</v>
      </c>
      <c r="D199" s="153"/>
      <c r="E199" s="153"/>
      <c r="F199" s="153"/>
      <c r="G199" s="153"/>
      <c r="H199" s="153" t="s">
        <v>257</v>
      </c>
      <c r="I199" s="153" t="s">
        <v>258</v>
      </c>
      <c r="J199" s="153" t="s">
        <v>491</v>
      </c>
      <c r="K199" s="153" t="s">
        <v>492</v>
      </c>
      <c r="L199" s="153" t="s">
        <v>384</v>
      </c>
      <c r="M199" s="158" t="s">
        <v>493</v>
      </c>
      <c r="N199" s="175" t="s">
        <v>6352</v>
      </c>
      <c r="O199" s="160" t="s">
        <v>149</v>
      </c>
      <c r="P199" s="160" t="s">
        <v>149</v>
      </c>
      <c r="Q199" s="153" t="s">
        <v>151</v>
      </c>
      <c r="R199" s="153" t="s">
        <v>6054</v>
      </c>
      <c r="S199" s="158" t="s">
        <v>6054</v>
      </c>
      <c r="T199" s="158" t="s">
        <v>149</v>
      </c>
      <c r="U199" s="153" t="s">
        <v>390</v>
      </c>
      <c r="V199" s="158" t="s">
        <v>160</v>
      </c>
      <c r="W199" s="158" t="s">
        <v>6035</v>
      </c>
      <c r="X199" s="158" t="s">
        <v>159</v>
      </c>
      <c r="Y199" s="158" t="s">
        <v>149</v>
      </c>
      <c r="Z199" s="158" t="s">
        <v>149</v>
      </c>
      <c r="AA199" s="153" t="s">
        <v>6663</v>
      </c>
      <c r="AB199" s="153" t="s">
        <v>390</v>
      </c>
      <c r="AC199" s="153" t="s">
        <v>6035</v>
      </c>
      <c r="AD199" s="153" t="s">
        <v>6055</v>
      </c>
      <c r="AE199" s="153"/>
      <c r="AF199" s="153"/>
      <c r="AG199" s="158" t="s">
        <v>6257</v>
      </c>
      <c r="AH199" s="153" t="s">
        <v>8247</v>
      </c>
      <c r="AI199" s="153" t="s">
        <v>6080</v>
      </c>
      <c r="AJ199" s="153"/>
      <c r="AK199" s="153"/>
    </row>
    <row r="200">
      <c r="A200" s="152">
        <v>2023.0</v>
      </c>
      <c r="B200" s="151">
        <v>134.0</v>
      </c>
      <c r="C200" s="129" t="s">
        <v>140</v>
      </c>
      <c r="D200" s="8"/>
      <c r="H200" s="8" t="s">
        <v>257</v>
      </c>
      <c r="I200" s="8" t="s">
        <v>258</v>
      </c>
      <c r="J200" s="8" t="s">
        <v>259</v>
      </c>
      <c r="K200" s="173" t="s">
        <v>260</v>
      </c>
      <c r="L200" s="8" t="s">
        <v>261</v>
      </c>
      <c r="N200" s="142" t="s">
        <v>6268</v>
      </c>
      <c r="O200" s="142"/>
      <c r="P200" s="142"/>
      <c r="Q200" s="8" t="s">
        <v>6651</v>
      </c>
      <c r="R200" s="8" t="s">
        <v>6666</v>
      </c>
      <c r="T200" s="8" t="s">
        <v>6667</v>
      </c>
      <c r="U200" s="8" t="s">
        <v>270</v>
      </c>
      <c r="AB200" s="8" t="s">
        <v>6643</v>
      </c>
    </row>
    <row r="201">
      <c r="A201" s="152">
        <v>2024.0</v>
      </c>
      <c r="B201" s="151">
        <v>69.0</v>
      </c>
      <c r="C201" s="153"/>
      <c r="D201" s="153"/>
      <c r="E201" s="153"/>
      <c r="F201" s="153"/>
      <c r="G201" s="153"/>
      <c r="H201" s="153" t="s">
        <v>143</v>
      </c>
      <c r="I201" s="153" t="s">
        <v>144</v>
      </c>
      <c r="J201" s="153" t="s">
        <v>693</v>
      </c>
      <c r="K201" s="153" t="s">
        <v>694</v>
      </c>
      <c r="L201" s="158" t="s">
        <v>149</v>
      </c>
      <c r="M201" s="153" t="s">
        <v>8248</v>
      </c>
      <c r="N201" s="230">
        <v>1983.0</v>
      </c>
      <c r="O201" s="192">
        <v>1983.0</v>
      </c>
      <c r="P201" s="192">
        <v>1984.0</v>
      </c>
      <c r="Q201" s="153" t="s">
        <v>6062</v>
      </c>
      <c r="R201" s="153" t="s">
        <v>179</v>
      </c>
      <c r="S201" s="158" t="s">
        <v>179</v>
      </c>
      <c r="T201" s="158" t="s">
        <v>2947</v>
      </c>
      <c r="U201" s="158" t="s">
        <v>321</v>
      </c>
      <c r="V201" s="158" t="s">
        <v>160</v>
      </c>
      <c r="W201" s="158" t="s">
        <v>6035</v>
      </c>
      <c r="X201" s="158" t="s">
        <v>204</v>
      </c>
      <c r="Y201" s="158" t="s">
        <v>149</v>
      </c>
      <c r="Z201" s="158" t="s">
        <v>149</v>
      </c>
      <c r="AA201" s="158" t="s">
        <v>149</v>
      </c>
      <c r="AB201" s="153" t="s">
        <v>233</v>
      </c>
      <c r="AC201" s="158" t="s">
        <v>6068</v>
      </c>
      <c r="AD201" s="153"/>
      <c r="AE201" s="153"/>
      <c r="AF201" s="153"/>
      <c r="AG201" s="158" t="s">
        <v>6214</v>
      </c>
      <c r="AH201" s="153" t="s">
        <v>2948</v>
      </c>
      <c r="AI201" s="177" t="s">
        <v>2949</v>
      </c>
      <c r="AJ201" s="153" t="s">
        <v>1068</v>
      </c>
      <c r="AK201" s="153"/>
    </row>
    <row r="202">
      <c r="A202" s="152">
        <v>2025.0</v>
      </c>
      <c r="B202" s="151">
        <v>134.0</v>
      </c>
      <c r="C202" s="153" t="s">
        <v>8189</v>
      </c>
      <c r="D202" s="153"/>
      <c r="E202" s="153"/>
      <c r="F202" s="153"/>
      <c r="G202" s="153"/>
      <c r="H202" s="153" t="s">
        <v>257</v>
      </c>
      <c r="I202" s="153" t="s">
        <v>258</v>
      </c>
      <c r="J202" s="153" t="s">
        <v>491</v>
      </c>
      <c r="K202" s="153" t="s">
        <v>492</v>
      </c>
      <c r="L202" s="153" t="s">
        <v>384</v>
      </c>
      <c r="M202" s="158" t="s">
        <v>493</v>
      </c>
      <c r="N202" s="175" t="s">
        <v>6052</v>
      </c>
      <c r="O202" s="175" t="s">
        <v>6052</v>
      </c>
      <c r="P202" s="175" t="s">
        <v>6053</v>
      </c>
      <c r="Q202" s="153" t="s">
        <v>151</v>
      </c>
      <c r="R202" s="153" t="s">
        <v>6054</v>
      </c>
      <c r="S202" s="158" t="s">
        <v>6054</v>
      </c>
      <c r="T202" s="158" t="s">
        <v>149</v>
      </c>
      <c r="U202" s="153" t="s">
        <v>390</v>
      </c>
      <c r="V202" s="158" t="s">
        <v>160</v>
      </c>
      <c r="W202" s="158" t="s">
        <v>6035</v>
      </c>
      <c r="X202" s="158" t="s">
        <v>159</v>
      </c>
      <c r="Y202" s="158" t="s">
        <v>149</v>
      </c>
      <c r="Z202" s="158" t="s">
        <v>149</v>
      </c>
      <c r="AA202" s="153" t="s">
        <v>495</v>
      </c>
      <c r="AB202" s="153" t="s">
        <v>390</v>
      </c>
      <c r="AC202" s="153" t="s">
        <v>6035</v>
      </c>
      <c r="AD202" s="153" t="s">
        <v>6055</v>
      </c>
      <c r="AE202" s="153"/>
      <c r="AF202" s="153"/>
      <c r="AG202" s="158" t="s">
        <v>6257</v>
      </c>
      <c r="AH202" s="158" t="s">
        <v>6669</v>
      </c>
      <c r="AI202" s="177" t="s">
        <v>6080</v>
      </c>
      <c r="AJ202" s="153" t="s">
        <v>398</v>
      </c>
      <c r="AK202" s="153"/>
    </row>
    <row r="203">
      <c r="A203" s="152">
        <v>2023.0</v>
      </c>
      <c r="B203" s="151">
        <v>135.0</v>
      </c>
      <c r="C203" s="129" t="s">
        <v>140</v>
      </c>
      <c r="D203" s="8"/>
      <c r="H203" s="8" t="s">
        <v>257</v>
      </c>
      <c r="I203" s="8" t="s">
        <v>258</v>
      </c>
      <c r="J203" s="8" t="s">
        <v>259</v>
      </c>
      <c r="K203" s="153" t="s">
        <v>260</v>
      </c>
      <c r="L203" s="8" t="s">
        <v>6113</v>
      </c>
      <c r="N203" s="142" t="s">
        <v>6098</v>
      </c>
      <c r="O203" s="142"/>
      <c r="P203" s="142"/>
      <c r="Q203" s="8" t="s">
        <v>151</v>
      </c>
      <c r="U203" s="8" t="s">
        <v>6671</v>
      </c>
      <c r="AB203" s="8" t="s">
        <v>6672</v>
      </c>
      <c r="AD203" s="8" t="s">
        <v>341</v>
      </c>
      <c r="AE203" s="8" t="s">
        <v>6673</v>
      </c>
      <c r="AF203" s="8" t="s">
        <v>3042</v>
      </c>
      <c r="AH203" s="8" t="s">
        <v>6027</v>
      </c>
      <c r="AI203" s="172" t="s">
        <v>3044</v>
      </c>
    </row>
    <row r="204">
      <c r="A204" s="152">
        <v>2024.0</v>
      </c>
      <c r="B204" s="151">
        <v>70.0</v>
      </c>
      <c r="C204" s="153"/>
      <c r="D204" s="153"/>
      <c r="E204" s="153"/>
      <c r="F204" s="153"/>
      <c r="G204" s="153"/>
      <c r="H204" s="153" t="s">
        <v>143</v>
      </c>
      <c r="I204" s="153" t="s">
        <v>144</v>
      </c>
      <c r="J204" s="153" t="s">
        <v>693</v>
      </c>
      <c r="K204" s="173" t="s">
        <v>694</v>
      </c>
      <c r="L204" s="158" t="s">
        <v>149</v>
      </c>
      <c r="M204" s="153" t="s">
        <v>8249</v>
      </c>
      <c r="N204" s="192">
        <v>1996.0</v>
      </c>
      <c r="O204" s="192">
        <v>1996.0</v>
      </c>
      <c r="P204" s="192">
        <v>1998.0</v>
      </c>
      <c r="Q204" s="153" t="s">
        <v>6062</v>
      </c>
      <c r="R204" s="153" t="s">
        <v>6357</v>
      </c>
      <c r="S204" s="158" t="s">
        <v>179</v>
      </c>
      <c r="T204" s="153" t="s">
        <v>8250</v>
      </c>
      <c r="U204" s="158" t="s">
        <v>2953</v>
      </c>
      <c r="V204" s="158" t="s">
        <v>6154</v>
      </c>
      <c r="W204" s="158" t="s">
        <v>206</v>
      </c>
      <c r="X204" s="158" t="s">
        <v>204</v>
      </c>
      <c r="Y204" s="158" t="s">
        <v>149</v>
      </c>
      <c r="Z204" s="158" t="s">
        <v>149</v>
      </c>
      <c r="AA204" s="158" t="s">
        <v>149</v>
      </c>
      <c r="AB204" s="153" t="s">
        <v>233</v>
      </c>
      <c r="AC204" s="158" t="s">
        <v>6068</v>
      </c>
      <c r="AD204" s="153"/>
      <c r="AE204" s="153"/>
      <c r="AF204" s="153"/>
      <c r="AG204" s="158" t="s">
        <v>6214</v>
      </c>
      <c r="AH204" s="153" t="s">
        <v>2954</v>
      </c>
      <c r="AI204" s="165" t="s">
        <v>6359</v>
      </c>
      <c r="AJ204" s="153" t="s">
        <v>1068</v>
      </c>
      <c r="AK204" s="153"/>
    </row>
    <row r="205">
      <c r="A205" s="152">
        <v>2025.0</v>
      </c>
      <c r="B205" s="151">
        <v>135.0</v>
      </c>
      <c r="C205" s="153" t="s">
        <v>8189</v>
      </c>
      <c r="D205" s="153"/>
      <c r="E205" s="153"/>
      <c r="F205" s="153"/>
      <c r="G205" s="153"/>
      <c r="H205" s="153" t="s">
        <v>257</v>
      </c>
      <c r="I205" s="153" t="s">
        <v>258</v>
      </c>
      <c r="J205" s="153" t="s">
        <v>491</v>
      </c>
      <c r="K205" s="173" t="s">
        <v>492</v>
      </c>
      <c r="L205" s="153" t="s">
        <v>1377</v>
      </c>
      <c r="M205" s="153"/>
      <c r="N205" s="160" t="s">
        <v>6896</v>
      </c>
      <c r="O205" s="175" t="s">
        <v>6198</v>
      </c>
      <c r="P205" s="175" t="s">
        <v>6199</v>
      </c>
      <c r="Q205" s="153" t="s">
        <v>151</v>
      </c>
      <c r="R205" s="158" t="s">
        <v>149</v>
      </c>
      <c r="S205" s="158" t="s">
        <v>149</v>
      </c>
      <c r="T205" s="158" t="s">
        <v>149</v>
      </c>
      <c r="U205" s="153" t="s">
        <v>1381</v>
      </c>
      <c r="V205" s="158" t="s">
        <v>6154</v>
      </c>
      <c r="W205" s="158" t="s">
        <v>206</v>
      </c>
      <c r="X205" s="158" t="s">
        <v>159</v>
      </c>
      <c r="Y205" s="158" t="s">
        <v>149</v>
      </c>
      <c r="Z205" s="158" t="s">
        <v>149</v>
      </c>
      <c r="AA205" s="158" t="s">
        <v>149</v>
      </c>
      <c r="AB205" s="153" t="s">
        <v>660</v>
      </c>
      <c r="AC205" s="153" t="s">
        <v>6035</v>
      </c>
      <c r="AD205" s="153" t="s">
        <v>369</v>
      </c>
      <c r="AE205" s="153"/>
      <c r="AF205" s="153"/>
      <c r="AG205" s="158" t="s">
        <v>395</v>
      </c>
      <c r="AH205" s="153" t="s">
        <v>6060</v>
      </c>
      <c r="AI205" s="158" t="s">
        <v>397</v>
      </c>
      <c r="AJ205" s="153" t="s">
        <v>398</v>
      </c>
      <c r="AK205" s="153"/>
    </row>
    <row r="206">
      <c r="A206" s="152">
        <v>2023.0</v>
      </c>
      <c r="B206" s="151">
        <v>136.0</v>
      </c>
      <c r="C206" s="129" t="s">
        <v>140</v>
      </c>
      <c r="D206" s="8"/>
      <c r="H206" s="8" t="s">
        <v>257</v>
      </c>
      <c r="I206" s="8" t="s">
        <v>258</v>
      </c>
      <c r="J206" s="8" t="s">
        <v>1667</v>
      </c>
      <c r="K206" s="173" t="s">
        <v>3010</v>
      </c>
      <c r="L206" s="8" t="s">
        <v>6113</v>
      </c>
      <c r="N206" s="142" t="s">
        <v>6352</v>
      </c>
      <c r="O206" s="142"/>
      <c r="P206" s="142"/>
      <c r="Q206" s="8" t="s">
        <v>151</v>
      </c>
      <c r="AB206" s="8" t="s">
        <v>6113</v>
      </c>
      <c r="AH206" s="8" t="s">
        <v>395</v>
      </c>
      <c r="AI206" s="8" t="s">
        <v>2873</v>
      </c>
      <c r="AJ206" s="8" t="s">
        <v>398</v>
      </c>
    </row>
    <row r="207">
      <c r="A207" s="152">
        <v>2024.0</v>
      </c>
      <c r="B207" s="151">
        <v>71.0</v>
      </c>
      <c r="C207" s="153"/>
      <c r="D207" s="153"/>
      <c r="E207" s="153"/>
      <c r="F207" s="153"/>
      <c r="G207" s="153"/>
      <c r="H207" s="153" t="s">
        <v>143</v>
      </c>
      <c r="I207" s="153" t="s">
        <v>144</v>
      </c>
      <c r="J207" s="153" t="s">
        <v>693</v>
      </c>
      <c r="K207" s="153" t="s">
        <v>694</v>
      </c>
      <c r="L207" s="158" t="s">
        <v>149</v>
      </c>
      <c r="M207" s="153" t="s">
        <v>8251</v>
      </c>
      <c r="N207" s="192">
        <v>1998.0</v>
      </c>
      <c r="O207" s="192">
        <v>1998.0</v>
      </c>
      <c r="P207" s="192">
        <v>1998.0</v>
      </c>
      <c r="Q207" s="153" t="s">
        <v>6062</v>
      </c>
      <c r="R207" s="153" t="s">
        <v>8252</v>
      </c>
      <c r="S207" s="158" t="s">
        <v>2958</v>
      </c>
      <c r="T207" s="153" t="s">
        <v>8253</v>
      </c>
      <c r="U207" s="158" t="s">
        <v>149</v>
      </c>
      <c r="V207" s="158" t="s">
        <v>149</v>
      </c>
      <c r="W207" s="158" t="s">
        <v>149</v>
      </c>
      <c r="X207" s="158" t="s">
        <v>149</v>
      </c>
      <c r="Y207" s="158" t="s">
        <v>149</v>
      </c>
      <c r="Z207" s="158" t="s">
        <v>149</v>
      </c>
      <c r="AA207" s="158" t="s">
        <v>149</v>
      </c>
      <c r="AB207" s="153" t="s">
        <v>233</v>
      </c>
      <c r="AC207" s="158" t="s">
        <v>6068</v>
      </c>
      <c r="AD207" s="153"/>
      <c r="AE207" s="153"/>
      <c r="AF207" s="153"/>
      <c r="AG207" s="158" t="s">
        <v>6214</v>
      </c>
      <c r="AH207" s="153" t="s">
        <v>2960</v>
      </c>
      <c r="AI207" s="165" t="s">
        <v>6366</v>
      </c>
      <c r="AJ207" s="153" t="s">
        <v>1068</v>
      </c>
      <c r="AK207" s="153"/>
    </row>
    <row r="208">
      <c r="A208" s="152">
        <v>2025.0</v>
      </c>
      <c r="B208" s="151">
        <v>136.0</v>
      </c>
      <c r="C208" s="153" t="s">
        <v>8189</v>
      </c>
      <c r="D208" s="153"/>
      <c r="E208" s="153"/>
      <c r="F208" s="153"/>
      <c r="G208" s="153"/>
      <c r="H208" s="153" t="s">
        <v>257</v>
      </c>
      <c r="I208" s="153" t="s">
        <v>258</v>
      </c>
      <c r="J208" s="153" t="s">
        <v>491</v>
      </c>
      <c r="K208" s="153" t="s">
        <v>492</v>
      </c>
      <c r="L208" s="153" t="s">
        <v>1174</v>
      </c>
      <c r="M208" s="158" t="s">
        <v>1263</v>
      </c>
      <c r="N208" s="160" t="s">
        <v>6151</v>
      </c>
      <c r="O208" s="175" t="s">
        <v>6151</v>
      </c>
      <c r="P208" s="175" t="s">
        <v>6089</v>
      </c>
      <c r="Q208" s="153" t="s">
        <v>6062</v>
      </c>
      <c r="R208" s="153" t="s">
        <v>320</v>
      </c>
      <c r="S208" s="158" t="s">
        <v>179</v>
      </c>
      <c r="T208" s="158" t="s">
        <v>1222</v>
      </c>
      <c r="U208" s="153" t="s">
        <v>321</v>
      </c>
      <c r="V208" s="158" t="s">
        <v>160</v>
      </c>
      <c r="W208" s="158" t="s">
        <v>6035</v>
      </c>
      <c r="X208" s="158" t="s">
        <v>159</v>
      </c>
      <c r="Y208" s="158" t="s">
        <v>149</v>
      </c>
      <c r="Z208" s="158" t="s">
        <v>149</v>
      </c>
      <c r="AA208" s="158" t="s">
        <v>1264</v>
      </c>
      <c r="AB208" s="153" t="s">
        <v>885</v>
      </c>
      <c r="AC208" s="158" t="s">
        <v>6068</v>
      </c>
      <c r="AD208" s="153" t="s">
        <v>1259</v>
      </c>
      <c r="AE208" s="153"/>
      <c r="AF208" s="153"/>
      <c r="AG208" s="158" t="s">
        <v>6069</v>
      </c>
      <c r="AH208" s="153" t="s">
        <v>1260</v>
      </c>
      <c r="AI208" s="153" t="s">
        <v>6070</v>
      </c>
      <c r="AJ208" s="153"/>
      <c r="AK208" s="153"/>
    </row>
    <row r="209">
      <c r="A209" s="152">
        <v>2023.0</v>
      </c>
      <c r="B209" s="151">
        <v>137.0</v>
      </c>
      <c r="C209" s="129" t="s">
        <v>140</v>
      </c>
      <c r="D209" s="8"/>
      <c r="H209" s="8" t="s">
        <v>257</v>
      </c>
      <c r="I209" s="8" t="s">
        <v>258</v>
      </c>
      <c r="J209" s="8" t="s">
        <v>491</v>
      </c>
      <c r="K209" s="277" t="s">
        <v>492</v>
      </c>
      <c r="L209" s="8" t="s">
        <v>384</v>
      </c>
      <c r="M209" s="8" t="s">
        <v>6678</v>
      </c>
      <c r="N209" s="278" t="s">
        <v>6073</v>
      </c>
      <c r="O209" s="142"/>
      <c r="P209" s="142"/>
      <c r="Q209" s="8" t="s">
        <v>151</v>
      </c>
      <c r="R209" s="8" t="s">
        <v>6076</v>
      </c>
      <c r="U209" s="8" t="s">
        <v>390</v>
      </c>
      <c r="AA209" s="8" t="s">
        <v>2862</v>
      </c>
      <c r="AB209" s="8" t="s">
        <v>390</v>
      </c>
      <c r="AD209" s="8" t="s">
        <v>6055</v>
      </c>
      <c r="AH209" s="8" t="s">
        <v>6257</v>
      </c>
      <c r="AI209" s="8" t="s">
        <v>6080</v>
      </c>
    </row>
    <row r="210">
      <c r="A210" s="152">
        <v>2024.0</v>
      </c>
      <c r="B210" s="151">
        <v>72.0</v>
      </c>
      <c r="C210" s="153"/>
      <c r="D210" s="153"/>
      <c r="E210" s="153"/>
      <c r="F210" s="153"/>
      <c r="G210" s="153"/>
      <c r="H210" s="153" t="s">
        <v>143</v>
      </c>
      <c r="I210" s="153" t="s">
        <v>144</v>
      </c>
      <c r="J210" s="153" t="s">
        <v>693</v>
      </c>
      <c r="K210" s="173" t="s">
        <v>694</v>
      </c>
      <c r="L210" s="153" t="s">
        <v>1846</v>
      </c>
      <c r="M210" s="158"/>
      <c r="N210" s="276">
        <v>2014.0</v>
      </c>
      <c r="O210" s="230">
        <v>2014.0</v>
      </c>
      <c r="P210" s="230">
        <v>2017.0</v>
      </c>
      <c r="Q210" s="153" t="s">
        <v>6221</v>
      </c>
      <c r="R210" s="158" t="s">
        <v>1847</v>
      </c>
      <c r="S210" s="158" t="s">
        <v>1847</v>
      </c>
      <c r="T210" s="153" t="s">
        <v>1848</v>
      </c>
      <c r="U210" s="153" t="s">
        <v>321</v>
      </c>
      <c r="V210" s="158" t="s">
        <v>160</v>
      </c>
      <c r="W210" s="158" t="s">
        <v>6035</v>
      </c>
      <c r="X210" s="158" t="s">
        <v>204</v>
      </c>
      <c r="Y210" s="240">
        <v>2682661.5</v>
      </c>
      <c r="Z210" s="158" t="s">
        <v>149</v>
      </c>
      <c r="AA210" s="158" t="s">
        <v>149</v>
      </c>
      <c r="AB210" s="153" t="s">
        <v>233</v>
      </c>
      <c r="AC210" s="158" t="s">
        <v>6068</v>
      </c>
      <c r="AD210" s="153" t="s">
        <v>1854</v>
      </c>
      <c r="AE210" s="153" t="s">
        <v>885</v>
      </c>
      <c r="AF210" s="153"/>
      <c r="AG210" s="153" t="s">
        <v>6084</v>
      </c>
      <c r="AH210" s="153" t="s">
        <v>1851</v>
      </c>
      <c r="AI210" s="153" t="s">
        <v>6070</v>
      </c>
      <c r="AJ210" s="153" t="s">
        <v>943</v>
      </c>
      <c r="AK210" s="153"/>
    </row>
    <row r="211">
      <c r="A211" s="152">
        <v>2025.0</v>
      </c>
      <c r="B211" s="151">
        <v>137.0</v>
      </c>
      <c r="C211" s="153" t="s">
        <v>8189</v>
      </c>
      <c r="D211" s="153"/>
      <c r="E211" s="153"/>
      <c r="F211" s="153"/>
      <c r="G211" s="153"/>
      <c r="H211" s="153" t="s">
        <v>257</v>
      </c>
      <c r="I211" s="153" t="s">
        <v>258</v>
      </c>
      <c r="J211" s="153" t="s">
        <v>2047</v>
      </c>
      <c r="K211" s="153" t="s">
        <v>2048</v>
      </c>
      <c r="L211" s="153" t="s">
        <v>6144</v>
      </c>
      <c r="M211" s="153"/>
      <c r="N211" s="216" t="s">
        <v>6098</v>
      </c>
      <c r="O211" s="160" t="s">
        <v>6042</v>
      </c>
      <c r="P211" s="160" t="s">
        <v>149</v>
      </c>
      <c r="Q211" s="153" t="s">
        <v>151</v>
      </c>
      <c r="R211" s="158" t="s">
        <v>6680</v>
      </c>
      <c r="S211" s="158" t="s">
        <v>6680</v>
      </c>
      <c r="T211" s="153" t="s">
        <v>6681</v>
      </c>
      <c r="U211" s="153" t="s">
        <v>2038</v>
      </c>
      <c r="V211" s="158" t="s">
        <v>160</v>
      </c>
      <c r="W211" s="158" t="s">
        <v>271</v>
      </c>
      <c r="X211" s="158" t="s">
        <v>159</v>
      </c>
      <c r="Y211" s="158" t="s">
        <v>149</v>
      </c>
      <c r="Z211" s="158" t="s">
        <v>149</v>
      </c>
      <c r="AA211" s="158" t="s">
        <v>149</v>
      </c>
      <c r="AB211" s="158" t="s">
        <v>2038</v>
      </c>
      <c r="AC211" s="158" t="s">
        <v>271</v>
      </c>
      <c r="AD211" s="153" t="s">
        <v>6682</v>
      </c>
      <c r="AE211" s="153" t="s">
        <v>2054</v>
      </c>
      <c r="AF211" s="153"/>
      <c r="AG211" s="158" t="s">
        <v>6091</v>
      </c>
      <c r="AH211" s="153" t="s">
        <v>2055</v>
      </c>
      <c r="AI211" s="165" t="s">
        <v>2056</v>
      </c>
      <c r="AJ211" s="153"/>
      <c r="AK211" s="153"/>
    </row>
    <row r="212">
      <c r="A212" s="152">
        <v>2023.0</v>
      </c>
      <c r="B212" s="151">
        <v>138.0</v>
      </c>
      <c r="C212" s="129" t="s">
        <v>140</v>
      </c>
      <c r="D212" s="8"/>
      <c r="H212" s="8" t="s">
        <v>257</v>
      </c>
      <c r="I212" s="8" t="s">
        <v>258</v>
      </c>
      <c r="J212" s="8" t="s">
        <v>491</v>
      </c>
      <c r="K212" s="277" t="s">
        <v>492</v>
      </c>
      <c r="L212" s="8" t="s">
        <v>384</v>
      </c>
      <c r="M212" s="8" t="s">
        <v>6678</v>
      </c>
      <c r="N212" s="278" t="s">
        <v>6352</v>
      </c>
      <c r="O212" s="142"/>
      <c r="P212" s="142"/>
      <c r="Q212" s="8" t="s">
        <v>151</v>
      </c>
      <c r="R212" s="8" t="s">
        <v>6054</v>
      </c>
      <c r="U212" s="8" t="s">
        <v>390</v>
      </c>
      <c r="AA212" s="8" t="s">
        <v>450</v>
      </c>
      <c r="AB212" s="8" t="s">
        <v>390</v>
      </c>
      <c r="AD212" s="8" t="s">
        <v>6055</v>
      </c>
      <c r="AH212" s="8" t="s">
        <v>6257</v>
      </c>
      <c r="AI212" s="8" t="s">
        <v>6080</v>
      </c>
    </row>
    <row r="213">
      <c r="A213" s="152">
        <v>2024.0</v>
      </c>
      <c r="B213" s="151">
        <v>73.0</v>
      </c>
      <c r="C213" s="153"/>
      <c r="D213" s="153"/>
      <c r="E213" s="153"/>
      <c r="F213" s="153"/>
      <c r="G213" s="153"/>
      <c r="H213" s="153" t="s">
        <v>143</v>
      </c>
      <c r="I213" s="153" t="s">
        <v>144</v>
      </c>
      <c r="J213" s="153" t="s">
        <v>693</v>
      </c>
      <c r="K213" s="173" t="s">
        <v>694</v>
      </c>
      <c r="L213" s="153" t="s">
        <v>1828</v>
      </c>
      <c r="M213" s="153" t="s">
        <v>6256</v>
      </c>
      <c r="N213" s="230">
        <v>2014.0</v>
      </c>
      <c r="O213" s="230">
        <v>2014.0</v>
      </c>
      <c r="P213" s="230">
        <v>2017.0</v>
      </c>
      <c r="Q213" s="153" t="s">
        <v>6221</v>
      </c>
      <c r="R213" s="158" t="s">
        <v>1830</v>
      </c>
      <c r="S213" s="158" t="s">
        <v>1830</v>
      </c>
      <c r="T213" s="153" t="s">
        <v>1831</v>
      </c>
      <c r="U213" s="153" t="s">
        <v>321</v>
      </c>
      <c r="V213" s="158" t="s">
        <v>160</v>
      </c>
      <c r="W213" s="158" t="s">
        <v>6035</v>
      </c>
      <c r="X213" s="158" t="s">
        <v>204</v>
      </c>
      <c r="Y213" s="240">
        <v>2803661.28</v>
      </c>
      <c r="Z213" s="158" t="s">
        <v>149</v>
      </c>
      <c r="AA213" s="158" t="s">
        <v>149</v>
      </c>
      <c r="AB213" s="153" t="s">
        <v>233</v>
      </c>
      <c r="AC213" s="158" t="s">
        <v>6068</v>
      </c>
      <c r="AD213" s="153" t="s">
        <v>1837</v>
      </c>
      <c r="AE213" s="153"/>
      <c r="AF213" s="153"/>
      <c r="AG213" s="153" t="s">
        <v>6084</v>
      </c>
      <c r="AH213" s="153" t="s">
        <v>1834</v>
      </c>
      <c r="AI213" s="153" t="s">
        <v>6070</v>
      </c>
      <c r="AJ213" s="153" t="s">
        <v>943</v>
      </c>
      <c r="AK213" s="153"/>
    </row>
    <row r="214">
      <c r="A214" s="152">
        <v>2023.0</v>
      </c>
      <c r="B214" s="151">
        <v>139.0</v>
      </c>
      <c r="C214" s="129" t="s">
        <v>140</v>
      </c>
      <c r="D214" s="8"/>
      <c r="H214" s="8" t="s">
        <v>257</v>
      </c>
      <c r="I214" s="8" t="s">
        <v>258</v>
      </c>
      <c r="J214" s="8" t="s">
        <v>491</v>
      </c>
      <c r="K214" s="281" t="s">
        <v>492</v>
      </c>
      <c r="L214" s="8" t="s">
        <v>384</v>
      </c>
      <c r="M214" s="8" t="s">
        <v>6678</v>
      </c>
      <c r="N214" s="278" t="s">
        <v>6352</v>
      </c>
      <c r="O214" s="142"/>
      <c r="P214" s="142"/>
      <c r="Q214" s="8" t="s">
        <v>151</v>
      </c>
      <c r="R214" s="8" t="s">
        <v>6054</v>
      </c>
      <c r="U214" s="8" t="s">
        <v>390</v>
      </c>
      <c r="AA214" s="8" t="s">
        <v>6663</v>
      </c>
      <c r="AB214" s="8" t="s">
        <v>390</v>
      </c>
      <c r="AD214" s="8" t="s">
        <v>6055</v>
      </c>
      <c r="AH214" s="8" t="s">
        <v>6257</v>
      </c>
      <c r="AI214" s="8" t="s">
        <v>6080</v>
      </c>
    </row>
    <row r="215">
      <c r="A215" s="152">
        <v>2023.0</v>
      </c>
      <c r="B215" s="151">
        <v>140.0</v>
      </c>
      <c r="C215" s="129" t="s">
        <v>140</v>
      </c>
      <c r="D215" s="8"/>
      <c r="H215" s="8" t="s">
        <v>257</v>
      </c>
      <c r="I215" s="8" t="s">
        <v>258</v>
      </c>
      <c r="J215" s="8" t="s">
        <v>491</v>
      </c>
      <c r="K215" s="281" t="s">
        <v>492</v>
      </c>
      <c r="L215" s="8" t="s">
        <v>384</v>
      </c>
      <c r="M215" s="8" t="s">
        <v>6678</v>
      </c>
      <c r="N215" s="142" t="s">
        <v>6052</v>
      </c>
      <c r="O215" s="142" t="s">
        <v>6052</v>
      </c>
      <c r="P215" s="142" t="s">
        <v>6053</v>
      </c>
      <c r="Q215" s="8" t="s">
        <v>151</v>
      </c>
      <c r="R215" s="8" t="s">
        <v>6054</v>
      </c>
      <c r="U215" s="8" t="s">
        <v>390</v>
      </c>
      <c r="AA215" s="8" t="s">
        <v>495</v>
      </c>
      <c r="AB215" s="8" t="s">
        <v>390</v>
      </c>
      <c r="AD215" s="8" t="s">
        <v>6055</v>
      </c>
      <c r="AH215" s="8" t="s">
        <v>6057</v>
      </c>
      <c r="AI215" s="8" t="s">
        <v>2873</v>
      </c>
      <c r="AJ215" s="8" t="s">
        <v>398</v>
      </c>
    </row>
    <row r="216">
      <c r="A216" s="152">
        <v>2024.0</v>
      </c>
      <c r="B216" s="151">
        <v>74.0</v>
      </c>
      <c r="C216" s="153"/>
      <c r="D216" s="153"/>
      <c r="E216" s="153"/>
      <c r="F216" s="153"/>
      <c r="G216" s="153"/>
      <c r="H216" s="153" t="s">
        <v>143</v>
      </c>
      <c r="I216" s="153" t="s">
        <v>144</v>
      </c>
      <c r="J216" s="153" t="s">
        <v>693</v>
      </c>
      <c r="K216" s="173" t="s">
        <v>694</v>
      </c>
      <c r="L216" s="158" t="s">
        <v>149</v>
      </c>
      <c r="M216" s="153" t="s">
        <v>8254</v>
      </c>
      <c r="N216" s="192">
        <v>2004.0</v>
      </c>
      <c r="O216" s="192">
        <v>2004.0</v>
      </c>
      <c r="P216" s="192">
        <v>2004.0</v>
      </c>
      <c r="Q216" s="158" t="s">
        <v>6259</v>
      </c>
      <c r="R216" s="158" t="s">
        <v>2964</v>
      </c>
      <c r="S216" s="158" t="s">
        <v>2964</v>
      </c>
      <c r="T216" s="153" t="s">
        <v>2965</v>
      </c>
      <c r="U216" s="158" t="s">
        <v>2966</v>
      </c>
      <c r="V216" s="158" t="s">
        <v>160</v>
      </c>
      <c r="W216" s="158" t="s">
        <v>184</v>
      </c>
      <c r="X216" s="158" t="s">
        <v>204</v>
      </c>
      <c r="Y216" s="241" t="s">
        <v>149</v>
      </c>
      <c r="Z216" s="158" t="s">
        <v>149</v>
      </c>
      <c r="AA216" s="158" t="s">
        <v>2967</v>
      </c>
      <c r="AB216" s="153" t="s">
        <v>233</v>
      </c>
      <c r="AC216" s="158" t="s">
        <v>6068</v>
      </c>
      <c r="AD216" s="153"/>
      <c r="AE216" s="153"/>
      <c r="AF216" s="153"/>
      <c r="AG216" s="158" t="s">
        <v>6214</v>
      </c>
      <c r="AH216" s="153" t="s">
        <v>2968</v>
      </c>
      <c r="AI216" s="165" t="s">
        <v>2969</v>
      </c>
      <c r="AJ216" s="153" t="s">
        <v>2970</v>
      </c>
      <c r="AK216" s="153"/>
    </row>
    <row r="217">
      <c r="A217" s="152">
        <v>2023.0</v>
      </c>
      <c r="B217" s="151">
        <v>141.0</v>
      </c>
      <c r="C217" s="129" t="s">
        <v>140</v>
      </c>
      <c r="D217" s="8"/>
      <c r="H217" s="8" t="s">
        <v>257</v>
      </c>
      <c r="I217" s="8" t="s">
        <v>258</v>
      </c>
      <c r="J217" s="8" t="s">
        <v>491</v>
      </c>
      <c r="K217" s="282" t="s">
        <v>492</v>
      </c>
      <c r="L217" s="8" t="s">
        <v>1377</v>
      </c>
      <c r="N217" s="142"/>
      <c r="O217" s="142" t="s">
        <v>6198</v>
      </c>
      <c r="P217" s="142" t="s">
        <v>6199</v>
      </c>
      <c r="Q217" s="8" t="s">
        <v>151</v>
      </c>
      <c r="U217" s="8" t="s">
        <v>1381</v>
      </c>
      <c r="AB217" s="8" t="s">
        <v>660</v>
      </c>
      <c r="AD217" s="8" t="s">
        <v>369</v>
      </c>
      <c r="AH217" s="8" t="s">
        <v>395</v>
      </c>
      <c r="AI217" s="8" t="s">
        <v>2873</v>
      </c>
      <c r="AJ217" s="8" t="s">
        <v>398</v>
      </c>
    </row>
    <row r="218">
      <c r="A218" s="152">
        <v>2023.0</v>
      </c>
      <c r="B218" s="151">
        <v>142.0</v>
      </c>
      <c r="C218" s="129" t="s">
        <v>140</v>
      </c>
      <c r="D218" s="8"/>
      <c r="H218" s="8" t="s">
        <v>257</v>
      </c>
      <c r="I218" s="8" t="s">
        <v>258</v>
      </c>
      <c r="J218" s="8" t="s">
        <v>491</v>
      </c>
      <c r="K218" s="173" t="s">
        <v>492</v>
      </c>
      <c r="L218" s="8" t="s">
        <v>1174</v>
      </c>
      <c r="N218" s="142"/>
      <c r="O218" s="142" t="s">
        <v>6151</v>
      </c>
      <c r="P218" s="142" t="s">
        <v>6089</v>
      </c>
      <c r="Q218" s="8" t="s">
        <v>6062</v>
      </c>
      <c r="R218" s="8" t="s">
        <v>320</v>
      </c>
      <c r="U218" s="8" t="s">
        <v>321</v>
      </c>
      <c r="AA218" s="8" t="s">
        <v>6695</v>
      </c>
      <c r="AB218" s="8" t="s">
        <v>885</v>
      </c>
      <c r="AD218" s="8" t="s">
        <v>1259</v>
      </c>
      <c r="AH218" s="8" t="s">
        <v>6069</v>
      </c>
    </row>
    <row r="219">
      <c r="A219" s="152">
        <v>2024.0</v>
      </c>
      <c r="B219" s="151">
        <v>75.0</v>
      </c>
      <c r="C219" s="153"/>
      <c r="D219" s="153"/>
      <c r="E219" s="153"/>
      <c r="F219" s="153"/>
      <c r="G219" s="153"/>
      <c r="H219" s="153" t="s">
        <v>143</v>
      </c>
      <c r="I219" s="153" t="s">
        <v>144</v>
      </c>
      <c r="J219" s="153" t="s">
        <v>693</v>
      </c>
      <c r="K219" s="173" t="s">
        <v>694</v>
      </c>
      <c r="L219" s="158" t="s">
        <v>149</v>
      </c>
      <c r="M219" s="153" t="s">
        <v>8255</v>
      </c>
      <c r="N219" s="192">
        <v>2018.0</v>
      </c>
      <c r="O219" s="192">
        <v>2018.0</v>
      </c>
      <c r="P219" s="192">
        <v>2018.0</v>
      </c>
      <c r="Q219" s="158" t="s">
        <v>6259</v>
      </c>
      <c r="R219" s="153" t="s">
        <v>8256</v>
      </c>
      <c r="S219" s="153"/>
      <c r="T219" s="153" t="s">
        <v>2973</v>
      </c>
      <c r="U219" s="158" t="s">
        <v>2974</v>
      </c>
      <c r="V219" s="158" t="s">
        <v>160</v>
      </c>
      <c r="W219" s="158" t="s">
        <v>209</v>
      </c>
      <c r="X219" s="158" t="s">
        <v>204</v>
      </c>
      <c r="Y219" s="241" t="s">
        <v>149</v>
      </c>
      <c r="Z219" s="158" t="s">
        <v>149</v>
      </c>
      <c r="AA219" s="158" t="s">
        <v>149</v>
      </c>
      <c r="AB219" s="158" t="s">
        <v>233</v>
      </c>
      <c r="AC219" s="158" t="s">
        <v>6068</v>
      </c>
      <c r="AD219" s="153" t="s">
        <v>321</v>
      </c>
      <c r="AE219" s="153"/>
      <c r="AF219" s="153"/>
      <c r="AG219" s="158" t="s">
        <v>6214</v>
      </c>
      <c r="AH219" s="153" t="s">
        <v>2975</v>
      </c>
      <c r="AI219" s="165" t="s">
        <v>2976</v>
      </c>
      <c r="AJ219" s="153" t="s">
        <v>2977</v>
      </c>
      <c r="AK219" s="153"/>
    </row>
    <row r="220">
      <c r="A220" s="152">
        <v>2023.0</v>
      </c>
      <c r="B220" s="151">
        <v>143.0</v>
      </c>
      <c r="C220" s="129" t="s">
        <v>140</v>
      </c>
      <c r="D220" s="8"/>
      <c r="H220" s="8" t="s">
        <v>257</v>
      </c>
      <c r="I220" s="8" t="s">
        <v>258</v>
      </c>
      <c r="J220" s="8" t="s">
        <v>2047</v>
      </c>
      <c r="K220" s="153" t="s">
        <v>2048</v>
      </c>
      <c r="L220" s="8" t="s">
        <v>6144</v>
      </c>
      <c r="N220" s="142" t="s">
        <v>6098</v>
      </c>
      <c r="O220" s="142"/>
      <c r="P220" s="142"/>
      <c r="Q220" s="8" t="s">
        <v>151</v>
      </c>
      <c r="T220" s="8" t="s">
        <v>6698</v>
      </c>
      <c r="U220" s="8" t="s">
        <v>2038</v>
      </c>
      <c r="AB220" s="8" t="s">
        <v>369</v>
      </c>
      <c r="AD220" s="8" t="s">
        <v>341</v>
      </c>
      <c r="AE220" s="8" t="s">
        <v>2054</v>
      </c>
      <c r="AH220" s="8" t="s">
        <v>6091</v>
      </c>
      <c r="AI220" s="172" t="s">
        <v>2056</v>
      </c>
    </row>
    <row r="221">
      <c r="A221" s="152">
        <v>2023.0</v>
      </c>
      <c r="B221" s="151">
        <v>144.0</v>
      </c>
      <c r="C221" s="129" t="s">
        <v>140</v>
      </c>
      <c r="D221" s="8"/>
      <c r="H221" s="8" t="s">
        <v>257</v>
      </c>
      <c r="I221" s="8" t="s">
        <v>258</v>
      </c>
      <c r="J221" s="8" t="s">
        <v>447</v>
      </c>
      <c r="K221" s="153" t="s">
        <v>4223</v>
      </c>
      <c r="L221" s="8" t="s">
        <v>6704</v>
      </c>
      <c r="N221" s="142" t="s">
        <v>6404</v>
      </c>
      <c r="O221" s="142" t="s">
        <v>6404</v>
      </c>
      <c r="P221" s="142" t="s">
        <v>6151</v>
      </c>
      <c r="Q221" s="8" t="s">
        <v>151</v>
      </c>
      <c r="R221" s="8" t="s">
        <v>8028</v>
      </c>
      <c r="T221" s="8" t="s">
        <v>6705</v>
      </c>
      <c r="AB221" s="8" t="s">
        <v>724</v>
      </c>
      <c r="AE221" s="8" t="s">
        <v>1934</v>
      </c>
      <c r="AH221" s="8" t="s">
        <v>6517</v>
      </c>
      <c r="AI221" s="172" t="s">
        <v>6706</v>
      </c>
    </row>
    <row r="222">
      <c r="A222" s="152">
        <v>2024.0</v>
      </c>
      <c r="B222" s="151">
        <v>76.0</v>
      </c>
      <c r="C222" s="153"/>
      <c r="D222" s="153"/>
      <c r="E222" s="153"/>
      <c r="F222" s="153"/>
      <c r="G222" s="153"/>
      <c r="H222" s="153" t="s">
        <v>143</v>
      </c>
      <c r="I222" s="153" t="s">
        <v>144</v>
      </c>
      <c r="J222" s="153" t="s">
        <v>693</v>
      </c>
      <c r="K222" s="153" t="s">
        <v>694</v>
      </c>
      <c r="L222" s="158" t="s">
        <v>149</v>
      </c>
      <c r="M222" s="153" t="s">
        <v>8257</v>
      </c>
      <c r="N222" s="192">
        <v>2005.0</v>
      </c>
      <c r="O222" s="192">
        <v>2005.0</v>
      </c>
      <c r="P222" s="192">
        <v>2006.0</v>
      </c>
      <c r="Q222" s="153" t="s">
        <v>6062</v>
      </c>
      <c r="R222" s="158" t="s">
        <v>2980</v>
      </c>
      <c r="S222" s="158" t="s">
        <v>2980</v>
      </c>
      <c r="T222" s="153" t="s">
        <v>8258</v>
      </c>
      <c r="U222" s="158" t="s">
        <v>2982</v>
      </c>
      <c r="V222" s="158" t="s">
        <v>6154</v>
      </c>
      <c r="W222" s="158" t="s">
        <v>206</v>
      </c>
      <c r="X222" s="158" t="s">
        <v>204</v>
      </c>
      <c r="Y222" s="241" t="s">
        <v>149</v>
      </c>
      <c r="Z222" s="158" t="s">
        <v>149</v>
      </c>
      <c r="AA222" s="158" t="s">
        <v>2983</v>
      </c>
      <c r="AB222" s="158" t="s">
        <v>233</v>
      </c>
      <c r="AC222" s="158" t="s">
        <v>6068</v>
      </c>
      <c r="AD222" s="153"/>
      <c r="AE222" s="153"/>
      <c r="AF222" s="153"/>
      <c r="AG222" s="158" t="s">
        <v>6214</v>
      </c>
      <c r="AH222" s="153" t="s">
        <v>2984</v>
      </c>
      <c r="AI222" s="172" t="s">
        <v>2985</v>
      </c>
      <c r="AJ222" s="153" t="s">
        <v>2986</v>
      </c>
      <c r="AK222" s="153"/>
    </row>
    <row r="223">
      <c r="A223" s="152">
        <v>2023.0</v>
      </c>
      <c r="B223" s="151">
        <v>252.0</v>
      </c>
      <c r="C223" s="129" t="s">
        <v>140</v>
      </c>
      <c r="D223" s="8"/>
      <c r="H223" s="8" t="s">
        <v>193</v>
      </c>
      <c r="I223" s="8" t="s">
        <v>563</v>
      </c>
      <c r="J223" s="8" t="s">
        <v>230</v>
      </c>
      <c r="K223" s="212" t="s">
        <v>1713</v>
      </c>
      <c r="L223" s="8" t="s">
        <v>1683</v>
      </c>
      <c r="N223" s="142"/>
      <c r="O223" s="142" t="s">
        <v>6063</v>
      </c>
      <c r="P223" s="142" t="s">
        <v>6064</v>
      </c>
      <c r="Q223" s="8" t="s">
        <v>6062</v>
      </c>
      <c r="R223" s="8" t="s">
        <v>320</v>
      </c>
      <c r="U223" s="8" t="s">
        <v>321</v>
      </c>
      <c r="AA223" s="8" t="s">
        <v>1692</v>
      </c>
      <c r="AB223" s="8" t="s">
        <v>1714</v>
      </c>
      <c r="AH223" s="8" t="s">
        <v>6069</v>
      </c>
      <c r="AJ223" s="8" t="s">
        <v>1716</v>
      </c>
      <c r="AK223" s="172" t="s">
        <v>1717</v>
      </c>
    </row>
    <row r="224">
      <c r="A224" s="152">
        <v>2023.0</v>
      </c>
      <c r="B224" s="151">
        <v>253.0</v>
      </c>
      <c r="C224" s="129" t="s">
        <v>140</v>
      </c>
      <c r="D224" s="8"/>
      <c r="H224" s="8" t="s">
        <v>193</v>
      </c>
      <c r="I224" s="8" t="s">
        <v>563</v>
      </c>
      <c r="J224" s="8" t="s">
        <v>230</v>
      </c>
      <c r="K224" s="212" t="s">
        <v>1713</v>
      </c>
      <c r="L224" s="8" t="s">
        <v>6113</v>
      </c>
      <c r="M224" s="8" t="s">
        <v>7076</v>
      </c>
      <c r="N224" s="142" t="s">
        <v>6268</v>
      </c>
      <c r="O224" s="142" t="s">
        <v>6268</v>
      </c>
      <c r="P224" s="142" t="s">
        <v>6064</v>
      </c>
      <c r="Q224" s="8" t="s">
        <v>6062</v>
      </c>
      <c r="R224" s="8" t="s">
        <v>3245</v>
      </c>
      <c r="T224" s="8" t="s">
        <v>7077</v>
      </c>
      <c r="U224" s="8" t="s">
        <v>321</v>
      </c>
      <c r="AA224" s="8" t="s">
        <v>7078</v>
      </c>
      <c r="AB224" s="8" t="s">
        <v>1714</v>
      </c>
      <c r="AH224" s="8" t="s">
        <v>6214</v>
      </c>
      <c r="AI224" s="8" t="s">
        <v>7079</v>
      </c>
      <c r="AJ224" s="8" t="s">
        <v>1716</v>
      </c>
      <c r="AK224" s="172" t="s">
        <v>1717</v>
      </c>
    </row>
    <row r="225">
      <c r="A225" s="152">
        <v>2024.0</v>
      </c>
      <c r="B225" s="151">
        <v>77.0</v>
      </c>
      <c r="C225" s="153"/>
      <c r="D225" s="153"/>
      <c r="E225" s="153"/>
      <c r="F225" s="153"/>
      <c r="G225" s="153"/>
      <c r="H225" s="153" t="s">
        <v>143</v>
      </c>
      <c r="I225" s="153" t="s">
        <v>144</v>
      </c>
      <c r="J225" s="153" t="s">
        <v>693</v>
      </c>
      <c r="K225" s="153" t="s">
        <v>694</v>
      </c>
      <c r="L225" s="158" t="s">
        <v>6397</v>
      </c>
      <c r="M225" s="153" t="s">
        <v>8259</v>
      </c>
      <c r="N225" s="230">
        <v>2005.0</v>
      </c>
      <c r="O225" s="230">
        <v>2005.0</v>
      </c>
      <c r="P225" s="192" t="s">
        <v>149</v>
      </c>
      <c r="Q225" s="153" t="s">
        <v>6062</v>
      </c>
      <c r="R225" s="153" t="s">
        <v>8260</v>
      </c>
      <c r="S225" s="153" t="s">
        <v>8261</v>
      </c>
      <c r="T225" s="153" t="s">
        <v>1019</v>
      </c>
      <c r="U225" s="153" t="s">
        <v>1020</v>
      </c>
      <c r="V225" s="158" t="s">
        <v>6154</v>
      </c>
      <c r="W225" s="158" t="s">
        <v>206</v>
      </c>
      <c r="X225" s="158" t="s">
        <v>204</v>
      </c>
      <c r="Y225" s="241" t="s">
        <v>149</v>
      </c>
      <c r="Z225" s="158" t="s">
        <v>149</v>
      </c>
      <c r="AA225" s="158" t="s">
        <v>1021</v>
      </c>
      <c r="AB225" s="158" t="s">
        <v>233</v>
      </c>
      <c r="AC225" s="158" t="s">
        <v>6068</v>
      </c>
      <c r="AD225" s="153"/>
      <c r="AE225" s="153" t="s">
        <v>1022</v>
      </c>
      <c r="AF225" s="153"/>
      <c r="AG225" s="158" t="s">
        <v>6214</v>
      </c>
      <c r="AH225" s="153" t="s">
        <v>1023</v>
      </c>
      <c r="AI225" s="172" t="s">
        <v>1024</v>
      </c>
      <c r="AJ225" s="153" t="s">
        <v>1025</v>
      </c>
      <c r="AK225" s="165" t="s">
        <v>1026</v>
      </c>
    </row>
    <row r="226">
      <c r="A226" s="152">
        <v>2023.0</v>
      </c>
      <c r="B226" s="151">
        <v>254.0</v>
      </c>
      <c r="C226" s="129" t="s">
        <v>140</v>
      </c>
      <c r="D226" s="8"/>
      <c r="H226" s="8" t="s">
        <v>193</v>
      </c>
      <c r="I226" s="8" t="s">
        <v>563</v>
      </c>
      <c r="J226" s="8" t="s">
        <v>962</v>
      </c>
      <c r="K226" s="198" t="s">
        <v>963</v>
      </c>
      <c r="L226" s="8" t="s">
        <v>934</v>
      </c>
      <c r="N226" s="142" t="s">
        <v>6229</v>
      </c>
      <c r="O226" s="142" t="s">
        <v>6229</v>
      </c>
      <c r="P226" s="142" t="s">
        <v>6230</v>
      </c>
      <c r="Q226" s="8" t="s">
        <v>6062</v>
      </c>
      <c r="R226" s="8" t="s">
        <v>6276</v>
      </c>
      <c r="T226" s="8" t="s">
        <v>939</v>
      </c>
      <c r="U226" s="8" t="s">
        <v>940</v>
      </c>
      <c r="AB226" s="8" t="s">
        <v>233</v>
      </c>
      <c r="AH226" s="8" t="s">
        <v>6214</v>
      </c>
      <c r="AI226" s="8" t="s">
        <v>942</v>
      </c>
      <c r="AJ226" s="8" t="s">
        <v>943</v>
      </c>
    </row>
    <row r="227">
      <c r="A227" s="152">
        <v>2023.0</v>
      </c>
      <c r="B227" s="151">
        <v>255.0</v>
      </c>
      <c r="C227" s="129" t="s">
        <v>140</v>
      </c>
      <c r="D227" s="8"/>
      <c r="H227" s="8" t="s">
        <v>193</v>
      </c>
      <c r="I227" s="8" t="s">
        <v>563</v>
      </c>
      <c r="J227" s="8" t="s">
        <v>564</v>
      </c>
      <c r="K227" s="283" t="s">
        <v>565</v>
      </c>
      <c r="L227" s="8" t="s">
        <v>384</v>
      </c>
      <c r="M227" s="8" t="s">
        <v>566</v>
      </c>
      <c r="N227" s="142" t="s">
        <v>6051</v>
      </c>
      <c r="O227" s="142" t="s">
        <v>6052</v>
      </c>
      <c r="P227" s="142" t="s">
        <v>6053</v>
      </c>
      <c r="Q227" s="8" t="s">
        <v>151</v>
      </c>
      <c r="R227" s="8" t="s">
        <v>6054</v>
      </c>
      <c r="U227" s="8" t="s">
        <v>390</v>
      </c>
      <c r="AA227" s="8" t="s">
        <v>475</v>
      </c>
      <c r="AB227" s="8" t="s">
        <v>390</v>
      </c>
      <c r="AD227" s="8" t="s">
        <v>6055</v>
      </c>
      <c r="AH227" s="8" t="s">
        <v>6057</v>
      </c>
      <c r="AI227" s="8" t="s">
        <v>2873</v>
      </c>
      <c r="AJ227" s="8" t="s">
        <v>398</v>
      </c>
    </row>
    <row r="228">
      <c r="A228" s="152">
        <v>2024.0</v>
      </c>
      <c r="B228" s="151">
        <v>78.0</v>
      </c>
      <c r="C228" s="153"/>
      <c r="D228" s="153"/>
      <c r="E228" s="153"/>
      <c r="F228" s="153"/>
      <c r="G228" s="153"/>
      <c r="H228" s="153" t="s">
        <v>143</v>
      </c>
      <c r="I228" s="153" t="s">
        <v>144</v>
      </c>
      <c r="J228" s="153" t="s">
        <v>693</v>
      </c>
      <c r="K228" s="153" t="s">
        <v>694</v>
      </c>
      <c r="L228" s="158" t="s">
        <v>6397</v>
      </c>
      <c r="M228" s="153" t="s">
        <v>8262</v>
      </c>
      <c r="N228" s="230">
        <v>2005.0</v>
      </c>
      <c r="O228" s="192">
        <v>2005.0</v>
      </c>
      <c r="P228" s="192">
        <v>2007.0</v>
      </c>
      <c r="Q228" s="153" t="s">
        <v>6062</v>
      </c>
      <c r="R228" s="153" t="s">
        <v>1029</v>
      </c>
      <c r="S228" s="158" t="s">
        <v>1029</v>
      </c>
      <c r="T228" s="153" t="s">
        <v>1030</v>
      </c>
      <c r="U228" s="158" t="s">
        <v>1020</v>
      </c>
      <c r="V228" s="158" t="s">
        <v>6154</v>
      </c>
      <c r="W228" s="158" t="s">
        <v>206</v>
      </c>
      <c r="X228" s="158" t="s">
        <v>204</v>
      </c>
      <c r="Y228" s="241" t="s">
        <v>149</v>
      </c>
      <c r="Z228" s="158" t="s">
        <v>149</v>
      </c>
      <c r="AA228" s="153" t="s">
        <v>1031</v>
      </c>
      <c r="AB228" s="158" t="s">
        <v>1032</v>
      </c>
      <c r="AC228" s="158" t="s">
        <v>6068</v>
      </c>
      <c r="AD228" s="158" t="s">
        <v>233</v>
      </c>
      <c r="AE228" s="153" t="s">
        <v>1022</v>
      </c>
      <c r="AF228" s="153"/>
      <c r="AG228" s="158" t="s">
        <v>6214</v>
      </c>
      <c r="AH228" s="153" t="s">
        <v>1033</v>
      </c>
      <c r="AI228" s="165" t="s">
        <v>1034</v>
      </c>
      <c r="AJ228" s="153" t="s">
        <v>1025</v>
      </c>
      <c r="AK228" s="165" t="s">
        <v>1026</v>
      </c>
    </row>
    <row r="229">
      <c r="A229" s="152">
        <v>2023.0</v>
      </c>
      <c r="B229" s="151">
        <v>256.0</v>
      </c>
      <c r="C229" s="129" t="s">
        <v>140</v>
      </c>
      <c r="D229" s="8"/>
      <c r="H229" s="8" t="s">
        <v>193</v>
      </c>
      <c r="I229" s="8" t="s">
        <v>563</v>
      </c>
      <c r="J229" s="8" t="s">
        <v>1108</v>
      </c>
      <c r="K229" s="8" t="s">
        <v>1109</v>
      </c>
      <c r="L229" s="8" t="s">
        <v>1174</v>
      </c>
      <c r="N229" s="142"/>
      <c r="O229" s="142" t="s">
        <v>6151</v>
      </c>
      <c r="P229" s="142" t="s">
        <v>6089</v>
      </c>
      <c r="Q229" s="8" t="s">
        <v>6062</v>
      </c>
      <c r="R229" s="8" t="s">
        <v>320</v>
      </c>
      <c r="U229" s="8" t="s">
        <v>321</v>
      </c>
      <c r="AA229" s="8" t="s">
        <v>1303</v>
      </c>
      <c r="AB229" s="8" t="s">
        <v>885</v>
      </c>
      <c r="AH229" s="8" t="s">
        <v>6069</v>
      </c>
      <c r="AJ229" s="8" t="s">
        <v>1280</v>
      </c>
      <c r="AK229" s="172" t="s">
        <v>1281</v>
      </c>
    </row>
    <row r="230">
      <c r="A230" s="152">
        <v>2023.0</v>
      </c>
      <c r="B230" s="151">
        <v>257.0</v>
      </c>
      <c r="C230" s="129" t="s">
        <v>140</v>
      </c>
      <c r="D230" s="8"/>
      <c r="H230" s="8" t="s">
        <v>193</v>
      </c>
      <c r="I230" s="8" t="s">
        <v>563</v>
      </c>
      <c r="J230" s="8" t="s">
        <v>7090</v>
      </c>
      <c r="K230" s="8" t="s">
        <v>2102</v>
      </c>
      <c r="L230" s="8" t="s">
        <v>2103</v>
      </c>
      <c r="M230" s="8" t="s">
        <v>8148</v>
      </c>
      <c r="N230" s="142" t="s">
        <v>6339</v>
      </c>
      <c r="O230" s="142"/>
      <c r="P230" s="142"/>
      <c r="Q230" s="8" t="s">
        <v>151</v>
      </c>
      <c r="AB230" s="8" t="s">
        <v>369</v>
      </c>
      <c r="AH230" s="8" t="s">
        <v>6027</v>
      </c>
      <c r="AI230" s="172" t="s">
        <v>2105</v>
      </c>
    </row>
    <row r="231">
      <c r="A231" s="152">
        <v>2024.0</v>
      </c>
      <c r="B231" s="151">
        <v>79.0</v>
      </c>
      <c r="C231" s="153"/>
      <c r="D231" s="153"/>
      <c r="E231" s="153"/>
      <c r="F231" s="153"/>
      <c r="G231" s="153"/>
      <c r="H231" s="153" t="s">
        <v>143</v>
      </c>
      <c r="I231" s="153" t="s">
        <v>144</v>
      </c>
      <c r="J231" s="153" t="s">
        <v>693</v>
      </c>
      <c r="K231" s="153" t="s">
        <v>694</v>
      </c>
      <c r="L231" s="158" t="s">
        <v>6397</v>
      </c>
      <c r="M231" s="153" t="s">
        <v>6408</v>
      </c>
      <c r="N231" s="230">
        <v>2007.0</v>
      </c>
      <c r="O231" s="192">
        <v>2007.0</v>
      </c>
      <c r="P231" s="230">
        <v>2007.0</v>
      </c>
      <c r="Q231" s="153" t="s">
        <v>8263</v>
      </c>
      <c r="R231" s="158" t="s">
        <v>1055</v>
      </c>
      <c r="S231" s="158" t="s">
        <v>1055</v>
      </c>
      <c r="T231" s="153" t="s">
        <v>1056</v>
      </c>
      <c r="U231" s="153" t="s">
        <v>1020</v>
      </c>
      <c r="V231" s="158" t="s">
        <v>6154</v>
      </c>
      <c r="W231" s="158" t="s">
        <v>206</v>
      </c>
      <c r="X231" s="158" t="s">
        <v>204</v>
      </c>
      <c r="Y231" s="241" t="s">
        <v>149</v>
      </c>
      <c r="Z231" s="158" t="s">
        <v>149</v>
      </c>
      <c r="AA231" s="158" t="s">
        <v>1057</v>
      </c>
      <c r="AB231" s="153" t="s">
        <v>233</v>
      </c>
      <c r="AC231" s="158" t="s">
        <v>6068</v>
      </c>
      <c r="AD231" s="153"/>
      <c r="AE231" s="153" t="s">
        <v>8264</v>
      </c>
      <c r="AF231" s="153"/>
      <c r="AG231" s="158" t="s">
        <v>6214</v>
      </c>
      <c r="AH231" s="153" t="s">
        <v>1059</v>
      </c>
      <c r="AI231" s="172" t="s">
        <v>1060</v>
      </c>
      <c r="AJ231" s="153" t="s">
        <v>1061</v>
      </c>
      <c r="AK231" s="239"/>
    </row>
    <row r="232">
      <c r="A232" s="152">
        <v>2023.0</v>
      </c>
      <c r="B232" s="151">
        <v>258.0</v>
      </c>
      <c r="C232" s="129" t="s">
        <v>140</v>
      </c>
      <c r="D232" s="8"/>
      <c r="H232" s="8" t="s">
        <v>193</v>
      </c>
      <c r="I232" s="8" t="s">
        <v>563</v>
      </c>
      <c r="J232" s="8" t="s">
        <v>8149</v>
      </c>
      <c r="K232" s="277" t="s">
        <v>2876</v>
      </c>
      <c r="L232" s="8" t="s">
        <v>384</v>
      </c>
      <c r="M232" s="8" t="s">
        <v>2877</v>
      </c>
      <c r="N232" s="278" t="s">
        <v>7095</v>
      </c>
      <c r="O232" s="142" t="s">
        <v>6052</v>
      </c>
      <c r="P232" s="142" t="s">
        <v>6053</v>
      </c>
      <c r="Q232" s="8" t="s">
        <v>151</v>
      </c>
      <c r="R232" s="8" t="s">
        <v>469</v>
      </c>
      <c r="U232" s="8" t="s">
        <v>390</v>
      </c>
      <c r="AA232" s="8" t="s">
        <v>2878</v>
      </c>
      <c r="AB232" s="8" t="s">
        <v>390</v>
      </c>
      <c r="AD232" s="8" t="s">
        <v>6055</v>
      </c>
      <c r="AH232" s="8" t="s">
        <v>6057</v>
      </c>
      <c r="AI232" s="8" t="s">
        <v>2873</v>
      </c>
      <c r="AJ232" s="8" t="s">
        <v>398</v>
      </c>
      <c r="AL232" s="8" t="s">
        <v>6109</v>
      </c>
    </row>
    <row r="233">
      <c r="A233" s="152">
        <v>2025.0</v>
      </c>
      <c r="B233" s="151">
        <v>260.0</v>
      </c>
      <c r="C233" s="153" t="s">
        <v>8189</v>
      </c>
      <c r="D233" s="153"/>
      <c r="E233" s="153"/>
      <c r="F233" s="153"/>
      <c r="G233" s="153"/>
      <c r="H233" s="153" t="s">
        <v>193</v>
      </c>
      <c r="I233" s="153" t="s">
        <v>563</v>
      </c>
      <c r="J233" s="153" t="s">
        <v>7099</v>
      </c>
      <c r="K233" s="153" t="s">
        <v>2152</v>
      </c>
      <c r="L233" s="153" t="s">
        <v>6587</v>
      </c>
      <c r="M233" s="153" t="s">
        <v>7100</v>
      </c>
      <c r="N233" s="164" t="s">
        <v>149</v>
      </c>
      <c r="O233" s="175" t="s">
        <v>6151</v>
      </c>
      <c r="P233" s="160" t="s">
        <v>149</v>
      </c>
      <c r="Q233" s="153" t="s">
        <v>151</v>
      </c>
      <c r="R233" s="158" t="s">
        <v>149</v>
      </c>
      <c r="S233" s="158" t="s">
        <v>149</v>
      </c>
      <c r="T233" s="153" t="s">
        <v>7101</v>
      </c>
      <c r="U233" s="153" t="s">
        <v>341</v>
      </c>
      <c r="V233" s="158" t="s">
        <v>160</v>
      </c>
      <c r="W233" s="158" t="s">
        <v>6035</v>
      </c>
      <c r="X233" s="158" t="s">
        <v>159</v>
      </c>
      <c r="Y233" s="158" t="s">
        <v>149</v>
      </c>
      <c r="Z233" s="158" t="s">
        <v>149</v>
      </c>
      <c r="AA233" s="158" t="s">
        <v>149</v>
      </c>
      <c r="AB233" s="153" t="s">
        <v>2160</v>
      </c>
      <c r="AC233" s="153" t="s">
        <v>6035</v>
      </c>
      <c r="AD233" s="153"/>
      <c r="AE233" s="153"/>
      <c r="AF233" s="153"/>
      <c r="AG233" s="158" t="s">
        <v>166</v>
      </c>
      <c r="AH233" s="153" t="s">
        <v>2161</v>
      </c>
      <c r="AI233" s="172" t="s">
        <v>2162</v>
      </c>
      <c r="AJ233" s="153"/>
      <c r="AK233" s="153"/>
    </row>
    <row r="234">
      <c r="A234" s="152">
        <v>2024.0</v>
      </c>
      <c r="B234" s="151">
        <v>80.0</v>
      </c>
      <c r="C234" s="153"/>
      <c r="D234" s="153"/>
      <c r="E234" s="153"/>
      <c r="F234" s="153"/>
      <c r="G234" s="153"/>
      <c r="H234" s="153" t="s">
        <v>143</v>
      </c>
      <c r="I234" s="153" t="s">
        <v>144</v>
      </c>
      <c r="J234" s="153" t="s">
        <v>693</v>
      </c>
      <c r="K234" s="153" t="s">
        <v>694</v>
      </c>
      <c r="L234" s="158" t="s">
        <v>6397</v>
      </c>
      <c r="M234" s="153" t="s">
        <v>8265</v>
      </c>
      <c r="N234" s="192">
        <v>2007.0</v>
      </c>
      <c r="O234" s="192">
        <v>2007.0</v>
      </c>
      <c r="P234" s="192">
        <v>2008.0</v>
      </c>
      <c r="Q234" s="153" t="s">
        <v>6062</v>
      </c>
      <c r="R234" s="158" t="s">
        <v>1038</v>
      </c>
      <c r="S234" s="158" t="s">
        <v>1038</v>
      </c>
      <c r="T234" s="153" t="s">
        <v>1039</v>
      </c>
      <c r="U234" s="153" t="s">
        <v>1020</v>
      </c>
      <c r="V234" s="158" t="s">
        <v>6154</v>
      </c>
      <c r="W234" s="158" t="s">
        <v>206</v>
      </c>
      <c r="X234" s="158" t="s">
        <v>204</v>
      </c>
      <c r="Y234" s="241" t="s">
        <v>149</v>
      </c>
      <c r="Z234" s="158" t="s">
        <v>149</v>
      </c>
      <c r="AA234" s="158" t="s">
        <v>6416</v>
      </c>
      <c r="AB234" s="158" t="s">
        <v>1032</v>
      </c>
      <c r="AC234" s="158" t="s">
        <v>6068</v>
      </c>
      <c r="AD234" s="158" t="s">
        <v>233</v>
      </c>
      <c r="AE234" s="153" t="s">
        <v>1022</v>
      </c>
      <c r="AF234" s="153"/>
      <c r="AG234" s="158" t="s">
        <v>6214</v>
      </c>
      <c r="AH234" s="153" t="s">
        <v>1041</v>
      </c>
      <c r="AI234" s="172" t="s">
        <v>1042</v>
      </c>
      <c r="AJ234" s="153" t="s">
        <v>1043</v>
      </c>
      <c r="AK234" s="165" t="s">
        <v>1044</v>
      </c>
    </row>
    <row r="235">
      <c r="A235" s="152">
        <v>2025.0</v>
      </c>
      <c r="B235" s="151">
        <v>261.0</v>
      </c>
      <c r="C235" s="153" t="s">
        <v>8189</v>
      </c>
      <c r="D235" s="153"/>
      <c r="E235" s="153"/>
      <c r="F235" s="153"/>
      <c r="G235" s="153"/>
      <c r="H235" s="153" t="s">
        <v>193</v>
      </c>
      <c r="I235" s="153" t="s">
        <v>563</v>
      </c>
      <c r="J235" s="153" t="s">
        <v>230</v>
      </c>
      <c r="K235" s="153" t="s">
        <v>1713</v>
      </c>
      <c r="L235" s="153" t="s">
        <v>1683</v>
      </c>
      <c r="M235" s="153"/>
      <c r="N235" s="160" t="s">
        <v>6268</v>
      </c>
      <c r="O235" s="175" t="s">
        <v>6063</v>
      </c>
      <c r="P235" s="175" t="s">
        <v>6064</v>
      </c>
      <c r="Q235" s="153" t="s">
        <v>6062</v>
      </c>
      <c r="R235" s="153" t="s">
        <v>320</v>
      </c>
      <c r="S235" s="158" t="s">
        <v>179</v>
      </c>
      <c r="T235" s="158" t="s">
        <v>149</v>
      </c>
      <c r="U235" s="153" t="s">
        <v>321</v>
      </c>
      <c r="V235" s="158" t="s">
        <v>160</v>
      </c>
      <c r="W235" s="158" t="s">
        <v>6035</v>
      </c>
      <c r="X235" s="158" t="s">
        <v>159</v>
      </c>
      <c r="Y235" s="158" t="s">
        <v>149</v>
      </c>
      <c r="Z235" s="158" t="s">
        <v>149</v>
      </c>
      <c r="AA235" s="153" t="s">
        <v>1692</v>
      </c>
      <c r="AB235" s="153" t="s">
        <v>1714</v>
      </c>
      <c r="AC235" s="158" t="s">
        <v>6068</v>
      </c>
      <c r="AD235" s="153"/>
      <c r="AE235" s="153"/>
      <c r="AF235" s="153"/>
      <c r="AG235" s="158" t="s">
        <v>6069</v>
      </c>
      <c r="AH235" s="153" t="s">
        <v>1300</v>
      </c>
      <c r="AI235" s="153" t="s">
        <v>7029</v>
      </c>
      <c r="AJ235" s="153" t="s">
        <v>1716</v>
      </c>
      <c r="AK235" s="165" t="s">
        <v>1717</v>
      </c>
    </row>
    <row r="236">
      <c r="A236" s="152">
        <v>2025.0</v>
      </c>
      <c r="B236" s="151">
        <v>262.0</v>
      </c>
      <c r="C236" s="153" t="s">
        <v>8189</v>
      </c>
      <c r="D236" s="153"/>
      <c r="E236" s="153"/>
      <c r="F236" s="153"/>
      <c r="G236" s="153"/>
      <c r="H236" s="153" t="s">
        <v>193</v>
      </c>
      <c r="I236" s="153" t="s">
        <v>563</v>
      </c>
      <c r="J236" s="153" t="s">
        <v>962</v>
      </c>
      <c r="K236" s="153" t="s">
        <v>963</v>
      </c>
      <c r="L236" s="153" t="s">
        <v>934</v>
      </c>
      <c r="M236" s="153"/>
      <c r="N236" s="175" t="s">
        <v>6229</v>
      </c>
      <c r="O236" s="175" t="s">
        <v>6229</v>
      </c>
      <c r="P236" s="175" t="s">
        <v>6230</v>
      </c>
      <c r="Q236" s="153" t="s">
        <v>6062</v>
      </c>
      <c r="R236" s="153" t="s">
        <v>6276</v>
      </c>
      <c r="S236" s="158" t="s">
        <v>179</v>
      </c>
      <c r="T236" s="153" t="s">
        <v>939</v>
      </c>
      <c r="U236" s="153" t="s">
        <v>940</v>
      </c>
      <c r="V236" s="158" t="s">
        <v>6154</v>
      </c>
      <c r="W236" s="158" t="s">
        <v>206</v>
      </c>
      <c r="X236" s="158" t="s">
        <v>204</v>
      </c>
      <c r="Y236" s="158" t="s">
        <v>149</v>
      </c>
      <c r="Z236" s="158" t="s">
        <v>149</v>
      </c>
      <c r="AA236" s="158" t="s">
        <v>149</v>
      </c>
      <c r="AB236" s="153" t="s">
        <v>233</v>
      </c>
      <c r="AC236" s="158" t="s">
        <v>6068</v>
      </c>
      <c r="AD236" s="153"/>
      <c r="AE236" s="153"/>
      <c r="AF236" s="153"/>
      <c r="AG236" s="158" t="s">
        <v>6214</v>
      </c>
      <c r="AH236" s="153" t="s">
        <v>941</v>
      </c>
      <c r="AI236" s="153" t="s">
        <v>942</v>
      </c>
      <c r="AJ236" s="153" t="s">
        <v>943</v>
      </c>
      <c r="AK236" s="153"/>
    </row>
    <row r="237">
      <c r="A237" s="152">
        <v>2024.0</v>
      </c>
      <c r="B237" s="151">
        <v>81.0</v>
      </c>
      <c r="C237" s="153"/>
      <c r="D237" s="153"/>
      <c r="E237" s="153"/>
      <c r="F237" s="153"/>
      <c r="G237" s="153"/>
      <c r="H237" s="153" t="s">
        <v>143</v>
      </c>
      <c r="I237" s="153" t="s">
        <v>144</v>
      </c>
      <c r="J237" s="153" t="s">
        <v>693</v>
      </c>
      <c r="K237" s="153" t="s">
        <v>694</v>
      </c>
      <c r="L237" s="153" t="s">
        <v>6397</v>
      </c>
      <c r="M237" s="153" t="s">
        <v>6421</v>
      </c>
      <c r="N237" s="192">
        <v>2006.0</v>
      </c>
      <c r="O237" s="192">
        <v>2007.0</v>
      </c>
      <c r="P237" s="192">
        <v>2007.0</v>
      </c>
      <c r="Q237" s="153" t="s">
        <v>6062</v>
      </c>
      <c r="R237" s="158" t="s">
        <v>1064</v>
      </c>
      <c r="S237" s="158" t="s">
        <v>1064</v>
      </c>
      <c r="T237" s="153" t="s">
        <v>8266</v>
      </c>
      <c r="U237" s="153" t="s">
        <v>1020</v>
      </c>
      <c r="V237" s="158" t="s">
        <v>6154</v>
      </c>
      <c r="W237" s="158" t="s">
        <v>206</v>
      </c>
      <c r="X237" s="158" t="s">
        <v>204</v>
      </c>
      <c r="Y237" s="241" t="s">
        <v>149</v>
      </c>
      <c r="Z237" s="158" t="s">
        <v>149</v>
      </c>
      <c r="AA237" s="158" t="s">
        <v>149</v>
      </c>
      <c r="AB237" s="153" t="s">
        <v>233</v>
      </c>
      <c r="AC237" s="158" t="s">
        <v>6068</v>
      </c>
      <c r="AD237" s="153"/>
      <c r="AE237" s="153"/>
      <c r="AF237" s="153"/>
      <c r="AG237" s="158" t="s">
        <v>6214</v>
      </c>
      <c r="AH237" s="153" t="s">
        <v>1066</v>
      </c>
      <c r="AI237" s="172" t="s">
        <v>1067</v>
      </c>
      <c r="AJ237" s="153" t="s">
        <v>1068</v>
      </c>
      <c r="AK237" s="239"/>
    </row>
    <row r="238">
      <c r="A238" s="152">
        <v>2025.0</v>
      </c>
      <c r="B238" s="151">
        <v>263.0</v>
      </c>
      <c r="C238" s="153" t="s">
        <v>8189</v>
      </c>
      <c r="D238" s="153"/>
      <c r="E238" s="153"/>
      <c r="F238" s="153"/>
      <c r="G238" s="153"/>
      <c r="H238" s="153" t="s">
        <v>193</v>
      </c>
      <c r="I238" s="153" t="s">
        <v>563</v>
      </c>
      <c r="J238" s="153" t="s">
        <v>564</v>
      </c>
      <c r="K238" s="153" t="s">
        <v>565</v>
      </c>
      <c r="L238" s="153" t="s">
        <v>384</v>
      </c>
      <c r="M238" s="153" t="s">
        <v>566</v>
      </c>
      <c r="N238" s="175" t="s">
        <v>6051</v>
      </c>
      <c r="O238" s="175" t="s">
        <v>6052</v>
      </c>
      <c r="P238" s="175" t="s">
        <v>6053</v>
      </c>
      <c r="Q238" s="153" t="s">
        <v>151</v>
      </c>
      <c r="R238" s="153" t="s">
        <v>6054</v>
      </c>
      <c r="S238" s="158" t="s">
        <v>6054</v>
      </c>
      <c r="T238" s="158" t="s">
        <v>149</v>
      </c>
      <c r="U238" s="153" t="s">
        <v>390</v>
      </c>
      <c r="V238" s="158" t="s">
        <v>160</v>
      </c>
      <c r="W238" s="158" t="s">
        <v>6035</v>
      </c>
      <c r="X238" s="158" t="s">
        <v>159</v>
      </c>
      <c r="Y238" s="158" t="s">
        <v>149</v>
      </c>
      <c r="Z238" s="158" t="s">
        <v>149</v>
      </c>
      <c r="AA238" s="153" t="s">
        <v>475</v>
      </c>
      <c r="AB238" s="153" t="s">
        <v>390</v>
      </c>
      <c r="AC238" s="153" t="s">
        <v>6035</v>
      </c>
      <c r="AD238" s="153" t="s">
        <v>6055</v>
      </c>
      <c r="AE238" s="153"/>
      <c r="AF238" s="153"/>
      <c r="AG238" s="158" t="s">
        <v>395</v>
      </c>
      <c r="AH238" s="153" t="s">
        <v>6060</v>
      </c>
      <c r="AI238" s="158" t="s">
        <v>6711</v>
      </c>
      <c r="AJ238" s="153" t="s">
        <v>398</v>
      </c>
      <c r="AK238" s="153"/>
    </row>
    <row r="239">
      <c r="A239" s="152">
        <v>2025.0</v>
      </c>
      <c r="B239" s="151">
        <v>264.0</v>
      </c>
      <c r="C239" s="153" t="s">
        <v>8189</v>
      </c>
      <c r="D239" s="153"/>
      <c r="E239" s="153"/>
      <c r="F239" s="153"/>
      <c r="G239" s="153"/>
      <c r="H239" s="153" t="s">
        <v>193</v>
      </c>
      <c r="I239" s="153" t="s">
        <v>563</v>
      </c>
      <c r="J239" s="153" t="s">
        <v>2164</v>
      </c>
      <c r="K239" s="153" t="s">
        <v>2165</v>
      </c>
      <c r="L239" s="153" t="s">
        <v>6587</v>
      </c>
      <c r="M239" s="153" t="s">
        <v>7100</v>
      </c>
      <c r="N239" s="164" t="s">
        <v>149</v>
      </c>
      <c r="O239" s="175" t="s">
        <v>6151</v>
      </c>
      <c r="P239" s="160" t="s">
        <v>149</v>
      </c>
      <c r="Q239" s="153" t="s">
        <v>151</v>
      </c>
      <c r="R239" s="158" t="s">
        <v>149</v>
      </c>
      <c r="S239" s="158" t="s">
        <v>149</v>
      </c>
      <c r="T239" s="153" t="s">
        <v>7101</v>
      </c>
      <c r="U239" s="153" t="s">
        <v>341</v>
      </c>
      <c r="V239" s="158" t="s">
        <v>160</v>
      </c>
      <c r="W239" s="158" t="s">
        <v>6035</v>
      </c>
      <c r="X239" s="158" t="s">
        <v>159</v>
      </c>
      <c r="Y239" s="158" t="s">
        <v>149</v>
      </c>
      <c r="Z239" s="158" t="s">
        <v>149</v>
      </c>
      <c r="AA239" s="158" t="s">
        <v>149</v>
      </c>
      <c r="AB239" s="153" t="s">
        <v>2160</v>
      </c>
      <c r="AC239" s="153" t="s">
        <v>6035</v>
      </c>
      <c r="AD239" s="153"/>
      <c r="AE239" s="153"/>
      <c r="AF239" s="153"/>
      <c r="AG239" s="158" t="s">
        <v>166</v>
      </c>
      <c r="AH239" s="153" t="s">
        <v>2161</v>
      </c>
      <c r="AI239" s="172" t="s">
        <v>2162</v>
      </c>
      <c r="AJ239" s="153"/>
      <c r="AK239" s="153"/>
    </row>
    <row r="240">
      <c r="A240" s="152">
        <v>2024.0</v>
      </c>
      <c r="B240" s="151">
        <v>82.0</v>
      </c>
      <c r="C240" s="153"/>
      <c r="D240" s="153"/>
      <c r="E240" s="153"/>
      <c r="F240" s="153"/>
      <c r="G240" s="153"/>
      <c r="H240" s="153" t="s">
        <v>143</v>
      </c>
      <c r="I240" s="153" t="s">
        <v>144</v>
      </c>
      <c r="J240" s="153" t="s">
        <v>693</v>
      </c>
      <c r="K240" s="153" t="s">
        <v>694</v>
      </c>
      <c r="L240" s="153" t="s">
        <v>1022</v>
      </c>
      <c r="M240" s="153" t="s">
        <v>8267</v>
      </c>
      <c r="N240" s="192">
        <v>2005.0</v>
      </c>
      <c r="O240" s="192">
        <v>2005.0</v>
      </c>
      <c r="P240" s="192">
        <v>2007.0</v>
      </c>
      <c r="Q240" s="153" t="s">
        <v>6062</v>
      </c>
      <c r="R240" s="153" t="s">
        <v>8268</v>
      </c>
      <c r="S240" s="153" t="s">
        <v>8269</v>
      </c>
      <c r="T240" s="153" t="s">
        <v>8270</v>
      </c>
      <c r="U240" s="153" t="s">
        <v>1022</v>
      </c>
      <c r="V240" s="158" t="s">
        <v>6154</v>
      </c>
      <c r="W240" s="158" t="s">
        <v>206</v>
      </c>
      <c r="X240" s="158" t="s">
        <v>204</v>
      </c>
      <c r="Y240" s="241" t="s">
        <v>149</v>
      </c>
      <c r="Z240" s="158" t="s">
        <v>149</v>
      </c>
      <c r="AA240" s="158" t="s">
        <v>149</v>
      </c>
      <c r="AB240" s="158" t="s">
        <v>1166</v>
      </c>
      <c r="AC240" s="158" t="s">
        <v>6068</v>
      </c>
      <c r="AD240" s="158" t="s">
        <v>233</v>
      </c>
      <c r="AE240" s="153" t="s">
        <v>1167</v>
      </c>
      <c r="AF240" s="153"/>
      <c r="AG240" s="158" t="s">
        <v>6214</v>
      </c>
      <c r="AH240" s="153" t="s">
        <v>1168</v>
      </c>
      <c r="AI240" s="172" t="s">
        <v>1169</v>
      </c>
      <c r="AJ240" s="153" t="s">
        <v>1077</v>
      </c>
      <c r="AK240" s="165" t="s">
        <v>1170</v>
      </c>
    </row>
    <row r="241">
      <c r="A241" s="152">
        <v>2025.0</v>
      </c>
      <c r="B241" s="151">
        <v>265.0</v>
      </c>
      <c r="C241" s="153" t="s">
        <v>8189</v>
      </c>
      <c r="D241" s="153"/>
      <c r="E241" s="153"/>
      <c r="F241" s="153"/>
      <c r="G241" s="153"/>
      <c r="H241" s="153" t="s">
        <v>193</v>
      </c>
      <c r="I241" s="153" t="s">
        <v>563</v>
      </c>
      <c r="J241" s="153" t="s">
        <v>1108</v>
      </c>
      <c r="K241" s="153" t="s">
        <v>1109</v>
      </c>
      <c r="L241" s="153" t="s">
        <v>1174</v>
      </c>
      <c r="M241" s="153"/>
      <c r="N241" s="160" t="s">
        <v>6089</v>
      </c>
      <c r="O241" s="175" t="s">
        <v>6151</v>
      </c>
      <c r="P241" s="175" t="s">
        <v>6089</v>
      </c>
      <c r="Q241" s="153" t="s">
        <v>6062</v>
      </c>
      <c r="R241" s="153" t="s">
        <v>320</v>
      </c>
      <c r="S241" s="158" t="s">
        <v>179</v>
      </c>
      <c r="T241" s="158" t="s">
        <v>149</v>
      </c>
      <c r="U241" s="153" t="s">
        <v>321</v>
      </c>
      <c r="V241" s="158" t="s">
        <v>160</v>
      </c>
      <c r="W241" s="158" t="s">
        <v>6035</v>
      </c>
      <c r="X241" s="158" t="s">
        <v>159</v>
      </c>
      <c r="Y241" s="158" t="s">
        <v>149</v>
      </c>
      <c r="Z241" s="158" t="s">
        <v>149</v>
      </c>
      <c r="AA241" s="153" t="s">
        <v>1303</v>
      </c>
      <c r="AB241" s="153" t="s">
        <v>885</v>
      </c>
      <c r="AC241" s="158" t="s">
        <v>6068</v>
      </c>
      <c r="AD241" s="153"/>
      <c r="AE241" s="153"/>
      <c r="AF241" s="153"/>
      <c r="AG241" s="158" t="s">
        <v>6069</v>
      </c>
      <c r="AH241" s="153" t="s">
        <v>1304</v>
      </c>
      <c r="AI241" s="153" t="s">
        <v>6070</v>
      </c>
      <c r="AJ241" s="153" t="s">
        <v>1280</v>
      </c>
      <c r="AK241" s="165" t="s">
        <v>1281</v>
      </c>
    </row>
    <row r="242">
      <c r="A242" s="152">
        <v>2025.0</v>
      </c>
      <c r="B242" s="151">
        <v>266.0</v>
      </c>
      <c r="C242" s="153" t="s">
        <v>8189</v>
      </c>
      <c r="D242" s="153"/>
      <c r="E242" s="153"/>
      <c r="F242" s="153"/>
      <c r="G242" s="153"/>
      <c r="H242" s="153" t="s">
        <v>193</v>
      </c>
      <c r="I242" s="153" t="s">
        <v>563</v>
      </c>
      <c r="J242" s="153" t="s">
        <v>1108</v>
      </c>
      <c r="K242" s="153" t="s">
        <v>1109</v>
      </c>
      <c r="L242" s="153" t="s">
        <v>6587</v>
      </c>
      <c r="M242" s="153" t="s">
        <v>7100</v>
      </c>
      <c r="N242" s="164" t="s">
        <v>149</v>
      </c>
      <c r="O242" s="175" t="s">
        <v>6151</v>
      </c>
      <c r="P242" s="160" t="s">
        <v>149</v>
      </c>
      <c r="Q242" s="153" t="s">
        <v>151</v>
      </c>
      <c r="R242" s="158" t="s">
        <v>149</v>
      </c>
      <c r="S242" s="158" t="s">
        <v>149</v>
      </c>
      <c r="T242" s="153" t="s">
        <v>7101</v>
      </c>
      <c r="U242" s="153" t="s">
        <v>341</v>
      </c>
      <c r="V242" s="158" t="s">
        <v>160</v>
      </c>
      <c r="W242" s="158" t="s">
        <v>6035</v>
      </c>
      <c r="X242" s="158" t="s">
        <v>159</v>
      </c>
      <c r="Y242" s="158" t="s">
        <v>149</v>
      </c>
      <c r="Z242" s="158" t="s">
        <v>149</v>
      </c>
      <c r="AA242" s="158" t="s">
        <v>149</v>
      </c>
      <c r="AB242" s="153" t="s">
        <v>2160</v>
      </c>
      <c r="AC242" s="153" t="s">
        <v>6035</v>
      </c>
      <c r="AD242" s="153"/>
      <c r="AE242" s="153"/>
      <c r="AF242" s="153"/>
      <c r="AG242" s="158" t="s">
        <v>166</v>
      </c>
      <c r="AH242" s="153" t="s">
        <v>2161</v>
      </c>
      <c r="AI242" s="165" t="s">
        <v>2162</v>
      </c>
      <c r="AJ242" s="153"/>
      <c r="AK242" s="239"/>
    </row>
    <row r="243">
      <c r="A243" s="152">
        <v>2024.0</v>
      </c>
      <c r="B243" s="151">
        <v>83.0</v>
      </c>
      <c r="C243" s="153"/>
      <c r="D243" s="153"/>
      <c r="E243" s="153"/>
      <c r="F243" s="153"/>
      <c r="G243" s="153"/>
      <c r="H243" s="153" t="s">
        <v>143</v>
      </c>
      <c r="I243" s="153" t="s">
        <v>144</v>
      </c>
      <c r="J243" s="153" t="s">
        <v>693</v>
      </c>
      <c r="K243" s="153" t="s">
        <v>694</v>
      </c>
      <c r="L243" s="158" t="s">
        <v>149</v>
      </c>
      <c r="M243" s="153" t="s">
        <v>8271</v>
      </c>
      <c r="N243" s="230">
        <v>2010.0</v>
      </c>
      <c r="O243" s="192">
        <v>2010.0</v>
      </c>
      <c r="P243" s="192">
        <v>2010.0</v>
      </c>
      <c r="Q243" s="153" t="s">
        <v>8272</v>
      </c>
      <c r="R243" s="158" t="s">
        <v>6439</v>
      </c>
      <c r="S243" s="158" t="s">
        <v>6439</v>
      </c>
      <c r="T243" s="153" t="s">
        <v>2992</v>
      </c>
      <c r="U243" s="153" t="s">
        <v>321</v>
      </c>
      <c r="V243" s="158" t="s">
        <v>160</v>
      </c>
      <c r="W243" s="158" t="s">
        <v>6035</v>
      </c>
      <c r="X243" s="158" t="s">
        <v>204</v>
      </c>
      <c r="Y243" s="241" t="s">
        <v>149</v>
      </c>
      <c r="Z243" s="158" t="s">
        <v>149</v>
      </c>
      <c r="AA243" s="158" t="s">
        <v>149</v>
      </c>
      <c r="AB243" s="158" t="s">
        <v>233</v>
      </c>
      <c r="AC243" s="158" t="s">
        <v>6068</v>
      </c>
      <c r="AD243" s="153"/>
      <c r="AE243" s="153"/>
      <c r="AF243" s="153"/>
      <c r="AG243" s="158" t="s">
        <v>6214</v>
      </c>
      <c r="AH243" s="153" t="s">
        <v>2993</v>
      </c>
      <c r="AI243" s="165" t="s">
        <v>2994</v>
      </c>
      <c r="AJ243" s="153" t="s">
        <v>1061</v>
      </c>
      <c r="AK243" s="239"/>
    </row>
    <row r="244">
      <c r="A244" s="152">
        <v>2025.0</v>
      </c>
      <c r="B244" s="151">
        <v>267.0</v>
      </c>
      <c r="C244" s="153" t="s">
        <v>8189</v>
      </c>
      <c r="D244" s="153"/>
      <c r="E244" s="153"/>
      <c r="F244" s="153"/>
      <c r="G244" s="153"/>
      <c r="H244" s="153" t="s">
        <v>193</v>
      </c>
      <c r="I244" s="153" t="s">
        <v>563</v>
      </c>
      <c r="J244" s="153" t="s">
        <v>1108</v>
      </c>
      <c r="K244" s="153" t="s">
        <v>1109</v>
      </c>
      <c r="L244" s="153" t="s">
        <v>1110</v>
      </c>
      <c r="M244" s="153" t="s">
        <v>1111</v>
      </c>
      <c r="N244" s="164" t="s">
        <v>149</v>
      </c>
      <c r="O244" s="160" t="s">
        <v>149</v>
      </c>
      <c r="P244" s="160" t="s">
        <v>149</v>
      </c>
      <c r="Q244" s="153" t="s">
        <v>6062</v>
      </c>
      <c r="R244" s="153" t="s">
        <v>1112</v>
      </c>
      <c r="S244" s="158" t="s">
        <v>179</v>
      </c>
      <c r="T244" s="153" t="s">
        <v>1113</v>
      </c>
      <c r="U244" s="158" t="s">
        <v>149</v>
      </c>
      <c r="V244" s="158" t="s">
        <v>149</v>
      </c>
      <c r="W244" s="158" t="s">
        <v>149</v>
      </c>
      <c r="X244" s="158" t="s">
        <v>149</v>
      </c>
      <c r="Y244" s="158" t="s">
        <v>149</v>
      </c>
      <c r="Z244" s="158" t="s">
        <v>149</v>
      </c>
      <c r="AA244" s="158" t="s">
        <v>149</v>
      </c>
      <c r="AB244" s="153" t="s">
        <v>1114</v>
      </c>
      <c r="AC244" s="158" t="s">
        <v>184</v>
      </c>
      <c r="AD244" s="153" t="s">
        <v>1115</v>
      </c>
      <c r="AE244" s="153" t="s">
        <v>1116</v>
      </c>
      <c r="AF244" s="153"/>
      <c r="AG244" s="158" t="s">
        <v>6038</v>
      </c>
      <c r="AH244" s="153" t="s">
        <v>1117</v>
      </c>
      <c r="AI244" s="165" t="s">
        <v>1118</v>
      </c>
      <c r="AJ244" s="153"/>
      <c r="AK244" s="239"/>
    </row>
    <row r="245">
      <c r="A245" s="152">
        <v>2025.0</v>
      </c>
      <c r="B245" s="151">
        <v>268.0</v>
      </c>
      <c r="C245" s="153" t="s">
        <v>8189</v>
      </c>
      <c r="D245" s="153"/>
      <c r="E245" s="153"/>
      <c r="F245" s="153"/>
      <c r="G245" s="153"/>
      <c r="H245" s="153" t="s">
        <v>193</v>
      </c>
      <c r="I245" s="153" t="s">
        <v>563</v>
      </c>
      <c r="J245" s="153" t="s">
        <v>7090</v>
      </c>
      <c r="K245" s="173" t="s">
        <v>2102</v>
      </c>
      <c r="L245" s="153" t="s">
        <v>2103</v>
      </c>
      <c r="M245" s="153" t="s">
        <v>7091</v>
      </c>
      <c r="N245" s="175" t="s">
        <v>6339</v>
      </c>
      <c r="O245" s="160" t="s">
        <v>149</v>
      </c>
      <c r="P245" s="160" t="s">
        <v>149</v>
      </c>
      <c r="Q245" s="153" t="s">
        <v>151</v>
      </c>
      <c r="R245" s="158" t="s">
        <v>149</v>
      </c>
      <c r="S245" s="158" t="s">
        <v>149</v>
      </c>
      <c r="T245" s="158" t="s">
        <v>149</v>
      </c>
      <c r="U245" s="158" t="s">
        <v>149</v>
      </c>
      <c r="V245" s="158" t="s">
        <v>149</v>
      </c>
      <c r="W245" s="158" t="s">
        <v>149</v>
      </c>
      <c r="X245" s="158" t="s">
        <v>149</v>
      </c>
      <c r="Y245" s="158" t="s">
        <v>149</v>
      </c>
      <c r="Z245" s="158" t="s">
        <v>149</v>
      </c>
      <c r="AA245" s="158" t="s">
        <v>149</v>
      </c>
      <c r="AB245" s="153" t="s">
        <v>369</v>
      </c>
      <c r="AC245" s="153" t="s">
        <v>6035</v>
      </c>
      <c r="AD245" s="153"/>
      <c r="AE245" s="153"/>
      <c r="AF245" s="153"/>
      <c r="AG245" s="158" t="s">
        <v>6027</v>
      </c>
      <c r="AH245" s="153" t="s">
        <v>2104</v>
      </c>
      <c r="AI245" s="165" t="s">
        <v>2105</v>
      </c>
      <c r="AJ245" s="153"/>
      <c r="AK245" s="153"/>
    </row>
    <row r="246">
      <c r="A246" s="152">
        <v>2024.0</v>
      </c>
      <c r="B246" s="151">
        <v>84.0</v>
      </c>
      <c r="C246" s="153"/>
      <c r="D246" s="153"/>
      <c r="E246" s="153"/>
      <c r="F246" s="153"/>
      <c r="G246" s="153"/>
      <c r="H246" s="153" t="s">
        <v>143</v>
      </c>
      <c r="I246" s="153" t="s">
        <v>144</v>
      </c>
      <c r="J246" s="153" t="s">
        <v>693</v>
      </c>
      <c r="K246" s="153" t="s">
        <v>694</v>
      </c>
      <c r="L246" s="158" t="s">
        <v>149</v>
      </c>
      <c r="M246" s="153" t="s">
        <v>8273</v>
      </c>
      <c r="N246" s="230">
        <v>2010.0</v>
      </c>
      <c r="O246" s="230">
        <v>2010.0</v>
      </c>
      <c r="P246" s="230">
        <v>2012.0</v>
      </c>
      <c r="Q246" s="153" t="s">
        <v>6062</v>
      </c>
      <c r="R246" s="153" t="s">
        <v>179</v>
      </c>
      <c r="S246" s="153" t="s">
        <v>179</v>
      </c>
      <c r="T246" s="153" t="s">
        <v>8274</v>
      </c>
      <c r="U246" s="153" t="s">
        <v>321</v>
      </c>
      <c r="V246" s="158" t="s">
        <v>160</v>
      </c>
      <c r="W246" s="158" t="s">
        <v>6035</v>
      </c>
      <c r="X246" s="158" t="s">
        <v>204</v>
      </c>
      <c r="Y246" s="241" t="s">
        <v>149</v>
      </c>
      <c r="Z246" s="158" t="s">
        <v>149</v>
      </c>
      <c r="AA246" s="153" t="s">
        <v>2998</v>
      </c>
      <c r="AB246" s="153" t="s">
        <v>233</v>
      </c>
      <c r="AC246" s="158" t="s">
        <v>6068</v>
      </c>
      <c r="AD246" s="153" t="s">
        <v>2999</v>
      </c>
      <c r="AE246" s="153"/>
      <c r="AF246" s="153"/>
      <c r="AG246" s="158" t="s">
        <v>6214</v>
      </c>
      <c r="AH246" s="153" t="s">
        <v>3000</v>
      </c>
      <c r="AI246" s="165" t="s">
        <v>3001</v>
      </c>
      <c r="AJ246" s="153" t="s">
        <v>245</v>
      </c>
      <c r="AK246" s="239"/>
    </row>
    <row r="247">
      <c r="A247" s="152">
        <v>2025.0</v>
      </c>
      <c r="B247" s="151">
        <v>269.0</v>
      </c>
      <c r="C247" s="153" t="s">
        <v>8189</v>
      </c>
      <c r="D247" s="153"/>
      <c r="E247" s="153"/>
      <c r="F247" s="153"/>
      <c r="G247" s="153"/>
      <c r="H247" s="153" t="s">
        <v>193</v>
      </c>
      <c r="I247" s="153" t="s">
        <v>563</v>
      </c>
      <c r="J247" s="158" t="s">
        <v>7094</v>
      </c>
      <c r="K247" s="153" t="s">
        <v>2876</v>
      </c>
      <c r="L247" s="153" t="s">
        <v>384</v>
      </c>
      <c r="M247" s="153" t="s">
        <v>2877</v>
      </c>
      <c r="N247" s="175" t="s">
        <v>7095</v>
      </c>
      <c r="O247" s="175" t="s">
        <v>6052</v>
      </c>
      <c r="P247" s="175" t="s">
        <v>6053</v>
      </c>
      <c r="Q247" s="153" t="s">
        <v>151</v>
      </c>
      <c r="R247" s="153" t="s">
        <v>469</v>
      </c>
      <c r="S247" s="158" t="s">
        <v>469</v>
      </c>
      <c r="T247" s="158" t="s">
        <v>149</v>
      </c>
      <c r="U247" s="153" t="s">
        <v>390</v>
      </c>
      <c r="V247" s="158" t="s">
        <v>160</v>
      </c>
      <c r="W247" s="158" t="s">
        <v>6035</v>
      </c>
      <c r="X247" s="158" t="s">
        <v>159</v>
      </c>
      <c r="Y247" s="158" t="s">
        <v>149</v>
      </c>
      <c r="Z247" s="158" t="s">
        <v>149</v>
      </c>
      <c r="AA247" s="153" t="s">
        <v>2878</v>
      </c>
      <c r="AB247" s="153" t="s">
        <v>390</v>
      </c>
      <c r="AC247" s="153" t="s">
        <v>6035</v>
      </c>
      <c r="AD247" s="153" t="s">
        <v>6055</v>
      </c>
      <c r="AE247" s="153"/>
      <c r="AF247" s="153"/>
      <c r="AG247" s="158" t="s">
        <v>395</v>
      </c>
      <c r="AH247" s="153" t="s">
        <v>6060</v>
      </c>
      <c r="AI247" s="158" t="s">
        <v>6711</v>
      </c>
      <c r="AJ247" s="153" t="s">
        <v>398</v>
      </c>
      <c r="AK247" s="153"/>
    </row>
    <row r="248">
      <c r="A248" s="152">
        <v>2025.0</v>
      </c>
      <c r="B248" s="151">
        <v>270.0</v>
      </c>
      <c r="C248" s="153" t="s">
        <v>8189</v>
      </c>
      <c r="D248" s="153"/>
      <c r="E248" s="153"/>
      <c r="F248" s="153"/>
      <c r="G248" s="153"/>
      <c r="H248" s="153" t="s">
        <v>193</v>
      </c>
      <c r="I248" s="153" t="s">
        <v>563</v>
      </c>
      <c r="J248" s="153" t="s">
        <v>2172</v>
      </c>
      <c r="K248" s="153" t="s">
        <v>2173</v>
      </c>
      <c r="L248" s="153" t="s">
        <v>6587</v>
      </c>
      <c r="M248" s="153" t="s">
        <v>7100</v>
      </c>
      <c r="N248" s="164" t="s">
        <v>149</v>
      </c>
      <c r="O248" s="175" t="s">
        <v>6151</v>
      </c>
      <c r="P248" s="164" t="s">
        <v>149</v>
      </c>
      <c r="Q248" s="153" t="s">
        <v>151</v>
      </c>
      <c r="R248" s="158" t="s">
        <v>149</v>
      </c>
      <c r="S248" s="158" t="s">
        <v>149</v>
      </c>
      <c r="T248" s="153" t="s">
        <v>7101</v>
      </c>
      <c r="U248" s="153" t="s">
        <v>341</v>
      </c>
      <c r="V248" s="158" t="s">
        <v>160</v>
      </c>
      <c r="W248" s="158" t="s">
        <v>6035</v>
      </c>
      <c r="X248" s="158" t="s">
        <v>149</v>
      </c>
      <c r="Y248" s="158" t="s">
        <v>149</v>
      </c>
      <c r="Z248" s="158" t="s">
        <v>149</v>
      </c>
      <c r="AA248" s="158" t="s">
        <v>149</v>
      </c>
      <c r="AB248" s="153" t="s">
        <v>2160</v>
      </c>
      <c r="AC248" s="153" t="s">
        <v>6035</v>
      </c>
      <c r="AD248" s="153"/>
      <c r="AE248" s="153"/>
      <c r="AF248" s="153"/>
      <c r="AG248" s="158" t="s">
        <v>166</v>
      </c>
      <c r="AH248" s="153" t="s">
        <v>2161</v>
      </c>
      <c r="AI248" s="172" t="s">
        <v>2162</v>
      </c>
      <c r="AJ248" s="153"/>
      <c r="AK248" s="153"/>
    </row>
    <row r="249">
      <c r="A249" s="152">
        <v>2024.0</v>
      </c>
      <c r="B249" s="151">
        <v>85.0</v>
      </c>
      <c r="C249" s="153"/>
      <c r="D249" s="153"/>
      <c r="E249" s="153"/>
      <c r="F249" s="153"/>
      <c r="G249" s="153"/>
      <c r="H249" s="153" t="s">
        <v>143</v>
      </c>
      <c r="I249" s="153" t="s">
        <v>144</v>
      </c>
      <c r="J249" s="153" t="s">
        <v>693</v>
      </c>
      <c r="K249" s="173" t="s">
        <v>694</v>
      </c>
      <c r="L249" s="158" t="s">
        <v>6397</v>
      </c>
      <c r="M249" s="153" t="s">
        <v>8275</v>
      </c>
      <c r="N249" s="230">
        <v>2008.0</v>
      </c>
      <c r="O249" s="230">
        <v>2008.0</v>
      </c>
      <c r="P249" s="230">
        <v>2010.0</v>
      </c>
      <c r="Q249" s="153" t="s">
        <v>6259</v>
      </c>
      <c r="R249" s="153" t="s">
        <v>8276</v>
      </c>
      <c r="S249" s="153" t="s">
        <v>8277</v>
      </c>
      <c r="T249" s="153" t="s">
        <v>1073</v>
      </c>
      <c r="U249" s="153" t="s">
        <v>1020</v>
      </c>
      <c r="V249" s="158" t="s">
        <v>6154</v>
      </c>
      <c r="W249" s="158" t="s">
        <v>206</v>
      </c>
      <c r="X249" s="158" t="s">
        <v>204</v>
      </c>
      <c r="Y249" s="241" t="s">
        <v>149</v>
      </c>
      <c r="Z249" s="158" t="s">
        <v>149</v>
      </c>
      <c r="AA249" s="153" t="s">
        <v>1074</v>
      </c>
      <c r="AB249" s="153" t="s">
        <v>233</v>
      </c>
      <c r="AC249" s="158" t="s">
        <v>6068</v>
      </c>
      <c r="AD249" s="153"/>
      <c r="AE249" s="153"/>
      <c r="AF249" s="153"/>
      <c r="AG249" s="158" t="s">
        <v>6214</v>
      </c>
      <c r="AH249" s="153" t="s">
        <v>1075</v>
      </c>
      <c r="AI249" s="172" t="s">
        <v>1076</v>
      </c>
      <c r="AJ249" s="153" t="s">
        <v>1077</v>
      </c>
      <c r="AK249" s="165" t="s">
        <v>1078</v>
      </c>
    </row>
    <row r="250">
      <c r="A250" s="152">
        <v>2025.0</v>
      </c>
      <c r="B250" s="151">
        <v>88.0</v>
      </c>
      <c r="C250" s="153" t="s">
        <v>8189</v>
      </c>
      <c r="D250" s="153"/>
      <c r="E250" s="153"/>
      <c r="F250" s="153"/>
      <c r="G250" s="153"/>
      <c r="H250" s="153" t="s">
        <v>481</v>
      </c>
      <c r="I250" s="153" t="s">
        <v>482</v>
      </c>
      <c r="J250" s="153" t="s">
        <v>483</v>
      </c>
      <c r="K250" s="153" t="s">
        <v>484</v>
      </c>
      <c r="L250" s="153" t="s">
        <v>384</v>
      </c>
      <c r="M250" s="153" t="s">
        <v>6493</v>
      </c>
      <c r="N250" s="175" t="s">
        <v>6051</v>
      </c>
      <c r="O250" s="175" t="s">
        <v>6052</v>
      </c>
      <c r="P250" s="175" t="s">
        <v>6053</v>
      </c>
      <c r="Q250" s="153" t="s">
        <v>151</v>
      </c>
      <c r="R250" s="153" t="s">
        <v>6054</v>
      </c>
      <c r="S250" s="153" t="s">
        <v>6054</v>
      </c>
      <c r="T250" s="158" t="s">
        <v>149</v>
      </c>
      <c r="U250" s="153" t="s">
        <v>390</v>
      </c>
      <c r="V250" s="158" t="s">
        <v>160</v>
      </c>
      <c r="W250" s="158" t="s">
        <v>6035</v>
      </c>
      <c r="X250" s="158" t="s">
        <v>159</v>
      </c>
      <c r="Y250" s="158" t="s">
        <v>149</v>
      </c>
      <c r="Z250" s="158" t="s">
        <v>149</v>
      </c>
      <c r="AA250" s="153" t="s">
        <v>391</v>
      </c>
      <c r="AB250" s="153" t="s">
        <v>390</v>
      </c>
      <c r="AC250" s="153" t="s">
        <v>6035</v>
      </c>
      <c r="AD250" s="153" t="s">
        <v>6055</v>
      </c>
      <c r="AE250" s="153"/>
      <c r="AF250" s="153"/>
      <c r="AG250" s="158" t="s">
        <v>395</v>
      </c>
      <c r="AH250" s="153" t="s">
        <v>6060</v>
      </c>
      <c r="AI250" s="158" t="s">
        <v>397</v>
      </c>
      <c r="AJ250" s="153" t="s">
        <v>398</v>
      </c>
      <c r="AK250" s="153"/>
    </row>
    <row r="251">
      <c r="A251" s="152">
        <v>2023.0</v>
      </c>
      <c r="B251" s="151">
        <v>95.0</v>
      </c>
      <c r="C251" s="129" t="s">
        <v>140</v>
      </c>
      <c r="D251" s="8"/>
      <c r="H251" s="8" t="s">
        <v>481</v>
      </c>
      <c r="I251" s="8" t="s">
        <v>482</v>
      </c>
      <c r="J251" s="8" t="s">
        <v>483</v>
      </c>
      <c r="K251" s="283" t="s">
        <v>484</v>
      </c>
      <c r="L251" s="8" t="s">
        <v>384</v>
      </c>
      <c r="M251" s="8" t="s">
        <v>8003</v>
      </c>
      <c r="N251" s="142" t="s">
        <v>6051</v>
      </c>
      <c r="O251" s="142" t="s">
        <v>6052</v>
      </c>
      <c r="P251" s="142" t="s">
        <v>6053</v>
      </c>
      <c r="Q251" s="8" t="s">
        <v>151</v>
      </c>
      <c r="R251" s="8" t="s">
        <v>6054</v>
      </c>
      <c r="U251" s="8" t="s">
        <v>390</v>
      </c>
      <c r="AA251" s="8" t="s">
        <v>391</v>
      </c>
      <c r="AB251" s="8" t="s">
        <v>390</v>
      </c>
      <c r="AD251" s="8" t="s">
        <v>6055</v>
      </c>
      <c r="AH251" s="8" t="s">
        <v>6057</v>
      </c>
      <c r="AI251" s="8" t="s">
        <v>2873</v>
      </c>
      <c r="AJ251" s="8" t="s">
        <v>398</v>
      </c>
    </row>
    <row r="252">
      <c r="A252" s="152">
        <v>2024.0</v>
      </c>
      <c r="B252" s="151">
        <v>86.0</v>
      </c>
      <c r="C252" s="153"/>
      <c r="D252" s="153"/>
      <c r="E252" s="153"/>
      <c r="F252" s="153"/>
      <c r="G252" s="153"/>
      <c r="H252" s="153" t="s">
        <v>143</v>
      </c>
      <c r="I252" s="153" t="s">
        <v>144</v>
      </c>
      <c r="J252" s="153" t="s">
        <v>693</v>
      </c>
      <c r="K252" s="153" t="s">
        <v>694</v>
      </c>
      <c r="L252" s="158" t="s">
        <v>6397</v>
      </c>
      <c r="M252" s="153" t="s">
        <v>6454</v>
      </c>
      <c r="N252" s="230">
        <v>2006.0</v>
      </c>
      <c r="O252" s="230">
        <v>2006.0</v>
      </c>
      <c r="P252" s="230">
        <v>2007.0</v>
      </c>
      <c r="Q252" s="153" t="s">
        <v>6062</v>
      </c>
      <c r="R252" s="158" t="s">
        <v>1048</v>
      </c>
      <c r="S252" s="158" t="s">
        <v>1048</v>
      </c>
      <c r="T252" s="153" t="s">
        <v>1049</v>
      </c>
      <c r="U252" s="153" t="s">
        <v>1020</v>
      </c>
      <c r="V252" s="158" t="s">
        <v>6154</v>
      </c>
      <c r="W252" s="158" t="s">
        <v>206</v>
      </c>
      <c r="X252" s="158" t="s">
        <v>204</v>
      </c>
      <c r="Y252" s="241" t="s">
        <v>149</v>
      </c>
      <c r="Z252" s="158" t="s">
        <v>149</v>
      </c>
      <c r="AA252" s="153" t="s">
        <v>1050</v>
      </c>
      <c r="AB252" s="153" t="s">
        <v>233</v>
      </c>
      <c r="AC252" s="158" t="s">
        <v>6068</v>
      </c>
      <c r="AD252" s="153"/>
      <c r="AE252" s="153" t="s">
        <v>1022</v>
      </c>
      <c r="AF252" s="153"/>
      <c r="AG252" s="158" t="s">
        <v>6214</v>
      </c>
      <c r="AH252" s="153" t="s">
        <v>1051</v>
      </c>
      <c r="AI252" s="172" t="s">
        <v>1052</v>
      </c>
      <c r="AJ252" s="153" t="s">
        <v>245</v>
      </c>
      <c r="AK252" s="239"/>
    </row>
    <row r="253">
      <c r="A253" s="152">
        <v>2023.0</v>
      </c>
      <c r="B253" s="151">
        <v>194.0</v>
      </c>
      <c r="C253" s="129" t="s">
        <v>140</v>
      </c>
      <c r="D253" s="8"/>
      <c r="H253" s="8" t="s">
        <v>535</v>
      </c>
      <c r="I253" s="8" t="s">
        <v>1445</v>
      </c>
      <c r="J253" s="8" t="s">
        <v>2406</v>
      </c>
      <c r="K253" s="153" t="s">
        <v>2407</v>
      </c>
      <c r="L253" s="153" t="s">
        <v>6113</v>
      </c>
      <c r="M253" s="8" t="s">
        <v>6888</v>
      </c>
      <c r="N253" s="142" t="s">
        <v>6030</v>
      </c>
      <c r="O253" s="142"/>
      <c r="P253" s="142"/>
      <c r="Q253" s="8" t="s">
        <v>151</v>
      </c>
      <c r="R253" s="8" t="s">
        <v>6889</v>
      </c>
      <c r="U253" s="8" t="s">
        <v>369</v>
      </c>
      <c r="AA253" s="8" t="s">
        <v>1336</v>
      </c>
      <c r="AB253" s="8" t="s">
        <v>2410</v>
      </c>
      <c r="AD253" s="8" t="s">
        <v>2411</v>
      </c>
      <c r="AF253" s="8" t="s">
        <v>1195</v>
      </c>
      <c r="AH253" s="8" t="s">
        <v>166</v>
      </c>
      <c r="AI253" s="8" t="s">
        <v>2413</v>
      </c>
    </row>
    <row r="254">
      <c r="A254" s="152">
        <v>2025.0</v>
      </c>
      <c r="B254" s="151">
        <v>194.0</v>
      </c>
      <c r="C254" s="153" t="s">
        <v>8189</v>
      </c>
      <c r="D254" s="153"/>
      <c r="E254" s="153"/>
      <c r="F254" s="153"/>
      <c r="G254" s="153"/>
      <c r="H254" s="153" t="s">
        <v>535</v>
      </c>
      <c r="I254" s="153" t="s">
        <v>1445</v>
      </c>
      <c r="J254" s="153" t="s">
        <v>2406</v>
      </c>
      <c r="K254" s="153" t="s">
        <v>2407</v>
      </c>
      <c r="L254" s="158" t="s">
        <v>149</v>
      </c>
      <c r="M254" s="153" t="s">
        <v>8278</v>
      </c>
      <c r="N254" s="175" t="s">
        <v>6030</v>
      </c>
      <c r="O254" s="164" t="s">
        <v>149</v>
      </c>
      <c r="P254" s="160" t="s">
        <v>149</v>
      </c>
      <c r="Q254" s="153" t="s">
        <v>151</v>
      </c>
      <c r="R254" s="158" t="s">
        <v>149</v>
      </c>
      <c r="S254" s="158" t="s">
        <v>149</v>
      </c>
      <c r="T254" s="158" t="s">
        <v>6891</v>
      </c>
      <c r="U254" s="153" t="s">
        <v>369</v>
      </c>
      <c r="V254" s="158" t="s">
        <v>160</v>
      </c>
      <c r="W254" s="158" t="s">
        <v>6035</v>
      </c>
      <c r="X254" s="158" t="s">
        <v>159</v>
      </c>
      <c r="Y254" s="158" t="s">
        <v>149</v>
      </c>
      <c r="Z254" s="158" t="s">
        <v>149</v>
      </c>
      <c r="AA254" s="158" t="s">
        <v>149</v>
      </c>
      <c r="AB254" s="153" t="s">
        <v>2410</v>
      </c>
      <c r="AC254" s="153" t="s">
        <v>6035</v>
      </c>
      <c r="AD254" s="153" t="s">
        <v>2411</v>
      </c>
      <c r="AE254" s="153"/>
      <c r="AF254" s="153" t="s">
        <v>1195</v>
      </c>
      <c r="AG254" s="158" t="s">
        <v>166</v>
      </c>
      <c r="AH254" s="153" t="s">
        <v>2412</v>
      </c>
      <c r="AI254" s="172" t="s">
        <v>2413</v>
      </c>
      <c r="AJ254" s="153"/>
      <c r="AK254" s="153"/>
    </row>
    <row r="255">
      <c r="A255" s="152">
        <v>2024.0</v>
      </c>
      <c r="B255" s="151">
        <v>87.0</v>
      </c>
      <c r="C255" s="153"/>
      <c r="D255" s="153"/>
      <c r="E255" s="153"/>
      <c r="F255" s="153"/>
      <c r="G255" s="153"/>
      <c r="H255" s="153" t="s">
        <v>143</v>
      </c>
      <c r="I255" s="153" t="s">
        <v>144</v>
      </c>
      <c r="J255" s="153" t="s">
        <v>693</v>
      </c>
      <c r="K255" s="153" t="s">
        <v>694</v>
      </c>
      <c r="L255" s="158" t="s">
        <v>149</v>
      </c>
      <c r="M255" s="153" t="s">
        <v>8279</v>
      </c>
      <c r="N255" s="230">
        <v>2015.0</v>
      </c>
      <c r="O255" s="192">
        <v>2015.0</v>
      </c>
      <c r="P255" s="192">
        <v>2015.0</v>
      </c>
      <c r="Q255" s="153" t="s">
        <v>6221</v>
      </c>
      <c r="R255" s="158" t="s">
        <v>3004</v>
      </c>
      <c r="S255" s="158" t="s">
        <v>3004</v>
      </c>
      <c r="T255" s="153" t="s">
        <v>3005</v>
      </c>
      <c r="U255" s="158" t="s">
        <v>233</v>
      </c>
      <c r="V255" s="158" t="s">
        <v>160</v>
      </c>
      <c r="W255" s="158" t="s">
        <v>209</v>
      </c>
      <c r="X255" s="158" t="s">
        <v>204</v>
      </c>
      <c r="Y255" s="241" t="s">
        <v>149</v>
      </c>
      <c r="Z255" s="158" t="s">
        <v>149</v>
      </c>
      <c r="AA255" s="158" t="s">
        <v>149</v>
      </c>
      <c r="AB255" s="158" t="s">
        <v>233</v>
      </c>
      <c r="AC255" s="158" t="s">
        <v>6068</v>
      </c>
      <c r="AD255" s="153"/>
      <c r="AE255" s="153"/>
      <c r="AF255" s="153"/>
      <c r="AG255" s="158" t="s">
        <v>6214</v>
      </c>
      <c r="AH255" s="153" t="s">
        <v>3006</v>
      </c>
      <c r="AI255" s="165" t="s">
        <v>3007</v>
      </c>
      <c r="AJ255" s="153" t="s">
        <v>3008</v>
      </c>
      <c r="AK255" s="239"/>
    </row>
    <row r="256">
      <c r="A256" s="152">
        <v>2023.0</v>
      </c>
      <c r="B256" s="151">
        <v>195.0</v>
      </c>
      <c r="C256" s="129" t="s">
        <v>140</v>
      </c>
      <c r="D256" s="8"/>
      <c r="H256" s="8" t="s">
        <v>535</v>
      </c>
      <c r="I256" s="8" t="s">
        <v>1445</v>
      </c>
      <c r="J256" s="8" t="s">
        <v>1446</v>
      </c>
      <c r="K256" s="282" t="s">
        <v>1447</v>
      </c>
      <c r="L256" s="8" t="s">
        <v>1377</v>
      </c>
      <c r="M256" s="8" t="s">
        <v>1448</v>
      </c>
      <c r="N256" s="142"/>
      <c r="O256" s="142" t="s">
        <v>6198</v>
      </c>
      <c r="P256" s="142" t="s">
        <v>6199</v>
      </c>
      <c r="Q256" s="8" t="s">
        <v>151</v>
      </c>
      <c r="U256" s="8" t="s">
        <v>1381</v>
      </c>
      <c r="AB256" s="8" t="s">
        <v>660</v>
      </c>
      <c r="AD256" s="8" t="s">
        <v>369</v>
      </c>
      <c r="AH256" s="8" t="s">
        <v>395</v>
      </c>
      <c r="AI256" s="8" t="s">
        <v>2873</v>
      </c>
      <c r="AJ256" s="8" t="s">
        <v>398</v>
      </c>
    </row>
    <row r="257">
      <c r="A257" s="152">
        <v>2025.0</v>
      </c>
      <c r="B257" s="151">
        <v>195.0</v>
      </c>
      <c r="C257" s="153" t="s">
        <v>8189</v>
      </c>
      <c r="D257" s="153"/>
      <c r="E257" s="153"/>
      <c r="F257" s="153"/>
      <c r="G257" s="153"/>
      <c r="H257" s="153" t="s">
        <v>535</v>
      </c>
      <c r="I257" s="153" t="s">
        <v>1445</v>
      </c>
      <c r="J257" s="153" t="s">
        <v>1446</v>
      </c>
      <c r="K257" s="153" t="s">
        <v>1447</v>
      </c>
      <c r="L257" s="153" t="s">
        <v>1377</v>
      </c>
      <c r="M257" s="153" t="s">
        <v>1448</v>
      </c>
      <c r="N257" s="175" t="s">
        <v>6896</v>
      </c>
      <c r="O257" s="175" t="s">
        <v>6198</v>
      </c>
      <c r="P257" s="175" t="s">
        <v>6199</v>
      </c>
      <c r="Q257" s="153" t="s">
        <v>151</v>
      </c>
      <c r="R257" s="158" t="s">
        <v>149</v>
      </c>
      <c r="S257" s="158" t="s">
        <v>149</v>
      </c>
      <c r="T257" s="158" t="s">
        <v>149</v>
      </c>
      <c r="U257" s="153" t="s">
        <v>1381</v>
      </c>
      <c r="V257" s="158" t="s">
        <v>6154</v>
      </c>
      <c r="W257" s="158" t="s">
        <v>206</v>
      </c>
      <c r="X257" s="158" t="s">
        <v>159</v>
      </c>
      <c r="Y257" s="158" t="s">
        <v>149</v>
      </c>
      <c r="Z257" s="158" t="s">
        <v>149</v>
      </c>
      <c r="AA257" s="158" t="s">
        <v>149</v>
      </c>
      <c r="AB257" s="153" t="s">
        <v>660</v>
      </c>
      <c r="AC257" s="153" t="s">
        <v>6035</v>
      </c>
      <c r="AD257" s="153" t="s">
        <v>369</v>
      </c>
      <c r="AE257" s="153"/>
      <c r="AF257" s="153"/>
      <c r="AG257" s="158" t="s">
        <v>395</v>
      </c>
      <c r="AH257" s="153" t="s">
        <v>6060</v>
      </c>
      <c r="AI257" s="158" t="s">
        <v>6711</v>
      </c>
      <c r="AJ257" s="153" t="s">
        <v>398</v>
      </c>
      <c r="AK257" s="153"/>
    </row>
    <row r="258">
      <c r="A258" s="152">
        <v>2023.0</v>
      </c>
      <c r="B258" s="151">
        <v>196.0</v>
      </c>
      <c r="C258" s="129" t="s">
        <v>140</v>
      </c>
      <c r="D258" s="8"/>
      <c r="H258" s="8" t="s">
        <v>535</v>
      </c>
      <c r="I258" s="8" t="s">
        <v>1089</v>
      </c>
      <c r="J258" s="8" t="s">
        <v>1667</v>
      </c>
      <c r="K258" s="153" t="s">
        <v>1668</v>
      </c>
      <c r="L258" s="153" t="s">
        <v>1659</v>
      </c>
      <c r="N258" s="142"/>
      <c r="O258" s="142" t="s">
        <v>6198</v>
      </c>
      <c r="P258" s="142" t="s">
        <v>6896</v>
      </c>
      <c r="Q258" s="8" t="s">
        <v>151</v>
      </c>
      <c r="R258" s="8" t="s">
        <v>6897</v>
      </c>
      <c r="T258" s="8" t="s">
        <v>1380</v>
      </c>
      <c r="U258" s="8" t="s">
        <v>1663</v>
      </c>
      <c r="AB258" s="8" t="s">
        <v>3307</v>
      </c>
      <c r="AD258" s="8" t="s">
        <v>1663</v>
      </c>
      <c r="AH258" s="8" t="s">
        <v>395</v>
      </c>
      <c r="AI258" s="8" t="s">
        <v>2873</v>
      </c>
      <c r="AJ258" s="8" t="s">
        <v>398</v>
      </c>
    </row>
    <row r="259">
      <c r="A259" s="152">
        <v>2024.0</v>
      </c>
      <c r="B259" s="151">
        <v>88.0</v>
      </c>
      <c r="C259" s="153"/>
      <c r="D259" s="153"/>
      <c r="E259" s="153"/>
      <c r="F259" s="153"/>
      <c r="G259" s="153"/>
      <c r="H259" s="153" t="s">
        <v>143</v>
      </c>
      <c r="I259" s="153" t="s">
        <v>144</v>
      </c>
      <c r="J259" s="153" t="s">
        <v>472</v>
      </c>
      <c r="K259" s="173" t="s">
        <v>473</v>
      </c>
      <c r="L259" s="153" t="s">
        <v>384</v>
      </c>
      <c r="M259" s="153" t="s">
        <v>474</v>
      </c>
      <c r="N259" s="276">
        <v>1986.0</v>
      </c>
      <c r="O259" s="230">
        <v>1985.0</v>
      </c>
      <c r="P259" s="230">
        <v>1987.0</v>
      </c>
      <c r="Q259" s="153" t="s">
        <v>151</v>
      </c>
      <c r="R259" s="153" t="s">
        <v>6054</v>
      </c>
      <c r="S259" s="158" t="s">
        <v>6054</v>
      </c>
      <c r="T259" s="158" t="s">
        <v>149</v>
      </c>
      <c r="U259" s="153" t="s">
        <v>390</v>
      </c>
      <c r="V259" s="158" t="s">
        <v>160</v>
      </c>
      <c r="W259" s="158" t="s">
        <v>6035</v>
      </c>
      <c r="X259" s="158" t="s">
        <v>159</v>
      </c>
      <c r="Y259" s="158" t="s">
        <v>149</v>
      </c>
      <c r="Z259" s="158" t="s">
        <v>149</v>
      </c>
      <c r="AA259" s="153" t="s">
        <v>475</v>
      </c>
      <c r="AB259" s="153" t="s">
        <v>390</v>
      </c>
      <c r="AC259" s="153" t="s">
        <v>6035</v>
      </c>
      <c r="AD259" s="153" t="s">
        <v>6055</v>
      </c>
      <c r="AE259" s="153"/>
      <c r="AF259" s="153" t="s">
        <v>6056</v>
      </c>
      <c r="AG259" s="158" t="s">
        <v>395</v>
      </c>
      <c r="AH259" s="153" t="s">
        <v>6060</v>
      </c>
      <c r="AI259" s="158" t="s">
        <v>397</v>
      </c>
      <c r="AJ259" s="153" t="s">
        <v>398</v>
      </c>
      <c r="AK259" s="153"/>
    </row>
    <row r="260">
      <c r="A260" s="152">
        <v>2025.0</v>
      </c>
      <c r="B260" s="151">
        <v>196.0</v>
      </c>
      <c r="C260" s="153" t="s">
        <v>8189</v>
      </c>
      <c r="D260" s="153"/>
      <c r="E260" s="153"/>
      <c r="F260" s="153"/>
      <c r="G260" s="153"/>
      <c r="H260" s="153" t="s">
        <v>535</v>
      </c>
      <c r="I260" s="153" t="s">
        <v>1089</v>
      </c>
      <c r="J260" s="153" t="s">
        <v>2511</v>
      </c>
      <c r="K260" s="153" t="s">
        <v>2512</v>
      </c>
      <c r="L260" s="158" t="s">
        <v>149</v>
      </c>
      <c r="M260" s="153"/>
      <c r="N260" s="160" t="s">
        <v>149</v>
      </c>
      <c r="O260" s="160" t="s">
        <v>149</v>
      </c>
      <c r="P260" s="160" t="s">
        <v>149</v>
      </c>
      <c r="Q260" s="153" t="s">
        <v>151</v>
      </c>
      <c r="R260" s="158" t="s">
        <v>149</v>
      </c>
      <c r="S260" s="158" t="s">
        <v>149</v>
      </c>
      <c r="T260" s="153" t="s">
        <v>2513</v>
      </c>
      <c r="U260" s="158" t="s">
        <v>149</v>
      </c>
      <c r="V260" s="158" t="s">
        <v>149</v>
      </c>
      <c r="W260" s="158" t="s">
        <v>149</v>
      </c>
      <c r="X260" s="158" t="s">
        <v>149</v>
      </c>
      <c r="Y260" s="158" t="s">
        <v>149</v>
      </c>
      <c r="Z260" s="158" t="s">
        <v>149</v>
      </c>
      <c r="AA260" s="158" t="s">
        <v>149</v>
      </c>
      <c r="AB260" s="153" t="s">
        <v>765</v>
      </c>
      <c r="AC260" s="153" t="s">
        <v>6035</v>
      </c>
      <c r="AD260" s="153" t="s">
        <v>390</v>
      </c>
      <c r="AE260" s="153" t="s">
        <v>2514</v>
      </c>
      <c r="AF260" s="153"/>
      <c r="AG260" s="158" t="s">
        <v>6214</v>
      </c>
      <c r="AH260" s="153" t="s">
        <v>2515</v>
      </c>
      <c r="AI260" s="165" t="s">
        <v>2516</v>
      </c>
      <c r="AJ260" s="153" t="s">
        <v>2517</v>
      </c>
      <c r="AK260" s="153"/>
    </row>
    <row r="261">
      <c r="A261" s="152">
        <v>2023.0</v>
      </c>
      <c r="B261" s="151">
        <v>197.0</v>
      </c>
      <c r="C261" s="129" t="s">
        <v>140</v>
      </c>
      <c r="D261" s="8"/>
      <c r="H261" s="8" t="s">
        <v>535</v>
      </c>
      <c r="I261" s="8" t="s">
        <v>1089</v>
      </c>
      <c r="J261" s="8" t="s">
        <v>2511</v>
      </c>
      <c r="K261" s="173" t="s">
        <v>2512</v>
      </c>
      <c r="L261" s="8" t="s">
        <v>6113</v>
      </c>
      <c r="N261" s="142" t="s">
        <v>6113</v>
      </c>
      <c r="O261" s="142"/>
      <c r="P261" s="142"/>
      <c r="Q261" s="8" t="s">
        <v>151</v>
      </c>
      <c r="T261" s="8" t="s">
        <v>2513</v>
      </c>
      <c r="Y261" s="8" t="s">
        <v>765</v>
      </c>
      <c r="AB261" s="8" t="s">
        <v>765</v>
      </c>
      <c r="AD261" s="8" t="s">
        <v>390</v>
      </c>
      <c r="AE261" s="8" t="s">
        <v>2514</v>
      </c>
      <c r="AH261" s="8" t="s">
        <v>6214</v>
      </c>
      <c r="AI261" s="172" t="s">
        <v>2516</v>
      </c>
      <c r="AJ261" s="8" t="s">
        <v>2517</v>
      </c>
    </row>
    <row r="262">
      <c r="A262" s="152">
        <v>2024.0</v>
      </c>
      <c r="B262" s="151">
        <v>89.0</v>
      </c>
      <c r="C262" s="153"/>
      <c r="D262" s="153"/>
      <c r="E262" s="153"/>
      <c r="F262" s="153"/>
      <c r="G262" s="153"/>
      <c r="H262" s="153" t="s">
        <v>143</v>
      </c>
      <c r="I262" s="153" t="s">
        <v>144</v>
      </c>
      <c r="J262" s="153" t="s">
        <v>2857</v>
      </c>
      <c r="K262" s="153" t="s">
        <v>2858</v>
      </c>
      <c r="L262" s="153" t="s">
        <v>384</v>
      </c>
      <c r="M262" s="153" t="s">
        <v>6469</v>
      </c>
      <c r="N262" s="230">
        <v>1981.0</v>
      </c>
      <c r="O262" s="230">
        <v>1985.0</v>
      </c>
      <c r="P262" s="230">
        <v>1987.0</v>
      </c>
      <c r="Q262" s="153" t="s">
        <v>151</v>
      </c>
      <c r="R262" s="153" t="s">
        <v>6054</v>
      </c>
      <c r="S262" s="158" t="s">
        <v>6054</v>
      </c>
      <c r="T262" s="158" t="s">
        <v>149</v>
      </c>
      <c r="U262" s="153" t="s">
        <v>390</v>
      </c>
      <c r="V262" s="158" t="s">
        <v>160</v>
      </c>
      <c r="W262" s="158" t="s">
        <v>6035</v>
      </c>
      <c r="X262" s="158" t="s">
        <v>159</v>
      </c>
      <c r="Y262" s="158" t="s">
        <v>149</v>
      </c>
      <c r="Z262" s="158" t="s">
        <v>149</v>
      </c>
      <c r="AA262" s="153" t="s">
        <v>2860</v>
      </c>
      <c r="AB262" s="153" t="s">
        <v>390</v>
      </c>
      <c r="AC262" s="153" t="s">
        <v>6035</v>
      </c>
      <c r="AD262" s="153" t="s">
        <v>6055</v>
      </c>
      <c r="AE262" s="153"/>
      <c r="AF262" s="153"/>
      <c r="AG262" s="158" t="s">
        <v>395</v>
      </c>
      <c r="AH262" s="153" t="s">
        <v>6060</v>
      </c>
      <c r="AI262" s="158" t="s">
        <v>397</v>
      </c>
      <c r="AJ262" s="153" t="s">
        <v>398</v>
      </c>
      <c r="AK262" s="153"/>
    </row>
    <row r="263">
      <c r="A263" s="152">
        <v>2025.0</v>
      </c>
      <c r="B263" s="151">
        <v>197.0</v>
      </c>
      <c r="C263" s="153" t="s">
        <v>8189</v>
      </c>
      <c r="D263" s="153"/>
      <c r="E263" s="153"/>
      <c r="F263" s="153"/>
      <c r="G263" s="153"/>
      <c r="H263" s="153" t="s">
        <v>535</v>
      </c>
      <c r="I263" s="153" t="s">
        <v>1089</v>
      </c>
      <c r="J263" s="153" t="s">
        <v>3081</v>
      </c>
      <c r="K263" s="153" t="s">
        <v>3082</v>
      </c>
      <c r="L263" s="158" t="s">
        <v>149</v>
      </c>
      <c r="M263" s="153"/>
      <c r="N263" s="160" t="s">
        <v>149</v>
      </c>
      <c r="O263" s="160" t="s">
        <v>149</v>
      </c>
      <c r="P263" s="160" t="s">
        <v>149</v>
      </c>
      <c r="Q263" s="153" t="s">
        <v>6062</v>
      </c>
      <c r="R263" s="158" t="s">
        <v>179</v>
      </c>
      <c r="S263" s="158" t="s">
        <v>179</v>
      </c>
      <c r="T263" s="158" t="s">
        <v>149</v>
      </c>
      <c r="U263" s="153" t="s">
        <v>3083</v>
      </c>
      <c r="V263" s="158" t="s">
        <v>160</v>
      </c>
      <c r="W263" s="158" t="s">
        <v>306</v>
      </c>
      <c r="X263" s="158" t="s">
        <v>159</v>
      </c>
      <c r="Y263" s="158" t="s">
        <v>149</v>
      </c>
      <c r="Z263" s="158" t="s">
        <v>3084</v>
      </c>
      <c r="AA263" s="158" t="s">
        <v>149</v>
      </c>
      <c r="AB263" s="153" t="s">
        <v>3083</v>
      </c>
      <c r="AC263" s="153" t="s">
        <v>306</v>
      </c>
      <c r="AD263" s="153" t="s">
        <v>369</v>
      </c>
      <c r="AE263" s="153"/>
      <c r="AF263" s="153"/>
      <c r="AG263" s="153" t="s">
        <v>6038</v>
      </c>
      <c r="AH263" s="153" t="s">
        <v>3085</v>
      </c>
      <c r="AI263" s="153" t="s">
        <v>6902</v>
      </c>
      <c r="AJ263" s="153" t="s">
        <v>3087</v>
      </c>
      <c r="AK263" s="153" t="s">
        <v>3088</v>
      </c>
    </row>
    <row r="264">
      <c r="A264" s="152">
        <v>2023.0</v>
      </c>
      <c r="B264" s="151">
        <v>198.0</v>
      </c>
      <c r="C264" s="129" t="s">
        <v>140</v>
      </c>
      <c r="D264" s="8"/>
      <c r="H264" s="8" t="s">
        <v>535</v>
      </c>
      <c r="I264" s="8" t="s">
        <v>1089</v>
      </c>
      <c r="J264" s="8" t="s">
        <v>3081</v>
      </c>
      <c r="K264" s="153" t="s">
        <v>3082</v>
      </c>
      <c r="L264" s="8" t="s">
        <v>6113</v>
      </c>
      <c r="N264" s="142" t="s">
        <v>6113</v>
      </c>
      <c r="O264" s="142"/>
      <c r="P264" s="142"/>
      <c r="Q264" s="8" t="s">
        <v>6062</v>
      </c>
      <c r="R264" s="8" t="s">
        <v>6666</v>
      </c>
      <c r="U264" s="8" t="s">
        <v>3083</v>
      </c>
      <c r="AB264" s="8" t="s">
        <v>3083</v>
      </c>
      <c r="AD264" s="8" t="s">
        <v>369</v>
      </c>
      <c r="AH264" s="8" t="s">
        <v>6038</v>
      </c>
      <c r="AI264" s="8" t="s">
        <v>6902</v>
      </c>
      <c r="AJ264" s="8" t="s">
        <v>3087</v>
      </c>
      <c r="AK264" s="8" t="s">
        <v>3088</v>
      </c>
      <c r="AL264" s="8" t="s">
        <v>6754</v>
      </c>
    </row>
    <row r="265">
      <c r="A265" s="152">
        <v>2024.0</v>
      </c>
      <c r="B265" s="151">
        <v>90.0</v>
      </c>
      <c r="C265" s="153"/>
      <c r="D265" s="153"/>
      <c r="E265" s="153"/>
      <c r="F265" s="153"/>
      <c r="G265" s="153"/>
      <c r="H265" s="153" t="s">
        <v>143</v>
      </c>
      <c r="I265" s="153" t="s">
        <v>144</v>
      </c>
      <c r="J265" s="153" t="s">
        <v>1649</v>
      </c>
      <c r="K265" s="173" t="s">
        <v>1650</v>
      </c>
      <c r="L265" s="153" t="s">
        <v>1651</v>
      </c>
      <c r="M265" s="158" t="s">
        <v>1652</v>
      </c>
      <c r="N265" s="276">
        <v>2022.0</v>
      </c>
      <c r="O265" s="192" t="s">
        <v>149</v>
      </c>
      <c r="P265" s="192" t="s">
        <v>149</v>
      </c>
      <c r="Q265" s="153" t="s">
        <v>151</v>
      </c>
      <c r="R265" s="158" t="s">
        <v>152</v>
      </c>
      <c r="S265" s="158" t="s">
        <v>152</v>
      </c>
      <c r="T265" s="153" t="s">
        <v>8280</v>
      </c>
      <c r="U265" s="153" t="s">
        <v>369</v>
      </c>
      <c r="V265" s="158" t="s">
        <v>160</v>
      </c>
      <c r="W265" s="158" t="s">
        <v>6035</v>
      </c>
      <c r="X265" s="158" t="s">
        <v>159</v>
      </c>
      <c r="Y265" s="158" t="s">
        <v>149</v>
      </c>
      <c r="Z265" s="158" t="s">
        <v>149</v>
      </c>
      <c r="AA265" s="158" t="s">
        <v>162</v>
      </c>
      <c r="AB265" s="153" t="s">
        <v>369</v>
      </c>
      <c r="AC265" s="153" t="s">
        <v>6035</v>
      </c>
      <c r="AD265" s="153" t="s">
        <v>6476</v>
      </c>
      <c r="AE265" s="153"/>
      <c r="AF265" s="153"/>
      <c r="AG265" s="158" t="s">
        <v>166</v>
      </c>
      <c r="AH265" s="153" t="s">
        <v>8281</v>
      </c>
      <c r="AI265" s="165" t="s">
        <v>1657</v>
      </c>
      <c r="AJ265" s="153"/>
      <c r="AK265" s="153"/>
    </row>
    <row r="266">
      <c r="A266" s="152">
        <v>2025.0</v>
      </c>
      <c r="B266" s="151">
        <v>198.0</v>
      </c>
      <c r="C266" s="153" t="s">
        <v>8189</v>
      </c>
      <c r="D266" s="153"/>
      <c r="E266" s="153"/>
      <c r="F266" s="153"/>
      <c r="G266" s="153"/>
      <c r="H266" s="153" t="s">
        <v>535</v>
      </c>
      <c r="I266" s="153" t="s">
        <v>1089</v>
      </c>
      <c r="J266" s="153" t="s">
        <v>1090</v>
      </c>
      <c r="K266" s="173" t="s">
        <v>1091</v>
      </c>
      <c r="L266" s="153" t="s">
        <v>1092</v>
      </c>
      <c r="M266" s="153"/>
      <c r="N266" s="216" t="s">
        <v>6030</v>
      </c>
      <c r="O266" s="160" t="s">
        <v>149</v>
      </c>
      <c r="P266" s="160" t="s">
        <v>149</v>
      </c>
      <c r="Q266" s="153" t="s">
        <v>6062</v>
      </c>
      <c r="R266" s="158" t="s">
        <v>149</v>
      </c>
      <c r="S266" s="158" t="s">
        <v>149</v>
      </c>
      <c r="T266" s="158" t="s">
        <v>149</v>
      </c>
      <c r="U266" s="153" t="s">
        <v>369</v>
      </c>
      <c r="V266" s="158" t="s">
        <v>160</v>
      </c>
      <c r="W266" s="158" t="s">
        <v>6035</v>
      </c>
      <c r="X266" s="158" t="s">
        <v>159</v>
      </c>
      <c r="Y266" s="158" t="s">
        <v>149</v>
      </c>
      <c r="Z266" s="158" t="s">
        <v>3084</v>
      </c>
      <c r="AA266" s="158" t="s">
        <v>149</v>
      </c>
      <c r="AB266" s="153" t="s">
        <v>369</v>
      </c>
      <c r="AC266" s="153" t="s">
        <v>6035</v>
      </c>
      <c r="AD266" s="153" t="s">
        <v>1093</v>
      </c>
      <c r="AE266" s="153"/>
      <c r="AF266" s="153"/>
      <c r="AG266" s="153" t="s">
        <v>6038</v>
      </c>
      <c r="AH266" s="153" t="s">
        <v>1094</v>
      </c>
      <c r="AI266" s="172" t="s">
        <v>1095</v>
      </c>
      <c r="AJ266" s="153"/>
      <c r="AK266" s="153"/>
    </row>
    <row r="267">
      <c r="A267" s="152">
        <v>2023.0</v>
      </c>
      <c r="B267" s="151">
        <v>199.0</v>
      </c>
      <c r="C267" s="129" t="s">
        <v>140</v>
      </c>
      <c r="D267" s="8"/>
      <c r="H267" s="8" t="s">
        <v>535</v>
      </c>
      <c r="I267" s="8" t="s">
        <v>1089</v>
      </c>
      <c r="J267" s="8" t="s">
        <v>1324</v>
      </c>
      <c r="K267" s="279" t="s">
        <v>1325</v>
      </c>
      <c r="L267" s="8" t="s">
        <v>1377</v>
      </c>
      <c r="M267" s="8" t="s">
        <v>7895</v>
      </c>
      <c r="N267" s="142"/>
      <c r="O267" s="142" t="s">
        <v>6198</v>
      </c>
      <c r="P267" s="142" t="s">
        <v>6199</v>
      </c>
      <c r="Q267" s="8" t="s">
        <v>151</v>
      </c>
      <c r="U267" s="8" t="s">
        <v>1381</v>
      </c>
      <c r="AB267" s="8" t="s">
        <v>660</v>
      </c>
      <c r="AD267" s="8" t="s">
        <v>369</v>
      </c>
      <c r="AH267" s="8" t="s">
        <v>395</v>
      </c>
      <c r="AI267" s="8" t="s">
        <v>2873</v>
      </c>
      <c r="AJ267" s="8" t="s">
        <v>398</v>
      </c>
    </row>
    <row r="268">
      <c r="A268" s="152">
        <v>2024.0</v>
      </c>
      <c r="B268" s="151">
        <v>91.0</v>
      </c>
      <c r="C268" s="153"/>
      <c r="D268" s="153"/>
      <c r="E268" s="153"/>
      <c r="F268" s="153"/>
      <c r="G268" s="153"/>
      <c r="H268" s="153" t="s">
        <v>143</v>
      </c>
      <c r="I268" s="153" t="s">
        <v>144</v>
      </c>
      <c r="J268" s="153" t="s">
        <v>2545</v>
      </c>
      <c r="K268" s="153" t="s">
        <v>2546</v>
      </c>
      <c r="L268" s="158" t="s">
        <v>149</v>
      </c>
      <c r="M268" s="153"/>
      <c r="N268" s="230">
        <v>2018.0</v>
      </c>
      <c r="O268" s="192" t="s">
        <v>149</v>
      </c>
      <c r="P268" s="192" t="s">
        <v>149</v>
      </c>
      <c r="Q268" s="153" t="s">
        <v>151</v>
      </c>
      <c r="R268" s="158" t="s">
        <v>153</v>
      </c>
      <c r="S268" s="158" t="s">
        <v>153</v>
      </c>
      <c r="T268" s="158" t="s">
        <v>6482</v>
      </c>
      <c r="U268" s="158" t="s">
        <v>149</v>
      </c>
      <c r="V268" s="158" t="s">
        <v>149</v>
      </c>
      <c r="W268" s="158" t="s">
        <v>149</v>
      </c>
      <c r="X268" s="158" t="s">
        <v>159</v>
      </c>
      <c r="Y268" s="158" t="s">
        <v>149</v>
      </c>
      <c r="Z268" s="158" t="s">
        <v>149</v>
      </c>
      <c r="AA268" s="158" t="s">
        <v>2548</v>
      </c>
      <c r="AB268" s="158" t="s">
        <v>149</v>
      </c>
      <c r="AC268" s="158" t="s">
        <v>149</v>
      </c>
      <c r="AD268" s="153" t="s">
        <v>8282</v>
      </c>
      <c r="AE268" s="153"/>
      <c r="AF268" s="153"/>
      <c r="AG268" s="158" t="s">
        <v>166</v>
      </c>
      <c r="AH268" s="153" t="s">
        <v>6484</v>
      </c>
      <c r="AI268" s="177" t="s">
        <v>6485</v>
      </c>
      <c r="AJ268" s="153"/>
      <c r="AK268" s="153"/>
    </row>
    <row r="269">
      <c r="A269" s="152">
        <v>2025.0</v>
      </c>
      <c r="B269" s="151">
        <v>199.0</v>
      </c>
      <c r="C269" s="153" t="s">
        <v>8189</v>
      </c>
      <c r="D269" s="153"/>
      <c r="E269" s="153"/>
      <c r="F269" s="153"/>
      <c r="G269" s="153"/>
      <c r="H269" s="153" t="s">
        <v>535</v>
      </c>
      <c r="I269" s="153" t="s">
        <v>1089</v>
      </c>
      <c r="J269" s="153" t="s">
        <v>1324</v>
      </c>
      <c r="K269" s="153" t="s">
        <v>1325</v>
      </c>
      <c r="L269" s="153" t="s">
        <v>1377</v>
      </c>
      <c r="M269" s="153" t="s">
        <v>7895</v>
      </c>
      <c r="N269" s="160" t="s">
        <v>149</v>
      </c>
      <c r="O269" s="175" t="s">
        <v>6198</v>
      </c>
      <c r="P269" s="175" t="s">
        <v>6199</v>
      </c>
      <c r="Q269" s="153" t="s">
        <v>151</v>
      </c>
      <c r="R269" s="158" t="s">
        <v>149</v>
      </c>
      <c r="S269" s="158" t="s">
        <v>149</v>
      </c>
      <c r="T269" s="158" t="s">
        <v>149</v>
      </c>
      <c r="U269" s="153" t="s">
        <v>1381</v>
      </c>
      <c r="V269" s="158" t="s">
        <v>6154</v>
      </c>
      <c r="W269" s="158" t="s">
        <v>206</v>
      </c>
      <c r="X269" s="158" t="s">
        <v>159</v>
      </c>
      <c r="Y269" s="158" t="s">
        <v>149</v>
      </c>
      <c r="Z269" s="158" t="s">
        <v>149</v>
      </c>
      <c r="AA269" s="158" t="s">
        <v>149</v>
      </c>
      <c r="AB269" s="153" t="s">
        <v>660</v>
      </c>
      <c r="AC269" s="153" t="s">
        <v>6035</v>
      </c>
      <c r="AD269" s="153" t="s">
        <v>369</v>
      </c>
      <c r="AE269" s="153"/>
      <c r="AF269" s="153"/>
      <c r="AG269" s="158" t="s">
        <v>395</v>
      </c>
      <c r="AH269" s="153" t="s">
        <v>6060</v>
      </c>
      <c r="AI269" s="158" t="s">
        <v>6711</v>
      </c>
      <c r="AJ269" s="153" t="s">
        <v>398</v>
      </c>
      <c r="AK269" s="153"/>
    </row>
    <row r="270">
      <c r="A270" s="152">
        <v>2023.0</v>
      </c>
      <c r="B270" s="151">
        <v>200.0</v>
      </c>
      <c r="C270" s="129" t="s">
        <v>140</v>
      </c>
      <c r="D270" s="8"/>
      <c r="H270" s="8" t="s">
        <v>535</v>
      </c>
      <c r="I270" s="8" t="s">
        <v>1089</v>
      </c>
      <c r="J270" s="8" t="s">
        <v>1324</v>
      </c>
      <c r="K270" s="153" t="s">
        <v>1325</v>
      </c>
      <c r="L270" s="8" t="s">
        <v>6113</v>
      </c>
      <c r="N270" s="142" t="s">
        <v>6776</v>
      </c>
      <c r="O270" s="142"/>
      <c r="P270" s="142"/>
      <c r="Q270" s="8" t="s">
        <v>151</v>
      </c>
      <c r="AB270" s="8" t="s">
        <v>6113</v>
      </c>
      <c r="AH270" s="8" t="s">
        <v>395</v>
      </c>
      <c r="AI270" s="8" t="s">
        <v>2873</v>
      </c>
      <c r="AJ270" s="8" t="s">
        <v>398</v>
      </c>
    </row>
    <row r="271">
      <c r="A271" s="152">
        <v>2024.0</v>
      </c>
      <c r="B271" s="151">
        <v>92.0</v>
      </c>
      <c r="C271" s="153"/>
      <c r="D271" s="153"/>
      <c r="E271" s="153"/>
      <c r="F271" s="153"/>
      <c r="G271" s="153"/>
      <c r="H271" s="153" t="s">
        <v>143</v>
      </c>
      <c r="I271" s="153" t="s">
        <v>144</v>
      </c>
      <c r="J271" s="153" t="s">
        <v>477</v>
      </c>
      <c r="K271" s="153" t="s">
        <v>478</v>
      </c>
      <c r="L271" s="153" t="s">
        <v>384</v>
      </c>
      <c r="M271" s="153" t="s">
        <v>479</v>
      </c>
      <c r="N271" s="230">
        <v>1985.0</v>
      </c>
      <c r="O271" s="230">
        <v>1985.0</v>
      </c>
      <c r="P271" s="230">
        <v>1987.0</v>
      </c>
      <c r="Q271" s="153" t="s">
        <v>151</v>
      </c>
      <c r="R271" s="153" t="s">
        <v>6054</v>
      </c>
      <c r="S271" s="158" t="s">
        <v>6054</v>
      </c>
      <c r="T271" s="158" t="s">
        <v>149</v>
      </c>
      <c r="U271" s="153" t="s">
        <v>390</v>
      </c>
      <c r="V271" s="158" t="s">
        <v>160</v>
      </c>
      <c r="W271" s="158" t="s">
        <v>6035</v>
      </c>
      <c r="X271" s="158" t="s">
        <v>159</v>
      </c>
      <c r="Y271" s="158" t="s">
        <v>149</v>
      </c>
      <c r="Z271" s="158" t="s">
        <v>149</v>
      </c>
      <c r="AA271" s="153" t="s">
        <v>391</v>
      </c>
      <c r="AB271" s="153" t="s">
        <v>390</v>
      </c>
      <c r="AC271" s="153" t="s">
        <v>6035</v>
      </c>
      <c r="AD271" s="153" t="s">
        <v>6055</v>
      </c>
      <c r="AE271" s="153"/>
      <c r="AF271" s="153" t="s">
        <v>6056</v>
      </c>
      <c r="AG271" s="158" t="s">
        <v>395</v>
      </c>
      <c r="AH271" s="153" t="s">
        <v>6060</v>
      </c>
      <c r="AI271" s="158" t="s">
        <v>397</v>
      </c>
      <c r="AJ271" s="153" t="s">
        <v>398</v>
      </c>
      <c r="AK271" s="153"/>
    </row>
    <row r="272">
      <c r="A272" s="152">
        <v>2025.0</v>
      </c>
      <c r="B272" s="151">
        <v>200.0</v>
      </c>
      <c r="C272" s="153" t="s">
        <v>8189</v>
      </c>
      <c r="D272" s="153"/>
      <c r="E272" s="153"/>
      <c r="F272" s="153"/>
      <c r="G272" s="153"/>
      <c r="H272" s="153" t="s">
        <v>535</v>
      </c>
      <c r="I272" s="153" t="s">
        <v>1089</v>
      </c>
      <c r="J272" s="153" t="s">
        <v>1324</v>
      </c>
      <c r="K272" s="153" t="s">
        <v>1325</v>
      </c>
      <c r="L272" s="158" t="s">
        <v>149</v>
      </c>
      <c r="M272" s="153"/>
      <c r="N272" s="175" t="s">
        <v>6776</v>
      </c>
      <c r="O272" s="160" t="s">
        <v>149</v>
      </c>
      <c r="P272" s="160" t="s">
        <v>149</v>
      </c>
      <c r="Q272" s="153" t="s">
        <v>151</v>
      </c>
      <c r="R272" s="158" t="s">
        <v>149</v>
      </c>
      <c r="S272" s="158" t="s">
        <v>149</v>
      </c>
      <c r="T272" s="158" t="s">
        <v>149</v>
      </c>
      <c r="U272" s="158" t="s">
        <v>149</v>
      </c>
      <c r="V272" s="158" t="s">
        <v>149</v>
      </c>
      <c r="W272" s="158" t="s">
        <v>149</v>
      </c>
      <c r="X272" s="158" t="s">
        <v>149</v>
      </c>
      <c r="Y272" s="158" t="s">
        <v>149</v>
      </c>
      <c r="Z272" s="158" t="s">
        <v>149</v>
      </c>
      <c r="AA272" s="158" t="s">
        <v>149</v>
      </c>
      <c r="AB272" s="158" t="s">
        <v>149</v>
      </c>
      <c r="AC272" s="158" t="s">
        <v>149</v>
      </c>
      <c r="AD272" s="153"/>
      <c r="AE272" s="153"/>
      <c r="AF272" s="153"/>
      <c r="AG272" s="158" t="s">
        <v>395</v>
      </c>
      <c r="AH272" s="153" t="s">
        <v>6060</v>
      </c>
      <c r="AI272" s="158" t="s">
        <v>6711</v>
      </c>
      <c r="AJ272" s="153" t="s">
        <v>398</v>
      </c>
      <c r="AK272" s="153"/>
    </row>
    <row r="273">
      <c r="A273" s="152">
        <v>2024.0</v>
      </c>
      <c r="B273" s="151">
        <v>93.0</v>
      </c>
      <c r="C273" s="153"/>
      <c r="D273" s="153"/>
      <c r="E273" s="153"/>
      <c r="F273" s="153"/>
      <c r="G273" s="153"/>
      <c r="H273" s="153" t="s">
        <v>481</v>
      </c>
      <c r="I273" s="153" t="s">
        <v>482</v>
      </c>
      <c r="J273" s="153" t="s">
        <v>483</v>
      </c>
      <c r="K273" s="153" t="s">
        <v>484</v>
      </c>
      <c r="L273" s="153" t="s">
        <v>384</v>
      </c>
      <c r="M273" s="153" t="s">
        <v>8003</v>
      </c>
      <c r="N273" s="230">
        <v>1986.0</v>
      </c>
      <c r="O273" s="230">
        <v>1985.0</v>
      </c>
      <c r="P273" s="230">
        <v>1987.0</v>
      </c>
      <c r="Q273" s="153" t="s">
        <v>151</v>
      </c>
      <c r="R273" s="153" t="s">
        <v>6054</v>
      </c>
      <c r="S273" s="153"/>
      <c r="T273" s="153"/>
      <c r="U273" s="153" t="s">
        <v>390</v>
      </c>
      <c r="V273" s="153"/>
      <c r="W273" s="153"/>
      <c r="X273" s="153"/>
      <c r="Y273" s="153"/>
      <c r="Z273" s="153"/>
      <c r="AA273" s="153" t="s">
        <v>391</v>
      </c>
      <c r="AB273" s="153" t="s">
        <v>390</v>
      </c>
      <c r="AC273" s="153" t="s">
        <v>6035</v>
      </c>
      <c r="AD273" s="153" t="s">
        <v>6055</v>
      </c>
      <c r="AE273" s="153"/>
      <c r="AF273" s="153"/>
      <c r="AG273" s="153" t="s">
        <v>8004</v>
      </c>
      <c r="AH273" s="153" t="s">
        <v>6060</v>
      </c>
      <c r="AI273" s="158" t="s">
        <v>397</v>
      </c>
      <c r="AJ273" s="153" t="s">
        <v>398</v>
      </c>
      <c r="AK273" s="153"/>
    </row>
    <row r="274">
      <c r="A274" s="152">
        <v>2023.0</v>
      </c>
      <c r="B274" s="151">
        <v>201.0</v>
      </c>
      <c r="C274" s="129" t="s">
        <v>140</v>
      </c>
      <c r="D274" s="8"/>
      <c r="H274" s="8" t="s">
        <v>535</v>
      </c>
      <c r="I274" s="8" t="s">
        <v>1089</v>
      </c>
      <c r="J274" s="8" t="s">
        <v>1324</v>
      </c>
      <c r="K274" s="173" t="s">
        <v>1325</v>
      </c>
      <c r="L274" s="8" t="s">
        <v>1309</v>
      </c>
      <c r="N274" s="142" t="s">
        <v>6906</v>
      </c>
      <c r="O274" s="142"/>
      <c r="P274" s="142"/>
      <c r="Q274" s="8" t="s">
        <v>151</v>
      </c>
      <c r="U274" s="8" t="s">
        <v>6907</v>
      </c>
      <c r="AA274" s="8" t="s">
        <v>6908</v>
      </c>
      <c r="AB274" s="8" t="s">
        <v>390</v>
      </c>
      <c r="AD274" s="8" t="s">
        <v>6909</v>
      </c>
      <c r="AH274" s="8" t="s">
        <v>6084</v>
      </c>
      <c r="AI274" s="8" t="s">
        <v>1331</v>
      </c>
    </row>
    <row r="275">
      <c r="A275" s="152">
        <v>2024.0</v>
      </c>
      <c r="B275" s="151">
        <v>94.0</v>
      </c>
      <c r="C275" s="153"/>
      <c r="D275" s="153"/>
      <c r="E275" s="153"/>
      <c r="F275" s="153"/>
      <c r="G275" s="153"/>
      <c r="H275" s="153" t="s">
        <v>293</v>
      </c>
      <c r="I275" s="153" t="s">
        <v>1208</v>
      </c>
      <c r="J275" s="153" t="s">
        <v>1209</v>
      </c>
      <c r="K275" s="153" t="s">
        <v>1210</v>
      </c>
      <c r="L275" s="153" t="s">
        <v>6515</v>
      </c>
      <c r="M275" s="153"/>
      <c r="N275" s="230" t="s">
        <v>6113</v>
      </c>
      <c r="O275" s="230">
        <v>2012.0</v>
      </c>
      <c r="P275" s="230">
        <v>2013.0</v>
      </c>
      <c r="Q275" s="153" t="s">
        <v>6062</v>
      </c>
      <c r="R275" s="153" t="s">
        <v>320</v>
      </c>
      <c r="S275" s="153"/>
      <c r="T275" s="153" t="s">
        <v>1211</v>
      </c>
      <c r="U275" s="153" t="s">
        <v>321</v>
      </c>
      <c r="V275" s="153"/>
      <c r="W275" s="153"/>
      <c r="X275" s="153"/>
      <c r="Y275" s="153"/>
      <c r="Z275" s="153"/>
      <c r="AA275" s="153" t="s">
        <v>6496</v>
      </c>
      <c r="AB275" s="153" t="s">
        <v>885</v>
      </c>
      <c r="AC275" s="153" t="s">
        <v>209</v>
      </c>
      <c r="AD275" s="153" t="s">
        <v>1213</v>
      </c>
      <c r="AE275" s="153"/>
      <c r="AF275" s="153"/>
      <c r="AG275" s="153" t="s">
        <v>6084</v>
      </c>
      <c r="AH275" s="153" t="s">
        <v>1214</v>
      </c>
      <c r="AI275" s="153" t="s">
        <v>6070</v>
      </c>
      <c r="AJ275" s="153"/>
      <c r="AK275" s="153"/>
    </row>
    <row r="276">
      <c r="A276" s="152">
        <v>2025.0</v>
      </c>
      <c r="B276" s="151">
        <v>201.0</v>
      </c>
      <c r="C276" s="153" t="s">
        <v>8189</v>
      </c>
      <c r="D276" s="153"/>
      <c r="E276" s="153"/>
      <c r="F276" s="153"/>
      <c r="G276" s="153"/>
      <c r="H276" s="153" t="s">
        <v>535</v>
      </c>
      <c r="I276" s="153" t="s">
        <v>1089</v>
      </c>
      <c r="J276" s="153" t="s">
        <v>1324</v>
      </c>
      <c r="K276" s="153" t="s">
        <v>1325</v>
      </c>
      <c r="L276" s="153" t="s">
        <v>1309</v>
      </c>
      <c r="M276" s="153"/>
      <c r="N276" s="175" t="s">
        <v>6906</v>
      </c>
      <c r="O276" s="160" t="s">
        <v>6064</v>
      </c>
      <c r="P276" s="160" t="s">
        <v>6906</v>
      </c>
      <c r="Q276" s="153" t="s">
        <v>151</v>
      </c>
      <c r="R276" s="158" t="s">
        <v>149</v>
      </c>
      <c r="S276" s="158" t="s">
        <v>149</v>
      </c>
      <c r="T276" s="158" t="s">
        <v>6910</v>
      </c>
      <c r="U276" s="158" t="s">
        <v>1327</v>
      </c>
      <c r="V276" s="158" t="s">
        <v>6154</v>
      </c>
      <c r="W276" s="158" t="s">
        <v>206</v>
      </c>
      <c r="X276" s="158" t="s">
        <v>159</v>
      </c>
      <c r="Y276" s="158" t="s">
        <v>149</v>
      </c>
      <c r="Z276" s="158" t="s">
        <v>149</v>
      </c>
      <c r="AA276" s="153" t="s">
        <v>1328</v>
      </c>
      <c r="AB276" s="153" t="s">
        <v>390</v>
      </c>
      <c r="AC276" s="153" t="s">
        <v>6035</v>
      </c>
      <c r="AD276" s="153" t="s">
        <v>6909</v>
      </c>
      <c r="AE276" s="153"/>
      <c r="AF276" s="153"/>
      <c r="AG276" s="153" t="s">
        <v>6084</v>
      </c>
      <c r="AH276" s="153" t="s">
        <v>1330</v>
      </c>
      <c r="AI276" s="153" t="s">
        <v>1331</v>
      </c>
      <c r="AJ276" s="153"/>
      <c r="AK276" s="153"/>
    </row>
    <row r="277">
      <c r="A277" s="152">
        <v>2023.0</v>
      </c>
      <c r="B277" s="151">
        <v>202.0</v>
      </c>
      <c r="C277" s="129" t="s">
        <v>140</v>
      </c>
      <c r="D277" s="8"/>
      <c r="H277" s="8" t="s">
        <v>535</v>
      </c>
      <c r="I277" s="8" t="s">
        <v>1089</v>
      </c>
      <c r="J277" s="8" t="s">
        <v>2457</v>
      </c>
      <c r="K277" s="173" t="s">
        <v>2458</v>
      </c>
      <c r="L277" s="8" t="s">
        <v>6113</v>
      </c>
      <c r="N277" s="142" t="s">
        <v>6273</v>
      </c>
      <c r="O277" s="142"/>
      <c r="P277" s="142"/>
      <c r="Q277" s="8" t="s">
        <v>6062</v>
      </c>
      <c r="R277" s="8" t="s">
        <v>6666</v>
      </c>
      <c r="T277" s="8" t="s">
        <v>2459</v>
      </c>
      <c r="U277" s="8" t="s">
        <v>369</v>
      </c>
      <c r="AB277" s="8" t="s">
        <v>2410</v>
      </c>
      <c r="AD277" s="8" t="s">
        <v>6912</v>
      </c>
      <c r="AH277" s="8" t="s">
        <v>166</v>
      </c>
      <c r="AI277" s="172" t="s">
        <v>2462</v>
      </c>
    </row>
    <row r="278">
      <c r="A278" s="152">
        <v>2024.0</v>
      </c>
      <c r="B278" s="151">
        <v>95.0</v>
      </c>
      <c r="C278" s="153"/>
      <c r="D278" s="153"/>
      <c r="E278" s="153"/>
      <c r="F278" s="153"/>
      <c r="G278" s="153"/>
      <c r="H278" s="153" t="s">
        <v>293</v>
      </c>
      <c r="I278" s="153" t="s">
        <v>1283</v>
      </c>
      <c r="J278" s="153" t="s">
        <v>1284</v>
      </c>
      <c r="K278" s="173" t="s">
        <v>1285</v>
      </c>
      <c r="L278" s="153" t="s">
        <v>1174</v>
      </c>
      <c r="M278" s="153"/>
      <c r="N278" s="230" t="s">
        <v>6113</v>
      </c>
      <c r="O278" s="230">
        <v>2012.0</v>
      </c>
      <c r="P278" s="230">
        <v>2013.0</v>
      </c>
      <c r="Q278" s="153" t="s">
        <v>6062</v>
      </c>
      <c r="R278" s="153" t="s">
        <v>320</v>
      </c>
      <c r="S278" s="153"/>
      <c r="T278" s="153"/>
      <c r="U278" s="153" t="s">
        <v>321</v>
      </c>
      <c r="V278" s="153"/>
      <c r="W278" s="153"/>
      <c r="X278" s="153"/>
      <c r="Y278" s="153"/>
      <c r="Z278" s="153"/>
      <c r="AA278" s="153" t="s">
        <v>6499</v>
      </c>
      <c r="AB278" s="153" t="s">
        <v>885</v>
      </c>
      <c r="AC278" s="153" t="s">
        <v>209</v>
      </c>
      <c r="AD278" s="153" t="s">
        <v>1287</v>
      </c>
      <c r="AE278" s="153"/>
      <c r="AF278" s="153"/>
      <c r="AG278" s="153" t="s">
        <v>6084</v>
      </c>
      <c r="AH278" s="153" t="s">
        <v>1288</v>
      </c>
      <c r="AI278" s="153" t="s">
        <v>6070</v>
      </c>
      <c r="AJ278" s="153"/>
      <c r="AK278" s="153"/>
    </row>
    <row r="279">
      <c r="A279" s="152">
        <v>2025.0</v>
      </c>
      <c r="B279" s="151">
        <v>202.0</v>
      </c>
      <c r="C279" s="153" t="s">
        <v>8189</v>
      </c>
      <c r="D279" s="153"/>
      <c r="E279" s="153"/>
      <c r="F279" s="153"/>
      <c r="G279" s="153"/>
      <c r="H279" s="153" t="s">
        <v>535</v>
      </c>
      <c r="I279" s="153" t="s">
        <v>1089</v>
      </c>
      <c r="J279" s="153" t="s">
        <v>2457</v>
      </c>
      <c r="K279" s="153" t="s">
        <v>2458</v>
      </c>
      <c r="L279" s="158" t="s">
        <v>149</v>
      </c>
      <c r="M279" s="153"/>
      <c r="N279" s="175" t="s">
        <v>6273</v>
      </c>
      <c r="O279" s="160" t="s">
        <v>149</v>
      </c>
      <c r="P279" s="160" t="s">
        <v>149</v>
      </c>
      <c r="Q279" s="153" t="s">
        <v>6062</v>
      </c>
      <c r="R279" s="153" t="s">
        <v>6666</v>
      </c>
      <c r="S279" s="158" t="s">
        <v>179</v>
      </c>
      <c r="T279" s="153" t="s">
        <v>2459</v>
      </c>
      <c r="U279" s="153" t="s">
        <v>369</v>
      </c>
      <c r="V279" s="158" t="s">
        <v>160</v>
      </c>
      <c r="W279" s="158" t="s">
        <v>6035</v>
      </c>
      <c r="X279" s="158" t="s">
        <v>159</v>
      </c>
      <c r="Y279" s="158" t="s">
        <v>149</v>
      </c>
      <c r="Z279" s="158" t="s">
        <v>149</v>
      </c>
      <c r="AA279" s="158" t="s">
        <v>149</v>
      </c>
      <c r="AB279" s="153" t="s">
        <v>2410</v>
      </c>
      <c r="AC279" s="153" t="s">
        <v>6035</v>
      </c>
      <c r="AD279" s="153" t="s">
        <v>6912</v>
      </c>
      <c r="AE279" s="153"/>
      <c r="AF279" s="153"/>
      <c r="AG279" s="158" t="s">
        <v>166</v>
      </c>
      <c r="AH279" s="153" t="s">
        <v>2461</v>
      </c>
      <c r="AI279" s="165" t="s">
        <v>2462</v>
      </c>
      <c r="AJ279" s="153"/>
      <c r="AK279" s="153"/>
    </row>
    <row r="280">
      <c r="A280" s="152">
        <v>2023.0</v>
      </c>
      <c r="B280" s="151">
        <v>203.0</v>
      </c>
      <c r="C280" s="129" t="s">
        <v>140</v>
      </c>
      <c r="D280" s="8"/>
      <c r="H280" s="8" t="s">
        <v>535</v>
      </c>
      <c r="I280" s="8" t="s">
        <v>1089</v>
      </c>
      <c r="J280" s="153" t="s">
        <v>1451</v>
      </c>
      <c r="K280" s="279" t="s">
        <v>1452</v>
      </c>
      <c r="L280" s="8" t="s">
        <v>1377</v>
      </c>
      <c r="M280" s="8" t="s">
        <v>1453</v>
      </c>
      <c r="N280" s="142"/>
      <c r="O280" s="142" t="s">
        <v>6198</v>
      </c>
      <c r="P280" s="142" t="s">
        <v>6199</v>
      </c>
      <c r="Q280" s="8" t="s">
        <v>151</v>
      </c>
      <c r="U280" s="8" t="s">
        <v>1381</v>
      </c>
      <c r="AB280" s="8" t="s">
        <v>660</v>
      </c>
      <c r="AD280" s="8" t="s">
        <v>369</v>
      </c>
      <c r="AH280" s="8" t="s">
        <v>395</v>
      </c>
      <c r="AI280" s="8" t="s">
        <v>2873</v>
      </c>
      <c r="AJ280" s="8" t="s">
        <v>398</v>
      </c>
    </row>
    <row r="281">
      <c r="A281" s="152">
        <v>2025.0</v>
      </c>
      <c r="B281" s="151">
        <v>203.0</v>
      </c>
      <c r="C281" s="153" t="s">
        <v>8189</v>
      </c>
      <c r="D281" s="153"/>
      <c r="E281" s="153"/>
      <c r="F281" s="153"/>
      <c r="G281" s="153"/>
      <c r="H281" s="153" t="s">
        <v>535</v>
      </c>
      <c r="I281" s="153" t="s">
        <v>1089</v>
      </c>
      <c r="J281" s="153" t="s">
        <v>1451</v>
      </c>
      <c r="K281" s="153" t="s">
        <v>1452</v>
      </c>
      <c r="L281" s="153" t="s">
        <v>1377</v>
      </c>
      <c r="M281" s="153" t="s">
        <v>1453</v>
      </c>
      <c r="N281" s="160" t="s">
        <v>6896</v>
      </c>
      <c r="O281" s="175" t="s">
        <v>6198</v>
      </c>
      <c r="P281" s="175" t="s">
        <v>6199</v>
      </c>
      <c r="Q281" s="153" t="s">
        <v>151</v>
      </c>
      <c r="R281" s="158" t="s">
        <v>149</v>
      </c>
      <c r="S281" s="158" t="s">
        <v>149</v>
      </c>
      <c r="T281" s="158" t="s">
        <v>149</v>
      </c>
      <c r="U281" s="153" t="s">
        <v>1381</v>
      </c>
      <c r="V281" s="158" t="s">
        <v>6154</v>
      </c>
      <c r="W281" s="158" t="s">
        <v>206</v>
      </c>
      <c r="X281" s="158" t="s">
        <v>159</v>
      </c>
      <c r="Y281" s="158" t="s">
        <v>149</v>
      </c>
      <c r="Z281" s="158" t="s">
        <v>149</v>
      </c>
      <c r="AA281" s="158" t="s">
        <v>149</v>
      </c>
      <c r="AB281" s="153" t="s">
        <v>660</v>
      </c>
      <c r="AC281" s="153" t="s">
        <v>6035</v>
      </c>
      <c r="AD281" s="153" t="s">
        <v>369</v>
      </c>
      <c r="AE281" s="153"/>
      <c r="AF281" s="153"/>
      <c r="AG281" s="158" t="s">
        <v>395</v>
      </c>
      <c r="AH281" s="153" t="s">
        <v>6060</v>
      </c>
      <c r="AI281" s="158" t="s">
        <v>6711</v>
      </c>
      <c r="AJ281" s="153" t="s">
        <v>398</v>
      </c>
      <c r="AK281" s="153"/>
    </row>
    <row r="282">
      <c r="A282" s="152">
        <v>2024.0</v>
      </c>
      <c r="B282" s="151">
        <v>96.0</v>
      </c>
      <c r="C282" s="153"/>
      <c r="D282" s="153"/>
      <c r="E282" s="153"/>
      <c r="F282" s="153"/>
      <c r="G282" s="153"/>
      <c r="H282" s="153" t="s">
        <v>293</v>
      </c>
      <c r="I282" s="153" t="s">
        <v>1283</v>
      </c>
      <c r="J282" s="153" t="s">
        <v>1284</v>
      </c>
      <c r="K282" s="153" t="s">
        <v>1285</v>
      </c>
      <c r="L282" s="153" t="s">
        <v>1683</v>
      </c>
      <c r="M282" s="153"/>
      <c r="N282" s="230" t="s">
        <v>6113</v>
      </c>
      <c r="O282" s="230">
        <v>2014.0</v>
      </c>
      <c r="P282" s="230">
        <v>2016.0</v>
      </c>
      <c r="Q282" s="153" t="s">
        <v>6062</v>
      </c>
      <c r="R282" s="153" t="s">
        <v>320</v>
      </c>
      <c r="S282" s="153"/>
      <c r="T282" s="153"/>
      <c r="U282" s="153" t="s">
        <v>321</v>
      </c>
      <c r="V282" s="153"/>
      <c r="W282" s="153"/>
      <c r="X282" s="153"/>
      <c r="Y282" s="153"/>
      <c r="Z282" s="153"/>
      <c r="AA282" s="153"/>
      <c r="AB282" s="153" t="s">
        <v>1703</v>
      </c>
      <c r="AC282" s="153" t="s">
        <v>306</v>
      </c>
      <c r="AD282" s="153" t="s">
        <v>1287</v>
      </c>
      <c r="AE282" s="153"/>
      <c r="AF282" s="153"/>
      <c r="AG282" s="153" t="s">
        <v>6084</v>
      </c>
      <c r="AH282" s="153" t="s">
        <v>1300</v>
      </c>
      <c r="AI282" s="153" t="s">
        <v>6070</v>
      </c>
      <c r="AJ282" s="153"/>
      <c r="AK282" s="153"/>
    </row>
    <row r="283">
      <c r="A283" s="152">
        <v>2023.0</v>
      </c>
      <c r="B283" s="151">
        <v>204.0</v>
      </c>
      <c r="C283" s="129" t="s">
        <v>140</v>
      </c>
      <c r="D283" s="8"/>
      <c r="H283" s="8" t="s">
        <v>535</v>
      </c>
      <c r="I283" s="8" t="s">
        <v>1089</v>
      </c>
      <c r="J283" s="153" t="s">
        <v>1455</v>
      </c>
      <c r="K283" s="279" t="s">
        <v>1456</v>
      </c>
      <c r="L283" s="8" t="s">
        <v>1377</v>
      </c>
      <c r="M283" s="8" t="s">
        <v>1457</v>
      </c>
      <c r="N283" s="142"/>
      <c r="O283" s="142" t="s">
        <v>6198</v>
      </c>
      <c r="P283" s="142" t="s">
        <v>6199</v>
      </c>
      <c r="Q283" s="8" t="s">
        <v>151</v>
      </c>
      <c r="U283" s="8" t="s">
        <v>1381</v>
      </c>
      <c r="AB283" s="8" t="s">
        <v>660</v>
      </c>
      <c r="AD283" s="8" t="s">
        <v>369</v>
      </c>
      <c r="AH283" s="8" t="s">
        <v>395</v>
      </c>
      <c r="AI283" s="8" t="s">
        <v>2873</v>
      </c>
      <c r="AJ283" s="8" t="s">
        <v>398</v>
      </c>
    </row>
    <row r="284">
      <c r="A284" s="152">
        <v>2025.0</v>
      </c>
      <c r="B284" s="151">
        <v>204.0</v>
      </c>
      <c r="C284" s="153" t="s">
        <v>8189</v>
      </c>
      <c r="D284" s="153"/>
      <c r="E284" s="153"/>
      <c r="F284" s="153"/>
      <c r="G284" s="153"/>
      <c r="H284" s="153" t="s">
        <v>535</v>
      </c>
      <c r="I284" s="153" t="s">
        <v>1089</v>
      </c>
      <c r="J284" s="153" t="s">
        <v>1667</v>
      </c>
      <c r="K284" s="153" t="s">
        <v>1668</v>
      </c>
      <c r="L284" s="153" t="s">
        <v>1659</v>
      </c>
      <c r="M284" s="158" t="s">
        <v>6916</v>
      </c>
      <c r="N284" s="160" t="s">
        <v>6333</v>
      </c>
      <c r="O284" s="175" t="s">
        <v>6198</v>
      </c>
      <c r="P284" s="175" t="s">
        <v>6896</v>
      </c>
      <c r="Q284" s="153" t="s">
        <v>151</v>
      </c>
      <c r="R284" s="153" t="s">
        <v>8283</v>
      </c>
      <c r="S284" s="158" t="s">
        <v>6917</v>
      </c>
      <c r="T284" s="153" t="s">
        <v>1380</v>
      </c>
      <c r="U284" s="158" t="s">
        <v>321</v>
      </c>
      <c r="V284" s="158" t="s">
        <v>160</v>
      </c>
      <c r="W284" s="158" t="s">
        <v>6035</v>
      </c>
      <c r="X284" s="158" t="s">
        <v>159</v>
      </c>
      <c r="Y284" s="158" t="s">
        <v>149</v>
      </c>
      <c r="Z284" s="158" t="s">
        <v>149</v>
      </c>
      <c r="AA284" s="158" t="s">
        <v>149</v>
      </c>
      <c r="AB284" s="158" t="s">
        <v>1663</v>
      </c>
      <c r="AC284" s="153" t="s">
        <v>6035</v>
      </c>
      <c r="AD284" s="158" t="s">
        <v>369</v>
      </c>
      <c r="AE284" s="153"/>
      <c r="AF284" s="153"/>
      <c r="AG284" s="158" t="s">
        <v>395</v>
      </c>
      <c r="AH284" s="153" t="s">
        <v>6060</v>
      </c>
      <c r="AI284" s="158" t="s">
        <v>6711</v>
      </c>
      <c r="AJ284" s="153" t="s">
        <v>398</v>
      </c>
      <c r="AK284" s="153"/>
    </row>
    <row r="285">
      <c r="A285" s="152">
        <v>2024.0</v>
      </c>
      <c r="B285" s="151">
        <v>97.0</v>
      </c>
      <c r="C285" s="153"/>
      <c r="D285" s="153"/>
      <c r="E285" s="153"/>
      <c r="F285" s="153"/>
      <c r="G285" s="153"/>
      <c r="H285" s="153" t="s">
        <v>293</v>
      </c>
      <c r="I285" s="153" t="s">
        <v>1283</v>
      </c>
      <c r="J285" s="153" t="s">
        <v>2300</v>
      </c>
      <c r="K285" s="153" t="s">
        <v>2301</v>
      </c>
      <c r="L285" s="153" t="s">
        <v>6113</v>
      </c>
      <c r="M285" s="153"/>
      <c r="N285" s="230">
        <v>1990.0</v>
      </c>
      <c r="O285" s="230"/>
      <c r="P285" s="230"/>
      <c r="Q285" s="153" t="s">
        <v>151</v>
      </c>
      <c r="R285" s="153" t="s">
        <v>386</v>
      </c>
      <c r="S285" s="153"/>
      <c r="T285" s="153" t="s">
        <v>6506</v>
      </c>
      <c r="U285" s="153"/>
      <c r="V285" s="153"/>
      <c r="W285" s="153"/>
      <c r="X285" s="153"/>
      <c r="Y285" s="153"/>
      <c r="Z285" s="153"/>
      <c r="AA285" s="153"/>
      <c r="AB285" s="153" t="s">
        <v>2304</v>
      </c>
      <c r="AC285" s="153" t="s">
        <v>8005</v>
      </c>
      <c r="AD285" s="153" t="s">
        <v>6507</v>
      </c>
      <c r="AE285" s="153"/>
      <c r="AF285" s="153"/>
      <c r="AG285" s="153" t="s">
        <v>8004</v>
      </c>
      <c r="AH285" s="153" t="s">
        <v>6060</v>
      </c>
      <c r="AI285" s="153" t="s">
        <v>2873</v>
      </c>
      <c r="AJ285" s="153"/>
      <c r="AK285" s="153"/>
    </row>
    <row r="286">
      <c r="A286" s="152">
        <v>2025.0</v>
      </c>
      <c r="B286" s="151">
        <v>205.0</v>
      </c>
      <c r="C286" s="153" t="s">
        <v>8189</v>
      </c>
      <c r="D286" s="153"/>
      <c r="E286" s="153"/>
      <c r="F286" s="153"/>
      <c r="G286" s="153"/>
      <c r="H286" s="153" t="s">
        <v>535</v>
      </c>
      <c r="I286" s="153" t="s">
        <v>1089</v>
      </c>
      <c r="J286" s="153" t="s">
        <v>1455</v>
      </c>
      <c r="K286" s="153" t="s">
        <v>1456</v>
      </c>
      <c r="L286" s="153" t="s">
        <v>1377</v>
      </c>
      <c r="M286" s="153" t="s">
        <v>1457</v>
      </c>
      <c r="N286" s="160" t="s">
        <v>6896</v>
      </c>
      <c r="O286" s="175" t="s">
        <v>6198</v>
      </c>
      <c r="P286" s="175" t="s">
        <v>6199</v>
      </c>
      <c r="Q286" s="153" t="s">
        <v>151</v>
      </c>
      <c r="R286" s="158" t="s">
        <v>149</v>
      </c>
      <c r="S286" s="158" t="s">
        <v>149</v>
      </c>
      <c r="T286" s="158" t="s">
        <v>149</v>
      </c>
      <c r="U286" s="153" t="s">
        <v>1381</v>
      </c>
      <c r="V286" s="158" t="s">
        <v>6154</v>
      </c>
      <c r="W286" s="158" t="s">
        <v>206</v>
      </c>
      <c r="X286" s="158" t="s">
        <v>159</v>
      </c>
      <c r="Y286" s="158" t="s">
        <v>149</v>
      </c>
      <c r="Z286" s="158" t="s">
        <v>149</v>
      </c>
      <c r="AA286" s="158" t="s">
        <v>149</v>
      </c>
      <c r="AB286" s="153" t="s">
        <v>660</v>
      </c>
      <c r="AC286" s="153" t="s">
        <v>6035</v>
      </c>
      <c r="AD286" s="153" t="s">
        <v>369</v>
      </c>
      <c r="AE286" s="153"/>
      <c r="AF286" s="153"/>
      <c r="AG286" s="158" t="s">
        <v>395</v>
      </c>
      <c r="AH286" s="153" t="s">
        <v>6060</v>
      </c>
      <c r="AI286" s="158" t="s">
        <v>6711</v>
      </c>
      <c r="AJ286" s="153" t="s">
        <v>398</v>
      </c>
      <c r="AK286" s="153"/>
    </row>
    <row r="287">
      <c r="A287" s="152">
        <v>2023.0</v>
      </c>
      <c r="B287" s="151">
        <v>329.0</v>
      </c>
      <c r="C287" s="129" t="s">
        <v>140</v>
      </c>
      <c r="D287" s="8"/>
      <c r="H287" s="8" t="s">
        <v>171</v>
      </c>
      <c r="I287" s="8" t="s">
        <v>1725</v>
      </c>
      <c r="J287" s="8" t="s">
        <v>1726</v>
      </c>
      <c r="K287" s="8" t="s">
        <v>1727</v>
      </c>
      <c r="L287" s="8" t="s">
        <v>1683</v>
      </c>
      <c r="N287" s="142"/>
      <c r="O287" s="142" t="s">
        <v>6063</v>
      </c>
      <c r="P287" s="142" t="s">
        <v>6064</v>
      </c>
      <c r="Q287" s="8" t="s">
        <v>6062</v>
      </c>
      <c r="U287" s="8" t="s">
        <v>321</v>
      </c>
      <c r="AA287" s="8" t="s">
        <v>1728</v>
      </c>
      <c r="AB287" s="8" t="s">
        <v>326</v>
      </c>
      <c r="AD287" s="8" t="s">
        <v>1729</v>
      </c>
      <c r="AH287" s="8" t="s">
        <v>6069</v>
      </c>
      <c r="AJ287" s="8" t="s">
        <v>1722</v>
      </c>
      <c r="AK287" s="172" t="s">
        <v>1723</v>
      </c>
    </row>
    <row r="288">
      <c r="A288" s="152">
        <v>2024.0</v>
      </c>
      <c r="B288" s="151">
        <v>98.0</v>
      </c>
      <c r="C288" s="153"/>
      <c r="D288" s="153"/>
      <c r="E288" s="153"/>
      <c r="F288" s="153"/>
      <c r="G288" s="153"/>
      <c r="H288" s="153" t="s">
        <v>293</v>
      </c>
      <c r="I288" s="153" t="s">
        <v>1283</v>
      </c>
      <c r="J288" s="153" t="s">
        <v>1375</v>
      </c>
      <c r="K288" s="173" t="s">
        <v>1376</v>
      </c>
      <c r="L288" s="153" t="s">
        <v>1377</v>
      </c>
      <c r="M288" s="153"/>
      <c r="N288" s="230" t="s">
        <v>6113</v>
      </c>
      <c r="O288" s="230">
        <v>1990.0</v>
      </c>
      <c r="P288" s="230">
        <v>1994.0</v>
      </c>
      <c r="Q288" s="153" t="s">
        <v>151</v>
      </c>
      <c r="R288" s="153"/>
      <c r="S288" s="153"/>
      <c r="T288" s="153"/>
      <c r="U288" s="153" t="s">
        <v>1381</v>
      </c>
      <c r="V288" s="153"/>
      <c r="W288" s="153"/>
      <c r="X288" s="153"/>
      <c r="Y288" s="153"/>
      <c r="Z288" s="153"/>
      <c r="AA288" s="153"/>
      <c r="AB288" s="153" t="s">
        <v>660</v>
      </c>
      <c r="AC288" s="153" t="s">
        <v>6035</v>
      </c>
      <c r="AD288" s="153" t="s">
        <v>369</v>
      </c>
      <c r="AE288" s="153"/>
      <c r="AF288" s="153"/>
      <c r="AG288" s="153" t="s">
        <v>8004</v>
      </c>
      <c r="AH288" s="153" t="s">
        <v>6060</v>
      </c>
      <c r="AI288" s="153" t="s">
        <v>2873</v>
      </c>
      <c r="AJ288" s="153" t="s">
        <v>398</v>
      </c>
      <c r="AK288" s="153"/>
    </row>
    <row r="289">
      <c r="A289" s="152">
        <v>2023.0</v>
      </c>
      <c r="B289" s="151">
        <v>330.0</v>
      </c>
      <c r="C289" s="129" t="s">
        <v>140</v>
      </c>
      <c r="D289" s="8"/>
      <c r="H289" s="8" t="s">
        <v>171</v>
      </c>
      <c r="I289" s="8" t="s">
        <v>1725</v>
      </c>
      <c r="J289" s="8" t="s">
        <v>1726</v>
      </c>
      <c r="K289" s="8" t="s">
        <v>1727</v>
      </c>
      <c r="L289" s="8" t="s">
        <v>1785</v>
      </c>
      <c r="N289" s="142" t="s">
        <v>6089</v>
      </c>
      <c r="O289" s="142"/>
      <c r="P289" s="142"/>
      <c r="Q289" s="8" t="s">
        <v>151</v>
      </c>
      <c r="AB289" s="8" t="s">
        <v>369</v>
      </c>
      <c r="AD289" s="8" t="s">
        <v>341</v>
      </c>
    </row>
    <row r="290">
      <c r="A290" s="152">
        <v>2023.0</v>
      </c>
      <c r="B290" s="151">
        <v>331.0</v>
      </c>
      <c r="C290" s="129" t="s">
        <v>140</v>
      </c>
      <c r="D290" s="8"/>
      <c r="H290" s="8" t="s">
        <v>171</v>
      </c>
      <c r="I290" s="8" t="s">
        <v>1725</v>
      </c>
      <c r="J290" s="8" t="s">
        <v>1806</v>
      </c>
      <c r="K290" s="208" t="s">
        <v>1807</v>
      </c>
      <c r="L290" s="8" t="s">
        <v>7326</v>
      </c>
      <c r="N290" s="142" t="s">
        <v>6030</v>
      </c>
      <c r="O290" s="142"/>
      <c r="P290" s="142"/>
      <c r="Q290" s="8" t="s">
        <v>151</v>
      </c>
      <c r="AB290" s="8" t="s">
        <v>158</v>
      </c>
      <c r="AD290" s="8" t="s">
        <v>7327</v>
      </c>
      <c r="AE290" s="8" t="s">
        <v>7328</v>
      </c>
      <c r="AH290" s="8" t="s">
        <v>166</v>
      </c>
      <c r="AI290" s="172" t="s">
        <v>7329</v>
      </c>
    </row>
    <row r="291">
      <c r="A291" s="152">
        <v>2024.0</v>
      </c>
      <c r="B291" s="151">
        <v>99.0</v>
      </c>
      <c r="C291" s="153"/>
      <c r="D291" s="153"/>
      <c r="E291" s="153"/>
      <c r="F291" s="153"/>
      <c r="G291" s="153"/>
      <c r="H291" s="153" t="s">
        <v>293</v>
      </c>
      <c r="I291" s="153" t="s">
        <v>1283</v>
      </c>
      <c r="J291" s="153" t="s">
        <v>1375</v>
      </c>
      <c r="K291" s="153" t="s">
        <v>1376</v>
      </c>
      <c r="L291" s="153" t="s">
        <v>6113</v>
      </c>
      <c r="M291" s="153" t="s">
        <v>3059</v>
      </c>
      <c r="N291" s="230" t="s">
        <v>6113</v>
      </c>
      <c r="O291" s="230"/>
      <c r="P291" s="230"/>
      <c r="Q291" s="153" t="s">
        <v>6062</v>
      </c>
      <c r="R291" s="153" t="s">
        <v>320</v>
      </c>
      <c r="S291" s="153"/>
      <c r="T291" s="153"/>
      <c r="U291" s="153" t="s">
        <v>3060</v>
      </c>
      <c r="V291" s="153"/>
      <c r="W291" s="153"/>
      <c r="X291" s="153"/>
      <c r="Y291" s="153"/>
      <c r="Z291" s="153"/>
      <c r="AA291" s="153"/>
      <c r="AB291" s="153" t="s">
        <v>3061</v>
      </c>
      <c r="AC291" s="153" t="s">
        <v>6035</v>
      </c>
      <c r="AD291" s="153"/>
      <c r="AE291" s="153"/>
      <c r="AF291" s="153"/>
      <c r="AG291" s="153" t="s">
        <v>6084</v>
      </c>
      <c r="AH291" s="153" t="s">
        <v>3062</v>
      </c>
      <c r="AI291" s="165" t="s">
        <v>3063</v>
      </c>
      <c r="AJ291" s="153"/>
      <c r="AK291" s="153"/>
    </row>
    <row r="292">
      <c r="A292" s="152">
        <v>2023.0</v>
      </c>
      <c r="B292" s="151">
        <v>332.0</v>
      </c>
      <c r="C292" s="129" t="s">
        <v>140</v>
      </c>
      <c r="D292" s="8"/>
      <c r="H292" s="8" t="s">
        <v>171</v>
      </c>
      <c r="I292" s="8" t="s">
        <v>1725</v>
      </c>
      <c r="J292" s="8" t="s">
        <v>1783</v>
      </c>
      <c r="K292" s="8" t="s">
        <v>1784</v>
      </c>
      <c r="L292" s="8" t="s">
        <v>6113</v>
      </c>
      <c r="N292" s="142" t="s">
        <v>6273</v>
      </c>
      <c r="O292" s="142"/>
      <c r="P292" s="142"/>
      <c r="Q292" s="8" t="s">
        <v>6062</v>
      </c>
      <c r="R292" s="8" t="s">
        <v>2482</v>
      </c>
      <c r="T292" s="8" t="s">
        <v>699</v>
      </c>
      <c r="AB292" s="8" t="s">
        <v>326</v>
      </c>
      <c r="AD292" s="8" t="s">
        <v>2484</v>
      </c>
      <c r="AH292" s="8" t="s">
        <v>166</v>
      </c>
      <c r="AI292" s="8" t="s">
        <v>2486</v>
      </c>
    </row>
    <row r="293">
      <c r="A293" s="152">
        <v>2023.0</v>
      </c>
      <c r="B293" s="151">
        <v>333.0</v>
      </c>
      <c r="C293" s="129" t="s">
        <v>140</v>
      </c>
      <c r="D293" s="8"/>
      <c r="H293" s="8" t="s">
        <v>171</v>
      </c>
      <c r="I293" s="8" t="s">
        <v>1725</v>
      </c>
      <c r="J293" s="8" t="s">
        <v>1783</v>
      </c>
      <c r="K293" s="8" t="s">
        <v>1784</v>
      </c>
      <c r="L293" s="8" t="s">
        <v>1785</v>
      </c>
      <c r="N293" s="142" t="s">
        <v>6089</v>
      </c>
      <c r="O293" s="142"/>
      <c r="P293" s="142"/>
      <c r="Q293" s="8" t="s">
        <v>151</v>
      </c>
      <c r="R293" s="8" t="s">
        <v>8028</v>
      </c>
      <c r="AB293" s="8" t="s">
        <v>1787</v>
      </c>
      <c r="AD293" s="8" t="s">
        <v>1788</v>
      </c>
    </row>
    <row r="294">
      <c r="A294" s="152">
        <v>2024.0</v>
      </c>
      <c r="B294" s="151">
        <v>100.0</v>
      </c>
      <c r="C294" s="153"/>
      <c r="D294" s="153"/>
      <c r="E294" s="153"/>
      <c r="F294" s="153"/>
      <c r="G294" s="153"/>
      <c r="H294" s="153" t="s">
        <v>293</v>
      </c>
      <c r="I294" s="153" t="s">
        <v>1283</v>
      </c>
      <c r="J294" s="153" t="s">
        <v>1795</v>
      </c>
      <c r="K294" s="173" t="s">
        <v>1796</v>
      </c>
      <c r="L294" s="153" t="s">
        <v>6113</v>
      </c>
      <c r="M294" s="153"/>
      <c r="N294" s="230">
        <v>2011.0</v>
      </c>
      <c r="O294" s="230"/>
      <c r="P294" s="230"/>
      <c r="Q294" s="153" t="s">
        <v>151</v>
      </c>
      <c r="R294" s="153"/>
      <c r="S294" s="153"/>
      <c r="T294" s="153" t="s">
        <v>2735</v>
      </c>
      <c r="U294" s="153"/>
      <c r="V294" s="153"/>
      <c r="W294" s="153"/>
      <c r="X294" s="153"/>
      <c r="Y294" s="153"/>
      <c r="Z294" s="153"/>
      <c r="AA294" s="153" t="s">
        <v>1984</v>
      </c>
      <c r="AB294" s="153" t="s">
        <v>228</v>
      </c>
      <c r="AC294" s="153" t="s">
        <v>6035</v>
      </c>
      <c r="AD294" s="153" t="s">
        <v>390</v>
      </c>
      <c r="AE294" s="153"/>
      <c r="AF294" s="153"/>
      <c r="AG294" s="153" t="s">
        <v>8006</v>
      </c>
      <c r="AH294" s="153" t="s">
        <v>2736</v>
      </c>
      <c r="AI294" s="165" t="s">
        <v>2737</v>
      </c>
      <c r="AJ294" s="153"/>
      <c r="AK294" s="153"/>
    </row>
    <row r="295">
      <c r="A295" s="152">
        <v>2025.0</v>
      </c>
      <c r="B295" s="151">
        <v>338.0</v>
      </c>
      <c r="C295" s="153" t="s">
        <v>8189</v>
      </c>
      <c r="D295" s="153"/>
      <c r="E295" s="153"/>
      <c r="F295" s="153"/>
      <c r="G295" s="153"/>
      <c r="H295" s="153" t="s">
        <v>171</v>
      </c>
      <c r="I295" s="153" t="s">
        <v>1725</v>
      </c>
      <c r="J295" s="153" t="s">
        <v>1726</v>
      </c>
      <c r="K295" s="153" t="s">
        <v>1727</v>
      </c>
      <c r="L295" s="153" t="s">
        <v>1683</v>
      </c>
      <c r="M295" s="153"/>
      <c r="N295" s="160" t="s">
        <v>6268</v>
      </c>
      <c r="O295" s="175" t="s">
        <v>6063</v>
      </c>
      <c r="P295" s="175" t="s">
        <v>6064</v>
      </c>
      <c r="Q295" s="153" t="s">
        <v>6062</v>
      </c>
      <c r="R295" s="158" t="s">
        <v>149</v>
      </c>
      <c r="S295" s="158" t="s">
        <v>149</v>
      </c>
      <c r="T295" s="158" t="s">
        <v>149</v>
      </c>
      <c r="U295" s="153" t="s">
        <v>321</v>
      </c>
      <c r="V295" s="158" t="s">
        <v>160</v>
      </c>
      <c r="W295" s="158" t="s">
        <v>6035</v>
      </c>
      <c r="X295" s="158" t="s">
        <v>159</v>
      </c>
      <c r="Y295" s="158" t="s">
        <v>149</v>
      </c>
      <c r="Z295" s="158" t="s">
        <v>149</v>
      </c>
      <c r="AA295" s="153" t="s">
        <v>1728</v>
      </c>
      <c r="AB295" s="153" t="s">
        <v>326</v>
      </c>
      <c r="AC295" s="158" t="s">
        <v>271</v>
      </c>
      <c r="AD295" s="153" t="s">
        <v>1729</v>
      </c>
      <c r="AE295" s="153"/>
      <c r="AF295" s="153"/>
      <c r="AG295" s="158" t="s">
        <v>6069</v>
      </c>
      <c r="AH295" s="153" t="s">
        <v>1300</v>
      </c>
      <c r="AI295" s="153" t="s">
        <v>7029</v>
      </c>
      <c r="AJ295" s="153" t="s">
        <v>1722</v>
      </c>
      <c r="AK295" s="165" t="s">
        <v>1723</v>
      </c>
    </row>
    <row r="296">
      <c r="A296" s="152">
        <v>2025.0</v>
      </c>
      <c r="B296" s="151">
        <v>339.0</v>
      </c>
      <c r="C296" s="153" t="s">
        <v>8189</v>
      </c>
      <c r="D296" s="153"/>
      <c r="E296" s="153"/>
      <c r="F296" s="153"/>
      <c r="G296" s="153"/>
      <c r="H296" s="153" t="s">
        <v>171</v>
      </c>
      <c r="I296" s="153" t="s">
        <v>1725</v>
      </c>
      <c r="J296" s="153" t="s">
        <v>1726</v>
      </c>
      <c r="K296" s="153" t="s">
        <v>1727</v>
      </c>
      <c r="L296" s="153" t="s">
        <v>1785</v>
      </c>
      <c r="M296" s="153" t="s">
        <v>1792</v>
      </c>
      <c r="N296" s="175" t="s">
        <v>6089</v>
      </c>
      <c r="O296" s="160" t="s">
        <v>149</v>
      </c>
      <c r="P296" s="160" t="s">
        <v>149</v>
      </c>
      <c r="Q296" s="153" t="s">
        <v>151</v>
      </c>
      <c r="R296" s="153" t="s">
        <v>851</v>
      </c>
      <c r="S296" s="158" t="s">
        <v>851</v>
      </c>
      <c r="T296" s="158" t="s">
        <v>149</v>
      </c>
      <c r="U296" s="153" t="s">
        <v>341</v>
      </c>
      <c r="V296" s="158" t="s">
        <v>160</v>
      </c>
      <c r="W296" s="158" t="s">
        <v>6035</v>
      </c>
      <c r="X296" s="158" t="s">
        <v>159</v>
      </c>
      <c r="Y296" s="158" t="s">
        <v>149</v>
      </c>
      <c r="Z296" s="158" t="s">
        <v>149</v>
      </c>
      <c r="AA296" s="158" t="s">
        <v>149</v>
      </c>
      <c r="AB296" s="153" t="s">
        <v>369</v>
      </c>
      <c r="AC296" s="153" t="s">
        <v>6035</v>
      </c>
      <c r="AD296" s="153" t="s">
        <v>341</v>
      </c>
      <c r="AE296" s="153" t="s">
        <v>1793</v>
      </c>
      <c r="AF296" s="153"/>
      <c r="AG296" s="158" t="s">
        <v>166</v>
      </c>
      <c r="AH296" s="153" t="s">
        <v>1789</v>
      </c>
      <c r="AI296" s="165" t="s">
        <v>1790</v>
      </c>
      <c r="AJ296" s="153"/>
      <c r="AK296" s="153"/>
    </row>
    <row r="297">
      <c r="A297" s="152">
        <v>2024.0</v>
      </c>
      <c r="B297" s="151">
        <v>101.0</v>
      </c>
      <c r="C297" s="153"/>
      <c r="D297" s="153"/>
      <c r="E297" s="153"/>
      <c r="F297" s="153"/>
      <c r="G297" s="153"/>
      <c r="H297" s="153" t="s">
        <v>293</v>
      </c>
      <c r="I297" s="153" t="s">
        <v>1283</v>
      </c>
      <c r="J297" s="153" t="s">
        <v>1795</v>
      </c>
      <c r="K297" s="153" t="s">
        <v>1796</v>
      </c>
      <c r="L297" s="153" t="s">
        <v>6113</v>
      </c>
      <c r="M297" s="153" t="s">
        <v>507</v>
      </c>
      <c r="N297" s="230">
        <v>2015.0</v>
      </c>
      <c r="O297" s="230"/>
      <c r="P297" s="230"/>
      <c r="Q297" s="153" t="s">
        <v>151</v>
      </c>
      <c r="R297" s="153"/>
      <c r="S297" s="153"/>
      <c r="T297" s="153"/>
      <c r="U297" s="153" t="s">
        <v>158</v>
      </c>
      <c r="V297" s="153"/>
      <c r="W297" s="153"/>
      <c r="X297" s="153"/>
      <c r="Y297" s="153"/>
      <c r="Z297" s="153"/>
      <c r="AA297" s="153"/>
      <c r="AB297" s="153" t="s">
        <v>158</v>
      </c>
      <c r="AC297" s="153" t="s">
        <v>6035</v>
      </c>
      <c r="AD297" s="153"/>
      <c r="AE297" s="153"/>
      <c r="AF297" s="153"/>
      <c r="AG297" s="153" t="s">
        <v>7003</v>
      </c>
      <c r="AH297" s="153" t="s">
        <v>3065</v>
      </c>
      <c r="AI297" s="165" t="s">
        <v>3066</v>
      </c>
      <c r="AJ297" s="153"/>
      <c r="AK297" s="153"/>
    </row>
    <row r="298">
      <c r="A298" s="152">
        <v>2025.0</v>
      </c>
      <c r="B298" s="151">
        <v>340.0</v>
      </c>
      <c r="C298" s="153" t="s">
        <v>8189</v>
      </c>
      <c r="D298" s="153"/>
      <c r="E298" s="153"/>
      <c r="F298" s="153"/>
      <c r="G298" s="153"/>
      <c r="H298" s="153" t="s">
        <v>171</v>
      </c>
      <c r="I298" s="153" t="s">
        <v>1725</v>
      </c>
      <c r="J298" s="153" t="s">
        <v>1806</v>
      </c>
      <c r="K298" s="153" t="s">
        <v>1807</v>
      </c>
      <c r="L298" s="158" t="s">
        <v>1808</v>
      </c>
      <c r="M298" s="153" t="s">
        <v>1809</v>
      </c>
      <c r="N298" s="175" t="s">
        <v>6030</v>
      </c>
      <c r="O298" s="160" t="s">
        <v>149</v>
      </c>
      <c r="P298" s="160" t="s">
        <v>149</v>
      </c>
      <c r="Q298" s="153" t="s">
        <v>151</v>
      </c>
      <c r="R298" s="158" t="s">
        <v>911</v>
      </c>
      <c r="S298" s="158" t="s">
        <v>152</v>
      </c>
      <c r="T298" s="158" t="s">
        <v>149</v>
      </c>
      <c r="U298" s="158" t="s">
        <v>149</v>
      </c>
      <c r="V298" s="158" t="s">
        <v>160</v>
      </c>
      <c r="W298" s="158" t="s">
        <v>6035</v>
      </c>
      <c r="X298" s="158" t="s">
        <v>159</v>
      </c>
      <c r="Y298" s="158" t="s">
        <v>149</v>
      </c>
      <c r="Z298" s="158" t="s">
        <v>149</v>
      </c>
      <c r="AA298" s="158" t="s">
        <v>149</v>
      </c>
      <c r="AB298" s="153" t="s">
        <v>8284</v>
      </c>
      <c r="AC298" s="153" t="s">
        <v>6035</v>
      </c>
      <c r="AD298" s="153" t="s">
        <v>1811</v>
      </c>
      <c r="AE298" s="153" t="s">
        <v>7328</v>
      </c>
      <c r="AF298" s="153"/>
      <c r="AG298" s="158" t="s">
        <v>166</v>
      </c>
      <c r="AH298" s="153" t="s">
        <v>1813</v>
      </c>
      <c r="AI298" s="172" t="s">
        <v>1814</v>
      </c>
      <c r="AJ298" s="153"/>
      <c r="AK298" s="153"/>
    </row>
    <row r="299">
      <c r="A299" s="152">
        <v>2025.0</v>
      </c>
      <c r="B299" s="151">
        <v>341.0</v>
      </c>
      <c r="C299" s="153" t="s">
        <v>8189</v>
      </c>
      <c r="D299" s="153"/>
      <c r="E299" s="153"/>
      <c r="F299" s="153"/>
      <c r="G299" s="153"/>
      <c r="H299" s="153" t="s">
        <v>171</v>
      </c>
      <c r="I299" s="153" t="s">
        <v>1725</v>
      </c>
      <c r="J299" s="153" t="s">
        <v>1783</v>
      </c>
      <c r="K299" s="153" t="s">
        <v>1784</v>
      </c>
      <c r="L299" s="158" t="s">
        <v>149</v>
      </c>
      <c r="M299" s="153" t="s">
        <v>2480</v>
      </c>
      <c r="N299" s="175" t="s">
        <v>6273</v>
      </c>
      <c r="O299" s="160" t="s">
        <v>149</v>
      </c>
      <c r="P299" s="160" t="s">
        <v>149</v>
      </c>
      <c r="Q299" s="153" t="s">
        <v>6062</v>
      </c>
      <c r="R299" s="153" t="s">
        <v>2482</v>
      </c>
      <c r="S299" s="158" t="s">
        <v>2482</v>
      </c>
      <c r="T299" s="158" t="s">
        <v>2483</v>
      </c>
      <c r="U299" s="158" t="s">
        <v>149</v>
      </c>
      <c r="V299" s="158" t="s">
        <v>149</v>
      </c>
      <c r="W299" s="158" t="s">
        <v>184</v>
      </c>
      <c r="X299" s="158" t="s">
        <v>204</v>
      </c>
      <c r="Y299" s="158" t="s">
        <v>149</v>
      </c>
      <c r="Z299" s="158" t="s">
        <v>149</v>
      </c>
      <c r="AA299" s="158" t="s">
        <v>149</v>
      </c>
      <c r="AB299" s="153" t="s">
        <v>326</v>
      </c>
      <c r="AC299" s="153" t="s">
        <v>271</v>
      </c>
      <c r="AD299" s="153" t="s">
        <v>2484</v>
      </c>
      <c r="AE299" s="153"/>
      <c r="AF299" s="153"/>
      <c r="AG299" s="158" t="s">
        <v>166</v>
      </c>
      <c r="AH299" s="153" t="s">
        <v>2485</v>
      </c>
      <c r="AI299" s="165" t="s">
        <v>2486</v>
      </c>
      <c r="AJ299" s="153"/>
      <c r="AK299" s="153"/>
    </row>
    <row r="300">
      <c r="A300" s="152">
        <v>2024.0</v>
      </c>
      <c r="B300" s="151">
        <v>102.0</v>
      </c>
      <c r="C300" s="153"/>
      <c r="D300" s="153"/>
      <c r="E300" s="153"/>
      <c r="F300" s="153"/>
      <c r="G300" s="153"/>
      <c r="H300" s="153" t="s">
        <v>293</v>
      </c>
      <c r="I300" s="153" t="s">
        <v>1283</v>
      </c>
      <c r="J300" s="153" t="s">
        <v>1795</v>
      </c>
      <c r="K300" s="153" t="s">
        <v>1796</v>
      </c>
      <c r="L300" s="153" t="s">
        <v>6113</v>
      </c>
      <c r="M300" s="153" t="s">
        <v>3068</v>
      </c>
      <c r="N300" s="230">
        <v>2017.0</v>
      </c>
      <c r="O300" s="230"/>
      <c r="P300" s="230"/>
      <c r="Q300" s="153" t="s">
        <v>151</v>
      </c>
      <c r="R300" s="153"/>
      <c r="S300" s="153"/>
      <c r="T300" s="153"/>
      <c r="U300" s="153" t="s">
        <v>158</v>
      </c>
      <c r="V300" s="153"/>
      <c r="W300" s="153"/>
      <c r="X300" s="153"/>
      <c r="Y300" s="153"/>
      <c r="Z300" s="153"/>
      <c r="AA300" s="153"/>
      <c r="AB300" s="153" t="s">
        <v>158</v>
      </c>
      <c r="AC300" s="153" t="s">
        <v>6035</v>
      </c>
      <c r="AD300" s="153"/>
      <c r="AE300" s="153"/>
      <c r="AF300" s="153"/>
      <c r="AG300" s="153" t="s">
        <v>7003</v>
      </c>
      <c r="AH300" s="153" t="s">
        <v>3065</v>
      </c>
      <c r="AI300" s="165" t="s">
        <v>3066</v>
      </c>
      <c r="AJ300" s="153"/>
      <c r="AK300" s="153"/>
    </row>
    <row r="301">
      <c r="A301" s="152">
        <v>2025.0</v>
      </c>
      <c r="B301" s="151">
        <v>342.0</v>
      </c>
      <c r="C301" s="153" t="s">
        <v>8189</v>
      </c>
      <c r="D301" s="153"/>
      <c r="E301" s="153"/>
      <c r="F301" s="153"/>
      <c r="G301" s="153"/>
      <c r="H301" s="153" t="s">
        <v>171</v>
      </c>
      <c r="I301" s="153" t="s">
        <v>1725</v>
      </c>
      <c r="J301" s="153" t="s">
        <v>1783</v>
      </c>
      <c r="K301" s="153" t="s">
        <v>1784</v>
      </c>
      <c r="L301" s="153" t="s">
        <v>1785</v>
      </c>
      <c r="M301" s="153"/>
      <c r="N301" s="175" t="s">
        <v>6089</v>
      </c>
      <c r="O301" s="160" t="s">
        <v>149</v>
      </c>
      <c r="P301" s="160" t="s">
        <v>149</v>
      </c>
      <c r="Q301" s="153" t="s">
        <v>151</v>
      </c>
      <c r="R301" s="153" t="s">
        <v>851</v>
      </c>
      <c r="S301" s="158" t="s">
        <v>851</v>
      </c>
      <c r="T301" s="158" t="s">
        <v>149</v>
      </c>
      <c r="U301" s="153" t="s">
        <v>341</v>
      </c>
      <c r="V301" s="158" t="s">
        <v>160</v>
      </c>
      <c r="W301" s="158" t="s">
        <v>6035</v>
      </c>
      <c r="X301" s="158" t="s">
        <v>159</v>
      </c>
      <c r="Y301" s="158" t="s">
        <v>149</v>
      </c>
      <c r="Z301" s="158" t="s">
        <v>149</v>
      </c>
      <c r="AA301" s="153" t="s">
        <v>7368</v>
      </c>
      <c r="AB301" s="153" t="s">
        <v>1787</v>
      </c>
      <c r="AC301" s="153" t="s">
        <v>6035</v>
      </c>
      <c r="AD301" s="153" t="s">
        <v>1788</v>
      </c>
      <c r="AE301" s="153" t="s">
        <v>724</v>
      </c>
      <c r="AF301" s="153"/>
      <c r="AG301" s="158" t="s">
        <v>166</v>
      </c>
      <c r="AH301" s="153" t="s">
        <v>1789</v>
      </c>
      <c r="AI301" s="165" t="s">
        <v>1790</v>
      </c>
      <c r="AJ301" s="153"/>
      <c r="AK301" s="153"/>
    </row>
    <row r="302">
      <c r="A302" s="152">
        <v>2023.0</v>
      </c>
      <c r="B302" s="151">
        <v>234.0</v>
      </c>
      <c r="C302" s="129" t="s">
        <v>140</v>
      </c>
      <c r="D302" s="8"/>
      <c r="H302" s="8" t="s">
        <v>314</v>
      </c>
      <c r="I302" s="8" t="s">
        <v>1364</v>
      </c>
      <c r="J302" s="8" t="s">
        <v>3917</v>
      </c>
      <c r="K302" s="8" t="s">
        <v>3131</v>
      </c>
      <c r="L302" s="8" t="s">
        <v>8197</v>
      </c>
      <c r="M302" s="8" t="s">
        <v>7017</v>
      </c>
      <c r="N302" s="142" t="s">
        <v>6113</v>
      </c>
      <c r="O302" s="142"/>
      <c r="P302" s="142"/>
      <c r="Q302" s="8" t="s">
        <v>151</v>
      </c>
      <c r="R302" s="8" t="s">
        <v>790</v>
      </c>
      <c r="U302" s="8" t="s">
        <v>390</v>
      </c>
      <c r="AB302" s="8" t="s">
        <v>228</v>
      </c>
      <c r="AH302" s="8" t="s">
        <v>6027</v>
      </c>
      <c r="AI302" s="172" t="s">
        <v>3135</v>
      </c>
    </row>
    <row r="303">
      <c r="A303" s="152">
        <v>2024.0</v>
      </c>
      <c r="B303" s="151">
        <v>103.0</v>
      </c>
      <c r="C303" s="153"/>
      <c r="D303" s="153"/>
      <c r="E303" s="153"/>
      <c r="F303" s="153"/>
      <c r="G303" s="153"/>
      <c r="H303" s="153" t="s">
        <v>293</v>
      </c>
      <c r="I303" s="153" t="s">
        <v>1283</v>
      </c>
      <c r="J303" s="153" t="s">
        <v>1795</v>
      </c>
      <c r="K303" s="153" t="s">
        <v>1796</v>
      </c>
      <c r="L303" s="153" t="s">
        <v>1797</v>
      </c>
      <c r="M303" s="153" t="s">
        <v>6522</v>
      </c>
      <c r="N303" s="230">
        <v>2022.0</v>
      </c>
      <c r="O303" s="230"/>
      <c r="P303" s="230"/>
      <c r="Q303" s="153" t="s">
        <v>151</v>
      </c>
      <c r="R303" s="153"/>
      <c r="S303" s="153"/>
      <c r="T303" s="153" t="s">
        <v>6523</v>
      </c>
      <c r="U303" s="153" t="s">
        <v>1802</v>
      </c>
      <c r="V303" s="153"/>
      <c r="W303" s="153"/>
      <c r="X303" s="153"/>
      <c r="Y303" s="153"/>
      <c r="Z303" s="153"/>
      <c r="AA303" s="153"/>
      <c r="AB303" s="153" t="s">
        <v>1802</v>
      </c>
      <c r="AC303" s="153" t="s">
        <v>8007</v>
      </c>
      <c r="AD303" s="153"/>
      <c r="AE303" s="153"/>
      <c r="AF303" s="153"/>
      <c r="AG303" s="153" t="s">
        <v>6038</v>
      </c>
      <c r="AH303" s="153" t="s">
        <v>1803</v>
      </c>
      <c r="AI303" s="165" t="s">
        <v>1804</v>
      </c>
      <c r="AJ303" s="153"/>
      <c r="AK303" s="153"/>
    </row>
    <row r="304">
      <c r="A304" s="152">
        <v>2025.0</v>
      </c>
      <c r="B304" s="151">
        <v>244.0</v>
      </c>
      <c r="C304" s="153" t="s">
        <v>8189</v>
      </c>
      <c r="D304" s="153"/>
      <c r="E304" s="153"/>
      <c r="F304" s="153"/>
      <c r="G304" s="153"/>
      <c r="H304" s="153" t="s">
        <v>314</v>
      </c>
      <c r="I304" s="153" t="s">
        <v>1364</v>
      </c>
      <c r="J304" s="153" t="s">
        <v>3917</v>
      </c>
      <c r="K304" s="173" t="s">
        <v>3131</v>
      </c>
      <c r="L304" s="158" t="s">
        <v>149</v>
      </c>
      <c r="M304" s="153" t="s">
        <v>7017</v>
      </c>
      <c r="N304" s="160" t="s">
        <v>149</v>
      </c>
      <c r="O304" s="160" t="s">
        <v>149</v>
      </c>
      <c r="P304" s="160" t="s">
        <v>149</v>
      </c>
      <c r="Q304" s="153" t="s">
        <v>151</v>
      </c>
      <c r="R304" s="153" t="s">
        <v>790</v>
      </c>
      <c r="S304" s="158" t="s">
        <v>790</v>
      </c>
      <c r="T304" s="158" t="s">
        <v>149</v>
      </c>
      <c r="U304" s="153" t="s">
        <v>390</v>
      </c>
      <c r="V304" s="158" t="s">
        <v>160</v>
      </c>
      <c r="W304" s="158" t="s">
        <v>6035</v>
      </c>
      <c r="X304" s="158" t="s">
        <v>159</v>
      </c>
      <c r="Y304" s="158" t="s">
        <v>149</v>
      </c>
      <c r="Z304" s="158" t="s">
        <v>149</v>
      </c>
      <c r="AA304" s="153" t="s">
        <v>3133</v>
      </c>
      <c r="AB304" s="153" t="s">
        <v>228</v>
      </c>
      <c r="AC304" s="153" t="s">
        <v>6035</v>
      </c>
      <c r="AD304" s="153"/>
      <c r="AE304" s="153"/>
      <c r="AF304" s="153"/>
      <c r="AG304" s="158" t="s">
        <v>6027</v>
      </c>
      <c r="AH304" s="153" t="s">
        <v>3134</v>
      </c>
      <c r="AI304" s="165" t="s">
        <v>3135</v>
      </c>
      <c r="AJ304" s="153"/>
      <c r="AK304" s="153"/>
    </row>
    <row r="305">
      <c r="A305" s="152">
        <v>2025.0</v>
      </c>
      <c r="B305" s="151">
        <v>245.0</v>
      </c>
      <c r="C305" s="153" t="s">
        <v>8189</v>
      </c>
      <c r="D305" s="153"/>
      <c r="E305" s="153"/>
      <c r="F305" s="153"/>
      <c r="G305" s="153"/>
      <c r="H305" s="153" t="s">
        <v>314</v>
      </c>
      <c r="I305" s="153" t="s">
        <v>1364</v>
      </c>
      <c r="J305" s="153" t="s">
        <v>7048</v>
      </c>
      <c r="K305" s="173" t="s">
        <v>1366</v>
      </c>
      <c r="L305" s="158" t="s">
        <v>1367</v>
      </c>
      <c r="M305" s="153" t="s">
        <v>7049</v>
      </c>
      <c r="N305" s="164" t="s">
        <v>149</v>
      </c>
      <c r="O305" s="160" t="s">
        <v>6210</v>
      </c>
      <c r="P305" s="160" t="s">
        <v>6230</v>
      </c>
      <c r="Q305" s="153" t="s">
        <v>151</v>
      </c>
      <c r="R305" s="158" t="s">
        <v>911</v>
      </c>
      <c r="S305" s="158" t="s">
        <v>152</v>
      </c>
      <c r="T305" s="153" t="s">
        <v>1369</v>
      </c>
      <c r="U305" s="158" t="s">
        <v>1370</v>
      </c>
      <c r="V305" s="158" t="s">
        <v>6154</v>
      </c>
      <c r="W305" s="158" t="s">
        <v>206</v>
      </c>
      <c r="X305" s="158" t="s">
        <v>159</v>
      </c>
      <c r="Y305" s="158" t="s">
        <v>149</v>
      </c>
      <c r="Z305" s="158" t="s">
        <v>149</v>
      </c>
      <c r="AA305" s="153" t="s">
        <v>1371</v>
      </c>
      <c r="AB305" s="158" t="s">
        <v>390</v>
      </c>
      <c r="AC305" s="158" t="s">
        <v>6035</v>
      </c>
      <c r="AD305" s="153"/>
      <c r="AE305" s="153"/>
      <c r="AF305" s="153"/>
      <c r="AG305" s="158" t="s">
        <v>6214</v>
      </c>
      <c r="AH305" s="153" t="s">
        <v>1372</v>
      </c>
      <c r="AI305" s="172" t="s">
        <v>1373</v>
      </c>
      <c r="AJ305" s="153"/>
      <c r="AK305" s="153"/>
    </row>
    <row r="306">
      <c r="A306" s="152">
        <v>2024.0</v>
      </c>
      <c r="B306" s="151">
        <v>104.0</v>
      </c>
      <c r="C306" s="153"/>
      <c r="D306" s="153"/>
      <c r="E306" s="153"/>
      <c r="F306" s="153"/>
      <c r="G306" s="153"/>
      <c r="H306" s="153" t="s">
        <v>293</v>
      </c>
      <c r="I306" s="153" t="s">
        <v>1283</v>
      </c>
      <c r="J306" s="153" t="s">
        <v>1979</v>
      </c>
      <c r="K306" s="173" t="s">
        <v>1980</v>
      </c>
      <c r="L306" s="153" t="s">
        <v>1981</v>
      </c>
      <c r="M306" s="153" t="s">
        <v>1982</v>
      </c>
      <c r="N306" s="153" t="s">
        <v>6113</v>
      </c>
      <c r="O306" s="230"/>
      <c r="P306" s="230"/>
      <c r="Q306" s="153" t="s">
        <v>151</v>
      </c>
      <c r="R306" s="153"/>
      <c r="S306" s="153"/>
      <c r="T306" s="153" t="s">
        <v>819</v>
      </c>
      <c r="U306" s="153"/>
      <c r="V306" s="153"/>
      <c r="W306" s="153"/>
      <c r="X306" s="153"/>
      <c r="Y306" s="153"/>
      <c r="Z306" s="153"/>
      <c r="AA306" s="153" t="s">
        <v>1984</v>
      </c>
      <c r="AB306" s="153" t="s">
        <v>369</v>
      </c>
      <c r="AC306" s="153" t="s">
        <v>6035</v>
      </c>
      <c r="AD306" s="153"/>
      <c r="AE306" s="153"/>
      <c r="AF306" s="153"/>
      <c r="AG306" s="153" t="s">
        <v>6084</v>
      </c>
      <c r="AH306" s="153" t="s">
        <v>823</v>
      </c>
      <c r="AI306" s="172" t="s">
        <v>824</v>
      </c>
      <c r="AJ306" s="153"/>
      <c r="AK306" s="153"/>
    </row>
    <row r="307">
      <c r="A307" s="152">
        <v>2023.0</v>
      </c>
      <c r="B307" s="151">
        <v>205.0</v>
      </c>
      <c r="C307" s="129" t="s">
        <v>140</v>
      </c>
      <c r="D307" s="8"/>
      <c r="H307" s="8" t="s">
        <v>535</v>
      </c>
      <c r="I307" s="8" t="s">
        <v>1459</v>
      </c>
      <c r="J307" s="8" t="s">
        <v>1460</v>
      </c>
      <c r="K307" s="282" t="s">
        <v>1461</v>
      </c>
      <c r="L307" s="8" t="s">
        <v>1377</v>
      </c>
      <c r="M307" s="8" t="s">
        <v>1462</v>
      </c>
      <c r="N307" s="142"/>
      <c r="O307" s="142" t="s">
        <v>6198</v>
      </c>
      <c r="P307" s="142" t="s">
        <v>6199</v>
      </c>
      <c r="Q307" s="8" t="s">
        <v>151</v>
      </c>
      <c r="U307" s="8" t="s">
        <v>1381</v>
      </c>
      <c r="AB307" s="8" t="s">
        <v>660</v>
      </c>
      <c r="AD307" s="8" t="s">
        <v>369</v>
      </c>
      <c r="AH307" s="8" t="s">
        <v>395</v>
      </c>
      <c r="AI307" s="8" t="s">
        <v>2873</v>
      </c>
      <c r="AJ307" s="8" t="s">
        <v>398</v>
      </c>
    </row>
    <row r="308">
      <c r="A308" s="152">
        <v>2025.0</v>
      </c>
      <c r="B308" s="151">
        <v>206.0</v>
      </c>
      <c r="C308" s="153" t="s">
        <v>8189</v>
      </c>
      <c r="D308" s="153"/>
      <c r="E308" s="153"/>
      <c r="F308" s="153"/>
      <c r="G308" s="153"/>
      <c r="H308" s="153" t="s">
        <v>535</v>
      </c>
      <c r="I308" s="153" t="s">
        <v>1459</v>
      </c>
      <c r="J308" s="153" t="s">
        <v>2464</v>
      </c>
      <c r="K308" s="173" t="s">
        <v>2465</v>
      </c>
      <c r="L308" s="158" t="s">
        <v>149</v>
      </c>
      <c r="M308" s="153" t="s">
        <v>2466</v>
      </c>
      <c r="N308" s="175" t="s">
        <v>16</v>
      </c>
      <c r="O308" s="175" t="s">
        <v>16</v>
      </c>
      <c r="P308" s="160" t="s">
        <v>149</v>
      </c>
      <c r="Q308" s="153" t="s">
        <v>151</v>
      </c>
      <c r="R308" s="153" t="s">
        <v>2468</v>
      </c>
      <c r="S308" s="158" t="s">
        <v>152</v>
      </c>
      <c r="T308" s="153" t="s">
        <v>2469</v>
      </c>
      <c r="U308" s="153" t="s">
        <v>2470</v>
      </c>
      <c r="V308" s="158" t="s">
        <v>160</v>
      </c>
      <c r="W308" s="158" t="s">
        <v>184</v>
      </c>
      <c r="X308" s="158" t="s">
        <v>159</v>
      </c>
      <c r="Y308" s="158" t="s">
        <v>149</v>
      </c>
      <c r="Z308" s="158" t="s">
        <v>149</v>
      </c>
      <c r="AA308" s="153" t="s">
        <v>2471</v>
      </c>
      <c r="AB308" s="153" t="s">
        <v>2470</v>
      </c>
      <c r="AC308" s="153" t="s">
        <v>271</v>
      </c>
      <c r="AD308" s="153" t="s">
        <v>6140</v>
      </c>
      <c r="AE308" s="153"/>
      <c r="AF308" s="153"/>
      <c r="AG308" s="153" t="s">
        <v>6038</v>
      </c>
      <c r="AH308" s="153" t="s">
        <v>2472</v>
      </c>
      <c r="AI308" s="172" t="s">
        <v>2473</v>
      </c>
      <c r="AJ308" s="153"/>
      <c r="AK308" s="153"/>
    </row>
    <row r="309">
      <c r="A309" s="152">
        <v>2024.0</v>
      </c>
      <c r="B309" s="151">
        <v>105.0</v>
      </c>
      <c r="C309" s="153"/>
      <c r="D309" s="153"/>
      <c r="E309" s="153"/>
      <c r="F309" s="153"/>
      <c r="G309" s="153"/>
      <c r="H309" s="153" t="s">
        <v>293</v>
      </c>
      <c r="I309" s="153" t="s">
        <v>294</v>
      </c>
      <c r="J309" s="153" t="s">
        <v>2602</v>
      </c>
      <c r="K309" s="173" t="s">
        <v>2603</v>
      </c>
      <c r="L309" s="153" t="s">
        <v>6113</v>
      </c>
      <c r="M309" s="153" t="s">
        <v>2604</v>
      </c>
      <c r="N309" s="153" t="s">
        <v>6113</v>
      </c>
      <c r="O309" s="230"/>
      <c r="P309" s="230"/>
      <c r="Q309" s="153" t="s">
        <v>151</v>
      </c>
      <c r="R309" s="153" t="s">
        <v>152</v>
      </c>
      <c r="S309" s="153"/>
      <c r="T309" s="153" t="s">
        <v>2605</v>
      </c>
      <c r="U309" s="153"/>
      <c r="V309" s="153"/>
      <c r="W309" s="153"/>
      <c r="X309" s="153"/>
      <c r="Y309" s="153"/>
      <c r="Z309" s="153"/>
      <c r="AA309" s="153"/>
      <c r="AB309" s="153" t="s">
        <v>369</v>
      </c>
      <c r="AC309" s="153" t="s">
        <v>6035</v>
      </c>
      <c r="AD309" s="153"/>
      <c r="AE309" s="153"/>
      <c r="AF309" s="153"/>
      <c r="AG309" s="153" t="s">
        <v>8006</v>
      </c>
      <c r="AH309" s="153" t="s">
        <v>2606</v>
      </c>
      <c r="AI309" s="172" t="s">
        <v>2607</v>
      </c>
      <c r="AJ309" s="153"/>
      <c r="AK309" s="153"/>
    </row>
    <row r="310">
      <c r="A310" s="152">
        <v>2025.0</v>
      </c>
      <c r="B310" s="151">
        <v>207.0</v>
      </c>
      <c r="C310" s="153" t="s">
        <v>8189</v>
      </c>
      <c r="D310" s="153"/>
      <c r="E310" s="153"/>
      <c r="F310" s="153"/>
      <c r="G310" s="153"/>
      <c r="H310" s="153" t="s">
        <v>535</v>
      </c>
      <c r="I310" s="153" t="s">
        <v>1459</v>
      </c>
      <c r="J310" s="153" t="s">
        <v>1460</v>
      </c>
      <c r="K310" s="173" t="s">
        <v>1461</v>
      </c>
      <c r="L310" s="153" t="s">
        <v>1377</v>
      </c>
      <c r="M310" s="153" t="s">
        <v>1462</v>
      </c>
      <c r="N310" s="160" t="s">
        <v>6896</v>
      </c>
      <c r="O310" s="175" t="s">
        <v>6198</v>
      </c>
      <c r="P310" s="175" t="s">
        <v>6199</v>
      </c>
      <c r="Q310" s="153" t="s">
        <v>151</v>
      </c>
      <c r="R310" s="158" t="s">
        <v>149</v>
      </c>
      <c r="S310" s="158" t="s">
        <v>149</v>
      </c>
      <c r="T310" s="158" t="s">
        <v>149</v>
      </c>
      <c r="U310" s="153" t="s">
        <v>1381</v>
      </c>
      <c r="V310" s="158" t="s">
        <v>6154</v>
      </c>
      <c r="W310" s="158" t="s">
        <v>206</v>
      </c>
      <c r="X310" s="158" t="s">
        <v>159</v>
      </c>
      <c r="Y310" s="158" t="s">
        <v>149</v>
      </c>
      <c r="Z310" s="158" t="s">
        <v>149</v>
      </c>
      <c r="AA310" s="158" t="s">
        <v>149</v>
      </c>
      <c r="AB310" s="153" t="s">
        <v>660</v>
      </c>
      <c r="AC310" s="153" t="s">
        <v>6035</v>
      </c>
      <c r="AD310" s="153" t="s">
        <v>369</v>
      </c>
      <c r="AE310" s="153"/>
      <c r="AF310" s="153"/>
      <c r="AG310" s="158" t="s">
        <v>395</v>
      </c>
      <c r="AH310" s="153" t="s">
        <v>6060</v>
      </c>
      <c r="AI310" s="158" t="s">
        <v>6711</v>
      </c>
      <c r="AJ310" s="153" t="s">
        <v>398</v>
      </c>
      <c r="AK310" s="153"/>
    </row>
    <row r="311">
      <c r="A311" s="152">
        <v>2023.0</v>
      </c>
      <c r="B311" s="151">
        <v>117.0</v>
      </c>
      <c r="C311" s="129" t="s">
        <v>140</v>
      </c>
      <c r="D311" s="8"/>
      <c r="H311" s="8" t="s">
        <v>257</v>
      </c>
      <c r="I311" s="8" t="s">
        <v>1387</v>
      </c>
      <c r="J311" s="8" t="s">
        <v>1388</v>
      </c>
      <c r="K311" s="282" t="s">
        <v>1389</v>
      </c>
      <c r="L311" s="8" t="s">
        <v>1377</v>
      </c>
      <c r="N311" s="142"/>
      <c r="O311" s="142" t="s">
        <v>6198</v>
      </c>
      <c r="P311" s="142" t="s">
        <v>6199</v>
      </c>
      <c r="Q311" s="8" t="s">
        <v>151</v>
      </c>
      <c r="U311" s="8" t="s">
        <v>1381</v>
      </c>
      <c r="AB311" s="8" t="s">
        <v>660</v>
      </c>
      <c r="AD311" s="8" t="s">
        <v>369</v>
      </c>
      <c r="AH311" s="8" t="s">
        <v>395</v>
      </c>
      <c r="AI311" s="8" t="s">
        <v>2873</v>
      </c>
      <c r="AJ311" s="8" t="s">
        <v>398</v>
      </c>
    </row>
    <row r="312">
      <c r="A312" s="152">
        <v>2024.0</v>
      </c>
      <c r="B312" s="151">
        <v>106.0</v>
      </c>
      <c r="C312" s="153"/>
      <c r="D312" s="153"/>
      <c r="E312" s="153"/>
      <c r="F312" s="153"/>
      <c r="G312" s="153"/>
      <c r="H312" s="153" t="s">
        <v>293</v>
      </c>
      <c r="I312" s="153" t="s">
        <v>294</v>
      </c>
      <c r="J312" s="153" t="s">
        <v>486</v>
      </c>
      <c r="K312" s="173" t="s">
        <v>487</v>
      </c>
      <c r="L312" s="153" t="s">
        <v>384</v>
      </c>
      <c r="M312" s="153" t="s">
        <v>488</v>
      </c>
      <c r="N312" s="230">
        <v>1985.0</v>
      </c>
      <c r="O312" s="230">
        <v>1985.0</v>
      </c>
      <c r="P312" s="230">
        <v>1987.0</v>
      </c>
      <c r="Q312" s="153" t="s">
        <v>151</v>
      </c>
      <c r="R312" s="153" t="s">
        <v>6054</v>
      </c>
      <c r="S312" s="153"/>
      <c r="T312" s="153"/>
      <c r="U312" s="153" t="s">
        <v>390</v>
      </c>
      <c r="V312" s="153"/>
      <c r="W312" s="153"/>
      <c r="X312" s="153"/>
      <c r="Y312" s="153"/>
      <c r="Z312" s="153"/>
      <c r="AA312" s="153" t="s">
        <v>489</v>
      </c>
      <c r="AB312" s="153" t="s">
        <v>390</v>
      </c>
      <c r="AC312" s="153" t="s">
        <v>6035</v>
      </c>
      <c r="AD312" s="153" t="s">
        <v>6055</v>
      </c>
      <c r="AE312" s="153"/>
      <c r="AF312" s="153"/>
      <c r="AG312" s="153" t="s">
        <v>8004</v>
      </c>
      <c r="AH312" s="153" t="s">
        <v>6060</v>
      </c>
      <c r="AI312" s="153" t="s">
        <v>2873</v>
      </c>
      <c r="AJ312" s="153" t="s">
        <v>398</v>
      </c>
      <c r="AK312" s="153"/>
    </row>
    <row r="313">
      <c r="A313" s="152">
        <v>2025.0</v>
      </c>
      <c r="B313" s="151">
        <v>138.0</v>
      </c>
      <c r="C313" s="153" t="s">
        <v>8189</v>
      </c>
      <c r="D313" s="153"/>
      <c r="E313" s="153"/>
      <c r="F313" s="153"/>
      <c r="G313" s="153"/>
      <c r="H313" s="153" t="s">
        <v>257</v>
      </c>
      <c r="I313" s="153" t="s">
        <v>1387</v>
      </c>
      <c r="J313" s="153" t="s">
        <v>1388</v>
      </c>
      <c r="K313" s="173" t="s">
        <v>1389</v>
      </c>
      <c r="L313" s="153" t="s">
        <v>1377</v>
      </c>
      <c r="M313" s="153"/>
      <c r="N313" s="160" t="s">
        <v>6896</v>
      </c>
      <c r="O313" s="175" t="s">
        <v>6198</v>
      </c>
      <c r="P313" s="175" t="s">
        <v>6199</v>
      </c>
      <c r="Q313" s="153" t="s">
        <v>151</v>
      </c>
      <c r="R313" s="158" t="s">
        <v>149</v>
      </c>
      <c r="S313" s="158" t="s">
        <v>149</v>
      </c>
      <c r="T313" s="158" t="s">
        <v>149</v>
      </c>
      <c r="U313" s="153" t="s">
        <v>1381</v>
      </c>
      <c r="V313" s="158" t="s">
        <v>6154</v>
      </c>
      <c r="W313" s="158" t="s">
        <v>206</v>
      </c>
      <c r="X313" s="158" t="s">
        <v>159</v>
      </c>
      <c r="Y313" s="158" t="s">
        <v>149</v>
      </c>
      <c r="Z313" s="158" t="s">
        <v>149</v>
      </c>
      <c r="AA313" s="158" t="s">
        <v>149</v>
      </c>
      <c r="AB313" s="153" t="s">
        <v>660</v>
      </c>
      <c r="AC313" s="153" t="s">
        <v>6035</v>
      </c>
      <c r="AD313" s="153" t="s">
        <v>369</v>
      </c>
      <c r="AE313" s="153"/>
      <c r="AF313" s="153"/>
      <c r="AG313" s="158" t="s">
        <v>395</v>
      </c>
      <c r="AH313" s="153" t="s">
        <v>6060</v>
      </c>
      <c r="AI313" s="177" t="s">
        <v>397</v>
      </c>
      <c r="AJ313" s="153" t="s">
        <v>398</v>
      </c>
      <c r="AK313" s="153"/>
    </row>
    <row r="314">
      <c r="A314" s="152">
        <v>2025.0</v>
      </c>
      <c r="B314" s="151">
        <v>139.0</v>
      </c>
      <c r="C314" s="153" t="s">
        <v>8189</v>
      </c>
      <c r="D314" s="153"/>
      <c r="E314" s="153"/>
      <c r="F314" s="153"/>
      <c r="G314" s="153"/>
      <c r="H314" s="153" t="s">
        <v>257</v>
      </c>
      <c r="I314" s="153" t="s">
        <v>1387</v>
      </c>
      <c r="J314" s="153" t="s">
        <v>447</v>
      </c>
      <c r="K314" s="173" t="s">
        <v>1930</v>
      </c>
      <c r="L314" s="153" t="s">
        <v>1921</v>
      </c>
      <c r="M314" s="153"/>
      <c r="N314" s="175" t="s">
        <v>6404</v>
      </c>
      <c r="O314" s="160" t="s">
        <v>6404</v>
      </c>
      <c r="P314" s="160" t="s">
        <v>6151</v>
      </c>
      <c r="Q314" s="153" t="s">
        <v>151</v>
      </c>
      <c r="R314" s="153" t="s">
        <v>851</v>
      </c>
      <c r="S314" s="158" t="s">
        <v>851</v>
      </c>
      <c r="T314" s="158" t="s">
        <v>6686</v>
      </c>
      <c r="U314" s="153" t="s">
        <v>1932</v>
      </c>
      <c r="V314" s="158" t="s">
        <v>160</v>
      </c>
      <c r="W314" s="158" t="s">
        <v>184</v>
      </c>
      <c r="X314" s="158" t="s">
        <v>159</v>
      </c>
      <c r="Y314" s="158" t="s">
        <v>149</v>
      </c>
      <c r="Z314" s="158" t="s">
        <v>149</v>
      </c>
      <c r="AA314" s="153" t="s">
        <v>1933</v>
      </c>
      <c r="AB314" s="158" t="s">
        <v>1926</v>
      </c>
      <c r="AC314" s="158" t="s">
        <v>271</v>
      </c>
      <c r="AD314" s="158"/>
      <c r="AE314" s="158" t="s">
        <v>1934</v>
      </c>
      <c r="AF314" s="158"/>
      <c r="AG314" s="158" t="s">
        <v>6091</v>
      </c>
      <c r="AH314" s="153" t="s">
        <v>1927</v>
      </c>
      <c r="AI314" s="172" t="s">
        <v>8285</v>
      </c>
      <c r="AJ314" s="153"/>
      <c r="AK314" s="153"/>
    </row>
    <row r="315">
      <c r="A315" s="152">
        <v>2024.0</v>
      </c>
      <c r="B315" s="151">
        <v>107.0</v>
      </c>
      <c r="C315" s="153"/>
      <c r="D315" s="153"/>
      <c r="E315" s="153"/>
      <c r="F315" s="153"/>
      <c r="G315" s="153"/>
      <c r="H315" s="153" t="s">
        <v>293</v>
      </c>
      <c r="I315" s="153" t="s">
        <v>294</v>
      </c>
      <c r="J315" s="153" t="s">
        <v>295</v>
      </c>
      <c r="K315" s="153" t="s">
        <v>296</v>
      </c>
      <c r="L315" s="153" t="s">
        <v>6553</v>
      </c>
      <c r="M315" s="153"/>
      <c r="N315" s="230">
        <v>2022.0</v>
      </c>
      <c r="O315" s="230">
        <v>2022.0</v>
      </c>
      <c r="P315" s="230">
        <v>2024.0</v>
      </c>
      <c r="Q315" s="153" t="s">
        <v>6259</v>
      </c>
      <c r="R315" s="153" t="s">
        <v>1112</v>
      </c>
      <c r="S315" s="153"/>
      <c r="T315" s="153" t="s">
        <v>304</v>
      </c>
      <c r="U315" s="153" t="s">
        <v>8008</v>
      </c>
      <c r="V315" s="153"/>
      <c r="W315" s="153"/>
      <c r="X315" s="153"/>
      <c r="Y315" s="153"/>
      <c r="Z315" s="153"/>
      <c r="AA315" s="153"/>
      <c r="AB315" s="153" t="s">
        <v>6531</v>
      </c>
      <c r="AC315" s="153" t="s">
        <v>306</v>
      </c>
      <c r="AD315" s="153" t="s">
        <v>6532</v>
      </c>
      <c r="AE315" s="153" t="s">
        <v>6533</v>
      </c>
      <c r="AF315" s="153"/>
      <c r="AG315" s="153" t="s">
        <v>213</v>
      </c>
      <c r="AH315" s="153" t="s">
        <v>213</v>
      </c>
      <c r="AI315" s="153"/>
      <c r="AJ315" s="153" t="s">
        <v>311</v>
      </c>
      <c r="AK315" s="153" t="s">
        <v>312</v>
      </c>
    </row>
    <row r="316">
      <c r="A316" s="152">
        <v>2023.0</v>
      </c>
      <c r="B316" s="151">
        <v>259.0</v>
      </c>
      <c r="C316" s="129" t="s">
        <v>140</v>
      </c>
      <c r="D316" s="8"/>
      <c r="H316" s="8" t="s">
        <v>193</v>
      </c>
      <c r="I316" s="8" t="s">
        <v>194</v>
      </c>
      <c r="J316" s="8" t="s">
        <v>965</v>
      </c>
      <c r="K316" s="198" t="s">
        <v>966</v>
      </c>
      <c r="L316" s="8" t="s">
        <v>934</v>
      </c>
      <c r="N316" s="142" t="s">
        <v>6229</v>
      </c>
      <c r="O316" s="142" t="s">
        <v>6229</v>
      </c>
      <c r="P316" s="142" t="s">
        <v>6230</v>
      </c>
      <c r="Q316" s="8" t="s">
        <v>6062</v>
      </c>
      <c r="R316" s="8" t="s">
        <v>6276</v>
      </c>
      <c r="T316" s="8" t="s">
        <v>939</v>
      </c>
      <c r="U316" s="8" t="s">
        <v>940</v>
      </c>
      <c r="AB316" s="8" t="s">
        <v>233</v>
      </c>
      <c r="AH316" s="8" t="s">
        <v>6214</v>
      </c>
      <c r="AI316" s="8" t="s">
        <v>942</v>
      </c>
      <c r="AJ316" s="8" t="s">
        <v>943</v>
      </c>
    </row>
    <row r="317">
      <c r="A317" s="152">
        <v>2023.0</v>
      </c>
      <c r="B317" s="151">
        <v>260.0</v>
      </c>
      <c r="C317" s="129" t="s">
        <v>140</v>
      </c>
      <c r="D317" s="8"/>
      <c r="H317" s="8" t="s">
        <v>193</v>
      </c>
      <c r="I317" s="8" t="s">
        <v>194</v>
      </c>
      <c r="J317" s="8" t="s">
        <v>7103</v>
      </c>
      <c r="K317" s="284"/>
      <c r="L317" s="8" t="s">
        <v>934</v>
      </c>
      <c r="N317" s="142" t="s">
        <v>6229</v>
      </c>
      <c r="O317" s="142" t="s">
        <v>6229</v>
      </c>
      <c r="P317" s="142" t="s">
        <v>6230</v>
      </c>
      <c r="Q317" s="8" t="s">
        <v>6062</v>
      </c>
      <c r="R317" s="8" t="s">
        <v>6276</v>
      </c>
      <c r="T317" s="8" t="s">
        <v>939</v>
      </c>
      <c r="U317" s="8" t="s">
        <v>940</v>
      </c>
      <c r="AB317" s="8" t="s">
        <v>233</v>
      </c>
      <c r="AH317" s="8" t="s">
        <v>6214</v>
      </c>
      <c r="AI317" s="8" t="s">
        <v>942</v>
      </c>
      <c r="AJ317" s="8" t="s">
        <v>943</v>
      </c>
    </row>
    <row r="318">
      <c r="A318" s="152">
        <v>2024.0</v>
      </c>
      <c r="B318" s="151">
        <v>108.0</v>
      </c>
      <c r="C318" s="153"/>
      <c r="D318" s="153"/>
      <c r="E318" s="153"/>
      <c r="F318" s="153"/>
      <c r="G318" s="153"/>
      <c r="H318" s="153" t="s">
        <v>293</v>
      </c>
      <c r="I318" s="153" t="s">
        <v>294</v>
      </c>
      <c r="J318" s="153" t="s">
        <v>950</v>
      </c>
      <c r="K318" s="153" t="s">
        <v>951</v>
      </c>
      <c r="L318" s="153" t="s">
        <v>934</v>
      </c>
      <c r="M318" s="153"/>
      <c r="N318" s="230">
        <v>2001.0</v>
      </c>
      <c r="O318" s="230">
        <v>2001.0</v>
      </c>
      <c r="P318" s="230">
        <v>2005.0</v>
      </c>
      <c r="Q318" s="153" t="s">
        <v>6062</v>
      </c>
      <c r="R318" s="153" t="s">
        <v>6276</v>
      </c>
      <c r="S318" s="153"/>
      <c r="T318" s="153" t="s">
        <v>939</v>
      </c>
      <c r="U318" s="153" t="s">
        <v>940</v>
      </c>
      <c r="V318" s="153"/>
      <c r="W318" s="153"/>
      <c r="X318" s="153"/>
      <c r="Y318" s="153"/>
      <c r="Z318" s="153"/>
      <c r="AA318" s="153"/>
      <c r="AB318" s="153" t="s">
        <v>233</v>
      </c>
      <c r="AC318" s="153" t="s">
        <v>209</v>
      </c>
      <c r="AD318" s="153"/>
      <c r="AE318" s="153"/>
      <c r="AF318" s="153"/>
      <c r="AG318" s="153" t="s">
        <v>8004</v>
      </c>
      <c r="AH318" s="153" t="s">
        <v>941</v>
      </c>
      <c r="AI318" s="153" t="s">
        <v>942</v>
      </c>
      <c r="AJ318" s="153" t="s">
        <v>943</v>
      </c>
      <c r="AK318" s="153"/>
    </row>
    <row r="319">
      <c r="A319" s="152">
        <v>2023.0</v>
      </c>
      <c r="B319" s="151">
        <v>261.0</v>
      </c>
      <c r="C319" s="129" t="s">
        <v>140</v>
      </c>
      <c r="D319" s="8"/>
      <c r="H319" s="8" t="s">
        <v>193</v>
      </c>
      <c r="I319" s="8" t="s">
        <v>194</v>
      </c>
      <c r="J319" s="8" t="s">
        <v>195</v>
      </c>
      <c r="K319" s="8" t="s">
        <v>196</v>
      </c>
      <c r="L319" s="8" t="s">
        <v>6113</v>
      </c>
      <c r="N319" s="142" t="s">
        <v>6145</v>
      </c>
      <c r="O319" s="142"/>
      <c r="P319" s="142"/>
      <c r="Q319" s="8" t="s">
        <v>6062</v>
      </c>
      <c r="R319" s="8" t="s">
        <v>6666</v>
      </c>
      <c r="U319" s="8" t="s">
        <v>3147</v>
      </c>
      <c r="AH319" s="8" t="s">
        <v>214</v>
      </c>
      <c r="AJ319" s="8" t="s">
        <v>3148</v>
      </c>
    </row>
    <row r="320">
      <c r="A320" s="152">
        <v>2023.0</v>
      </c>
      <c r="B320" s="151">
        <v>262.0</v>
      </c>
      <c r="C320" s="129" t="s">
        <v>140</v>
      </c>
      <c r="D320" s="8"/>
      <c r="H320" s="8" t="s">
        <v>193</v>
      </c>
      <c r="I320" s="8" t="s">
        <v>194</v>
      </c>
      <c r="J320" s="8" t="s">
        <v>195</v>
      </c>
      <c r="K320" s="8" t="s">
        <v>196</v>
      </c>
      <c r="L320" s="8" t="s">
        <v>3412</v>
      </c>
      <c r="N320" s="142" t="s">
        <v>6063</v>
      </c>
      <c r="O320" s="142" t="s">
        <v>6063</v>
      </c>
      <c r="P320" s="142" t="s">
        <v>6064</v>
      </c>
      <c r="Q320" s="8" t="s">
        <v>6221</v>
      </c>
      <c r="U320" s="8" t="s">
        <v>321</v>
      </c>
      <c r="AB320" s="8" t="s">
        <v>885</v>
      </c>
      <c r="AD320" s="8" t="s">
        <v>1858</v>
      </c>
      <c r="AH320" s="8" t="s">
        <v>6257</v>
      </c>
      <c r="AJ320" s="8" t="s">
        <v>1861</v>
      </c>
      <c r="AK320" s="172" t="s">
        <v>1862</v>
      </c>
    </row>
    <row r="321">
      <c r="A321" s="152">
        <v>2024.0</v>
      </c>
      <c r="B321" s="151">
        <v>109.0</v>
      </c>
      <c r="C321" s="153"/>
      <c r="D321" s="153"/>
      <c r="E321" s="153"/>
      <c r="F321" s="153"/>
      <c r="G321" s="153"/>
      <c r="H321" s="153" t="s">
        <v>293</v>
      </c>
      <c r="I321" s="153" t="s">
        <v>294</v>
      </c>
      <c r="J321" s="153" t="s">
        <v>3070</v>
      </c>
      <c r="K321" s="173" t="s">
        <v>3071</v>
      </c>
      <c r="L321" s="153" t="s">
        <v>6113</v>
      </c>
      <c r="M321" s="153"/>
      <c r="N321" s="230" t="s">
        <v>6113</v>
      </c>
      <c r="O321" s="230"/>
      <c r="P321" s="230"/>
      <c r="Q321" s="153" t="s">
        <v>151</v>
      </c>
      <c r="R321" s="153"/>
      <c r="S321" s="153"/>
      <c r="T321" s="153"/>
      <c r="U321" s="153"/>
      <c r="V321" s="153"/>
      <c r="W321" s="153"/>
      <c r="X321" s="153"/>
      <c r="Y321" s="153"/>
      <c r="Z321" s="153"/>
      <c r="AA321" s="153" t="s">
        <v>3072</v>
      </c>
      <c r="AB321" s="153" t="s">
        <v>228</v>
      </c>
      <c r="AC321" s="153" t="s">
        <v>6035</v>
      </c>
      <c r="AD321" s="153" t="s">
        <v>390</v>
      </c>
      <c r="AE321" s="153"/>
      <c r="AF321" s="153"/>
      <c r="AG321" s="153" t="s">
        <v>8006</v>
      </c>
      <c r="AH321" s="153" t="s">
        <v>2736</v>
      </c>
      <c r="AI321" s="153" t="s">
        <v>2737</v>
      </c>
      <c r="AJ321" s="153"/>
      <c r="AK321" s="153"/>
    </row>
    <row r="322">
      <c r="A322" s="152">
        <v>2023.0</v>
      </c>
      <c r="B322" s="151">
        <v>263.0</v>
      </c>
      <c r="C322" s="129" t="s">
        <v>140</v>
      </c>
      <c r="D322" s="8"/>
      <c r="H322" s="8" t="s">
        <v>193</v>
      </c>
      <c r="I322" s="8" t="s">
        <v>194</v>
      </c>
      <c r="J322" s="8" t="s">
        <v>2222</v>
      </c>
      <c r="K322" s="208" t="s">
        <v>2223</v>
      </c>
      <c r="L322" s="8" t="s">
        <v>2224</v>
      </c>
      <c r="N322" s="142" t="s">
        <v>6273</v>
      </c>
      <c r="O322" s="142" t="s">
        <v>6273</v>
      </c>
      <c r="P322" s="142" t="s">
        <v>18</v>
      </c>
      <c r="Q322" s="8" t="s">
        <v>7110</v>
      </c>
      <c r="R322" s="8" t="s">
        <v>320</v>
      </c>
      <c r="T322" s="8" t="s">
        <v>2227</v>
      </c>
      <c r="U322" s="8" t="s">
        <v>2228</v>
      </c>
      <c r="AB322" s="8" t="s">
        <v>2229</v>
      </c>
      <c r="AD322" s="8" t="s">
        <v>2230</v>
      </c>
      <c r="AE322" s="8" t="s">
        <v>7111</v>
      </c>
      <c r="AF322" s="8" t="s">
        <v>2232</v>
      </c>
      <c r="AH322" s="8" t="s">
        <v>213</v>
      </c>
      <c r="AI322" s="172" t="s">
        <v>2233</v>
      </c>
      <c r="AJ322" s="8" t="s">
        <v>2234</v>
      </c>
      <c r="AK322" s="172" t="s">
        <v>2235</v>
      </c>
    </row>
    <row r="323">
      <c r="A323" s="152">
        <v>2023.0</v>
      </c>
      <c r="B323" s="151">
        <v>264.0</v>
      </c>
      <c r="C323" s="129" t="s">
        <v>140</v>
      </c>
      <c r="D323" s="8"/>
      <c r="H323" s="8" t="s">
        <v>193</v>
      </c>
      <c r="I323" s="8" t="s">
        <v>194</v>
      </c>
      <c r="J323" s="8" t="s">
        <v>7114</v>
      </c>
      <c r="K323" s="281" t="s">
        <v>217</v>
      </c>
      <c r="L323" s="8" t="s">
        <v>384</v>
      </c>
      <c r="M323" s="8" t="s">
        <v>2880</v>
      </c>
      <c r="N323" s="278" t="s">
        <v>7095</v>
      </c>
      <c r="O323" s="142" t="s">
        <v>6052</v>
      </c>
      <c r="P323" s="142" t="s">
        <v>6053</v>
      </c>
      <c r="Q323" s="8" t="s">
        <v>151</v>
      </c>
      <c r="R323" s="8" t="s">
        <v>6054</v>
      </c>
      <c r="U323" s="8" t="s">
        <v>390</v>
      </c>
      <c r="AA323" s="8" t="s">
        <v>391</v>
      </c>
      <c r="AB323" s="8" t="s">
        <v>390</v>
      </c>
      <c r="AD323" s="8" t="s">
        <v>6055</v>
      </c>
      <c r="AH323" s="8" t="s">
        <v>6057</v>
      </c>
      <c r="AI323" s="8" t="s">
        <v>2873</v>
      </c>
      <c r="AJ323" s="8" t="s">
        <v>398</v>
      </c>
      <c r="AK323" s="172"/>
      <c r="AL323" s="8" t="s">
        <v>6109</v>
      </c>
    </row>
    <row r="324">
      <c r="A324" s="152">
        <v>2023.0</v>
      </c>
      <c r="B324" s="151">
        <v>265.0</v>
      </c>
      <c r="C324" s="129" t="s">
        <v>140</v>
      </c>
      <c r="D324" s="8"/>
      <c r="H324" s="8" t="s">
        <v>193</v>
      </c>
      <c r="I324" s="8" t="s">
        <v>194</v>
      </c>
      <c r="J324" s="8" t="s">
        <v>7114</v>
      </c>
      <c r="K324" s="281" t="s">
        <v>217</v>
      </c>
      <c r="L324" s="8" t="s">
        <v>384</v>
      </c>
      <c r="M324" s="8" t="s">
        <v>2882</v>
      </c>
      <c r="N324" s="278" t="s">
        <v>6073</v>
      </c>
      <c r="O324" s="142" t="s">
        <v>6052</v>
      </c>
      <c r="P324" s="142" t="s">
        <v>6053</v>
      </c>
      <c r="Q324" s="8" t="s">
        <v>151</v>
      </c>
      <c r="R324" s="8" t="s">
        <v>6054</v>
      </c>
      <c r="U324" s="8" t="s">
        <v>390</v>
      </c>
      <c r="AA324" s="8" t="s">
        <v>414</v>
      </c>
      <c r="AB324" s="8" t="s">
        <v>390</v>
      </c>
      <c r="AD324" s="8" t="s">
        <v>6055</v>
      </c>
      <c r="AH324" s="8" t="s">
        <v>6057</v>
      </c>
      <c r="AI324" s="8" t="s">
        <v>2873</v>
      </c>
      <c r="AJ324" s="8" t="s">
        <v>398</v>
      </c>
      <c r="AK324" s="172"/>
      <c r="AL324" s="8" t="s">
        <v>6109</v>
      </c>
    </row>
    <row r="325">
      <c r="A325" s="152">
        <v>2024.0</v>
      </c>
      <c r="B325" s="151">
        <v>110.0</v>
      </c>
      <c r="C325" s="153"/>
      <c r="D325" s="153"/>
      <c r="E325" s="153"/>
      <c r="F325" s="153"/>
      <c r="G325" s="153"/>
      <c r="H325" s="153" t="s">
        <v>293</v>
      </c>
      <c r="I325" s="153" t="s">
        <v>294</v>
      </c>
      <c r="J325" s="153" t="s">
        <v>420</v>
      </c>
      <c r="K325" s="153" t="s">
        <v>708</v>
      </c>
      <c r="L325" s="153" t="s">
        <v>709</v>
      </c>
      <c r="M325" s="153"/>
      <c r="N325" s="230">
        <v>2012.0</v>
      </c>
      <c r="O325" s="230"/>
      <c r="P325" s="230"/>
      <c r="Q325" s="153" t="s">
        <v>151</v>
      </c>
      <c r="R325" s="153"/>
      <c r="S325" s="153"/>
      <c r="T325" s="153" t="s">
        <v>710</v>
      </c>
      <c r="U325" s="153" t="s">
        <v>369</v>
      </c>
      <c r="V325" s="153"/>
      <c r="W325" s="153"/>
      <c r="X325" s="153"/>
      <c r="Y325" s="153"/>
      <c r="Z325" s="153"/>
      <c r="AA325" s="153"/>
      <c r="AB325" s="153" t="s">
        <v>369</v>
      </c>
      <c r="AC325" s="153" t="s">
        <v>6035</v>
      </c>
      <c r="AD325" s="153" t="s">
        <v>711</v>
      </c>
      <c r="AE325" s="153"/>
      <c r="AF325" s="153"/>
      <c r="AG325" s="153" t="s">
        <v>213</v>
      </c>
      <c r="AH325" s="153" t="s">
        <v>213</v>
      </c>
      <c r="AI325" s="153"/>
      <c r="AJ325" s="153" t="s">
        <v>712</v>
      </c>
      <c r="AK325" s="242" t="s">
        <v>7857</v>
      </c>
    </row>
    <row r="326">
      <c r="A326" s="152">
        <v>2023.0</v>
      </c>
      <c r="B326" s="151">
        <v>266.0</v>
      </c>
      <c r="C326" s="129" t="s">
        <v>140</v>
      </c>
      <c r="D326" s="8"/>
      <c r="H326" s="8" t="s">
        <v>193</v>
      </c>
      <c r="I326" s="8" t="s">
        <v>194</v>
      </c>
      <c r="J326" s="8" t="s">
        <v>7114</v>
      </c>
      <c r="K326" s="8" t="s">
        <v>217</v>
      </c>
      <c r="L326" s="8" t="s">
        <v>877</v>
      </c>
      <c r="N326" s="142" t="s">
        <v>7119</v>
      </c>
      <c r="O326" s="142" t="s">
        <v>7119</v>
      </c>
      <c r="P326" s="142" t="s">
        <v>6211</v>
      </c>
      <c r="Q326" s="8" t="s">
        <v>6062</v>
      </c>
      <c r="R326" s="8" t="s">
        <v>320</v>
      </c>
      <c r="T326" s="8" t="s">
        <v>881</v>
      </c>
      <c r="U326" s="8" t="s">
        <v>7120</v>
      </c>
      <c r="Z326" s="8" t="s">
        <v>7121</v>
      </c>
      <c r="AA326" s="188" t="s">
        <v>884</v>
      </c>
      <c r="AB326" s="8" t="s">
        <v>885</v>
      </c>
      <c r="AD326" s="8" t="s">
        <v>887</v>
      </c>
      <c r="AF326" s="8" t="s">
        <v>888</v>
      </c>
      <c r="AH326" s="8" t="s">
        <v>6214</v>
      </c>
      <c r="AI326" s="8" t="s">
        <v>942</v>
      </c>
      <c r="AJ326" s="8" t="s">
        <v>1280</v>
      </c>
    </row>
    <row r="327">
      <c r="A327" s="152">
        <v>2023.0</v>
      </c>
      <c r="B327" s="151">
        <v>267.0</v>
      </c>
      <c r="C327" s="129" t="s">
        <v>140</v>
      </c>
      <c r="D327" s="8"/>
      <c r="H327" s="8" t="s">
        <v>193</v>
      </c>
      <c r="I327" s="8" t="s">
        <v>194</v>
      </c>
      <c r="J327" s="8" t="s">
        <v>7114</v>
      </c>
      <c r="K327" s="8" t="s">
        <v>217</v>
      </c>
      <c r="L327" s="8" t="s">
        <v>6113</v>
      </c>
      <c r="N327" s="142" t="s">
        <v>6113</v>
      </c>
      <c r="O327" s="142"/>
      <c r="P327" s="142"/>
      <c r="Q327" s="8" t="s">
        <v>6062</v>
      </c>
      <c r="R327" s="8" t="s">
        <v>7124</v>
      </c>
      <c r="T327" s="8" t="s">
        <v>7125</v>
      </c>
      <c r="AB327" s="8" t="s">
        <v>885</v>
      </c>
      <c r="AE327" s="8" t="s">
        <v>7126</v>
      </c>
      <c r="AH327" s="8" t="s">
        <v>6214</v>
      </c>
      <c r="AI327" s="8" t="s">
        <v>2403</v>
      </c>
    </row>
    <row r="328">
      <c r="A328" s="152">
        <v>2024.0</v>
      </c>
      <c r="B328" s="151">
        <v>111.0</v>
      </c>
      <c r="C328" s="153"/>
      <c r="D328" s="153"/>
      <c r="E328" s="153"/>
      <c r="F328" s="153"/>
      <c r="G328" s="153"/>
      <c r="H328" s="153" t="s">
        <v>293</v>
      </c>
      <c r="I328" s="153" t="s">
        <v>294</v>
      </c>
      <c r="J328" s="153" t="s">
        <v>1291</v>
      </c>
      <c r="K328" s="153" t="s">
        <v>1292</v>
      </c>
      <c r="L328" s="153" t="s">
        <v>1174</v>
      </c>
      <c r="M328" s="153"/>
      <c r="N328" s="230" t="s">
        <v>6113</v>
      </c>
      <c r="O328" s="230">
        <v>2012.0</v>
      </c>
      <c r="P328" s="230">
        <v>2013.0</v>
      </c>
      <c r="Q328" s="153" t="s">
        <v>6062</v>
      </c>
      <c r="R328" s="153" t="s">
        <v>320</v>
      </c>
      <c r="S328" s="153"/>
      <c r="T328" s="153"/>
      <c r="U328" s="153" t="s">
        <v>321</v>
      </c>
      <c r="V328" s="153"/>
      <c r="W328" s="153"/>
      <c r="X328" s="153"/>
      <c r="Y328" s="153"/>
      <c r="Z328" s="153"/>
      <c r="AA328" s="153"/>
      <c r="AB328" s="153" t="s">
        <v>885</v>
      </c>
      <c r="AC328" s="153" t="s">
        <v>209</v>
      </c>
      <c r="AD328" s="153" t="s">
        <v>1287</v>
      </c>
      <c r="AE328" s="153"/>
      <c r="AF328" s="153"/>
      <c r="AG328" s="153" t="s">
        <v>6084</v>
      </c>
      <c r="AH328" s="200" t="s">
        <v>8286</v>
      </c>
      <c r="AI328" s="153" t="s">
        <v>6070</v>
      </c>
      <c r="AJ328" s="153"/>
      <c r="AK328" s="153"/>
    </row>
    <row r="329">
      <c r="A329" s="152">
        <v>2023.0</v>
      </c>
      <c r="B329" s="151">
        <v>268.0</v>
      </c>
      <c r="C329" s="129" t="s">
        <v>140</v>
      </c>
      <c r="D329" s="8"/>
      <c r="H329" s="8" t="s">
        <v>193</v>
      </c>
      <c r="I329" s="8" t="s">
        <v>194</v>
      </c>
      <c r="J329" s="8" t="s">
        <v>7114</v>
      </c>
      <c r="K329" s="8" t="s">
        <v>217</v>
      </c>
      <c r="L329" s="8" t="s">
        <v>6113</v>
      </c>
      <c r="N329" s="142" t="s">
        <v>6113</v>
      </c>
      <c r="O329" s="142"/>
      <c r="P329" s="142"/>
      <c r="Q329" s="8" t="s">
        <v>6814</v>
      </c>
      <c r="R329" s="8" t="s">
        <v>320</v>
      </c>
      <c r="T329" s="8" t="s">
        <v>7128</v>
      </c>
      <c r="AB329" s="8" t="s">
        <v>2077</v>
      </c>
    </row>
    <row r="330">
      <c r="A330" s="152">
        <v>2023.0</v>
      </c>
      <c r="B330" s="151">
        <v>269.0</v>
      </c>
      <c r="C330" s="129" t="s">
        <v>140</v>
      </c>
      <c r="D330" s="8"/>
      <c r="H330" s="8" t="s">
        <v>193</v>
      </c>
      <c r="I330" s="8" t="s">
        <v>194</v>
      </c>
      <c r="J330" s="8" t="s">
        <v>7114</v>
      </c>
      <c r="K330" s="8" t="s">
        <v>217</v>
      </c>
      <c r="L330" s="8" t="s">
        <v>2073</v>
      </c>
      <c r="N330" s="142" t="s">
        <v>6113</v>
      </c>
      <c r="O330" s="142"/>
      <c r="P330" s="142"/>
      <c r="Q330" s="8" t="s">
        <v>6062</v>
      </c>
      <c r="R330" s="8" t="s">
        <v>7131</v>
      </c>
      <c r="T330" s="8" t="s">
        <v>7132</v>
      </c>
      <c r="U330" s="8" t="s">
        <v>2077</v>
      </c>
      <c r="AB330" s="8" t="s">
        <v>2077</v>
      </c>
      <c r="AH330" s="8" t="s">
        <v>6091</v>
      </c>
      <c r="AI330" s="8" t="s">
        <v>2079</v>
      </c>
    </row>
    <row r="331">
      <c r="A331" s="152">
        <v>2024.0</v>
      </c>
      <c r="B331" s="151">
        <v>112.0</v>
      </c>
      <c r="C331" s="153"/>
      <c r="D331" s="153"/>
      <c r="E331" s="153"/>
      <c r="F331" s="153"/>
      <c r="G331" s="153"/>
      <c r="H331" s="153" t="s">
        <v>293</v>
      </c>
      <c r="I331" s="153" t="s">
        <v>294</v>
      </c>
      <c r="J331" s="153" t="s">
        <v>1291</v>
      </c>
      <c r="K331" s="153" t="s">
        <v>1292</v>
      </c>
      <c r="L331" s="153" t="s">
        <v>1683</v>
      </c>
      <c r="M331" s="153"/>
      <c r="N331" s="230" t="s">
        <v>6113</v>
      </c>
      <c r="O331" s="230">
        <v>2014.0</v>
      </c>
      <c r="P331" s="230">
        <v>2016.0</v>
      </c>
      <c r="Q331" s="153" t="s">
        <v>6062</v>
      </c>
      <c r="R331" s="153" t="s">
        <v>320</v>
      </c>
      <c r="S331" s="153"/>
      <c r="T331" s="153"/>
      <c r="U331" s="153" t="s">
        <v>321</v>
      </c>
      <c r="V331" s="153"/>
      <c r="W331" s="153"/>
      <c r="X331" s="153"/>
      <c r="Y331" s="153"/>
      <c r="Z331" s="153"/>
      <c r="AA331" s="153" t="s">
        <v>1706</v>
      </c>
      <c r="AB331" s="153" t="s">
        <v>1703</v>
      </c>
      <c r="AC331" s="153" t="s">
        <v>306</v>
      </c>
      <c r="AD331" s="153" t="s">
        <v>1287</v>
      </c>
      <c r="AE331" s="153"/>
      <c r="AF331" s="153"/>
      <c r="AG331" s="153" t="s">
        <v>6084</v>
      </c>
      <c r="AH331" s="153" t="s">
        <v>1300</v>
      </c>
      <c r="AI331" s="153" t="s">
        <v>6070</v>
      </c>
      <c r="AJ331" s="153"/>
      <c r="AK331" s="153"/>
    </row>
    <row r="332">
      <c r="A332" s="152">
        <v>2023.0</v>
      </c>
      <c r="B332" s="151">
        <v>270.0</v>
      </c>
      <c r="C332" s="129" t="s">
        <v>140</v>
      </c>
      <c r="D332" s="8"/>
      <c r="H332" s="8" t="s">
        <v>193</v>
      </c>
      <c r="I332" s="8" t="s">
        <v>194</v>
      </c>
      <c r="J332" s="8" t="s">
        <v>7114</v>
      </c>
      <c r="K332" s="8" t="s">
        <v>217</v>
      </c>
      <c r="L332" s="8" t="s">
        <v>6113</v>
      </c>
      <c r="N332" s="142" t="s">
        <v>6114</v>
      </c>
      <c r="O332" s="142"/>
      <c r="P332" s="142"/>
      <c r="Q332" s="8" t="s">
        <v>6062</v>
      </c>
      <c r="R332" s="8" t="s">
        <v>320</v>
      </c>
      <c r="U332" s="8" t="s">
        <v>872</v>
      </c>
      <c r="AB332" s="8" t="s">
        <v>872</v>
      </c>
      <c r="AH332" s="8" t="s">
        <v>6027</v>
      </c>
      <c r="AI332" s="8" t="s">
        <v>875</v>
      </c>
    </row>
    <row r="333">
      <c r="A333" s="152">
        <v>2023.0</v>
      </c>
      <c r="B333" s="151">
        <v>271.0</v>
      </c>
      <c r="C333" s="129" t="s">
        <v>140</v>
      </c>
      <c r="D333" s="8"/>
      <c r="H333" s="8" t="s">
        <v>193</v>
      </c>
      <c r="I333" s="8" t="s">
        <v>194</v>
      </c>
      <c r="J333" s="8" t="s">
        <v>7114</v>
      </c>
      <c r="K333" s="8" t="s">
        <v>217</v>
      </c>
      <c r="L333" s="8" t="s">
        <v>3412</v>
      </c>
      <c r="N333" s="142" t="s">
        <v>6063</v>
      </c>
      <c r="O333" s="142" t="s">
        <v>6063</v>
      </c>
      <c r="P333" s="142" t="s">
        <v>6064</v>
      </c>
      <c r="Q333" s="8" t="s">
        <v>6221</v>
      </c>
      <c r="U333" s="8" t="s">
        <v>321</v>
      </c>
      <c r="AB333" s="8" t="s">
        <v>885</v>
      </c>
      <c r="AD333" s="8" t="s">
        <v>1858</v>
      </c>
      <c r="AH333" s="8" t="s">
        <v>6257</v>
      </c>
      <c r="AJ333" s="8" t="s">
        <v>1861</v>
      </c>
      <c r="AK333" s="172" t="s">
        <v>1862</v>
      </c>
    </row>
    <row r="334">
      <c r="A334" s="152">
        <v>2024.0</v>
      </c>
      <c r="B334" s="151">
        <v>113.0</v>
      </c>
      <c r="C334" s="153"/>
      <c r="D334" s="153"/>
      <c r="E334" s="153"/>
      <c r="F334" s="153"/>
      <c r="G334" s="153"/>
      <c r="H334" s="153" t="s">
        <v>293</v>
      </c>
      <c r="I334" s="153" t="s">
        <v>294</v>
      </c>
      <c r="J334" s="153" t="s">
        <v>1291</v>
      </c>
      <c r="K334" s="153" t="s">
        <v>1292</v>
      </c>
      <c r="L334" s="153" t="s">
        <v>6113</v>
      </c>
      <c r="M334" s="153"/>
      <c r="N334" s="230">
        <v>2012.0</v>
      </c>
      <c r="O334" s="230"/>
      <c r="P334" s="230"/>
      <c r="Q334" s="153" t="s">
        <v>151</v>
      </c>
      <c r="R334" s="153"/>
      <c r="S334" s="153"/>
      <c r="T334" s="153" t="s">
        <v>6551</v>
      </c>
      <c r="U334" s="153" t="s">
        <v>228</v>
      </c>
      <c r="V334" s="153"/>
      <c r="W334" s="153"/>
      <c r="X334" s="153"/>
      <c r="Y334" s="153"/>
      <c r="Z334" s="153"/>
      <c r="AA334" s="153"/>
      <c r="AB334" s="153" t="s">
        <v>228</v>
      </c>
      <c r="AC334" s="153" t="s">
        <v>6035</v>
      </c>
      <c r="AD334" s="153" t="s">
        <v>1628</v>
      </c>
      <c r="AE334" s="153"/>
      <c r="AF334" s="153"/>
      <c r="AG334" s="153" t="s">
        <v>8006</v>
      </c>
      <c r="AH334" s="153" t="s">
        <v>2736</v>
      </c>
      <c r="AI334" s="165" t="s">
        <v>2737</v>
      </c>
      <c r="AJ334" s="153"/>
      <c r="AK334" s="153"/>
    </row>
    <row r="335">
      <c r="A335" s="152">
        <v>2025.0</v>
      </c>
      <c r="B335" s="151">
        <v>271.0</v>
      </c>
      <c r="C335" s="153" t="s">
        <v>8189</v>
      </c>
      <c r="D335" s="153"/>
      <c r="E335" s="153"/>
      <c r="F335" s="153"/>
      <c r="G335" s="153"/>
      <c r="H335" s="153" t="s">
        <v>193</v>
      </c>
      <c r="I335" s="153" t="s">
        <v>194</v>
      </c>
      <c r="J335" s="153" t="s">
        <v>965</v>
      </c>
      <c r="K335" s="173" t="s">
        <v>966</v>
      </c>
      <c r="L335" s="153" t="s">
        <v>934</v>
      </c>
      <c r="M335" s="153"/>
      <c r="N335" s="175" t="s">
        <v>6229</v>
      </c>
      <c r="O335" s="175" t="s">
        <v>6229</v>
      </c>
      <c r="P335" s="175" t="s">
        <v>6230</v>
      </c>
      <c r="Q335" s="153" t="s">
        <v>6062</v>
      </c>
      <c r="R335" s="153" t="s">
        <v>6276</v>
      </c>
      <c r="S335" s="158" t="s">
        <v>179</v>
      </c>
      <c r="T335" s="153" t="s">
        <v>939</v>
      </c>
      <c r="U335" s="153" t="s">
        <v>940</v>
      </c>
      <c r="V335" s="158" t="s">
        <v>6154</v>
      </c>
      <c r="W335" s="158" t="s">
        <v>206</v>
      </c>
      <c r="X335" s="158" t="s">
        <v>204</v>
      </c>
      <c r="Y335" s="158" t="s">
        <v>149</v>
      </c>
      <c r="Z335" s="158" t="s">
        <v>149</v>
      </c>
      <c r="AA335" s="158" t="s">
        <v>149</v>
      </c>
      <c r="AB335" s="153" t="s">
        <v>233</v>
      </c>
      <c r="AC335" s="158" t="s">
        <v>6068</v>
      </c>
      <c r="AD335" s="153"/>
      <c r="AE335" s="153"/>
      <c r="AF335" s="153"/>
      <c r="AG335" s="158" t="s">
        <v>6214</v>
      </c>
      <c r="AH335" s="153" t="s">
        <v>941</v>
      </c>
      <c r="AI335" s="153" t="s">
        <v>942</v>
      </c>
      <c r="AJ335" s="153" t="s">
        <v>943</v>
      </c>
      <c r="AK335" s="153"/>
    </row>
    <row r="336">
      <c r="A336" s="152">
        <v>2023.0</v>
      </c>
      <c r="B336" s="151">
        <v>272.0</v>
      </c>
      <c r="C336" s="129" t="s">
        <v>140</v>
      </c>
      <c r="D336" s="8"/>
      <c r="H336" s="8" t="s">
        <v>193</v>
      </c>
      <c r="I336" s="8" t="s">
        <v>194</v>
      </c>
      <c r="J336" s="8" t="s">
        <v>7114</v>
      </c>
      <c r="K336" s="8" t="s">
        <v>217</v>
      </c>
      <c r="L336" s="8" t="s">
        <v>934</v>
      </c>
      <c r="N336" s="142" t="s">
        <v>6229</v>
      </c>
      <c r="O336" s="142" t="s">
        <v>6229</v>
      </c>
      <c r="P336" s="142" t="s">
        <v>6230</v>
      </c>
      <c r="Q336" s="8" t="s">
        <v>6062</v>
      </c>
      <c r="R336" s="8" t="s">
        <v>6276</v>
      </c>
      <c r="T336" s="8" t="s">
        <v>939</v>
      </c>
      <c r="U336" s="8" t="s">
        <v>940</v>
      </c>
      <c r="AB336" s="8" t="s">
        <v>233</v>
      </c>
      <c r="AH336" s="8" t="s">
        <v>6214</v>
      </c>
      <c r="AI336" s="8" t="s">
        <v>942</v>
      </c>
      <c r="AJ336" s="8" t="s">
        <v>943</v>
      </c>
    </row>
    <row r="337">
      <c r="A337" s="152">
        <v>2024.0</v>
      </c>
      <c r="B337" s="151">
        <v>114.0</v>
      </c>
      <c r="C337" s="153"/>
      <c r="D337" s="153"/>
      <c r="E337" s="153"/>
      <c r="F337" s="153"/>
      <c r="G337" s="153"/>
      <c r="H337" s="153" t="s">
        <v>293</v>
      </c>
      <c r="I337" s="153" t="s">
        <v>294</v>
      </c>
      <c r="J337" s="153" t="s">
        <v>1291</v>
      </c>
      <c r="K337" s="173" t="s">
        <v>1292</v>
      </c>
      <c r="L337" s="153" t="s">
        <v>6113</v>
      </c>
      <c r="M337" s="153"/>
      <c r="N337" s="230">
        <v>2021.0</v>
      </c>
      <c r="O337" s="230"/>
      <c r="P337" s="230"/>
      <c r="Q337" s="153" t="s">
        <v>151</v>
      </c>
      <c r="R337" s="153" t="s">
        <v>851</v>
      </c>
      <c r="S337" s="153"/>
      <c r="T337" s="153" t="s">
        <v>6556</v>
      </c>
      <c r="U337" s="153" t="s">
        <v>1941</v>
      </c>
      <c r="V337" s="153"/>
      <c r="W337" s="153"/>
      <c r="X337" s="153"/>
      <c r="Y337" s="153"/>
      <c r="Z337" s="153"/>
      <c r="AA337" s="153" t="s">
        <v>6557</v>
      </c>
      <c r="AB337" s="153" t="s">
        <v>1941</v>
      </c>
      <c r="AC337" s="153" t="s">
        <v>8007</v>
      </c>
      <c r="AD337" s="153"/>
      <c r="AE337" s="153" t="s">
        <v>1703</v>
      </c>
      <c r="AF337" s="153"/>
      <c r="AG337" s="153" t="s">
        <v>8006</v>
      </c>
      <c r="AH337" s="153" t="s">
        <v>6558</v>
      </c>
      <c r="AI337" s="165" t="s">
        <v>1945</v>
      </c>
      <c r="AJ337" s="153"/>
      <c r="AK337" s="153"/>
    </row>
    <row r="338">
      <c r="A338" s="152">
        <v>2025.0</v>
      </c>
      <c r="B338" s="151">
        <v>272.0</v>
      </c>
      <c r="C338" s="153" t="s">
        <v>8189</v>
      </c>
      <c r="D338" s="153"/>
      <c r="E338" s="153"/>
      <c r="F338" s="153"/>
      <c r="G338" s="153"/>
      <c r="H338" s="153" t="s">
        <v>193</v>
      </c>
      <c r="I338" s="153" t="s">
        <v>194</v>
      </c>
      <c r="J338" s="153" t="s">
        <v>1530</v>
      </c>
      <c r="K338" s="153" t="s">
        <v>1531</v>
      </c>
      <c r="L338" s="153" t="s">
        <v>1532</v>
      </c>
      <c r="M338" s="153" t="s">
        <v>1533</v>
      </c>
      <c r="N338" s="164" t="s">
        <v>149</v>
      </c>
      <c r="O338" s="160" t="s">
        <v>149</v>
      </c>
      <c r="P338" s="160" t="s">
        <v>149</v>
      </c>
      <c r="Q338" s="153" t="s">
        <v>151</v>
      </c>
      <c r="R338" s="153" t="s">
        <v>1535</v>
      </c>
      <c r="S338" s="158" t="s">
        <v>152</v>
      </c>
      <c r="T338" s="158" t="s">
        <v>149</v>
      </c>
      <c r="U338" s="158" t="s">
        <v>149</v>
      </c>
      <c r="V338" s="158" t="s">
        <v>149</v>
      </c>
      <c r="W338" s="158" t="s">
        <v>149</v>
      </c>
      <c r="X338" s="158" t="s">
        <v>149</v>
      </c>
      <c r="Y338" s="158" t="s">
        <v>149</v>
      </c>
      <c r="Z338" s="158" t="s">
        <v>149</v>
      </c>
      <c r="AA338" s="153" t="s">
        <v>7139</v>
      </c>
      <c r="AB338" s="158" t="s">
        <v>149</v>
      </c>
      <c r="AC338" s="158" t="s">
        <v>149</v>
      </c>
      <c r="AD338" s="153"/>
      <c r="AE338" s="153"/>
      <c r="AF338" s="153"/>
      <c r="AG338" s="158" t="s">
        <v>6091</v>
      </c>
      <c r="AH338" s="153" t="s">
        <v>1537</v>
      </c>
      <c r="AI338" s="165" t="s">
        <v>1538</v>
      </c>
      <c r="AJ338" s="153"/>
      <c r="AK338" s="153"/>
    </row>
    <row r="339">
      <c r="A339" s="152">
        <v>2024.0</v>
      </c>
      <c r="B339" s="151">
        <v>115.0</v>
      </c>
      <c r="C339" s="285"/>
      <c r="D339" s="285"/>
      <c r="E339" s="285"/>
      <c r="F339" s="285"/>
      <c r="G339" s="285"/>
      <c r="H339" s="285" t="s">
        <v>257</v>
      </c>
      <c r="I339" s="285" t="s">
        <v>1387</v>
      </c>
      <c r="J339" s="285" t="s">
        <v>1388</v>
      </c>
      <c r="K339" s="285" t="s">
        <v>1389</v>
      </c>
      <c r="L339" s="285" t="s">
        <v>1377</v>
      </c>
      <c r="M339" s="285"/>
      <c r="N339" s="286" t="s">
        <v>6113</v>
      </c>
      <c r="O339" s="286">
        <v>1990.0</v>
      </c>
      <c r="P339" s="286">
        <v>1994.0</v>
      </c>
      <c r="Q339" s="285" t="s">
        <v>151</v>
      </c>
      <c r="R339" s="285"/>
      <c r="S339" s="285"/>
      <c r="T339" s="285"/>
      <c r="U339" s="285" t="s">
        <v>1381</v>
      </c>
      <c r="V339" s="285"/>
      <c r="W339" s="285"/>
      <c r="X339" s="285"/>
      <c r="Y339" s="285"/>
      <c r="Z339" s="285"/>
      <c r="AA339" s="285"/>
      <c r="AB339" s="285" t="s">
        <v>660</v>
      </c>
      <c r="AC339" s="285" t="s">
        <v>6035</v>
      </c>
      <c r="AD339" s="285" t="s">
        <v>369</v>
      </c>
      <c r="AE339" s="285"/>
      <c r="AF339" s="285"/>
      <c r="AG339" s="285" t="s">
        <v>8004</v>
      </c>
      <c r="AH339" s="285" t="s">
        <v>6060</v>
      </c>
      <c r="AI339" s="285" t="s">
        <v>2873</v>
      </c>
      <c r="AJ339" s="285" t="s">
        <v>398</v>
      </c>
      <c r="AK339" s="285"/>
    </row>
    <row r="340">
      <c r="A340" s="152">
        <v>2023.0</v>
      </c>
      <c r="B340" s="151">
        <v>273.0</v>
      </c>
      <c r="C340" s="129" t="s">
        <v>140</v>
      </c>
      <c r="D340" s="8"/>
      <c r="H340" s="8" t="s">
        <v>193</v>
      </c>
      <c r="I340" s="8" t="s">
        <v>194</v>
      </c>
      <c r="J340" s="8" t="s">
        <v>568</v>
      </c>
      <c r="K340" s="277" t="s">
        <v>569</v>
      </c>
      <c r="L340" s="8" t="s">
        <v>384</v>
      </c>
      <c r="M340" s="8" t="s">
        <v>570</v>
      </c>
      <c r="N340" s="142" t="s">
        <v>6051</v>
      </c>
      <c r="O340" s="142" t="s">
        <v>6052</v>
      </c>
      <c r="P340" s="142" t="s">
        <v>6053</v>
      </c>
      <c r="Q340" s="8" t="s">
        <v>151</v>
      </c>
      <c r="R340" s="8" t="s">
        <v>6054</v>
      </c>
      <c r="U340" s="8" t="s">
        <v>390</v>
      </c>
      <c r="AA340" s="8" t="s">
        <v>571</v>
      </c>
      <c r="AB340" s="8" t="s">
        <v>390</v>
      </c>
      <c r="AD340" s="8" t="s">
        <v>6055</v>
      </c>
      <c r="AH340" s="8" t="s">
        <v>6057</v>
      </c>
      <c r="AI340" s="8" t="s">
        <v>2873</v>
      </c>
      <c r="AJ340" s="8" t="s">
        <v>398</v>
      </c>
    </row>
    <row r="341">
      <c r="A341" s="152">
        <v>2025.0</v>
      </c>
      <c r="B341" s="151">
        <v>273.0</v>
      </c>
      <c r="C341" s="153" t="s">
        <v>8189</v>
      </c>
      <c r="D341" s="153"/>
      <c r="E341" s="153"/>
      <c r="F341" s="153"/>
      <c r="G341" s="153"/>
      <c r="H341" s="153" t="s">
        <v>193</v>
      </c>
      <c r="I341" s="153" t="s">
        <v>194</v>
      </c>
      <c r="J341" s="153" t="s">
        <v>2176</v>
      </c>
      <c r="K341" s="153" t="s">
        <v>2177</v>
      </c>
      <c r="L341" s="153" t="s">
        <v>6587</v>
      </c>
      <c r="M341" s="153" t="s">
        <v>7142</v>
      </c>
      <c r="N341" s="164" t="s">
        <v>149</v>
      </c>
      <c r="O341" s="175" t="s">
        <v>6151</v>
      </c>
      <c r="P341" s="160" t="s">
        <v>149</v>
      </c>
      <c r="Q341" s="153" t="s">
        <v>151</v>
      </c>
      <c r="R341" s="158" t="s">
        <v>149</v>
      </c>
      <c r="S341" s="158" t="s">
        <v>149</v>
      </c>
      <c r="T341" s="158" t="s">
        <v>149</v>
      </c>
      <c r="U341" s="153" t="s">
        <v>341</v>
      </c>
      <c r="V341" s="158" t="s">
        <v>160</v>
      </c>
      <c r="W341" s="158" t="s">
        <v>6035</v>
      </c>
      <c r="X341" s="158" t="s">
        <v>159</v>
      </c>
      <c r="Y341" s="158" t="s">
        <v>149</v>
      </c>
      <c r="Z341" s="158" t="s">
        <v>149</v>
      </c>
      <c r="AA341" s="158" t="s">
        <v>149</v>
      </c>
      <c r="AB341" s="153" t="s">
        <v>2160</v>
      </c>
      <c r="AC341" s="153" t="s">
        <v>6035</v>
      </c>
      <c r="AD341" s="153"/>
      <c r="AE341" s="153"/>
      <c r="AF341" s="153"/>
      <c r="AG341" s="158" t="s">
        <v>166</v>
      </c>
      <c r="AH341" s="153" t="s">
        <v>2161</v>
      </c>
      <c r="AI341" s="172" t="s">
        <v>2162</v>
      </c>
      <c r="AJ341" s="153"/>
      <c r="AK341" s="153"/>
    </row>
    <row r="342">
      <c r="A342" s="152">
        <v>2024.0</v>
      </c>
      <c r="B342" s="151">
        <v>116.0</v>
      </c>
      <c r="C342" s="285"/>
      <c r="D342" s="285"/>
      <c r="E342" s="285"/>
      <c r="F342" s="285"/>
      <c r="G342" s="285"/>
      <c r="H342" s="285" t="s">
        <v>257</v>
      </c>
      <c r="I342" s="285" t="s">
        <v>1387</v>
      </c>
      <c r="J342" s="285" t="s">
        <v>447</v>
      </c>
      <c r="K342" s="285" t="s">
        <v>1930</v>
      </c>
      <c r="L342" s="285" t="s">
        <v>1921</v>
      </c>
      <c r="M342" s="285"/>
      <c r="N342" s="286">
        <v>2007.0</v>
      </c>
      <c r="O342" s="286"/>
      <c r="P342" s="286"/>
      <c r="Q342" s="285" t="s">
        <v>151</v>
      </c>
      <c r="R342" s="285" t="s">
        <v>851</v>
      </c>
      <c r="S342" s="285"/>
      <c r="T342" s="285" t="s">
        <v>8010</v>
      </c>
      <c r="U342" s="285" t="s">
        <v>1932</v>
      </c>
      <c r="V342" s="285"/>
      <c r="W342" s="285"/>
      <c r="X342" s="285"/>
      <c r="Y342" s="285"/>
      <c r="Z342" s="285"/>
      <c r="AA342" s="285" t="s">
        <v>1933</v>
      </c>
      <c r="AB342" s="285" t="s">
        <v>8011</v>
      </c>
      <c r="AC342" s="287" t="s">
        <v>8005</v>
      </c>
      <c r="AD342" s="285"/>
      <c r="AE342" s="285"/>
      <c r="AF342" s="285"/>
      <c r="AG342" s="285" t="s">
        <v>7902</v>
      </c>
      <c r="AH342" s="285" t="s">
        <v>1927</v>
      </c>
      <c r="AI342" s="288" t="s">
        <v>1928</v>
      </c>
      <c r="AJ342" s="285"/>
      <c r="AK342" s="285"/>
    </row>
    <row r="343">
      <c r="A343" s="152">
        <v>2023.0</v>
      </c>
      <c r="B343" s="151">
        <v>274.0</v>
      </c>
      <c r="C343" s="129" t="s">
        <v>140</v>
      </c>
      <c r="D343" s="8"/>
      <c r="H343" s="8" t="s">
        <v>193</v>
      </c>
      <c r="I343" s="8" t="s">
        <v>194</v>
      </c>
      <c r="J343" s="8" t="s">
        <v>5384</v>
      </c>
      <c r="K343" s="208" t="s">
        <v>2314</v>
      </c>
      <c r="L343" s="8" t="s">
        <v>6113</v>
      </c>
      <c r="N343" s="142" t="s">
        <v>6198</v>
      </c>
      <c r="O343" s="142"/>
      <c r="P343" s="142"/>
      <c r="Q343" s="8" t="s">
        <v>151</v>
      </c>
      <c r="R343" s="8" t="s">
        <v>8287</v>
      </c>
      <c r="T343" s="8" t="s">
        <v>6506</v>
      </c>
      <c r="AB343" s="8" t="s">
        <v>2304</v>
      </c>
      <c r="AE343" s="8" t="s">
        <v>6507</v>
      </c>
      <c r="AH343" s="8" t="s">
        <v>395</v>
      </c>
      <c r="AI343" s="8" t="s">
        <v>2873</v>
      </c>
      <c r="AJ343" s="8" t="s">
        <v>398</v>
      </c>
    </row>
    <row r="344">
      <c r="A344" s="152">
        <v>2024.0</v>
      </c>
      <c r="B344" s="151">
        <v>117.0</v>
      </c>
      <c r="C344" s="153"/>
      <c r="D344" s="153"/>
      <c r="E344" s="153"/>
      <c r="F344" s="153"/>
      <c r="G344" s="153"/>
      <c r="H344" s="153" t="s">
        <v>257</v>
      </c>
      <c r="I344" s="153" t="s">
        <v>258</v>
      </c>
      <c r="J344" s="153" t="s">
        <v>3075</v>
      </c>
      <c r="K344" s="153" t="s">
        <v>3076</v>
      </c>
      <c r="L344" s="153" t="s">
        <v>6113</v>
      </c>
      <c r="M344" s="153" t="s">
        <v>6560</v>
      </c>
      <c r="N344" s="230">
        <v>2022.0</v>
      </c>
      <c r="O344" s="230"/>
      <c r="P344" s="230"/>
      <c r="Q344" s="153" t="s">
        <v>151</v>
      </c>
      <c r="R344" s="153"/>
      <c r="S344" s="153"/>
      <c r="T344" s="153"/>
      <c r="U344" s="153" t="s">
        <v>2664</v>
      </c>
      <c r="V344" s="153"/>
      <c r="W344" s="153"/>
      <c r="X344" s="153"/>
      <c r="Y344" s="153"/>
      <c r="Z344" s="153"/>
      <c r="AA344" s="153" t="s">
        <v>795</v>
      </c>
      <c r="AB344" s="153" t="s">
        <v>3078</v>
      </c>
      <c r="AC344" s="153" t="s">
        <v>8005</v>
      </c>
      <c r="AD344" s="153" t="s">
        <v>3079</v>
      </c>
      <c r="AE344" s="153"/>
      <c r="AF344" s="153"/>
      <c r="AG344" s="153" t="s">
        <v>8006</v>
      </c>
      <c r="AH344" s="153" t="s">
        <v>2665</v>
      </c>
      <c r="AI344" s="165" t="s">
        <v>2666</v>
      </c>
      <c r="AJ344" s="153"/>
      <c r="AK344" s="153"/>
    </row>
    <row r="345">
      <c r="A345" s="152">
        <v>2025.0</v>
      </c>
      <c r="B345" s="151">
        <v>274.0</v>
      </c>
      <c r="C345" s="153" t="s">
        <v>8189</v>
      </c>
      <c r="D345" s="153"/>
      <c r="E345" s="153"/>
      <c r="F345" s="153"/>
      <c r="G345" s="153"/>
      <c r="H345" s="153" t="s">
        <v>193</v>
      </c>
      <c r="I345" s="153" t="s">
        <v>194</v>
      </c>
      <c r="J345" s="153" t="s">
        <v>2181</v>
      </c>
      <c r="K345" s="153" t="s">
        <v>2182</v>
      </c>
      <c r="L345" s="153" t="s">
        <v>6587</v>
      </c>
      <c r="M345" s="153" t="s">
        <v>7142</v>
      </c>
      <c r="N345" s="164" t="s">
        <v>149</v>
      </c>
      <c r="O345" s="175" t="s">
        <v>6151</v>
      </c>
      <c r="P345" s="160" t="s">
        <v>149</v>
      </c>
      <c r="Q345" s="153" t="s">
        <v>151</v>
      </c>
      <c r="R345" s="158" t="s">
        <v>149</v>
      </c>
      <c r="S345" s="158" t="s">
        <v>149</v>
      </c>
      <c r="T345" s="158" t="s">
        <v>149</v>
      </c>
      <c r="U345" s="153" t="s">
        <v>341</v>
      </c>
      <c r="V345" s="158" t="s">
        <v>160</v>
      </c>
      <c r="W345" s="158" t="s">
        <v>6035</v>
      </c>
      <c r="X345" s="158" t="s">
        <v>159</v>
      </c>
      <c r="Y345" s="158" t="s">
        <v>149</v>
      </c>
      <c r="Z345" s="158" t="s">
        <v>149</v>
      </c>
      <c r="AA345" s="158" t="s">
        <v>149</v>
      </c>
      <c r="AB345" s="153" t="s">
        <v>2160</v>
      </c>
      <c r="AC345" s="153" t="s">
        <v>6035</v>
      </c>
      <c r="AD345" s="153"/>
      <c r="AE345" s="153"/>
      <c r="AF345" s="153"/>
      <c r="AG345" s="158" t="s">
        <v>166</v>
      </c>
      <c r="AH345" s="153" t="s">
        <v>2161</v>
      </c>
      <c r="AI345" s="172" t="s">
        <v>2162</v>
      </c>
      <c r="AJ345" s="153"/>
      <c r="AK345" s="153"/>
    </row>
    <row r="346">
      <c r="A346" s="152">
        <v>2023.0</v>
      </c>
      <c r="B346" s="151">
        <v>275.0</v>
      </c>
      <c r="C346" s="129" t="s">
        <v>140</v>
      </c>
      <c r="D346" s="8"/>
      <c r="H346" s="8" t="s">
        <v>193</v>
      </c>
      <c r="I346" s="8" t="s">
        <v>194</v>
      </c>
      <c r="J346" s="8" t="s">
        <v>969</v>
      </c>
      <c r="K346" s="8" t="s">
        <v>970</v>
      </c>
      <c r="L346" s="8" t="s">
        <v>6113</v>
      </c>
      <c r="N346" s="142" t="s">
        <v>6113</v>
      </c>
      <c r="O346" s="142"/>
      <c r="P346" s="142"/>
      <c r="Q346" s="8" t="s">
        <v>6062</v>
      </c>
      <c r="R346" s="8" t="s">
        <v>320</v>
      </c>
      <c r="T346" s="8" t="s">
        <v>7148</v>
      </c>
      <c r="AB346" s="8" t="s">
        <v>6113</v>
      </c>
      <c r="AH346" s="8" t="s">
        <v>7149</v>
      </c>
      <c r="AI346" s="172" t="s">
        <v>2403</v>
      </c>
    </row>
    <row r="347">
      <c r="A347" s="152">
        <v>2025.0</v>
      </c>
      <c r="B347" s="151">
        <v>275.0</v>
      </c>
      <c r="C347" s="153" t="s">
        <v>8189</v>
      </c>
      <c r="D347" s="153"/>
      <c r="E347" s="153"/>
      <c r="F347" s="153"/>
      <c r="G347" s="153"/>
      <c r="H347" s="153" t="s">
        <v>193</v>
      </c>
      <c r="I347" s="153" t="s">
        <v>194</v>
      </c>
      <c r="J347" s="153" t="s">
        <v>814</v>
      </c>
      <c r="K347" s="153" t="s">
        <v>815</v>
      </c>
      <c r="L347" s="153" t="s">
        <v>816</v>
      </c>
      <c r="M347" s="153"/>
      <c r="N347" s="160" t="s">
        <v>8288</v>
      </c>
      <c r="O347" s="160" t="s">
        <v>6352</v>
      </c>
      <c r="P347" s="160" t="s">
        <v>6896</v>
      </c>
      <c r="Q347" s="153" t="s">
        <v>151</v>
      </c>
      <c r="R347" s="158" t="s">
        <v>149</v>
      </c>
      <c r="S347" s="158" t="s">
        <v>149</v>
      </c>
      <c r="T347" s="153" t="s">
        <v>819</v>
      </c>
      <c r="U347" s="153" t="s">
        <v>820</v>
      </c>
      <c r="V347" s="158" t="s">
        <v>6154</v>
      </c>
      <c r="W347" s="158" t="s">
        <v>206</v>
      </c>
      <c r="X347" s="158" t="s">
        <v>159</v>
      </c>
      <c r="Y347" s="158" t="s">
        <v>149</v>
      </c>
      <c r="Z347" s="158" t="s">
        <v>149</v>
      </c>
      <c r="AA347" s="158" t="s">
        <v>149</v>
      </c>
      <c r="AB347" s="153" t="s">
        <v>821</v>
      </c>
      <c r="AC347" s="153" t="s">
        <v>6035</v>
      </c>
      <c r="AD347" s="153" t="s">
        <v>822</v>
      </c>
      <c r="AE347" s="153"/>
      <c r="AF347" s="153"/>
      <c r="AG347" s="153" t="s">
        <v>6084</v>
      </c>
      <c r="AH347" s="153" t="s">
        <v>823</v>
      </c>
      <c r="AI347" s="172" t="s">
        <v>824</v>
      </c>
      <c r="AJ347" s="153"/>
      <c r="AK347" s="153"/>
    </row>
    <row r="348">
      <c r="A348" s="152">
        <v>2024.0</v>
      </c>
      <c r="B348" s="151">
        <v>118.0</v>
      </c>
      <c r="C348" s="153"/>
      <c r="D348" s="153"/>
      <c r="E348" s="153"/>
      <c r="F348" s="153"/>
      <c r="G348" s="153"/>
      <c r="H348" s="153" t="s">
        <v>257</v>
      </c>
      <c r="I348" s="153" t="s">
        <v>258</v>
      </c>
      <c r="J348" s="153" t="s">
        <v>2424</v>
      </c>
      <c r="K348" s="153" t="s">
        <v>2425</v>
      </c>
      <c r="L348" s="153" t="s">
        <v>6113</v>
      </c>
      <c r="M348" s="153"/>
      <c r="N348" s="230">
        <v>2002.0</v>
      </c>
      <c r="O348" s="230"/>
      <c r="P348" s="230"/>
      <c r="Q348" s="153" t="s">
        <v>151</v>
      </c>
      <c r="R348" s="153"/>
      <c r="S348" s="153"/>
      <c r="T348" s="153" t="s">
        <v>6597</v>
      </c>
      <c r="U348" s="153" t="s">
        <v>2429</v>
      </c>
      <c r="V348" s="153"/>
      <c r="W348" s="153"/>
      <c r="X348" s="153"/>
      <c r="Y348" s="153"/>
      <c r="Z348" s="153"/>
      <c r="AA348" s="153" t="s">
        <v>2431</v>
      </c>
      <c r="AB348" s="153" t="s">
        <v>2429</v>
      </c>
      <c r="AC348" s="153" t="s">
        <v>8005</v>
      </c>
      <c r="AD348" s="153"/>
      <c r="AE348" s="153"/>
      <c r="AF348" s="153"/>
      <c r="AG348" s="153" t="s">
        <v>7003</v>
      </c>
      <c r="AH348" s="153" t="s">
        <v>2432</v>
      </c>
      <c r="AI348" s="165" t="s">
        <v>2433</v>
      </c>
      <c r="AJ348" s="153"/>
      <c r="AK348" s="153"/>
    </row>
    <row r="349">
      <c r="A349" s="152">
        <v>2023.0</v>
      </c>
      <c r="B349" s="151">
        <v>276.0</v>
      </c>
      <c r="C349" s="129" t="s">
        <v>140</v>
      </c>
      <c r="D349" s="8"/>
      <c r="H349" s="8" t="s">
        <v>193</v>
      </c>
      <c r="I349" s="8" t="s">
        <v>194</v>
      </c>
      <c r="J349" s="8" t="s">
        <v>573</v>
      </c>
      <c r="K349" s="277" t="s">
        <v>574</v>
      </c>
      <c r="L349" s="8" t="s">
        <v>384</v>
      </c>
      <c r="M349" s="8" t="s">
        <v>575</v>
      </c>
      <c r="N349" s="142" t="s">
        <v>6051</v>
      </c>
      <c r="O349" s="142" t="s">
        <v>6052</v>
      </c>
      <c r="P349" s="142" t="s">
        <v>6053</v>
      </c>
      <c r="Q349" s="8" t="s">
        <v>151</v>
      </c>
      <c r="U349" s="8" t="s">
        <v>390</v>
      </c>
      <c r="AA349" s="8" t="s">
        <v>571</v>
      </c>
      <c r="AB349" s="8" t="s">
        <v>390</v>
      </c>
      <c r="AD349" s="8" t="s">
        <v>6055</v>
      </c>
      <c r="AH349" s="8" t="s">
        <v>6057</v>
      </c>
      <c r="AI349" s="8" t="s">
        <v>2873</v>
      </c>
      <c r="AJ349" s="8" t="s">
        <v>398</v>
      </c>
    </row>
    <row r="350">
      <c r="A350" s="152">
        <v>2025.0</v>
      </c>
      <c r="B350" s="151">
        <v>276.0</v>
      </c>
      <c r="C350" s="153" t="s">
        <v>8189</v>
      </c>
      <c r="D350" s="153"/>
      <c r="E350" s="153"/>
      <c r="F350" s="153"/>
      <c r="G350" s="153"/>
      <c r="H350" s="153" t="s">
        <v>193</v>
      </c>
      <c r="I350" s="153" t="s">
        <v>194</v>
      </c>
      <c r="J350" s="153" t="s">
        <v>2185</v>
      </c>
      <c r="K350" s="153" t="s">
        <v>2186</v>
      </c>
      <c r="L350" s="153" t="s">
        <v>6587</v>
      </c>
      <c r="M350" s="153" t="s">
        <v>7142</v>
      </c>
      <c r="N350" s="164" t="s">
        <v>149</v>
      </c>
      <c r="O350" s="175" t="s">
        <v>6151</v>
      </c>
      <c r="P350" s="160" t="s">
        <v>149</v>
      </c>
      <c r="Q350" s="153" t="s">
        <v>151</v>
      </c>
      <c r="R350" s="158" t="s">
        <v>149</v>
      </c>
      <c r="S350" s="158" t="s">
        <v>149</v>
      </c>
      <c r="T350" s="153" t="s">
        <v>7101</v>
      </c>
      <c r="U350" s="153" t="s">
        <v>341</v>
      </c>
      <c r="V350" s="158" t="s">
        <v>160</v>
      </c>
      <c r="W350" s="158" t="s">
        <v>6035</v>
      </c>
      <c r="X350" s="158" t="s">
        <v>159</v>
      </c>
      <c r="Y350" s="158" t="s">
        <v>149</v>
      </c>
      <c r="Z350" s="158" t="s">
        <v>149</v>
      </c>
      <c r="AA350" s="158" t="s">
        <v>149</v>
      </c>
      <c r="AB350" s="153" t="s">
        <v>2160</v>
      </c>
      <c r="AC350" s="153" t="s">
        <v>6035</v>
      </c>
      <c r="AD350" s="153"/>
      <c r="AE350" s="153"/>
      <c r="AF350" s="153"/>
      <c r="AG350" s="158" t="s">
        <v>166</v>
      </c>
      <c r="AH350" s="153" t="s">
        <v>2161</v>
      </c>
      <c r="AI350" s="172" t="s">
        <v>2162</v>
      </c>
      <c r="AJ350" s="153"/>
      <c r="AK350" s="153"/>
    </row>
    <row r="351">
      <c r="A351" s="152">
        <v>2024.0</v>
      </c>
      <c r="B351" s="151">
        <v>119.0</v>
      </c>
      <c r="C351" s="153"/>
      <c r="D351" s="153"/>
      <c r="E351" s="153"/>
      <c r="F351" s="153"/>
      <c r="G351" s="153"/>
      <c r="H351" s="153" t="s">
        <v>257</v>
      </c>
      <c r="I351" s="153" t="s">
        <v>258</v>
      </c>
      <c r="J351" s="153" t="s">
        <v>2424</v>
      </c>
      <c r="K351" s="153" t="s">
        <v>2425</v>
      </c>
      <c r="L351" s="153" t="s">
        <v>6113</v>
      </c>
      <c r="M351" s="153"/>
      <c r="N351" s="230">
        <v>2015.0</v>
      </c>
      <c r="O351" s="230"/>
      <c r="P351" s="230"/>
      <c r="Q351" s="153" t="s">
        <v>151</v>
      </c>
      <c r="R351" s="153"/>
      <c r="S351" s="153"/>
      <c r="T351" s="153" t="s">
        <v>6597</v>
      </c>
      <c r="U351" s="153" t="s">
        <v>2429</v>
      </c>
      <c r="V351" s="153"/>
      <c r="W351" s="153"/>
      <c r="X351" s="153"/>
      <c r="Y351" s="153"/>
      <c r="Z351" s="153"/>
      <c r="AA351" s="153" t="s">
        <v>2435</v>
      </c>
      <c r="AB351" s="153" t="s">
        <v>2429</v>
      </c>
      <c r="AC351" s="153" t="s">
        <v>8005</v>
      </c>
      <c r="AD351" s="153"/>
      <c r="AE351" s="153"/>
      <c r="AF351" s="153"/>
      <c r="AG351" s="153" t="s">
        <v>7003</v>
      </c>
      <c r="AH351" s="153" t="s">
        <v>2432</v>
      </c>
      <c r="AI351" s="165" t="s">
        <v>2433</v>
      </c>
      <c r="AJ351" s="153"/>
      <c r="AK351" s="153"/>
    </row>
    <row r="352">
      <c r="A352" s="152">
        <v>2023.0</v>
      </c>
      <c r="B352" s="151">
        <v>277.0</v>
      </c>
      <c r="C352" s="129" t="s">
        <v>140</v>
      </c>
      <c r="D352" s="8"/>
      <c r="H352" s="8" t="s">
        <v>193</v>
      </c>
      <c r="I352" s="8" t="s">
        <v>194</v>
      </c>
      <c r="J352" s="8" t="s">
        <v>573</v>
      </c>
      <c r="K352" s="277" t="s">
        <v>574</v>
      </c>
      <c r="L352" s="8" t="s">
        <v>384</v>
      </c>
      <c r="M352" s="8" t="s">
        <v>577</v>
      </c>
      <c r="N352" s="142" t="s">
        <v>6051</v>
      </c>
      <c r="O352" s="142" t="s">
        <v>6052</v>
      </c>
      <c r="P352" s="142" t="s">
        <v>6053</v>
      </c>
      <c r="Q352" s="8" t="s">
        <v>151</v>
      </c>
      <c r="U352" s="8" t="s">
        <v>390</v>
      </c>
      <c r="AA352" s="8" t="s">
        <v>571</v>
      </c>
      <c r="AB352" s="8" t="s">
        <v>390</v>
      </c>
      <c r="AD352" s="8" t="s">
        <v>6055</v>
      </c>
      <c r="AH352" s="8" t="s">
        <v>6057</v>
      </c>
      <c r="AI352" s="8" t="s">
        <v>2873</v>
      </c>
      <c r="AJ352" s="8" t="s">
        <v>398</v>
      </c>
    </row>
    <row r="353">
      <c r="A353" s="152">
        <v>2025.0</v>
      </c>
      <c r="B353" s="151">
        <v>277.0</v>
      </c>
      <c r="C353" s="153" t="s">
        <v>8189</v>
      </c>
      <c r="D353" s="153"/>
      <c r="E353" s="153"/>
      <c r="F353" s="153"/>
      <c r="G353" s="153"/>
      <c r="H353" s="153" t="s">
        <v>193</v>
      </c>
      <c r="I353" s="153" t="s">
        <v>194</v>
      </c>
      <c r="J353" s="153" t="s">
        <v>195</v>
      </c>
      <c r="K353" s="153" t="s">
        <v>196</v>
      </c>
      <c r="L353" s="158" t="s">
        <v>149</v>
      </c>
      <c r="M353" s="153"/>
      <c r="N353" s="175" t="s">
        <v>6145</v>
      </c>
      <c r="O353" s="160" t="s">
        <v>149</v>
      </c>
      <c r="P353" s="160" t="s">
        <v>149</v>
      </c>
      <c r="Q353" s="153" t="s">
        <v>6062</v>
      </c>
      <c r="R353" s="153" t="s">
        <v>6666</v>
      </c>
      <c r="S353" s="158" t="s">
        <v>179</v>
      </c>
      <c r="T353" s="158" t="s">
        <v>149</v>
      </c>
      <c r="U353" s="153" t="s">
        <v>3147</v>
      </c>
      <c r="V353" s="158" t="s">
        <v>160</v>
      </c>
      <c r="W353" s="158" t="s">
        <v>306</v>
      </c>
      <c r="X353" s="158" t="s">
        <v>159</v>
      </c>
      <c r="Y353" s="158" t="s">
        <v>149</v>
      </c>
      <c r="Z353" s="158" t="s">
        <v>149</v>
      </c>
      <c r="AA353" s="158" t="s">
        <v>149</v>
      </c>
      <c r="AB353" s="158" t="s">
        <v>3147</v>
      </c>
      <c r="AC353" s="153" t="s">
        <v>306</v>
      </c>
      <c r="AD353" s="153"/>
      <c r="AE353" s="153"/>
      <c r="AF353" s="153"/>
      <c r="AG353" s="153" t="s">
        <v>214</v>
      </c>
      <c r="AH353" s="153" t="s">
        <v>214</v>
      </c>
      <c r="AI353" s="153"/>
      <c r="AJ353" s="153" t="s">
        <v>3148</v>
      </c>
      <c r="AK353" s="153"/>
    </row>
    <row r="354">
      <c r="A354" s="152">
        <v>2024.0</v>
      </c>
      <c r="B354" s="151">
        <v>120.0</v>
      </c>
      <c r="C354" s="153"/>
      <c r="D354" s="153"/>
      <c r="E354" s="153"/>
      <c r="F354" s="153"/>
      <c r="G354" s="153"/>
      <c r="H354" s="153" t="s">
        <v>257</v>
      </c>
      <c r="I354" s="153" t="s">
        <v>258</v>
      </c>
      <c r="J354" s="153" t="s">
        <v>2609</v>
      </c>
      <c r="K354" s="173" t="s">
        <v>2610</v>
      </c>
      <c r="L354" s="153" t="s">
        <v>6113</v>
      </c>
      <c r="M354" s="153" t="s">
        <v>8012</v>
      </c>
      <c r="N354" s="230" t="s">
        <v>6113</v>
      </c>
      <c r="O354" s="230"/>
      <c r="P354" s="230"/>
      <c r="Q354" s="153" t="s">
        <v>151</v>
      </c>
      <c r="R354" s="153" t="s">
        <v>2612</v>
      </c>
      <c r="S354" s="153"/>
      <c r="T354" s="153" t="s">
        <v>6602</v>
      </c>
      <c r="U354" s="153" t="s">
        <v>2614</v>
      </c>
      <c r="V354" s="153"/>
      <c r="W354" s="153"/>
      <c r="X354" s="153"/>
      <c r="Y354" s="153"/>
      <c r="Z354" s="153"/>
      <c r="AA354" s="153"/>
      <c r="AB354" s="153" t="s">
        <v>2614</v>
      </c>
      <c r="AC354" s="153" t="s">
        <v>8007</v>
      </c>
      <c r="AD354" s="153"/>
      <c r="AE354" s="153"/>
      <c r="AF354" s="153"/>
      <c r="AG354" s="153" t="s">
        <v>7003</v>
      </c>
      <c r="AH354" s="153" t="s">
        <v>2615</v>
      </c>
      <c r="AI354" s="165" t="s">
        <v>2616</v>
      </c>
      <c r="AJ354" s="153"/>
      <c r="AK354" s="153"/>
    </row>
    <row r="355">
      <c r="A355" s="152">
        <v>2025.0</v>
      </c>
      <c r="B355" s="151">
        <v>278.0</v>
      </c>
      <c r="C355" s="153" t="s">
        <v>8189</v>
      </c>
      <c r="D355" s="153"/>
      <c r="E355" s="153"/>
      <c r="F355" s="153"/>
      <c r="G355" s="153"/>
      <c r="H355" s="153" t="s">
        <v>193</v>
      </c>
      <c r="I355" s="153" t="s">
        <v>194</v>
      </c>
      <c r="J355" s="153" t="s">
        <v>195</v>
      </c>
      <c r="K355" s="173" t="s">
        <v>196</v>
      </c>
      <c r="L355" s="153" t="s">
        <v>3412</v>
      </c>
      <c r="M355" s="153"/>
      <c r="N355" s="175" t="s">
        <v>6063</v>
      </c>
      <c r="O355" s="175" t="s">
        <v>6063</v>
      </c>
      <c r="P355" s="175" t="s">
        <v>6064</v>
      </c>
      <c r="Q355" s="153" t="s">
        <v>6221</v>
      </c>
      <c r="R355" s="158" t="s">
        <v>149</v>
      </c>
      <c r="S355" s="158" t="s">
        <v>149</v>
      </c>
      <c r="T355" s="158" t="s">
        <v>149</v>
      </c>
      <c r="U355" s="153" t="s">
        <v>321</v>
      </c>
      <c r="V355" s="158" t="s">
        <v>160</v>
      </c>
      <c r="W355" s="158" t="s">
        <v>6035</v>
      </c>
      <c r="X355" s="158" t="s">
        <v>204</v>
      </c>
      <c r="Y355" s="158" t="s">
        <v>149</v>
      </c>
      <c r="Z355" s="158" t="s">
        <v>149</v>
      </c>
      <c r="AA355" s="158" t="s">
        <v>149</v>
      </c>
      <c r="AB355" s="153" t="s">
        <v>885</v>
      </c>
      <c r="AC355" s="158" t="s">
        <v>6068</v>
      </c>
      <c r="AD355" s="153" t="s">
        <v>1858</v>
      </c>
      <c r="AE355" s="153"/>
      <c r="AF355" s="153"/>
      <c r="AG355" s="158" t="s">
        <v>6069</v>
      </c>
      <c r="AH355" s="153" t="s">
        <v>1859</v>
      </c>
      <c r="AI355" s="153" t="s">
        <v>6070</v>
      </c>
      <c r="AJ355" s="153" t="s">
        <v>1861</v>
      </c>
      <c r="AK355" s="239" t="s">
        <v>1862</v>
      </c>
    </row>
    <row r="356">
      <c r="A356" s="152">
        <v>2025.0</v>
      </c>
      <c r="B356" s="151">
        <v>279.0</v>
      </c>
      <c r="C356" s="153" t="s">
        <v>8189</v>
      </c>
      <c r="D356" s="153"/>
      <c r="E356" s="153"/>
      <c r="F356" s="153"/>
      <c r="G356" s="153"/>
      <c r="H356" s="153" t="s">
        <v>193</v>
      </c>
      <c r="I356" s="153" t="s">
        <v>194</v>
      </c>
      <c r="J356" s="153" t="s">
        <v>195</v>
      </c>
      <c r="K356" s="153" t="s">
        <v>196</v>
      </c>
      <c r="L356" s="153" t="s">
        <v>6235</v>
      </c>
      <c r="M356" s="153" t="s">
        <v>198</v>
      </c>
      <c r="N356" s="175" t="s">
        <v>16</v>
      </c>
      <c r="O356" s="175" t="s">
        <v>6030</v>
      </c>
      <c r="P356" s="160" t="s">
        <v>14</v>
      </c>
      <c r="Q356" s="153" t="s">
        <v>6221</v>
      </c>
      <c r="R356" s="158" t="s">
        <v>201</v>
      </c>
      <c r="S356" s="158" t="s">
        <v>224</v>
      </c>
      <c r="T356" s="153" t="s">
        <v>202</v>
      </c>
      <c r="U356" s="153" t="s">
        <v>203</v>
      </c>
      <c r="V356" s="158" t="s">
        <v>6154</v>
      </c>
      <c r="W356" s="158" t="s">
        <v>206</v>
      </c>
      <c r="X356" s="158" t="s">
        <v>204</v>
      </c>
      <c r="Y356" s="158" t="s">
        <v>149</v>
      </c>
      <c r="Z356" s="158" t="s">
        <v>149</v>
      </c>
      <c r="AA356" s="158" t="s">
        <v>149</v>
      </c>
      <c r="AB356" s="153" t="s">
        <v>208</v>
      </c>
      <c r="AC356" s="158" t="s">
        <v>6068</v>
      </c>
      <c r="AD356" s="153" t="s">
        <v>6614</v>
      </c>
      <c r="AE356" s="153" t="s">
        <v>212</v>
      </c>
      <c r="AF356" s="153"/>
      <c r="AG356" s="153" t="s">
        <v>214</v>
      </c>
      <c r="AH356" s="153" t="s">
        <v>214</v>
      </c>
      <c r="AI356" s="153"/>
      <c r="AJ356" s="153"/>
      <c r="AK356" s="239"/>
    </row>
    <row r="357">
      <c r="A357" s="152">
        <v>2024.0</v>
      </c>
      <c r="B357" s="151">
        <v>121.0</v>
      </c>
      <c r="C357" s="153"/>
      <c r="D357" s="153"/>
      <c r="E357" s="153"/>
      <c r="F357" s="153"/>
      <c r="G357" s="153"/>
      <c r="H357" s="153" t="s">
        <v>257</v>
      </c>
      <c r="I357" s="153" t="s">
        <v>258</v>
      </c>
      <c r="J357" s="153" t="s">
        <v>6577</v>
      </c>
      <c r="K357" s="153" t="s">
        <v>2310</v>
      </c>
      <c r="L357" s="153" t="s">
        <v>6113</v>
      </c>
      <c r="M357" s="153"/>
      <c r="N357" s="230">
        <v>1990.0</v>
      </c>
      <c r="O357" s="230"/>
      <c r="P357" s="230"/>
      <c r="Q357" s="153" t="s">
        <v>151</v>
      </c>
      <c r="R357" s="153"/>
      <c r="S357" s="153"/>
      <c r="T357" s="153" t="s">
        <v>6506</v>
      </c>
      <c r="U357" s="153"/>
      <c r="V357" s="153"/>
      <c r="W357" s="153"/>
      <c r="X357" s="153"/>
      <c r="Y357" s="153"/>
      <c r="Z357" s="153"/>
      <c r="AA357" s="153"/>
      <c r="AB357" s="153" t="s">
        <v>2304</v>
      </c>
      <c r="AC357" s="153" t="s">
        <v>8005</v>
      </c>
      <c r="AD357" s="153" t="s">
        <v>8013</v>
      </c>
      <c r="AE357" s="153"/>
      <c r="AF357" s="153"/>
      <c r="AG357" s="153" t="s">
        <v>8004</v>
      </c>
      <c r="AH357" s="153" t="s">
        <v>6060</v>
      </c>
      <c r="AI357" s="172" t="s">
        <v>2873</v>
      </c>
      <c r="AJ357" s="153"/>
      <c r="AK357" s="153"/>
    </row>
    <row r="358">
      <c r="A358" s="152">
        <v>2025.0</v>
      </c>
      <c r="B358" s="151">
        <v>280.0</v>
      </c>
      <c r="C358" s="153" t="s">
        <v>8189</v>
      </c>
      <c r="D358" s="153"/>
      <c r="E358" s="153"/>
      <c r="F358" s="153"/>
      <c r="G358" s="153"/>
      <c r="H358" s="153" t="s">
        <v>193</v>
      </c>
      <c r="I358" s="153" t="s">
        <v>194</v>
      </c>
      <c r="J358" s="153" t="s">
        <v>2222</v>
      </c>
      <c r="K358" s="173" t="s">
        <v>2223</v>
      </c>
      <c r="L358" s="153" t="s">
        <v>2224</v>
      </c>
      <c r="M358" s="153" t="s">
        <v>2225</v>
      </c>
      <c r="N358" s="175" t="s">
        <v>6273</v>
      </c>
      <c r="O358" s="175" t="s">
        <v>6273</v>
      </c>
      <c r="P358" s="175" t="s">
        <v>18</v>
      </c>
      <c r="Q358" s="153" t="s">
        <v>7163</v>
      </c>
      <c r="R358" s="153" t="s">
        <v>320</v>
      </c>
      <c r="S358" s="158" t="s">
        <v>179</v>
      </c>
      <c r="T358" s="153" t="s">
        <v>2227</v>
      </c>
      <c r="U358" s="153" t="s">
        <v>2228</v>
      </c>
      <c r="V358" s="158" t="s">
        <v>160</v>
      </c>
      <c r="W358" s="158" t="s">
        <v>184</v>
      </c>
      <c r="X358" s="158" t="s">
        <v>159</v>
      </c>
      <c r="Y358" s="158" t="s">
        <v>149</v>
      </c>
      <c r="Z358" s="158" t="s">
        <v>149</v>
      </c>
      <c r="AA358" s="158" t="s">
        <v>149</v>
      </c>
      <c r="AB358" s="153" t="s">
        <v>2229</v>
      </c>
      <c r="AC358" s="153" t="s">
        <v>306</v>
      </c>
      <c r="AD358" s="153" t="s">
        <v>2230</v>
      </c>
      <c r="AE358" s="153" t="s">
        <v>7165</v>
      </c>
      <c r="AF358" s="153" t="s">
        <v>2232</v>
      </c>
      <c r="AG358" s="153" t="s">
        <v>213</v>
      </c>
      <c r="AH358" s="153" t="s">
        <v>213</v>
      </c>
      <c r="AI358" s="165" t="s">
        <v>2233</v>
      </c>
      <c r="AJ358" s="153" t="s">
        <v>2234</v>
      </c>
      <c r="AK358" s="165" t="s">
        <v>2235</v>
      </c>
    </row>
    <row r="359">
      <c r="A359" s="152">
        <v>2025.0</v>
      </c>
      <c r="B359" s="151">
        <v>281.0</v>
      </c>
      <c r="C359" s="153" t="s">
        <v>8189</v>
      </c>
      <c r="D359" s="153"/>
      <c r="E359" s="153"/>
      <c r="F359" s="153"/>
      <c r="G359" s="153"/>
      <c r="H359" s="153" t="s">
        <v>193</v>
      </c>
      <c r="I359" s="153" t="s">
        <v>194</v>
      </c>
      <c r="J359" s="153" t="s">
        <v>7114</v>
      </c>
      <c r="K359" s="173" t="s">
        <v>217</v>
      </c>
      <c r="L359" s="153" t="s">
        <v>384</v>
      </c>
      <c r="M359" s="153" t="s">
        <v>2880</v>
      </c>
      <c r="N359" s="175" t="s">
        <v>7095</v>
      </c>
      <c r="O359" s="175" t="s">
        <v>6052</v>
      </c>
      <c r="P359" s="175" t="s">
        <v>6053</v>
      </c>
      <c r="Q359" s="153" t="s">
        <v>151</v>
      </c>
      <c r="R359" s="153" t="s">
        <v>6054</v>
      </c>
      <c r="S359" s="158" t="s">
        <v>6054</v>
      </c>
      <c r="T359" s="158" t="s">
        <v>149</v>
      </c>
      <c r="U359" s="153" t="s">
        <v>390</v>
      </c>
      <c r="V359" s="158" t="s">
        <v>160</v>
      </c>
      <c r="W359" s="158" t="s">
        <v>6035</v>
      </c>
      <c r="X359" s="158" t="s">
        <v>159</v>
      </c>
      <c r="Y359" s="158" t="s">
        <v>149</v>
      </c>
      <c r="Z359" s="158" t="s">
        <v>149</v>
      </c>
      <c r="AA359" s="153" t="s">
        <v>391</v>
      </c>
      <c r="AB359" s="153" t="s">
        <v>390</v>
      </c>
      <c r="AC359" s="153" t="s">
        <v>6035</v>
      </c>
      <c r="AD359" s="153" t="s">
        <v>6055</v>
      </c>
      <c r="AE359" s="153"/>
      <c r="AF359" s="153"/>
      <c r="AG359" s="158" t="s">
        <v>395</v>
      </c>
      <c r="AH359" s="153" t="s">
        <v>6060</v>
      </c>
      <c r="AI359" s="158" t="s">
        <v>6711</v>
      </c>
      <c r="AJ359" s="153" t="s">
        <v>398</v>
      </c>
      <c r="AK359" s="239"/>
    </row>
    <row r="360">
      <c r="A360" s="152">
        <v>2024.0</v>
      </c>
      <c r="B360" s="151">
        <v>122.0</v>
      </c>
      <c r="C360" s="153"/>
      <c r="D360" s="153"/>
      <c r="E360" s="153"/>
      <c r="F360" s="153"/>
      <c r="G360" s="153"/>
      <c r="H360" s="153" t="s">
        <v>257</v>
      </c>
      <c r="I360" s="153" t="s">
        <v>258</v>
      </c>
      <c r="J360" s="153" t="s">
        <v>1752</v>
      </c>
      <c r="K360" s="153" t="s">
        <v>1753</v>
      </c>
      <c r="L360" s="153" t="s">
        <v>6609</v>
      </c>
      <c r="M360" s="153"/>
      <c r="N360" s="230">
        <v>2019.0</v>
      </c>
      <c r="O360" s="230"/>
      <c r="P360" s="230"/>
      <c r="Q360" s="153" t="s">
        <v>151</v>
      </c>
      <c r="R360" s="153" t="s">
        <v>790</v>
      </c>
      <c r="S360" s="153"/>
      <c r="T360" s="153" t="s">
        <v>2513</v>
      </c>
      <c r="U360" s="153" t="s">
        <v>1757</v>
      </c>
      <c r="V360" s="153"/>
      <c r="W360" s="153"/>
      <c r="X360" s="153"/>
      <c r="Y360" s="153"/>
      <c r="Z360" s="153"/>
      <c r="AA360" s="153" t="s">
        <v>8014</v>
      </c>
      <c r="AB360" s="153" t="s">
        <v>1757</v>
      </c>
      <c r="AC360" s="153" t="s">
        <v>6035</v>
      </c>
      <c r="AD360" s="153" t="s">
        <v>6582</v>
      </c>
      <c r="AE360" s="153" t="s">
        <v>1759</v>
      </c>
      <c r="AF360" s="153"/>
      <c r="AG360" s="153" t="s">
        <v>8006</v>
      </c>
      <c r="AH360" s="153" t="s">
        <v>1760</v>
      </c>
      <c r="AI360" s="153" t="s">
        <v>6583</v>
      </c>
      <c r="AJ360" s="153"/>
      <c r="AK360" s="153"/>
    </row>
    <row r="361">
      <c r="A361" s="152">
        <v>2025.0</v>
      </c>
      <c r="B361" s="151">
        <v>282.0</v>
      </c>
      <c r="C361" s="153" t="s">
        <v>8189</v>
      </c>
      <c r="D361" s="153"/>
      <c r="E361" s="153"/>
      <c r="F361" s="153"/>
      <c r="G361" s="153"/>
      <c r="H361" s="153" t="s">
        <v>193</v>
      </c>
      <c r="I361" s="153" t="s">
        <v>194</v>
      </c>
      <c r="J361" s="153" t="s">
        <v>7114</v>
      </c>
      <c r="K361" s="153" t="s">
        <v>217</v>
      </c>
      <c r="L361" s="153" t="s">
        <v>384</v>
      </c>
      <c r="M361" s="153" t="s">
        <v>2882</v>
      </c>
      <c r="N361" s="175" t="s">
        <v>6073</v>
      </c>
      <c r="O361" s="175" t="s">
        <v>6052</v>
      </c>
      <c r="P361" s="175" t="s">
        <v>6053</v>
      </c>
      <c r="Q361" s="153" t="s">
        <v>151</v>
      </c>
      <c r="R361" s="153" t="s">
        <v>6054</v>
      </c>
      <c r="S361" s="158" t="s">
        <v>6054</v>
      </c>
      <c r="T361" s="158" t="s">
        <v>149</v>
      </c>
      <c r="U361" s="153" t="s">
        <v>390</v>
      </c>
      <c r="V361" s="158" t="s">
        <v>160</v>
      </c>
      <c r="W361" s="158" t="s">
        <v>6035</v>
      </c>
      <c r="X361" s="158" t="s">
        <v>159</v>
      </c>
      <c r="Y361" s="158" t="s">
        <v>149</v>
      </c>
      <c r="Z361" s="158" t="s">
        <v>149</v>
      </c>
      <c r="AA361" s="153" t="s">
        <v>414</v>
      </c>
      <c r="AB361" s="153" t="s">
        <v>390</v>
      </c>
      <c r="AC361" s="153" t="s">
        <v>6035</v>
      </c>
      <c r="AD361" s="153" t="s">
        <v>6055</v>
      </c>
      <c r="AE361" s="153"/>
      <c r="AF361" s="153"/>
      <c r="AG361" s="158" t="s">
        <v>395</v>
      </c>
      <c r="AH361" s="153" t="s">
        <v>6060</v>
      </c>
      <c r="AI361" s="158" t="s">
        <v>6711</v>
      </c>
      <c r="AJ361" s="153" t="s">
        <v>398</v>
      </c>
      <c r="AK361" s="239"/>
    </row>
    <row r="362">
      <c r="A362" s="152">
        <v>2025.0</v>
      </c>
      <c r="B362" s="151">
        <v>283.0</v>
      </c>
      <c r="C362" s="153" t="s">
        <v>8189</v>
      </c>
      <c r="D362" s="153"/>
      <c r="E362" s="153"/>
      <c r="F362" s="153"/>
      <c r="G362" s="153"/>
      <c r="H362" s="153" t="s">
        <v>193</v>
      </c>
      <c r="I362" s="153" t="s">
        <v>194</v>
      </c>
      <c r="J362" s="153" t="s">
        <v>7114</v>
      </c>
      <c r="K362" s="153" t="s">
        <v>217</v>
      </c>
      <c r="L362" s="153" t="s">
        <v>877</v>
      </c>
      <c r="M362" s="153" t="s">
        <v>878</v>
      </c>
      <c r="N362" s="175" t="s">
        <v>7119</v>
      </c>
      <c r="O362" s="175" t="s">
        <v>7119</v>
      </c>
      <c r="P362" s="175" t="s">
        <v>6211</v>
      </c>
      <c r="Q362" s="153" t="s">
        <v>6062</v>
      </c>
      <c r="R362" s="153" t="s">
        <v>320</v>
      </c>
      <c r="S362" s="158" t="s">
        <v>179</v>
      </c>
      <c r="T362" s="153" t="s">
        <v>881</v>
      </c>
      <c r="U362" s="153" t="s">
        <v>7120</v>
      </c>
      <c r="V362" s="158" t="s">
        <v>6154</v>
      </c>
      <c r="W362" s="158" t="s">
        <v>206</v>
      </c>
      <c r="X362" s="158" t="s">
        <v>159</v>
      </c>
      <c r="Y362" s="158" t="s">
        <v>149</v>
      </c>
      <c r="Z362" s="153" t="s">
        <v>7121</v>
      </c>
      <c r="AA362" s="188" t="s">
        <v>884</v>
      </c>
      <c r="AB362" s="153" t="s">
        <v>885</v>
      </c>
      <c r="AC362" s="158" t="s">
        <v>6068</v>
      </c>
      <c r="AD362" s="153" t="s">
        <v>887</v>
      </c>
      <c r="AE362" s="153"/>
      <c r="AF362" s="153" t="s">
        <v>888</v>
      </c>
      <c r="AG362" s="158" t="s">
        <v>395</v>
      </c>
      <c r="AH362" s="153" t="s">
        <v>7182</v>
      </c>
      <c r="AI362" s="165" t="s">
        <v>942</v>
      </c>
      <c r="AJ362" s="153" t="s">
        <v>1280</v>
      </c>
      <c r="AK362" s="153"/>
    </row>
    <row r="363">
      <c r="A363" s="152">
        <v>2024.0</v>
      </c>
      <c r="B363" s="151">
        <v>123.0</v>
      </c>
      <c r="C363" s="153"/>
      <c r="D363" s="153"/>
      <c r="E363" s="153"/>
      <c r="F363" s="153"/>
      <c r="G363" s="153"/>
      <c r="H363" s="153" t="s">
        <v>257</v>
      </c>
      <c r="I363" s="153" t="s">
        <v>258</v>
      </c>
      <c r="J363" s="153" t="s">
        <v>1752</v>
      </c>
      <c r="K363" s="153" t="s">
        <v>1753</v>
      </c>
      <c r="L363" s="153" t="s">
        <v>872</v>
      </c>
      <c r="M363" s="153"/>
      <c r="N363" s="230">
        <v>2009.0</v>
      </c>
      <c r="O363" s="230"/>
      <c r="P363" s="230"/>
      <c r="Q363" s="153" t="s">
        <v>151</v>
      </c>
      <c r="R363" s="153"/>
      <c r="S363" s="153"/>
      <c r="T363" s="153"/>
      <c r="U363" s="153" t="s">
        <v>872</v>
      </c>
      <c r="V363" s="153"/>
      <c r="W363" s="153"/>
      <c r="X363" s="153"/>
      <c r="Y363" s="153"/>
      <c r="Z363" s="153"/>
      <c r="AA363" s="153"/>
      <c r="AB363" s="153" t="s">
        <v>872</v>
      </c>
      <c r="AC363" s="153" t="s">
        <v>306</v>
      </c>
      <c r="AD363" s="153"/>
      <c r="AE363" s="153"/>
      <c r="AF363" s="153"/>
      <c r="AG363" s="153" t="s">
        <v>7003</v>
      </c>
      <c r="AH363" s="153" t="s">
        <v>1773</v>
      </c>
      <c r="AI363" s="165" t="s">
        <v>875</v>
      </c>
      <c r="AJ363" s="153"/>
      <c r="AK363" s="153"/>
    </row>
    <row r="364">
      <c r="A364" s="152">
        <v>2025.0</v>
      </c>
      <c r="B364" s="151">
        <v>284.0</v>
      </c>
      <c r="C364" s="153" t="s">
        <v>8189</v>
      </c>
      <c r="D364" s="153"/>
      <c r="E364" s="153"/>
      <c r="F364" s="153"/>
      <c r="G364" s="153"/>
      <c r="H364" s="153" t="s">
        <v>193</v>
      </c>
      <c r="I364" s="153" t="s">
        <v>194</v>
      </c>
      <c r="J364" s="153" t="s">
        <v>7114</v>
      </c>
      <c r="K364" s="153" t="s">
        <v>217</v>
      </c>
      <c r="L364" s="158" t="s">
        <v>149</v>
      </c>
      <c r="M364" s="153" t="s">
        <v>3150</v>
      </c>
      <c r="N364" s="175" t="s">
        <v>6063</v>
      </c>
      <c r="O364" s="175" t="s">
        <v>6063</v>
      </c>
      <c r="P364" s="175" t="s">
        <v>6268</v>
      </c>
      <c r="Q364" s="153" t="s">
        <v>6062</v>
      </c>
      <c r="R364" s="153" t="s">
        <v>7185</v>
      </c>
      <c r="S364" s="158" t="s">
        <v>179</v>
      </c>
      <c r="T364" s="158" t="s">
        <v>149</v>
      </c>
      <c r="U364" s="158" t="s">
        <v>149</v>
      </c>
      <c r="V364" s="158" t="s">
        <v>149</v>
      </c>
      <c r="W364" s="158" t="s">
        <v>149</v>
      </c>
      <c r="X364" s="158" t="s">
        <v>149</v>
      </c>
      <c r="Y364" s="158" t="s">
        <v>149</v>
      </c>
      <c r="Z364" s="158" t="s">
        <v>149</v>
      </c>
      <c r="AA364" s="158" t="s">
        <v>149</v>
      </c>
      <c r="AB364" s="153" t="s">
        <v>885</v>
      </c>
      <c r="AC364" s="158" t="s">
        <v>6068</v>
      </c>
      <c r="AD364" s="153"/>
      <c r="AE364" s="153"/>
      <c r="AF364" s="153"/>
      <c r="AG364" s="158" t="s">
        <v>7186</v>
      </c>
      <c r="AH364" s="153" t="s">
        <v>3151</v>
      </c>
      <c r="AI364" s="165" t="s">
        <v>7187</v>
      </c>
      <c r="AJ364" s="153"/>
      <c r="AK364" s="153"/>
    </row>
    <row r="365">
      <c r="A365" s="152">
        <v>2025.0</v>
      </c>
      <c r="B365" s="151">
        <v>285.0</v>
      </c>
      <c r="C365" s="153" t="s">
        <v>8189</v>
      </c>
      <c r="D365" s="153"/>
      <c r="E365" s="153"/>
      <c r="F365" s="153"/>
      <c r="G365" s="153"/>
      <c r="H365" s="153" t="s">
        <v>193</v>
      </c>
      <c r="I365" s="153" t="s">
        <v>194</v>
      </c>
      <c r="J365" s="153" t="s">
        <v>7114</v>
      </c>
      <c r="K365" s="153" t="s">
        <v>217</v>
      </c>
      <c r="L365" s="158" t="s">
        <v>149</v>
      </c>
      <c r="M365" s="153" t="s">
        <v>218</v>
      </c>
      <c r="N365" s="175" t="s">
        <v>6063</v>
      </c>
      <c r="O365" s="175" t="s">
        <v>6063</v>
      </c>
      <c r="P365" s="175" t="s">
        <v>6268</v>
      </c>
      <c r="Q365" s="153" t="s">
        <v>6814</v>
      </c>
      <c r="R365" s="153" t="s">
        <v>7185</v>
      </c>
      <c r="S365" s="158" t="s">
        <v>179</v>
      </c>
      <c r="T365" s="158" t="s">
        <v>149</v>
      </c>
      <c r="U365" s="158" t="s">
        <v>149</v>
      </c>
      <c r="V365" s="158" t="s">
        <v>149</v>
      </c>
      <c r="W365" s="158" t="s">
        <v>149</v>
      </c>
      <c r="X365" s="158" t="s">
        <v>149</v>
      </c>
      <c r="Y365" s="158" t="s">
        <v>149</v>
      </c>
      <c r="Z365" s="158" t="s">
        <v>149</v>
      </c>
      <c r="AA365" s="158" t="s">
        <v>149</v>
      </c>
      <c r="AB365" s="153" t="s">
        <v>885</v>
      </c>
      <c r="AC365" s="158" t="s">
        <v>6068</v>
      </c>
      <c r="AD365" s="153"/>
      <c r="AE365" s="153"/>
      <c r="AF365" s="153"/>
      <c r="AG365" s="158" t="s">
        <v>7186</v>
      </c>
      <c r="AH365" s="153" t="s">
        <v>3151</v>
      </c>
      <c r="AI365" s="165" t="s">
        <v>7187</v>
      </c>
      <c r="AJ365" s="153"/>
      <c r="AK365" s="153"/>
    </row>
    <row r="366">
      <c r="A366" s="152">
        <v>2024.0</v>
      </c>
      <c r="B366" s="151">
        <v>124.0</v>
      </c>
      <c r="C366" s="153"/>
      <c r="D366" s="153"/>
      <c r="E366" s="153"/>
      <c r="F366" s="153"/>
      <c r="G366" s="153"/>
      <c r="H366" s="153" t="s">
        <v>257</v>
      </c>
      <c r="I366" s="153" t="s">
        <v>258</v>
      </c>
      <c r="J366" s="153" t="s">
        <v>1752</v>
      </c>
      <c r="K366" s="153" t="s">
        <v>1753</v>
      </c>
      <c r="L366" s="153" t="s">
        <v>6113</v>
      </c>
      <c r="M366" s="153"/>
      <c r="N366" s="230">
        <v>2022.0</v>
      </c>
      <c r="O366" s="230"/>
      <c r="P366" s="230"/>
      <c r="Q366" s="153" t="s">
        <v>151</v>
      </c>
      <c r="R366" s="153"/>
      <c r="S366" s="153"/>
      <c r="T366" s="153" t="s">
        <v>2513</v>
      </c>
      <c r="U366" s="153" t="s">
        <v>6619</v>
      </c>
      <c r="V366" s="153"/>
      <c r="W366" s="153"/>
      <c r="X366" s="153"/>
      <c r="Y366" s="153"/>
      <c r="Z366" s="153"/>
      <c r="AA366" s="153"/>
      <c r="AB366" s="153" t="s">
        <v>761</v>
      </c>
      <c r="AC366" s="153" t="s">
        <v>6035</v>
      </c>
      <c r="AD366" s="153" t="s">
        <v>8015</v>
      </c>
      <c r="AE366" s="153"/>
      <c r="AF366" s="153"/>
      <c r="AG366" s="153" t="s">
        <v>8006</v>
      </c>
      <c r="AH366" s="153" t="s">
        <v>8016</v>
      </c>
      <c r="AI366" s="165" t="s">
        <v>8017</v>
      </c>
      <c r="AJ366" s="153"/>
      <c r="AK366" s="153"/>
    </row>
    <row r="367">
      <c r="A367" s="152">
        <v>2025.0</v>
      </c>
      <c r="B367" s="151">
        <v>286.0</v>
      </c>
      <c r="C367" s="153" t="s">
        <v>8189</v>
      </c>
      <c r="D367" s="153"/>
      <c r="E367" s="153"/>
      <c r="F367" s="153"/>
      <c r="G367" s="153"/>
      <c r="H367" s="153" t="s">
        <v>193</v>
      </c>
      <c r="I367" s="153" t="s">
        <v>194</v>
      </c>
      <c r="J367" s="153" t="s">
        <v>7114</v>
      </c>
      <c r="K367" s="153" t="s">
        <v>217</v>
      </c>
      <c r="L367" s="153" t="s">
        <v>2073</v>
      </c>
      <c r="M367" s="153" t="s">
        <v>218</v>
      </c>
      <c r="N367" s="160" t="s">
        <v>149</v>
      </c>
      <c r="O367" s="160" t="s">
        <v>149</v>
      </c>
      <c r="P367" s="160" t="s">
        <v>149</v>
      </c>
      <c r="Q367" s="153" t="s">
        <v>6062</v>
      </c>
      <c r="R367" s="153" t="s">
        <v>7193</v>
      </c>
      <c r="S367" s="158" t="s">
        <v>179</v>
      </c>
      <c r="T367" s="153" t="s">
        <v>7132</v>
      </c>
      <c r="U367" s="153" t="s">
        <v>2077</v>
      </c>
      <c r="V367" s="158" t="s">
        <v>160</v>
      </c>
      <c r="W367" s="158" t="s">
        <v>184</v>
      </c>
      <c r="X367" s="158" t="s">
        <v>159</v>
      </c>
      <c r="Y367" s="158" t="s">
        <v>149</v>
      </c>
      <c r="Z367" s="158" t="s">
        <v>149</v>
      </c>
      <c r="AA367" s="158" t="s">
        <v>149</v>
      </c>
      <c r="AB367" s="153" t="s">
        <v>2077</v>
      </c>
      <c r="AC367" s="158" t="s">
        <v>184</v>
      </c>
      <c r="AD367" s="153"/>
      <c r="AE367" s="153"/>
      <c r="AF367" s="153"/>
      <c r="AG367" s="158" t="s">
        <v>6091</v>
      </c>
      <c r="AH367" s="153" t="s">
        <v>2078</v>
      </c>
      <c r="AI367" s="165" t="s">
        <v>2079</v>
      </c>
      <c r="AJ367" s="153"/>
      <c r="AK367" s="153"/>
    </row>
    <row r="368">
      <c r="A368" s="152">
        <v>2025.0</v>
      </c>
      <c r="B368" s="151">
        <v>287.0</v>
      </c>
      <c r="C368" s="153" t="s">
        <v>8189</v>
      </c>
      <c r="D368" s="153"/>
      <c r="E368" s="153"/>
      <c r="F368" s="153"/>
      <c r="G368" s="153"/>
      <c r="H368" s="153" t="s">
        <v>193</v>
      </c>
      <c r="I368" s="153" t="s">
        <v>194</v>
      </c>
      <c r="J368" s="153" t="s">
        <v>7114</v>
      </c>
      <c r="K368" s="153" t="s">
        <v>217</v>
      </c>
      <c r="L368" s="153" t="s">
        <v>872</v>
      </c>
      <c r="M368" s="153" t="s">
        <v>7198</v>
      </c>
      <c r="N368" s="175" t="s">
        <v>6114</v>
      </c>
      <c r="O368" s="160" t="s">
        <v>149</v>
      </c>
      <c r="P368" s="160" t="s">
        <v>149</v>
      </c>
      <c r="Q368" s="153" t="s">
        <v>6062</v>
      </c>
      <c r="R368" s="153" t="s">
        <v>320</v>
      </c>
      <c r="S368" s="158" t="s">
        <v>149</v>
      </c>
      <c r="T368" s="158" t="s">
        <v>149</v>
      </c>
      <c r="U368" s="153" t="s">
        <v>872</v>
      </c>
      <c r="V368" s="158" t="s">
        <v>160</v>
      </c>
      <c r="W368" s="158" t="s">
        <v>306</v>
      </c>
      <c r="X368" s="158" t="s">
        <v>159</v>
      </c>
      <c r="Y368" s="158" t="s">
        <v>149</v>
      </c>
      <c r="Z368" s="158" t="s">
        <v>149</v>
      </c>
      <c r="AA368" s="158" t="s">
        <v>149</v>
      </c>
      <c r="AB368" s="153" t="s">
        <v>872</v>
      </c>
      <c r="AC368" s="158" t="s">
        <v>306</v>
      </c>
      <c r="AD368" s="153"/>
      <c r="AE368" s="153"/>
      <c r="AF368" s="153"/>
      <c r="AG368" s="158" t="s">
        <v>6027</v>
      </c>
      <c r="AH368" s="153" t="s">
        <v>874</v>
      </c>
      <c r="AI368" s="165" t="s">
        <v>875</v>
      </c>
      <c r="AJ368" s="153"/>
      <c r="AK368" s="153"/>
    </row>
    <row r="369">
      <c r="A369" s="152">
        <v>2024.0</v>
      </c>
      <c r="B369" s="151">
        <v>125.0</v>
      </c>
      <c r="C369" s="153"/>
      <c r="D369" s="153"/>
      <c r="E369" s="153"/>
      <c r="F369" s="153"/>
      <c r="G369" s="153"/>
      <c r="H369" s="153" t="s">
        <v>257</v>
      </c>
      <c r="I369" s="153" t="s">
        <v>258</v>
      </c>
      <c r="J369" s="153" t="s">
        <v>1752</v>
      </c>
      <c r="K369" s="153" t="s">
        <v>1753</v>
      </c>
      <c r="L369" s="153" t="s">
        <v>6587</v>
      </c>
      <c r="M369" s="153"/>
      <c r="N369" s="230">
        <v>2018.0</v>
      </c>
      <c r="O369" s="230"/>
      <c r="P369" s="230"/>
      <c r="Q369" s="153" t="s">
        <v>151</v>
      </c>
      <c r="R369" s="153"/>
      <c r="S369" s="153"/>
      <c r="T369" s="153"/>
      <c r="U369" s="153" t="s">
        <v>341</v>
      </c>
      <c r="V369" s="153"/>
      <c r="W369" s="153"/>
      <c r="X369" s="153"/>
      <c r="Y369" s="153"/>
      <c r="Z369" s="153"/>
      <c r="AA369" s="153"/>
      <c r="AB369" s="153" t="s">
        <v>341</v>
      </c>
      <c r="AC369" s="153" t="s">
        <v>6035</v>
      </c>
      <c r="AD369" s="153"/>
      <c r="AE369" s="153"/>
      <c r="AF369" s="153"/>
      <c r="AG369" s="153" t="s">
        <v>8006</v>
      </c>
      <c r="AH369" s="153" t="s">
        <v>8018</v>
      </c>
      <c r="AI369" s="165" t="s">
        <v>6622</v>
      </c>
      <c r="AJ369" s="239"/>
      <c r="AK369" s="239"/>
    </row>
    <row r="370">
      <c r="A370" s="152">
        <v>2025.0</v>
      </c>
      <c r="B370" s="151">
        <v>288.0</v>
      </c>
      <c r="C370" s="153" t="s">
        <v>8189</v>
      </c>
      <c r="D370" s="153"/>
      <c r="E370" s="153"/>
      <c r="F370" s="153"/>
      <c r="G370" s="153"/>
      <c r="H370" s="153" t="s">
        <v>193</v>
      </c>
      <c r="I370" s="153" t="s">
        <v>194</v>
      </c>
      <c r="J370" s="153" t="s">
        <v>7114</v>
      </c>
      <c r="K370" s="153" t="s">
        <v>217</v>
      </c>
      <c r="L370" s="153" t="s">
        <v>3412</v>
      </c>
      <c r="M370" s="153"/>
      <c r="N370" s="175" t="s">
        <v>6063</v>
      </c>
      <c r="O370" s="175" t="s">
        <v>6063</v>
      </c>
      <c r="P370" s="175" t="s">
        <v>6064</v>
      </c>
      <c r="Q370" s="153" t="s">
        <v>6221</v>
      </c>
      <c r="R370" s="158" t="s">
        <v>149</v>
      </c>
      <c r="S370" s="158" t="s">
        <v>149</v>
      </c>
      <c r="T370" s="158" t="s">
        <v>149</v>
      </c>
      <c r="U370" s="153" t="s">
        <v>321</v>
      </c>
      <c r="V370" s="158" t="s">
        <v>160</v>
      </c>
      <c r="W370" s="158" t="s">
        <v>6035</v>
      </c>
      <c r="X370" s="158" t="s">
        <v>204</v>
      </c>
      <c r="Y370" s="158" t="s">
        <v>149</v>
      </c>
      <c r="Z370" s="158" t="s">
        <v>149</v>
      </c>
      <c r="AA370" s="158" t="s">
        <v>149</v>
      </c>
      <c r="AB370" s="153" t="s">
        <v>885</v>
      </c>
      <c r="AC370" s="158" t="s">
        <v>6068</v>
      </c>
      <c r="AD370" s="153" t="s">
        <v>1858</v>
      </c>
      <c r="AE370" s="153"/>
      <c r="AF370" s="153"/>
      <c r="AG370" s="158" t="s">
        <v>6069</v>
      </c>
      <c r="AH370" s="153" t="s">
        <v>1859</v>
      </c>
      <c r="AI370" s="153" t="s">
        <v>6070</v>
      </c>
      <c r="AJ370" s="153" t="s">
        <v>1861</v>
      </c>
      <c r="AK370" s="239" t="s">
        <v>1862</v>
      </c>
    </row>
    <row r="371">
      <c r="A371" s="152">
        <v>2025.0</v>
      </c>
      <c r="B371" s="151">
        <v>289.0</v>
      </c>
      <c r="C371" s="153" t="s">
        <v>8189</v>
      </c>
      <c r="D371" s="153"/>
      <c r="E371" s="153"/>
      <c r="F371" s="153"/>
      <c r="G371" s="153"/>
      <c r="H371" s="153" t="s">
        <v>193</v>
      </c>
      <c r="I371" s="153" t="s">
        <v>194</v>
      </c>
      <c r="J371" s="153" t="s">
        <v>7114</v>
      </c>
      <c r="K371" s="153" t="s">
        <v>217</v>
      </c>
      <c r="L371" s="153" t="s">
        <v>934</v>
      </c>
      <c r="M371" s="153"/>
      <c r="N371" s="175" t="s">
        <v>6229</v>
      </c>
      <c r="O371" s="175" t="s">
        <v>6229</v>
      </c>
      <c r="P371" s="175" t="s">
        <v>6230</v>
      </c>
      <c r="Q371" s="153" t="s">
        <v>6062</v>
      </c>
      <c r="R371" s="153" t="s">
        <v>3245</v>
      </c>
      <c r="S371" s="158" t="s">
        <v>179</v>
      </c>
      <c r="T371" s="153" t="s">
        <v>939</v>
      </c>
      <c r="U371" s="153" t="s">
        <v>940</v>
      </c>
      <c r="V371" s="158" t="s">
        <v>6154</v>
      </c>
      <c r="W371" s="158" t="s">
        <v>206</v>
      </c>
      <c r="X371" s="158" t="s">
        <v>204</v>
      </c>
      <c r="Y371" s="158" t="s">
        <v>149</v>
      </c>
      <c r="Z371" s="158" t="s">
        <v>149</v>
      </c>
      <c r="AA371" s="158" t="s">
        <v>149</v>
      </c>
      <c r="AB371" s="153" t="s">
        <v>233</v>
      </c>
      <c r="AC371" s="158" t="s">
        <v>6068</v>
      </c>
      <c r="AD371" s="153"/>
      <c r="AE371" s="153"/>
      <c r="AF371" s="153"/>
      <c r="AG371" s="158" t="s">
        <v>6214</v>
      </c>
      <c r="AH371" s="153" t="s">
        <v>941</v>
      </c>
      <c r="AI371" s="153" t="s">
        <v>942</v>
      </c>
      <c r="AJ371" s="153" t="s">
        <v>943</v>
      </c>
      <c r="AK371" s="153"/>
    </row>
    <row r="372">
      <c r="A372" s="152">
        <v>2024.0</v>
      </c>
      <c r="B372" s="151">
        <v>126.0</v>
      </c>
      <c r="C372" s="153"/>
      <c r="D372" s="153"/>
      <c r="E372" s="153"/>
      <c r="F372" s="153"/>
      <c r="G372" s="153"/>
      <c r="H372" s="153" t="s">
        <v>257</v>
      </c>
      <c r="I372" s="153" t="s">
        <v>258</v>
      </c>
      <c r="J372" s="153" t="s">
        <v>1752</v>
      </c>
      <c r="K372" s="153" t="s">
        <v>1753</v>
      </c>
      <c r="L372" s="153" t="s">
        <v>6587</v>
      </c>
      <c r="M372" s="153" t="s">
        <v>6631</v>
      </c>
      <c r="N372" s="230" t="s">
        <v>6113</v>
      </c>
      <c r="O372" s="230"/>
      <c r="P372" s="230"/>
      <c r="Q372" s="153" t="s">
        <v>6062</v>
      </c>
      <c r="R372" s="153" t="s">
        <v>320</v>
      </c>
      <c r="S372" s="153"/>
      <c r="T372" s="153"/>
      <c r="U372" s="153" t="s">
        <v>341</v>
      </c>
      <c r="V372" s="153"/>
      <c r="W372" s="153"/>
      <c r="X372" s="153"/>
      <c r="Y372" s="153"/>
      <c r="Z372" s="153"/>
      <c r="AA372" s="153"/>
      <c r="AB372" s="153" t="s">
        <v>341</v>
      </c>
      <c r="AC372" s="153" t="s">
        <v>6035</v>
      </c>
      <c r="AD372" s="153"/>
      <c r="AE372" s="153"/>
      <c r="AF372" s="153"/>
      <c r="AG372" s="153" t="s">
        <v>6038</v>
      </c>
      <c r="AH372" s="153" t="s">
        <v>2144</v>
      </c>
      <c r="AI372" s="239" t="s">
        <v>2145</v>
      </c>
      <c r="AJ372" s="153"/>
      <c r="AK372" s="153"/>
    </row>
    <row r="373">
      <c r="A373" s="152">
        <v>2025.0</v>
      </c>
      <c r="B373" s="151">
        <v>290.0</v>
      </c>
      <c r="C373" s="153" t="s">
        <v>8189</v>
      </c>
      <c r="D373" s="153"/>
      <c r="E373" s="153"/>
      <c r="F373" s="153"/>
      <c r="G373" s="153"/>
      <c r="H373" s="153" t="s">
        <v>193</v>
      </c>
      <c r="I373" s="153" t="s">
        <v>194</v>
      </c>
      <c r="J373" s="153" t="s">
        <v>7114</v>
      </c>
      <c r="K373" s="153" t="s">
        <v>217</v>
      </c>
      <c r="L373" s="153" t="s">
        <v>6235</v>
      </c>
      <c r="M373" s="153" t="s">
        <v>218</v>
      </c>
      <c r="N373" s="175" t="s">
        <v>16</v>
      </c>
      <c r="O373" s="175" t="s">
        <v>6030</v>
      </c>
      <c r="P373" s="160" t="s">
        <v>14</v>
      </c>
      <c r="Q373" s="153" t="s">
        <v>6221</v>
      </c>
      <c r="R373" s="158" t="s">
        <v>201</v>
      </c>
      <c r="S373" s="158" t="s">
        <v>224</v>
      </c>
      <c r="T373" s="153" t="s">
        <v>202</v>
      </c>
      <c r="U373" s="153" t="s">
        <v>203</v>
      </c>
      <c r="V373" s="158" t="s">
        <v>6154</v>
      </c>
      <c r="W373" s="158" t="s">
        <v>206</v>
      </c>
      <c r="X373" s="158" t="s">
        <v>204</v>
      </c>
      <c r="Y373" s="158" t="s">
        <v>149</v>
      </c>
      <c r="Z373" s="158" t="s">
        <v>149</v>
      </c>
      <c r="AA373" s="158" t="s">
        <v>149</v>
      </c>
      <c r="AB373" s="153" t="s">
        <v>208</v>
      </c>
      <c r="AC373" s="158" t="s">
        <v>6068</v>
      </c>
      <c r="AD373" s="153" t="s">
        <v>7208</v>
      </c>
      <c r="AE373" s="153" t="s">
        <v>212</v>
      </c>
      <c r="AF373" s="153"/>
      <c r="AG373" s="153" t="s">
        <v>214</v>
      </c>
      <c r="AH373" s="153" t="s">
        <v>214</v>
      </c>
      <c r="AI373" s="153"/>
      <c r="AJ373" s="153"/>
      <c r="AK373" s="153"/>
    </row>
    <row r="374">
      <c r="A374" s="152">
        <v>2025.0</v>
      </c>
      <c r="B374" s="151">
        <v>291.0</v>
      </c>
      <c r="C374" s="153" t="s">
        <v>8189</v>
      </c>
      <c r="D374" s="153"/>
      <c r="E374" s="153"/>
      <c r="F374" s="153"/>
      <c r="G374" s="153"/>
      <c r="H374" s="153" t="s">
        <v>193</v>
      </c>
      <c r="I374" s="153" t="s">
        <v>194</v>
      </c>
      <c r="J374" s="153" t="s">
        <v>568</v>
      </c>
      <c r="K374" s="153" t="s">
        <v>569</v>
      </c>
      <c r="L374" s="153" t="s">
        <v>384</v>
      </c>
      <c r="M374" s="153" t="s">
        <v>570</v>
      </c>
      <c r="N374" s="175" t="s">
        <v>6051</v>
      </c>
      <c r="O374" s="175" t="s">
        <v>6052</v>
      </c>
      <c r="P374" s="175" t="s">
        <v>6053</v>
      </c>
      <c r="Q374" s="153" t="s">
        <v>151</v>
      </c>
      <c r="R374" s="153" t="s">
        <v>6054</v>
      </c>
      <c r="S374" s="158" t="s">
        <v>6054</v>
      </c>
      <c r="T374" s="158" t="s">
        <v>149</v>
      </c>
      <c r="U374" s="153" t="s">
        <v>390</v>
      </c>
      <c r="V374" s="158" t="s">
        <v>160</v>
      </c>
      <c r="W374" s="158" t="s">
        <v>6035</v>
      </c>
      <c r="X374" s="158" t="s">
        <v>159</v>
      </c>
      <c r="Y374" s="158" t="s">
        <v>149</v>
      </c>
      <c r="Z374" s="158" t="s">
        <v>149</v>
      </c>
      <c r="AA374" s="153" t="s">
        <v>571</v>
      </c>
      <c r="AB374" s="153" t="s">
        <v>390</v>
      </c>
      <c r="AC374" s="153" t="s">
        <v>6035</v>
      </c>
      <c r="AD374" s="153" t="s">
        <v>6055</v>
      </c>
      <c r="AE374" s="153"/>
      <c r="AF374" s="153"/>
      <c r="AG374" s="158" t="s">
        <v>395</v>
      </c>
      <c r="AH374" s="153" t="s">
        <v>6060</v>
      </c>
      <c r="AI374" s="158" t="s">
        <v>6711</v>
      </c>
      <c r="AJ374" s="153" t="s">
        <v>398</v>
      </c>
      <c r="AK374" s="153"/>
    </row>
    <row r="375">
      <c r="A375" s="152">
        <v>2024.0</v>
      </c>
      <c r="B375" s="151">
        <v>127.0</v>
      </c>
      <c r="C375" s="153"/>
      <c r="D375" s="153"/>
      <c r="E375" s="153"/>
      <c r="F375" s="153"/>
      <c r="G375" s="153"/>
      <c r="H375" s="153" t="s">
        <v>257</v>
      </c>
      <c r="I375" s="153" t="s">
        <v>258</v>
      </c>
      <c r="J375" s="153" t="s">
        <v>1752</v>
      </c>
      <c r="K375" s="173" t="s">
        <v>1753</v>
      </c>
      <c r="L375" s="153" t="s">
        <v>2098</v>
      </c>
      <c r="M375" s="153" t="s">
        <v>2099</v>
      </c>
      <c r="N375" s="153" t="s">
        <v>6113</v>
      </c>
      <c r="O375" s="153"/>
      <c r="P375" s="153"/>
      <c r="Q375" s="153" t="s">
        <v>151</v>
      </c>
      <c r="R375" s="153"/>
      <c r="S375" s="153"/>
      <c r="T375" s="153"/>
      <c r="U375" s="153"/>
      <c r="V375" s="153"/>
      <c r="W375" s="153"/>
      <c r="X375" s="153"/>
      <c r="Y375" s="153"/>
      <c r="Z375" s="153"/>
      <c r="AA375" s="153"/>
      <c r="AB375" s="153" t="s">
        <v>369</v>
      </c>
      <c r="AC375" s="153" t="s">
        <v>6035</v>
      </c>
      <c r="AD375" s="153"/>
      <c r="AE375" s="153"/>
      <c r="AF375" s="153"/>
      <c r="AG375" s="153" t="s">
        <v>6084</v>
      </c>
      <c r="AH375" s="153" t="s">
        <v>823</v>
      </c>
      <c r="AI375" s="165" t="s">
        <v>824</v>
      </c>
      <c r="AJ375" s="153"/>
      <c r="AK375" s="153"/>
    </row>
    <row r="376">
      <c r="A376" s="152">
        <v>2025.0</v>
      </c>
      <c r="B376" s="151">
        <v>292.0</v>
      </c>
      <c r="C376" s="153" t="s">
        <v>8189</v>
      </c>
      <c r="D376" s="153"/>
      <c r="E376" s="153"/>
      <c r="F376" s="153"/>
      <c r="G376" s="153"/>
      <c r="H376" s="153" t="s">
        <v>193</v>
      </c>
      <c r="I376" s="153" t="s">
        <v>194</v>
      </c>
      <c r="J376" s="153" t="s">
        <v>5384</v>
      </c>
      <c r="K376" s="153" t="s">
        <v>2314</v>
      </c>
      <c r="L376" s="158" t="s">
        <v>149</v>
      </c>
      <c r="M376" s="153"/>
      <c r="N376" s="175" t="s">
        <v>6198</v>
      </c>
      <c r="O376" s="160" t="s">
        <v>149</v>
      </c>
      <c r="P376" s="160" t="s">
        <v>149</v>
      </c>
      <c r="Q376" s="153" t="s">
        <v>151</v>
      </c>
      <c r="R376" s="153" t="s">
        <v>6054</v>
      </c>
      <c r="S376" s="158" t="s">
        <v>6054</v>
      </c>
      <c r="T376" s="153" t="s">
        <v>6506</v>
      </c>
      <c r="U376" s="158" t="s">
        <v>149</v>
      </c>
      <c r="V376" s="158" t="s">
        <v>149</v>
      </c>
      <c r="W376" s="158" t="s">
        <v>149</v>
      </c>
      <c r="X376" s="158" t="s">
        <v>149</v>
      </c>
      <c r="Y376" s="158" t="s">
        <v>149</v>
      </c>
      <c r="Z376" s="158" t="s">
        <v>149</v>
      </c>
      <c r="AA376" s="158" t="s">
        <v>149</v>
      </c>
      <c r="AB376" s="153" t="s">
        <v>2304</v>
      </c>
      <c r="AC376" s="158" t="s">
        <v>184</v>
      </c>
      <c r="AD376" s="153"/>
      <c r="AE376" s="153" t="s">
        <v>6507</v>
      </c>
      <c r="AF376" s="153"/>
      <c r="AG376" s="158" t="s">
        <v>395</v>
      </c>
      <c r="AH376" s="153" t="s">
        <v>6060</v>
      </c>
      <c r="AI376" s="158" t="s">
        <v>6711</v>
      </c>
      <c r="AJ376" s="153" t="s">
        <v>398</v>
      </c>
      <c r="AK376" s="153"/>
    </row>
    <row r="377">
      <c r="A377" s="152">
        <v>2025.0</v>
      </c>
      <c r="B377" s="151">
        <v>293.0</v>
      </c>
      <c r="C377" s="153" t="s">
        <v>8189</v>
      </c>
      <c r="D377" s="153"/>
      <c r="E377" s="153"/>
      <c r="F377" s="153"/>
      <c r="G377" s="153"/>
      <c r="H377" s="153" t="s">
        <v>193</v>
      </c>
      <c r="I377" s="153" t="s">
        <v>194</v>
      </c>
      <c r="J377" s="153" t="s">
        <v>1587</v>
      </c>
      <c r="K377" s="153" t="s">
        <v>1588</v>
      </c>
      <c r="L377" s="153" t="s">
        <v>7217</v>
      </c>
      <c r="M377" s="153" t="s">
        <v>1590</v>
      </c>
      <c r="N377" s="175" t="s">
        <v>6145</v>
      </c>
      <c r="O377" s="175" t="s">
        <v>6145</v>
      </c>
      <c r="P377" s="160" t="s">
        <v>149</v>
      </c>
      <c r="Q377" s="153" t="s">
        <v>151</v>
      </c>
      <c r="R377" s="153" t="s">
        <v>1592</v>
      </c>
      <c r="S377" s="158" t="s">
        <v>1592</v>
      </c>
      <c r="T377" s="153" t="s">
        <v>1593</v>
      </c>
      <c r="U377" s="153" t="s">
        <v>1594</v>
      </c>
      <c r="V377" s="158" t="s">
        <v>160</v>
      </c>
      <c r="W377" s="158" t="s">
        <v>6035</v>
      </c>
      <c r="X377" s="158" t="s">
        <v>159</v>
      </c>
      <c r="Y377" s="244" t="s">
        <v>7218</v>
      </c>
      <c r="Z377" s="153" t="s">
        <v>7219</v>
      </c>
      <c r="AA377" s="153" t="s">
        <v>1597</v>
      </c>
      <c r="AB377" s="153" t="s">
        <v>1598</v>
      </c>
      <c r="AC377" s="153" t="s">
        <v>6035</v>
      </c>
      <c r="AD377" s="153"/>
      <c r="AE377" s="153" t="s">
        <v>1599</v>
      </c>
      <c r="AF377" s="153" t="s">
        <v>1600</v>
      </c>
      <c r="AG377" s="158" t="s">
        <v>166</v>
      </c>
      <c r="AH377" s="153" t="s">
        <v>1601</v>
      </c>
      <c r="AI377" s="172" t="s">
        <v>1602</v>
      </c>
      <c r="AJ377" s="153"/>
      <c r="AK377" s="153"/>
    </row>
    <row r="378">
      <c r="A378" s="152">
        <v>2024.0</v>
      </c>
      <c r="B378" s="151">
        <v>128.0</v>
      </c>
      <c r="C378" s="153"/>
      <c r="D378" s="153"/>
      <c r="E378" s="153"/>
      <c r="F378" s="153"/>
      <c r="G378" s="153"/>
      <c r="H378" s="153" t="s">
        <v>257</v>
      </c>
      <c r="I378" s="153" t="s">
        <v>258</v>
      </c>
      <c r="J378" s="153" t="s">
        <v>1890</v>
      </c>
      <c r="K378" s="153" t="s">
        <v>1891</v>
      </c>
      <c r="L378" s="153" t="s">
        <v>1892</v>
      </c>
      <c r="M378" s="153" t="s">
        <v>1893</v>
      </c>
      <c r="N378" s="230">
        <v>2017.0</v>
      </c>
      <c r="O378" s="230"/>
      <c r="P378" s="230"/>
      <c r="Q378" s="153" t="s">
        <v>151</v>
      </c>
      <c r="R378" s="153"/>
      <c r="S378" s="153"/>
      <c r="T378" s="153"/>
      <c r="Y378" s="153"/>
      <c r="Z378" s="153"/>
      <c r="AA378" s="153"/>
      <c r="AB378" s="158" t="s">
        <v>1897</v>
      </c>
      <c r="AC378" s="158" t="s">
        <v>271</v>
      </c>
      <c r="AD378" s="153" t="s">
        <v>341</v>
      </c>
      <c r="AE378" s="153" t="s">
        <v>1896</v>
      </c>
      <c r="AF378" s="153"/>
      <c r="AG378" s="153" t="s">
        <v>7003</v>
      </c>
      <c r="AH378" s="153" t="s">
        <v>1898</v>
      </c>
      <c r="AI378" s="165" t="s">
        <v>1899</v>
      </c>
      <c r="AJ378" s="153"/>
      <c r="AK378" s="153"/>
    </row>
    <row r="379">
      <c r="A379" s="152">
        <v>2025.0</v>
      </c>
      <c r="B379" s="151">
        <v>294.0</v>
      </c>
      <c r="C379" s="153" t="s">
        <v>8189</v>
      </c>
      <c r="D379" s="153"/>
      <c r="E379" s="153"/>
      <c r="F379" s="153"/>
      <c r="G379" s="153"/>
      <c r="H379" s="153" t="s">
        <v>193</v>
      </c>
      <c r="I379" s="153" t="s">
        <v>194</v>
      </c>
      <c r="J379" s="153" t="s">
        <v>969</v>
      </c>
      <c r="K379" s="153" t="s">
        <v>970</v>
      </c>
      <c r="L379" s="158" t="s">
        <v>149</v>
      </c>
      <c r="M379" s="153" t="s">
        <v>7222</v>
      </c>
      <c r="N379" s="175" t="s">
        <v>6211</v>
      </c>
      <c r="O379" s="160" t="s">
        <v>149</v>
      </c>
      <c r="P379" s="160" t="s">
        <v>149</v>
      </c>
      <c r="Q379" s="153" t="s">
        <v>6062</v>
      </c>
      <c r="R379" s="153" t="s">
        <v>320</v>
      </c>
      <c r="S379" s="158" t="s">
        <v>179</v>
      </c>
      <c r="T379" s="158" t="s">
        <v>2397</v>
      </c>
      <c r="U379" s="158" t="s">
        <v>149</v>
      </c>
      <c r="V379" s="158" t="s">
        <v>149</v>
      </c>
      <c r="W379" s="158" t="s">
        <v>149</v>
      </c>
      <c r="X379" s="158" t="s">
        <v>159</v>
      </c>
      <c r="Y379" s="158" t="s">
        <v>149</v>
      </c>
      <c r="Z379" s="153" t="s">
        <v>7223</v>
      </c>
      <c r="AA379" s="153" t="s">
        <v>2399</v>
      </c>
      <c r="AB379" s="153" t="s">
        <v>2400</v>
      </c>
      <c r="AC379" s="158" t="s">
        <v>306</v>
      </c>
      <c r="AD379" s="153"/>
      <c r="AE379" s="153"/>
      <c r="AF379" s="158" t="s">
        <v>2401</v>
      </c>
      <c r="AG379" s="158" t="s">
        <v>7149</v>
      </c>
      <c r="AH379" s="153" t="s">
        <v>2402</v>
      </c>
      <c r="AI379" s="172" t="s">
        <v>2403</v>
      </c>
      <c r="AJ379" s="153" t="s">
        <v>2404</v>
      </c>
      <c r="AK379" s="153"/>
    </row>
    <row r="380">
      <c r="A380" s="152">
        <v>2025.0</v>
      </c>
      <c r="B380" s="151">
        <v>295.0</v>
      </c>
      <c r="C380" s="153" t="s">
        <v>8189</v>
      </c>
      <c r="D380" s="153"/>
      <c r="E380" s="153"/>
      <c r="F380" s="153"/>
      <c r="G380" s="153"/>
      <c r="H380" s="153" t="s">
        <v>193</v>
      </c>
      <c r="I380" s="158" t="s">
        <v>194</v>
      </c>
      <c r="J380" s="158" t="s">
        <v>969</v>
      </c>
      <c r="K380" s="158" t="s">
        <v>970</v>
      </c>
      <c r="L380" s="158" t="s">
        <v>934</v>
      </c>
      <c r="M380" s="158" t="s">
        <v>7900</v>
      </c>
      <c r="N380" s="160" t="s">
        <v>6229</v>
      </c>
      <c r="O380" s="160" t="s">
        <v>6229</v>
      </c>
      <c r="P380" s="160" t="s">
        <v>6230</v>
      </c>
      <c r="Q380" s="158" t="s">
        <v>6062</v>
      </c>
      <c r="R380" s="158" t="s">
        <v>3245</v>
      </c>
      <c r="S380" s="158" t="s">
        <v>179</v>
      </c>
      <c r="T380" s="153" t="s">
        <v>939</v>
      </c>
      <c r="U380" s="153" t="s">
        <v>940</v>
      </c>
      <c r="V380" s="158" t="s">
        <v>6154</v>
      </c>
      <c r="W380" s="158" t="s">
        <v>206</v>
      </c>
      <c r="X380" s="158" t="s">
        <v>159</v>
      </c>
      <c r="Y380" s="158" t="s">
        <v>149</v>
      </c>
      <c r="Z380" s="158" t="s">
        <v>149</v>
      </c>
      <c r="AA380" s="158" t="s">
        <v>149</v>
      </c>
      <c r="AB380" s="153" t="s">
        <v>233</v>
      </c>
      <c r="AC380" s="158" t="s">
        <v>6068</v>
      </c>
      <c r="AD380" s="153"/>
      <c r="AE380" s="153"/>
      <c r="AF380" s="153"/>
      <c r="AG380" s="158" t="s">
        <v>6214</v>
      </c>
      <c r="AH380" s="153" t="s">
        <v>941</v>
      </c>
      <c r="AI380" s="172" t="s">
        <v>942</v>
      </c>
      <c r="AJ380" s="153" t="s">
        <v>943</v>
      </c>
      <c r="AK380" s="158"/>
    </row>
    <row r="381">
      <c r="A381" s="152">
        <v>2024.0</v>
      </c>
      <c r="B381" s="151">
        <v>129.0</v>
      </c>
      <c r="C381" s="153"/>
      <c r="D381" s="153"/>
      <c r="E381" s="153"/>
      <c r="F381" s="153"/>
      <c r="G381" s="153"/>
      <c r="H381" s="153" t="s">
        <v>257</v>
      </c>
      <c r="I381" s="153" t="s">
        <v>258</v>
      </c>
      <c r="J381" s="153" t="s">
        <v>1958</v>
      </c>
      <c r="K381" s="153" t="s">
        <v>1959</v>
      </c>
      <c r="L381" s="153" t="s">
        <v>6113</v>
      </c>
      <c r="M381" s="153"/>
      <c r="N381" s="230">
        <v>2014.0</v>
      </c>
      <c r="O381" s="230"/>
      <c r="P381" s="230"/>
      <c r="Q381" s="153" t="s">
        <v>151</v>
      </c>
      <c r="R381" s="153"/>
      <c r="S381" s="153"/>
      <c r="T381" s="153" t="s">
        <v>152</v>
      </c>
      <c r="U381" s="153" t="s">
        <v>369</v>
      </c>
      <c r="V381" s="153"/>
      <c r="W381" s="153"/>
      <c r="X381" s="153"/>
      <c r="Y381" s="153"/>
      <c r="Z381" s="153"/>
      <c r="AA381" s="153"/>
      <c r="AB381" s="153" t="s">
        <v>369</v>
      </c>
      <c r="AC381" s="153" t="s">
        <v>6035</v>
      </c>
      <c r="AD381" s="153" t="s">
        <v>390</v>
      </c>
      <c r="AE381" s="153"/>
      <c r="AF381" s="153"/>
      <c r="AG381" s="153" t="s">
        <v>8006</v>
      </c>
      <c r="AH381" s="153" t="s">
        <v>2445</v>
      </c>
      <c r="AI381" s="165" t="s">
        <v>2442</v>
      </c>
      <c r="AJ381" s="153"/>
      <c r="AK381" s="153"/>
    </row>
    <row r="382">
      <c r="A382" s="152">
        <v>2025.0</v>
      </c>
      <c r="B382" s="151">
        <v>296.0</v>
      </c>
      <c r="C382" s="153" t="s">
        <v>8189</v>
      </c>
      <c r="D382" s="153"/>
      <c r="E382" s="153"/>
      <c r="F382" s="153"/>
      <c r="G382" s="153"/>
      <c r="H382" s="153" t="s">
        <v>193</v>
      </c>
      <c r="I382" s="153" t="s">
        <v>194</v>
      </c>
      <c r="J382" s="153" t="s">
        <v>573</v>
      </c>
      <c r="K382" s="153" t="s">
        <v>574</v>
      </c>
      <c r="L382" s="153" t="s">
        <v>384</v>
      </c>
      <c r="M382" s="153" t="s">
        <v>575</v>
      </c>
      <c r="N382" s="175" t="s">
        <v>6051</v>
      </c>
      <c r="O382" s="175" t="s">
        <v>6052</v>
      </c>
      <c r="P382" s="175" t="s">
        <v>6053</v>
      </c>
      <c r="Q382" s="153" t="s">
        <v>151</v>
      </c>
      <c r="R382" s="158" t="s">
        <v>149</v>
      </c>
      <c r="S382" s="158" t="s">
        <v>149</v>
      </c>
      <c r="T382" s="158" t="s">
        <v>149</v>
      </c>
      <c r="U382" s="153" t="s">
        <v>390</v>
      </c>
      <c r="V382" s="158" t="s">
        <v>160</v>
      </c>
      <c r="W382" s="158" t="s">
        <v>6035</v>
      </c>
      <c r="X382" s="158" t="s">
        <v>159</v>
      </c>
      <c r="Y382" s="158" t="s">
        <v>149</v>
      </c>
      <c r="Z382" s="158" t="s">
        <v>149</v>
      </c>
      <c r="AA382" s="153" t="s">
        <v>571</v>
      </c>
      <c r="AB382" s="153" t="s">
        <v>390</v>
      </c>
      <c r="AC382" s="153" t="s">
        <v>6035</v>
      </c>
      <c r="AD382" s="153" t="s">
        <v>6055</v>
      </c>
      <c r="AE382" s="153"/>
      <c r="AF382" s="153"/>
      <c r="AG382" s="158" t="s">
        <v>395</v>
      </c>
      <c r="AH382" s="153" t="s">
        <v>6060</v>
      </c>
      <c r="AI382" s="158" t="s">
        <v>6711</v>
      </c>
      <c r="AJ382" s="153" t="s">
        <v>398</v>
      </c>
      <c r="AK382" s="153"/>
    </row>
    <row r="383">
      <c r="A383" s="152">
        <v>2025.0</v>
      </c>
      <c r="B383" s="151">
        <v>297.0</v>
      </c>
      <c r="C383" s="153" t="s">
        <v>8189</v>
      </c>
      <c r="D383" s="153"/>
      <c r="E383" s="153"/>
      <c r="F383" s="153"/>
      <c r="G383" s="153"/>
      <c r="H383" s="153" t="s">
        <v>193</v>
      </c>
      <c r="I383" s="153" t="s">
        <v>194</v>
      </c>
      <c r="J383" s="153" t="s">
        <v>573</v>
      </c>
      <c r="K383" s="153" t="s">
        <v>574</v>
      </c>
      <c r="L383" s="153" t="s">
        <v>384</v>
      </c>
      <c r="M383" s="153" t="s">
        <v>577</v>
      </c>
      <c r="N383" s="175" t="s">
        <v>6051</v>
      </c>
      <c r="O383" s="175" t="s">
        <v>6052</v>
      </c>
      <c r="P383" s="175" t="s">
        <v>6053</v>
      </c>
      <c r="Q383" s="153" t="s">
        <v>151</v>
      </c>
      <c r="R383" s="158" t="s">
        <v>149</v>
      </c>
      <c r="S383" s="158" t="s">
        <v>149</v>
      </c>
      <c r="T383" s="158" t="s">
        <v>149</v>
      </c>
      <c r="U383" s="153" t="s">
        <v>390</v>
      </c>
      <c r="V383" s="158" t="s">
        <v>160</v>
      </c>
      <c r="W383" s="158" t="s">
        <v>6035</v>
      </c>
      <c r="X383" s="158" t="s">
        <v>159</v>
      </c>
      <c r="Y383" s="158" t="s">
        <v>149</v>
      </c>
      <c r="Z383" s="158" t="s">
        <v>149</v>
      </c>
      <c r="AA383" s="153" t="s">
        <v>571</v>
      </c>
      <c r="AB383" s="153" t="s">
        <v>390</v>
      </c>
      <c r="AC383" s="153" t="s">
        <v>6035</v>
      </c>
      <c r="AD383" s="153" t="s">
        <v>6055</v>
      </c>
      <c r="AE383" s="153"/>
      <c r="AF383" s="153"/>
      <c r="AG383" s="158" t="s">
        <v>395</v>
      </c>
      <c r="AH383" s="153" t="s">
        <v>6060</v>
      </c>
      <c r="AI383" s="158" t="s">
        <v>6711</v>
      </c>
      <c r="AJ383" s="153" t="s">
        <v>398</v>
      </c>
      <c r="AK383" s="153"/>
    </row>
    <row r="384">
      <c r="A384" s="152">
        <v>2024.0</v>
      </c>
      <c r="B384" s="151">
        <v>130.0</v>
      </c>
      <c r="C384" s="153"/>
      <c r="D384" s="153"/>
      <c r="E384" s="153"/>
      <c r="F384" s="153"/>
      <c r="G384" s="153"/>
      <c r="H384" s="153" t="s">
        <v>257</v>
      </c>
      <c r="I384" s="153" t="s">
        <v>258</v>
      </c>
      <c r="J384" s="153" t="s">
        <v>1958</v>
      </c>
      <c r="K384" s="153" t="s">
        <v>1959</v>
      </c>
      <c r="L384" s="153" t="s">
        <v>6113</v>
      </c>
      <c r="M384" s="153"/>
      <c r="N384" s="230">
        <v>2015.0</v>
      </c>
      <c r="O384" s="230"/>
      <c r="P384" s="230"/>
      <c r="Q384" s="153" t="s">
        <v>151</v>
      </c>
      <c r="R384" s="153"/>
      <c r="S384" s="153"/>
      <c r="T384" s="153" t="s">
        <v>152</v>
      </c>
      <c r="U384" s="153" t="s">
        <v>369</v>
      </c>
      <c r="V384" s="153"/>
      <c r="W384" s="153"/>
      <c r="X384" s="153"/>
      <c r="Y384" s="153"/>
      <c r="Z384" s="153"/>
      <c r="AA384" s="153"/>
      <c r="AB384" s="153" t="s">
        <v>369</v>
      </c>
      <c r="AC384" s="153" t="s">
        <v>6035</v>
      </c>
      <c r="AD384" s="153" t="s">
        <v>390</v>
      </c>
      <c r="AE384" s="153"/>
      <c r="AF384" s="153"/>
      <c r="AG384" s="153" t="s">
        <v>8006</v>
      </c>
      <c r="AH384" s="153" t="s">
        <v>2445</v>
      </c>
      <c r="AI384" s="153" t="s">
        <v>2446</v>
      </c>
      <c r="AJ384" s="153"/>
      <c r="AK384" s="153"/>
    </row>
    <row r="385">
      <c r="A385" s="152">
        <v>2025.0</v>
      </c>
      <c r="B385" s="151">
        <v>298.0</v>
      </c>
      <c r="C385" s="153" t="s">
        <v>8189</v>
      </c>
      <c r="D385" s="153"/>
      <c r="E385" s="153"/>
      <c r="F385" s="153"/>
      <c r="G385" s="153"/>
      <c r="H385" s="153" t="s">
        <v>193</v>
      </c>
      <c r="I385" s="153" t="s">
        <v>194</v>
      </c>
      <c r="J385" s="153" t="s">
        <v>2189</v>
      </c>
      <c r="K385" s="153" t="s">
        <v>2190</v>
      </c>
      <c r="L385" s="153" t="s">
        <v>6587</v>
      </c>
      <c r="M385" s="153" t="s">
        <v>7142</v>
      </c>
      <c r="N385" s="164" t="s">
        <v>149</v>
      </c>
      <c r="O385" s="175" t="s">
        <v>6151</v>
      </c>
      <c r="P385" s="164" t="s">
        <v>149</v>
      </c>
      <c r="Q385" s="153" t="s">
        <v>151</v>
      </c>
      <c r="R385" s="158" t="s">
        <v>149</v>
      </c>
      <c r="S385" s="158" t="s">
        <v>149</v>
      </c>
      <c r="T385" s="153" t="s">
        <v>7101</v>
      </c>
      <c r="U385" s="153" t="s">
        <v>341</v>
      </c>
      <c r="V385" s="158" t="s">
        <v>160</v>
      </c>
      <c r="W385" s="158" t="s">
        <v>6035</v>
      </c>
      <c r="X385" s="158" t="s">
        <v>159</v>
      </c>
      <c r="Y385" s="158" t="s">
        <v>149</v>
      </c>
      <c r="Z385" s="158" t="s">
        <v>149</v>
      </c>
      <c r="AA385" s="158" t="s">
        <v>149</v>
      </c>
      <c r="AB385" s="153" t="s">
        <v>2160</v>
      </c>
      <c r="AC385" s="153" t="s">
        <v>6035</v>
      </c>
      <c r="AD385" s="153"/>
      <c r="AE385" s="153"/>
      <c r="AF385" s="153"/>
      <c r="AG385" s="158" t="s">
        <v>166</v>
      </c>
      <c r="AH385" s="153" t="s">
        <v>2161</v>
      </c>
      <c r="AI385" s="172" t="s">
        <v>2162</v>
      </c>
      <c r="AJ385" s="153"/>
      <c r="AK385" s="153"/>
    </row>
    <row r="386">
      <c r="A386" s="152">
        <v>2023.0</v>
      </c>
      <c r="B386" s="151">
        <v>361.0</v>
      </c>
      <c r="C386" s="129" t="s">
        <v>140</v>
      </c>
      <c r="D386" s="8"/>
      <c r="H386" s="8" t="s">
        <v>330</v>
      </c>
      <c r="I386" s="8" t="s">
        <v>2265</v>
      </c>
      <c r="J386" s="8" t="s">
        <v>1255</v>
      </c>
      <c r="K386" s="8" t="s">
        <v>2266</v>
      </c>
      <c r="L386" s="8" t="s">
        <v>6587</v>
      </c>
      <c r="N386" s="142"/>
      <c r="O386" s="142" t="s">
        <v>6151</v>
      </c>
      <c r="P386" s="142"/>
      <c r="Q386" s="8" t="s">
        <v>151</v>
      </c>
      <c r="U386" s="8" t="s">
        <v>341</v>
      </c>
      <c r="AB386" s="8" t="s">
        <v>369</v>
      </c>
    </row>
    <row r="387">
      <c r="A387" s="152">
        <v>2024.0</v>
      </c>
      <c r="B387" s="151">
        <v>131.0</v>
      </c>
      <c r="C387" s="153"/>
      <c r="D387" s="153"/>
      <c r="E387" s="153"/>
      <c r="F387" s="153"/>
      <c r="G387" s="153"/>
      <c r="H387" s="153" t="s">
        <v>257</v>
      </c>
      <c r="I387" s="153" t="s">
        <v>258</v>
      </c>
      <c r="J387" s="153" t="s">
        <v>1958</v>
      </c>
      <c r="K387" s="153" t="s">
        <v>1959</v>
      </c>
      <c r="L387" s="153" t="s">
        <v>6113</v>
      </c>
      <c r="M387" s="153"/>
      <c r="N387" s="230">
        <v>2016.0</v>
      </c>
      <c r="O387" s="230"/>
      <c r="P387" s="230"/>
      <c r="Q387" s="153" t="s">
        <v>151</v>
      </c>
      <c r="R387" s="153"/>
      <c r="S387" s="153"/>
      <c r="T387" s="153" t="s">
        <v>152</v>
      </c>
      <c r="U387" s="153" t="s">
        <v>369</v>
      </c>
      <c r="V387" s="153"/>
      <c r="W387" s="153"/>
      <c r="X387" s="153"/>
      <c r="Y387" s="153"/>
      <c r="Z387" s="153"/>
      <c r="AA387" s="153"/>
      <c r="AB387" s="153" t="s">
        <v>369</v>
      </c>
      <c r="AC387" s="153" t="s">
        <v>6035</v>
      </c>
      <c r="AD387" s="153" t="s">
        <v>390</v>
      </c>
      <c r="AE387" s="153"/>
      <c r="AF387" s="153"/>
      <c r="AG387" s="153" t="s">
        <v>8006</v>
      </c>
      <c r="AH387" s="153" t="s">
        <v>2445</v>
      </c>
      <c r="AI387" s="153" t="s">
        <v>2446</v>
      </c>
      <c r="AJ387" s="153"/>
      <c r="AK387" s="153"/>
    </row>
    <row r="388">
      <c r="A388" s="152">
        <v>2023.0</v>
      </c>
      <c r="B388" s="151">
        <v>362.0</v>
      </c>
      <c r="C388" s="129" t="s">
        <v>140</v>
      </c>
      <c r="D388" s="8"/>
      <c r="H388" s="8" t="s">
        <v>330</v>
      </c>
      <c r="I388" s="8" t="s">
        <v>2265</v>
      </c>
      <c r="J388" s="8" t="s">
        <v>1255</v>
      </c>
      <c r="K388" s="8" t="s">
        <v>2266</v>
      </c>
      <c r="L388" s="153" t="s">
        <v>2267</v>
      </c>
      <c r="M388" s="8" t="s">
        <v>7458</v>
      </c>
      <c r="N388" s="142" t="s">
        <v>18</v>
      </c>
      <c r="O388" s="142"/>
      <c r="P388" s="142"/>
      <c r="Q388" s="8" t="s">
        <v>6062</v>
      </c>
      <c r="R388" s="8" t="s">
        <v>320</v>
      </c>
      <c r="U388" s="8" t="s">
        <v>2271</v>
      </c>
      <c r="AB388" s="8" t="s">
        <v>2271</v>
      </c>
      <c r="AD388" s="8" t="s">
        <v>7459</v>
      </c>
      <c r="AE388" s="8" t="s">
        <v>7460</v>
      </c>
      <c r="AH388" s="8" t="s">
        <v>166</v>
      </c>
      <c r="AI388" s="172" t="s">
        <v>7461</v>
      </c>
    </row>
    <row r="389">
      <c r="A389" s="152">
        <v>2025.0</v>
      </c>
      <c r="B389" s="151">
        <v>383.0</v>
      </c>
      <c r="C389" s="153" t="s">
        <v>8189</v>
      </c>
      <c r="D389" s="153"/>
      <c r="E389" s="153"/>
      <c r="F389" s="153"/>
      <c r="G389" s="153"/>
      <c r="H389" s="153" t="s">
        <v>330</v>
      </c>
      <c r="I389" s="153" t="s">
        <v>2265</v>
      </c>
      <c r="J389" s="153" t="s">
        <v>1255</v>
      </c>
      <c r="K389" s="153" t="s">
        <v>2266</v>
      </c>
      <c r="L389" s="153" t="s">
        <v>2267</v>
      </c>
      <c r="M389" s="158" t="s">
        <v>7549</v>
      </c>
      <c r="N389" s="175" t="s">
        <v>18</v>
      </c>
      <c r="O389" s="160" t="s">
        <v>149</v>
      </c>
      <c r="P389" s="160" t="s">
        <v>149</v>
      </c>
      <c r="Q389" s="153" t="s">
        <v>6062</v>
      </c>
      <c r="R389" s="158" t="s">
        <v>2269</v>
      </c>
      <c r="S389" s="158" t="s">
        <v>2269</v>
      </c>
      <c r="T389" s="158" t="s">
        <v>2270</v>
      </c>
      <c r="U389" s="153" t="s">
        <v>2271</v>
      </c>
      <c r="V389" s="158" t="s">
        <v>160</v>
      </c>
      <c r="W389" s="158" t="s">
        <v>184</v>
      </c>
      <c r="X389" s="158" t="s">
        <v>159</v>
      </c>
      <c r="Y389" s="158" t="s">
        <v>149</v>
      </c>
      <c r="Z389" s="158" t="s">
        <v>7550</v>
      </c>
      <c r="AA389" s="158" t="s">
        <v>2273</v>
      </c>
      <c r="AB389" s="153" t="s">
        <v>2271</v>
      </c>
      <c r="AC389" s="153" t="s">
        <v>271</v>
      </c>
      <c r="AD389" s="158" t="s">
        <v>2274</v>
      </c>
      <c r="AE389" s="153"/>
      <c r="AF389" s="153"/>
      <c r="AG389" s="158" t="s">
        <v>6038</v>
      </c>
      <c r="AH389" s="158" t="s">
        <v>8289</v>
      </c>
      <c r="AI389" s="172" t="s">
        <v>2276</v>
      </c>
      <c r="AJ389" s="153"/>
      <c r="AK389" s="153"/>
    </row>
    <row r="390">
      <c r="A390" s="152">
        <v>2024.0</v>
      </c>
      <c r="B390" s="151">
        <v>132.0</v>
      </c>
      <c r="C390" s="153"/>
      <c r="D390" s="153"/>
      <c r="E390" s="153"/>
      <c r="F390" s="153"/>
      <c r="G390" s="153"/>
      <c r="H390" s="153" t="s">
        <v>257</v>
      </c>
      <c r="I390" s="153" t="s">
        <v>258</v>
      </c>
      <c r="J390" s="153" t="s">
        <v>1958</v>
      </c>
      <c r="K390" s="153" t="s">
        <v>1959</v>
      </c>
      <c r="L390" s="153" t="s">
        <v>6235</v>
      </c>
      <c r="M390" s="153"/>
      <c r="N390" s="230">
        <v>2023.0</v>
      </c>
      <c r="O390" s="192">
        <v>2021.0</v>
      </c>
      <c r="P390" s="192">
        <v>2025.0</v>
      </c>
      <c r="Q390" s="153" t="s">
        <v>6221</v>
      </c>
      <c r="R390" s="153" t="s">
        <v>200</v>
      </c>
      <c r="S390" s="153"/>
      <c r="T390" s="153"/>
      <c r="U390" s="153" t="s">
        <v>203</v>
      </c>
      <c r="V390" s="153"/>
      <c r="W390" s="153"/>
      <c r="X390" s="153"/>
      <c r="Y390" s="153"/>
      <c r="Z390" s="153"/>
      <c r="AA390" s="153"/>
      <c r="AB390" s="153" t="s">
        <v>208</v>
      </c>
      <c r="AC390" s="153" t="s">
        <v>209</v>
      </c>
      <c r="AD390" s="153" t="s">
        <v>6614</v>
      </c>
      <c r="AE390" s="153"/>
      <c r="AF390" s="153"/>
      <c r="AG390" s="153" t="s">
        <v>214</v>
      </c>
      <c r="AH390" s="153" t="s">
        <v>214</v>
      </c>
      <c r="AI390" s="153"/>
      <c r="AJ390" s="153"/>
      <c r="AK390" s="153"/>
    </row>
    <row r="391">
      <c r="A391" s="152">
        <v>2023.0</v>
      </c>
      <c r="B391" s="151">
        <v>363.0</v>
      </c>
      <c r="C391" s="129" t="s">
        <v>140</v>
      </c>
      <c r="D391" s="8"/>
      <c r="H391" s="8" t="s">
        <v>330</v>
      </c>
      <c r="I391" s="8" t="s">
        <v>331</v>
      </c>
      <c r="J391" s="8" t="s">
        <v>3991</v>
      </c>
      <c r="K391" s="8" t="s">
        <v>981</v>
      </c>
      <c r="L391" s="153" t="s">
        <v>1659</v>
      </c>
      <c r="N391" s="142"/>
      <c r="O391" s="142" t="s">
        <v>6198</v>
      </c>
      <c r="P391" s="142" t="s">
        <v>6896</v>
      </c>
      <c r="Q391" s="8" t="s">
        <v>151</v>
      </c>
      <c r="R391" s="8" t="s">
        <v>6897</v>
      </c>
      <c r="T391" s="8" t="s">
        <v>1380</v>
      </c>
      <c r="U391" s="8" t="s">
        <v>1663</v>
      </c>
      <c r="AB391" s="8" t="s">
        <v>1663</v>
      </c>
    </row>
    <row r="392">
      <c r="A392" s="152">
        <v>2023.0</v>
      </c>
      <c r="B392" s="151">
        <v>364.0</v>
      </c>
      <c r="C392" s="129" t="s">
        <v>140</v>
      </c>
      <c r="D392" s="8"/>
      <c r="H392" s="8" t="s">
        <v>330</v>
      </c>
      <c r="I392" s="8" t="s">
        <v>331</v>
      </c>
      <c r="J392" s="8" t="s">
        <v>3991</v>
      </c>
      <c r="K392" s="8" t="s">
        <v>981</v>
      </c>
      <c r="L392" s="8" t="s">
        <v>2023</v>
      </c>
      <c r="M392" s="8" t="s">
        <v>7405</v>
      </c>
      <c r="N392" s="142" t="s">
        <v>6151</v>
      </c>
      <c r="O392" s="142"/>
      <c r="P392" s="142"/>
      <c r="Q392" s="8" t="s">
        <v>151</v>
      </c>
      <c r="R392" s="8" t="s">
        <v>362</v>
      </c>
      <c r="U392" s="8" t="s">
        <v>2059</v>
      </c>
      <c r="AA392" s="8" t="s">
        <v>2060</v>
      </c>
      <c r="AB392" s="8" t="s">
        <v>2038</v>
      </c>
      <c r="AE392" s="8" t="s">
        <v>2061</v>
      </c>
      <c r="AH392" s="8" t="s">
        <v>6091</v>
      </c>
      <c r="AI392" s="172" t="s">
        <v>2063</v>
      </c>
      <c r="AJ392" s="8" t="s">
        <v>2064</v>
      </c>
    </row>
    <row r="393">
      <c r="A393" s="152">
        <v>2024.0</v>
      </c>
      <c r="B393" s="151">
        <v>133.0</v>
      </c>
      <c r="C393" s="153"/>
      <c r="D393" s="153"/>
      <c r="E393" s="153"/>
      <c r="F393" s="153"/>
      <c r="G393" s="153"/>
      <c r="H393" s="153" t="s">
        <v>257</v>
      </c>
      <c r="I393" s="153" t="s">
        <v>258</v>
      </c>
      <c r="J393" s="153" t="s">
        <v>1255</v>
      </c>
      <c r="K393" s="153" t="s">
        <v>1256</v>
      </c>
      <c r="L393" s="153" t="s">
        <v>1921</v>
      </c>
      <c r="M393" s="153" t="s">
        <v>6617</v>
      </c>
      <c r="N393" s="230" t="s">
        <v>8019</v>
      </c>
      <c r="O393" s="153"/>
      <c r="P393" s="153"/>
      <c r="Q393" s="153" t="s">
        <v>151</v>
      </c>
      <c r="R393" s="153" t="s">
        <v>851</v>
      </c>
      <c r="S393" s="153"/>
      <c r="T393" s="153" t="s">
        <v>1923</v>
      </c>
      <c r="U393" s="153" t="s">
        <v>1924</v>
      </c>
      <c r="V393" s="153"/>
      <c r="W393" s="153"/>
      <c r="X393" s="153"/>
      <c r="Y393" s="153"/>
      <c r="Z393" s="153"/>
      <c r="AA393" s="153" t="s">
        <v>1925</v>
      </c>
      <c r="AB393" s="153" t="s">
        <v>1926</v>
      </c>
      <c r="AC393" s="153" t="s">
        <v>271</v>
      </c>
      <c r="AD393" s="153"/>
      <c r="AE393" s="153" t="s">
        <v>724</v>
      </c>
      <c r="AF393" s="153"/>
      <c r="AG393" s="153" t="s">
        <v>7902</v>
      </c>
      <c r="AH393" s="153" t="s">
        <v>1927</v>
      </c>
      <c r="AI393" s="165" t="s">
        <v>1928</v>
      </c>
      <c r="AJ393" s="153"/>
      <c r="AK393" s="153"/>
    </row>
    <row r="394">
      <c r="A394" s="152">
        <v>2023.0</v>
      </c>
      <c r="B394" s="151">
        <v>365.0</v>
      </c>
      <c r="C394" s="129" t="s">
        <v>140</v>
      </c>
      <c r="D394" s="8"/>
      <c r="H394" s="8" t="s">
        <v>330</v>
      </c>
      <c r="I394" s="8" t="s">
        <v>331</v>
      </c>
      <c r="J394" s="8" t="s">
        <v>3991</v>
      </c>
      <c r="K394" s="8" t="s">
        <v>981</v>
      </c>
      <c r="L394" s="8" t="s">
        <v>6113</v>
      </c>
      <c r="M394" s="8" t="s">
        <v>7473</v>
      </c>
      <c r="N394" s="142" t="s">
        <v>6113</v>
      </c>
      <c r="O394" s="142"/>
      <c r="P394" s="142"/>
      <c r="Q394" s="8" t="s">
        <v>151</v>
      </c>
      <c r="AB394" s="8" t="s">
        <v>369</v>
      </c>
    </row>
    <row r="395">
      <c r="A395" s="152">
        <v>2023.0</v>
      </c>
      <c r="B395" s="151">
        <v>366.0</v>
      </c>
      <c r="C395" s="129" t="s">
        <v>140</v>
      </c>
      <c r="D395" s="8"/>
      <c r="H395" s="8" t="s">
        <v>330</v>
      </c>
      <c r="I395" s="8" t="s">
        <v>331</v>
      </c>
      <c r="J395" s="8" t="s">
        <v>3991</v>
      </c>
      <c r="K395" s="8" t="s">
        <v>981</v>
      </c>
      <c r="L395" s="8" t="s">
        <v>989</v>
      </c>
      <c r="N395" s="142" t="s">
        <v>6273</v>
      </c>
      <c r="O395" s="142"/>
      <c r="P395" s="142"/>
      <c r="Q395" s="8" t="s">
        <v>151</v>
      </c>
      <c r="R395" s="8" t="s">
        <v>152</v>
      </c>
      <c r="U395" s="8" t="s">
        <v>993</v>
      </c>
      <c r="AB395" s="8" t="s">
        <v>994</v>
      </c>
      <c r="AD395" s="8" t="s">
        <v>369</v>
      </c>
      <c r="AH395" s="8" t="s">
        <v>6038</v>
      </c>
      <c r="AI395" s="8" t="s">
        <v>997</v>
      </c>
    </row>
    <row r="396">
      <c r="A396" s="152">
        <v>2024.0</v>
      </c>
      <c r="B396" s="151">
        <v>134.0</v>
      </c>
      <c r="C396" s="153"/>
      <c r="D396" s="153"/>
      <c r="E396" s="153"/>
      <c r="F396" s="153"/>
      <c r="G396" s="153"/>
      <c r="H396" s="153" t="s">
        <v>257</v>
      </c>
      <c r="I396" s="153" t="s">
        <v>258</v>
      </c>
      <c r="J396" s="153" t="s">
        <v>1255</v>
      </c>
      <c r="K396" s="153" t="s">
        <v>1256</v>
      </c>
      <c r="L396" s="153" t="s">
        <v>1901</v>
      </c>
      <c r="M396" s="153"/>
      <c r="N396" s="230">
        <v>2017.0</v>
      </c>
      <c r="O396" s="230"/>
      <c r="P396" s="230"/>
      <c r="Q396" s="153" t="s">
        <v>6624</v>
      </c>
      <c r="R396" s="153" t="s">
        <v>6288</v>
      </c>
      <c r="S396" s="153"/>
      <c r="T396" s="153" t="s">
        <v>8020</v>
      </c>
      <c r="U396" s="153" t="s">
        <v>1906</v>
      </c>
      <c r="V396" s="153"/>
      <c r="W396" s="153"/>
      <c r="X396" s="153"/>
      <c r="Y396" s="153"/>
      <c r="Z396" s="153"/>
      <c r="AA396" s="153"/>
      <c r="AB396" s="153" t="s">
        <v>1906</v>
      </c>
      <c r="AC396" s="153" t="s">
        <v>8007</v>
      </c>
      <c r="AD396" s="153"/>
      <c r="AE396" s="153"/>
      <c r="AF396" s="153"/>
      <c r="AG396" s="153" t="s">
        <v>7902</v>
      </c>
      <c r="AH396" s="153" t="s">
        <v>1907</v>
      </c>
      <c r="AI396" s="165" t="s">
        <v>1908</v>
      </c>
      <c r="AJ396" s="153"/>
      <c r="AK396" s="153"/>
    </row>
    <row r="397">
      <c r="A397" s="152">
        <v>2025.0</v>
      </c>
      <c r="B397" s="151">
        <v>366.0</v>
      </c>
      <c r="C397" s="153" t="s">
        <v>8189</v>
      </c>
      <c r="D397" s="153"/>
      <c r="E397" s="153"/>
      <c r="F397" s="153"/>
      <c r="G397" s="153"/>
      <c r="H397" s="153" t="s">
        <v>330</v>
      </c>
      <c r="I397" s="153" t="s">
        <v>331</v>
      </c>
      <c r="J397" s="153" t="s">
        <v>3991</v>
      </c>
      <c r="K397" s="153" t="s">
        <v>981</v>
      </c>
      <c r="L397" s="153" t="s">
        <v>1659</v>
      </c>
      <c r="M397" s="158" t="s">
        <v>7476</v>
      </c>
      <c r="N397" s="160" t="s">
        <v>6333</v>
      </c>
      <c r="O397" s="175" t="s">
        <v>6198</v>
      </c>
      <c r="P397" s="175" t="s">
        <v>6896</v>
      </c>
      <c r="Q397" s="153" t="s">
        <v>151</v>
      </c>
      <c r="R397" s="153" t="s">
        <v>6897</v>
      </c>
      <c r="S397" s="158" t="s">
        <v>7067</v>
      </c>
      <c r="T397" s="153" t="s">
        <v>1380</v>
      </c>
      <c r="U397" s="158" t="s">
        <v>321</v>
      </c>
      <c r="V397" s="158" t="s">
        <v>160</v>
      </c>
      <c r="W397" s="158" t="s">
        <v>6035</v>
      </c>
      <c r="X397" s="158" t="s">
        <v>159</v>
      </c>
      <c r="Y397" s="158" t="s">
        <v>149</v>
      </c>
      <c r="Z397" s="158" t="s">
        <v>149</v>
      </c>
      <c r="AA397" s="158" t="s">
        <v>149</v>
      </c>
      <c r="AB397" s="153" t="s">
        <v>1663</v>
      </c>
      <c r="AC397" s="153" t="s">
        <v>6035</v>
      </c>
      <c r="AD397" s="153"/>
      <c r="AE397" s="153"/>
      <c r="AF397" s="153"/>
      <c r="AG397" s="158" t="s">
        <v>395</v>
      </c>
      <c r="AH397" s="153" t="s">
        <v>6060</v>
      </c>
      <c r="AI397" s="158" t="s">
        <v>6711</v>
      </c>
      <c r="AJ397" s="153"/>
      <c r="AK397" s="153"/>
    </row>
    <row r="398">
      <c r="A398" s="152">
        <v>2023.0</v>
      </c>
      <c r="B398" s="151">
        <v>367.0</v>
      </c>
      <c r="C398" s="129" t="s">
        <v>140</v>
      </c>
      <c r="D398" s="8"/>
      <c r="H398" s="8" t="s">
        <v>330</v>
      </c>
      <c r="I398" s="8" t="s">
        <v>331</v>
      </c>
      <c r="J398" s="8" t="s">
        <v>3991</v>
      </c>
      <c r="K398" s="8" t="s">
        <v>981</v>
      </c>
      <c r="L398" s="8" t="s">
        <v>7479</v>
      </c>
      <c r="M398" s="8" t="s">
        <v>7480</v>
      </c>
      <c r="N398" s="142" t="s">
        <v>6113</v>
      </c>
      <c r="O398" s="142"/>
      <c r="P398" s="142"/>
      <c r="Q398" s="8" t="s">
        <v>6062</v>
      </c>
      <c r="R398" s="8" t="s">
        <v>6276</v>
      </c>
      <c r="AE398" s="8" t="s">
        <v>2247</v>
      </c>
      <c r="AF398" s="8" t="s">
        <v>2248</v>
      </c>
      <c r="AH398" s="8" t="s">
        <v>6091</v>
      </c>
      <c r="AI398" s="172" t="s">
        <v>2250</v>
      </c>
    </row>
    <row r="399">
      <c r="A399" s="152">
        <v>2024.0</v>
      </c>
      <c r="B399" s="151">
        <v>135.0</v>
      </c>
      <c r="C399" s="153"/>
      <c r="D399" s="153"/>
      <c r="E399" s="153"/>
      <c r="F399" s="153"/>
      <c r="G399" s="153"/>
      <c r="H399" s="153" t="s">
        <v>257</v>
      </c>
      <c r="I399" s="153" t="s">
        <v>258</v>
      </c>
      <c r="J399" s="153" t="s">
        <v>1255</v>
      </c>
      <c r="K399" s="153" t="s">
        <v>1256</v>
      </c>
      <c r="L399" s="153" t="s">
        <v>1174</v>
      </c>
      <c r="M399" s="153"/>
      <c r="N399" s="230" t="s">
        <v>6113</v>
      </c>
      <c r="O399" s="230">
        <v>2012.0</v>
      </c>
      <c r="P399" s="230">
        <v>2013.0</v>
      </c>
      <c r="Q399" s="153" t="s">
        <v>6062</v>
      </c>
      <c r="R399" s="153" t="s">
        <v>320</v>
      </c>
      <c r="S399" s="153"/>
      <c r="T399" s="153"/>
      <c r="U399" s="153" t="s">
        <v>321</v>
      </c>
      <c r="V399" s="153"/>
      <c r="W399" s="153"/>
      <c r="X399" s="153"/>
      <c r="Y399" s="153"/>
      <c r="Z399" s="153"/>
      <c r="AA399" s="153" t="s">
        <v>6655</v>
      </c>
      <c r="AB399" s="153" t="s">
        <v>885</v>
      </c>
      <c r="AC399" s="153" t="s">
        <v>209</v>
      </c>
      <c r="AD399" s="153" t="s">
        <v>1259</v>
      </c>
      <c r="AE399" s="153"/>
      <c r="AF399" s="153"/>
      <c r="AG399" s="153" t="s">
        <v>6084</v>
      </c>
      <c r="AH399" s="153" t="s">
        <v>1260</v>
      </c>
      <c r="AI399" s="153" t="s">
        <v>6070</v>
      </c>
      <c r="AJ399" s="153"/>
      <c r="AK399" s="153"/>
    </row>
    <row r="400">
      <c r="A400" s="152">
        <v>2025.0</v>
      </c>
      <c r="B400" s="151">
        <v>367.0</v>
      </c>
      <c r="C400" s="153" t="s">
        <v>8189</v>
      </c>
      <c r="D400" s="153"/>
      <c r="E400" s="153"/>
      <c r="F400" s="153"/>
      <c r="G400" s="153"/>
      <c r="H400" s="153" t="s">
        <v>330</v>
      </c>
      <c r="I400" s="153" t="s">
        <v>331</v>
      </c>
      <c r="J400" s="153" t="s">
        <v>3991</v>
      </c>
      <c r="K400" s="153" t="s">
        <v>981</v>
      </c>
      <c r="L400" s="153" t="s">
        <v>2023</v>
      </c>
      <c r="M400" s="153" t="s">
        <v>2058</v>
      </c>
      <c r="N400" s="175" t="s">
        <v>6151</v>
      </c>
      <c r="O400" s="160" t="s">
        <v>149</v>
      </c>
      <c r="P400" s="160" t="s">
        <v>149</v>
      </c>
      <c r="Q400" s="153" t="s">
        <v>151</v>
      </c>
      <c r="R400" s="153" t="s">
        <v>362</v>
      </c>
      <c r="S400" s="158" t="s">
        <v>362</v>
      </c>
      <c r="T400" s="158" t="s">
        <v>149</v>
      </c>
      <c r="U400" s="153" t="s">
        <v>2059</v>
      </c>
      <c r="V400" s="158" t="s">
        <v>160</v>
      </c>
      <c r="W400" s="158" t="s">
        <v>184</v>
      </c>
      <c r="X400" s="158" t="s">
        <v>159</v>
      </c>
      <c r="Y400" s="158" t="s">
        <v>149</v>
      </c>
      <c r="Z400" s="158" t="s">
        <v>149</v>
      </c>
      <c r="AA400" s="153" t="s">
        <v>2060</v>
      </c>
      <c r="AB400" s="153" t="s">
        <v>2038</v>
      </c>
      <c r="AC400" s="153" t="s">
        <v>271</v>
      </c>
      <c r="AD400" s="153"/>
      <c r="AE400" s="153" t="s">
        <v>2061</v>
      </c>
      <c r="AF400" s="153"/>
      <c r="AG400" s="158" t="s">
        <v>6091</v>
      </c>
      <c r="AH400" s="153" t="s">
        <v>2062</v>
      </c>
      <c r="AI400" s="165" t="s">
        <v>2063</v>
      </c>
      <c r="AJ400" s="153" t="s">
        <v>2064</v>
      </c>
      <c r="AK400" s="153"/>
    </row>
    <row r="401">
      <c r="A401" s="152">
        <v>2023.0</v>
      </c>
      <c r="B401" s="151">
        <v>368.0</v>
      </c>
      <c r="C401" s="129" t="s">
        <v>140</v>
      </c>
      <c r="D401" s="8"/>
      <c r="H401" s="8" t="s">
        <v>330</v>
      </c>
      <c r="I401" s="8" t="s">
        <v>331</v>
      </c>
      <c r="J401" s="8" t="s">
        <v>3991</v>
      </c>
      <c r="K401" s="8" t="s">
        <v>981</v>
      </c>
      <c r="L401" s="8" t="s">
        <v>6587</v>
      </c>
      <c r="N401" s="142" t="s">
        <v>6113</v>
      </c>
      <c r="O401" s="142" t="s">
        <v>6151</v>
      </c>
      <c r="P401" s="142"/>
      <c r="Q401" s="8" t="s">
        <v>6624</v>
      </c>
      <c r="R401" s="8" t="s">
        <v>2218</v>
      </c>
      <c r="U401" s="8" t="s">
        <v>341</v>
      </c>
      <c r="AB401" s="8" t="s">
        <v>341</v>
      </c>
      <c r="AH401" s="8" t="s">
        <v>166</v>
      </c>
      <c r="AI401" s="8" t="s">
        <v>2220</v>
      </c>
    </row>
    <row r="402">
      <c r="A402" s="152">
        <v>2024.0</v>
      </c>
      <c r="B402" s="151">
        <v>136.0</v>
      </c>
      <c r="C402" s="153"/>
      <c r="D402" s="153"/>
      <c r="E402" s="153"/>
      <c r="F402" s="153"/>
      <c r="G402" s="153"/>
      <c r="H402" s="153" t="s">
        <v>257</v>
      </c>
      <c r="I402" s="153" t="s">
        <v>258</v>
      </c>
      <c r="J402" s="153" t="s">
        <v>1255</v>
      </c>
      <c r="K402" s="153" t="s">
        <v>1256</v>
      </c>
      <c r="L402" s="153" t="s">
        <v>6659</v>
      </c>
      <c r="M402" s="153" t="s">
        <v>8021</v>
      </c>
      <c r="N402" s="230">
        <v>2016.0</v>
      </c>
      <c r="O402" s="230"/>
      <c r="P402" s="230"/>
      <c r="Q402" s="153" t="s">
        <v>8022</v>
      </c>
      <c r="R402" s="153" t="s">
        <v>2082</v>
      </c>
      <c r="S402" s="153"/>
      <c r="T402" s="153" t="s">
        <v>6660</v>
      </c>
      <c r="U402" s="153" t="s">
        <v>2084</v>
      </c>
      <c r="V402" s="153"/>
      <c r="W402" s="153"/>
      <c r="X402" s="153"/>
      <c r="Y402" s="153"/>
      <c r="Z402" s="153"/>
      <c r="AA402" s="153" t="s">
        <v>6637</v>
      </c>
      <c r="AB402" s="153" t="s">
        <v>6661</v>
      </c>
      <c r="AC402" s="153" t="s">
        <v>8005</v>
      </c>
      <c r="AD402" s="153" t="s">
        <v>2087</v>
      </c>
      <c r="AE402" s="153"/>
      <c r="AF402" s="153"/>
      <c r="AG402" s="153" t="s">
        <v>8006</v>
      </c>
      <c r="AH402" s="153" t="s">
        <v>8290</v>
      </c>
      <c r="AI402" s="165" t="s">
        <v>2090</v>
      </c>
      <c r="AJ402" s="153"/>
      <c r="AK402" s="153"/>
    </row>
    <row r="403">
      <c r="A403" s="152">
        <v>2025.0</v>
      </c>
      <c r="B403" s="151">
        <v>368.0</v>
      </c>
      <c r="C403" s="153" t="s">
        <v>8189</v>
      </c>
      <c r="D403" s="153"/>
      <c r="E403" s="153"/>
      <c r="F403" s="153"/>
      <c r="G403" s="153"/>
      <c r="H403" s="153" t="s">
        <v>330</v>
      </c>
      <c r="I403" s="153" t="s">
        <v>331</v>
      </c>
      <c r="J403" s="153" t="s">
        <v>3991</v>
      </c>
      <c r="K403" s="153" t="s">
        <v>981</v>
      </c>
      <c r="L403" s="153" t="s">
        <v>989</v>
      </c>
      <c r="M403" s="158" t="s">
        <v>990</v>
      </c>
      <c r="N403" s="175" t="s">
        <v>6273</v>
      </c>
      <c r="O403" s="160" t="s">
        <v>149</v>
      </c>
      <c r="P403" s="160" t="s">
        <v>149</v>
      </c>
      <c r="Q403" s="153" t="s">
        <v>151</v>
      </c>
      <c r="R403" s="153" t="s">
        <v>152</v>
      </c>
      <c r="S403" s="158" t="s">
        <v>991</v>
      </c>
      <c r="T403" s="158" t="s">
        <v>992</v>
      </c>
      <c r="U403" s="153" t="s">
        <v>993</v>
      </c>
      <c r="V403" s="158" t="s">
        <v>160</v>
      </c>
      <c r="W403" s="158" t="s">
        <v>6035</v>
      </c>
      <c r="X403" s="158" t="s">
        <v>159</v>
      </c>
      <c r="Y403" s="158" t="s">
        <v>149</v>
      </c>
      <c r="Z403" s="158" t="s">
        <v>149</v>
      </c>
      <c r="AA403" s="158" t="s">
        <v>149</v>
      </c>
      <c r="AB403" s="153" t="s">
        <v>994</v>
      </c>
      <c r="AC403" s="153" t="s">
        <v>6035</v>
      </c>
      <c r="AD403" s="153" t="s">
        <v>8291</v>
      </c>
      <c r="AE403" s="153"/>
      <c r="AF403" s="153"/>
      <c r="AG403" s="153" t="s">
        <v>6038</v>
      </c>
      <c r="AH403" s="153" t="s">
        <v>7485</v>
      </c>
      <c r="AI403" s="165" t="s">
        <v>997</v>
      </c>
      <c r="AJ403" s="153"/>
      <c r="AK403" s="153"/>
    </row>
    <row r="404">
      <c r="A404" s="152">
        <v>2023.0</v>
      </c>
      <c r="B404" s="151">
        <v>369.0</v>
      </c>
      <c r="C404" s="129" t="s">
        <v>140</v>
      </c>
      <c r="D404" s="8"/>
      <c r="H404" s="8" t="s">
        <v>330</v>
      </c>
      <c r="I404" s="8" t="s">
        <v>331</v>
      </c>
      <c r="J404" s="8" t="s">
        <v>3991</v>
      </c>
      <c r="K404" s="8" t="s">
        <v>981</v>
      </c>
      <c r="L404" s="8" t="s">
        <v>6113</v>
      </c>
      <c r="N404" s="142" t="s">
        <v>6030</v>
      </c>
      <c r="O404" s="142"/>
      <c r="P404" s="142"/>
      <c r="Q404" s="8" t="s">
        <v>151</v>
      </c>
      <c r="R404" s="8" t="s">
        <v>7487</v>
      </c>
      <c r="T404" s="8" t="s">
        <v>2751</v>
      </c>
      <c r="U404" s="8" t="s">
        <v>2765</v>
      </c>
      <c r="AB404" s="8" t="s">
        <v>2765</v>
      </c>
      <c r="AH404" s="8" t="s">
        <v>166</v>
      </c>
      <c r="AI404" s="172" t="s">
        <v>2767</v>
      </c>
    </row>
    <row r="405">
      <c r="A405" s="152">
        <v>2024.0</v>
      </c>
      <c r="B405" s="151">
        <v>137.0</v>
      </c>
      <c r="C405" s="153"/>
      <c r="D405" s="153"/>
      <c r="E405" s="153"/>
      <c r="F405" s="153"/>
      <c r="G405" s="153"/>
      <c r="H405" s="153" t="s">
        <v>257</v>
      </c>
      <c r="I405" s="153" t="s">
        <v>258</v>
      </c>
      <c r="J405" s="153" t="s">
        <v>259</v>
      </c>
      <c r="K405" s="153" t="s">
        <v>260</v>
      </c>
      <c r="L405" s="153" t="s">
        <v>261</v>
      </c>
      <c r="M405" s="153"/>
      <c r="N405" s="230">
        <v>2012.0</v>
      </c>
      <c r="O405" s="230"/>
      <c r="P405" s="230"/>
      <c r="Q405" s="153" t="s">
        <v>6624</v>
      </c>
      <c r="R405" s="153" t="s">
        <v>6666</v>
      </c>
      <c r="S405" s="153"/>
      <c r="T405" s="153" t="s">
        <v>6667</v>
      </c>
      <c r="U405" s="153" t="s">
        <v>270</v>
      </c>
      <c r="V405" s="153"/>
      <c r="W405" s="153"/>
      <c r="X405" s="153"/>
      <c r="Y405" s="153"/>
      <c r="Z405" s="153"/>
      <c r="AA405" s="153"/>
      <c r="AB405" s="153" t="s">
        <v>6643</v>
      </c>
      <c r="AC405" s="153" t="s">
        <v>271</v>
      </c>
      <c r="AD405" s="153"/>
      <c r="AE405" s="153"/>
      <c r="AF405" s="153"/>
      <c r="AG405" s="153" t="s">
        <v>8006</v>
      </c>
      <c r="AH405" s="153" t="s">
        <v>274</v>
      </c>
      <c r="AI405" s="172" t="s">
        <v>8024</v>
      </c>
      <c r="AJ405" s="153"/>
      <c r="AK405" s="153"/>
    </row>
    <row r="406">
      <c r="A406" s="152">
        <v>2025.0</v>
      </c>
      <c r="B406" s="151">
        <v>369.0</v>
      </c>
      <c r="C406" s="153" t="s">
        <v>8189</v>
      </c>
      <c r="D406" s="153"/>
      <c r="E406" s="153"/>
      <c r="F406" s="153"/>
      <c r="G406" s="153"/>
      <c r="H406" s="153" t="s">
        <v>330</v>
      </c>
      <c r="I406" s="153" t="s">
        <v>331</v>
      </c>
      <c r="J406" s="153" t="s">
        <v>3991</v>
      </c>
      <c r="K406" s="153" t="s">
        <v>981</v>
      </c>
      <c r="L406" s="153" t="s">
        <v>2244</v>
      </c>
      <c r="M406" s="153" t="s">
        <v>8292</v>
      </c>
      <c r="N406" s="160" t="s">
        <v>149</v>
      </c>
      <c r="O406" s="160" t="s">
        <v>149</v>
      </c>
      <c r="P406" s="160" t="s">
        <v>149</v>
      </c>
      <c r="Q406" s="153" t="s">
        <v>6062</v>
      </c>
      <c r="R406" s="153" t="s">
        <v>6276</v>
      </c>
      <c r="S406" s="158" t="s">
        <v>2246</v>
      </c>
      <c r="T406" s="158" t="s">
        <v>202</v>
      </c>
      <c r="U406" s="158" t="s">
        <v>149</v>
      </c>
      <c r="V406" s="158" t="s">
        <v>149</v>
      </c>
      <c r="W406" s="158" t="s">
        <v>149</v>
      </c>
      <c r="X406" s="158" t="s">
        <v>159</v>
      </c>
      <c r="Y406" s="158" t="s">
        <v>149</v>
      </c>
      <c r="Z406" s="158" t="s">
        <v>149</v>
      </c>
      <c r="AA406" s="158" t="s">
        <v>149</v>
      </c>
      <c r="AB406" s="158" t="s">
        <v>149</v>
      </c>
      <c r="AC406" s="158" t="s">
        <v>149</v>
      </c>
      <c r="AD406" s="153"/>
      <c r="AE406" s="153" t="s">
        <v>2247</v>
      </c>
      <c r="AF406" s="153" t="s">
        <v>2248</v>
      </c>
      <c r="AG406" s="158" t="s">
        <v>6091</v>
      </c>
      <c r="AH406" s="153" t="s">
        <v>2249</v>
      </c>
      <c r="AI406" s="165" t="s">
        <v>2250</v>
      </c>
      <c r="AJ406" s="153"/>
      <c r="AK406" s="153"/>
    </row>
    <row r="407">
      <c r="A407" s="152">
        <v>2023.0</v>
      </c>
      <c r="B407" s="151">
        <v>370.0</v>
      </c>
      <c r="C407" s="129" t="s">
        <v>140</v>
      </c>
      <c r="D407" s="8"/>
      <c r="H407" s="8" t="s">
        <v>330</v>
      </c>
      <c r="I407" s="8" t="s">
        <v>331</v>
      </c>
      <c r="J407" s="8" t="s">
        <v>3991</v>
      </c>
      <c r="K407" s="8" t="s">
        <v>981</v>
      </c>
      <c r="L407" s="8" t="s">
        <v>6113</v>
      </c>
      <c r="N407" s="142" t="s">
        <v>6145</v>
      </c>
      <c r="O407" s="142"/>
      <c r="P407" s="142"/>
      <c r="Q407" s="8" t="s">
        <v>151</v>
      </c>
      <c r="T407" s="8" t="s">
        <v>779</v>
      </c>
      <c r="U407" s="8" t="s">
        <v>2520</v>
      </c>
      <c r="AB407" s="8" t="s">
        <v>2522</v>
      </c>
      <c r="AD407" s="8" t="s">
        <v>3048</v>
      </c>
      <c r="AE407" s="8" t="s">
        <v>7491</v>
      </c>
      <c r="AH407" s="8" t="s">
        <v>166</v>
      </c>
      <c r="AI407" s="8" t="s">
        <v>7492</v>
      </c>
      <c r="AJ407" s="8" t="s">
        <v>7493</v>
      </c>
    </row>
    <row r="408">
      <c r="A408" s="152">
        <v>2024.0</v>
      </c>
      <c r="B408" s="151">
        <v>138.0</v>
      </c>
      <c r="C408" s="153"/>
      <c r="D408" s="153"/>
      <c r="E408" s="153"/>
      <c r="F408" s="153"/>
      <c r="G408" s="153"/>
      <c r="H408" s="153" t="s">
        <v>257</v>
      </c>
      <c r="I408" s="153" t="s">
        <v>258</v>
      </c>
      <c r="J408" s="153" t="s">
        <v>259</v>
      </c>
      <c r="K408" s="153" t="s">
        <v>260</v>
      </c>
      <c r="L408" s="153" t="s">
        <v>6113</v>
      </c>
      <c r="M408" s="153"/>
      <c r="N408" s="230">
        <v>2018.0</v>
      </c>
      <c r="O408" s="230"/>
      <c r="P408" s="230"/>
      <c r="Q408" s="153" t="s">
        <v>151</v>
      </c>
      <c r="R408" s="153"/>
      <c r="S408" s="153"/>
      <c r="T408" s="153"/>
      <c r="U408" s="153" t="s">
        <v>6671</v>
      </c>
      <c r="V408" s="153"/>
      <c r="W408" s="153"/>
      <c r="X408" s="153"/>
      <c r="Y408" s="153"/>
      <c r="Z408" s="153"/>
      <c r="AA408" s="153"/>
      <c r="AB408" s="153" t="s">
        <v>6672</v>
      </c>
      <c r="AC408" s="153" t="s">
        <v>6035</v>
      </c>
      <c r="AD408" s="153" t="s">
        <v>341</v>
      </c>
      <c r="AE408" s="153" t="s">
        <v>6673</v>
      </c>
      <c r="AF408" s="153" t="s">
        <v>3042</v>
      </c>
      <c r="AG408" s="153" t="s">
        <v>7003</v>
      </c>
      <c r="AH408" s="153" t="s">
        <v>3043</v>
      </c>
      <c r="AI408" s="165" t="s">
        <v>3044</v>
      </c>
      <c r="AJ408" s="153"/>
      <c r="AK408" s="153"/>
    </row>
    <row r="409">
      <c r="A409" s="152">
        <v>2025.0</v>
      </c>
      <c r="B409" s="151">
        <v>370.0</v>
      </c>
      <c r="C409" s="153" t="s">
        <v>8189</v>
      </c>
      <c r="D409" s="153"/>
      <c r="E409" s="153"/>
      <c r="F409" s="153"/>
      <c r="G409" s="153"/>
      <c r="H409" s="153" t="s">
        <v>330</v>
      </c>
      <c r="I409" s="153" t="s">
        <v>331</v>
      </c>
      <c r="J409" s="153" t="s">
        <v>3991</v>
      </c>
      <c r="K409" s="153" t="s">
        <v>981</v>
      </c>
      <c r="L409" s="153" t="s">
        <v>6587</v>
      </c>
      <c r="M409" s="158" t="s">
        <v>7495</v>
      </c>
      <c r="N409" s="160" t="s">
        <v>6151</v>
      </c>
      <c r="O409" s="175" t="s">
        <v>6151</v>
      </c>
      <c r="P409" s="160" t="s">
        <v>149</v>
      </c>
      <c r="Q409" s="153" t="s">
        <v>6624</v>
      </c>
      <c r="R409" s="153" t="s">
        <v>2218</v>
      </c>
      <c r="S409" s="158" t="s">
        <v>2218</v>
      </c>
      <c r="T409" s="153"/>
      <c r="U409" s="153" t="s">
        <v>341</v>
      </c>
      <c r="V409" s="158" t="s">
        <v>160</v>
      </c>
      <c r="W409" s="158" t="s">
        <v>6035</v>
      </c>
      <c r="X409" s="158" t="s">
        <v>159</v>
      </c>
      <c r="Y409" s="158" t="s">
        <v>149</v>
      </c>
      <c r="Z409" s="158" t="s">
        <v>7496</v>
      </c>
      <c r="AA409" s="158" t="s">
        <v>149</v>
      </c>
      <c r="AB409" s="153" t="s">
        <v>341</v>
      </c>
      <c r="AC409" s="153" t="s">
        <v>6035</v>
      </c>
      <c r="AD409" s="153"/>
      <c r="AE409" s="153"/>
      <c r="AF409" s="153"/>
      <c r="AG409" s="158" t="s">
        <v>166</v>
      </c>
      <c r="AH409" s="153" t="s">
        <v>8293</v>
      </c>
      <c r="AI409" s="172" t="s">
        <v>2220</v>
      </c>
      <c r="AJ409" s="153"/>
      <c r="AK409" s="153"/>
    </row>
    <row r="410">
      <c r="A410" s="152">
        <v>2023.0</v>
      </c>
      <c r="B410" s="151">
        <v>371.0</v>
      </c>
      <c r="C410" s="129" t="s">
        <v>140</v>
      </c>
      <c r="D410" s="8"/>
      <c r="H410" s="8" t="s">
        <v>330</v>
      </c>
      <c r="I410" s="8" t="s">
        <v>331</v>
      </c>
      <c r="J410" s="8" t="s">
        <v>3991</v>
      </c>
      <c r="K410" s="8" t="s">
        <v>981</v>
      </c>
      <c r="L410" s="8" t="s">
        <v>934</v>
      </c>
      <c r="N410" s="142" t="s">
        <v>6229</v>
      </c>
      <c r="O410" s="142" t="s">
        <v>6229</v>
      </c>
      <c r="P410" s="142" t="s">
        <v>6230</v>
      </c>
      <c r="Q410" s="8" t="s">
        <v>6062</v>
      </c>
      <c r="R410" s="8" t="s">
        <v>6276</v>
      </c>
      <c r="T410" s="8" t="s">
        <v>939</v>
      </c>
      <c r="U410" s="8" t="s">
        <v>940</v>
      </c>
      <c r="AB410" s="8" t="s">
        <v>233</v>
      </c>
      <c r="AH410" s="8" t="s">
        <v>6214</v>
      </c>
      <c r="AI410" s="8" t="s">
        <v>942</v>
      </c>
      <c r="AJ410" s="8" t="s">
        <v>943</v>
      </c>
    </row>
    <row r="411">
      <c r="A411" s="152">
        <v>2024.0</v>
      </c>
      <c r="B411" s="151">
        <v>139.0</v>
      </c>
      <c r="C411" s="153"/>
      <c r="D411" s="153"/>
      <c r="E411" s="153"/>
      <c r="F411" s="153"/>
      <c r="G411" s="153"/>
      <c r="H411" s="153" t="s">
        <v>257</v>
      </c>
      <c r="I411" s="153" t="s">
        <v>258</v>
      </c>
      <c r="J411" s="153" t="s">
        <v>1667</v>
      </c>
      <c r="K411" s="153" t="s">
        <v>3010</v>
      </c>
      <c r="L411" s="153" t="s">
        <v>6113</v>
      </c>
      <c r="M411" s="153"/>
      <c r="N411" s="230">
        <v>1984.0</v>
      </c>
      <c r="O411" s="230"/>
      <c r="P411" s="230"/>
      <c r="Q411" s="153" t="s">
        <v>151</v>
      </c>
      <c r="R411" s="153"/>
      <c r="S411" s="153"/>
      <c r="T411" s="153"/>
      <c r="U411" s="153"/>
      <c r="V411" s="153"/>
      <c r="W411" s="153"/>
      <c r="X411" s="153"/>
      <c r="Y411" s="153"/>
      <c r="Z411" s="153"/>
      <c r="AA411" s="153"/>
      <c r="AB411" s="153" t="s">
        <v>6113</v>
      </c>
      <c r="AC411" s="153" t="s">
        <v>6113</v>
      </c>
      <c r="AD411" s="153"/>
      <c r="AE411" s="153"/>
      <c r="AF411" s="153"/>
      <c r="AG411" s="153" t="s">
        <v>8004</v>
      </c>
      <c r="AH411" s="153" t="s">
        <v>6060</v>
      </c>
      <c r="AI411" s="153" t="s">
        <v>2873</v>
      </c>
      <c r="AJ411" s="153" t="s">
        <v>398</v>
      </c>
      <c r="AK411" s="153"/>
    </row>
    <row r="412">
      <c r="A412" s="152">
        <v>2025.0</v>
      </c>
      <c r="B412" s="151">
        <v>371.0</v>
      </c>
      <c r="C412" s="153" t="s">
        <v>8189</v>
      </c>
      <c r="D412" s="153"/>
      <c r="E412" s="153"/>
      <c r="F412" s="153"/>
      <c r="G412" s="153"/>
      <c r="H412" s="153" t="s">
        <v>330</v>
      </c>
      <c r="I412" s="153" t="s">
        <v>331</v>
      </c>
      <c r="J412" s="153" t="s">
        <v>3991</v>
      </c>
      <c r="K412" s="153" t="s">
        <v>981</v>
      </c>
      <c r="L412" s="158" t="s">
        <v>149</v>
      </c>
      <c r="M412" s="153" t="s">
        <v>2762</v>
      </c>
      <c r="N412" s="160" t="s">
        <v>149</v>
      </c>
      <c r="O412" s="160" t="s">
        <v>149</v>
      </c>
      <c r="P412" s="160" t="s">
        <v>149</v>
      </c>
      <c r="Q412" s="153" t="s">
        <v>151</v>
      </c>
      <c r="R412" s="153" t="s">
        <v>2763</v>
      </c>
      <c r="S412" s="158" t="s">
        <v>2763</v>
      </c>
      <c r="T412" s="153" t="s">
        <v>6863</v>
      </c>
      <c r="U412" s="153" t="s">
        <v>2765</v>
      </c>
      <c r="V412" s="158" t="s">
        <v>160</v>
      </c>
      <c r="W412" s="158" t="s">
        <v>184</v>
      </c>
      <c r="X412" s="158" t="s">
        <v>159</v>
      </c>
      <c r="Y412" s="158" t="s">
        <v>149</v>
      </c>
      <c r="Z412" s="158" t="s">
        <v>149</v>
      </c>
      <c r="AA412" s="158" t="s">
        <v>149</v>
      </c>
      <c r="AB412" s="153" t="s">
        <v>2765</v>
      </c>
      <c r="AC412" s="158" t="s">
        <v>184</v>
      </c>
      <c r="AD412" s="153"/>
      <c r="AE412" s="153"/>
      <c r="AF412" s="153"/>
      <c r="AG412" s="158" t="s">
        <v>6517</v>
      </c>
      <c r="AH412" s="153" t="s">
        <v>2766</v>
      </c>
      <c r="AI412" s="165" t="s">
        <v>2767</v>
      </c>
      <c r="AJ412" s="153"/>
      <c r="AK412" s="153"/>
    </row>
    <row r="413">
      <c r="A413" s="152">
        <v>2023.0</v>
      </c>
      <c r="B413" s="151">
        <v>372.0</v>
      </c>
      <c r="C413" s="129" t="s">
        <v>140</v>
      </c>
      <c r="D413" s="8"/>
      <c r="H413" s="8" t="s">
        <v>330</v>
      </c>
      <c r="I413" s="8" t="s">
        <v>331</v>
      </c>
      <c r="J413" s="8" t="s">
        <v>8172</v>
      </c>
      <c r="K413" s="8" t="s">
        <v>333</v>
      </c>
      <c r="L413" s="8" t="s">
        <v>334</v>
      </c>
      <c r="N413" s="142" t="s">
        <v>6404</v>
      </c>
      <c r="O413" s="142" t="s">
        <v>6404</v>
      </c>
      <c r="P413" s="142" t="s">
        <v>6064</v>
      </c>
      <c r="Q413" s="8" t="s">
        <v>151</v>
      </c>
      <c r="Z413" s="8" t="s">
        <v>7503</v>
      </c>
      <c r="AA413" s="8" t="s">
        <v>340</v>
      </c>
      <c r="AB413" s="8" t="s">
        <v>7504</v>
      </c>
      <c r="AD413" s="8" t="s">
        <v>341</v>
      </c>
      <c r="AH413" s="8" t="s">
        <v>166</v>
      </c>
      <c r="AI413" s="8" t="s">
        <v>7505</v>
      </c>
    </row>
    <row r="414">
      <c r="A414" s="152">
        <v>2024.0</v>
      </c>
      <c r="B414" s="151">
        <v>140.0</v>
      </c>
      <c r="C414" s="153"/>
      <c r="D414" s="153"/>
      <c r="E414" s="153"/>
      <c r="F414" s="153"/>
      <c r="G414" s="153"/>
      <c r="H414" s="153" t="s">
        <v>257</v>
      </c>
      <c r="I414" s="153" t="s">
        <v>258</v>
      </c>
      <c r="J414" s="153" t="s">
        <v>491</v>
      </c>
      <c r="K414" s="173" t="s">
        <v>492</v>
      </c>
      <c r="L414" s="153" t="s">
        <v>384</v>
      </c>
      <c r="M414" s="153" t="s">
        <v>6678</v>
      </c>
      <c r="N414" s="230">
        <v>1982.0</v>
      </c>
      <c r="O414" s="230"/>
      <c r="P414" s="230"/>
      <c r="Q414" s="153" t="s">
        <v>151</v>
      </c>
      <c r="R414" s="153" t="s">
        <v>6076</v>
      </c>
      <c r="S414" s="153"/>
      <c r="T414" s="153"/>
      <c r="U414" s="153" t="s">
        <v>390</v>
      </c>
      <c r="V414" s="153"/>
      <c r="W414" s="153"/>
      <c r="X414" s="153"/>
      <c r="Y414" s="153"/>
      <c r="Z414" s="153"/>
      <c r="AA414" s="153" t="s">
        <v>2862</v>
      </c>
      <c r="AB414" s="153" t="s">
        <v>390</v>
      </c>
      <c r="AC414" s="153" t="s">
        <v>6035</v>
      </c>
      <c r="AD414" s="153" t="s">
        <v>6055</v>
      </c>
      <c r="AE414" s="153"/>
      <c r="AF414" s="153"/>
      <c r="AG414" s="153" t="s">
        <v>6084</v>
      </c>
      <c r="AH414" s="153" t="s">
        <v>8294</v>
      </c>
      <c r="AI414" s="165" t="s">
        <v>6080</v>
      </c>
      <c r="AJ414" s="153"/>
      <c r="AK414" s="153"/>
    </row>
    <row r="415">
      <c r="A415" s="152">
        <v>2025.0</v>
      </c>
      <c r="B415" s="151">
        <v>372.0</v>
      </c>
      <c r="C415" s="153" t="s">
        <v>8189</v>
      </c>
      <c r="D415" s="153"/>
      <c r="E415" s="153"/>
      <c r="F415" s="153"/>
      <c r="G415" s="153"/>
      <c r="H415" s="153" t="s">
        <v>330</v>
      </c>
      <c r="I415" s="153" t="s">
        <v>331</v>
      </c>
      <c r="J415" s="153" t="s">
        <v>3991</v>
      </c>
      <c r="K415" s="153" t="s">
        <v>981</v>
      </c>
      <c r="L415" s="158" t="s">
        <v>149</v>
      </c>
      <c r="M415" s="153" t="s">
        <v>2519</v>
      </c>
      <c r="N415" s="175" t="s">
        <v>6145</v>
      </c>
      <c r="O415" s="160" t="s">
        <v>6145</v>
      </c>
      <c r="P415" s="160" t="s">
        <v>149</v>
      </c>
      <c r="Q415" s="153" t="s">
        <v>151</v>
      </c>
      <c r="R415" s="158" t="s">
        <v>670</v>
      </c>
      <c r="S415" s="158" t="s">
        <v>670</v>
      </c>
      <c r="T415" s="153" t="s">
        <v>779</v>
      </c>
      <c r="U415" s="153" t="s">
        <v>2520</v>
      </c>
      <c r="V415" s="158" t="s">
        <v>160</v>
      </c>
      <c r="W415" s="158" t="s">
        <v>184</v>
      </c>
      <c r="X415" s="158" t="s">
        <v>159</v>
      </c>
      <c r="Y415" s="158" t="s">
        <v>149</v>
      </c>
      <c r="Z415" s="158" t="s">
        <v>149</v>
      </c>
      <c r="AA415" s="153" t="s">
        <v>2521</v>
      </c>
      <c r="AB415" s="153" t="s">
        <v>2522</v>
      </c>
      <c r="AC415" s="158" t="s">
        <v>184</v>
      </c>
      <c r="AD415" s="153" t="s">
        <v>2523</v>
      </c>
      <c r="AE415" s="153" t="s">
        <v>2524</v>
      </c>
      <c r="AF415" s="153"/>
      <c r="AG415" s="153" t="s">
        <v>6038</v>
      </c>
      <c r="AH415" s="153" t="s">
        <v>2525</v>
      </c>
      <c r="AI415" s="153" t="s">
        <v>2526</v>
      </c>
      <c r="AJ415" s="153"/>
      <c r="AK415" s="153"/>
    </row>
    <row r="416">
      <c r="A416" s="152">
        <v>2023.0</v>
      </c>
      <c r="B416" s="151">
        <v>373.0</v>
      </c>
      <c r="C416" s="129" t="s">
        <v>140</v>
      </c>
      <c r="D416" s="8"/>
      <c r="H416" s="8" t="s">
        <v>330</v>
      </c>
      <c r="I416" s="8" t="s">
        <v>331</v>
      </c>
      <c r="J416" s="8" t="s">
        <v>8172</v>
      </c>
      <c r="K416" s="8" t="s">
        <v>333</v>
      </c>
      <c r="L416" s="153" t="s">
        <v>1580</v>
      </c>
      <c r="N416" s="142" t="s">
        <v>6113</v>
      </c>
      <c r="O416" s="142"/>
      <c r="P416" s="142"/>
      <c r="Q416" s="8" t="s">
        <v>151</v>
      </c>
      <c r="R416" s="8" t="s">
        <v>362</v>
      </c>
      <c r="T416" s="8" t="s">
        <v>1582</v>
      </c>
      <c r="U416" s="8" t="s">
        <v>228</v>
      </c>
      <c r="AA416" s="188" t="s">
        <v>1583</v>
      </c>
      <c r="AB416" s="8" t="s">
        <v>7509</v>
      </c>
      <c r="AH416" s="8" t="s">
        <v>6038</v>
      </c>
      <c r="AI416" s="8" t="s">
        <v>1585</v>
      </c>
    </row>
    <row r="417">
      <c r="A417" s="152">
        <v>2024.0</v>
      </c>
      <c r="B417" s="151">
        <v>141.0</v>
      </c>
      <c r="C417" s="153"/>
      <c r="D417" s="153"/>
      <c r="E417" s="153"/>
      <c r="F417" s="153"/>
      <c r="G417" s="153"/>
      <c r="H417" s="153" t="s">
        <v>257</v>
      </c>
      <c r="I417" s="153" t="s">
        <v>258</v>
      </c>
      <c r="J417" s="153" t="s">
        <v>491</v>
      </c>
      <c r="K417" s="153" t="s">
        <v>492</v>
      </c>
      <c r="L417" s="153" t="s">
        <v>384</v>
      </c>
      <c r="M417" s="153" t="s">
        <v>6678</v>
      </c>
      <c r="N417" s="230">
        <v>1984.0</v>
      </c>
      <c r="O417" s="230"/>
      <c r="P417" s="230"/>
      <c r="Q417" s="153" t="s">
        <v>151</v>
      </c>
      <c r="R417" s="153" t="s">
        <v>6054</v>
      </c>
      <c r="S417" s="153"/>
      <c r="T417" s="153"/>
      <c r="U417" s="153" t="s">
        <v>390</v>
      </c>
      <c r="V417" s="153"/>
      <c r="W417" s="153"/>
      <c r="X417" s="153"/>
      <c r="Y417" s="153"/>
      <c r="Z417" s="153"/>
      <c r="AA417" s="153" t="s">
        <v>450</v>
      </c>
      <c r="AB417" s="153" t="s">
        <v>390</v>
      </c>
      <c r="AC417" s="153" t="s">
        <v>6035</v>
      </c>
      <c r="AD417" s="153" t="s">
        <v>6055</v>
      </c>
      <c r="AE417" s="153"/>
      <c r="AF417" s="153"/>
      <c r="AG417" s="153" t="s">
        <v>6084</v>
      </c>
      <c r="AH417" s="153" t="s">
        <v>8295</v>
      </c>
      <c r="AI417" s="153" t="s">
        <v>6080</v>
      </c>
      <c r="AJ417" s="153"/>
      <c r="AK417" s="153"/>
    </row>
    <row r="418">
      <c r="A418" s="152">
        <v>2025.0</v>
      </c>
      <c r="B418" s="151">
        <v>373.0</v>
      </c>
      <c r="C418" s="153" t="s">
        <v>8189</v>
      </c>
      <c r="D418" s="153"/>
      <c r="E418" s="153"/>
      <c r="F418" s="153"/>
      <c r="G418" s="153"/>
      <c r="H418" s="153" t="s">
        <v>330</v>
      </c>
      <c r="I418" s="153" t="s">
        <v>331</v>
      </c>
      <c r="J418" s="153" t="s">
        <v>3991</v>
      </c>
      <c r="K418" s="153" t="s">
        <v>981</v>
      </c>
      <c r="L418" s="153" t="s">
        <v>934</v>
      </c>
      <c r="M418" s="153"/>
      <c r="N418" s="175" t="s">
        <v>6229</v>
      </c>
      <c r="O418" s="175" t="s">
        <v>6229</v>
      </c>
      <c r="P418" s="175" t="s">
        <v>6230</v>
      </c>
      <c r="Q418" s="153" t="s">
        <v>6062</v>
      </c>
      <c r="R418" s="153" t="s">
        <v>3245</v>
      </c>
      <c r="S418" s="158" t="s">
        <v>3245</v>
      </c>
      <c r="T418" s="153" t="s">
        <v>939</v>
      </c>
      <c r="U418" s="153" t="s">
        <v>940</v>
      </c>
      <c r="V418" s="158" t="s">
        <v>6154</v>
      </c>
      <c r="W418" s="158" t="s">
        <v>206</v>
      </c>
      <c r="X418" s="158" t="s">
        <v>204</v>
      </c>
      <c r="Y418" s="158" t="s">
        <v>149</v>
      </c>
      <c r="Z418" s="158" t="s">
        <v>149</v>
      </c>
      <c r="AA418" s="158" t="s">
        <v>149</v>
      </c>
      <c r="AB418" s="153" t="s">
        <v>233</v>
      </c>
      <c r="AC418" s="158" t="s">
        <v>6068</v>
      </c>
      <c r="AD418" s="153"/>
      <c r="AE418" s="153"/>
      <c r="AF418" s="153"/>
      <c r="AG418" s="158" t="s">
        <v>6214</v>
      </c>
      <c r="AH418" s="153" t="s">
        <v>941</v>
      </c>
      <c r="AI418" s="153" t="s">
        <v>942</v>
      </c>
      <c r="AJ418" s="153" t="s">
        <v>943</v>
      </c>
      <c r="AK418" s="153"/>
    </row>
    <row r="419">
      <c r="A419" s="152">
        <v>2025.0</v>
      </c>
      <c r="B419" s="151">
        <v>374.0</v>
      </c>
      <c r="C419" s="153" t="s">
        <v>8189</v>
      </c>
      <c r="D419" s="153"/>
      <c r="E419" s="153"/>
      <c r="F419" s="153"/>
      <c r="G419" s="153"/>
      <c r="H419" s="153" t="s">
        <v>330</v>
      </c>
      <c r="I419" s="153" t="s">
        <v>331</v>
      </c>
      <c r="J419" s="153" t="s">
        <v>8296</v>
      </c>
      <c r="K419" s="153" t="s">
        <v>333</v>
      </c>
      <c r="L419" s="153" t="s">
        <v>334</v>
      </c>
      <c r="M419" s="158" t="s">
        <v>7514</v>
      </c>
      <c r="N419" s="175" t="s">
        <v>6404</v>
      </c>
      <c r="O419" s="175" t="s">
        <v>6404</v>
      </c>
      <c r="P419" s="160" t="s">
        <v>6064</v>
      </c>
      <c r="Q419" s="153" t="s">
        <v>151</v>
      </c>
      <c r="R419" s="158" t="s">
        <v>337</v>
      </c>
      <c r="S419" s="158" t="s">
        <v>337</v>
      </c>
      <c r="T419" s="158" t="s">
        <v>338</v>
      </c>
      <c r="U419" s="158" t="s">
        <v>228</v>
      </c>
      <c r="V419" s="158" t="s">
        <v>160</v>
      </c>
      <c r="W419" s="158" t="s">
        <v>6035</v>
      </c>
      <c r="X419" s="158" t="s">
        <v>159</v>
      </c>
      <c r="Y419" s="158" t="s">
        <v>149</v>
      </c>
      <c r="Z419" s="153" t="s">
        <v>7503</v>
      </c>
      <c r="AA419" s="153" t="s">
        <v>340</v>
      </c>
      <c r="AB419" s="153" t="s">
        <v>228</v>
      </c>
      <c r="AC419" s="153" t="s">
        <v>6035</v>
      </c>
      <c r="AD419" s="153" t="s">
        <v>341</v>
      </c>
      <c r="AE419" s="153"/>
      <c r="AF419" s="153"/>
      <c r="AG419" s="158" t="s">
        <v>166</v>
      </c>
      <c r="AH419" s="153" t="s">
        <v>342</v>
      </c>
      <c r="AI419" s="153" t="s">
        <v>7505</v>
      </c>
      <c r="AJ419" s="153"/>
      <c r="AK419" s="153"/>
    </row>
    <row r="420">
      <c r="A420" s="152">
        <v>2024.0</v>
      </c>
      <c r="B420" s="151">
        <v>142.0</v>
      </c>
      <c r="C420" s="153"/>
      <c r="D420" s="153"/>
      <c r="E420" s="153"/>
      <c r="F420" s="153"/>
      <c r="G420" s="153"/>
      <c r="H420" s="153" t="s">
        <v>257</v>
      </c>
      <c r="I420" s="153" t="s">
        <v>258</v>
      </c>
      <c r="J420" s="153" t="s">
        <v>491</v>
      </c>
      <c r="K420" s="153" t="s">
        <v>492</v>
      </c>
      <c r="L420" s="153" t="s">
        <v>384</v>
      </c>
      <c r="M420" s="153" t="s">
        <v>6678</v>
      </c>
      <c r="N420" s="230">
        <v>1984.0</v>
      </c>
      <c r="O420" s="230"/>
      <c r="P420" s="230"/>
      <c r="Q420" s="153" t="s">
        <v>151</v>
      </c>
      <c r="R420" s="153" t="s">
        <v>6054</v>
      </c>
      <c r="S420" s="153"/>
      <c r="T420" s="153"/>
      <c r="U420" s="153" t="s">
        <v>390</v>
      </c>
      <c r="V420" s="153"/>
      <c r="W420" s="153"/>
      <c r="X420" s="153"/>
      <c r="Y420" s="153"/>
      <c r="Z420" s="153"/>
      <c r="AA420" s="153" t="s">
        <v>6663</v>
      </c>
      <c r="AB420" s="153" t="s">
        <v>390</v>
      </c>
      <c r="AC420" s="153" t="s">
        <v>6035</v>
      </c>
      <c r="AD420" s="153" t="s">
        <v>6055</v>
      </c>
      <c r="AE420" s="153"/>
      <c r="AF420" s="153"/>
      <c r="AG420" s="153" t="s">
        <v>6084</v>
      </c>
      <c r="AH420" s="153" t="s">
        <v>8297</v>
      </c>
      <c r="AI420" s="153" t="s">
        <v>6080</v>
      </c>
      <c r="AJ420" s="153"/>
      <c r="AK420" s="153"/>
    </row>
    <row r="421">
      <c r="A421" s="152">
        <v>2025.0</v>
      </c>
      <c r="B421" s="151">
        <v>375.0</v>
      </c>
      <c r="C421" s="153" t="s">
        <v>8189</v>
      </c>
      <c r="D421" s="153"/>
      <c r="E421" s="153"/>
      <c r="F421" s="153"/>
      <c r="G421" s="153"/>
      <c r="H421" s="153" t="s">
        <v>330</v>
      </c>
      <c r="I421" s="153" t="s">
        <v>331</v>
      </c>
      <c r="J421" s="153" t="s">
        <v>7519</v>
      </c>
      <c r="K421" s="153" t="s">
        <v>333</v>
      </c>
      <c r="L421" s="153" t="s">
        <v>1580</v>
      </c>
      <c r="M421" s="158" t="s">
        <v>1581</v>
      </c>
      <c r="N421" s="160" t="s">
        <v>149</v>
      </c>
      <c r="O421" s="160" t="s">
        <v>149</v>
      </c>
      <c r="P421" s="160" t="s">
        <v>149</v>
      </c>
      <c r="Q421" s="153" t="s">
        <v>151</v>
      </c>
      <c r="R421" s="153" t="s">
        <v>362</v>
      </c>
      <c r="S421" s="158" t="s">
        <v>362</v>
      </c>
      <c r="T421" s="153" t="s">
        <v>1582</v>
      </c>
      <c r="U421" s="153" t="s">
        <v>228</v>
      </c>
      <c r="V421" s="158" t="s">
        <v>160</v>
      </c>
      <c r="W421" s="158" t="s">
        <v>6035</v>
      </c>
      <c r="X421" s="158" t="s">
        <v>159</v>
      </c>
      <c r="Y421" s="158" t="s">
        <v>149</v>
      </c>
      <c r="Z421" s="158" t="s">
        <v>149</v>
      </c>
      <c r="AA421" s="188" t="s">
        <v>1583</v>
      </c>
      <c r="AB421" s="153" t="s">
        <v>228</v>
      </c>
      <c r="AC421" s="153" t="s">
        <v>6035</v>
      </c>
      <c r="AD421" s="153"/>
      <c r="AE421" s="153"/>
      <c r="AF421" s="153"/>
      <c r="AG421" s="153" t="s">
        <v>6038</v>
      </c>
      <c r="AH421" s="153" t="s">
        <v>1584</v>
      </c>
      <c r="AI421" s="172" t="s">
        <v>1585</v>
      </c>
      <c r="AJ421" s="153"/>
      <c r="AK421" s="153"/>
    </row>
    <row r="422">
      <c r="A422" s="152">
        <v>2023.0</v>
      </c>
      <c r="B422" s="151">
        <v>374.0</v>
      </c>
      <c r="C422" s="129" t="s">
        <v>140</v>
      </c>
      <c r="D422" s="8"/>
      <c r="H422" s="8" t="s">
        <v>330</v>
      </c>
      <c r="I422" s="8" t="s">
        <v>615</v>
      </c>
      <c r="J422" s="8" t="s">
        <v>7511</v>
      </c>
      <c r="K422" s="281" t="s">
        <v>617</v>
      </c>
      <c r="L422" s="8" t="s">
        <v>384</v>
      </c>
      <c r="N422" s="174" t="s">
        <v>6051</v>
      </c>
      <c r="O422" s="142" t="s">
        <v>6052</v>
      </c>
      <c r="P422" s="142" t="s">
        <v>6053</v>
      </c>
      <c r="Q422" s="8" t="s">
        <v>151</v>
      </c>
      <c r="R422" s="8" t="s">
        <v>6054</v>
      </c>
      <c r="U422" s="8" t="s">
        <v>390</v>
      </c>
      <c r="AB422" s="8" t="s">
        <v>390</v>
      </c>
      <c r="AD422" s="8" t="s">
        <v>6055</v>
      </c>
      <c r="AH422" s="8" t="s">
        <v>6057</v>
      </c>
      <c r="AI422" s="8" t="s">
        <v>2873</v>
      </c>
      <c r="AJ422" s="8" t="s">
        <v>398</v>
      </c>
    </row>
    <row r="423">
      <c r="A423" s="152">
        <v>2024.0</v>
      </c>
      <c r="B423" s="151">
        <v>143.0</v>
      </c>
      <c r="C423" s="153"/>
      <c r="D423" s="153"/>
      <c r="E423" s="153"/>
      <c r="F423" s="153"/>
      <c r="G423" s="153"/>
      <c r="H423" s="153" t="s">
        <v>257</v>
      </c>
      <c r="I423" s="153" t="s">
        <v>258</v>
      </c>
      <c r="J423" s="153" t="s">
        <v>491</v>
      </c>
      <c r="K423" s="173" t="s">
        <v>492</v>
      </c>
      <c r="L423" s="153" t="s">
        <v>384</v>
      </c>
      <c r="M423" s="153" t="s">
        <v>6678</v>
      </c>
      <c r="N423" s="230">
        <v>1985.0</v>
      </c>
      <c r="O423" s="230">
        <v>1985.0</v>
      </c>
      <c r="P423" s="230">
        <v>1987.0</v>
      </c>
      <c r="Q423" s="153" t="s">
        <v>151</v>
      </c>
      <c r="R423" s="153" t="s">
        <v>6054</v>
      </c>
      <c r="S423" s="153"/>
      <c r="T423" s="153"/>
      <c r="U423" s="153" t="s">
        <v>390</v>
      </c>
      <c r="V423" s="153"/>
      <c r="W423" s="153"/>
      <c r="X423" s="153"/>
      <c r="Y423" s="153"/>
      <c r="Z423" s="153"/>
      <c r="AA423" s="153" t="s">
        <v>495</v>
      </c>
      <c r="AB423" s="153" t="s">
        <v>390</v>
      </c>
      <c r="AC423" s="153" t="s">
        <v>6035</v>
      </c>
      <c r="AD423" s="153" t="s">
        <v>6055</v>
      </c>
      <c r="AE423" s="153"/>
      <c r="AF423" s="153"/>
      <c r="AG423" s="153" t="s">
        <v>8004</v>
      </c>
      <c r="AH423" s="153" t="s">
        <v>6060</v>
      </c>
      <c r="AI423" s="153" t="s">
        <v>2873</v>
      </c>
      <c r="AJ423" s="153" t="s">
        <v>398</v>
      </c>
      <c r="AK423" s="153"/>
    </row>
    <row r="424">
      <c r="A424" s="152">
        <v>2023.0</v>
      </c>
      <c r="B424" s="151">
        <v>375.0</v>
      </c>
      <c r="C424" s="129" t="s">
        <v>140</v>
      </c>
      <c r="D424" s="8"/>
      <c r="H424" s="8" t="s">
        <v>330</v>
      </c>
      <c r="I424" s="8" t="s">
        <v>615</v>
      </c>
      <c r="J424" s="8" t="s">
        <v>7511</v>
      </c>
      <c r="K424" s="8" t="s">
        <v>617</v>
      </c>
      <c r="L424" s="8" t="s">
        <v>777</v>
      </c>
      <c r="M424" s="8" t="s">
        <v>7516</v>
      </c>
      <c r="N424" s="142" t="s">
        <v>6152</v>
      </c>
      <c r="O424" s="142"/>
      <c r="P424" s="142"/>
      <c r="Q424" s="8" t="s">
        <v>151</v>
      </c>
      <c r="R424" s="8" t="s">
        <v>362</v>
      </c>
      <c r="T424" s="8" t="s">
        <v>779</v>
      </c>
      <c r="U424" s="8" t="s">
        <v>7517</v>
      </c>
      <c r="AA424" s="8" t="s">
        <v>782</v>
      </c>
      <c r="AB424" s="8" t="s">
        <v>780</v>
      </c>
      <c r="AD424" s="8" t="s">
        <v>760</v>
      </c>
      <c r="AH424" s="8" t="s">
        <v>6027</v>
      </c>
      <c r="AI424" s="8" t="s">
        <v>784</v>
      </c>
    </row>
    <row r="425">
      <c r="A425" s="152">
        <v>2023.0</v>
      </c>
      <c r="B425" s="151">
        <v>376.0</v>
      </c>
      <c r="C425" s="129" t="s">
        <v>140</v>
      </c>
      <c r="D425" s="8"/>
      <c r="H425" s="8" t="s">
        <v>330</v>
      </c>
      <c r="I425" s="8" t="s">
        <v>615</v>
      </c>
      <c r="J425" s="8" t="s">
        <v>7511</v>
      </c>
      <c r="K425" s="8" t="s">
        <v>617</v>
      </c>
      <c r="L425" s="8" t="s">
        <v>668</v>
      </c>
      <c r="N425" s="142" t="s">
        <v>6152</v>
      </c>
      <c r="O425" s="142"/>
      <c r="P425" s="142"/>
      <c r="Q425" s="8" t="s">
        <v>151</v>
      </c>
      <c r="AA425" s="8" t="s">
        <v>675</v>
      </c>
      <c r="AB425" s="8" t="s">
        <v>674</v>
      </c>
      <c r="AD425" s="8" t="s">
        <v>7521</v>
      </c>
      <c r="AH425" s="8" t="s">
        <v>166</v>
      </c>
      <c r="AI425" s="8" t="s">
        <v>679</v>
      </c>
    </row>
    <row r="426">
      <c r="A426" s="152">
        <v>2024.0</v>
      </c>
      <c r="B426" s="151">
        <v>144.0</v>
      </c>
      <c r="C426" s="153"/>
      <c r="D426" s="153"/>
      <c r="E426" s="153"/>
      <c r="F426" s="153"/>
      <c r="G426" s="153"/>
      <c r="H426" s="153" t="s">
        <v>257</v>
      </c>
      <c r="I426" s="153" t="s">
        <v>258</v>
      </c>
      <c r="J426" s="153" t="s">
        <v>491</v>
      </c>
      <c r="K426" s="153" t="s">
        <v>492</v>
      </c>
      <c r="L426" s="153" t="s">
        <v>1377</v>
      </c>
      <c r="M426" s="153"/>
      <c r="N426" s="230" t="s">
        <v>6113</v>
      </c>
      <c r="O426" s="230">
        <v>1990.0</v>
      </c>
      <c r="P426" s="230">
        <v>1994.0</v>
      </c>
      <c r="Q426" s="153" t="s">
        <v>151</v>
      </c>
      <c r="R426" s="153"/>
      <c r="S426" s="153"/>
      <c r="T426" s="153"/>
      <c r="U426" s="153" t="s">
        <v>1381</v>
      </c>
      <c r="V426" s="153"/>
      <c r="W426" s="153"/>
      <c r="X426" s="153"/>
      <c r="Y426" s="153"/>
      <c r="Z426" s="153"/>
      <c r="AA426" s="153"/>
      <c r="AB426" s="153" t="s">
        <v>660</v>
      </c>
      <c r="AC426" s="153" t="s">
        <v>6035</v>
      </c>
      <c r="AD426" s="153" t="s">
        <v>369</v>
      </c>
      <c r="AE426" s="153"/>
      <c r="AF426" s="153"/>
      <c r="AG426" s="153" t="s">
        <v>8004</v>
      </c>
      <c r="AH426" s="153" t="s">
        <v>6060</v>
      </c>
      <c r="AI426" s="153" t="s">
        <v>2873</v>
      </c>
      <c r="AJ426" s="153" t="s">
        <v>398</v>
      </c>
      <c r="AK426" s="153"/>
    </row>
    <row r="427">
      <c r="A427" s="152">
        <v>2025.0</v>
      </c>
      <c r="B427" s="151">
        <v>376.0</v>
      </c>
      <c r="C427" s="153" t="s">
        <v>8189</v>
      </c>
      <c r="D427" s="153"/>
      <c r="E427" s="153"/>
      <c r="F427" s="153"/>
      <c r="G427" s="153"/>
      <c r="H427" s="153" t="s">
        <v>330</v>
      </c>
      <c r="I427" s="153" t="s">
        <v>615</v>
      </c>
      <c r="J427" s="153" t="s">
        <v>7511</v>
      </c>
      <c r="K427" s="153" t="s">
        <v>617</v>
      </c>
      <c r="L427" s="153" t="s">
        <v>384</v>
      </c>
      <c r="M427" s="153"/>
      <c r="N427" s="175" t="s">
        <v>6051</v>
      </c>
      <c r="O427" s="175" t="s">
        <v>6052</v>
      </c>
      <c r="P427" s="175" t="s">
        <v>6053</v>
      </c>
      <c r="Q427" s="153" t="s">
        <v>151</v>
      </c>
      <c r="R427" s="153" t="s">
        <v>6054</v>
      </c>
      <c r="S427" s="158" t="s">
        <v>6054</v>
      </c>
      <c r="T427" s="158" t="s">
        <v>149</v>
      </c>
      <c r="U427" s="153" t="s">
        <v>390</v>
      </c>
      <c r="V427" s="158" t="s">
        <v>160</v>
      </c>
      <c r="W427" s="158" t="s">
        <v>6035</v>
      </c>
      <c r="X427" s="158" t="s">
        <v>159</v>
      </c>
      <c r="Y427" s="158" t="s">
        <v>149</v>
      </c>
      <c r="Z427" s="158" t="s">
        <v>149</v>
      </c>
      <c r="AA427" s="158" t="s">
        <v>149</v>
      </c>
      <c r="AB427" s="153" t="s">
        <v>390</v>
      </c>
      <c r="AC427" s="153" t="s">
        <v>6035</v>
      </c>
      <c r="AD427" s="153" t="s">
        <v>6055</v>
      </c>
      <c r="AE427" s="153"/>
      <c r="AF427" s="153"/>
      <c r="AG427" s="158" t="s">
        <v>395</v>
      </c>
      <c r="AH427" s="153" t="s">
        <v>6060</v>
      </c>
      <c r="AI427" s="158" t="s">
        <v>6711</v>
      </c>
      <c r="AJ427" s="153" t="s">
        <v>398</v>
      </c>
      <c r="AK427" s="153"/>
    </row>
    <row r="428">
      <c r="A428" s="152">
        <v>2024.0</v>
      </c>
      <c r="B428" s="151">
        <v>145.0</v>
      </c>
      <c r="C428" s="153"/>
      <c r="D428" s="153"/>
      <c r="E428" s="153"/>
      <c r="F428" s="153"/>
      <c r="G428" s="153"/>
      <c r="H428" s="153" t="s">
        <v>257</v>
      </c>
      <c r="I428" s="153" t="s">
        <v>258</v>
      </c>
      <c r="J428" s="153" t="s">
        <v>491</v>
      </c>
      <c r="K428" s="153" t="s">
        <v>492</v>
      </c>
      <c r="L428" s="153" t="s">
        <v>1174</v>
      </c>
      <c r="M428" s="153"/>
      <c r="N428" s="230" t="s">
        <v>6113</v>
      </c>
      <c r="O428" s="230">
        <v>2012.0</v>
      </c>
      <c r="P428" s="230">
        <v>2013.0</v>
      </c>
      <c r="Q428" s="153" t="s">
        <v>6062</v>
      </c>
      <c r="R428" s="153" t="s">
        <v>320</v>
      </c>
      <c r="S428" s="153"/>
      <c r="T428" s="153"/>
      <c r="U428" s="153" t="s">
        <v>321</v>
      </c>
      <c r="V428" s="153"/>
      <c r="W428" s="153"/>
      <c r="X428" s="153"/>
      <c r="Y428" s="153"/>
      <c r="Z428" s="153"/>
      <c r="AA428" s="153" t="s">
        <v>6695</v>
      </c>
      <c r="AB428" s="153" t="s">
        <v>885</v>
      </c>
      <c r="AC428" s="153" t="s">
        <v>209</v>
      </c>
      <c r="AD428" s="153" t="s">
        <v>1259</v>
      </c>
      <c r="AE428" s="153"/>
      <c r="AF428" s="153"/>
      <c r="AG428" s="153" t="s">
        <v>6084</v>
      </c>
      <c r="AH428" s="153" t="s">
        <v>1260</v>
      </c>
      <c r="AI428" s="153" t="s">
        <v>6070</v>
      </c>
      <c r="AJ428" s="153"/>
      <c r="AK428" s="153"/>
    </row>
    <row r="429">
      <c r="A429" s="152">
        <v>2023.0</v>
      </c>
      <c r="B429" s="151">
        <v>377.0</v>
      </c>
      <c r="C429" s="129" t="s">
        <v>140</v>
      </c>
      <c r="D429" s="8"/>
      <c r="H429" s="8" t="s">
        <v>330</v>
      </c>
      <c r="I429" s="8" t="s">
        <v>615</v>
      </c>
      <c r="J429" s="8" t="s">
        <v>7511</v>
      </c>
      <c r="K429" s="8" t="s">
        <v>617</v>
      </c>
      <c r="L429" s="8" t="s">
        <v>6113</v>
      </c>
      <c r="N429" s="142" t="s">
        <v>6151</v>
      </c>
      <c r="O429" s="142"/>
      <c r="P429" s="142"/>
      <c r="Q429" s="8" t="s">
        <v>151</v>
      </c>
      <c r="R429" s="8" t="s">
        <v>362</v>
      </c>
      <c r="AB429" s="8" t="s">
        <v>7524</v>
      </c>
      <c r="AE429" s="8" t="s">
        <v>2581</v>
      </c>
      <c r="AH429" s="8" t="s">
        <v>6038</v>
      </c>
      <c r="AI429" s="8" t="s">
        <v>2583</v>
      </c>
    </row>
    <row r="430">
      <c r="A430" s="152">
        <v>2025.0</v>
      </c>
      <c r="B430" s="151">
        <v>377.0</v>
      </c>
      <c r="C430" s="153" t="s">
        <v>8189</v>
      </c>
      <c r="D430" s="153"/>
      <c r="E430" s="153"/>
      <c r="F430" s="153"/>
      <c r="G430" s="153"/>
      <c r="H430" s="153" t="s">
        <v>330</v>
      </c>
      <c r="I430" s="153" t="s">
        <v>615</v>
      </c>
      <c r="J430" s="153" t="s">
        <v>7511</v>
      </c>
      <c r="K430" s="153" t="s">
        <v>617</v>
      </c>
      <c r="L430" s="153" t="s">
        <v>777</v>
      </c>
      <c r="M430" s="153" t="s">
        <v>7526</v>
      </c>
      <c r="N430" s="175" t="s">
        <v>6152</v>
      </c>
      <c r="O430" s="160" t="s">
        <v>149</v>
      </c>
      <c r="P430" s="160" t="s">
        <v>149</v>
      </c>
      <c r="Q430" s="153" t="s">
        <v>151</v>
      </c>
      <c r="R430" s="158" t="s">
        <v>670</v>
      </c>
      <c r="S430" s="158" t="s">
        <v>670</v>
      </c>
      <c r="T430" s="153" t="s">
        <v>779</v>
      </c>
      <c r="U430" s="153" t="s">
        <v>780</v>
      </c>
      <c r="V430" s="158" t="s">
        <v>160</v>
      </c>
      <c r="W430" s="158" t="s">
        <v>184</v>
      </c>
      <c r="X430" s="158" t="s">
        <v>159</v>
      </c>
      <c r="Y430" s="158" t="s">
        <v>149</v>
      </c>
      <c r="Z430" s="158" t="s">
        <v>7527</v>
      </c>
      <c r="AA430" s="153" t="s">
        <v>782</v>
      </c>
      <c r="AB430" s="153" t="s">
        <v>780</v>
      </c>
      <c r="AC430" s="158" t="s">
        <v>184</v>
      </c>
      <c r="AD430" s="153" t="s">
        <v>760</v>
      </c>
      <c r="AE430" s="153" t="s">
        <v>765</v>
      </c>
      <c r="AF430" s="153"/>
      <c r="AG430" s="158" t="s">
        <v>6027</v>
      </c>
      <c r="AH430" s="153" t="s">
        <v>783</v>
      </c>
      <c r="AI430" s="165" t="s">
        <v>784</v>
      </c>
      <c r="AJ430" s="153"/>
      <c r="AK430" s="153"/>
    </row>
    <row r="431">
      <c r="A431" s="152">
        <v>2024.0</v>
      </c>
      <c r="B431" s="151">
        <v>146.0</v>
      </c>
      <c r="C431" s="153"/>
      <c r="D431" s="153"/>
      <c r="E431" s="153"/>
      <c r="F431" s="153"/>
      <c r="G431" s="153"/>
      <c r="H431" s="153" t="s">
        <v>257</v>
      </c>
      <c r="I431" s="153" t="s">
        <v>258</v>
      </c>
      <c r="J431" s="153" t="s">
        <v>2047</v>
      </c>
      <c r="K431" s="153" t="s">
        <v>2048</v>
      </c>
      <c r="L431" s="153" t="s">
        <v>6144</v>
      </c>
      <c r="M431" s="153"/>
      <c r="N431" s="230">
        <v>2018.0</v>
      </c>
      <c r="O431" s="230"/>
      <c r="P431" s="230"/>
      <c r="Q431" s="153" t="s">
        <v>151</v>
      </c>
      <c r="R431" s="153"/>
      <c r="S431" s="153"/>
      <c r="T431" s="153" t="s">
        <v>6698</v>
      </c>
      <c r="U431" s="153" t="s">
        <v>2038</v>
      </c>
      <c r="V431" s="153"/>
      <c r="W431" s="153"/>
      <c r="X431" s="153"/>
      <c r="Y431" s="153"/>
      <c r="Z431" s="153"/>
      <c r="AA431" s="153"/>
      <c r="AB431" s="153" t="s">
        <v>369</v>
      </c>
      <c r="AC431" s="153" t="s">
        <v>6035</v>
      </c>
      <c r="AD431" s="153" t="s">
        <v>341</v>
      </c>
      <c r="AE431" s="153" t="s">
        <v>2054</v>
      </c>
      <c r="AF431" s="153"/>
      <c r="AG431" s="153" t="s">
        <v>7902</v>
      </c>
      <c r="AH431" s="153" t="s">
        <v>2055</v>
      </c>
      <c r="AI431" s="165" t="s">
        <v>2056</v>
      </c>
      <c r="AJ431" s="153"/>
      <c r="AK431" s="153"/>
    </row>
    <row r="432">
      <c r="A432" s="152">
        <v>2025.0</v>
      </c>
      <c r="B432" s="151">
        <v>378.0</v>
      </c>
      <c r="C432" s="153" t="s">
        <v>8189</v>
      </c>
      <c r="D432" s="153"/>
      <c r="E432" s="153"/>
      <c r="F432" s="153"/>
      <c r="G432" s="153"/>
      <c r="H432" s="153" t="s">
        <v>330</v>
      </c>
      <c r="I432" s="153" t="s">
        <v>615</v>
      </c>
      <c r="J432" s="153" t="s">
        <v>7511</v>
      </c>
      <c r="K432" s="153" t="s">
        <v>617</v>
      </c>
      <c r="L432" s="153" t="s">
        <v>668</v>
      </c>
      <c r="M432" s="153" t="s">
        <v>669</v>
      </c>
      <c r="N432" s="175" t="s">
        <v>6152</v>
      </c>
      <c r="O432" s="160" t="s">
        <v>149</v>
      </c>
      <c r="P432" s="160" t="s">
        <v>149</v>
      </c>
      <c r="Q432" s="153" t="s">
        <v>151</v>
      </c>
      <c r="R432" s="158" t="s">
        <v>670</v>
      </c>
      <c r="S432" s="158" t="s">
        <v>670</v>
      </c>
      <c r="T432" s="158" t="s">
        <v>673</v>
      </c>
      <c r="U432" s="153" t="s">
        <v>674</v>
      </c>
      <c r="V432" s="158" t="s">
        <v>160</v>
      </c>
      <c r="W432" s="158" t="s">
        <v>6035</v>
      </c>
      <c r="X432" s="158" t="s">
        <v>159</v>
      </c>
      <c r="Y432" s="158" t="s">
        <v>149</v>
      </c>
      <c r="Z432" s="158" t="s">
        <v>149</v>
      </c>
      <c r="AA432" s="153" t="s">
        <v>675</v>
      </c>
      <c r="AB432" s="158" t="s">
        <v>674</v>
      </c>
      <c r="AC432" s="153" t="s">
        <v>6035</v>
      </c>
      <c r="AD432" s="153" t="s">
        <v>676</v>
      </c>
      <c r="AE432" s="153"/>
      <c r="AF432" s="158" t="s">
        <v>677</v>
      </c>
      <c r="AG432" s="158" t="s">
        <v>6027</v>
      </c>
      <c r="AH432" s="153" t="s">
        <v>678</v>
      </c>
      <c r="AI432" s="153" t="s">
        <v>679</v>
      </c>
      <c r="AJ432" s="153"/>
      <c r="AK432" s="153"/>
    </row>
    <row r="433">
      <c r="A433" s="152">
        <v>2025.0</v>
      </c>
      <c r="B433" s="151">
        <v>379.0</v>
      </c>
      <c r="C433" s="153" t="s">
        <v>8189</v>
      </c>
      <c r="D433" s="153"/>
      <c r="E433" s="153"/>
      <c r="F433" s="153"/>
      <c r="G433" s="153"/>
      <c r="H433" s="153" t="s">
        <v>330</v>
      </c>
      <c r="I433" s="153" t="s">
        <v>615</v>
      </c>
      <c r="J433" s="153" t="s">
        <v>7511</v>
      </c>
      <c r="K433" s="153" t="s">
        <v>617</v>
      </c>
      <c r="L433" s="153" t="s">
        <v>668</v>
      </c>
      <c r="M433" s="153" t="s">
        <v>681</v>
      </c>
      <c r="N433" s="175" t="s">
        <v>6152</v>
      </c>
      <c r="O433" s="160" t="s">
        <v>149</v>
      </c>
      <c r="P433" s="160" t="s">
        <v>149</v>
      </c>
      <c r="Q433" s="153" t="s">
        <v>151</v>
      </c>
      <c r="R433" s="158" t="s">
        <v>670</v>
      </c>
      <c r="S433" s="158" t="s">
        <v>670</v>
      </c>
      <c r="T433" s="153" t="s">
        <v>684</v>
      </c>
      <c r="U433" s="153" t="s">
        <v>685</v>
      </c>
      <c r="V433" s="158" t="s">
        <v>160</v>
      </c>
      <c r="W433" s="158" t="s">
        <v>6035</v>
      </c>
      <c r="X433" s="158" t="s">
        <v>159</v>
      </c>
      <c r="Y433" s="158" t="s">
        <v>149</v>
      </c>
      <c r="Z433" s="158" t="s">
        <v>149</v>
      </c>
      <c r="AA433" s="153" t="s">
        <v>687</v>
      </c>
      <c r="AB433" s="153" t="s">
        <v>685</v>
      </c>
      <c r="AC433" s="153" t="s">
        <v>6035</v>
      </c>
      <c r="AD433" s="153" t="s">
        <v>688</v>
      </c>
      <c r="AE433" s="153" t="s">
        <v>674</v>
      </c>
      <c r="AF433" s="153"/>
      <c r="AG433" s="158" t="s">
        <v>6038</v>
      </c>
      <c r="AH433" s="153" t="s">
        <v>7534</v>
      </c>
      <c r="AI433" s="165" t="s">
        <v>7535</v>
      </c>
      <c r="AJ433" s="153"/>
      <c r="AK433" s="153"/>
    </row>
    <row r="434">
      <c r="A434" s="152">
        <v>2024.0</v>
      </c>
      <c r="B434" s="151">
        <v>147.0</v>
      </c>
      <c r="C434" s="153"/>
      <c r="D434" s="153"/>
      <c r="E434" s="153"/>
      <c r="F434" s="153"/>
      <c r="G434" s="153"/>
      <c r="H434" s="153" t="s">
        <v>257</v>
      </c>
      <c r="I434" s="153" t="s">
        <v>258</v>
      </c>
      <c r="J434" s="153" t="s">
        <v>447</v>
      </c>
      <c r="K434" s="153" t="s">
        <v>4223</v>
      </c>
      <c r="L434" s="153" t="s">
        <v>6704</v>
      </c>
      <c r="M434" s="153"/>
      <c r="N434" s="230">
        <v>2007.0</v>
      </c>
      <c r="O434" s="230">
        <v>2007.0</v>
      </c>
      <c r="P434" s="230">
        <v>2012.0</v>
      </c>
      <c r="Q434" s="153" t="s">
        <v>151</v>
      </c>
      <c r="R434" s="153" t="s">
        <v>8028</v>
      </c>
      <c r="S434" s="153"/>
      <c r="T434" s="153" t="s">
        <v>6705</v>
      </c>
      <c r="U434" s="153"/>
      <c r="V434" s="153"/>
      <c r="W434" s="153"/>
      <c r="X434" s="153"/>
      <c r="Y434" s="153"/>
      <c r="Z434" s="153"/>
      <c r="AA434" s="153"/>
      <c r="AB434" s="153" t="s">
        <v>724</v>
      </c>
      <c r="AC434" s="158" t="s">
        <v>8005</v>
      </c>
      <c r="AD434" s="153"/>
      <c r="AE434" s="153" t="s">
        <v>1934</v>
      </c>
      <c r="AF434" s="153"/>
      <c r="AG434" s="153" t="s">
        <v>7902</v>
      </c>
      <c r="AH434" s="153" t="s">
        <v>8029</v>
      </c>
      <c r="AI434" s="165" t="s">
        <v>6706</v>
      </c>
      <c r="AJ434" s="153"/>
      <c r="AK434" s="153"/>
    </row>
    <row r="435">
      <c r="A435" s="152">
        <v>2025.0</v>
      </c>
      <c r="B435" s="151">
        <v>380.0</v>
      </c>
      <c r="C435" s="153" t="s">
        <v>8189</v>
      </c>
      <c r="D435" s="153"/>
      <c r="E435" s="153"/>
      <c r="F435" s="153"/>
      <c r="G435" s="153"/>
      <c r="H435" s="153" t="s">
        <v>330</v>
      </c>
      <c r="I435" s="153" t="s">
        <v>615</v>
      </c>
      <c r="J435" s="153" t="s">
        <v>7511</v>
      </c>
      <c r="K435" s="153" t="s">
        <v>617</v>
      </c>
      <c r="L435" s="158" t="s">
        <v>149</v>
      </c>
      <c r="M435" s="153"/>
      <c r="N435" s="175" t="s">
        <v>6151</v>
      </c>
      <c r="O435" s="160" t="s">
        <v>149</v>
      </c>
      <c r="P435" s="160" t="s">
        <v>149</v>
      </c>
      <c r="Q435" s="153" t="s">
        <v>151</v>
      </c>
      <c r="R435" s="158" t="s">
        <v>670</v>
      </c>
      <c r="S435" s="158" t="s">
        <v>670</v>
      </c>
      <c r="T435" s="158" t="s">
        <v>2579</v>
      </c>
      <c r="U435" s="158" t="s">
        <v>149</v>
      </c>
      <c r="V435" s="158" t="s">
        <v>149</v>
      </c>
      <c r="W435" s="158" t="s">
        <v>149</v>
      </c>
      <c r="X435" s="158" t="s">
        <v>159</v>
      </c>
      <c r="Y435" s="158" t="s">
        <v>149</v>
      </c>
      <c r="Z435" s="158" t="s">
        <v>149</v>
      </c>
      <c r="AA435" s="158" t="s">
        <v>149</v>
      </c>
      <c r="AB435" s="158" t="s">
        <v>2580</v>
      </c>
      <c r="AC435" s="158" t="s">
        <v>7294</v>
      </c>
      <c r="AD435" s="153"/>
      <c r="AE435" s="153" t="s">
        <v>2581</v>
      </c>
      <c r="AF435" s="153"/>
      <c r="AG435" s="158" t="s">
        <v>6038</v>
      </c>
      <c r="AH435" s="153" t="s">
        <v>2582</v>
      </c>
      <c r="AI435" s="165" t="s">
        <v>2583</v>
      </c>
      <c r="AJ435" s="153"/>
      <c r="AK435" s="153"/>
    </row>
    <row r="436">
      <c r="A436" s="152">
        <v>2023.0</v>
      </c>
      <c r="B436" s="151">
        <v>378.0</v>
      </c>
      <c r="C436" s="129" t="s">
        <v>140</v>
      </c>
      <c r="D436" s="8"/>
      <c r="H436" s="8" t="s">
        <v>330</v>
      </c>
      <c r="I436" s="8" t="s">
        <v>999</v>
      </c>
      <c r="J436" s="8" t="s">
        <v>8173</v>
      </c>
      <c r="K436" s="8" t="s">
        <v>1001</v>
      </c>
      <c r="L436" s="8" t="s">
        <v>6113</v>
      </c>
      <c r="M436" s="8" t="s">
        <v>7531</v>
      </c>
      <c r="N436" s="142" t="s">
        <v>6328</v>
      </c>
      <c r="O436" s="142"/>
      <c r="P436" s="142"/>
      <c r="Q436" s="8" t="s">
        <v>151</v>
      </c>
      <c r="AB436" s="8" t="s">
        <v>369</v>
      </c>
      <c r="AH436" s="8" t="s">
        <v>166</v>
      </c>
      <c r="AI436" s="8" t="s">
        <v>7532</v>
      </c>
    </row>
    <row r="437">
      <c r="A437" s="152">
        <v>2023.0</v>
      </c>
      <c r="B437" s="151">
        <v>379.0</v>
      </c>
      <c r="C437" s="129" t="s">
        <v>140</v>
      </c>
      <c r="D437" s="8"/>
      <c r="H437" s="8" t="s">
        <v>330</v>
      </c>
      <c r="I437" s="8" t="s">
        <v>999</v>
      </c>
      <c r="J437" s="8" t="s">
        <v>3178</v>
      </c>
      <c r="K437" s="8" t="s">
        <v>3179</v>
      </c>
      <c r="L437" s="8" t="s">
        <v>6113</v>
      </c>
      <c r="M437" s="8" t="s">
        <v>8174</v>
      </c>
      <c r="N437" s="142" t="s">
        <v>6113</v>
      </c>
      <c r="O437" s="142"/>
      <c r="P437" s="142"/>
      <c r="Q437" s="8" t="s">
        <v>151</v>
      </c>
      <c r="AB437" s="8" t="s">
        <v>369</v>
      </c>
      <c r="AH437" s="8" t="s">
        <v>6027</v>
      </c>
      <c r="AI437" s="172" t="s">
        <v>2105</v>
      </c>
    </row>
    <row r="438">
      <c r="A438" s="152">
        <v>2024.0</v>
      </c>
      <c r="B438" s="151">
        <v>148.0</v>
      </c>
      <c r="C438" s="153"/>
      <c r="D438" s="153"/>
      <c r="E438" s="153"/>
      <c r="F438" s="153"/>
      <c r="G438" s="153"/>
      <c r="H438" s="153" t="s">
        <v>257</v>
      </c>
      <c r="I438" s="153" t="s">
        <v>497</v>
      </c>
      <c r="J438" s="153" t="s">
        <v>1391</v>
      </c>
      <c r="K438" s="153" t="s">
        <v>1392</v>
      </c>
      <c r="L438" s="153" t="s">
        <v>1377</v>
      </c>
      <c r="M438" s="153"/>
      <c r="N438" s="230" t="s">
        <v>6113</v>
      </c>
      <c r="O438" s="230">
        <v>1990.0</v>
      </c>
      <c r="P438" s="230">
        <v>1994.0</v>
      </c>
      <c r="Q438" s="153" t="s">
        <v>151</v>
      </c>
      <c r="R438" s="153"/>
      <c r="S438" s="153"/>
      <c r="T438" s="153"/>
      <c r="U438" s="153" t="s">
        <v>1381</v>
      </c>
      <c r="V438" s="153"/>
      <c r="W438" s="153"/>
      <c r="X438" s="153"/>
      <c r="Y438" s="153"/>
      <c r="Z438" s="153"/>
      <c r="AA438" s="153"/>
      <c r="AB438" s="153" t="s">
        <v>660</v>
      </c>
      <c r="AC438" s="153" t="s">
        <v>6035</v>
      </c>
      <c r="AD438" s="153" t="s">
        <v>369</v>
      </c>
      <c r="AE438" s="153"/>
      <c r="AF438" s="153"/>
      <c r="AG438" s="153" t="s">
        <v>8004</v>
      </c>
      <c r="AH438" s="153" t="s">
        <v>6060</v>
      </c>
      <c r="AI438" s="153" t="s">
        <v>2873</v>
      </c>
      <c r="AJ438" s="153" t="s">
        <v>398</v>
      </c>
      <c r="AK438" s="153"/>
    </row>
    <row r="439">
      <c r="A439" s="152">
        <v>2025.0</v>
      </c>
      <c r="B439" s="151">
        <v>381.0</v>
      </c>
      <c r="C439" s="158" t="s">
        <v>8189</v>
      </c>
      <c r="D439" s="158"/>
      <c r="E439" s="158"/>
      <c r="F439" s="158"/>
      <c r="G439" s="158"/>
      <c r="H439" s="158" t="s">
        <v>330</v>
      </c>
      <c r="I439" s="158" t="s">
        <v>999</v>
      </c>
      <c r="J439" s="158" t="s">
        <v>7530</v>
      </c>
      <c r="K439" s="158" t="s">
        <v>1001</v>
      </c>
      <c r="L439" s="158" t="s">
        <v>1002</v>
      </c>
      <c r="M439" s="158" t="s">
        <v>1003</v>
      </c>
      <c r="N439" s="160" t="s">
        <v>16</v>
      </c>
      <c r="O439" s="160" t="s">
        <v>16</v>
      </c>
      <c r="P439" s="160" t="s">
        <v>149</v>
      </c>
      <c r="Q439" s="158" t="s">
        <v>151</v>
      </c>
      <c r="R439" s="158" t="s">
        <v>1005</v>
      </c>
      <c r="S439" s="158" t="s">
        <v>1005</v>
      </c>
      <c r="T439" s="158" t="s">
        <v>1006</v>
      </c>
      <c r="U439" s="158" t="s">
        <v>1007</v>
      </c>
      <c r="V439" s="158" t="s">
        <v>6154</v>
      </c>
      <c r="W439" s="158" t="s">
        <v>184</v>
      </c>
      <c r="X439" s="158" t="s">
        <v>159</v>
      </c>
      <c r="Y439" s="158" t="s">
        <v>149</v>
      </c>
      <c r="Z439" s="158" t="s">
        <v>7543</v>
      </c>
      <c r="AA439" s="158" t="s">
        <v>1009</v>
      </c>
      <c r="AB439" s="158" t="s">
        <v>1010</v>
      </c>
      <c r="AC439" s="158" t="s">
        <v>6068</v>
      </c>
      <c r="AD439" s="158"/>
      <c r="AE439" s="158" t="s">
        <v>1011</v>
      </c>
      <c r="AF439" s="158"/>
      <c r="AG439" s="158" t="s">
        <v>166</v>
      </c>
      <c r="AH439" s="158" t="s">
        <v>8298</v>
      </c>
      <c r="AI439" s="177" t="s">
        <v>1013</v>
      </c>
      <c r="AJ439" s="158"/>
      <c r="AK439" s="158"/>
    </row>
    <row r="440">
      <c r="A440" s="152">
        <v>2025.0</v>
      </c>
      <c r="B440" s="151">
        <v>382.0</v>
      </c>
      <c r="C440" s="153" t="s">
        <v>8189</v>
      </c>
      <c r="D440" s="153"/>
      <c r="E440" s="153"/>
      <c r="F440" s="153"/>
      <c r="G440" s="153"/>
      <c r="H440" s="153" t="s">
        <v>330</v>
      </c>
      <c r="I440" s="153" t="s">
        <v>999</v>
      </c>
      <c r="J440" s="153" t="s">
        <v>3178</v>
      </c>
      <c r="K440" s="153" t="s">
        <v>3179</v>
      </c>
      <c r="L440" s="158" t="s">
        <v>149</v>
      </c>
      <c r="M440" s="153" t="s">
        <v>7537</v>
      </c>
      <c r="N440" s="160" t="s">
        <v>149</v>
      </c>
      <c r="O440" s="160" t="s">
        <v>149</v>
      </c>
      <c r="P440" s="160" t="s">
        <v>149</v>
      </c>
      <c r="Q440" s="153" t="s">
        <v>151</v>
      </c>
      <c r="R440" s="158" t="s">
        <v>149</v>
      </c>
      <c r="S440" s="158" t="s">
        <v>149</v>
      </c>
      <c r="T440" s="158" t="s">
        <v>149</v>
      </c>
      <c r="U440" s="158" t="s">
        <v>149</v>
      </c>
      <c r="V440" s="158" t="s">
        <v>149</v>
      </c>
      <c r="W440" s="158" t="s">
        <v>149</v>
      </c>
      <c r="X440" s="158" t="s">
        <v>149</v>
      </c>
      <c r="Y440" s="158" t="s">
        <v>149</v>
      </c>
      <c r="Z440" s="158" t="s">
        <v>149</v>
      </c>
      <c r="AA440" s="158" t="s">
        <v>149</v>
      </c>
      <c r="AB440" s="153" t="s">
        <v>369</v>
      </c>
      <c r="AC440" s="153" t="s">
        <v>6035</v>
      </c>
      <c r="AD440" s="153"/>
      <c r="AE440" s="153"/>
      <c r="AF440" s="153"/>
      <c r="AG440" s="158" t="s">
        <v>6027</v>
      </c>
      <c r="AH440" s="153" t="s">
        <v>2104</v>
      </c>
      <c r="AI440" s="165" t="s">
        <v>2105</v>
      </c>
      <c r="AJ440" s="153"/>
      <c r="AK440" s="153"/>
    </row>
    <row r="441">
      <c r="A441" s="152">
        <v>2024.0</v>
      </c>
      <c r="B441" s="151">
        <v>149.0</v>
      </c>
      <c r="C441" s="153"/>
      <c r="D441" s="153"/>
      <c r="E441" s="153"/>
      <c r="F441" s="153"/>
      <c r="G441" s="153"/>
      <c r="H441" s="153" t="s">
        <v>257</v>
      </c>
      <c r="I441" s="153" t="s">
        <v>497</v>
      </c>
      <c r="J441" s="153" t="s">
        <v>953</v>
      </c>
      <c r="K441" s="153" t="s">
        <v>954</v>
      </c>
      <c r="L441" s="153" t="s">
        <v>934</v>
      </c>
      <c r="M441" s="153"/>
      <c r="N441" s="230">
        <v>2001.0</v>
      </c>
      <c r="O441" s="230">
        <v>2001.0</v>
      </c>
      <c r="P441" s="230">
        <v>2005.0</v>
      </c>
      <c r="Q441" s="153" t="s">
        <v>6062</v>
      </c>
      <c r="R441" s="153" t="s">
        <v>6276</v>
      </c>
      <c r="S441" s="153"/>
      <c r="T441" s="153" t="s">
        <v>939</v>
      </c>
      <c r="U441" s="153" t="s">
        <v>940</v>
      </c>
      <c r="V441" s="153"/>
      <c r="W441" s="153"/>
      <c r="X441" s="153"/>
      <c r="Y441" s="153"/>
      <c r="Z441" s="153"/>
      <c r="AA441" s="153"/>
      <c r="AB441" s="153" t="s">
        <v>233</v>
      </c>
      <c r="AC441" s="153" t="s">
        <v>209</v>
      </c>
      <c r="AD441" s="153"/>
      <c r="AE441" s="153"/>
      <c r="AF441" s="153"/>
      <c r="AG441" s="158" t="s">
        <v>6214</v>
      </c>
      <c r="AH441" s="153" t="s">
        <v>941</v>
      </c>
      <c r="AI441" s="153" t="s">
        <v>942</v>
      </c>
      <c r="AJ441" s="153" t="s">
        <v>943</v>
      </c>
      <c r="AK441" s="153"/>
    </row>
    <row r="442">
      <c r="A442" s="152">
        <v>2023.0</v>
      </c>
      <c r="B442" s="151">
        <v>407.0</v>
      </c>
      <c r="C442" s="129" t="s">
        <v>140</v>
      </c>
      <c r="D442" s="8"/>
      <c r="H442" s="8" t="s">
        <v>345</v>
      </c>
      <c r="I442" s="8" t="s">
        <v>1910</v>
      </c>
      <c r="J442" s="8" t="s">
        <v>1911</v>
      </c>
      <c r="K442" s="8" t="s">
        <v>1912</v>
      </c>
      <c r="L442" s="8" t="s">
        <v>6113</v>
      </c>
      <c r="M442" s="8" t="s">
        <v>7670</v>
      </c>
      <c r="N442" s="142" t="s">
        <v>6273</v>
      </c>
      <c r="O442" s="142"/>
      <c r="P442" s="142"/>
      <c r="Q442" s="8" t="s">
        <v>151</v>
      </c>
      <c r="U442" s="8" t="s">
        <v>1916</v>
      </c>
      <c r="AB442" s="8" t="s">
        <v>1916</v>
      </c>
    </row>
    <row r="443">
      <c r="A443" s="152">
        <v>2025.0</v>
      </c>
      <c r="B443" s="151">
        <v>407.0</v>
      </c>
      <c r="C443" s="153" t="s">
        <v>8189</v>
      </c>
      <c r="D443" s="153"/>
      <c r="E443" s="153"/>
      <c r="F443" s="153"/>
      <c r="G443" s="153"/>
      <c r="H443" s="153" t="s">
        <v>345</v>
      </c>
      <c r="I443" s="153" t="s">
        <v>1910</v>
      </c>
      <c r="J443" s="153" t="s">
        <v>1911</v>
      </c>
      <c r="K443" s="153" t="s">
        <v>1912</v>
      </c>
      <c r="L443" s="153" t="s">
        <v>1913</v>
      </c>
      <c r="M443" s="153"/>
      <c r="N443" s="175" t="s">
        <v>149</v>
      </c>
      <c r="O443" s="175" t="s">
        <v>149</v>
      </c>
      <c r="P443" s="175" t="s">
        <v>149</v>
      </c>
      <c r="Q443" s="153" t="s">
        <v>151</v>
      </c>
      <c r="R443" s="158" t="s">
        <v>152</v>
      </c>
      <c r="S443" s="158" t="s">
        <v>152</v>
      </c>
      <c r="T443" s="158" t="s">
        <v>1914</v>
      </c>
      <c r="U443" s="153" t="s">
        <v>1915</v>
      </c>
      <c r="V443" s="158" t="s">
        <v>160</v>
      </c>
      <c r="W443" s="158" t="s">
        <v>184</v>
      </c>
      <c r="X443" s="158" t="s">
        <v>159</v>
      </c>
      <c r="Y443" s="158" t="s">
        <v>149</v>
      </c>
      <c r="Z443" s="158" t="s">
        <v>149</v>
      </c>
      <c r="AA443" s="158" t="s">
        <v>149</v>
      </c>
      <c r="AB443" s="153" t="s">
        <v>1916</v>
      </c>
      <c r="AC443" s="153" t="s">
        <v>184</v>
      </c>
      <c r="AD443" s="153"/>
      <c r="AE443" s="158" t="s">
        <v>1917</v>
      </c>
      <c r="AF443" s="158"/>
      <c r="AG443" s="158" t="s">
        <v>6027</v>
      </c>
      <c r="AH443" s="153" t="s">
        <v>1918</v>
      </c>
      <c r="AI443" s="172" t="s">
        <v>1919</v>
      </c>
      <c r="AJ443" s="153"/>
      <c r="AK443" s="153"/>
    </row>
    <row r="444">
      <c r="A444" s="152">
        <v>2024.0</v>
      </c>
      <c r="B444" s="151">
        <v>150.0</v>
      </c>
      <c r="C444" s="153"/>
      <c r="D444" s="153"/>
      <c r="E444" s="153"/>
      <c r="F444" s="153"/>
      <c r="G444" s="153"/>
      <c r="H444" s="153" t="s">
        <v>257</v>
      </c>
      <c r="I444" s="153" t="s">
        <v>497</v>
      </c>
      <c r="J444" s="153" t="s">
        <v>498</v>
      </c>
      <c r="K444" s="153" t="s">
        <v>499</v>
      </c>
      <c r="L444" s="153" t="s">
        <v>384</v>
      </c>
      <c r="M444" s="153" t="s">
        <v>500</v>
      </c>
      <c r="N444" s="230">
        <v>1986.0</v>
      </c>
      <c r="O444" s="230">
        <v>1985.0</v>
      </c>
      <c r="P444" s="230">
        <v>1987.0</v>
      </c>
      <c r="Q444" s="153" t="s">
        <v>151</v>
      </c>
      <c r="R444" s="153" t="s">
        <v>6054</v>
      </c>
      <c r="S444" s="153"/>
      <c r="T444" s="153"/>
      <c r="U444" s="153" t="s">
        <v>390</v>
      </c>
      <c r="V444" s="153"/>
      <c r="W444" s="153"/>
      <c r="X444" s="153"/>
      <c r="Y444" s="153"/>
      <c r="Z444" s="153"/>
      <c r="AA444" s="153" t="s">
        <v>391</v>
      </c>
      <c r="AB444" s="153" t="s">
        <v>390</v>
      </c>
      <c r="AC444" s="153" t="s">
        <v>6035</v>
      </c>
      <c r="AD444" s="153" t="s">
        <v>6055</v>
      </c>
      <c r="AE444" s="153"/>
      <c r="AF444" s="153"/>
      <c r="AG444" s="153" t="s">
        <v>8004</v>
      </c>
      <c r="AH444" s="153" t="s">
        <v>6060</v>
      </c>
      <c r="AI444" s="153" t="s">
        <v>2873</v>
      </c>
      <c r="AJ444" s="153" t="s">
        <v>398</v>
      </c>
      <c r="AK444" s="153"/>
    </row>
    <row r="445">
      <c r="A445" s="152">
        <v>2023.0</v>
      </c>
      <c r="B445" s="151">
        <v>293.0</v>
      </c>
      <c r="C445" s="129" t="s">
        <v>140</v>
      </c>
      <c r="D445" s="8"/>
      <c r="H445" s="8" t="s">
        <v>579</v>
      </c>
      <c r="I445" s="8" t="s">
        <v>580</v>
      </c>
      <c r="J445" s="8" t="s">
        <v>8155</v>
      </c>
      <c r="K445" s="277" t="s">
        <v>582</v>
      </c>
      <c r="L445" s="8" t="s">
        <v>384</v>
      </c>
      <c r="M445" s="8" t="s">
        <v>583</v>
      </c>
      <c r="N445" s="142" t="s">
        <v>6051</v>
      </c>
      <c r="O445" s="142" t="s">
        <v>6052</v>
      </c>
      <c r="P445" s="142" t="s">
        <v>6053</v>
      </c>
      <c r="Q445" s="8" t="s">
        <v>151</v>
      </c>
      <c r="R445" s="8" t="s">
        <v>6054</v>
      </c>
      <c r="U445" s="8" t="s">
        <v>390</v>
      </c>
      <c r="AA445" s="8" t="s">
        <v>450</v>
      </c>
      <c r="AB445" s="8" t="s">
        <v>390</v>
      </c>
      <c r="AD445" s="8" t="s">
        <v>6055</v>
      </c>
      <c r="AH445" s="8" t="s">
        <v>6057</v>
      </c>
      <c r="AI445" s="8" t="s">
        <v>2873</v>
      </c>
      <c r="AJ445" s="8" t="s">
        <v>398</v>
      </c>
    </row>
    <row r="446">
      <c r="A446" s="152">
        <v>2023.0</v>
      </c>
      <c r="B446" s="151">
        <v>294.0</v>
      </c>
      <c r="C446" s="129" t="s">
        <v>140</v>
      </c>
      <c r="D446" s="8"/>
      <c r="H446" s="8" t="s">
        <v>579</v>
      </c>
      <c r="I446" s="8" t="s">
        <v>580</v>
      </c>
      <c r="J446" s="8" t="s">
        <v>1540</v>
      </c>
      <c r="K446" s="8" t="s">
        <v>1541</v>
      </c>
      <c r="L446" s="8" t="s">
        <v>1542</v>
      </c>
      <c r="N446" s="142" t="s">
        <v>6339</v>
      </c>
      <c r="O446" s="142" t="s">
        <v>6339</v>
      </c>
      <c r="P446" s="142" t="s">
        <v>7119</v>
      </c>
      <c r="Q446" s="8" t="s">
        <v>6062</v>
      </c>
      <c r="R446" s="8" t="s">
        <v>179</v>
      </c>
      <c r="T446" s="8" t="s">
        <v>1545</v>
      </c>
      <c r="U446" s="8" t="s">
        <v>1546</v>
      </c>
      <c r="AB446" s="8" t="s">
        <v>1547</v>
      </c>
      <c r="AH446" s="8" t="s">
        <v>213</v>
      </c>
      <c r="AJ446" s="8" t="s">
        <v>1548</v>
      </c>
      <c r="AK446" s="8" t="s">
        <v>1549</v>
      </c>
    </row>
    <row r="447">
      <c r="A447" s="152">
        <v>2024.0</v>
      </c>
      <c r="B447" s="151">
        <v>151.0</v>
      </c>
      <c r="C447" s="153"/>
      <c r="D447" s="153"/>
      <c r="E447" s="153"/>
      <c r="F447" s="153"/>
      <c r="G447" s="153"/>
      <c r="H447" s="153" t="s">
        <v>257</v>
      </c>
      <c r="I447" s="153" t="s">
        <v>497</v>
      </c>
      <c r="J447" s="153" t="s">
        <v>498</v>
      </c>
      <c r="K447" s="153" t="s">
        <v>499</v>
      </c>
      <c r="L447" s="153" t="s">
        <v>384</v>
      </c>
      <c r="M447" s="153" t="s">
        <v>502</v>
      </c>
      <c r="N447" s="230">
        <v>1986.0</v>
      </c>
      <c r="O447" s="230">
        <v>1985.0</v>
      </c>
      <c r="P447" s="230">
        <v>1987.0</v>
      </c>
      <c r="Q447" s="153" t="s">
        <v>151</v>
      </c>
      <c r="R447" s="153" t="s">
        <v>6054</v>
      </c>
      <c r="S447" s="153"/>
      <c r="T447" s="153"/>
      <c r="U447" s="153" t="s">
        <v>390</v>
      </c>
      <c r="V447" s="153"/>
      <c r="W447" s="153"/>
      <c r="X447" s="153"/>
      <c r="Y447" s="153"/>
      <c r="Z447" s="153"/>
      <c r="AA447" s="153" t="s">
        <v>503</v>
      </c>
      <c r="AB447" s="153" t="s">
        <v>390</v>
      </c>
      <c r="AC447" s="153" t="s">
        <v>6035</v>
      </c>
      <c r="AD447" s="153" t="s">
        <v>6055</v>
      </c>
      <c r="AE447" s="153"/>
      <c r="AF447" s="153"/>
      <c r="AG447" s="153" t="s">
        <v>8004</v>
      </c>
      <c r="AH447" s="153" t="s">
        <v>6060</v>
      </c>
      <c r="AI447" s="153" t="s">
        <v>2873</v>
      </c>
      <c r="AJ447" s="153" t="s">
        <v>398</v>
      </c>
      <c r="AK447" s="153"/>
    </row>
    <row r="448">
      <c r="A448" s="152">
        <v>2023.0</v>
      </c>
      <c r="B448" s="151">
        <v>295.0</v>
      </c>
      <c r="C448" s="129" t="s">
        <v>140</v>
      </c>
      <c r="D448" s="8"/>
      <c r="H448" s="8" t="s">
        <v>579</v>
      </c>
      <c r="I448" s="8" t="s">
        <v>580</v>
      </c>
      <c r="J448" s="8" t="s">
        <v>973</v>
      </c>
      <c r="K448" s="8" t="s">
        <v>974</v>
      </c>
      <c r="L448" s="8" t="s">
        <v>934</v>
      </c>
      <c r="N448" s="142" t="s">
        <v>6229</v>
      </c>
      <c r="O448" s="142" t="s">
        <v>6229</v>
      </c>
      <c r="P448" s="142" t="s">
        <v>6230</v>
      </c>
      <c r="Q448" s="8" t="s">
        <v>6062</v>
      </c>
      <c r="R448" s="8" t="s">
        <v>6276</v>
      </c>
      <c r="T448" s="8" t="s">
        <v>939</v>
      </c>
      <c r="U448" s="8" t="s">
        <v>940</v>
      </c>
      <c r="AB448" s="8" t="s">
        <v>233</v>
      </c>
      <c r="AH448" s="8" t="s">
        <v>6214</v>
      </c>
      <c r="AI448" s="8" t="s">
        <v>942</v>
      </c>
      <c r="AJ448" s="8" t="s">
        <v>943</v>
      </c>
    </row>
    <row r="449">
      <c r="A449" s="152">
        <v>2023.0</v>
      </c>
      <c r="B449" s="151">
        <v>296.0</v>
      </c>
      <c r="C449" s="129" t="s">
        <v>140</v>
      </c>
      <c r="D449" s="8"/>
      <c r="H449" s="8" t="s">
        <v>579</v>
      </c>
      <c r="I449" s="8" t="s">
        <v>580</v>
      </c>
      <c r="J449" s="8" t="s">
        <v>973</v>
      </c>
      <c r="K449" s="8" t="s">
        <v>974</v>
      </c>
      <c r="L449" s="8" t="s">
        <v>6113</v>
      </c>
      <c r="M449" s="8" t="s">
        <v>3017</v>
      </c>
      <c r="N449" s="142" t="s">
        <v>6089</v>
      </c>
      <c r="O449" s="142"/>
      <c r="P449" s="142"/>
      <c r="Q449" s="8" t="s">
        <v>6062</v>
      </c>
      <c r="R449" s="8" t="s">
        <v>3018</v>
      </c>
      <c r="T449" s="8" t="s">
        <v>3019</v>
      </c>
      <c r="U449" s="8" t="s">
        <v>1546</v>
      </c>
      <c r="AB449" s="8" t="s">
        <v>3020</v>
      </c>
      <c r="AH449" s="8" t="s">
        <v>6214</v>
      </c>
      <c r="AI449" s="8" t="s">
        <v>3022</v>
      </c>
    </row>
    <row r="450">
      <c r="A450" s="152">
        <v>2024.0</v>
      </c>
      <c r="B450" s="151">
        <v>152.0</v>
      </c>
      <c r="C450" s="153"/>
      <c r="D450" s="153"/>
      <c r="E450" s="153"/>
      <c r="F450" s="153"/>
      <c r="G450" s="153"/>
      <c r="H450" s="153" t="s">
        <v>257</v>
      </c>
      <c r="I450" s="153" t="s">
        <v>497</v>
      </c>
      <c r="J450" s="153" t="s">
        <v>498</v>
      </c>
      <c r="K450" s="153" t="s">
        <v>499</v>
      </c>
      <c r="L450" s="153" t="s">
        <v>6113</v>
      </c>
      <c r="M450" s="153"/>
      <c r="N450" s="230">
        <v>2005.0</v>
      </c>
      <c r="O450" s="230"/>
      <c r="P450" s="230"/>
      <c r="Q450" s="153" t="s">
        <v>151</v>
      </c>
      <c r="R450" s="153" t="s">
        <v>152</v>
      </c>
      <c r="S450" s="153"/>
      <c r="T450" s="153" t="s">
        <v>6717</v>
      </c>
      <c r="U450" s="153" t="s">
        <v>2391</v>
      </c>
      <c r="V450" s="153"/>
      <c r="W450" s="153"/>
      <c r="X450" s="153"/>
      <c r="Y450" s="153"/>
      <c r="Z450" s="153"/>
      <c r="AA450" s="153"/>
      <c r="AB450" s="153" t="s">
        <v>2391</v>
      </c>
      <c r="AC450" s="153" t="s">
        <v>271</v>
      </c>
      <c r="AD450" s="153"/>
      <c r="AE450" s="153"/>
      <c r="AF450" s="153"/>
      <c r="AG450" s="153" t="s">
        <v>7003</v>
      </c>
      <c r="AH450" s="153" t="s">
        <v>2393</v>
      </c>
      <c r="AI450" s="165" t="s">
        <v>2394</v>
      </c>
      <c r="AJ450" s="153"/>
      <c r="AK450" s="153"/>
    </row>
    <row r="451">
      <c r="A451" s="152">
        <v>2023.0</v>
      </c>
      <c r="B451" s="151">
        <v>297.0</v>
      </c>
      <c r="C451" s="129" t="s">
        <v>140</v>
      </c>
      <c r="D451" s="8"/>
      <c r="H451" s="8" t="s">
        <v>579</v>
      </c>
      <c r="I451" s="8" t="s">
        <v>580</v>
      </c>
      <c r="J451" s="8" t="s">
        <v>973</v>
      </c>
      <c r="K451" s="8" t="s">
        <v>974</v>
      </c>
      <c r="L451" s="8" t="s">
        <v>6113</v>
      </c>
      <c r="M451" s="8" t="s">
        <v>3024</v>
      </c>
      <c r="N451" s="142" t="s">
        <v>6089</v>
      </c>
      <c r="O451" s="142"/>
      <c r="P451" s="142"/>
      <c r="Q451" s="8" t="s">
        <v>6062</v>
      </c>
      <c r="R451" s="8" t="s">
        <v>3018</v>
      </c>
      <c r="T451" s="8" t="s">
        <v>3019</v>
      </c>
      <c r="U451" s="8" t="s">
        <v>1546</v>
      </c>
      <c r="AB451" s="8" t="s">
        <v>3020</v>
      </c>
      <c r="AH451" s="8" t="s">
        <v>6214</v>
      </c>
      <c r="AI451" s="8" t="s">
        <v>3022</v>
      </c>
    </row>
    <row r="452">
      <c r="A452" s="152">
        <v>2023.0</v>
      </c>
      <c r="B452" s="151">
        <v>298.0</v>
      </c>
      <c r="C452" s="129" t="s">
        <v>140</v>
      </c>
      <c r="D452" s="8"/>
      <c r="H452" s="8" t="s">
        <v>579</v>
      </c>
      <c r="I452" s="8" t="s">
        <v>580</v>
      </c>
      <c r="J452" s="8" t="s">
        <v>3155</v>
      </c>
      <c r="K452" s="8" t="s">
        <v>3156</v>
      </c>
      <c r="L452" s="8" t="s">
        <v>6113</v>
      </c>
      <c r="M452" s="8" t="s">
        <v>8299</v>
      </c>
      <c r="N452" s="142" t="s">
        <v>6113</v>
      </c>
      <c r="O452" s="142"/>
      <c r="P452" s="142"/>
      <c r="Q452" s="8" t="s">
        <v>151</v>
      </c>
      <c r="AH452" s="8" t="s">
        <v>6084</v>
      </c>
      <c r="AI452" s="172" t="s">
        <v>3159</v>
      </c>
    </row>
    <row r="453">
      <c r="A453" s="152">
        <v>2024.0</v>
      </c>
      <c r="B453" s="151">
        <v>153.0</v>
      </c>
      <c r="C453" s="153"/>
      <c r="D453" s="153"/>
      <c r="E453" s="153"/>
      <c r="F453" s="153"/>
      <c r="G453" s="153"/>
      <c r="H453" s="153" t="s">
        <v>257</v>
      </c>
      <c r="I453" s="153" t="s">
        <v>497</v>
      </c>
      <c r="J453" s="153" t="s">
        <v>505</v>
      </c>
      <c r="K453" s="153" t="s">
        <v>506</v>
      </c>
      <c r="L453" s="153" t="s">
        <v>384</v>
      </c>
      <c r="M453" s="153" t="s">
        <v>507</v>
      </c>
      <c r="N453" s="230">
        <v>1986.0</v>
      </c>
      <c r="O453" s="230">
        <v>1985.0</v>
      </c>
      <c r="P453" s="230">
        <v>1987.0</v>
      </c>
      <c r="Q453" s="153" t="s">
        <v>151</v>
      </c>
      <c r="R453" s="153" t="s">
        <v>6054</v>
      </c>
      <c r="S453" s="153"/>
      <c r="T453" s="153"/>
      <c r="U453" s="153" t="s">
        <v>390</v>
      </c>
      <c r="V453" s="153"/>
      <c r="W453" s="153"/>
      <c r="X453" s="153"/>
      <c r="Y453" s="153"/>
      <c r="Z453" s="153"/>
      <c r="AA453" s="153" t="s">
        <v>508</v>
      </c>
      <c r="AB453" s="153" t="s">
        <v>390</v>
      </c>
      <c r="AC453" s="153" t="s">
        <v>6035</v>
      </c>
      <c r="AD453" s="153" t="s">
        <v>6055</v>
      </c>
      <c r="AE453" s="153"/>
      <c r="AF453" s="153"/>
      <c r="AG453" s="153" t="s">
        <v>8004</v>
      </c>
      <c r="AH453" s="153" t="s">
        <v>6060</v>
      </c>
      <c r="AI453" s="153" t="s">
        <v>2873</v>
      </c>
      <c r="AJ453" s="153" t="s">
        <v>398</v>
      </c>
      <c r="AK453" s="153"/>
    </row>
    <row r="454">
      <c r="A454" s="152">
        <v>2023.0</v>
      </c>
      <c r="B454" s="151">
        <v>299.0</v>
      </c>
      <c r="C454" s="129" t="s">
        <v>140</v>
      </c>
      <c r="D454" s="8"/>
      <c r="H454" s="8" t="s">
        <v>579</v>
      </c>
      <c r="I454" s="8" t="s">
        <v>580</v>
      </c>
      <c r="J454" s="8" t="s">
        <v>3026</v>
      </c>
      <c r="K454" s="8" t="s">
        <v>3027</v>
      </c>
      <c r="L454" s="8" t="s">
        <v>6113</v>
      </c>
      <c r="M454" s="8" t="s">
        <v>3028</v>
      </c>
      <c r="N454" s="142" t="s">
        <v>6089</v>
      </c>
      <c r="O454" s="142"/>
      <c r="P454" s="142"/>
      <c r="Q454" s="8" t="s">
        <v>6062</v>
      </c>
      <c r="R454" s="8" t="s">
        <v>3018</v>
      </c>
      <c r="T454" s="8" t="s">
        <v>3019</v>
      </c>
      <c r="U454" s="8" t="s">
        <v>1546</v>
      </c>
      <c r="AB454" s="8" t="s">
        <v>3020</v>
      </c>
      <c r="AH454" s="8" t="s">
        <v>6214</v>
      </c>
      <c r="AI454" s="8" t="s">
        <v>3022</v>
      </c>
    </row>
    <row r="455">
      <c r="A455" s="152">
        <v>2025.0</v>
      </c>
      <c r="B455" s="151">
        <v>299.0</v>
      </c>
      <c r="C455" s="153" t="s">
        <v>8189</v>
      </c>
      <c r="D455" s="153"/>
      <c r="E455" s="153"/>
      <c r="F455" s="153"/>
      <c r="G455" s="153"/>
      <c r="H455" s="153" t="s">
        <v>579</v>
      </c>
      <c r="I455" s="153" t="s">
        <v>580</v>
      </c>
      <c r="J455" s="158" t="s">
        <v>581</v>
      </c>
      <c r="K455" s="153" t="s">
        <v>582</v>
      </c>
      <c r="L455" s="153" t="s">
        <v>384</v>
      </c>
      <c r="M455" s="153" t="s">
        <v>583</v>
      </c>
      <c r="N455" s="175" t="s">
        <v>6051</v>
      </c>
      <c r="O455" s="175" t="s">
        <v>6052</v>
      </c>
      <c r="P455" s="175" t="s">
        <v>6053</v>
      </c>
      <c r="Q455" s="153" t="s">
        <v>151</v>
      </c>
      <c r="R455" s="153" t="s">
        <v>6054</v>
      </c>
      <c r="S455" s="158" t="s">
        <v>6054</v>
      </c>
      <c r="T455" s="158" t="s">
        <v>149</v>
      </c>
      <c r="U455" s="153" t="s">
        <v>390</v>
      </c>
      <c r="V455" s="158" t="s">
        <v>160</v>
      </c>
      <c r="W455" s="158" t="s">
        <v>6035</v>
      </c>
      <c r="X455" s="158" t="s">
        <v>159</v>
      </c>
      <c r="Y455" s="158" t="s">
        <v>149</v>
      </c>
      <c r="Z455" s="158" t="s">
        <v>149</v>
      </c>
      <c r="AA455" s="153" t="s">
        <v>450</v>
      </c>
      <c r="AB455" s="153" t="s">
        <v>390</v>
      </c>
      <c r="AC455" s="153" t="s">
        <v>6035</v>
      </c>
      <c r="AD455" s="153" t="s">
        <v>6055</v>
      </c>
      <c r="AE455" s="153"/>
      <c r="AF455" s="153"/>
      <c r="AG455" s="158" t="s">
        <v>395</v>
      </c>
      <c r="AH455" s="153" t="s">
        <v>6060</v>
      </c>
      <c r="AI455" s="158" t="s">
        <v>6711</v>
      </c>
      <c r="AJ455" s="153" t="s">
        <v>398</v>
      </c>
      <c r="AK455" s="153"/>
    </row>
    <row r="456">
      <c r="A456" s="152">
        <v>2024.0</v>
      </c>
      <c r="B456" s="151">
        <v>154.0</v>
      </c>
      <c r="C456" s="153"/>
      <c r="D456" s="153"/>
      <c r="E456" s="153"/>
      <c r="F456" s="153"/>
      <c r="G456" s="153"/>
      <c r="H456" s="153" t="s">
        <v>257</v>
      </c>
      <c r="I456" s="153" t="s">
        <v>497</v>
      </c>
      <c r="J456" s="153" t="s">
        <v>505</v>
      </c>
      <c r="K456" s="153" t="s">
        <v>506</v>
      </c>
      <c r="L456" s="153" t="s">
        <v>1377</v>
      </c>
      <c r="M456" s="153" t="s">
        <v>1394</v>
      </c>
      <c r="N456" s="230" t="s">
        <v>6113</v>
      </c>
      <c r="O456" s="230">
        <v>1990.0</v>
      </c>
      <c r="P456" s="230">
        <v>1994.0</v>
      </c>
      <c r="Q456" s="153" t="s">
        <v>151</v>
      </c>
      <c r="R456" s="153"/>
      <c r="S456" s="153"/>
      <c r="T456" s="153"/>
      <c r="U456" s="153" t="s">
        <v>1381</v>
      </c>
      <c r="V456" s="153"/>
      <c r="W456" s="153"/>
      <c r="X456" s="153"/>
      <c r="Y456" s="153"/>
      <c r="Z456" s="153"/>
      <c r="AA456" s="153"/>
      <c r="AB456" s="153" t="s">
        <v>660</v>
      </c>
      <c r="AC456" s="153" t="s">
        <v>6035</v>
      </c>
      <c r="AD456" s="153" t="s">
        <v>369</v>
      </c>
      <c r="AE456" s="153"/>
      <c r="AF456" s="153"/>
      <c r="AG456" s="153" t="s">
        <v>8004</v>
      </c>
      <c r="AH456" s="153" t="s">
        <v>6060</v>
      </c>
      <c r="AI456" s="153" t="s">
        <v>2873</v>
      </c>
      <c r="AJ456" s="153" t="s">
        <v>398</v>
      </c>
      <c r="AK456" s="153"/>
    </row>
    <row r="457">
      <c r="A457" s="152">
        <v>2025.0</v>
      </c>
      <c r="B457" s="151">
        <v>300.0</v>
      </c>
      <c r="C457" s="153" t="s">
        <v>8189</v>
      </c>
      <c r="D457" s="153"/>
      <c r="E457" s="153"/>
      <c r="F457" s="153"/>
      <c r="G457" s="153"/>
      <c r="H457" s="153" t="s">
        <v>579</v>
      </c>
      <c r="I457" s="153" t="s">
        <v>580</v>
      </c>
      <c r="J457" s="153" t="s">
        <v>1540</v>
      </c>
      <c r="K457" s="153" t="s">
        <v>1541</v>
      </c>
      <c r="L457" s="153" t="s">
        <v>1542</v>
      </c>
      <c r="M457" s="153"/>
      <c r="N457" s="175" t="s">
        <v>6339</v>
      </c>
      <c r="O457" s="175" t="s">
        <v>6339</v>
      </c>
      <c r="P457" s="175" t="s">
        <v>7119</v>
      </c>
      <c r="Q457" s="153" t="s">
        <v>6062</v>
      </c>
      <c r="R457" s="153" t="s">
        <v>179</v>
      </c>
      <c r="S457" s="158" t="s">
        <v>179</v>
      </c>
      <c r="T457" s="153" t="s">
        <v>1545</v>
      </c>
      <c r="U457" s="153" t="s">
        <v>1546</v>
      </c>
      <c r="V457" s="158" t="s">
        <v>160</v>
      </c>
      <c r="W457" s="158" t="s">
        <v>306</v>
      </c>
      <c r="X457" s="158" t="s">
        <v>204</v>
      </c>
      <c r="Y457" s="158" t="s">
        <v>149</v>
      </c>
      <c r="Z457" s="158" t="s">
        <v>149</v>
      </c>
      <c r="AA457" s="158" t="s">
        <v>149</v>
      </c>
      <c r="AB457" s="153" t="s">
        <v>1547</v>
      </c>
      <c r="AC457" s="153" t="s">
        <v>306</v>
      </c>
      <c r="AD457" s="153"/>
      <c r="AE457" s="153"/>
      <c r="AF457" s="153"/>
      <c r="AG457" s="153" t="s">
        <v>213</v>
      </c>
      <c r="AH457" s="153" t="s">
        <v>213</v>
      </c>
      <c r="AI457" s="153"/>
      <c r="AJ457" s="153" t="s">
        <v>1548</v>
      </c>
      <c r="AK457" s="153" t="s">
        <v>1549</v>
      </c>
    </row>
    <row r="458">
      <c r="A458" s="152">
        <v>2025.0</v>
      </c>
      <c r="B458" s="151">
        <v>301.0</v>
      </c>
      <c r="C458" s="153" t="s">
        <v>8189</v>
      </c>
      <c r="D458" s="153"/>
      <c r="E458" s="153"/>
      <c r="F458" s="153"/>
      <c r="G458" s="153"/>
      <c r="H458" s="153" t="s">
        <v>579</v>
      </c>
      <c r="I458" s="153" t="s">
        <v>580</v>
      </c>
      <c r="J458" s="153" t="s">
        <v>973</v>
      </c>
      <c r="K458" s="153" t="s">
        <v>974</v>
      </c>
      <c r="L458" s="153" t="s">
        <v>934</v>
      </c>
      <c r="M458" s="153"/>
      <c r="N458" s="175" t="s">
        <v>6229</v>
      </c>
      <c r="O458" s="175" t="s">
        <v>6229</v>
      </c>
      <c r="P458" s="175" t="s">
        <v>6230</v>
      </c>
      <c r="Q458" s="153" t="s">
        <v>6062</v>
      </c>
      <c r="R458" s="153" t="s">
        <v>3245</v>
      </c>
      <c r="S458" s="158" t="s">
        <v>179</v>
      </c>
      <c r="T458" s="153" t="s">
        <v>939</v>
      </c>
      <c r="U458" s="153" t="s">
        <v>940</v>
      </c>
      <c r="V458" s="158" t="s">
        <v>6154</v>
      </c>
      <c r="W458" s="158" t="s">
        <v>206</v>
      </c>
      <c r="X458" s="158" t="s">
        <v>204</v>
      </c>
      <c r="Y458" s="158" t="s">
        <v>149</v>
      </c>
      <c r="Z458" s="158" t="s">
        <v>149</v>
      </c>
      <c r="AA458" s="158" t="s">
        <v>149</v>
      </c>
      <c r="AB458" s="153" t="s">
        <v>233</v>
      </c>
      <c r="AC458" s="158" t="s">
        <v>6068</v>
      </c>
      <c r="AD458" s="153"/>
      <c r="AE458" s="153"/>
      <c r="AF458" s="153"/>
      <c r="AG458" s="158" t="s">
        <v>6214</v>
      </c>
      <c r="AH458" s="153" t="s">
        <v>941</v>
      </c>
      <c r="AI458" s="153" t="s">
        <v>942</v>
      </c>
      <c r="AJ458" s="153" t="s">
        <v>943</v>
      </c>
      <c r="AK458" s="153"/>
    </row>
    <row r="459">
      <c r="A459" s="152">
        <v>2024.0</v>
      </c>
      <c r="B459" s="151">
        <v>155.0</v>
      </c>
      <c r="C459" s="153"/>
      <c r="D459" s="153"/>
      <c r="E459" s="153"/>
      <c r="F459" s="153"/>
      <c r="G459" s="153"/>
      <c r="H459" s="153" t="s">
        <v>257</v>
      </c>
      <c r="I459" s="153" t="s">
        <v>497</v>
      </c>
      <c r="J459" s="153" t="s">
        <v>505</v>
      </c>
      <c r="K459" s="153" t="s">
        <v>506</v>
      </c>
      <c r="L459" s="153" t="s">
        <v>1377</v>
      </c>
      <c r="M459" s="153" t="s">
        <v>1396</v>
      </c>
      <c r="N459" s="230" t="s">
        <v>6113</v>
      </c>
      <c r="O459" s="230">
        <v>1990.0</v>
      </c>
      <c r="P459" s="230">
        <v>1994.0</v>
      </c>
      <c r="Q459" s="153" t="s">
        <v>151</v>
      </c>
      <c r="R459" s="153"/>
      <c r="S459" s="153"/>
      <c r="T459" s="153"/>
      <c r="U459" s="153" t="s">
        <v>1381</v>
      </c>
      <c r="V459" s="153"/>
      <c r="W459" s="153"/>
      <c r="X459" s="153"/>
      <c r="Y459" s="153"/>
      <c r="Z459" s="153"/>
      <c r="AA459" s="153"/>
      <c r="AB459" s="153" t="s">
        <v>660</v>
      </c>
      <c r="AC459" s="153" t="s">
        <v>6035</v>
      </c>
      <c r="AD459" s="153" t="s">
        <v>369</v>
      </c>
      <c r="AE459" s="153"/>
      <c r="AF459" s="153"/>
      <c r="AG459" s="153" t="s">
        <v>8004</v>
      </c>
      <c r="AH459" s="153" t="s">
        <v>6060</v>
      </c>
      <c r="AI459" s="153" t="s">
        <v>2873</v>
      </c>
      <c r="AJ459" s="153" t="s">
        <v>398</v>
      </c>
      <c r="AK459" s="153"/>
    </row>
    <row r="460">
      <c r="A460" s="152">
        <v>2025.0</v>
      </c>
      <c r="B460" s="151">
        <v>302.0</v>
      </c>
      <c r="C460" s="153" t="s">
        <v>8189</v>
      </c>
      <c r="D460" s="153"/>
      <c r="E460" s="153"/>
      <c r="F460" s="153"/>
      <c r="G460" s="153"/>
      <c r="H460" s="153" t="s">
        <v>579</v>
      </c>
      <c r="I460" s="153" t="s">
        <v>580</v>
      </c>
      <c r="J460" s="153" t="s">
        <v>973</v>
      </c>
      <c r="K460" s="153" t="s">
        <v>974</v>
      </c>
      <c r="L460" s="158" t="s">
        <v>149</v>
      </c>
      <c r="M460" s="153" t="s">
        <v>3017</v>
      </c>
      <c r="N460" s="175" t="s">
        <v>6089</v>
      </c>
      <c r="O460" s="160" t="s">
        <v>149</v>
      </c>
      <c r="P460" s="160" t="s">
        <v>149</v>
      </c>
      <c r="Q460" s="153" t="s">
        <v>6062</v>
      </c>
      <c r="R460" s="153" t="s">
        <v>3018</v>
      </c>
      <c r="S460" s="158" t="s">
        <v>179</v>
      </c>
      <c r="T460" s="153" t="s">
        <v>3019</v>
      </c>
      <c r="U460" s="153" t="s">
        <v>1546</v>
      </c>
      <c r="V460" s="158" t="s">
        <v>160</v>
      </c>
      <c r="W460" s="158" t="s">
        <v>306</v>
      </c>
      <c r="X460" s="158" t="s">
        <v>204</v>
      </c>
      <c r="Y460" s="158" t="s">
        <v>149</v>
      </c>
      <c r="Z460" s="158" t="s">
        <v>149</v>
      </c>
      <c r="AA460" s="158" t="s">
        <v>149</v>
      </c>
      <c r="AB460" s="153" t="s">
        <v>3020</v>
      </c>
      <c r="AC460" s="158" t="s">
        <v>6068</v>
      </c>
      <c r="AD460" s="153"/>
      <c r="AE460" s="153"/>
      <c r="AF460" s="153"/>
      <c r="AG460" s="158" t="s">
        <v>6214</v>
      </c>
      <c r="AH460" s="153" t="s">
        <v>7242</v>
      </c>
      <c r="AI460" s="165" t="s">
        <v>3022</v>
      </c>
      <c r="AJ460" s="153"/>
      <c r="AK460" s="153"/>
    </row>
    <row r="461">
      <c r="A461" s="152">
        <v>2025.0</v>
      </c>
      <c r="B461" s="151">
        <v>303.0</v>
      </c>
      <c r="C461" s="153" t="s">
        <v>8189</v>
      </c>
      <c r="D461" s="153"/>
      <c r="E461" s="153"/>
      <c r="F461" s="153"/>
      <c r="G461" s="153"/>
      <c r="H461" s="153" t="s">
        <v>579</v>
      </c>
      <c r="I461" s="153" t="s">
        <v>580</v>
      </c>
      <c r="J461" s="153" t="s">
        <v>973</v>
      </c>
      <c r="K461" s="153" t="s">
        <v>974</v>
      </c>
      <c r="L461" s="158" t="s">
        <v>149</v>
      </c>
      <c r="M461" s="153" t="s">
        <v>3024</v>
      </c>
      <c r="N461" s="175" t="s">
        <v>6089</v>
      </c>
      <c r="O461" s="160" t="s">
        <v>149</v>
      </c>
      <c r="P461" s="160" t="s">
        <v>149</v>
      </c>
      <c r="Q461" s="153" t="s">
        <v>6062</v>
      </c>
      <c r="R461" s="153" t="s">
        <v>3018</v>
      </c>
      <c r="S461" s="158" t="s">
        <v>179</v>
      </c>
      <c r="T461" s="153" t="s">
        <v>3019</v>
      </c>
      <c r="U461" s="153" t="s">
        <v>1546</v>
      </c>
      <c r="V461" s="158" t="s">
        <v>160</v>
      </c>
      <c r="W461" s="158" t="s">
        <v>306</v>
      </c>
      <c r="X461" s="158" t="s">
        <v>204</v>
      </c>
      <c r="Y461" s="158" t="s">
        <v>149</v>
      </c>
      <c r="Z461" s="158" t="s">
        <v>149</v>
      </c>
      <c r="AA461" s="158" t="s">
        <v>149</v>
      </c>
      <c r="AB461" s="153" t="s">
        <v>3020</v>
      </c>
      <c r="AC461" s="158" t="s">
        <v>6068</v>
      </c>
      <c r="AD461" s="153"/>
      <c r="AE461" s="153"/>
      <c r="AF461" s="153"/>
      <c r="AG461" s="158" t="s">
        <v>6214</v>
      </c>
      <c r="AH461" s="153" t="s">
        <v>7242</v>
      </c>
      <c r="AI461" s="153" t="s">
        <v>3022</v>
      </c>
      <c r="AJ461" s="153"/>
      <c r="AK461" s="153"/>
    </row>
    <row r="462">
      <c r="A462" s="152">
        <v>2024.0</v>
      </c>
      <c r="B462" s="151">
        <v>156.0</v>
      </c>
      <c r="C462" s="153"/>
      <c r="D462" s="153"/>
      <c r="E462" s="153"/>
      <c r="F462" s="153"/>
      <c r="G462" s="153"/>
      <c r="H462" s="153" t="s">
        <v>257</v>
      </c>
      <c r="I462" s="153" t="s">
        <v>497</v>
      </c>
      <c r="J462" s="153" t="s">
        <v>505</v>
      </c>
      <c r="K462" s="153" t="s">
        <v>506</v>
      </c>
      <c r="L462" s="153" t="s">
        <v>1377</v>
      </c>
      <c r="M462" s="153" t="s">
        <v>1398</v>
      </c>
      <c r="N462" s="230" t="s">
        <v>6113</v>
      </c>
      <c r="O462" s="230">
        <v>1990.0</v>
      </c>
      <c r="P462" s="230">
        <v>1994.0</v>
      </c>
      <c r="Q462" s="153" t="s">
        <v>151</v>
      </c>
      <c r="R462" s="153"/>
      <c r="S462" s="153"/>
      <c r="T462" s="153"/>
      <c r="U462" s="153" t="s">
        <v>1381</v>
      </c>
      <c r="V462" s="153"/>
      <c r="W462" s="153"/>
      <c r="X462" s="153"/>
      <c r="Y462" s="153"/>
      <c r="Z462" s="153"/>
      <c r="AA462" s="153"/>
      <c r="AB462" s="153" t="s">
        <v>660</v>
      </c>
      <c r="AC462" s="153" t="s">
        <v>6035</v>
      </c>
      <c r="AD462" s="153" t="s">
        <v>369</v>
      </c>
      <c r="AE462" s="153"/>
      <c r="AF462" s="153"/>
      <c r="AG462" s="153" t="s">
        <v>8004</v>
      </c>
      <c r="AH462" s="153" t="s">
        <v>6060</v>
      </c>
      <c r="AI462" s="153" t="s">
        <v>2873</v>
      </c>
      <c r="AJ462" s="153" t="s">
        <v>398</v>
      </c>
      <c r="AK462" s="153"/>
    </row>
    <row r="463">
      <c r="A463" s="152">
        <v>2025.0</v>
      </c>
      <c r="B463" s="151">
        <v>304.0</v>
      </c>
      <c r="C463" s="153" t="s">
        <v>8189</v>
      </c>
      <c r="D463" s="153"/>
      <c r="E463" s="153"/>
      <c r="F463" s="153"/>
      <c r="G463" s="153"/>
      <c r="H463" s="153" t="s">
        <v>579</v>
      </c>
      <c r="I463" s="153" t="s">
        <v>580</v>
      </c>
      <c r="J463" s="153" t="s">
        <v>3155</v>
      </c>
      <c r="K463" s="153" t="s">
        <v>3156</v>
      </c>
      <c r="L463" s="158" t="s">
        <v>149</v>
      </c>
      <c r="M463" s="153" t="s">
        <v>7234</v>
      </c>
      <c r="N463" s="160" t="s">
        <v>149</v>
      </c>
      <c r="O463" s="160" t="s">
        <v>149</v>
      </c>
      <c r="P463" s="160" t="s">
        <v>149</v>
      </c>
      <c r="Q463" s="153" t="s">
        <v>151</v>
      </c>
      <c r="R463" s="158" t="s">
        <v>149</v>
      </c>
      <c r="S463" s="158" t="s">
        <v>149</v>
      </c>
      <c r="T463" s="158" t="s">
        <v>149</v>
      </c>
      <c r="U463" s="158" t="s">
        <v>149</v>
      </c>
      <c r="V463" s="158" t="s">
        <v>149</v>
      </c>
      <c r="W463" s="158" t="s">
        <v>149</v>
      </c>
      <c r="X463" s="158" t="s">
        <v>149</v>
      </c>
      <c r="Y463" s="158" t="s">
        <v>149</v>
      </c>
      <c r="Z463" s="158" t="s">
        <v>149</v>
      </c>
      <c r="AA463" s="158" t="s">
        <v>149</v>
      </c>
      <c r="AB463" s="158" t="s">
        <v>149</v>
      </c>
      <c r="AC463" s="158" t="s">
        <v>149</v>
      </c>
      <c r="AD463" s="153"/>
      <c r="AE463" s="153"/>
      <c r="AF463" s="153"/>
      <c r="AG463" s="153" t="s">
        <v>6084</v>
      </c>
      <c r="AH463" s="153" t="s">
        <v>3158</v>
      </c>
      <c r="AI463" s="165" t="s">
        <v>3159</v>
      </c>
      <c r="AJ463" s="153"/>
      <c r="AK463" s="153"/>
    </row>
    <row r="464">
      <c r="A464" s="152">
        <v>2025.0</v>
      </c>
      <c r="B464" s="151">
        <v>305.0</v>
      </c>
      <c r="C464" s="153" t="s">
        <v>8189</v>
      </c>
      <c r="D464" s="153"/>
      <c r="E464" s="153"/>
      <c r="F464" s="153"/>
      <c r="G464" s="153"/>
      <c r="H464" s="153" t="s">
        <v>579</v>
      </c>
      <c r="I464" s="153" t="s">
        <v>580</v>
      </c>
      <c r="J464" s="153" t="s">
        <v>2821</v>
      </c>
      <c r="K464" s="153" t="s">
        <v>2822</v>
      </c>
      <c r="L464" s="158" t="s">
        <v>149</v>
      </c>
      <c r="M464" s="153" t="s">
        <v>2823</v>
      </c>
      <c r="N464" s="164" t="s">
        <v>149</v>
      </c>
      <c r="O464" s="194" t="s">
        <v>149</v>
      </c>
      <c r="P464" s="194" t="s">
        <v>149</v>
      </c>
      <c r="Q464" s="153" t="s">
        <v>151</v>
      </c>
      <c r="R464" s="158" t="s">
        <v>149</v>
      </c>
      <c r="S464" s="158" t="s">
        <v>149</v>
      </c>
      <c r="T464" s="153" t="s">
        <v>819</v>
      </c>
      <c r="U464" s="158" t="s">
        <v>149</v>
      </c>
      <c r="V464" s="158" t="s">
        <v>149</v>
      </c>
      <c r="W464" s="158" t="s">
        <v>149</v>
      </c>
      <c r="X464" s="158" t="s">
        <v>149</v>
      </c>
      <c r="Y464" s="158" t="s">
        <v>149</v>
      </c>
      <c r="Z464" s="158" t="s">
        <v>149</v>
      </c>
      <c r="AA464" s="158" t="s">
        <v>149</v>
      </c>
      <c r="AB464" s="153" t="s">
        <v>369</v>
      </c>
      <c r="AC464" s="153" t="s">
        <v>6035</v>
      </c>
      <c r="AD464" s="153"/>
      <c r="AE464" s="153"/>
      <c r="AF464" s="153"/>
      <c r="AG464" s="153" t="s">
        <v>6084</v>
      </c>
      <c r="AH464" s="153" t="s">
        <v>823</v>
      </c>
      <c r="AI464" s="172" t="s">
        <v>824</v>
      </c>
      <c r="AJ464" s="153"/>
      <c r="AK464" s="153"/>
    </row>
    <row r="465">
      <c r="A465" s="152">
        <v>2024.0</v>
      </c>
      <c r="B465" s="151">
        <v>157.0</v>
      </c>
      <c r="C465" s="153"/>
      <c r="D465" s="153"/>
      <c r="E465" s="153"/>
      <c r="F465" s="153"/>
      <c r="G465" s="153"/>
      <c r="H465" s="153" t="s">
        <v>257</v>
      </c>
      <c r="I465" s="153" t="s">
        <v>497</v>
      </c>
      <c r="J465" s="153" t="s">
        <v>505</v>
      </c>
      <c r="K465" s="153" t="s">
        <v>506</v>
      </c>
      <c r="L465" s="153" t="s">
        <v>1377</v>
      </c>
      <c r="M465" s="153" t="s">
        <v>1400</v>
      </c>
      <c r="N465" s="230" t="s">
        <v>6113</v>
      </c>
      <c r="O465" s="230">
        <v>1990.0</v>
      </c>
      <c r="P465" s="230">
        <v>1994.0</v>
      </c>
      <c r="Q465" s="153" t="s">
        <v>151</v>
      </c>
      <c r="R465" s="153"/>
      <c r="S465" s="153"/>
      <c r="T465" s="153"/>
      <c r="U465" s="153" t="s">
        <v>1381</v>
      </c>
      <c r="V465" s="153"/>
      <c r="W465" s="153"/>
      <c r="X465" s="153"/>
      <c r="Y465" s="153"/>
      <c r="Z465" s="153"/>
      <c r="AA465" s="153"/>
      <c r="AB465" s="153" t="s">
        <v>660</v>
      </c>
      <c r="AC465" s="153" t="s">
        <v>6035</v>
      </c>
      <c r="AD465" s="153" t="s">
        <v>369</v>
      </c>
      <c r="AE465" s="153"/>
      <c r="AF465" s="153"/>
      <c r="AG465" s="153" t="s">
        <v>8004</v>
      </c>
      <c r="AH465" s="153" t="s">
        <v>6060</v>
      </c>
      <c r="AI465" s="153" t="s">
        <v>2873</v>
      </c>
      <c r="AJ465" s="153" t="s">
        <v>398</v>
      </c>
      <c r="AK465" s="153"/>
    </row>
    <row r="466">
      <c r="A466" s="152">
        <v>2025.0</v>
      </c>
      <c r="B466" s="151">
        <v>306.0</v>
      </c>
      <c r="C466" s="153" t="s">
        <v>8189</v>
      </c>
      <c r="D466" s="153"/>
      <c r="E466" s="153"/>
      <c r="F466" s="153"/>
      <c r="G466" s="153"/>
      <c r="H466" s="153" t="s">
        <v>579</v>
      </c>
      <c r="I466" s="153" t="s">
        <v>580</v>
      </c>
      <c r="J466" s="153" t="s">
        <v>3026</v>
      </c>
      <c r="K466" s="153" t="s">
        <v>3027</v>
      </c>
      <c r="L466" s="158" t="s">
        <v>149</v>
      </c>
      <c r="M466" s="153" t="s">
        <v>3028</v>
      </c>
      <c r="N466" s="175" t="s">
        <v>6089</v>
      </c>
      <c r="O466" s="160" t="s">
        <v>149</v>
      </c>
      <c r="P466" s="160" t="s">
        <v>149</v>
      </c>
      <c r="Q466" s="153" t="s">
        <v>6062</v>
      </c>
      <c r="R466" s="153" t="s">
        <v>3018</v>
      </c>
      <c r="S466" s="158" t="s">
        <v>179</v>
      </c>
      <c r="T466" s="153" t="s">
        <v>3019</v>
      </c>
      <c r="U466" s="153" t="s">
        <v>1546</v>
      </c>
      <c r="V466" s="158" t="s">
        <v>160</v>
      </c>
      <c r="W466" s="158" t="s">
        <v>306</v>
      </c>
      <c r="X466" s="158" t="s">
        <v>204</v>
      </c>
      <c r="Y466" s="158" t="s">
        <v>149</v>
      </c>
      <c r="Z466" s="158" t="s">
        <v>149</v>
      </c>
      <c r="AA466" s="158" t="s">
        <v>149</v>
      </c>
      <c r="AB466" s="153" t="s">
        <v>3020</v>
      </c>
      <c r="AC466" s="158" t="s">
        <v>6068</v>
      </c>
      <c r="AD466" s="153"/>
      <c r="AE466" s="153"/>
      <c r="AF466" s="153"/>
      <c r="AG466" s="158" t="s">
        <v>6214</v>
      </c>
      <c r="AH466" s="153" t="s">
        <v>7242</v>
      </c>
      <c r="AI466" s="153" t="s">
        <v>3022</v>
      </c>
      <c r="AJ466" s="153"/>
      <c r="AK466" s="153"/>
    </row>
    <row r="467">
      <c r="A467" s="152">
        <v>2023.0</v>
      </c>
      <c r="B467" s="151">
        <v>1.0</v>
      </c>
      <c r="C467" s="129" t="s">
        <v>140</v>
      </c>
      <c r="D467" s="3" t="s">
        <v>6029</v>
      </c>
      <c r="E467" s="8" t="str">
        <f t="array" ref="E467:E1346">IF(A467:A1346 = 2025, IF(O467:O1346 = O466:O1346, "Unchanged", "Project Start changed"), "")</f>
        <v/>
      </c>
      <c r="F467" s="8" t="str">
        <f t="array" ref="F467:F1346">IF(K467:K1346 = "", "", TRIM(B467:B1346) &amp; "-" &amp; TRIM(K467:K1346) &amp; "-" &amp; TRIM(N467:N1346) &amp; "-" &amp; TRIM(Q467:Q1346))
</f>
        <v>1-PH012802000-2021-Artificial Reef</v>
      </c>
      <c r="G467" s="8">
        <f>IFERROR(__xludf.DUMMYFUNCTION("ARRAYFORMULA(IF(F467:F1346 = """", """", MATCH(F467:F1346, UNIQUE(FILTER(F467:F1346, F467:F1346 &lt;&gt; """")), 0)))
"),1.0)</f>
        <v>1</v>
      </c>
      <c r="H467" s="8" t="s">
        <v>143</v>
      </c>
      <c r="I467" s="8" t="s">
        <v>381</v>
      </c>
      <c r="J467" s="8" t="s">
        <v>2585</v>
      </c>
      <c r="K467" s="153" t="s">
        <v>2586</v>
      </c>
      <c r="L467" s="8" t="s">
        <v>6113</v>
      </c>
      <c r="N467" s="142" t="s">
        <v>6030</v>
      </c>
      <c r="O467" s="142" t="s">
        <v>6030</v>
      </c>
      <c r="P467" s="142"/>
      <c r="Q467" s="8" t="s">
        <v>151</v>
      </c>
    </row>
    <row r="468">
      <c r="A468" s="152">
        <v>2024.0</v>
      </c>
      <c r="B468" s="151">
        <v>158.0</v>
      </c>
      <c r="C468" s="153"/>
      <c r="D468" s="153"/>
      <c r="E468" s="153" t="s">
        <v>8189</v>
      </c>
      <c r="F468" s="153" t="s">
        <v>8300</v>
      </c>
      <c r="G468" s="153">
        <f>IFERROR(__xludf.DUMMYFUNCTION("""COMPUTED_VALUE"""),2.0)</f>
        <v>2</v>
      </c>
      <c r="H468" s="153" t="s">
        <v>257</v>
      </c>
      <c r="I468" s="153" t="s">
        <v>497</v>
      </c>
      <c r="J468" s="153" t="s">
        <v>505</v>
      </c>
      <c r="K468" s="153" t="s">
        <v>506</v>
      </c>
      <c r="L468" s="153" t="s">
        <v>1377</v>
      </c>
      <c r="M468" s="153" t="s">
        <v>1402</v>
      </c>
      <c r="N468" s="230" t="s">
        <v>6113</v>
      </c>
      <c r="O468" s="230">
        <v>1990.0</v>
      </c>
      <c r="P468" s="230">
        <v>1994.0</v>
      </c>
      <c r="Q468" s="153" t="s">
        <v>151</v>
      </c>
      <c r="R468" s="153"/>
      <c r="S468" s="153"/>
      <c r="T468" s="153"/>
      <c r="U468" s="153" t="s">
        <v>1381</v>
      </c>
      <c r="V468" s="153"/>
      <c r="W468" s="153"/>
      <c r="X468" s="153"/>
      <c r="Y468" s="153"/>
      <c r="Z468" s="153"/>
      <c r="AA468" s="153"/>
      <c r="AB468" s="153" t="s">
        <v>660</v>
      </c>
      <c r="AC468" s="153" t="s">
        <v>6035</v>
      </c>
      <c r="AD468" s="153" t="s">
        <v>369</v>
      </c>
      <c r="AE468" s="153"/>
      <c r="AF468" s="153"/>
      <c r="AG468" s="153" t="s">
        <v>8004</v>
      </c>
      <c r="AH468" s="153" t="s">
        <v>6060</v>
      </c>
      <c r="AI468" s="153" t="s">
        <v>2873</v>
      </c>
      <c r="AJ468" s="153" t="s">
        <v>398</v>
      </c>
      <c r="AK468" s="153"/>
    </row>
    <row r="469">
      <c r="A469" s="152">
        <v>2025.0</v>
      </c>
      <c r="B469" s="151">
        <v>1.0</v>
      </c>
      <c r="C469" s="156" t="s">
        <v>140</v>
      </c>
      <c r="D469" s="156" t="s">
        <v>141</v>
      </c>
      <c r="E469" s="153" t="s">
        <v>8301</v>
      </c>
      <c r="F469" s="153" t="s">
        <v>6031</v>
      </c>
      <c r="G469" s="153">
        <f>IFERROR(__xludf.DUMMYFUNCTION("""COMPUTED_VALUE"""),1.0)</f>
        <v>1</v>
      </c>
      <c r="H469" s="153" t="s">
        <v>143</v>
      </c>
      <c r="I469" s="153" t="s">
        <v>381</v>
      </c>
      <c r="J469" s="153" t="s">
        <v>2585</v>
      </c>
      <c r="K469" s="153" t="s">
        <v>2586</v>
      </c>
      <c r="L469" s="158" t="s">
        <v>149</v>
      </c>
      <c r="M469" s="158" t="s">
        <v>2587</v>
      </c>
      <c r="N469" s="289" t="s">
        <v>6030</v>
      </c>
      <c r="O469" s="160" t="s">
        <v>149</v>
      </c>
      <c r="P469" s="160" t="s">
        <v>149</v>
      </c>
      <c r="Q469" s="153" t="s">
        <v>151</v>
      </c>
      <c r="R469" s="158" t="s">
        <v>789</v>
      </c>
      <c r="S469" s="158" t="s">
        <v>789</v>
      </c>
      <c r="T469" s="158" t="s">
        <v>6034</v>
      </c>
      <c r="U469" s="158" t="s">
        <v>149</v>
      </c>
      <c r="V469" s="158" t="s">
        <v>149</v>
      </c>
      <c r="W469" s="158" t="s">
        <v>149</v>
      </c>
      <c r="X469" s="158" t="s">
        <v>149</v>
      </c>
      <c r="Y469" s="158" t="s">
        <v>149</v>
      </c>
      <c r="Z469" s="158" t="s">
        <v>149</v>
      </c>
      <c r="AA469" s="158" t="s">
        <v>149</v>
      </c>
      <c r="AB469" s="153" t="s">
        <v>390</v>
      </c>
      <c r="AC469" s="153" t="s">
        <v>6035</v>
      </c>
      <c r="AD469" s="158" t="s">
        <v>6036</v>
      </c>
      <c r="AE469" s="153"/>
      <c r="AF469" s="158" t="s">
        <v>2590</v>
      </c>
      <c r="AG469" s="153" t="s">
        <v>6038</v>
      </c>
      <c r="AH469" s="153" t="s">
        <v>6039</v>
      </c>
      <c r="AI469" s="165" t="s">
        <v>2592</v>
      </c>
      <c r="AJ469" s="153"/>
      <c r="AK469" s="153"/>
    </row>
    <row r="470">
      <c r="A470" s="152">
        <v>2023.0</v>
      </c>
      <c r="B470" s="151">
        <v>2.0</v>
      </c>
      <c r="C470" s="129" t="s">
        <v>140</v>
      </c>
      <c r="D470" s="3" t="s">
        <v>6029</v>
      </c>
      <c r="E470" s="8" t="s">
        <v>8189</v>
      </c>
      <c r="F470" s="8" t="s">
        <v>6040</v>
      </c>
      <c r="G470" s="8">
        <f>IFERROR(__xludf.DUMMYFUNCTION("""COMPUTED_VALUE"""),3.0)</f>
        <v>3</v>
      </c>
      <c r="H470" s="8" t="s">
        <v>143</v>
      </c>
      <c r="I470" s="8" t="s">
        <v>381</v>
      </c>
      <c r="J470" s="8" t="s">
        <v>2363</v>
      </c>
      <c r="K470" s="153" t="s">
        <v>2364</v>
      </c>
      <c r="L470" s="8" t="s">
        <v>6041</v>
      </c>
      <c r="N470" s="142" t="s">
        <v>6042</v>
      </c>
      <c r="O470" s="142" t="s">
        <v>6042</v>
      </c>
      <c r="P470" s="142"/>
      <c r="Q470" s="8" t="s">
        <v>151</v>
      </c>
      <c r="V470" s="188"/>
      <c r="W470" s="188"/>
      <c r="X470" s="188"/>
      <c r="Y470" s="188"/>
      <c r="Z470" s="188"/>
      <c r="AA470" s="188"/>
      <c r="AI470" s="172"/>
      <c r="AK470" s="172"/>
    </row>
    <row r="471">
      <c r="A471" s="152">
        <v>2024.0</v>
      </c>
      <c r="B471" s="151">
        <v>159.0</v>
      </c>
      <c r="C471" s="153"/>
      <c r="D471" s="153"/>
      <c r="E471" s="153" t="s">
        <v>8189</v>
      </c>
      <c r="F471" s="153" t="s">
        <v>8302</v>
      </c>
      <c r="G471" s="153">
        <f>IFERROR(__xludf.DUMMYFUNCTION("""COMPUTED_VALUE"""),4.0)</f>
        <v>4</v>
      </c>
      <c r="H471" s="153" t="s">
        <v>257</v>
      </c>
      <c r="I471" s="153" t="s">
        <v>497</v>
      </c>
      <c r="J471" s="153" t="s">
        <v>505</v>
      </c>
      <c r="K471" s="153" t="s">
        <v>506</v>
      </c>
      <c r="L471" s="153" t="s">
        <v>1377</v>
      </c>
      <c r="M471" s="153" t="s">
        <v>1404</v>
      </c>
      <c r="N471" s="230" t="s">
        <v>6113</v>
      </c>
      <c r="O471" s="230">
        <v>1990.0</v>
      </c>
      <c r="P471" s="230">
        <v>1994.0</v>
      </c>
      <c r="Q471" s="153" t="s">
        <v>151</v>
      </c>
      <c r="R471" s="153"/>
      <c r="S471" s="153"/>
      <c r="T471" s="153"/>
      <c r="U471" s="153" t="s">
        <v>1381</v>
      </c>
      <c r="V471" s="153"/>
      <c r="W471" s="153"/>
      <c r="X471" s="153"/>
      <c r="Y471" s="153"/>
      <c r="Z471" s="153"/>
      <c r="AA471" s="153"/>
      <c r="AB471" s="153" t="s">
        <v>660</v>
      </c>
      <c r="AC471" s="153" t="s">
        <v>6035</v>
      </c>
      <c r="AD471" s="153" t="s">
        <v>369</v>
      </c>
      <c r="AE471" s="153"/>
      <c r="AF471" s="153"/>
      <c r="AG471" s="153" t="s">
        <v>8004</v>
      </c>
      <c r="AH471" s="153" t="s">
        <v>6060</v>
      </c>
      <c r="AI471" s="153" t="s">
        <v>2873</v>
      </c>
      <c r="AJ471" s="153" t="s">
        <v>398</v>
      </c>
      <c r="AK471" s="153"/>
    </row>
    <row r="472">
      <c r="A472" s="152">
        <v>2025.0</v>
      </c>
      <c r="B472" s="151">
        <v>2.0</v>
      </c>
      <c r="C472" s="156" t="s">
        <v>140</v>
      </c>
      <c r="D472" s="156" t="s">
        <v>141</v>
      </c>
      <c r="E472" s="153" t="s">
        <v>8301</v>
      </c>
      <c r="F472" s="153" t="s">
        <v>6043</v>
      </c>
      <c r="G472" s="153">
        <f>IFERROR(__xludf.DUMMYFUNCTION("""COMPUTED_VALUE"""),5.0)</f>
        <v>5</v>
      </c>
      <c r="H472" s="153" t="s">
        <v>143</v>
      </c>
      <c r="I472" s="153" t="s">
        <v>381</v>
      </c>
      <c r="J472" s="153" t="s">
        <v>2363</v>
      </c>
      <c r="K472" s="153" t="s">
        <v>2364</v>
      </c>
      <c r="L472" s="158" t="s">
        <v>149</v>
      </c>
      <c r="M472" s="153" t="s">
        <v>2365</v>
      </c>
      <c r="N472" s="175" t="s">
        <v>18</v>
      </c>
      <c r="O472" s="160" t="s">
        <v>149</v>
      </c>
      <c r="P472" s="160" t="s">
        <v>149</v>
      </c>
      <c r="Q472" s="153" t="s">
        <v>151</v>
      </c>
      <c r="R472" s="153" t="s">
        <v>8303</v>
      </c>
      <c r="S472" s="153" t="s">
        <v>8304</v>
      </c>
      <c r="T472" s="158" t="s">
        <v>6046</v>
      </c>
      <c r="U472" s="153" t="s">
        <v>2367</v>
      </c>
      <c r="V472" s="158" t="s">
        <v>160</v>
      </c>
      <c r="W472" s="158" t="s">
        <v>184</v>
      </c>
      <c r="X472" s="158" t="s">
        <v>159</v>
      </c>
      <c r="Y472" s="158" t="s">
        <v>149</v>
      </c>
      <c r="Z472" s="171" t="s">
        <v>149</v>
      </c>
      <c r="AA472" s="171" t="s">
        <v>149</v>
      </c>
      <c r="AB472" s="153" t="s">
        <v>8305</v>
      </c>
      <c r="AC472" s="153" t="s">
        <v>184</v>
      </c>
      <c r="AD472" s="153" t="s">
        <v>6048</v>
      </c>
      <c r="AE472" s="153" t="s">
        <v>2371</v>
      </c>
      <c r="AF472" s="153"/>
      <c r="AG472" s="158" t="s">
        <v>166</v>
      </c>
      <c r="AH472" s="153" t="s">
        <v>2372</v>
      </c>
      <c r="AI472" s="172" t="s">
        <v>2373</v>
      </c>
      <c r="AJ472" s="153"/>
      <c r="AK472" s="239"/>
    </row>
    <row r="473">
      <c r="A473" s="152">
        <v>2023.0</v>
      </c>
      <c r="B473" s="151">
        <v>3.0</v>
      </c>
      <c r="C473" s="129" t="s">
        <v>140</v>
      </c>
      <c r="D473" s="3" t="s">
        <v>6029</v>
      </c>
      <c r="E473" s="8" t="s">
        <v>8189</v>
      </c>
      <c r="F473" s="8" t="s">
        <v>6049</v>
      </c>
      <c r="G473" s="8">
        <f>IFERROR(__xludf.DUMMYFUNCTION("""COMPUTED_VALUE"""),6.0)</f>
        <v>6</v>
      </c>
      <c r="H473" s="8" t="s">
        <v>143</v>
      </c>
      <c r="I473" s="8" t="s">
        <v>381</v>
      </c>
      <c r="J473" s="8" t="s">
        <v>8093</v>
      </c>
      <c r="K473" s="277" t="s">
        <v>383</v>
      </c>
      <c r="L473" s="8" t="s">
        <v>384</v>
      </c>
      <c r="M473" s="8" t="s">
        <v>385</v>
      </c>
      <c r="N473" s="142" t="s">
        <v>6051</v>
      </c>
      <c r="O473" s="142" t="s">
        <v>6052</v>
      </c>
      <c r="P473" s="142" t="s">
        <v>6053</v>
      </c>
      <c r="Q473" s="8" t="s">
        <v>151</v>
      </c>
      <c r="R473" s="8" t="s">
        <v>6054</v>
      </c>
      <c r="U473" s="8" t="s">
        <v>390</v>
      </c>
      <c r="AA473" s="8" t="s">
        <v>391</v>
      </c>
      <c r="AB473" s="8" t="s">
        <v>390</v>
      </c>
      <c r="AD473" s="8" t="s">
        <v>6055</v>
      </c>
      <c r="AF473" s="8" t="s">
        <v>6056</v>
      </c>
      <c r="AH473" s="8" t="s">
        <v>6057</v>
      </c>
      <c r="AI473" s="8" t="s">
        <v>2873</v>
      </c>
      <c r="AJ473" s="8" t="s">
        <v>398</v>
      </c>
    </row>
    <row r="474">
      <c r="A474" s="152">
        <v>2024.0</v>
      </c>
      <c r="B474" s="151">
        <v>160.0</v>
      </c>
      <c r="C474" s="153"/>
      <c r="D474" s="153"/>
      <c r="E474" s="153" t="s">
        <v>8189</v>
      </c>
      <c r="F474" s="153" t="s">
        <v>8306</v>
      </c>
      <c r="G474" s="153">
        <f>IFERROR(__xludf.DUMMYFUNCTION("""COMPUTED_VALUE"""),7.0)</f>
        <v>7</v>
      </c>
      <c r="H474" s="153" t="s">
        <v>257</v>
      </c>
      <c r="I474" s="153" t="s">
        <v>497</v>
      </c>
      <c r="J474" s="153" t="s">
        <v>1406</v>
      </c>
      <c r="K474" s="153" t="s">
        <v>1407</v>
      </c>
      <c r="L474" s="153" t="s">
        <v>1377</v>
      </c>
      <c r="M474" s="153"/>
      <c r="N474" s="230" t="s">
        <v>6113</v>
      </c>
      <c r="O474" s="230">
        <v>1990.0</v>
      </c>
      <c r="P474" s="230">
        <v>1994.0</v>
      </c>
      <c r="Q474" s="153" t="s">
        <v>151</v>
      </c>
      <c r="R474" s="153"/>
      <c r="S474" s="153"/>
      <c r="T474" s="153"/>
      <c r="U474" s="153" t="s">
        <v>1381</v>
      </c>
      <c r="V474" s="153"/>
      <c r="W474" s="153"/>
      <c r="X474" s="153"/>
      <c r="Y474" s="153"/>
      <c r="Z474" s="153"/>
      <c r="AA474" s="153"/>
      <c r="AB474" s="153" t="s">
        <v>660</v>
      </c>
      <c r="AC474" s="153" t="s">
        <v>6035</v>
      </c>
      <c r="AD474" s="153" t="s">
        <v>369</v>
      </c>
      <c r="AE474" s="153"/>
      <c r="AF474" s="153"/>
      <c r="AG474" s="153" t="s">
        <v>8004</v>
      </c>
      <c r="AH474" s="153" t="s">
        <v>6060</v>
      </c>
      <c r="AI474" s="153" t="s">
        <v>2873</v>
      </c>
      <c r="AJ474" s="153" t="s">
        <v>398</v>
      </c>
      <c r="AK474" s="153"/>
    </row>
    <row r="475">
      <c r="A475" s="152">
        <v>2025.0</v>
      </c>
      <c r="B475" s="151">
        <v>3.0</v>
      </c>
      <c r="C475" s="156" t="s">
        <v>140</v>
      </c>
      <c r="D475" s="156" t="s">
        <v>707</v>
      </c>
      <c r="E475" s="153" t="s">
        <v>8301</v>
      </c>
      <c r="F475" s="153" t="s">
        <v>6049</v>
      </c>
      <c r="G475" s="153">
        <f>IFERROR(__xludf.DUMMYFUNCTION("""COMPUTED_VALUE"""),6.0)</f>
        <v>6</v>
      </c>
      <c r="H475" s="153" t="s">
        <v>143</v>
      </c>
      <c r="I475" s="153" t="s">
        <v>381</v>
      </c>
      <c r="J475" s="153" t="s">
        <v>8307</v>
      </c>
      <c r="K475" s="153" t="s">
        <v>383</v>
      </c>
      <c r="L475" s="153" t="s">
        <v>384</v>
      </c>
      <c r="M475" s="153" t="s">
        <v>385</v>
      </c>
      <c r="N475" s="175" t="s">
        <v>6051</v>
      </c>
      <c r="O475" s="175" t="s">
        <v>6052</v>
      </c>
      <c r="P475" s="160" t="s">
        <v>6053</v>
      </c>
      <c r="Q475" s="153" t="s">
        <v>151</v>
      </c>
      <c r="R475" s="153" t="s">
        <v>6054</v>
      </c>
      <c r="S475" s="158" t="s">
        <v>6054</v>
      </c>
      <c r="T475" s="158" t="s">
        <v>149</v>
      </c>
      <c r="U475" s="153" t="s">
        <v>390</v>
      </c>
      <c r="V475" s="158" t="s">
        <v>160</v>
      </c>
      <c r="W475" s="158" t="s">
        <v>6035</v>
      </c>
      <c r="X475" s="158" t="s">
        <v>159</v>
      </c>
      <c r="Y475" s="158" t="s">
        <v>149</v>
      </c>
      <c r="Z475" s="158" t="s">
        <v>149</v>
      </c>
      <c r="AA475" s="153" t="s">
        <v>391</v>
      </c>
      <c r="AB475" s="153" t="s">
        <v>390</v>
      </c>
      <c r="AC475" s="153" t="s">
        <v>6035</v>
      </c>
      <c r="AD475" s="153" t="s">
        <v>6055</v>
      </c>
      <c r="AE475" s="153"/>
      <c r="AF475" s="153" t="s">
        <v>6056</v>
      </c>
      <c r="AG475" s="158" t="s">
        <v>395</v>
      </c>
      <c r="AH475" s="153" t="s">
        <v>6060</v>
      </c>
      <c r="AI475" s="177" t="s">
        <v>397</v>
      </c>
      <c r="AJ475" s="153" t="s">
        <v>398</v>
      </c>
      <c r="AK475" s="153"/>
    </row>
    <row r="476">
      <c r="A476" s="152">
        <v>2023.0</v>
      </c>
      <c r="B476" s="151">
        <v>4.0</v>
      </c>
      <c r="C476" s="129" t="s">
        <v>140</v>
      </c>
      <c r="D476" s="8"/>
      <c r="E476" s="8" t="s">
        <v>8189</v>
      </c>
      <c r="F476" s="8" t="s">
        <v>8308</v>
      </c>
      <c r="G476" s="8">
        <f>IFERROR(__xludf.DUMMYFUNCTION("""COMPUTED_VALUE"""),8.0)</f>
        <v>8</v>
      </c>
      <c r="H476" s="8" t="s">
        <v>143</v>
      </c>
      <c r="I476" s="8" t="s">
        <v>381</v>
      </c>
      <c r="J476" s="8" t="s">
        <v>1681</v>
      </c>
      <c r="K476" s="153" t="s">
        <v>1682</v>
      </c>
      <c r="L476" s="8" t="s">
        <v>1683</v>
      </c>
      <c r="N476" s="142"/>
      <c r="O476" s="142" t="s">
        <v>6063</v>
      </c>
      <c r="P476" s="142" t="s">
        <v>6064</v>
      </c>
      <c r="Q476" s="8" t="s">
        <v>6062</v>
      </c>
      <c r="R476" s="8" t="s">
        <v>320</v>
      </c>
      <c r="U476" s="8" t="s">
        <v>321</v>
      </c>
      <c r="AA476" s="8" t="s">
        <v>1685</v>
      </c>
      <c r="AB476" s="8" t="s">
        <v>1686</v>
      </c>
    </row>
    <row r="477">
      <c r="A477" s="152">
        <v>2024.0</v>
      </c>
      <c r="B477" s="151">
        <v>161.0</v>
      </c>
      <c r="C477" s="153"/>
      <c r="D477" s="153"/>
      <c r="E477" s="153" t="s">
        <v>8189</v>
      </c>
      <c r="F477" s="153" t="s">
        <v>8309</v>
      </c>
      <c r="G477" s="153">
        <f>IFERROR(__xludf.DUMMYFUNCTION("""COMPUTED_VALUE"""),9.0)</f>
        <v>9</v>
      </c>
      <c r="H477" s="153" t="s">
        <v>257</v>
      </c>
      <c r="I477" s="153" t="s">
        <v>497</v>
      </c>
      <c r="J477" s="153" t="s">
        <v>510</v>
      </c>
      <c r="K477" s="153" t="s">
        <v>511</v>
      </c>
      <c r="L477" s="153" t="s">
        <v>384</v>
      </c>
      <c r="M477" s="153" t="s">
        <v>512</v>
      </c>
      <c r="N477" s="230">
        <v>1986.0</v>
      </c>
      <c r="O477" s="230">
        <v>1985.0</v>
      </c>
      <c r="P477" s="230">
        <v>1987.0</v>
      </c>
      <c r="Q477" s="153" t="s">
        <v>151</v>
      </c>
      <c r="R477" s="153" t="s">
        <v>6054</v>
      </c>
      <c r="S477" s="153"/>
      <c r="T477" s="153"/>
      <c r="U477" s="153" t="s">
        <v>390</v>
      </c>
      <c r="V477" s="153"/>
      <c r="W477" s="153"/>
      <c r="X477" s="153"/>
      <c r="Y477" s="153"/>
      <c r="Z477" s="153"/>
      <c r="AA477" s="153" t="s">
        <v>503</v>
      </c>
      <c r="AB477" s="153" t="s">
        <v>390</v>
      </c>
      <c r="AC477" s="153" t="s">
        <v>6035</v>
      </c>
      <c r="AD477" s="153" t="s">
        <v>6055</v>
      </c>
      <c r="AE477" s="153"/>
      <c r="AF477" s="153"/>
      <c r="AG477" s="153" t="s">
        <v>8004</v>
      </c>
      <c r="AH477" s="153" t="s">
        <v>6060</v>
      </c>
      <c r="AI477" s="153" t="s">
        <v>2873</v>
      </c>
      <c r="AJ477" s="153" t="s">
        <v>398</v>
      </c>
      <c r="AK477" s="153"/>
    </row>
    <row r="478">
      <c r="A478" s="152">
        <v>2025.0</v>
      </c>
      <c r="B478" s="151">
        <v>4.0</v>
      </c>
      <c r="C478" s="153" t="s">
        <v>8189</v>
      </c>
      <c r="D478" s="153"/>
      <c r="E478" s="153" t="s">
        <v>8301</v>
      </c>
      <c r="F478" s="153" t="s">
        <v>6065</v>
      </c>
      <c r="G478" s="153">
        <f>IFERROR(__xludf.DUMMYFUNCTION("""COMPUTED_VALUE"""),10.0)</f>
        <v>10</v>
      </c>
      <c r="H478" s="153" t="s">
        <v>143</v>
      </c>
      <c r="I478" s="153" t="s">
        <v>381</v>
      </c>
      <c r="J478" s="153" t="s">
        <v>1681</v>
      </c>
      <c r="K478" s="153" t="s">
        <v>1682</v>
      </c>
      <c r="L478" s="153" t="s">
        <v>1683</v>
      </c>
      <c r="M478" s="153"/>
      <c r="N478" s="160" t="s">
        <v>6268</v>
      </c>
      <c r="O478" s="142" t="s">
        <v>6063</v>
      </c>
      <c r="P478" s="175" t="s">
        <v>6064</v>
      </c>
      <c r="Q478" s="153" t="s">
        <v>6062</v>
      </c>
      <c r="R478" s="153" t="s">
        <v>320</v>
      </c>
      <c r="S478" s="158" t="s">
        <v>179</v>
      </c>
      <c r="T478" s="158" t="s">
        <v>6067</v>
      </c>
      <c r="U478" s="153" t="s">
        <v>321</v>
      </c>
      <c r="V478" s="158" t="s">
        <v>160</v>
      </c>
      <c r="W478" s="158" t="s">
        <v>6035</v>
      </c>
      <c r="X478" s="158" t="s">
        <v>159</v>
      </c>
      <c r="Y478" s="158" t="s">
        <v>149</v>
      </c>
      <c r="Z478" s="158" t="s">
        <v>149</v>
      </c>
      <c r="AA478" s="153" t="s">
        <v>1685</v>
      </c>
      <c r="AB478" s="153" t="s">
        <v>1686</v>
      </c>
      <c r="AC478" s="158" t="s">
        <v>6068</v>
      </c>
      <c r="AD478" s="153"/>
      <c r="AE478" s="153"/>
      <c r="AF478" s="153"/>
      <c r="AG478" s="158" t="s">
        <v>6069</v>
      </c>
      <c r="AH478" s="153" t="s">
        <v>1300</v>
      </c>
      <c r="AI478" s="153" t="s">
        <v>6070</v>
      </c>
      <c r="AJ478" s="153"/>
      <c r="AK478" s="153"/>
    </row>
    <row r="479">
      <c r="A479" s="152">
        <v>2023.0</v>
      </c>
      <c r="B479" s="151">
        <v>5.0</v>
      </c>
      <c r="C479" s="129" t="s">
        <v>140</v>
      </c>
      <c r="D479" s="8"/>
      <c r="E479" s="8" t="s">
        <v>8189</v>
      </c>
      <c r="F479" s="8" t="s">
        <v>6071</v>
      </c>
      <c r="G479" s="8">
        <f>IFERROR(__xludf.DUMMYFUNCTION("""COMPUTED_VALUE"""),11.0)</f>
        <v>11</v>
      </c>
      <c r="H479" s="8" t="s">
        <v>143</v>
      </c>
      <c r="I479" s="8" t="s">
        <v>381</v>
      </c>
      <c r="J479" s="8" t="s">
        <v>400</v>
      </c>
      <c r="K479" s="277" t="s">
        <v>401</v>
      </c>
      <c r="L479" s="8" t="s">
        <v>384</v>
      </c>
      <c r="M479" s="8" t="s">
        <v>402</v>
      </c>
      <c r="N479" s="142" t="s">
        <v>6051</v>
      </c>
      <c r="O479" s="142" t="s">
        <v>6052</v>
      </c>
      <c r="P479" s="142" t="s">
        <v>6053</v>
      </c>
      <c r="Q479" s="8" t="s">
        <v>151</v>
      </c>
      <c r="R479" s="8" t="s">
        <v>6054</v>
      </c>
      <c r="U479" s="8" t="s">
        <v>390</v>
      </c>
      <c r="AA479" s="8" t="s">
        <v>391</v>
      </c>
      <c r="AB479" s="8" t="s">
        <v>390</v>
      </c>
      <c r="AD479" s="8" t="s">
        <v>6055</v>
      </c>
      <c r="AH479" s="8" t="s">
        <v>6057</v>
      </c>
      <c r="AI479" s="8" t="s">
        <v>2873</v>
      </c>
      <c r="AJ479" s="8" t="s">
        <v>398</v>
      </c>
    </row>
    <row r="480">
      <c r="A480" s="152">
        <v>2024.0</v>
      </c>
      <c r="B480" s="151">
        <v>162.0</v>
      </c>
      <c r="C480" s="153"/>
      <c r="D480" s="153"/>
      <c r="E480" s="153" t="s">
        <v>8189</v>
      </c>
      <c r="F480" s="153" t="s">
        <v>8310</v>
      </c>
      <c r="G480" s="153">
        <f>IFERROR(__xludf.DUMMYFUNCTION("""COMPUTED_VALUE"""),12.0)</f>
        <v>12</v>
      </c>
      <c r="H480" s="153" t="s">
        <v>257</v>
      </c>
      <c r="I480" s="153" t="s">
        <v>497</v>
      </c>
      <c r="J480" s="153" t="s">
        <v>510</v>
      </c>
      <c r="K480" s="153" t="s">
        <v>511</v>
      </c>
      <c r="L480" s="153" t="s">
        <v>6742</v>
      </c>
      <c r="M480" s="153"/>
      <c r="N480" s="230">
        <v>2016.0</v>
      </c>
      <c r="O480" s="230"/>
      <c r="P480" s="230"/>
      <c r="Q480" s="153" t="s">
        <v>151</v>
      </c>
      <c r="R480" s="153"/>
      <c r="S480" s="153"/>
      <c r="T480" s="153"/>
      <c r="U480" s="153" t="s">
        <v>1594</v>
      </c>
      <c r="V480" s="153"/>
      <c r="W480" s="153"/>
      <c r="X480" s="153"/>
      <c r="Y480" s="153"/>
      <c r="Z480" s="153"/>
      <c r="AA480" s="153"/>
      <c r="AB480" s="153" t="s">
        <v>6743</v>
      </c>
      <c r="AC480" s="153" t="s">
        <v>6035</v>
      </c>
      <c r="AD480" s="153"/>
      <c r="AE480" s="153"/>
      <c r="AF480" s="153"/>
      <c r="AG480" s="153" t="s">
        <v>6038</v>
      </c>
      <c r="AH480" s="153" t="s">
        <v>8030</v>
      </c>
      <c r="AI480" s="165" t="s">
        <v>6744</v>
      </c>
      <c r="AJ480" s="153"/>
      <c r="AK480" s="153"/>
    </row>
    <row r="481">
      <c r="A481" s="152">
        <v>2025.0</v>
      </c>
      <c r="B481" s="151">
        <v>5.0</v>
      </c>
      <c r="C481" s="153" t="s">
        <v>8189</v>
      </c>
      <c r="D481" s="153"/>
      <c r="E481" s="153" t="s">
        <v>8301</v>
      </c>
      <c r="F481" s="153" t="s">
        <v>6071</v>
      </c>
      <c r="G481" s="153">
        <f>IFERROR(__xludf.DUMMYFUNCTION("""COMPUTED_VALUE"""),11.0)</f>
        <v>11</v>
      </c>
      <c r="H481" s="153" t="s">
        <v>143</v>
      </c>
      <c r="I481" s="153" t="s">
        <v>381</v>
      </c>
      <c r="J481" s="153" t="s">
        <v>400</v>
      </c>
      <c r="K481" s="153" t="s">
        <v>401</v>
      </c>
      <c r="L481" s="153" t="s">
        <v>384</v>
      </c>
      <c r="M481" s="153" t="s">
        <v>7789</v>
      </c>
      <c r="N481" s="175" t="s">
        <v>6051</v>
      </c>
      <c r="O481" s="175" t="s">
        <v>6052</v>
      </c>
      <c r="P481" s="175" t="s">
        <v>6053</v>
      </c>
      <c r="Q481" s="153" t="s">
        <v>151</v>
      </c>
      <c r="R481" s="153" t="s">
        <v>6054</v>
      </c>
      <c r="S481" s="158" t="s">
        <v>6054</v>
      </c>
      <c r="T481" s="158" t="s">
        <v>149</v>
      </c>
      <c r="U481" s="153" t="s">
        <v>390</v>
      </c>
      <c r="V481" s="158" t="s">
        <v>160</v>
      </c>
      <c r="W481" s="158" t="s">
        <v>6035</v>
      </c>
      <c r="X481" s="158" t="s">
        <v>159</v>
      </c>
      <c r="Y481" s="158" t="s">
        <v>149</v>
      </c>
      <c r="Z481" s="158" t="s">
        <v>149</v>
      </c>
      <c r="AA481" s="153" t="s">
        <v>391</v>
      </c>
      <c r="AB481" s="153" t="s">
        <v>390</v>
      </c>
      <c r="AC481" s="153" t="s">
        <v>6035</v>
      </c>
      <c r="AD481" s="153" t="s">
        <v>6055</v>
      </c>
      <c r="AE481" s="153"/>
      <c r="AF481" s="153"/>
      <c r="AG481" s="158" t="s">
        <v>395</v>
      </c>
      <c r="AH481" s="153" t="s">
        <v>6060</v>
      </c>
      <c r="AI481" s="177" t="s">
        <v>397</v>
      </c>
      <c r="AJ481" s="153" t="s">
        <v>398</v>
      </c>
      <c r="AK481" s="153"/>
    </row>
    <row r="482">
      <c r="A482" s="152">
        <v>2023.0</v>
      </c>
      <c r="B482" s="151">
        <v>6.0</v>
      </c>
      <c r="C482" s="129" t="s">
        <v>140</v>
      </c>
      <c r="D482" s="8"/>
      <c r="E482" s="8" t="s">
        <v>8189</v>
      </c>
      <c r="F482" s="8" t="s">
        <v>6072</v>
      </c>
      <c r="G482" s="8">
        <f>IFERROR(__xludf.DUMMYFUNCTION("""COMPUTED_VALUE"""),13.0)</f>
        <v>13</v>
      </c>
      <c r="H482" s="8" t="s">
        <v>143</v>
      </c>
      <c r="I482" s="8" t="s">
        <v>404</v>
      </c>
      <c r="J482" s="8" t="s">
        <v>405</v>
      </c>
      <c r="K482" s="277" t="s">
        <v>406</v>
      </c>
      <c r="L482" s="8" t="s">
        <v>384</v>
      </c>
      <c r="M482" s="8" t="s">
        <v>2836</v>
      </c>
      <c r="N482" s="278" t="s">
        <v>6073</v>
      </c>
      <c r="O482" s="142" t="s">
        <v>6052</v>
      </c>
      <c r="P482" s="142" t="s">
        <v>6053</v>
      </c>
      <c r="Q482" s="8" t="s">
        <v>151</v>
      </c>
      <c r="R482" s="8" t="s">
        <v>605</v>
      </c>
      <c r="U482" s="8" t="s">
        <v>390</v>
      </c>
      <c r="AA482" s="8" t="s">
        <v>6074</v>
      </c>
      <c r="AB482" s="8" t="s">
        <v>390</v>
      </c>
      <c r="AD482" s="8" t="s">
        <v>6055</v>
      </c>
      <c r="AH482" s="8" t="s">
        <v>6057</v>
      </c>
      <c r="AI482" s="8" t="s">
        <v>2873</v>
      </c>
      <c r="AJ482" s="8" t="s">
        <v>398</v>
      </c>
    </row>
    <row r="483">
      <c r="A483" s="152">
        <v>2024.0</v>
      </c>
      <c r="B483" s="151">
        <v>163.0</v>
      </c>
      <c r="C483" s="153"/>
      <c r="D483" s="153"/>
      <c r="E483" s="153" t="s">
        <v>8189</v>
      </c>
      <c r="F483" s="153" t="s">
        <v>8311</v>
      </c>
      <c r="G483" s="153">
        <f>IFERROR(__xludf.DUMMYFUNCTION("""COMPUTED_VALUE"""),14.0)</f>
        <v>14</v>
      </c>
      <c r="H483" s="153" t="s">
        <v>257</v>
      </c>
      <c r="I483" s="153" t="s">
        <v>497</v>
      </c>
      <c r="J483" s="153" t="s">
        <v>472</v>
      </c>
      <c r="K483" s="153" t="s">
        <v>956</v>
      </c>
      <c r="L483" s="153" t="s">
        <v>934</v>
      </c>
      <c r="M483" s="153"/>
      <c r="N483" s="230">
        <v>2001.0</v>
      </c>
      <c r="O483" s="230">
        <v>2001.0</v>
      </c>
      <c r="P483" s="230">
        <v>2005.0</v>
      </c>
      <c r="Q483" s="153" t="s">
        <v>6062</v>
      </c>
      <c r="R483" s="153" t="s">
        <v>6276</v>
      </c>
      <c r="S483" s="153"/>
      <c r="T483" s="153" t="s">
        <v>939</v>
      </c>
      <c r="U483" s="153" t="s">
        <v>940</v>
      </c>
      <c r="V483" s="153"/>
      <c r="W483" s="153"/>
      <c r="X483" s="153"/>
      <c r="Y483" s="153"/>
      <c r="Z483" s="153"/>
      <c r="AA483" s="153"/>
      <c r="AB483" s="153" t="s">
        <v>233</v>
      </c>
      <c r="AC483" s="153" t="s">
        <v>209</v>
      </c>
      <c r="AD483" s="153"/>
      <c r="AE483" s="153"/>
      <c r="AF483" s="153"/>
      <c r="AG483" s="158" t="s">
        <v>6214</v>
      </c>
      <c r="AH483" s="153" t="s">
        <v>941</v>
      </c>
      <c r="AI483" s="153" t="s">
        <v>942</v>
      </c>
      <c r="AJ483" s="153" t="s">
        <v>943</v>
      </c>
      <c r="AK483" s="153"/>
    </row>
    <row r="484">
      <c r="A484" s="152">
        <v>2025.0</v>
      </c>
      <c r="B484" s="151">
        <v>6.0</v>
      </c>
      <c r="C484" s="153" t="s">
        <v>8189</v>
      </c>
      <c r="D484" s="153"/>
      <c r="E484" s="153" t="s">
        <v>8301</v>
      </c>
      <c r="F484" s="153" t="s">
        <v>6072</v>
      </c>
      <c r="G484" s="153">
        <f>IFERROR(__xludf.DUMMYFUNCTION("""COMPUTED_VALUE"""),13.0)</f>
        <v>13</v>
      </c>
      <c r="H484" s="153" t="s">
        <v>143</v>
      </c>
      <c r="I484" s="153" t="s">
        <v>404</v>
      </c>
      <c r="J484" s="153" t="s">
        <v>405</v>
      </c>
      <c r="K484" s="153" t="s">
        <v>406</v>
      </c>
      <c r="L484" s="153" t="s">
        <v>384</v>
      </c>
      <c r="M484" s="153" t="s">
        <v>2836</v>
      </c>
      <c r="N484" s="175" t="s">
        <v>6073</v>
      </c>
      <c r="O484" s="175" t="s">
        <v>6052</v>
      </c>
      <c r="P484" s="175" t="s">
        <v>6053</v>
      </c>
      <c r="Q484" s="153" t="s">
        <v>151</v>
      </c>
      <c r="R484" s="153" t="s">
        <v>6076</v>
      </c>
      <c r="S484" s="158" t="s">
        <v>6076</v>
      </c>
      <c r="T484" s="158" t="s">
        <v>149</v>
      </c>
      <c r="U484" s="153" t="s">
        <v>390</v>
      </c>
      <c r="V484" s="158" t="s">
        <v>160</v>
      </c>
      <c r="W484" s="158" t="s">
        <v>6035</v>
      </c>
      <c r="X484" s="158" t="s">
        <v>159</v>
      </c>
      <c r="Y484" s="158" t="s">
        <v>149</v>
      </c>
      <c r="Z484" s="158" t="s">
        <v>149</v>
      </c>
      <c r="AA484" s="153" t="s">
        <v>7790</v>
      </c>
      <c r="AB484" s="153" t="s">
        <v>390</v>
      </c>
      <c r="AC484" s="153" t="s">
        <v>6035</v>
      </c>
      <c r="AD484" s="153" t="s">
        <v>6055</v>
      </c>
      <c r="AE484" s="153"/>
      <c r="AF484" s="153"/>
      <c r="AG484" s="158" t="s">
        <v>395</v>
      </c>
      <c r="AH484" s="153" t="s">
        <v>6060</v>
      </c>
      <c r="AI484" s="177" t="s">
        <v>397</v>
      </c>
      <c r="AJ484" s="153" t="s">
        <v>398</v>
      </c>
      <c r="AK484" s="153"/>
    </row>
    <row r="485">
      <c r="A485" s="152">
        <v>2023.0</v>
      </c>
      <c r="B485" s="151">
        <v>7.0</v>
      </c>
      <c r="C485" s="129" t="s">
        <v>140</v>
      </c>
      <c r="D485" s="8"/>
      <c r="E485" s="8" t="s">
        <v>8189</v>
      </c>
      <c r="F485" s="8" t="s">
        <v>6077</v>
      </c>
      <c r="G485" s="8">
        <f>IFERROR(__xludf.DUMMYFUNCTION("""COMPUTED_VALUE"""),15.0)</f>
        <v>15</v>
      </c>
      <c r="H485" s="8" t="s">
        <v>143</v>
      </c>
      <c r="I485" s="8" t="s">
        <v>404</v>
      </c>
      <c r="J485" s="8" t="s">
        <v>405</v>
      </c>
      <c r="K485" s="277" t="s">
        <v>406</v>
      </c>
      <c r="L485" s="8" t="s">
        <v>384</v>
      </c>
      <c r="M485" s="8" t="s">
        <v>2836</v>
      </c>
      <c r="N485" s="278" t="s">
        <v>6078</v>
      </c>
      <c r="O485" s="142"/>
      <c r="P485" s="142"/>
      <c r="Q485" s="8" t="s">
        <v>151</v>
      </c>
      <c r="R485" s="8" t="s">
        <v>6079</v>
      </c>
      <c r="U485" s="8" t="s">
        <v>390</v>
      </c>
      <c r="AA485" s="8" t="s">
        <v>2843</v>
      </c>
      <c r="AB485" s="8" t="s">
        <v>390</v>
      </c>
      <c r="AD485" s="8" t="s">
        <v>6055</v>
      </c>
      <c r="AI485" s="172" t="s">
        <v>6080</v>
      </c>
    </row>
    <row r="486">
      <c r="A486" s="152">
        <v>2024.0</v>
      </c>
      <c r="B486" s="151">
        <v>164.0</v>
      </c>
      <c r="C486" s="153"/>
      <c r="D486" s="153"/>
      <c r="E486" s="153" t="s">
        <v>8189</v>
      </c>
      <c r="F486" s="153" t="s">
        <v>8312</v>
      </c>
      <c r="G486" s="153">
        <f>IFERROR(__xludf.DUMMYFUNCTION("""COMPUTED_VALUE"""),16.0)</f>
        <v>16</v>
      </c>
      <c r="H486" s="153" t="s">
        <v>257</v>
      </c>
      <c r="I486" s="153" t="s">
        <v>497</v>
      </c>
      <c r="J486" s="153" t="s">
        <v>514</v>
      </c>
      <c r="K486" s="153" t="s">
        <v>515</v>
      </c>
      <c r="L486" s="153" t="s">
        <v>384</v>
      </c>
      <c r="M486" s="153" t="s">
        <v>516</v>
      </c>
      <c r="N486" s="230">
        <v>1986.0</v>
      </c>
      <c r="O486" s="230">
        <v>1985.0</v>
      </c>
      <c r="P486" s="230">
        <v>1987.0</v>
      </c>
      <c r="Q486" s="153" t="s">
        <v>151</v>
      </c>
      <c r="R486" s="153" t="s">
        <v>6054</v>
      </c>
      <c r="S486" s="153"/>
      <c r="T486" s="153"/>
      <c r="U486" s="153" t="s">
        <v>390</v>
      </c>
      <c r="V486" s="153"/>
      <c r="W486" s="153"/>
      <c r="X486" s="153"/>
      <c r="Y486" s="153"/>
      <c r="Z486" s="153"/>
      <c r="AA486" s="153" t="s">
        <v>453</v>
      </c>
      <c r="AB486" s="153" t="s">
        <v>390</v>
      </c>
      <c r="AC486" s="153" t="s">
        <v>6035</v>
      </c>
      <c r="AD486" s="153" t="s">
        <v>6055</v>
      </c>
      <c r="AE486" s="153"/>
      <c r="AF486" s="153"/>
      <c r="AG486" s="153" t="s">
        <v>8004</v>
      </c>
      <c r="AH486" s="153" t="s">
        <v>6060</v>
      </c>
      <c r="AI486" s="153" t="s">
        <v>2873</v>
      </c>
      <c r="AJ486" s="153" t="s">
        <v>398</v>
      </c>
      <c r="AK486" s="153"/>
    </row>
    <row r="487">
      <c r="A487" s="152">
        <v>2025.0</v>
      </c>
      <c r="B487" s="151">
        <v>7.0</v>
      </c>
      <c r="C487" s="153" t="s">
        <v>8189</v>
      </c>
      <c r="D487" s="153"/>
      <c r="E487" s="153" t="s">
        <v>8301</v>
      </c>
      <c r="F487" s="153" t="s">
        <v>6077</v>
      </c>
      <c r="G487" s="153">
        <f>IFERROR(__xludf.DUMMYFUNCTION("""COMPUTED_VALUE"""),15.0)</f>
        <v>15</v>
      </c>
      <c r="H487" s="153" t="s">
        <v>143</v>
      </c>
      <c r="I487" s="153" t="s">
        <v>404</v>
      </c>
      <c r="J487" s="153" t="s">
        <v>405</v>
      </c>
      <c r="K487" s="153" t="s">
        <v>406</v>
      </c>
      <c r="L487" s="153" t="s">
        <v>384</v>
      </c>
      <c r="M487" s="153" t="s">
        <v>2836</v>
      </c>
      <c r="N487" s="175" t="s">
        <v>6078</v>
      </c>
      <c r="O487" s="160" t="s">
        <v>6052</v>
      </c>
      <c r="P487" s="160" t="s">
        <v>6053</v>
      </c>
      <c r="Q487" s="153" t="s">
        <v>151</v>
      </c>
      <c r="R487" s="153" t="s">
        <v>6079</v>
      </c>
      <c r="S487" s="158" t="s">
        <v>6079</v>
      </c>
      <c r="T487" s="158" t="s">
        <v>149</v>
      </c>
      <c r="U487" s="153" t="s">
        <v>390</v>
      </c>
      <c r="V487" s="158" t="s">
        <v>160</v>
      </c>
      <c r="W487" s="158" t="s">
        <v>6035</v>
      </c>
      <c r="X487" s="158" t="s">
        <v>159</v>
      </c>
      <c r="Y487" s="158" t="s">
        <v>149</v>
      </c>
      <c r="Z487" s="158" t="s">
        <v>149</v>
      </c>
      <c r="AA487" s="158" t="s">
        <v>2843</v>
      </c>
      <c r="AB487" s="153" t="s">
        <v>390</v>
      </c>
      <c r="AC487" s="153" t="s">
        <v>6035</v>
      </c>
      <c r="AD487" s="153" t="s">
        <v>6055</v>
      </c>
      <c r="AE487" s="153"/>
      <c r="AF487" s="153"/>
      <c r="AG487" s="153" t="s">
        <v>6084</v>
      </c>
      <c r="AH487" s="153" t="s">
        <v>8313</v>
      </c>
      <c r="AI487" s="165" t="s">
        <v>6080</v>
      </c>
      <c r="AJ487" s="153"/>
      <c r="AK487" s="153"/>
    </row>
    <row r="488">
      <c r="A488" s="152">
        <v>2023.0</v>
      </c>
      <c r="B488" s="151">
        <v>8.0</v>
      </c>
      <c r="C488" s="129" t="s">
        <v>140</v>
      </c>
      <c r="D488" s="8"/>
      <c r="E488" s="8" t="s">
        <v>8189</v>
      </c>
      <c r="F488" s="8" t="s">
        <v>6086</v>
      </c>
      <c r="G488" s="8">
        <f>IFERROR(__xludf.DUMMYFUNCTION("""COMPUTED_VALUE"""),17.0)</f>
        <v>17</v>
      </c>
      <c r="H488" s="8" t="s">
        <v>143</v>
      </c>
      <c r="I488" s="8" t="s">
        <v>404</v>
      </c>
      <c r="J488" s="8" t="s">
        <v>405</v>
      </c>
      <c r="K488" s="277" t="s">
        <v>406</v>
      </c>
      <c r="L488" s="8" t="s">
        <v>384</v>
      </c>
      <c r="M488" s="8" t="s">
        <v>407</v>
      </c>
      <c r="N488" s="142" t="s">
        <v>6051</v>
      </c>
      <c r="O488" s="142" t="s">
        <v>6052</v>
      </c>
      <c r="P488" s="142" t="s">
        <v>6053</v>
      </c>
      <c r="Q488" s="8" t="s">
        <v>151</v>
      </c>
      <c r="R488" s="8" t="s">
        <v>6054</v>
      </c>
      <c r="U488" s="8" t="s">
        <v>390</v>
      </c>
      <c r="AA488" s="8" t="s">
        <v>391</v>
      </c>
      <c r="AB488" s="8" t="s">
        <v>390</v>
      </c>
      <c r="AD488" s="8" t="s">
        <v>6055</v>
      </c>
      <c r="AH488" s="8" t="s">
        <v>6057</v>
      </c>
      <c r="AI488" s="8" t="s">
        <v>2873</v>
      </c>
      <c r="AJ488" s="8" t="s">
        <v>398</v>
      </c>
    </row>
    <row r="489">
      <c r="A489" s="152">
        <v>2024.0</v>
      </c>
      <c r="B489" s="151">
        <v>165.0</v>
      </c>
      <c r="C489" s="153"/>
      <c r="D489" s="153"/>
      <c r="E489" s="153" t="s">
        <v>8189</v>
      </c>
      <c r="F489" s="153" t="s">
        <v>8314</v>
      </c>
      <c r="G489" s="153">
        <f>IFERROR(__xludf.DUMMYFUNCTION("""COMPUTED_VALUE"""),18.0)</f>
        <v>18</v>
      </c>
      <c r="H489" s="153" t="s">
        <v>257</v>
      </c>
      <c r="I489" s="153" t="s">
        <v>497</v>
      </c>
      <c r="J489" s="153" t="s">
        <v>8031</v>
      </c>
      <c r="K489" s="153" t="s">
        <v>1410</v>
      </c>
      <c r="L489" s="153" t="s">
        <v>1377</v>
      </c>
      <c r="M489" s="153" t="s">
        <v>8032</v>
      </c>
      <c r="N489" s="192">
        <v>1992.0</v>
      </c>
      <c r="O489" s="230">
        <v>1990.0</v>
      </c>
      <c r="P489" s="230">
        <v>1994.0</v>
      </c>
      <c r="Q489" s="153" t="s">
        <v>151</v>
      </c>
      <c r="R489" s="153"/>
      <c r="S489" s="153"/>
      <c r="T489" s="153"/>
      <c r="U489" s="153" t="s">
        <v>1381</v>
      </c>
      <c r="V489" s="153"/>
      <c r="W489" s="153"/>
      <c r="X489" s="153"/>
      <c r="Y489" s="153"/>
      <c r="Z489" s="153"/>
      <c r="AA489" s="153"/>
      <c r="AB489" s="153" t="s">
        <v>660</v>
      </c>
      <c r="AC489" s="153" t="s">
        <v>6035</v>
      </c>
      <c r="AD489" s="153" t="s">
        <v>369</v>
      </c>
      <c r="AE489" s="153"/>
      <c r="AF489" s="153"/>
      <c r="AG489" s="153" t="s">
        <v>8004</v>
      </c>
      <c r="AH489" s="153" t="s">
        <v>6060</v>
      </c>
      <c r="AI489" s="153" t="s">
        <v>2873</v>
      </c>
      <c r="AJ489" s="153" t="s">
        <v>398</v>
      </c>
      <c r="AK489" s="153"/>
    </row>
    <row r="490">
      <c r="A490" s="152">
        <v>2025.0</v>
      </c>
      <c r="B490" s="151">
        <v>8.0</v>
      </c>
      <c r="C490" s="153" t="s">
        <v>8189</v>
      </c>
      <c r="D490" s="153"/>
      <c r="E490" s="153" t="s">
        <v>8301</v>
      </c>
      <c r="F490" s="153" t="s">
        <v>6086</v>
      </c>
      <c r="G490" s="153">
        <f>IFERROR(__xludf.DUMMYFUNCTION("""COMPUTED_VALUE"""),17.0)</f>
        <v>17</v>
      </c>
      <c r="H490" s="153" t="s">
        <v>143</v>
      </c>
      <c r="I490" s="153" t="s">
        <v>404</v>
      </c>
      <c r="J490" s="153" t="s">
        <v>405</v>
      </c>
      <c r="K490" s="153" t="s">
        <v>406</v>
      </c>
      <c r="L490" s="153" t="s">
        <v>384</v>
      </c>
      <c r="M490" s="153" t="s">
        <v>407</v>
      </c>
      <c r="N490" s="175" t="s">
        <v>6051</v>
      </c>
      <c r="O490" s="175" t="s">
        <v>6052</v>
      </c>
      <c r="P490" s="175" t="s">
        <v>6053</v>
      </c>
      <c r="Q490" s="153" t="s">
        <v>151</v>
      </c>
      <c r="R490" s="153" t="s">
        <v>6054</v>
      </c>
      <c r="S490" s="158" t="s">
        <v>6054</v>
      </c>
      <c r="T490" s="158" t="s">
        <v>149</v>
      </c>
      <c r="U490" s="153" t="s">
        <v>390</v>
      </c>
      <c r="V490" s="158" t="s">
        <v>160</v>
      </c>
      <c r="W490" s="158" t="s">
        <v>6035</v>
      </c>
      <c r="X490" s="158" t="s">
        <v>159</v>
      </c>
      <c r="Y490" s="158" t="s">
        <v>149</v>
      </c>
      <c r="Z490" s="158" t="s">
        <v>149</v>
      </c>
      <c r="AA490" s="153" t="s">
        <v>391</v>
      </c>
      <c r="AB490" s="153" t="s">
        <v>390</v>
      </c>
      <c r="AC490" s="153" t="s">
        <v>6035</v>
      </c>
      <c r="AD490" s="153" t="s">
        <v>6055</v>
      </c>
      <c r="AE490" s="153"/>
      <c r="AF490" s="153"/>
      <c r="AG490" s="158" t="s">
        <v>395</v>
      </c>
      <c r="AH490" s="153" t="s">
        <v>6060</v>
      </c>
      <c r="AI490" s="177" t="s">
        <v>397</v>
      </c>
      <c r="AJ490" s="153" t="s">
        <v>398</v>
      </c>
      <c r="AK490" s="153"/>
    </row>
    <row r="491">
      <c r="A491" s="152">
        <v>2023.0</v>
      </c>
      <c r="B491" s="151">
        <v>9.0</v>
      </c>
      <c r="C491" s="129" t="s">
        <v>140</v>
      </c>
      <c r="D491" s="8"/>
      <c r="E491" s="8" t="s">
        <v>8189</v>
      </c>
      <c r="F491" s="8" t="s">
        <v>6087</v>
      </c>
      <c r="G491" s="8">
        <f>IFERROR(__xludf.DUMMYFUNCTION("""COMPUTED_VALUE"""),19.0)</f>
        <v>19</v>
      </c>
      <c r="H491" s="8" t="s">
        <v>143</v>
      </c>
      <c r="I491" s="8" t="s">
        <v>404</v>
      </c>
      <c r="J491" s="8" t="s">
        <v>405</v>
      </c>
      <c r="K491" s="277" t="s">
        <v>406</v>
      </c>
      <c r="L491" s="8" t="s">
        <v>384</v>
      </c>
      <c r="M491" s="8" t="s">
        <v>409</v>
      </c>
      <c r="N491" s="142" t="s">
        <v>6051</v>
      </c>
      <c r="O491" s="142" t="s">
        <v>6052</v>
      </c>
      <c r="P491" s="142" t="s">
        <v>6053</v>
      </c>
      <c r="Q491" s="8" t="s">
        <v>151</v>
      </c>
      <c r="R491" s="8" t="s">
        <v>6054</v>
      </c>
      <c r="U491" s="8" t="s">
        <v>390</v>
      </c>
      <c r="AA491" s="8" t="s">
        <v>391</v>
      </c>
      <c r="AB491" s="8" t="s">
        <v>390</v>
      </c>
      <c r="AD491" s="8" t="s">
        <v>6055</v>
      </c>
      <c r="AF491" s="8" t="s">
        <v>6056</v>
      </c>
      <c r="AH491" s="8" t="s">
        <v>6057</v>
      </c>
      <c r="AI491" s="8" t="s">
        <v>2873</v>
      </c>
      <c r="AJ491" s="8" t="s">
        <v>398</v>
      </c>
    </row>
    <row r="492">
      <c r="A492" s="152">
        <v>2024.0</v>
      </c>
      <c r="B492" s="151">
        <v>166.0</v>
      </c>
      <c r="C492" s="153"/>
      <c r="D492" s="153"/>
      <c r="E492" s="153" t="s">
        <v>8189</v>
      </c>
      <c r="F492" s="153" t="s">
        <v>8315</v>
      </c>
      <c r="G492" s="153">
        <f>IFERROR(__xludf.DUMMYFUNCTION("""COMPUTED_VALUE"""),20.0)</f>
        <v>20</v>
      </c>
      <c r="H492" s="153" t="s">
        <v>257</v>
      </c>
      <c r="I492" s="153" t="s">
        <v>497</v>
      </c>
      <c r="J492" s="153" t="s">
        <v>8031</v>
      </c>
      <c r="K492" s="153" t="s">
        <v>1410</v>
      </c>
      <c r="L492" s="153" t="s">
        <v>1377</v>
      </c>
      <c r="M492" s="153" t="s">
        <v>1413</v>
      </c>
      <c r="N492" s="192">
        <v>1992.0</v>
      </c>
      <c r="O492" s="230">
        <v>1990.0</v>
      </c>
      <c r="P492" s="230">
        <v>1994.0</v>
      </c>
      <c r="Q492" s="153" t="s">
        <v>151</v>
      </c>
      <c r="R492" s="153"/>
      <c r="S492" s="153"/>
      <c r="T492" s="153"/>
      <c r="U492" s="153" t="s">
        <v>1381</v>
      </c>
      <c r="V492" s="153"/>
      <c r="W492" s="153"/>
      <c r="X492" s="153"/>
      <c r="Y492" s="153"/>
      <c r="Z492" s="153"/>
      <c r="AA492" s="153"/>
      <c r="AB492" s="153" t="s">
        <v>660</v>
      </c>
      <c r="AC492" s="153" t="s">
        <v>6035</v>
      </c>
      <c r="AD492" s="153" t="s">
        <v>369</v>
      </c>
      <c r="AE492" s="153"/>
      <c r="AF492" s="153"/>
      <c r="AG492" s="153" t="s">
        <v>8004</v>
      </c>
      <c r="AH492" s="153" t="s">
        <v>6060</v>
      </c>
      <c r="AI492" s="153" t="s">
        <v>2873</v>
      </c>
      <c r="AJ492" s="153" t="s">
        <v>398</v>
      </c>
      <c r="AK492" s="153"/>
    </row>
    <row r="493">
      <c r="A493" s="152">
        <v>2025.0</v>
      </c>
      <c r="B493" s="151">
        <v>9.0</v>
      </c>
      <c r="C493" s="153" t="s">
        <v>8189</v>
      </c>
      <c r="D493" s="153"/>
      <c r="E493" s="153" t="s">
        <v>8301</v>
      </c>
      <c r="F493" s="153" t="s">
        <v>6087</v>
      </c>
      <c r="G493" s="153">
        <f>IFERROR(__xludf.DUMMYFUNCTION("""COMPUTED_VALUE"""),19.0)</f>
        <v>19</v>
      </c>
      <c r="H493" s="153" t="s">
        <v>143</v>
      </c>
      <c r="I493" s="153" t="s">
        <v>404</v>
      </c>
      <c r="J493" s="153" t="s">
        <v>405</v>
      </c>
      <c r="K493" s="153" t="s">
        <v>406</v>
      </c>
      <c r="L493" s="153" t="s">
        <v>384</v>
      </c>
      <c r="M493" s="153" t="s">
        <v>409</v>
      </c>
      <c r="N493" s="175" t="s">
        <v>6051</v>
      </c>
      <c r="O493" s="175" t="s">
        <v>6052</v>
      </c>
      <c r="P493" s="175" t="s">
        <v>6053</v>
      </c>
      <c r="Q493" s="153" t="s">
        <v>151</v>
      </c>
      <c r="R493" s="153" t="s">
        <v>6054</v>
      </c>
      <c r="S493" s="158" t="s">
        <v>6054</v>
      </c>
      <c r="T493" s="158" t="s">
        <v>149</v>
      </c>
      <c r="U493" s="153" t="s">
        <v>390</v>
      </c>
      <c r="V493" s="158" t="s">
        <v>160</v>
      </c>
      <c r="W493" s="158" t="s">
        <v>6035</v>
      </c>
      <c r="X493" s="158" t="s">
        <v>159</v>
      </c>
      <c r="Y493" s="158" t="s">
        <v>149</v>
      </c>
      <c r="Z493" s="158" t="s">
        <v>149</v>
      </c>
      <c r="AA493" s="153" t="s">
        <v>391</v>
      </c>
      <c r="AB493" s="153" t="s">
        <v>390</v>
      </c>
      <c r="AC493" s="153" t="s">
        <v>6035</v>
      </c>
      <c r="AD493" s="153" t="s">
        <v>6055</v>
      </c>
      <c r="AE493" s="153"/>
      <c r="AF493" s="153" t="s">
        <v>6056</v>
      </c>
      <c r="AG493" s="158" t="s">
        <v>395</v>
      </c>
      <c r="AH493" s="153" t="s">
        <v>6060</v>
      </c>
      <c r="AI493" s="177" t="s">
        <v>397</v>
      </c>
      <c r="AJ493" s="153" t="s">
        <v>398</v>
      </c>
      <c r="AK493" s="153"/>
    </row>
    <row r="494">
      <c r="A494" s="152">
        <v>2023.0</v>
      </c>
      <c r="B494" s="151">
        <v>10.0</v>
      </c>
      <c r="C494" s="129" t="s">
        <v>140</v>
      </c>
      <c r="D494" s="8"/>
      <c r="E494" s="8" t="s">
        <v>8189</v>
      </c>
      <c r="F494" s="8" t="s">
        <v>6088</v>
      </c>
      <c r="G494" s="8">
        <f>IFERROR(__xludf.DUMMYFUNCTION("""COMPUTED_VALUE"""),21.0)</f>
        <v>21</v>
      </c>
      <c r="H494" s="8" t="s">
        <v>143</v>
      </c>
      <c r="I494" s="8" t="s">
        <v>404</v>
      </c>
      <c r="J494" s="8" t="s">
        <v>405</v>
      </c>
      <c r="K494" s="153" t="s">
        <v>406</v>
      </c>
      <c r="L494" s="8" t="s">
        <v>6113</v>
      </c>
      <c r="N494" s="142" t="s">
        <v>6089</v>
      </c>
      <c r="O494" s="142"/>
      <c r="P494" s="142"/>
      <c r="Q494" s="8" t="s">
        <v>151</v>
      </c>
    </row>
    <row r="495">
      <c r="A495" s="152">
        <v>2024.0</v>
      </c>
      <c r="B495" s="151">
        <v>167.0</v>
      </c>
      <c r="C495" s="153"/>
      <c r="D495" s="153"/>
      <c r="E495" s="153" t="s">
        <v>8189</v>
      </c>
      <c r="F495" s="153" t="s">
        <v>8316</v>
      </c>
      <c r="G495" s="153">
        <f>IFERROR(__xludf.DUMMYFUNCTION("""COMPUTED_VALUE"""),22.0)</f>
        <v>22</v>
      </c>
      <c r="H495" s="153" t="s">
        <v>257</v>
      </c>
      <c r="I495" s="153" t="s">
        <v>497</v>
      </c>
      <c r="J495" s="153" t="s">
        <v>1415</v>
      </c>
      <c r="K495" s="153" t="s">
        <v>1416</v>
      </c>
      <c r="L495" s="153" t="s">
        <v>1377</v>
      </c>
      <c r="M495" s="153"/>
      <c r="N495" s="192">
        <v>1992.0</v>
      </c>
      <c r="O495" s="230">
        <v>1990.0</v>
      </c>
      <c r="P495" s="230">
        <v>1994.0</v>
      </c>
      <c r="Q495" s="153" t="s">
        <v>151</v>
      </c>
      <c r="R495" s="153"/>
      <c r="S495" s="153"/>
      <c r="T495" s="153"/>
      <c r="U495" s="153" t="s">
        <v>1381</v>
      </c>
      <c r="V495" s="153"/>
      <c r="W495" s="153"/>
      <c r="X495" s="153"/>
      <c r="Y495" s="153"/>
      <c r="Z495" s="153"/>
      <c r="AA495" s="153"/>
      <c r="AB495" s="153" t="s">
        <v>660</v>
      </c>
      <c r="AC495" s="153" t="s">
        <v>6035</v>
      </c>
      <c r="AD495" s="153" t="s">
        <v>369</v>
      </c>
      <c r="AE495" s="153"/>
      <c r="AF495" s="153"/>
      <c r="AG495" s="153" t="s">
        <v>8004</v>
      </c>
      <c r="AH495" s="153" t="s">
        <v>6060</v>
      </c>
      <c r="AI495" s="153" t="s">
        <v>2873</v>
      </c>
      <c r="AJ495" s="153" t="s">
        <v>398</v>
      </c>
      <c r="AK495" s="153"/>
    </row>
    <row r="496">
      <c r="A496" s="152">
        <v>2025.0</v>
      </c>
      <c r="B496" s="151">
        <v>10.0</v>
      </c>
      <c r="C496" s="153" t="s">
        <v>8189</v>
      </c>
      <c r="D496" s="153"/>
      <c r="E496" s="153" t="s">
        <v>8301</v>
      </c>
      <c r="F496" s="153" t="s">
        <v>6088</v>
      </c>
      <c r="G496" s="153">
        <f>IFERROR(__xludf.DUMMYFUNCTION("""COMPUTED_VALUE"""),21.0)</f>
        <v>21</v>
      </c>
      <c r="H496" s="153" t="s">
        <v>143</v>
      </c>
      <c r="I496" s="153" t="s">
        <v>404</v>
      </c>
      <c r="J496" s="153" t="s">
        <v>405</v>
      </c>
      <c r="K496" s="153" t="s">
        <v>406</v>
      </c>
      <c r="L496" s="183" t="s">
        <v>149</v>
      </c>
      <c r="M496" s="153" t="s">
        <v>6090</v>
      </c>
      <c r="N496" s="175" t="s">
        <v>6089</v>
      </c>
      <c r="O496" s="160" t="s">
        <v>149</v>
      </c>
      <c r="P496" s="160" t="s">
        <v>149</v>
      </c>
      <c r="Q496" s="153" t="s">
        <v>151</v>
      </c>
      <c r="R496" s="158" t="s">
        <v>153</v>
      </c>
      <c r="S496" s="158" t="s">
        <v>153</v>
      </c>
      <c r="T496" s="158" t="s">
        <v>149</v>
      </c>
      <c r="U496" s="158" t="s">
        <v>390</v>
      </c>
      <c r="V496" s="158" t="s">
        <v>160</v>
      </c>
      <c r="W496" s="158" t="s">
        <v>6035</v>
      </c>
      <c r="X496" s="158" t="s">
        <v>159</v>
      </c>
      <c r="Y496" s="158" t="s">
        <v>149</v>
      </c>
      <c r="Z496" s="158" t="s">
        <v>149</v>
      </c>
      <c r="AA496" s="158" t="s">
        <v>149</v>
      </c>
      <c r="AB496" s="158" t="s">
        <v>390</v>
      </c>
      <c r="AC496" s="153" t="s">
        <v>6035</v>
      </c>
      <c r="AD496" s="158" t="s">
        <v>369</v>
      </c>
      <c r="AE496" s="153"/>
      <c r="AF496" s="153"/>
      <c r="AG496" s="158" t="s">
        <v>6091</v>
      </c>
      <c r="AH496" s="153" t="s">
        <v>6092</v>
      </c>
      <c r="AI496" s="172" t="s">
        <v>2599</v>
      </c>
      <c r="AJ496" s="153"/>
      <c r="AK496" s="153"/>
    </row>
    <row r="497">
      <c r="A497" s="152">
        <v>2023.0</v>
      </c>
      <c r="B497" s="151">
        <v>11.0</v>
      </c>
      <c r="C497" s="129" t="s">
        <v>140</v>
      </c>
      <c r="D497" s="8"/>
      <c r="E497" s="8" t="s">
        <v>8189</v>
      </c>
      <c r="F497" s="8" t="s">
        <v>6093</v>
      </c>
      <c r="G497" s="8">
        <f>IFERROR(__xludf.DUMMYFUNCTION("""COMPUTED_VALUE"""),23.0)</f>
        <v>23</v>
      </c>
      <c r="H497" s="8" t="s">
        <v>143</v>
      </c>
      <c r="I497" s="8" t="s">
        <v>404</v>
      </c>
      <c r="J497" s="8" t="s">
        <v>8094</v>
      </c>
      <c r="K497" s="277" t="s">
        <v>412</v>
      </c>
      <c r="L497" s="8" t="s">
        <v>384</v>
      </c>
      <c r="M497" s="8" t="s">
        <v>413</v>
      </c>
      <c r="N497" s="142" t="s">
        <v>6051</v>
      </c>
      <c r="O497" s="142" t="s">
        <v>6052</v>
      </c>
      <c r="P497" s="142" t="s">
        <v>6053</v>
      </c>
      <c r="Q497" s="8" t="s">
        <v>151</v>
      </c>
      <c r="R497" s="8" t="s">
        <v>6054</v>
      </c>
      <c r="U497" s="8" t="s">
        <v>390</v>
      </c>
      <c r="AA497" s="8" t="s">
        <v>414</v>
      </c>
      <c r="AB497" s="8" t="s">
        <v>390</v>
      </c>
      <c r="AD497" s="8" t="s">
        <v>6055</v>
      </c>
      <c r="AF497" s="8" t="s">
        <v>6056</v>
      </c>
      <c r="AH497" s="8" t="s">
        <v>6057</v>
      </c>
      <c r="AI497" s="8" t="s">
        <v>2873</v>
      </c>
      <c r="AJ497" s="8" t="s">
        <v>398</v>
      </c>
    </row>
    <row r="498">
      <c r="A498" s="152">
        <v>2024.0</v>
      </c>
      <c r="B498" s="151">
        <v>168.0</v>
      </c>
      <c r="C498" s="153"/>
      <c r="D498" s="153"/>
      <c r="E498" s="153" t="s">
        <v>8189</v>
      </c>
      <c r="F498" s="153" t="s">
        <v>8317</v>
      </c>
      <c r="G498" s="153">
        <f>IFERROR(__xludf.DUMMYFUNCTION("""COMPUTED_VALUE"""),24.0)</f>
        <v>24</v>
      </c>
      <c r="H498" s="153" t="s">
        <v>257</v>
      </c>
      <c r="I498" s="153" t="s">
        <v>497</v>
      </c>
      <c r="J498" s="153" t="s">
        <v>518</v>
      </c>
      <c r="K498" s="153" t="s">
        <v>519</v>
      </c>
      <c r="L498" s="153" t="s">
        <v>384</v>
      </c>
      <c r="M498" s="153" t="s">
        <v>520</v>
      </c>
      <c r="N498" s="230">
        <v>1986.0</v>
      </c>
      <c r="O498" s="230">
        <v>1985.0</v>
      </c>
      <c r="P498" s="230">
        <v>1987.0</v>
      </c>
      <c r="Q498" s="153" t="s">
        <v>151</v>
      </c>
      <c r="R498" s="153" t="s">
        <v>6054</v>
      </c>
      <c r="S498" s="153"/>
      <c r="T498" s="153"/>
      <c r="U498" s="153" t="s">
        <v>390</v>
      </c>
      <c r="V498" s="153"/>
      <c r="W498" s="153"/>
      <c r="X498" s="153"/>
      <c r="Y498" s="153"/>
      <c r="Z498" s="153"/>
      <c r="AA498" s="153" t="s">
        <v>503</v>
      </c>
      <c r="AB498" s="153" t="s">
        <v>390</v>
      </c>
      <c r="AC498" s="153" t="s">
        <v>6035</v>
      </c>
      <c r="AD498" s="153" t="s">
        <v>6055</v>
      </c>
      <c r="AE498" s="153"/>
      <c r="AF498" s="153"/>
      <c r="AG498" s="153" t="s">
        <v>8004</v>
      </c>
      <c r="AH498" s="153" t="s">
        <v>6060</v>
      </c>
      <c r="AI498" s="153" t="s">
        <v>2873</v>
      </c>
      <c r="AJ498" s="153" t="s">
        <v>398</v>
      </c>
      <c r="AK498" s="153"/>
    </row>
    <row r="499">
      <c r="A499" s="152">
        <v>2025.0</v>
      </c>
      <c r="B499" s="151">
        <v>11.0</v>
      </c>
      <c r="C499" s="153" t="s">
        <v>8189</v>
      </c>
      <c r="D499" s="153"/>
      <c r="E499" s="153" t="s">
        <v>8301</v>
      </c>
      <c r="F499" s="153" t="s">
        <v>6093</v>
      </c>
      <c r="G499" s="153">
        <f>IFERROR(__xludf.DUMMYFUNCTION("""COMPUTED_VALUE"""),23.0)</f>
        <v>23</v>
      </c>
      <c r="H499" s="153" t="s">
        <v>143</v>
      </c>
      <c r="I499" s="153" t="s">
        <v>404</v>
      </c>
      <c r="J499" s="153" t="s">
        <v>8318</v>
      </c>
      <c r="K499" s="153" t="s">
        <v>412</v>
      </c>
      <c r="L499" s="153" t="s">
        <v>384</v>
      </c>
      <c r="M499" s="153" t="s">
        <v>413</v>
      </c>
      <c r="N499" s="175" t="s">
        <v>6051</v>
      </c>
      <c r="O499" s="175" t="s">
        <v>6052</v>
      </c>
      <c r="P499" s="175" t="s">
        <v>6053</v>
      </c>
      <c r="Q499" s="153" t="s">
        <v>151</v>
      </c>
      <c r="R499" s="153" t="s">
        <v>6054</v>
      </c>
      <c r="S499" s="158" t="s">
        <v>6054</v>
      </c>
      <c r="T499" s="158" t="s">
        <v>149</v>
      </c>
      <c r="U499" s="153" t="s">
        <v>390</v>
      </c>
      <c r="V499" s="158" t="s">
        <v>160</v>
      </c>
      <c r="W499" s="158" t="s">
        <v>6035</v>
      </c>
      <c r="X499" s="158" t="s">
        <v>159</v>
      </c>
      <c r="Y499" s="158" t="s">
        <v>149</v>
      </c>
      <c r="Z499" s="158" t="s">
        <v>149</v>
      </c>
      <c r="AA499" s="153" t="s">
        <v>414</v>
      </c>
      <c r="AB499" s="153" t="s">
        <v>390</v>
      </c>
      <c r="AC499" s="153" t="s">
        <v>6035</v>
      </c>
      <c r="AD499" s="153" t="s">
        <v>6055</v>
      </c>
      <c r="AE499" s="153"/>
      <c r="AF499" s="153" t="s">
        <v>6056</v>
      </c>
      <c r="AG499" s="158" t="s">
        <v>395</v>
      </c>
      <c r="AH499" s="153" t="s">
        <v>6060</v>
      </c>
      <c r="AI499" s="177" t="s">
        <v>397</v>
      </c>
      <c r="AJ499" s="153" t="s">
        <v>398</v>
      </c>
      <c r="AK499" s="153"/>
    </row>
    <row r="500">
      <c r="A500" s="152">
        <v>2023.0</v>
      </c>
      <c r="B500" s="151">
        <v>12.0</v>
      </c>
      <c r="C500" s="129" t="s">
        <v>140</v>
      </c>
      <c r="D500" s="8"/>
      <c r="E500" s="8" t="s">
        <v>8189</v>
      </c>
      <c r="F500" s="8" t="s">
        <v>6096</v>
      </c>
      <c r="G500" s="8">
        <f>IFERROR(__xludf.DUMMYFUNCTION("""COMPUTED_VALUE"""),25.0)</f>
        <v>25</v>
      </c>
      <c r="H500" s="8" t="s">
        <v>143</v>
      </c>
      <c r="I500" s="8" t="s">
        <v>404</v>
      </c>
      <c r="J500" s="8" t="s">
        <v>8094</v>
      </c>
      <c r="K500" s="153" t="s">
        <v>412</v>
      </c>
      <c r="L500" s="8" t="s">
        <v>6113</v>
      </c>
      <c r="N500" s="142" t="s">
        <v>6098</v>
      </c>
      <c r="O500" s="142"/>
      <c r="P500" s="142"/>
      <c r="Q500" s="8" t="s">
        <v>151</v>
      </c>
      <c r="U500" s="8" t="s">
        <v>390</v>
      </c>
      <c r="AB500" s="8" t="s">
        <v>390</v>
      </c>
    </row>
    <row r="501">
      <c r="A501" s="152">
        <v>2025.0</v>
      </c>
      <c r="B501" s="151">
        <v>12.0</v>
      </c>
      <c r="C501" s="153" t="s">
        <v>8189</v>
      </c>
      <c r="D501" s="153"/>
      <c r="E501" s="153" t="s">
        <v>8301</v>
      </c>
      <c r="F501" s="153" t="s">
        <v>6096</v>
      </c>
      <c r="G501" s="153">
        <f>IFERROR(__xludf.DUMMYFUNCTION("""COMPUTED_VALUE"""),25.0)</f>
        <v>25</v>
      </c>
      <c r="H501" s="153" t="s">
        <v>143</v>
      </c>
      <c r="I501" s="153" t="s">
        <v>404</v>
      </c>
      <c r="J501" s="153" t="s">
        <v>8319</v>
      </c>
      <c r="K501" s="153" t="s">
        <v>412</v>
      </c>
      <c r="L501" s="158" t="s">
        <v>149</v>
      </c>
      <c r="M501" s="158" t="s">
        <v>3047</v>
      </c>
      <c r="N501" s="175" t="s">
        <v>6098</v>
      </c>
      <c r="O501" s="160" t="s">
        <v>149</v>
      </c>
      <c r="P501" s="160" t="s">
        <v>149</v>
      </c>
      <c r="Q501" s="153" t="s">
        <v>151</v>
      </c>
      <c r="R501" s="158" t="s">
        <v>153</v>
      </c>
      <c r="S501" s="158" t="s">
        <v>153</v>
      </c>
      <c r="T501" s="158" t="s">
        <v>149</v>
      </c>
      <c r="U501" s="153" t="s">
        <v>390</v>
      </c>
      <c r="V501" s="158" t="s">
        <v>160</v>
      </c>
      <c r="W501" s="158" t="s">
        <v>6035</v>
      </c>
      <c r="X501" s="158" t="s">
        <v>159</v>
      </c>
      <c r="Y501" s="158" t="s">
        <v>149</v>
      </c>
      <c r="Z501" s="158" t="s">
        <v>149</v>
      </c>
      <c r="AA501" s="158" t="s">
        <v>149</v>
      </c>
      <c r="AB501" s="158" t="s">
        <v>390</v>
      </c>
      <c r="AC501" s="153" t="s">
        <v>6035</v>
      </c>
      <c r="AD501" s="158" t="s">
        <v>3048</v>
      </c>
      <c r="AE501" s="153"/>
      <c r="AF501" s="153"/>
      <c r="AG501" s="158" t="s">
        <v>6038</v>
      </c>
      <c r="AH501" s="158" t="s">
        <v>6100</v>
      </c>
      <c r="AI501" s="177" t="s">
        <v>3050</v>
      </c>
      <c r="AJ501" s="153"/>
      <c r="AK501" s="153"/>
    </row>
    <row r="502">
      <c r="A502" s="152">
        <v>2024.0</v>
      </c>
      <c r="B502" s="151">
        <v>169.0</v>
      </c>
      <c r="C502" s="153"/>
      <c r="D502" s="153"/>
      <c r="E502" s="153" t="s">
        <v>8189</v>
      </c>
      <c r="F502" s="153" t="s">
        <v>8320</v>
      </c>
      <c r="G502" s="153">
        <f>IFERROR(__xludf.DUMMYFUNCTION("""COMPUTED_VALUE"""),26.0)</f>
        <v>26</v>
      </c>
      <c r="H502" s="153" t="s">
        <v>257</v>
      </c>
      <c r="I502" s="153" t="s">
        <v>497</v>
      </c>
      <c r="J502" s="153" t="s">
        <v>1418</v>
      </c>
      <c r="K502" s="153" t="s">
        <v>1419</v>
      </c>
      <c r="L502" s="153" t="s">
        <v>1377</v>
      </c>
      <c r="M502" s="153" t="s">
        <v>1420</v>
      </c>
      <c r="N502" s="192">
        <v>1992.0</v>
      </c>
      <c r="O502" s="230">
        <v>1990.0</v>
      </c>
      <c r="P502" s="230">
        <v>1994.0</v>
      </c>
      <c r="Q502" s="153" t="s">
        <v>151</v>
      </c>
      <c r="R502" s="153"/>
      <c r="S502" s="153"/>
      <c r="T502" s="153"/>
      <c r="U502" s="153" t="s">
        <v>1381</v>
      </c>
      <c r="V502" s="153"/>
      <c r="W502" s="153"/>
      <c r="X502" s="153"/>
      <c r="Y502" s="153"/>
      <c r="Z502" s="153"/>
      <c r="AA502" s="153"/>
      <c r="AB502" s="153" t="s">
        <v>660</v>
      </c>
      <c r="AC502" s="153" t="s">
        <v>6035</v>
      </c>
      <c r="AD502" s="153" t="s">
        <v>369</v>
      </c>
      <c r="AE502" s="153"/>
      <c r="AF502" s="153"/>
      <c r="AG502" s="153" t="s">
        <v>8004</v>
      </c>
      <c r="AH502" s="153" t="s">
        <v>6060</v>
      </c>
      <c r="AI502" s="153" t="s">
        <v>2873</v>
      </c>
      <c r="AJ502" s="153" t="s">
        <v>398</v>
      </c>
      <c r="AK502" s="153"/>
    </row>
    <row r="503">
      <c r="A503" s="152">
        <v>2023.0</v>
      </c>
      <c r="B503" s="151">
        <v>13.0</v>
      </c>
      <c r="C503" s="129" t="s">
        <v>140</v>
      </c>
      <c r="D503" s="8"/>
      <c r="E503" s="8" t="s">
        <v>8189</v>
      </c>
      <c r="F503" s="8" t="s">
        <v>6101</v>
      </c>
      <c r="G503" s="8">
        <f>IFERROR(__xludf.DUMMYFUNCTION("""COMPUTED_VALUE"""),27.0)</f>
        <v>27</v>
      </c>
      <c r="H503" s="8" t="s">
        <v>143</v>
      </c>
      <c r="I503" s="8" t="s">
        <v>404</v>
      </c>
      <c r="J503" s="8" t="s">
        <v>416</v>
      </c>
      <c r="K503" s="277" t="s">
        <v>417</v>
      </c>
      <c r="L503" s="8" t="s">
        <v>384</v>
      </c>
      <c r="M503" s="8" t="s">
        <v>418</v>
      </c>
      <c r="N503" s="142" t="s">
        <v>6051</v>
      </c>
      <c r="O503" s="142" t="s">
        <v>6052</v>
      </c>
      <c r="P503" s="142" t="s">
        <v>6053</v>
      </c>
      <c r="Q503" s="8" t="s">
        <v>151</v>
      </c>
      <c r="R503" s="8" t="s">
        <v>6054</v>
      </c>
      <c r="U503" s="8" t="s">
        <v>390</v>
      </c>
      <c r="AA503" s="8" t="s">
        <v>414</v>
      </c>
      <c r="AB503" s="8" t="s">
        <v>390</v>
      </c>
      <c r="AD503" s="8" t="s">
        <v>6055</v>
      </c>
      <c r="AF503" s="8" t="s">
        <v>6056</v>
      </c>
      <c r="AH503" s="8" t="s">
        <v>6057</v>
      </c>
      <c r="AI503" s="8" t="s">
        <v>2873</v>
      </c>
      <c r="AJ503" s="8" t="s">
        <v>398</v>
      </c>
    </row>
    <row r="504">
      <c r="A504" s="152">
        <v>2025.0</v>
      </c>
      <c r="B504" s="151">
        <v>13.0</v>
      </c>
      <c r="C504" s="153" t="s">
        <v>8189</v>
      </c>
      <c r="D504" s="153"/>
      <c r="E504" s="153" t="s">
        <v>707</v>
      </c>
      <c r="F504" s="153" t="s">
        <v>6101</v>
      </c>
      <c r="G504" s="153">
        <f>IFERROR(__xludf.DUMMYFUNCTION("""COMPUTED_VALUE"""),27.0)</f>
        <v>27</v>
      </c>
      <c r="H504" s="153" t="s">
        <v>143</v>
      </c>
      <c r="I504" s="153" t="s">
        <v>404</v>
      </c>
      <c r="J504" s="153" t="s">
        <v>416</v>
      </c>
      <c r="K504" s="153" t="s">
        <v>417</v>
      </c>
      <c r="L504" s="153" t="s">
        <v>384</v>
      </c>
      <c r="M504" s="153" t="s">
        <v>418</v>
      </c>
      <c r="N504" s="175" t="s">
        <v>6051</v>
      </c>
      <c r="O504" s="175" t="s">
        <v>6052</v>
      </c>
      <c r="P504" s="175" t="s">
        <v>6053</v>
      </c>
      <c r="Q504" s="153" t="s">
        <v>151</v>
      </c>
      <c r="R504" s="153" t="s">
        <v>6054</v>
      </c>
      <c r="S504" s="158" t="s">
        <v>6054</v>
      </c>
      <c r="T504" s="158" t="s">
        <v>149</v>
      </c>
      <c r="U504" s="153" t="s">
        <v>390</v>
      </c>
      <c r="V504" s="158" t="s">
        <v>160</v>
      </c>
      <c r="W504" s="158" t="s">
        <v>6035</v>
      </c>
      <c r="X504" s="158" t="s">
        <v>159</v>
      </c>
      <c r="Y504" s="158" t="s">
        <v>149</v>
      </c>
      <c r="Z504" s="158" t="s">
        <v>149</v>
      </c>
      <c r="AA504" s="153" t="s">
        <v>414</v>
      </c>
      <c r="AB504" s="153" t="s">
        <v>390</v>
      </c>
      <c r="AC504" s="153" t="s">
        <v>6035</v>
      </c>
      <c r="AD504" s="153" t="s">
        <v>6055</v>
      </c>
      <c r="AE504" s="153"/>
      <c r="AF504" s="153" t="s">
        <v>6056</v>
      </c>
      <c r="AG504" s="158" t="s">
        <v>395</v>
      </c>
      <c r="AH504" s="153" t="s">
        <v>6060</v>
      </c>
      <c r="AI504" s="177" t="s">
        <v>397</v>
      </c>
      <c r="AJ504" s="153" t="s">
        <v>398</v>
      </c>
      <c r="AK504" s="153"/>
    </row>
    <row r="505">
      <c r="A505" s="152">
        <v>2024.0</v>
      </c>
      <c r="B505" s="151">
        <v>170.0</v>
      </c>
      <c r="C505" s="153"/>
      <c r="D505" s="153"/>
      <c r="E505" s="153" t="s">
        <v>8189</v>
      </c>
      <c r="F505" s="153" t="s">
        <v>8321</v>
      </c>
      <c r="G505" s="153">
        <f>IFERROR(__xludf.DUMMYFUNCTION("""COMPUTED_VALUE"""),28.0)</f>
        <v>28</v>
      </c>
      <c r="H505" s="153" t="s">
        <v>257</v>
      </c>
      <c r="I505" s="153" t="s">
        <v>497</v>
      </c>
      <c r="J505" s="153" t="s">
        <v>1418</v>
      </c>
      <c r="K505" s="153" t="s">
        <v>1419</v>
      </c>
      <c r="L505" s="153" t="s">
        <v>1377</v>
      </c>
      <c r="M505" s="153" t="s">
        <v>1422</v>
      </c>
      <c r="N505" s="192">
        <v>1992.0</v>
      </c>
      <c r="O505" s="230">
        <v>1990.0</v>
      </c>
      <c r="P505" s="230">
        <v>1994.0</v>
      </c>
      <c r="Q505" s="153" t="s">
        <v>151</v>
      </c>
      <c r="R505" s="153"/>
      <c r="S505" s="153"/>
      <c r="T505" s="153"/>
      <c r="U505" s="153" t="s">
        <v>1381</v>
      </c>
      <c r="V505" s="153"/>
      <c r="W505" s="153"/>
      <c r="X505" s="153"/>
      <c r="Y505" s="153"/>
      <c r="Z505" s="153"/>
      <c r="AA505" s="153"/>
      <c r="AB505" s="153" t="s">
        <v>660</v>
      </c>
      <c r="AC505" s="153" t="s">
        <v>6035</v>
      </c>
      <c r="AD505" s="153" t="s">
        <v>369</v>
      </c>
      <c r="AE505" s="153"/>
      <c r="AF505" s="153"/>
      <c r="AG505" s="153" t="s">
        <v>8004</v>
      </c>
      <c r="AH505" s="153" t="s">
        <v>6060</v>
      </c>
      <c r="AI505" s="153" t="s">
        <v>2873</v>
      </c>
      <c r="AJ505" s="153" t="s">
        <v>398</v>
      </c>
      <c r="AK505" s="153"/>
    </row>
    <row r="506">
      <c r="A506" s="152">
        <v>2023.0</v>
      </c>
      <c r="B506" s="151">
        <v>14.0</v>
      </c>
      <c r="C506" s="129" t="s">
        <v>140</v>
      </c>
      <c r="D506" s="8"/>
      <c r="E506" s="8" t="s">
        <v>8189</v>
      </c>
      <c r="F506" s="8" t="s">
        <v>6102</v>
      </c>
      <c r="G506" s="8">
        <f>IFERROR(__xludf.DUMMYFUNCTION("""COMPUTED_VALUE"""),29.0)</f>
        <v>29</v>
      </c>
      <c r="H506" s="8" t="s">
        <v>143</v>
      </c>
      <c r="I506" s="8" t="s">
        <v>404</v>
      </c>
      <c r="J506" s="8" t="s">
        <v>420</v>
      </c>
      <c r="K506" s="277" t="s">
        <v>421</v>
      </c>
      <c r="L506" s="8" t="s">
        <v>384</v>
      </c>
      <c r="M506" s="8" t="s">
        <v>422</v>
      </c>
      <c r="N506" s="142" t="s">
        <v>6051</v>
      </c>
      <c r="O506" s="142" t="s">
        <v>6052</v>
      </c>
      <c r="P506" s="142" t="s">
        <v>6053</v>
      </c>
      <c r="Q506" s="8" t="s">
        <v>151</v>
      </c>
      <c r="R506" s="8" t="s">
        <v>6054</v>
      </c>
      <c r="U506" s="8" t="s">
        <v>390</v>
      </c>
      <c r="AA506" s="8" t="s">
        <v>414</v>
      </c>
      <c r="AB506" s="8" t="s">
        <v>390</v>
      </c>
      <c r="AD506" s="8" t="s">
        <v>6055</v>
      </c>
      <c r="AF506" s="8" t="s">
        <v>6056</v>
      </c>
      <c r="AH506" s="8" t="s">
        <v>6057</v>
      </c>
      <c r="AI506" s="8" t="s">
        <v>2873</v>
      </c>
      <c r="AJ506" s="8" t="s">
        <v>398</v>
      </c>
    </row>
    <row r="507">
      <c r="A507" s="152">
        <v>2025.0</v>
      </c>
      <c r="B507" s="151">
        <v>14.0</v>
      </c>
      <c r="C507" s="153" t="s">
        <v>8189</v>
      </c>
      <c r="D507" s="153"/>
      <c r="E507" s="153" t="s">
        <v>707</v>
      </c>
      <c r="F507" s="153" t="s">
        <v>6102</v>
      </c>
      <c r="G507" s="153">
        <f>IFERROR(__xludf.DUMMYFUNCTION("""COMPUTED_VALUE"""),29.0)</f>
        <v>29</v>
      </c>
      <c r="H507" s="153" t="s">
        <v>143</v>
      </c>
      <c r="I507" s="153" t="s">
        <v>404</v>
      </c>
      <c r="J507" s="153" t="s">
        <v>420</v>
      </c>
      <c r="K507" s="153" t="s">
        <v>421</v>
      </c>
      <c r="L507" s="153" t="s">
        <v>384</v>
      </c>
      <c r="M507" s="153" t="s">
        <v>422</v>
      </c>
      <c r="N507" s="175" t="s">
        <v>6051</v>
      </c>
      <c r="O507" s="175" t="s">
        <v>6052</v>
      </c>
      <c r="P507" s="175" t="s">
        <v>6053</v>
      </c>
      <c r="Q507" s="153" t="s">
        <v>151</v>
      </c>
      <c r="R507" s="153" t="s">
        <v>6054</v>
      </c>
      <c r="S507" s="158" t="s">
        <v>6054</v>
      </c>
      <c r="T507" s="158" t="s">
        <v>149</v>
      </c>
      <c r="U507" s="153" t="s">
        <v>390</v>
      </c>
      <c r="V507" s="158" t="s">
        <v>160</v>
      </c>
      <c r="W507" s="158" t="s">
        <v>6035</v>
      </c>
      <c r="X507" s="158" t="s">
        <v>159</v>
      </c>
      <c r="Y507" s="158" t="s">
        <v>149</v>
      </c>
      <c r="Z507" s="158" t="s">
        <v>149</v>
      </c>
      <c r="AA507" s="153" t="s">
        <v>414</v>
      </c>
      <c r="AB507" s="153" t="s">
        <v>390</v>
      </c>
      <c r="AC507" s="153" t="s">
        <v>6035</v>
      </c>
      <c r="AD507" s="153" t="s">
        <v>6055</v>
      </c>
      <c r="AE507" s="153"/>
      <c r="AF507" s="153" t="s">
        <v>6056</v>
      </c>
      <c r="AG507" s="158" t="s">
        <v>395</v>
      </c>
      <c r="AH507" s="153" t="s">
        <v>6060</v>
      </c>
      <c r="AI507" s="177" t="s">
        <v>397</v>
      </c>
      <c r="AJ507" s="153" t="s">
        <v>398</v>
      </c>
      <c r="AK507" s="153"/>
    </row>
    <row r="508">
      <c r="A508" s="152">
        <v>2024.0</v>
      </c>
      <c r="B508" s="151">
        <v>171.0</v>
      </c>
      <c r="C508" s="153"/>
      <c r="D508" s="153"/>
      <c r="E508" s="153" t="s">
        <v>8189</v>
      </c>
      <c r="F508" s="153" t="s">
        <v>8322</v>
      </c>
      <c r="G508" s="153">
        <f>IFERROR(__xludf.DUMMYFUNCTION("""COMPUTED_VALUE"""),30.0)</f>
        <v>30</v>
      </c>
      <c r="H508" s="153" t="s">
        <v>257</v>
      </c>
      <c r="I508" s="153" t="s">
        <v>497</v>
      </c>
      <c r="J508" s="153" t="s">
        <v>1418</v>
      </c>
      <c r="K508" s="153" t="s">
        <v>1419</v>
      </c>
      <c r="L508" s="153" t="s">
        <v>1377</v>
      </c>
      <c r="M508" s="153" t="s">
        <v>1424</v>
      </c>
      <c r="N508" s="192">
        <v>1992.0</v>
      </c>
      <c r="O508" s="230">
        <v>1990.0</v>
      </c>
      <c r="P508" s="230">
        <v>1994.0</v>
      </c>
      <c r="Q508" s="153" t="s">
        <v>151</v>
      </c>
      <c r="R508" s="153"/>
      <c r="S508" s="153"/>
      <c r="T508" s="153"/>
      <c r="U508" s="153" t="s">
        <v>1381</v>
      </c>
      <c r="V508" s="153"/>
      <c r="W508" s="153"/>
      <c r="X508" s="153"/>
      <c r="Y508" s="153"/>
      <c r="Z508" s="153"/>
      <c r="AA508" s="153"/>
      <c r="AB508" s="153" t="s">
        <v>660</v>
      </c>
      <c r="AC508" s="153" t="s">
        <v>6035</v>
      </c>
      <c r="AD508" s="153" t="s">
        <v>369</v>
      </c>
      <c r="AE508" s="153"/>
      <c r="AF508" s="153"/>
      <c r="AG508" s="153" t="s">
        <v>8004</v>
      </c>
      <c r="AH508" s="153" t="s">
        <v>6060</v>
      </c>
      <c r="AI508" s="153" t="s">
        <v>2873</v>
      </c>
      <c r="AJ508" s="153" t="s">
        <v>398</v>
      </c>
      <c r="AK508" s="153"/>
    </row>
    <row r="509">
      <c r="A509" s="152">
        <v>2023.0</v>
      </c>
      <c r="B509" s="151">
        <v>15.0</v>
      </c>
      <c r="C509" s="129" t="s">
        <v>140</v>
      </c>
      <c r="D509" s="8"/>
      <c r="E509" s="8" t="s">
        <v>8189</v>
      </c>
      <c r="F509" s="8" t="s">
        <v>8323</v>
      </c>
      <c r="G509" s="8">
        <f>IFERROR(__xludf.DUMMYFUNCTION("""COMPUTED_VALUE"""),31.0)</f>
        <v>31</v>
      </c>
      <c r="H509" s="8" t="s">
        <v>143</v>
      </c>
      <c r="I509" s="8" t="s">
        <v>404</v>
      </c>
      <c r="J509" s="8" t="s">
        <v>3052</v>
      </c>
      <c r="K509" s="153" t="s">
        <v>3053</v>
      </c>
      <c r="L509" s="290" t="s">
        <v>6113</v>
      </c>
      <c r="M509" s="8" t="s">
        <v>6104</v>
      </c>
      <c r="N509" s="142" t="s">
        <v>6113</v>
      </c>
      <c r="O509" s="142"/>
      <c r="P509" s="142"/>
      <c r="Q509" s="8" t="s">
        <v>151</v>
      </c>
    </row>
    <row r="510">
      <c r="A510" s="152">
        <v>2025.0</v>
      </c>
      <c r="B510" s="151">
        <v>15.0</v>
      </c>
      <c r="C510" s="153" t="s">
        <v>8189</v>
      </c>
      <c r="D510" s="153"/>
      <c r="E510" s="153" t="s">
        <v>8301</v>
      </c>
      <c r="F510" s="153" t="s">
        <v>6103</v>
      </c>
      <c r="G510" s="153">
        <f>IFERROR(__xludf.DUMMYFUNCTION("""COMPUTED_VALUE"""),32.0)</f>
        <v>32</v>
      </c>
      <c r="H510" s="153" t="s">
        <v>143</v>
      </c>
      <c r="I510" s="153" t="s">
        <v>404</v>
      </c>
      <c r="J510" s="153" t="s">
        <v>3052</v>
      </c>
      <c r="K510" s="153" t="s">
        <v>3053</v>
      </c>
      <c r="L510" s="185" t="s">
        <v>149</v>
      </c>
      <c r="M510" s="158" t="s">
        <v>3054</v>
      </c>
      <c r="N510" s="160" t="s">
        <v>149</v>
      </c>
      <c r="O510" s="160" t="s">
        <v>149</v>
      </c>
      <c r="P510" s="160" t="s">
        <v>149</v>
      </c>
      <c r="Q510" s="153" t="s">
        <v>151</v>
      </c>
      <c r="R510" s="158" t="s">
        <v>2049</v>
      </c>
      <c r="S510" s="158" t="s">
        <v>2049</v>
      </c>
      <c r="T510" s="158" t="s">
        <v>149</v>
      </c>
      <c r="U510" s="158" t="s">
        <v>3055</v>
      </c>
      <c r="V510" s="158" t="s">
        <v>160</v>
      </c>
      <c r="W510" s="158" t="s">
        <v>184</v>
      </c>
      <c r="X510" s="158" t="s">
        <v>159</v>
      </c>
      <c r="Y510" s="158" t="s">
        <v>149</v>
      </c>
      <c r="Z510" s="158" t="s">
        <v>149</v>
      </c>
      <c r="AA510" s="158" t="s">
        <v>149</v>
      </c>
      <c r="AB510" s="153" t="s">
        <v>3055</v>
      </c>
      <c r="AC510" s="158" t="s">
        <v>184</v>
      </c>
      <c r="AD510" s="153"/>
      <c r="AE510" s="153"/>
      <c r="AF510" s="153"/>
      <c r="AG510" s="153" t="s">
        <v>6038</v>
      </c>
      <c r="AH510" s="153" t="s">
        <v>6105</v>
      </c>
      <c r="AI510" s="153"/>
      <c r="AJ510" s="153"/>
      <c r="AK510" s="153"/>
    </row>
    <row r="511">
      <c r="A511" s="152">
        <v>2024.0</v>
      </c>
      <c r="B511" s="151">
        <v>172.0</v>
      </c>
      <c r="C511" s="153"/>
      <c r="D511" s="153"/>
      <c r="E511" s="153" t="s">
        <v>8189</v>
      </c>
      <c r="F511" s="153" t="s">
        <v>8324</v>
      </c>
      <c r="G511" s="153">
        <f>IFERROR(__xludf.DUMMYFUNCTION("""COMPUTED_VALUE"""),33.0)</f>
        <v>33</v>
      </c>
      <c r="H511" s="153" t="s">
        <v>257</v>
      </c>
      <c r="I511" s="153" t="s">
        <v>497</v>
      </c>
      <c r="J511" s="153" t="s">
        <v>1418</v>
      </c>
      <c r="K511" s="153" t="s">
        <v>1419</v>
      </c>
      <c r="L511" s="153" t="s">
        <v>1377</v>
      </c>
      <c r="M511" s="153" t="s">
        <v>1426</v>
      </c>
      <c r="N511" s="192">
        <v>1992.0</v>
      </c>
      <c r="O511" s="230">
        <v>1990.0</v>
      </c>
      <c r="P511" s="230">
        <v>1994.0</v>
      </c>
      <c r="Q511" s="153" t="s">
        <v>151</v>
      </c>
      <c r="R511" s="153"/>
      <c r="S511" s="153"/>
      <c r="T511" s="153"/>
      <c r="U511" s="153" t="s">
        <v>1381</v>
      </c>
      <c r="V511" s="153"/>
      <c r="W511" s="153"/>
      <c r="X511" s="153"/>
      <c r="Y511" s="153"/>
      <c r="Z511" s="153"/>
      <c r="AA511" s="153"/>
      <c r="AB511" s="153" t="s">
        <v>660</v>
      </c>
      <c r="AC511" s="153" t="s">
        <v>6035</v>
      </c>
      <c r="AD511" s="153" t="s">
        <v>369</v>
      </c>
      <c r="AE511" s="153"/>
      <c r="AF511" s="153"/>
      <c r="AG511" s="153" t="s">
        <v>8004</v>
      </c>
      <c r="AH511" s="153" t="s">
        <v>6060</v>
      </c>
      <c r="AI511" s="153" t="s">
        <v>2873</v>
      </c>
      <c r="AJ511" s="153" t="s">
        <v>398</v>
      </c>
      <c r="AK511" s="153"/>
    </row>
    <row r="512">
      <c r="A512" s="152">
        <v>2023.0</v>
      </c>
      <c r="B512" s="151">
        <v>16.0</v>
      </c>
      <c r="C512" s="129" t="s">
        <v>140</v>
      </c>
      <c r="D512" s="8"/>
      <c r="E512" s="8" t="s">
        <v>8189</v>
      </c>
      <c r="F512" s="8" t="s">
        <v>6106</v>
      </c>
      <c r="G512" s="8">
        <f>IFERROR(__xludf.DUMMYFUNCTION("""COMPUTED_VALUE"""),34.0)</f>
        <v>34</v>
      </c>
      <c r="H512" s="8" t="s">
        <v>143</v>
      </c>
      <c r="I512" s="8" t="s">
        <v>404</v>
      </c>
      <c r="J512" s="8" t="s">
        <v>424</v>
      </c>
      <c r="K512" s="277" t="s">
        <v>425</v>
      </c>
      <c r="L512" s="8" t="s">
        <v>384</v>
      </c>
      <c r="M512" s="8" t="s">
        <v>426</v>
      </c>
      <c r="N512" s="142" t="s">
        <v>6051</v>
      </c>
      <c r="O512" s="142" t="s">
        <v>6052</v>
      </c>
      <c r="P512" s="142" t="s">
        <v>6053</v>
      </c>
      <c r="Q512" s="8" t="s">
        <v>151</v>
      </c>
      <c r="R512" s="8" t="s">
        <v>6054</v>
      </c>
      <c r="U512" s="8" t="s">
        <v>390</v>
      </c>
      <c r="AA512" s="8" t="s">
        <v>391</v>
      </c>
      <c r="AB512" s="8" t="s">
        <v>390</v>
      </c>
      <c r="AD512" s="8" t="s">
        <v>6055</v>
      </c>
      <c r="AF512" s="8" t="s">
        <v>6056</v>
      </c>
      <c r="AH512" s="8" t="s">
        <v>6057</v>
      </c>
      <c r="AI512" s="8" t="s">
        <v>2873</v>
      </c>
      <c r="AJ512" s="8" t="s">
        <v>398</v>
      </c>
    </row>
    <row r="513">
      <c r="A513" s="152">
        <v>2025.0</v>
      </c>
      <c r="B513" s="151">
        <v>16.0</v>
      </c>
      <c r="C513" s="153" t="s">
        <v>8189</v>
      </c>
      <c r="D513" s="153"/>
      <c r="E513" s="153" t="s">
        <v>707</v>
      </c>
      <c r="F513" s="153" t="s">
        <v>6106</v>
      </c>
      <c r="G513" s="153">
        <f>IFERROR(__xludf.DUMMYFUNCTION("""COMPUTED_VALUE"""),34.0)</f>
        <v>34</v>
      </c>
      <c r="H513" s="153" t="s">
        <v>143</v>
      </c>
      <c r="I513" s="153" t="s">
        <v>404</v>
      </c>
      <c r="J513" s="153" t="s">
        <v>424</v>
      </c>
      <c r="K513" s="153" t="s">
        <v>425</v>
      </c>
      <c r="L513" s="153" t="s">
        <v>384</v>
      </c>
      <c r="M513" s="153" t="s">
        <v>426</v>
      </c>
      <c r="N513" s="175" t="s">
        <v>6051</v>
      </c>
      <c r="O513" s="175" t="s">
        <v>6052</v>
      </c>
      <c r="P513" s="175" t="s">
        <v>6053</v>
      </c>
      <c r="Q513" s="153" t="s">
        <v>151</v>
      </c>
      <c r="R513" s="153" t="s">
        <v>6054</v>
      </c>
      <c r="S513" s="158" t="s">
        <v>6054</v>
      </c>
      <c r="T513" s="158" t="s">
        <v>149</v>
      </c>
      <c r="U513" s="153" t="s">
        <v>390</v>
      </c>
      <c r="V513" s="158" t="s">
        <v>160</v>
      </c>
      <c r="W513" s="158" t="s">
        <v>6035</v>
      </c>
      <c r="X513" s="158" t="s">
        <v>159</v>
      </c>
      <c r="Y513" s="158" t="s">
        <v>149</v>
      </c>
      <c r="Z513" s="158" t="s">
        <v>149</v>
      </c>
      <c r="AA513" s="153" t="s">
        <v>391</v>
      </c>
      <c r="AB513" s="153" t="s">
        <v>390</v>
      </c>
      <c r="AC513" s="153" t="s">
        <v>6035</v>
      </c>
      <c r="AD513" s="153" t="s">
        <v>6055</v>
      </c>
      <c r="AE513" s="153"/>
      <c r="AF513" s="153" t="s">
        <v>6056</v>
      </c>
      <c r="AG513" s="158" t="s">
        <v>395</v>
      </c>
      <c r="AH513" s="153" t="s">
        <v>6060</v>
      </c>
      <c r="AI513" s="177" t="s">
        <v>397</v>
      </c>
      <c r="AJ513" s="153" t="s">
        <v>398</v>
      </c>
      <c r="AK513" s="153"/>
    </row>
    <row r="514">
      <c r="A514" s="152">
        <v>2024.0</v>
      </c>
      <c r="B514" s="151">
        <v>173.0</v>
      </c>
      <c r="C514" s="153"/>
      <c r="D514" s="153"/>
      <c r="E514" s="153" t="s">
        <v>8189</v>
      </c>
      <c r="F514" s="153" t="s">
        <v>8325</v>
      </c>
      <c r="G514" s="153">
        <f>IFERROR(__xludf.DUMMYFUNCTION("""COMPUTED_VALUE"""),35.0)</f>
        <v>35</v>
      </c>
      <c r="H514" s="153" t="s">
        <v>257</v>
      </c>
      <c r="I514" s="153" t="s">
        <v>497</v>
      </c>
      <c r="J514" s="153" t="s">
        <v>1428</v>
      </c>
      <c r="K514" s="153" t="s">
        <v>1429</v>
      </c>
      <c r="L514" s="153" t="s">
        <v>1377</v>
      </c>
      <c r="M514" s="153"/>
      <c r="N514" s="192">
        <v>1992.0</v>
      </c>
      <c r="O514" s="230">
        <v>1990.0</v>
      </c>
      <c r="P514" s="230">
        <v>1994.0</v>
      </c>
      <c r="Q514" s="153" t="s">
        <v>151</v>
      </c>
      <c r="R514" s="153"/>
      <c r="S514" s="153"/>
      <c r="T514" s="153"/>
      <c r="U514" s="153" t="s">
        <v>1381</v>
      </c>
      <c r="V514" s="153"/>
      <c r="W514" s="153"/>
      <c r="X514" s="153"/>
      <c r="Y514" s="153"/>
      <c r="Z514" s="153"/>
      <c r="AA514" s="153"/>
      <c r="AB514" s="153" t="s">
        <v>660</v>
      </c>
      <c r="AC514" s="153" t="s">
        <v>6035</v>
      </c>
      <c r="AD514" s="153" t="s">
        <v>369</v>
      </c>
      <c r="AE514" s="153"/>
      <c r="AF514" s="153"/>
      <c r="AG514" s="153" t="s">
        <v>8004</v>
      </c>
      <c r="AH514" s="153" t="s">
        <v>6060</v>
      </c>
      <c r="AI514" s="153" t="s">
        <v>2873</v>
      </c>
      <c r="AJ514" s="153" t="s">
        <v>398</v>
      </c>
      <c r="AK514" s="153"/>
    </row>
    <row r="515">
      <c r="A515" s="152">
        <v>2023.0</v>
      </c>
      <c r="B515" s="151">
        <v>17.0</v>
      </c>
      <c r="C515" s="129" t="s">
        <v>140</v>
      </c>
      <c r="D515" s="8"/>
      <c r="E515" s="8" t="s">
        <v>8189</v>
      </c>
      <c r="F515" s="8" t="s">
        <v>6107</v>
      </c>
      <c r="G515" s="8">
        <f>IFERROR(__xludf.DUMMYFUNCTION("""COMPUTED_VALUE"""),36.0)</f>
        <v>36</v>
      </c>
      <c r="H515" s="8" t="s">
        <v>143</v>
      </c>
      <c r="I515" s="8" t="s">
        <v>404</v>
      </c>
      <c r="J515" s="8" t="s">
        <v>428</v>
      </c>
      <c r="K515" s="277" t="s">
        <v>429</v>
      </c>
      <c r="L515" s="8" t="s">
        <v>384</v>
      </c>
      <c r="M515" s="8" t="s">
        <v>6108</v>
      </c>
      <c r="N515" s="142" t="s">
        <v>6051</v>
      </c>
      <c r="O515" s="142" t="s">
        <v>6052</v>
      </c>
      <c r="P515" s="142" t="s">
        <v>6053</v>
      </c>
      <c r="Q515" s="8" t="s">
        <v>151</v>
      </c>
      <c r="R515" s="8" t="s">
        <v>6054</v>
      </c>
      <c r="U515" s="8" t="s">
        <v>390</v>
      </c>
      <c r="AA515" s="8" t="s">
        <v>431</v>
      </c>
      <c r="AB515" s="8" t="s">
        <v>390</v>
      </c>
      <c r="AD515" s="8" t="s">
        <v>6055</v>
      </c>
      <c r="AH515" s="8" t="s">
        <v>6057</v>
      </c>
      <c r="AI515" s="8" t="s">
        <v>2873</v>
      </c>
      <c r="AJ515" s="8" t="s">
        <v>398</v>
      </c>
    </row>
    <row r="516">
      <c r="A516" s="152">
        <v>2025.0</v>
      </c>
      <c r="B516" s="151">
        <v>17.0</v>
      </c>
      <c r="C516" s="153" t="s">
        <v>8189</v>
      </c>
      <c r="D516" s="153"/>
      <c r="E516" s="153" t="s">
        <v>707</v>
      </c>
      <c r="F516" s="153" t="s">
        <v>6107</v>
      </c>
      <c r="G516" s="153">
        <f>IFERROR(__xludf.DUMMYFUNCTION("""COMPUTED_VALUE"""),36.0)</f>
        <v>36</v>
      </c>
      <c r="H516" s="153" t="s">
        <v>143</v>
      </c>
      <c r="I516" s="153" t="s">
        <v>404</v>
      </c>
      <c r="J516" s="153" t="s">
        <v>428</v>
      </c>
      <c r="K516" s="153" t="s">
        <v>429</v>
      </c>
      <c r="L516" s="153" t="s">
        <v>384</v>
      </c>
      <c r="M516" s="153" t="s">
        <v>6108</v>
      </c>
      <c r="N516" s="175" t="s">
        <v>6051</v>
      </c>
      <c r="O516" s="175" t="s">
        <v>6052</v>
      </c>
      <c r="P516" s="175" t="s">
        <v>6053</v>
      </c>
      <c r="Q516" s="153" t="s">
        <v>151</v>
      </c>
      <c r="R516" s="153" t="s">
        <v>6054</v>
      </c>
      <c r="S516" s="158" t="s">
        <v>6054</v>
      </c>
      <c r="T516" s="158" t="s">
        <v>149</v>
      </c>
      <c r="U516" s="153" t="s">
        <v>390</v>
      </c>
      <c r="V516" s="158" t="s">
        <v>160</v>
      </c>
      <c r="W516" s="158" t="s">
        <v>6035</v>
      </c>
      <c r="X516" s="158" t="s">
        <v>159</v>
      </c>
      <c r="Y516" s="158" t="s">
        <v>149</v>
      </c>
      <c r="Z516" s="158" t="s">
        <v>149</v>
      </c>
      <c r="AA516" s="153" t="s">
        <v>431</v>
      </c>
      <c r="AB516" s="153" t="s">
        <v>390</v>
      </c>
      <c r="AC516" s="153" t="s">
        <v>6035</v>
      </c>
      <c r="AD516" s="153" t="s">
        <v>6055</v>
      </c>
      <c r="AE516" s="153"/>
      <c r="AF516" s="153"/>
      <c r="AG516" s="158" t="s">
        <v>395</v>
      </c>
      <c r="AH516" s="153" t="s">
        <v>6060</v>
      </c>
      <c r="AI516" s="177" t="s">
        <v>397</v>
      </c>
      <c r="AJ516" s="153" t="s">
        <v>398</v>
      </c>
      <c r="AK516" s="153"/>
    </row>
    <row r="517">
      <c r="A517" s="152">
        <v>2024.0</v>
      </c>
      <c r="B517" s="151">
        <v>174.0</v>
      </c>
      <c r="C517" s="153"/>
      <c r="D517" s="153"/>
      <c r="E517" s="153" t="s">
        <v>8189</v>
      </c>
      <c r="F517" s="153" t="s">
        <v>8326</v>
      </c>
      <c r="G517" s="153">
        <f>IFERROR(__xludf.DUMMYFUNCTION("""COMPUTED_VALUE"""),37.0)</f>
        <v>37</v>
      </c>
      <c r="H517" s="153" t="s">
        <v>257</v>
      </c>
      <c r="I517" s="153" t="s">
        <v>497</v>
      </c>
      <c r="J517" s="153" t="s">
        <v>497</v>
      </c>
      <c r="K517" s="153" t="s">
        <v>1431</v>
      </c>
      <c r="L517" s="153" t="s">
        <v>1377</v>
      </c>
      <c r="M517" s="153" t="s">
        <v>1432</v>
      </c>
      <c r="N517" s="192">
        <v>1992.0</v>
      </c>
      <c r="O517" s="230">
        <v>1990.0</v>
      </c>
      <c r="P517" s="230">
        <v>1994.0</v>
      </c>
      <c r="Q517" s="153" t="s">
        <v>151</v>
      </c>
      <c r="R517" s="153"/>
      <c r="S517" s="153"/>
      <c r="T517" s="153"/>
      <c r="U517" s="153" t="s">
        <v>1381</v>
      </c>
      <c r="V517" s="153"/>
      <c r="W517" s="153"/>
      <c r="X517" s="153"/>
      <c r="Y517" s="153"/>
      <c r="Z517" s="153"/>
      <c r="AA517" s="153"/>
      <c r="AB517" s="153" t="s">
        <v>660</v>
      </c>
      <c r="AC517" s="153" t="s">
        <v>6035</v>
      </c>
      <c r="AD517" s="153" t="s">
        <v>369</v>
      </c>
      <c r="AE517" s="153"/>
      <c r="AF517" s="153"/>
      <c r="AG517" s="153" t="s">
        <v>8004</v>
      </c>
      <c r="AH517" s="153" t="s">
        <v>6060</v>
      </c>
      <c r="AI517" s="153" t="s">
        <v>2873</v>
      </c>
      <c r="AJ517" s="153" t="s">
        <v>398</v>
      </c>
      <c r="AK517" s="153"/>
    </row>
    <row r="518">
      <c r="A518" s="152">
        <v>2023.0</v>
      </c>
      <c r="B518" s="151">
        <v>18.0</v>
      </c>
      <c r="C518" s="129" t="s">
        <v>140</v>
      </c>
      <c r="D518" s="8"/>
      <c r="E518" s="8" t="s">
        <v>8189</v>
      </c>
      <c r="F518" s="8" t="s">
        <v>8327</v>
      </c>
      <c r="G518" s="8">
        <f>IFERROR(__xludf.DUMMYFUNCTION("""COMPUTED_VALUE"""),38.0)</f>
        <v>38</v>
      </c>
      <c r="H518" s="8" t="s">
        <v>143</v>
      </c>
      <c r="I518" s="8" t="s">
        <v>404</v>
      </c>
      <c r="J518" s="8" t="s">
        <v>428</v>
      </c>
      <c r="K518" s="153" t="s">
        <v>429</v>
      </c>
      <c r="L518" s="8" t="s">
        <v>6113</v>
      </c>
      <c r="N518" s="142"/>
      <c r="O518" s="142" t="s">
        <v>6114</v>
      </c>
      <c r="P518" s="142" t="s">
        <v>6042</v>
      </c>
      <c r="Q518" s="8" t="s">
        <v>151</v>
      </c>
      <c r="U518" s="8" t="s">
        <v>390</v>
      </c>
      <c r="AB518" s="8" t="s">
        <v>390</v>
      </c>
    </row>
    <row r="519">
      <c r="A519" s="152">
        <v>2025.0</v>
      </c>
      <c r="B519" s="151">
        <v>18.0</v>
      </c>
      <c r="C519" s="153" t="s">
        <v>8189</v>
      </c>
      <c r="D519" s="153"/>
      <c r="E519" s="153" t="s">
        <v>8301</v>
      </c>
      <c r="F519" s="153" t="s">
        <v>6110</v>
      </c>
      <c r="G519" s="153">
        <f>IFERROR(__xludf.DUMMYFUNCTION("""COMPUTED_VALUE"""),39.0)</f>
        <v>39</v>
      </c>
      <c r="H519" s="153" t="s">
        <v>143</v>
      </c>
      <c r="I519" s="153" t="s">
        <v>404</v>
      </c>
      <c r="J519" s="158" t="s">
        <v>433</v>
      </c>
      <c r="K519" s="153" t="s">
        <v>434</v>
      </c>
      <c r="L519" s="153" t="s">
        <v>384</v>
      </c>
      <c r="M519" s="153" t="s">
        <v>435</v>
      </c>
      <c r="N519" s="175" t="s">
        <v>6051</v>
      </c>
      <c r="O519" s="175" t="s">
        <v>6052</v>
      </c>
      <c r="P519" s="175" t="s">
        <v>6053</v>
      </c>
      <c r="Q519" s="153" t="s">
        <v>151</v>
      </c>
      <c r="R519" s="153" t="s">
        <v>6054</v>
      </c>
      <c r="S519" s="158" t="s">
        <v>6054</v>
      </c>
      <c r="T519" s="158" t="s">
        <v>149</v>
      </c>
      <c r="U519" s="153" t="s">
        <v>390</v>
      </c>
      <c r="V519" s="158" t="s">
        <v>160</v>
      </c>
      <c r="W519" s="158" t="s">
        <v>6035</v>
      </c>
      <c r="X519" s="158" t="s">
        <v>159</v>
      </c>
      <c r="Y519" s="158" t="s">
        <v>149</v>
      </c>
      <c r="Z519" s="158" t="s">
        <v>149</v>
      </c>
      <c r="AA519" s="153" t="s">
        <v>436</v>
      </c>
      <c r="AB519" s="153" t="s">
        <v>390</v>
      </c>
      <c r="AC519" s="153" t="s">
        <v>6035</v>
      </c>
      <c r="AD519" s="153" t="s">
        <v>6055</v>
      </c>
      <c r="AE519" s="153"/>
      <c r="AF519" s="153" t="s">
        <v>6056</v>
      </c>
      <c r="AG519" s="158" t="s">
        <v>395</v>
      </c>
      <c r="AH519" s="153" t="s">
        <v>6060</v>
      </c>
      <c r="AI519" s="177" t="s">
        <v>397</v>
      </c>
      <c r="AJ519" s="153" t="s">
        <v>398</v>
      </c>
      <c r="AK519" s="153"/>
    </row>
    <row r="520">
      <c r="A520" s="152">
        <v>2024.0</v>
      </c>
      <c r="B520" s="151">
        <v>175.0</v>
      </c>
      <c r="C520" s="153"/>
      <c r="D520" s="153"/>
      <c r="E520" s="153" t="s">
        <v>8189</v>
      </c>
      <c r="F520" s="153" t="s">
        <v>8328</v>
      </c>
      <c r="G520" s="153">
        <f>IFERROR(__xludf.DUMMYFUNCTION("""COMPUTED_VALUE"""),40.0)</f>
        <v>40</v>
      </c>
      <c r="H520" s="153" t="s">
        <v>257</v>
      </c>
      <c r="I520" s="153" t="s">
        <v>497</v>
      </c>
      <c r="J520" s="153" t="s">
        <v>497</v>
      </c>
      <c r="K520" s="153" t="s">
        <v>1431</v>
      </c>
      <c r="L520" s="153" t="s">
        <v>1377</v>
      </c>
      <c r="M520" s="153" t="s">
        <v>1434</v>
      </c>
      <c r="N520" s="192">
        <v>1992.0</v>
      </c>
      <c r="O520" s="230">
        <v>1990.0</v>
      </c>
      <c r="P520" s="230">
        <v>1994.0</v>
      </c>
      <c r="Q520" s="153" t="s">
        <v>151</v>
      </c>
      <c r="R520" s="153"/>
      <c r="S520" s="153"/>
      <c r="T520" s="153"/>
      <c r="U520" s="153" t="s">
        <v>1381</v>
      </c>
      <c r="V520" s="153"/>
      <c r="W520" s="153"/>
      <c r="X520" s="153"/>
      <c r="Y520" s="153"/>
      <c r="Z520" s="153"/>
      <c r="AA520" s="153"/>
      <c r="AB520" s="153" t="s">
        <v>660</v>
      </c>
      <c r="AC520" s="153" t="s">
        <v>6035</v>
      </c>
      <c r="AD520" s="153" t="s">
        <v>369</v>
      </c>
      <c r="AE520" s="153"/>
      <c r="AF520" s="153"/>
      <c r="AG520" s="153" t="s">
        <v>8004</v>
      </c>
      <c r="AH520" s="153" t="s">
        <v>6060</v>
      </c>
      <c r="AI520" s="153" t="s">
        <v>2873</v>
      </c>
      <c r="AJ520" s="153" t="s">
        <v>398</v>
      </c>
      <c r="AK520" s="153"/>
    </row>
    <row r="521">
      <c r="A521" s="152">
        <v>2023.0</v>
      </c>
      <c r="B521" s="151">
        <v>19.0</v>
      </c>
      <c r="C521" s="129" t="s">
        <v>140</v>
      </c>
      <c r="D521" s="8"/>
      <c r="E521" s="8" t="s">
        <v>8189</v>
      </c>
      <c r="F521" s="8" t="s">
        <v>8329</v>
      </c>
      <c r="G521" s="8">
        <f>IFERROR(__xludf.DUMMYFUNCTION("""COMPUTED_VALUE"""),41.0)</f>
        <v>41</v>
      </c>
      <c r="H521" s="8" t="s">
        <v>143</v>
      </c>
      <c r="I521" s="8" t="s">
        <v>404</v>
      </c>
      <c r="J521" s="8" t="s">
        <v>8095</v>
      </c>
      <c r="K521" s="277" t="s">
        <v>434</v>
      </c>
      <c r="L521" s="8" t="s">
        <v>384</v>
      </c>
      <c r="M521" s="8" t="s">
        <v>435</v>
      </c>
      <c r="N521" s="142" t="s">
        <v>6051</v>
      </c>
      <c r="O521" s="142" t="s">
        <v>6052</v>
      </c>
      <c r="P521" s="142" t="s">
        <v>6053</v>
      </c>
      <c r="Q521" s="8" t="s">
        <v>151</v>
      </c>
      <c r="R521" s="8" t="s">
        <v>6054</v>
      </c>
      <c r="U521" s="8" t="s">
        <v>390</v>
      </c>
      <c r="AA521" s="8" t="s">
        <v>436</v>
      </c>
      <c r="AB521" s="8" t="s">
        <v>390</v>
      </c>
      <c r="AD521" s="8" t="s">
        <v>6055</v>
      </c>
      <c r="AF521" s="8" t="s">
        <v>6056</v>
      </c>
      <c r="AH521" s="8" t="s">
        <v>6057</v>
      </c>
      <c r="AI521" s="8" t="s">
        <v>2873</v>
      </c>
      <c r="AJ521" s="8" t="s">
        <v>398</v>
      </c>
    </row>
    <row r="522">
      <c r="A522" s="152">
        <v>2023.0</v>
      </c>
      <c r="B522" s="151">
        <v>235.0</v>
      </c>
      <c r="C522" s="129" t="s">
        <v>140</v>
      </c>
      <c r="D522" s="8"/>
      <c r="E522" s="8" t="s">
        <v>8189</v>
      </c>
      <c r="F522" s="8" t="s">
        <v>7020</v>
      </c>
      <c r="G522" s="8">
        <f>IFERROR(__xludf.DUMMYFUNCTION("""COMPUTED_VALUE"""),42.0)</f>
        <v>42</v>
      </c>
      <c r="H522" s="8" t="s">
        <v>314</v>
      </c>
      <c r="I522" s="8" t="s">
        <v>558</v>
      </c>
      <c r="J522" s="8" t="s">
        <v>1604</v>
      </c>
      <c r="K522" s="8" t="s">
        <v>1605</v>
      </c>
      <c r="L522" s="8" t="s">
        <v>6742</v>
      </c>
      <c r="N522" s="142" t="s">
        <v>6328</v>
      </c>
      <c r="O522" s="142"/>
      <c r="P522" s="142"/>
      <c r="Q522" s="8" t="s">
        <v>151</v>
      </c>
      <c r="T522" s="8" t="s">
        <v>793</v>
      </c>
      <c r="U522" s="8" t="s">
        <v>1594</v>
      </c>
      <c r="AB522" s="8" t="s">
        <v>369</v>
      </c>
      <c r="AF522" s="8" t="s">
        <v>1607</v>
      </c>
      <c r="AH522" s="8" t="s">
        <v>6970</v>
      </c>
      <c r="AI522" s="172" t="s">
        <v>1609</v>
      </c>
    </row>
    <row r="523">
      <c r="A523" s="152">
        <v>2024.0</v>
      </c>
      <c r="B523" s="151">
        <v>176.0</v>
      </c>
      <c r="C523" s="153"/>
      <c r="D523" s="153"/>
      <c r="E523" s="153" t="s">
        <v>8189</v>
      </c>
      <c r="F523" s="153" t="s">
        <v>8330</v>
      </c>
      <c r="G523" s="153">
        <f>IFERROR(__xludf.DUMMYFUNCTION("""COMPUTED_VALUE"""),43.0)</f>
        <v>43</v>
      </c>
      <c r="H523" s="153" t="s">
        <v>257</v>
      </c>
      <c r="I523" s="153" t="s">
        <v>497</v>
      </c>
      <c r="J523" s="153" t="s">
        <v>1436</v>
      </c>
      <c r="K523" s="153" t="s">
        <v>1437</v>
      </c>
      <c r="L523" s="153" t="s">
        <v>1377</v>
      </c>
      <c r="M523" s="153"/>
      <c r="N523" s="192">
        <v>1992.0</v>
      </c>
      <c r="O523" s="230">
        <v>1990.0</v>
      </c>
      <c r="P523" s="230">
        <v>1994.0</v>
      </c>
      <c r="Q523" s="153" t="s">
        <v>151</v>
      </c>
      <c r="R523" s="153"/>
      <c r="S523" s="153"/>
      <c r="T523" s="153"/>
      <c r="U523" s="153" t="s">
        <v>1381</v>
      </c>
      <c r="V523" s="153"/>
      <c r="W523" s="153"/>
      <c r="X523" s="153"/>
      <c r="Y523" s="153"/>
      <c r="Z523" s="153"/>
      <c r="AA523" s="153"/>
      <c r="AB523" s="153" t="s">
        <v>660</v>
      </c>
      <c r="AC523" s="153" t="s">
        <v>6035</v>
      </c>
      <c r="AD523" s="153" t="s">
        <v>369</v>
      </c>
      <c r="AE523" s="153"/>
      <c r="AF523" s="153"/>
      <c r="AG523" s="153" t="s">
        <v>8004</v>
      </c>
      <c r="AH523" s="153" t="s">
        <v>6060</v>
      </c>
      <c r="AI523" s="153" t="s">
        <v>2873</v>
      </c>
      <c r="AJ523" s="153" t="s">
        <v>398</v>
      </c>
      <c r="AK523" s="153"/>
    </row>
    <row r="524">
      <c r="A524" s="152">
        <v>2023.0</v>
      </c>
      <c r="B524" s="151">
        <v>236.0</v>
      </c>
      <c r="C524" s="129" t="s">
        <v>140</v>
      </c>
      <c r="D524" s="8"/>
      <c r="E524" s="8" t="s">
        <v>8189</v>
      </c>
      <c r="F524" s="8" t="s">
        <v>7022</v>
      </c>
      <c r="G524" s="8">
        <f>IFERROR(__xludf.DUMMYFUNCTION("""COMPUTED_VALUE"""),44.0)</f>
        <v>44</v>
      </c>
      <c r="H524" s="8" t="s">
        <v>314</v>
      </c>
      <c r="I524" s="8" t="s">
        <v>558</v>
      </c>
      <c r="J524" s="8" t="s">
        <v>1604</v>
      </c>
      <c r="K524" s="8" t="s">
        <v>1605</v>
      </c>
      <c r="L524" s="8" t="s">
        <v>6113</v>
      </c>
      <c r="M524" s="8" t="s">
        <v>2331</v>
      </c>
      <c r="N524" s="142" t="s">
        <v>6063</v>
      </c>
      <c r="O524" s="142"/>
      <c r="P524" s="142"/>
      <c r="Q524" s="8" t="s">
        <v>6624</v>
      </c>
      <c r="R524" s="8" t="s">
        <v>730</v>
      </c>
      <c r="T524" s="8" t="s">
        <v>1923</v>
      </c>
      <c r="U524" s="8" t="s">
        <v>2332</v>
      </c>
      <c r="AB524" s="8" t="s">
        <v>2332</v>
      </c>
      <c r="AD524" s="8" t="s">
        <v>7023</v>
      </c>
      <c r="AH524" s="8" t="s">
        <v>6084</v>
      </c>
      <c r="AI524" s="172" t="s">
        <v>2336</v>
      </c>
    </row>
    <row r="525">
      <c r="A525" s="152">
        <v>2023.0</v>
      </c>
      <c r="B525" s="151">
        <v>237.0</v>
      </c>
      <c r="C525" s="129" t="s">
        <v>140</v>
      </c>
      <c r="D525" s="8"/>
      <c r="E525" s="8" t="s">
        <v>8189</v>
      </c>
      <c r="F525" s="8" t="s">
        <v>7024</v>
      </c>
      <c r="G525" s="8">
        <f>IFERROR(__xludf.DUMMYFUNCTION("""COMPUTED_VALUE"""),45.0)</f>
        <v>45</v>
      </c>
      <c r="H525" s="8" t="s">
        <v>314</v>
      </c>
      <c r="I525" s="8" t="s">
        <v>558</v>
      </c>
      <c r="J525" s="8" t="s">
        <v>1604</v>
      </c>
      <c r="K525" s="8" t="s">
        <v>1605</v>
      </c>
      <c r="L525" s="8" t="s">
        <v>6113</v>
      </c>
      <c r="N525" s="142" t="s">
        <v>6339</v>
      </c>
      <c r="O525" s="142"/>
      <c r="P525" s="142"/>
      <c r="Q525" s="8" t="s">
        <v>151</v>
      </c>
      <c r="T525" s="8" t="s">
        <v>793</v>
      </c>
      <c r="U525" s="8" t="s">
        <v>158</v>
      </c>
      <c r="AB525" s="8" t="s">
        <v>158</v>
      </c>
      <c r="AH525" s="8" t="s">
        <v>1159</v>
      </c>
      <c r="AI525" s="172" t="s">
        <v>2676</v>
      </c>
    </row>
    <row r="526">
      <c r="A526" s="152">
        <v>2024.0</v>
      </c>
      <c r="B526" s="151">
        <v>177.0</v>
      </c>
      <c r="C526" s="153"/>
      <c r="D526" s="153"/>
      <c r="E526" s="153" t="s">
        <v>8189</v>
      </c>
      <c r="F526" s="153" t="s">
        <v>8331</v>
      </c>
      <c r="G526" s="153">
        <f>IFERROR(__xludf.DUMMYFUNCTION("""COMPUTED_VALUE"""),46.0)</f>
        <v>46</v>
      </c>
      <c r="H526" s="153" t="s">
        <v>257</v>
      </c>
      <c r="I526" s="153" t="s">
        <v>497</v>
      </c>
      <c r="J526" s="153" t="s">
        <v>1439</v>
      </c>
      <c r="K526" s="153" t="s">
        <v>1440</v>
      </c>
      <c r="L526" s="153" t="s">
        <v>1377</v>
      </c>
      <c r="M526" s="153"/>
      <c r="N526" s="192">
        <v>1992.0</v>
      </c>
      <c r="O526" s="230">
        <v>1990.0</v>
      </c>
      <c r="P526" s="230">
        <v>1994.0</v>
      </c>
      <c r="Q526" s="153" t="s">
        <v>151</v>
      </c>
      <c r="R526" s="153"/>
      <c r="S526" s="153"/>
      <c r="T526" s="153"/>
      <c r="U526" s="153" t="s">
        <v>1381</v>
      </c>
      <c r="V526" s="153"/>
      <c r="W526" s="153"/>
      <c r="X526" s="153"/>
      <c r="Y526" s="153"/>
      <c r="Z526" s="153"/>
      <c r="AA526" s="153"/>
      <c r="AB526" s="153" t="s">
        <v>660</v>
      </c>
      <c r="AC526" s="153" t="s">
        <v>6035</v>
      </c>
      <c r="AD526" s="153" t="s">
        <v>369</v>
      </c>
      <c r="AE526" s="153"/>
      <c r="AF526" s="153"/>
      <c r="AG526" s="153" t="s">
        <v>8004</v>
      </c>
      <c r="AH526" s="153" t="s">
        <v>6060</v>
      </c>
      <c r="AI526" s="153" t="s">
        <v>2873</v>
      </c>
      <c r="AJ526" s="153" t="s">
        <v>398</v>
      </c>
      <c r="AK526" s="153"/>
    </row>
    <row r="527">
      <c r="A527" s="152">
        <v>2023.0</v>
      </c>
      <c r="B527" s="151">
        <v>238.0</v>
      </c>
      <c r="C527" s="129" t="s">
        <v>140</v>
      </c>
      <c r="D527" s="8"/>
      <c r="E527" s="8" t="s">
        <v>8189</v>
      </c>
      <c r="F527" s="8" t="s">
        <v>8332</v>
      </c>
      <c r="G527" s="8">
        <f>IFERROR(__xludf.DUMMYFUNCTION("""COMPUTED_VALUE"""),47.0)</f>
        <v>47</v>
      </c>
      <c r="H527" s="8" t="s">
        <v>314</v>
      </c>
      <c r="I527" s="8" t="s">
        <v>558</v>
      </c>
      <c r="J527" s="8" t="s">
        <v>1616</v>
      </c>
      <c r="K527" s="8" t="s">
        <v>1617</v>
      </c>
      <c r="L527" s="8" t="s">
        <v>6742</v>
      </c>
      <c r="N527" s="142" t="s">
        <v>6113</v>
      </c>
      <c r="O527" s="142"/>
      <c r="P527" s="142"/>
      <c r="Q527" s="8" t="s">
        <v>151</v>
      </c>
      <c r="U527" s="8" t="s">
        <v>1594</v>
      </c>
      <c r="AB527" s="8" t="s">
        <v>369</v>
      </c>
      <c r="AH527" s="8" t="s">
        <v>6084</v>
      </c>
      <c r="AI527" s="172" t="s">
        <v>1620</v>
      </c>
    </row>
    <row r="528">
      <c r="A528" s="152">
        <v>2024.0</v>
      </c>
      <c r="B528" s="151">
        <v>178.0</v>
      </c>
      <c r="C528" s="153"/>
      <c r="D528" s="153"/>
      <c r="E528" s="153" t="s">
        <v>8189</v>
      </c>
      <c r="F528" s="153" t="s">
        <v>8333</v>
      </c>
      <c r="G528" s="153">
        <f>IFERROR(__xludf.DUMMYFUNCTION("""COMPUTED_VALUE"""),48.0)</f>
        <v>48</v>
      </c>
      <c r="H528" s="153" t="s">
        <v>522</v>
      </c>
      <c r="I528" s="153" t="s">
        <v>802</v>
      </c>
      <c r="J528" s="153" t="s">
        <v>1172</v>
      </c>
      <c r="K528" s="153" t="s">
        <v>1173</v>
      </c>
      <c r="L528" s="153" t="s">
        <v>6113</v>
      </c>
      <c r="M528" s="153"/>
      <c r="N528" s="230">
        <v>2021.0</v>
      </c>
      <c r="O528" s="230"/>
      <c r="P528" s="230"/>
      <c r="Q528" s="153" t="s">
        <v>6062</v>
      </c>
      <c r="R528" s="153" t="s">
        <v>320</v>
      </c>
      <c r="S528" s="153"/>
      <c r="T528" s="153"/>
      <c r="U528" s="153"/>
      <c r="V528" s="153"/>
      <c r="W528" s="153"/>
      <c r="X528" s="153"/>
      <c r="Y528" s="153"/>
      <c r="Z528" s="153"/>
      <c r="AA528" s="153"/>
      <c r="AB528" s="153" t="s">
        <v>369</v>
      </c>
      <c r="AC528" s="153" t="s">
        <v>6035</v>
      </c>
      <c r="AD528" s="153" t="s">
        <v>6793</v>
      </c>
      <c r="AE528" s="153"/>
      <c r="AF528" s="153"/>
      <c r="AG528" s="153" t="s">
        <v>8006</v>
      </c>
      <c r="AH528" s="153" t="s">
        <v>1184</v>
      </c>
      <c r="AI528" s="165" t="s">
        <v>1185</v>
      </c>
      <c r="AJ528" s="153"/>
      <c r="AK528" s="153"/>
    </row>
    <row r="529">
      <c r="A529" s="152">
        <v>2023.0</v>
      </c>
      <c r="B529" s="151">
        <v>239.0</v>
      </c>
      <c r="C529" s="129" t="s">
        <v>140</v>
      </c>
      <c r="D529" s="8"/>
      <c r="E529" s="8" t="s">
        <v>8189</v>
      </c>
      <c r="F529" s="8" t="s">
        <v>8334</v>
      </c>
      <c r="G529" s="8">
        <f>IFERROR(__xludf.DUMMYFUNCTION("""COMPUTED_VALUE"""),49.0)</f>
        <v>49</v>
      </c>
      <c r="H529" s="8" t="s">
        <v>314</v>
      </c>
      <c r="I529" s="8" t="s">
        <v>558</v>
      </c>
      <c r="J529" s="8" t="s">
        <v>3137</v>
      </c>
      <c r="K529" s="8" t="s">
        <v>3138</v>
      </c>
      <c r="L529" s="8" t="s">
        <v>6113</v>
      </c>
      <c r="M529" s="8" t="s">
        <v>7031</v>
      </c>
      <c r="N529" s="142" t="s">
        <v>6113</v>
      </c>
      <c r="O529" s="142"/>
      <c r="P529" s="142"/>
      <c r="Q529" s="8" t="s">
        <v>151</v>
      </c>
      <c r="AH529" s="8" t="s">
        <v>6257</v>
      </c>
      <c r="AI529" s="172" t="s">
        <v>3141</v>
      </c>
    </row>
    <row r="530">
      <c r="A530" s="152">
        <v>2024.0</v>
      </c>
      <c r="B530" s="151">
        <v>179.0</v>
      </c>
      <c r="C530" s="153"/>
      <c r="D530" s="153"/>
      <c r="E530" s="153" t="s">
        <v>8189</v>
      </c>
      <c r="F530" s="153" t="s">
        <v>8335</v>
      </c>
      <c r="G530" s="153">
        <f>IFERROR(__xludf.DUMMYFUNCTION("""COMPUTED_VALUE"""),50.0)</f>
        <v>50</v>
      </c>
      <c r="H530" s="153" t="s">
        <v>522</v>
      </c>
      <c r="I530" s="153" t="s">
        <v>802</v>
      </c>
      <c r="J530" s="153" t="s">
        <v>1187</v>
      </c>
      <c r="K530" s="153" t="s">
        <v>1188</v>
      </c>
      <c r="L530" s="153" t="s">
        <v>6113</v>
      </c>
      <c r="M530" s="153"/>
      <c r="N530" s="230">
        <v>2021.0</v>
      </c>
      <c r="O530" s="230"/>
      <c r="P530" s="230"/>
      <c r="Q530" s="153" t="s">
        <v>6062</v>
      </c>
      <c r="R530" s="153" t="s">
        <v>320</v>
      </c>
      <c r="S530" s="153"/>
      <c r="T530" s="153"/>
      <c r="U530" s="153"/>
      <c r="V530" s="153"/>
      <c r="W530" s="153"/>
      <c r="X530" s="153"/>
      <c r="Y530" s="153"/>
      <c r="Z530" s="153"/>
      <c r="AA530" s="153"/>
      <c r="AB530" s="153" t="s">
        <v>369</v>
      </c>
      <c r="AC530" s="153" t="s">
        <v>6035</v>
      </c>
      <c r="AD530" s="153" t="s">
        <v>6793</v>
      </c>
      <c r="AE530" s="153"/>
      <c r="AF530" s="153"/>
      <c r="AG530" s="153" t="s">
        <v>8006</v>
      </c>
      <c r="AH530" s="153" t="s">
        <v>1184</v>
      </c>
      <c r="AI530" s="153" t="s">
        <v>1185</v>
      </c>
      <c r="AJ530" s="153"/>
      <c r="AK530" s="153"/>
    </row>
    <row r="531">
      <c r="A531" s="152">
        <v>2023.0</v>
      </c>
      <c r="B531" s="151">
        <v>240.0</v>
      </c>
      <c r="C531" s="129" t="s">
        <v>140</v>
      </c>
      <c r="D531" s="8"/>
      <c r="E531" s="8" t="s">
        <v>8189</v>
      </c>
      <c r="F531" s="8" t="s">
        <v>7033</v>
      </c>
      <c r="G531" s="8">
        <f>IFERROR(__xludf.DUMMYFUNCTION("""COMPUTED_VALUE"""),51.0)</f>
        <v>51</v>
      </c>
      <c r="H531" s="8" t="s">
        <v>314</v>
      </c>
      <c r="I531" s="8" t="s">
        <v>558</v>
      </c>
      <c r="J531" s="8" t="s">
        <v>786</v>
      </c>
      <c r="K531" s="8" t="s">
        <v>787</v>
      </c>
      <c r="L531" s="8" t="s">
        <v>788</v>
      </c>
      <c r="N531" s="142" t="s">
        <v>6268</v>
      </c>
      <c r="O531" s="142"/>
      <c r="P531" s="142"/>
      <c r="Q531" s="8" t="s">
        <v>151</v>
      </c>
      <c r="T531" s="8" t="s">
        <v>793</v>
      </c>
      <c r="U531" s="8" t="s">
        <v>794</v>
      </c>
      <c r="AB531" s="8" t="s">
        <v>796</v>
      </c>
      <c r="AF531" s="8" t="s">
        <v>797</v>
      </c>
      <c r="AH531" s="8" t="s">
        <v>7034</v>
      </c>
      <c r="AI531" s="8" t="s">
        <v>799</v>
      </c>
      <c r="AK531" s="8" t="s">
        <v>800</v>
      </c>
    </row>
    <row r="532">
      <c r="A532" s="152">
        <v>2023.0</v>
      </c>
      <c r="B532" s="151">
        <v>241.0</v>
      </c>
      <c r="C532" s="129" t="s">
        <v>140</v>
      </c>
      <c r="D532" s="8"/>
      <c r="E532" s="8" t="s">
        <v>8189</v>
      </c>
      <c r="F532" s="8" t="s">
        <v>7038</v>
      </c>
      <c r="G532" s="8">
        <f>IFERROR(__xludf.DUMMYFUNCTION("""COMPUTED_VALUE"""),52.0)</f>
        <v>52</v>
      </c>
      <c r="H532" s="8" t="s">
        <v>314</v>
      </c>
      <c r="I532" s="8" t="s">
        <v>558</v>
      </c>
      <c r="J532" s="8" t="s">
        <v>786</v>
      </c>
      <c r="K532" s="8" t="s">
        <v>787</v>
      </c>
      <c r="L532" s="8" t="s">
        <v>6113</v>
      </c>
      <c r="M532" s="8" t="s">
        <v>2331</v>
      </c>
      <c r="N532" s="142" t="s">
        <v>6063</v>
      </c>
      <c r="O532" s="142"/>
      <c r="P532" s="142"/>
      <c r="Q532" s="8" t="s">
        <v>6624</v>
      </c>
      <c r="R532" s="8" t="s">
        <v>730</v>
      </c>
      <c r="T532" s="8" t="s">
        <v>1923</v>
      </c>
      <c r="U532" s="8" t="s">
        <v>2332</v>
      </c>
      <c r="AB532" s="8" t="s">
        <v>2332</v>
      </c>
      <c r="AD532" s="8" t="s">
        <v>2339</v>
      </c>
      <c r="AH532" s="8" t="s">
        <v>6084</v>
      </c>
      <c r="AI532" s="8" t="s">
        <v>2336</v>
      </c>
    </row>
    <row r="533">
      <c r="A533" s="152">
        <v>2024.0</v>
      </c>
      <c r="B533" s="151">
        <v>180.0</v>
      </c>
      <c r="C533" s="153"/>
      <c r="D533" s="153"/>
      <c r="E533" s="153" t="s">
        <v>8189</v>
      </c>
      <c r="F533" s="153" t="s">
        <v>8336</v>
      </c>
      <c r="G533" s="153">
        <f>IFERROR(__xludf.DUMMYFUNCTION("""COMPUTED_VALUE"""),53.0)</f>
        <v>53</v>
      </c>
      <c r="H533" s="173" t="s">
        <v>522</v>
      </c>
      <c r="I533" s="173" t="s">
        <v>802</v>
      </c>
      <c r="J533" s="173" t="s">
        <v>6771</v>
      </c>
      <c r="K533" s="173" t="s">
        <v>803</v>
      </c>
      <c r="L533" s="173" t="s">
        <v>2107</v>
      </c>
      <c r="M533" s="173"/>
      <c r="N533" s="276" t="s">
        <v>6113</v>
      </c>
      <c r="O533" s="276"/>
      <c r="P533" s="276"/>
      <c r="Q533" s="173" t="s">
        <v>151</v>
      </c>
      <c r="R533" s="173" t="s">
        <v>152</v>
      </c>
      <c r="S533" s="173"/>
      <c r="T533" s="173" t="s">
        <v>6506</v>
      </c>
      <c r="U533" s="173"/>
      <c r="V533" s="173"/>
      <c r="W533" s="173"/>
      <c r="X533" s="173"/>
      <c r="Y533" s="173"/>
      <c r="Z533" s="173"/>
      <c r="AA533" s="173"/>
      <c r="AB533" s="173" t="s">
        <v>2111</v>
      </c>
      <c r="AC533" s="202" t="s">
        <v>8033</v>
      </c>
      <c r="AD533" s="173" t="s">
        <v>660</v>
      </c>
      <c r="AE533" s="173" t="s">
        <v>2112</v>
      </c>
      <c r="AF533" s="173"/>
      <c r="AG533" s="173" t="s">
        <v>8004</v>
      </c>
      <c r="AH533" s="173" t="s">
        <v>6060</v>
      </c>
      <c r="AI533" s="173" t="s">
        <v>2873</v>
      </c>
      <c r="AJ533" s="173" t="s">
        <v>398</v>
      </c>
      <c r="AK533" s="173"/>
    </row>
    <row r="534">
      <c r="A534" s="152">
        <v>2023.0</v>
      </c>
      <c r="B534" s="151">
        <v>242.0</v>
      </c>
      <c r="C534" s="129" t="s">
        <v>140</v>
      </c>
      <c r="D534" s="8"/>
      <c r="E534" s="8" t="s">
        <v>8189</v>
      </c>
      <c r="F534" s="8" t="s">
        <v>7041</v>
      </c>
      <c r="G534" s="8">
        <f>IFERROR(__xludf.DUMMYFUNCTION("""COMPUTED_VALUE"""),54.0)</f>
        <v>54</v>
      </c>
      <c r="H534" s="208" t="s">
        <v>314</v>
      </c>
      <c r="I534" s="208" t="s">
        <v>558</v>
      </c>
      <c r="J534" s="208" t="s">
        <v>2066</v>
      </c>
      <c r="K534" s="208" t="s">
        <v>2067</v>
      </c>
      <c r="L534" s="208" t="s">
        <v>6113</v>
      </c>
      <c r="M534" s="208" t="s">
        <v>2331</v>
      </c>
      <c r="N534" s="174" t="s">
        <v>6063</v>
      </c>
      <c r="O534" s="174"/>
      <c r="P534" s="174"/>
      <c r="Q534" s="208" t="s">
        <v>6624</v>
      </c>
      <c r="R534" s="208" t="s">
        <v>730</v>
      </c>
      <c r="S534" s="208"/>
      <c r="T534" s="208" t="s">
        <v>1923</v>
      </c>
      <c r="U534" s="208" t="s">
        <v>2332</v>
      </c>
      <c r="V534" s="208"/>
      <c r="W534" s="208"/>
      <c r="X534" s="208"/>
      <c r="Y534" s="208"/>
      <c r="Z534" s="208"/>
      <c r="AA534" s="208"/>
      <c r="AB534" s="208" t="s">
        <v>2332</v>
      </c>
      <c r="AC534" s="208"/>
      <c r="AD534" s="208" t="s">
        <v>2339</v>
      </c>
      <c r="AE534" s="208"/>
      <c r="AF534" s="208"/>
      <c r="AG534" s="208"/>
      <c r="AH534" s="208" t="s">
        <v>6084</v>
      </c>
      <c r="AI534" s="211" t="s">
        <v>2336</v>
      </c>
      <c r="AJ534" s="208"/>
      <c r="AK534" s="208"/>
    </row>
    <row r="535">
      <c r="A535" s="152">
        <v>2023.0</v>
      </c>
      <c r="B535" s="151">
        <v>243.0</v>
      </c>
      <c r="C535" s="129" t="s">
        <v>140</v>
      </c>
      <c r="D535" s="8"/>
      <c r="E535" s="8" t="s">
        <v>8189</v>
      </c>
      <c r="F535" s="8" t="s">
        <v>8337</v>
      </c>
      <c r="G535" s="8">
        <f>IFERROR(__xludf.DUMMYFUNCTION("""COMPUTED_VALUE"""),55.0)</f>
        <v>55</v>
      </c>
      <c r="H535" s="8" t="s">
        <v>314</v>
      </c>
      <c r="I535" s="8" t="s">
        <v>558</v>
      </c>
      <c r="J535" s="8" t="s">
        <v>3143</v>
      </c>
      <c r="K535" s="8" t="s">
        <v>3144</v>
      </c>
      <c r="L535" s="8" t="s">
        <v>6113</v>
      </c>
      <c r="M535" s="8" t="s">
        <v>8147</v>
      </c>
      <c r="N535" s="142" t="s">
        <v>6113</v>
      </c>
      <c r="O535" s="142"/>
      <c r="P535" s="142"/>
      <c r="Q535" s="8" t="s">
        <v>151</v>
      </c>
      <c r="AH535" s="8" t="s">
        <v>6027</v>
      </c>
      <c r="AI535" s="8" t="s">
        <v>2105</v>
      </c>
    </row>
    <row r="536">
      <c r="A536" s="152">
        <v>2024.0</v>
      </c>
      <c r="B536" s="151">
        <v>181.0</v>
      </c>
      <c r="C536" s="153"/>
      <c r="D536" s="153"/>
      <c r="E536" s="153" t="s">
        <v>8189</v>
      </c>
      <c r="F536" s="153" t="s">
        <v>8338</v>
      </c>
      <c r="G536" s="153">
        <f>IFERROR(__xludf.DUMMYFUNCTION("""COMPUTED_VALUE"""),56.0)</f>
        <v>56</v>
      </c>
      <c r="H536" s="153" t="s">
        <v>522</v>
      </c>
      <c r="I536" s="153" t="s">
        <v>802</v>
      </c>
      <c r="J536" s="153" t="s">
        <v>6771</v>
      </c>
      <c r="K536" s="153" t="s">
        <v>803</v>
      </c>
      <c r="L536" s="153" t="s">
        <v>804</v>
      </c>
      <c r="M536" s="153" t="s">
        <v>6808</v>
      </c>
      <c r="N536" s="230" t="s">
        <v>6113</v>
      </c>
      <c r="O536" s="230">
        <v>1989.0</v>
      </c>
      <c r="P536" s="230">
        <v>1994.0</v>
      </c>
      <c r="Q536" s="153" t="s">
        <v>151</v>
      </c>
      <c r="R536" s="153" t="s">
        <v>6779</v>
      </c>
      <c r="S536" s="153"/>
      <c r="T536" s="153" t="s">
        <v>6809</v>
      </c>
      <c r="U536" s="153" t="s">
        <v>6810</v>
      </c>
      <c r="V536" s="153"/>
      <c r="W536" s="153"/>
      <c r="X536" s="153"/>
      <c r="Y536" s="153"/>
      <c r="Z536" s="153"/>
      <c r="AA536" s="153" t="s">
        <v>6780</v>
      </c>
      <c r="AB536" s="153" t="s">
        <v>341</v>
      </c>
      <c r="AC536" s="153" t="s">
        <v>6035</v>
      </c>
      <c r="AD536" s="153"/>
      <c r="AE536" s="153"/>
      <c r="AF536" s="153"/>
      <c r="AG536" s="153" t="s">
        <v>8004</v>
      </c>
      <c r="AH536" s="153" t="s">
        <v>6060</v>
      </c>
      <c r="AI536" s="153" t="s">
        <v>2873</v>
      </c>
      <c r="AJ536" s="153" t="s">
        <v>398</v>
      </c>
      <c r="AK536" s="153"/>
    </row>
    <row r="537">
      <c r="A537" s="152">
        <v>2023.0</v>
      </c>
      <c r="B537" s="151">
        <v>244.0</v>
      </c>
      <c r="C537" s="129" t="s">
        <v>140</v>
      </c>
      <c r="D537" s="8"/>
      <c r="E537" s="8" t="s">
        <v>8189</v>
      </c>
      <c r="F537" s="8" t="s">
        <v>7045</v>
      </c>
      <c r="G537" s="8">
        <f>IFERROR(__xludf.DUMMYFUNCTION("""COMPUTED_VALUE"""),57.0)</f>
        <v>57</v>
      </c>
      <c r="H537" s="8" t="s">
        <v>314</v>
      </c>
      <c r="I537" s="8" t="s">
        <v>558</v>
      </c>
      <c r="J537" s="8" t="s">
        <v>559</v>
      </c>
      <c r="K537" s="277" t="s">
        <v>560</v>
      </c>
      <c r="L537" s="8" t="s">
        <v>384</v>
      </c>
      <c r="M537" s="8" t="s">
        <v>561</v>
      </c>
      <c r="N537" s="142" t="s">
        <v>6052</v>
      </c>
      <c r="O537" s="142" t="s">
        <v>6052</v>
      </c>
      <c r="P537" s="142" t="s">
        <v>6053</v>
      </c>
      <c r="Q537" s="8" t="s">
        <v>151</v>
      </c>
      <c r="R537" s="8" t="s">
        <v>6054</v>
      </c>
      <c r="U537" s="8" t="s">
        <v>390</v>
      </c>
      <c r="AB537" s="8" t="s">
        <v>390</v>
      </c>
      <c r="AD537" s="8" t="s">
        <v>6055</v>
      </c>
      <c r="AH537" s="8" t="s">
        <v>6057</v>
      </c>
      <c r="AI537" s="8" t="s">
        <v>2873</v>
      </c>
      <c r="AJ537" s="8" t="s">
        <v>398</v>
      </c>
    </row>
    <row r="538">
      <c r="A538" s="152">
        <v>2023.0</v>
      </c>
      <c r="B538" s="151">
        <v>245.0</v>
      </c>
      <c r="C538" s="129" t="s">
        <v>140</v>
      </c>
      <c r="D538" s="8"/>
      <c r="E538" s="8" t="s">
        <v>8189</v>
      </c>
      <c r="F538" s="8" t="s">
        <v>7050</v>
      </c>
      <c r="G538" s="8">
        <f>IFERROR(__xludf.DUMMYFUNCTION("""COMPUTED_VALUE"""),58.0)</f>
        <v>58</v>
      </c>
      <c r="H538" s="8" t="s">
        <v>314</v>
      </c>
      <c r="I538" s="8" t="s">
        <v>558</v>
      </c>
      <c r="J538" s="8" t="s">
        <v>2553</v>
      </c>
      <c r="K538" s="8" t="s">
        <v>2554</v>
      </c>
      <c r="L538" s="8" t="s">
        <v>6113</v>
      </c>
      <c r="N538" s="142" t="s">
        <v>6089</v>
      </c>
      <c r="O538" s="142"/>
      <c r="P538" s="142"/>
      <c r="Q538" s="8" t="s">
        <v>151</v>
      </c>
      <c r="T538" s="8" t="s">
        <v>7051</v>
      </c>
      <c r="AD538" s="8" t="s">
        <v>2557</v>
      </c>
      <c r="AH538" s="8" t="s">
        <v>7034</v>
      </c>
      <c r="AI538" s="8" t="s">
        <v>2559</v>
      </c>
    </row>
    <row r="539">
      <c r="A539" s="152">
        <v>2024.0</v>
      </c>
      <c r="B539" s="151">
        <v>182.0</v>
      </c>
      <c r="C539" s="153"/>
      <c r="D539" s="153"/>
      <c r="E539" s="153" t="s">
        <v>8189</v>
      </c>
      <c r="F539" s="153" t="s">
        <v>8339</v>
      </c>
      <c r="G539" s="153">
        <f>IFERROR(__xludf.DUMMYFUNCTION("""COMPUTED_VALUE"""),59.0)</f>
        <v>59</v>
      </c>
      <c r="H539" s="153" t="s">
        <v>522</v>
      </c>
      <c r="I539" s="153" t="s">
        <v>2618</v>
      </c>
      <c r="J539" s="153" t="s">
        <v>2619</v>
      </c>
      <c r="K539" s="153" t="s">
        <v>2620</v>
      </c>
      <c r="L539" s="158" t="s">
        <v>149</v>
      </c>
      <c r="M539" s="153"/>
      <c r="N539" s="230" t="s">
        <v>6113</v>
      </c>
      <c r="O539" s="230"/>
      <c r="P539" s="230"/>
      <c r="Q539" s="153" t="s">
        <v>6062</v>
      </c>
      <c r="R539" s="153" t="s">
        <v>2622</v>
      </c>
      <c r="S539" s="153"/>
      <c r="T539" s="153" t="s">
        <v>6812</v>
      </c>
      <c r="U539" s="153" t="s">
        <v>2624</v>
      </c>
      <c r="V539" s="153"/>
      <c r="W539" s="153"/>
      <c r="X539" s="153"/>
      <c r="Y539" s="153"/>
      <c r="Z539" s="153"/>
      <c r="AA539" s="153"/>
      <c r="AB539" s="153" t="s">
        <v>2624</v>
      </c>
      <c r="AC539" s="153" t="s">
        <v>8005</v>
      </c>
      <c r="AD539" s="153"/>
      <c r="AE539" s="153"/>
      <c r="AF539" s="153"/>
      <c r="AG539" s="153" t="s">
        <v>7902</v>
      </c>
      <c r="AH539" s="153" t="s">
        <v>2626</v>
      </c>
      <c r="AI539" s="165" t="s">
        <v>2627</v>
      </c>
      <c r="AJ539" s="153"/>
      <c r="AK539" s="153"/>
    </row>
    <row r="540">
      <c r="A540" s="152">
        <v>2023.0</v>
      </c>
      <c r="B540" s="151">
        <v>246.0</v>
      </c>
      <c r="C540" s="129" t="s">
        <v>140</v>
      </c>
      <c r="D540" s="8"/>
      <c r="E540" s="8" t="s">
        <v>8189</v>
      </c>
      <c r="F540" s="8" t="s">
        <v>7053</v>
      </c>
      <c r="G540" s="8">
        <f>IFERROR(__xludf.DUMMYFUNCTION("""COMPUTED_VALUE"""),60.0)</f>
        <v>60</v>
      </c>
      <c r="H540" s="8" t="s">
        <v>314</v>
      </c>
      <c r="I540" s="8" t="s">
        <v>558</v>
      </c>
      <c r="J540" s="8" t="s">
        <v>959</v>
      </c>
      <c r="K540" s="8" t="s">
        <v>960</v>
      </c>
      <c r="L540" s="8" t="s">
        <v>6113</v>
      </c>
      <c r="N540" s="142" t="s">
        <v>6268</v>
      </c>
      <c r="O540" s="142"/>
      <c r="P540" s="142"/>
      <c r="Q540" s="8" t="s">
        <v>151</v>
      </c>
      <c r="T540" s="8" t="s">
        <v>2668</v>
      </c>
      <c r="AB540" s="8" t="s">
        <v>1974</v>
      </c>
      <c r="AH540" s="8" t="s">
        <v>6214</v>
      </c>
      <c r="AI540" s="172" t="s">
        <v>2670</v>
      </c>
      <c r="AJ540" s="8" t="s">
        <v>2671</v>
      </c>
      <c r="AK540" s="172" t="s">
        <v>2672</v>
      </c>
    </row>
    <row r="541">
      <c r="A541" s="152">
        <v>2025.0</v>
      </c>
      <c r="B541" s="151">
        <v>246.0</v>
      </c>
      <c r="C541" s="153" t="s">
        <v>8189</v>
      </c>
      <c r="D541" s="153"/>
      <c r="E541" s="153" t="s">
        <v>8301</v>
      </c>
      <c r="F541" s="153" t="s">
        <v>7052</v>
      </c>
      <c r="G541" s="153">
        <f>IFERROR(__xludf.DUMMYFUNCTION("""COMPUTED_VALUE"""),61.0)</f>
        <v>61</v>
      </c>
      <c r="H541" s="153" t="s">
        <v>314</v>
      </c>
      <c r="I541" s="153" t="s">
        <v>558</v>
      </c>
      <c r="J541" s="153" t="s">
        <v>1604</v>
      </c>
      <c r="K541" s="153" t="s">
        <v>1605</v>
      </c>
      <c r="L541" s="153" t="s">
        <v>6742</v>
      </c>
      <c r="M541" s="153"/>
      <c r="N541" s="175" t="s">
        <v>6328</v>
      </c>
      <c r="O541" s="160" t="s">
        <v>149</v>
      </c>
      <c r="P541" s="160" t="s">
        <v>149</v>
      </c>
      <c r="Q541" s="153" t="s">
        <v>151</v>
      </c>
      <c r="R541" s="158" t="s">
        <v>149</v>
      </c>
      <c r="S541" s="158" t="s">
        <v>149</v>
      </c>
      <c r="T541" s="153" t="s">
        <v>793</v>
      </c>
      <c r="U541" s="153" t="s">
        <v>1594</v>
      </c>
      <c r="V541" s="158" t="s">
        <v>160</v>
      </c>
      <c r="W541" s="158" t="s">
        <v>6035</v>
      </c>
      <c r="X541" s="158" t="s">
        <v>159</v>
      </c>
      <c r="Y541" s="158" t="s">
        <v>149</v>
      </c>
      <c r="Z541" s="158" t="s">
        <v>149</v>
      </c>
      <c r="AA541" s="153" t="s">
        <v>1606</v>
      </c>
      <c r="AB541" s="158" t="s">
        <v>369</v>
      </c>
      <c r="AC541" s="153" t="s">
        <v>6035</v>
      </c>
      <c r="AD541" s="153"/>
      <c r="AE541" s="153"/>
      <c r="AF541" s="153" t="s">
        <v>1607</v>
      </c>
      <c r="AG541" s="153" t="s">
        <v>6976</v>
      </c>
      <c r="AH541" s="153" t="s">
        <v>1608</v>
      </c>
      <c r="AI541" s="165" t="s">
        <v>1609</v>
      </c>
      <c r="AJ541" s="153"/>
      <c r="AK541" s="153"/>
    </row>
    <row r="542">
      <c r="A542" s="152">
        <v>2024.0</v>
      </c>
      <c r="B542" s="151">
        <v>183.0</v>
      </c>
      <c r="C542" s="153"/>
      <c r="D542" s="153"/>
      <c r="E542" s="153" t="s">
        <v>8189</v>
      </c>
      <c r="F542" s="153" t="s">
        <v>8340</v>
      </c>
      <c r="G542" s="153">
        <f>IFERROR(__xludf.DUMMYFUNCTION("""COMPUTED_VALUE"""),62.0)</f>
        <v>62</v>
      </c>
      <c r="H542" s="153" t="s">
        <v>522</v>
      </c>
      <c r="I542" s="153" t="s">
        <v>1947</v>
      </c>
      <c r="J542" s="153" t="s">
        <v>1948</v>
      </c>
      <c r="K542" s="153" t="s">
        <v>1949</v>
      </c>
      <c r="L542" s="153" t="s">
        <v>1950</v>
      </c>
      <c r="M542" s="153"/>
      <c r="N542" s="230">
        <v>2013.0</v>
      </c>
      <c r="O542" s="230"/>
      <c r="P542" s="230"/>
      <c r="Q542" s="153" t="s">
        <v>151</v>
      </c>
      <c r="R542" s="153" t="s">
        <v>851</v>
      </c>
      <c r="S542" s="153"/>
      <c r="T542" s="153"/>
      <c r="U542" s="153" t="s">
        <v>6824</v>
      </c>
      <c r="V542" s="153"/>
      <c r="W542" s="153"/>
      <c r="X542" s="153"/>
      <c r="Y542" s="153"/>
      <c r="Z542" s="153"/>
      <c r="AA542" s="153" t="s">
        <v>571</v>
      </c>
      <c r="AB542" s="153" t="s">
        <v>724</v>
      </c>
      <c r="AC542" s="158" t="s">
        <v>8005</v>
      </c>
      <c r="AD542" s="153"/>
      <c r="AE542" s="153"/>
      <c r="AF542" s="153"/>
      <c r="AG542" s="158" t="s">
        <v>6517</v>
      </c>
      <c r="AH542" s="153" t="s">
        <v>726</v>
      </c>
      <c r="AI542" s="165" t="s">
        <v>6825</v>
      </c>
      <c r="AJ542" s="153"/>
      <c r="AK542" s="153"/>
    </row>
    <row r="543">
      <c r="A543" s="152">
        <v>2023.0</v>
      </c>
      <c r="B543" s="151">
        <v>247.0</v>
      </c>
      <c r="C543" s="129" t="s">
        <v>140</v>
      </c>
      <c r="D543" s="8"/>
      <c r="E543" s="8" t="s">
        <v>8189</v>
      </c>
      <c r="F543" s="8" t="s">
        <v>7056</v>
      </c>
      <c r="G543" s="8">
        <f>IFERROR(__xludf.DUMMYFUNCTION("""COMPUTED_VALUE"""),63.0)</f>
        <v>63</v>
      </c>
      <c r="H543" s="8" t="s">
        <v>314</v>
      </c>
      <c r="I543" s="8" t="s">
        <v>558</v>
      </c>
      <c r="J543" s="8" t="s">
        <v>959</v>
      </c>
      <c r="K543" s="8" t="s">
        <v>960</v>
      </c>
      <c r="L543" s="8" t="s">
        <v>934</v>
      </c>
      <c r="N543" s="142" t="s">
        <v>6229</v>
      </c>
      <c r="O543" s="142" t="s">
        <v>6229</v>
      </c>
      <c r="P543" s="142" t="s">
        <v>6230</v>
      </c>
      <c r="Q543" s="8" t="s">
        <v>6062</v>
      </c>
      <c r="R543" s="8" t="s">
        <v>6276</v>
      </c>
      <c r="T543" s="8" t="s">
        <v>939</v>
      </c>
      <c r="U543" s="8" t="s">
        <v>940</v>
      </c>
      <c r="AB543" s="8" t="s">
        <v>233</v>
      </c>
      <c r="AH543" s="8" t="s">
        <v>6214</v>
      </c>
      <c r="AI543" s="8" t="s">
        <v>942</v>
      </c>
      <c r="AJ543" s="8" t="s">
        <v>943</v>
      </c>
    </row>
    <row r="544">
      <c r="A544" s="152">
        <v>2025.0</v>
      </c>
      <c r="B544" s="151">
        <v>247.0</v>
      </c>
      <c r="C544" s="153" t="s">
        <v>8189</v>
      </c>
      <c r="D544" s="153"/>
      <c r="E544" s="153" t="s">
        <v>8301</v>
      </c>
      <c r="F544" s="153" t="s">
        <v>7054</v>
      </c>
      <c r="G544" s="153">
        <f>IFERROR(__xludf.DUMMYFUNCTION("""COMPUTED_VALUE"""),64.0)</f>
        <v>64</v>
      </c>
      <c r="H544" s="153" t="s">
        <v>314</v>
      </c>
      <c r="I544" s="153" t="s">
        <v>558</v>
      </c>
      <c r="J544" s="153" t="s">
        <v>1604</v>
      </c>
      <c r="K544" s="153" t="s">
        <v>1605</v>
      </c>
      <c r="L544" s="158" t="s">
        <v>149</v>
      </c>
      <c r="M544" s="153" t="s">
        <v>2331</v>
      </c>
      <c r="N544" s="175" t="s">
        <v>6063</v>
      </c>
      <c r="O544" s="160" t="s">
        <v>149</v>
      </c>
      <c r="P544" s="160" t="s">
        <v>149</v>
      </c>
      <c r="Q544" s="153" t="s">
        <v>6624</v>
      </c>
      <c r="R544" s="153" t="s">
        <v>730</v>
      </c>
      <c r="S544" s="158" t="s">
        <v>179</v>
      </c>
      <c r="T544" s="153" t="s">
        <v>1923</v>
      </c>
      <c r="U544" s="153" t="s">
        <v>2332</v>
      </c>
      <c r="V544" s="158" t="s">
        <v>6154</v>
      </c>
      <c r="W544" s="158" t="s">
        <v>306</v>
      </c>
      <c r="X544" s="158" t="s">
        <v>159</v>
      </c>
      <c r="Y544" s="158" t="s">
        <v>149</v>
      </c>
      <c r="Z544" s="158" t="s">
        <v>149</v>
      </c>
      <c r="AA544" s="153" t="s">
        <v>7055</v>
      </c>
      <c r="AB544" s="153" t="s">
        <v>2332</v>
      </c>
      <c r="AC544" s="153" t="s">
        <v>306</v>
      </c>
      <c r="AD544" s="153" t="s">
        <v>2334</v>
      </c>
      <c r="AE544" s="153"/>
      <c r="AF544" s="153"/>
      <c r="AG544" s="158" t="s">
        <v>6084</v>
      </c>
      <c r="AH544" s="153" t="s">
        <v>2335</v>
      </c>
      <c r="AI544" s="165" t="s">
        <v>2336</v>
      </c>
      <c r="AJ544" s="153"/>
      <c r="AK544" s="153"/>
    </row>
    <row r="545">
      <c r="A545" s="152">
        <v>2025.0</v>
      </c>
      <c r="B545" s="151">
        <v>248.0</v>
      </c>
      <c r="C545" s="153" t="s">
        <v>8189</v>
      </c>
      <c r="D545" s="153"/>
      <c r="E545" s="153" t="s">
        <v>707</v>
      </c>
      <c r="F545" s="153" t="s">
        <v>7057</v>
      </c>
      <c r="G545" s="153">
        <f>IFERROR(__xludf.DUMMYFUNCTION("""COMPUTED_VALUE"""),65.0)</f>
        <v>65</v>
      </c>
      <c r="H545" s="153" t="s">
        <v>314</v>
      </c>
      <c r="I545" s="153" t="s">
        <v>558</v>
      </c>
      <c r="J545" s="153" t="s">
        <v>1604</v>
      </c>
      <c r="K545" s="153" t="s">
        <v>1605</v>
      </c>
      <c r="L545" s="158" t="s">
        <v>149</v>
      </c>
      <c r="M545" s="153"/>
      <c r="N545" s="175" t="s">
        <v>6339</v>
      </c>
      <c r="O545" s="160" t="s">
        <v>149</v>
      </c>
      <c r="P545" s="160" t="s">
        <v>149</v>
      </c>
      <c r="Q545" s="153" t="s">
        <v>151</v>
      </c>
      <c r="R545" s="158" t="s">
        <v>149</v>
      </c>
      <c r="S545" s="158" t="s">
        <v>149</v>
      </c>
      <c r="T545" s="153" t="s">
        <v>793</v>
      </c>
      <c r="U545" s="153" t="s">
        <v>158</v>
      </c>
      <c r="V545" s="158" t="s">
        <v>160</v>
      </c>
      <c r="W545" s="158" t="s">
        <v>6035</v>
      </c>
      <c r="X545" s="158" t="s">
        <v>159</v>
      </c>
      <c r="Y545" s="158" t="s">
        <v>149</v>
      </c>
      <c r="Z545" s="158" t="s">
        <v>149</v>
      </c>
      <c r="AA545" s="153" t="s">
        <v>2674</v>
      </c>
      <c r="AB545" s="153" t="s">
        <v>158</v>
      </c>
      <c r="AC545" s="153" t="s">
        <v>6035</v>
      </c>
      <c r="AD545" s="153"/>
      <c r="AE545" s="153"/>
      <c r="AF545" s="153"/>
      <c r="AG545" s="158" t="s">
        <v>395</v>
      </c>
      <c r="AH545" s="153" t="s">
        <v>2675</v>
      </c>
      <c r="AI545" s="165" t="s">
        <v>2676</v>
      </c>
      <c r="AJ545" s="153"/>
      <c r="AK545" s="153"/>
    </row>
    <row r="546">
      <c r="A546" s="152">
        <v>2025.0</v>
      </c>
      <c r="B546" s="151">
        <v>249.0</v>
      </c>
      <c r="C546" s="153" t="s">
        <v>8189</v>
      </c>
      <c r="D546" s="153"/>
      <c r="E546" s="153" t="s">
        <v>707</v>
      </c>
      <c r="F546" s="153" t="s">
        <v>7060</v>
      </c>
      <c r="G546" s="153">
        <f>IFERROR(__xludf.DUMMYFUNCTION("""COMPUTED_VALUE"""),66.0)</f>
        <v>66</v>
      </c>
      <c r="H546" s="153" t="s">
        <v>314</v>
      </c>
      <c r="I546" s="153" t="s">
        <v>558</v>
      </c>
      <c r="J546" s="153" t="s">
        <v>1616</v>
      </c>
      <c r="K546" s="153" t="s">
        <v>1617</v>
      </c>
      <c r="L546" s="153" t="s">
        <v>6742</v>
      </c>
      <c r="M546" s="153" t="s">
        <v>1618</v>
      </c>
      <c r="N546" s="160" t="s">
        <v>149</v>
      </c>
      <c r="O546" s="160" t="s">
        <v>149</v>
      </c>
      <c r="P546" s="160" t="s">
        <v>149</v>
      </c>
      <c r="Q546" s="153" t="s">
        <v>151</v>
      </c>
      <c r="R546" s="158" t="s">
        <v>149</v>
      </c>
      <c r="S546" s="158" t="s">
        <v>149</v>
      </c>
      <c r="T546" s="158" t="s">
        <v>149</v>
      </c>
      <c r="U546" s="153" t="s">
        <v>1594</v>
      </c>
      <c r="V546" s="158" t="s">
        <v>160</v>
      </c>
      <c r="W546" s="158" t="s">
        <v>6035</v>
      </c>
      <c r="X546" s="158" t="s">
        <v>159</v>
      </c>
      <c r="Y546" s="158" t="s">
        <v>149</v>
      </c>
      <c r="Z546" s="158" t="s">
        <v>149</v>
      </c>
      <c r="AA546" s="158" t="s">
        <v>149</v>
      </c>
      <c r="AB546" s="153" t="s">
        <v>369</v>
      </c>
      <c r="AC546" s="153" t="s">
        <v>6035</v>
      </c>
      <c r="AD546" s="153"/>
      <c r="AE546" s="153"/>
      <c r="AF546" s="153"/>
      <c r="AG546" s="153" t="s">
        <v>6084</v>
      </c>
      <c r="AH546" s="153" t="s">
        <v>7061</v>
      </c>
      <c r="AI546" s="165" t="s">
        <v>1620</v>
      </c>
      <c r="AJ546" s="153"/>
      <c r="AK546" s="153"/>
    </row>
    <row r="547">
      <c r="A547" s="152">
        <v>2024.0</v>
      </c>
      <c r="B547" s="151">
        <v>184.0</v>
      </c>
      <c r="C547" s="153"/>
      <c r="D547" s="153"/>
      <c r="E547" s="153" t="s">
        <v>8189</v>
      </c>
      <c r="F547" s="153" t="s">
        <v>8341</v>
      </c>
      <c r="G547" s="153">
        <f>IFERROR(__xludf.DUMMYFUNCTION("""COMPUTED_VALUE"""),67.0)</f>
        <v>67</v>
      </c>
      <c r="H547" s="153" t="s">
        <v>522</v>
      </c>
      <c r="I547" s="153" t="s">
        <v>523</v>
      </c>
      <c r="J547" s="153" t="s">
        <v>922</v>
      </c>
      <c r="K547" s="154" t="s">
        <v>923</v>
      </c>
      <c r="L547" s="153" t="s">
        <v>924</v>
      </c>
      <c r="M547" s="153" t="s">
        <v>925</v>
      </c>
      <c r="N547" s="230">
        <v>2023.0</v>
      </c>
      <c r="O547" s="230">
        <v>2023.0</v>
      </c>
      <c r="P547" s="230"/>
      <c r="Q547" s="153" t="s">
        <v>6624</v>
      </c>
      <c r="R547" s="153" t="s">
        <v>8034</v>
      </c>
      <c r="S547" s="153"/>
      <c r="T547" s="153"/>
      <c r="U547" s="153" t="s">
        <v>928</v>
      </c>
      <c r="V547" s="153"/>
      <c r="W547" s="153"/>
      <c r="X547" s="153"/>
      <c r="Y547" s="153"/>
      <c r="Z547" s="153"/>
      <c r="AA547" s="153"/>
      <c r="AB547" s="153" t="s">
        <v>928</v>
      </c>
      <c r="AC547" s="153" t="s">
        <v>8005</v>
      </c>
      <c r="AD547" s="153" t="s">
        <v>369</v>
      </c>
      <c r="AE547" s="153" t="s">
        <v>930</v>
      </c>
      <c r="AF547" s="153"/>
      <c r="AG547" s="153" t="s">
        <v>6038</v>
      </c>
      <c r="AH547" s="153" t="s">
        <v>6791</v>
      </c>
      <c r="AI547" s="172" t="s">
        <v>932</v>
      </c>
      <c r="AJ547" s="153"/>
      <c r="AK547" s="153"/>
    </row>
    <row r="548">
      <c r="A548" s="152">
        <v>2025.0</v>
      </c>
      <c r="B548" s="151">
        <v>250.0</v>
      </c>
      <c r="C548" s="153" t="s">
        <v>8189</v>
      </c>
      <c r="D548" s="153"/>
      <c r="E548" s="153" t="s">
        <v>8301</v>
      </c>
      <c r="F548" s="153" t="s">
        <v>7064</v>
      </c>
      <c r="G548" s="153">
        <f>IFERROR(__xludf.DUMMYFUNCTION("""COMPUTED_VALUE"""),68.0)</f>
        <v>68</v>
      </c>
      <c r="H548" s="153" t="s">
        <v>314</v>
      </c>
      <c r="I548" s="153" t="s">
        <v>558</v>
      </c>
      <c r="J548" s="153" t="s">
        <v>3137</v>
      </c>
      <c r="K548" s="153" t="s">
        <v>3138</v>
      </c>
      <c r="L548" s="158" t="s">
        <v>149</v>
      </c>
      <c r="M548" s="153" t="s">
        <v>7031</v>
      </c>
      <c r="N548" s="160" t="s">
        <v>149</v>
      </c>
      <c r="O548" s="160" t="s">
        <v>149</v>
      </c>
      <c r="P548" s="160" t="s">
        <v>149</v>
      </c>
      <c r="Q548" s="153" t="s">
        <v>151</v>
      </c>
      <c r="R548" s="158" t="s">
        <v>149</v>
      </c>
      <c r="S548" s="158" t="s">
        <v>149</v>
      </c>
      <c r="T548" s="158" t="s">
        <v>149</v>
      </c>
      <c r="U548" s="158" t="s">
        <v>149</v>
      </c>
      <c r="V548" s="158" t="s">
        <v>149</v>
      </c>
      <c r="W548" s="158" t="s">
        <v>149</v>
      </c>
      <c r="X548" s="158" t="s">
        <v>149</v>
      </c>
      <c r="Y548" s="158" t="s">
        <v>149</v>
      </c>
      <c r="Z548" s="158" t="s">
        <v>149</v>
      </c>
      <c r="AA548" s="158" t="s">
        <v>149</v>
      </c>
      <c r="AB548" s="158" t="s">
        <v>149</v>
      </c>
      <c r="AC548" s="158" t="s">
        <v>149</v>
      </c>
      <c r="AD548" s="153"/>
      <c r="AE548" s="153"/>
      <c r="AF548" s="153"/>
      <c r="AG548" s="158" t="s">
        <v>6257</v>
      </c>
      <c r="AH548" s="153" t="s">
        <v>7065</v>
      </c>
      <c r="AI548" s="165" t="s">
        <v>3141</v>
      </c>
      <c r="AJ548" s="153"/>
      <c r="AK548" s="153"/>
    </row>
    <row r="549">
      <c r="A549" s="152">
        <v>2025.0</v>
      </c>
      <c r="B549" s="151">
        <v>251.0</v>
      </c>
      <c r="C549" s="153" t="s">
        <v>8189</v>
      </c>
      <c r="D549" s="153"/>
      <c r="E549" s="153" t="s">
        <v>707</v>
      </c>
      <c r="F549" s="153" t="s">
        <v>7068</v>
      </c>
      <c r="G549" s="153">
        <f>IFERROR(__xludf.DUMMYFUNCTION("""COMPUTED_VALUE"""),69.0)</f>
        <v>69</v>
      </c>
      <c r="H549" s="153" t="s">
        <v>314</v>
      </c>
      <c r="I549" s="153" t="s">
        <v>558</v>
      </c>
      <c r="J549" s="153" t="s">
        <v>786</v>
      </c>
      <c r="K549" s="153" t="s">
        <v>787</v>
      </c>
      <c r="L549" s="153" t="s">
        <v>788</v>
      </c>
      <c r="M549" s="153"/>
      <c r="N549" s="175" t="s">
        <v>6268</v>
      </c>
      <c r="O549" s="160" t="s">
        <v>149</v>
      </c>
      <c r="P549" s="160" t="s">
        <v>149</v>
      </c>
      <c r="Q549" s="153" t="s">
        <v>151</v>
      </c>
      <c r="R549" s="158" t="s">
        <v>790</v>
      </c>
      <c r="S549" s="158" t="s">
        <v>790</v>
      </c>
      <c r="T549" s="153" t="s">
        <v>793</v>
      </c>
      <c r="U549" s="153" t="s">
        <v>794</v>
      </c>
      <c r="V549" s="158" t="s">
        <v>6154</v>
      </c>
      <c r="W549" s="158" t="s">
        <v>306</v>
      </c>
      <c r="X549" s="158" t="s">
        <v>159</v>
      </c>
      <c r="Y549" s="158" t="s">
        <v>149</v>
      </c>
      <c r="Z549" s="158" t="s">
        <v>149</v>
      </c>
      <c r="AA549" s="153" t="s">
        <v>795</v>
      </c>
      <c r="AB549" s="153" t="s">
        <v>796</v>
      </c>
      <c r="AC549" s="153" t="s">
        <v>306</v>
      </c>
      <c r="AD549" s="153"/>
      <c r="AE549" s="153"/>
      <c r="AF549" s="153" t="s">
        <v>797</v>
      </c>
      <c r="AG549" s="158" t="s">
        <v>166</v>
      </c>
      <c r="AH549" s="153" t="s">
        <v>798</v>
      </c>
      <c r="AI549" s="165" t="s">
        <v>799</v>
      </c>
      <c r="AJ549" s="153"/>
      <c r="AK549" s="153" t="s">
        <v>800</v>
      </c>
    </row>
    <row r="550">
      <c r="A550" s="152">
        <v>2024.0</v>
      </c>
      <c r="B550" s="151">
        <v>185.0</v>
      </c>
      <c r="C550" s="153"/>
      <c r="D550" s="153"/>
      <c r="E550" s="153" t="s">
        <v>8189</v>
      </c>
      <c r="F550" s="153" t="s">
        <v>8342</v>
      </c>
      <c r="G550" s="153">
        <f>IFERROR(__xludf.DUMMYFUNCTION("""COMPUTED_VALUE"""),70.0)</f>
        <v>70</v>
      </c>
      <c r="H550" s="153" t="s">
        <v>522</v>
      </c>
      <c r="I550" s="153" t="s">
        <v>523</v>
      </c>
      <c r="J550" s="153" t="s">
        <v>2278</v>
      </c>
      <c r="K550" s="153" t="s">
        <v>2279</v>
      </c>
      <c r="L550" s="153" t="s">
        <v>6795</v>
      </c>
      <c r="M550" s="153"/>
      <c r="N550" s="230">
        <v>2006.0</v>
      </c>
      <c r="O550" s="230"/>
      <c r="P550" s="230"/>
      <c r="Q550" s="153" t="s">
        <v>151</v>
      </c>
      <c r="R550" s="153" t="s">
        <v>6827</v>
      </c>
      <c r="S550" s="153"/>
      <c r="T550" s="153" t="s">
        <v>6828</v>
      </c>
      <c r="U550" s="153" t="s">
        <v>2286</v>
      </c>
      <c r="V550" s="153"/>
      <c r="W550" s="153"/>
      <c r="X550" s="153"/>
      <c r="Y550" s="153"/>
      <c r="Z550" s="153"/>
      <c r="AA550" s="153"/>
      <c r="AB550" s="153" t="s">
        <v>6829</v>
      </c>
      <c r="AC550" s="158" t="s">
        <v>306</v>
      </c>
      <c r="AD550" s="153"/>
      <c r="AE550" s="153" t="s">
        <v>2287</v>
      </c>
      <c r="AF550" s="153"/>
      <c r="AG550" s="153" t="s">
        <v>7902</v>
      </c>
      <c r="AH550" s="153" t="s">
        <v>2288</v>
      </c>
      <c r="AI550" s="153" t="s">
        <v>6801</v>
      </c>
      <c r="AJ550" s="153"/>
      <c r="AK550" s="153"/>
    </row>
    <row r="551">
      <c r="A551" s="152">
        <v>2025.0</v>
      </c>
      <c r="B551" s="151">
        <v>252.0</v>
      </c>
      <c r="C551" s="153" t="s">
        <v>8189</v>
      </c>
      <c r="D551" s="153"/>
      <c r="E551" s="153" t="s">
        <v>8301</v>
      </c>
      <c r="F551" s="153" t="s">
        <v>7072</v>
      </c>
      <c r="G551" s="153">
        <f>IFERROR(__xludf.DUMMYFUNCTION("""COMPUTED_VALUE"""),71.0)</f>
        <v>71</v>
      </c>
      <c r="H551" s="153" t="s">
        <v>314</v>
      </c>
      <c r="I551" s="153" t="s">
        <v>558</v>
      </c>
      <c r="J551" s="153" t="s">
        <v>786</v>
      </c>
      <c r="K551" s="153" t="s">
        <v>787</v>
      </c>
      <c r="L551" s="158" t="s">
        <v>149</v>
      </c>
      <c r="M551" s="153" t="s">
        <v>2331</v>
      </c>
      <c r="N551" s="175" t="s">
        <v>6063</v>
      </c>
      <c r="O551" s="160" t="s">
        <v>149</v>
      </c>
      <c r="P551" s="160" t="s">
        <v>149</v>
      </c>
      <c r="Q551" s="153" t="s">
        <v>6624</v>
      </c>
      <c r="R551" s="153" t="s">
        <v>730</v>
      </c>
      <c r="S551" s="158" t="s">
        <v>179</v>
      </c>
      <c r="T551" s="153" t="s">
        <v>1923</v>
      </c>
      <c r="U551" s="153" t="s">
        <v>2332</v>
      </c>
      <c r="V551" s="158" t="s">
        <v>6154</v>
      </c>
      <c r="W551" s="158" t="s">
        <v>306</v>
      </c>
      <c r="X551" s="158" t="s">
        <v>159</v>
      </c>
      <c r="Y551" s="158" t="s">
        <v>149</v>
      </c>
      <c r="Z551" s="158" t="s">
        <v>149</v>
      </c>
      <c r="AA551" s="158" t="s">
        <v>149</v>
      </c>
      <c r="AB551" s="153" t="s">
        <v>2332</v>
      </c>
      <c r="AC551" s="153" t="s">
        <v>306</v>
      </c>
      <c r="AD551" s="153" t="s">
        <v>369</v>
      </c>
      <c r="AE551" s="153"/>
      <c r="AF551" s="153"/>
      <c r="AG551" s="153" t="s">
        <v>6084</v>
      </c>
      <c r="AH551" s="153" t="s">
        <v>2335</v>
      </c>
      <c r="AI551" s="153" t="s">
        <v>2336</v>
      </c>
      <c r="AJ551" s="153"/>
      <c r="AK551" s="153"/>
    </row>
    <row r="552">
      <c r="A552" s="152">
        <v>2024.0</v>
      </c>
      <c r="B552" s="151">
        <v>186.0</v>
      </c>
      <c r="C552" s="153"/>
      <c r="D552" s="153"/>
      <c r="E552" s="153" t="s">
        <v>8189</v>
      </c>
      <c r="F552" s="153" t="s">
        <v>8343</v>
      </c>
      <c r="G552" s="153">
        <f>IFERROR(__xludf.DUMMYFUNCTION("""COMPUTED_VALUE"""),72.0)</f>
        <v>72</v>
      </c>
      <c r="H552" s="153" t="s">
        <v>522</v>
      </c>
      <c r="I552" s="153" t="s">
        <v>523</v>
      </c>
      <c r="J552" s="153" t="s">
        <v>6804</v>
      </c>
      <c r="K552" s="153" t="s">
        <v>525</v>
      </c>
      <c r="L552" s="153" t="s">
        <v>384</v>
      </c>
      <c r="M552" s="153" t="s">
        <v>526</v>
      </c>
      <c r="N552" s="192">
        <v>1985.0</v>
      </c>
      <c r="O552" s="230">
        <v>1985.0</v>
      </c>
      <c r="P552" s="230">
        <v>1987.0</v>
      </c>
      <c r="Q552" s="153" t="s">
        <v>151</v>
      </c>
      <c r="R552" s="153" t="s">
        <v>6054</v>
      </c>
      <c r="S552" s="153"/>
      <c r="T552" s="153"/>
      <c r="U552" s="153" t="s">
        <v>390</v>
      </c>
      <c r="V552" s="153"/>
      <c r="W552" s="153"/>
      <c r="X552" s="153"/>
      <c r="Y552" s="153"/>
      <c r="Z552" s="153"/>
      <c r="AA552" s="153"/>
      <c r="AB552" s="153" t="s">
        <v>390</v>
      </c>
      <c r="AC552" s="153" t="s">
        <v>6035</v>
      </c>
      <c r="AD552" s="153" t="s">
        <v>6055</v>
      </c>
      <c r="AE552" s="153"/>
      <c r="AF552" s="153"/>
      <c r="AG552" s="153" t="s">
        <v>8004</v>
      </c>
      <c r="AH552" s="153" t="s">
        <v>6060</v>
      </c>
      <c r="AI552" s="153" t="s">
        <v>2873</v>
      </c>
      <c r="AJ552" s="153" t="s">
        <v>398</v>
      </c>
      <c r="AK552" s="153"/>
    </row>
    <row r="553">
      <c r="A553" s="152">
        <v>2025.0</v>
      </c>
      <c r="B553" s="151">
        <v>253.0</v>
      </c>
      <c r="C553" s="153" t="s">
        <v>8189</v>
      </c>
      <c r="D553" s="153"/>
      <c r="E553" s="153" t="s">
        <v>8301</v>
      </c>
      <c r="F553" s="153" t="s">
        <v>7074</v>
      </c>
      <c r="G553" s="153">
        <f>IFERROR(__xludf.DUMMYFUNCTION("""COMPUTED_VALUE"""),73.0)</f>
        <v>73</v>
      </c>
      <c r="H553" s="153" t="s">
        <v>314</v>
      </c>
      <c r="I553" s="153" t="s">
        <v>558</v>
      </c>
      <c r="J553" s="153" t="s">
        <v>2066</v>
      </c>
      <c r="K553" s="153" t="s">
        <v>2067</v>
      </c>
      <c r="L553" s="158" t="s">
        <v>149</v>
      </c>
      <c r="M553" s="153" t="s">
        <v>2331</v>
      </c>
      <c r="N553" s="175" t="s">
        <v>6063</v>
      </c>
      <c r="O553" s="160" t="s">
        <v>149</v>
      </c>
      <c r="P553" s="160" t="s">
        <v>149</v>
      </c>
      <c r="Q553" s="153" t="s">
        <v>6624</v>
      </c>
      <c r="R553" s="153" t="s">
        <v>730</v>
      </c>
      <c r="S553" s="158" t="s">
        <v>179</v>
      </c>
      <c r="T553" s="153" t="s">
        <v>1923</v>
      </c>
      <c r="U553" s="153" t="s">
        <v>2332</v>
      </c>
      <c r="V553" s="158" t="s">
        <v>6154</v>
      </c>
      <c r="W553" s="158" t="s">
        <v>306</v>
      </c>
      <c r="X553" s="158" t="s">
        <v>159</v>
      </c>
      <c r="Y553" s="158" t="s">
        <v>149</v>
      </c>
      <c r="Z553" s="158" t="s">
        <v>149</v>
      </c>
      <c r="AA553" s="158" t="s">
        <v>149</v>
      </c>
      <c r="AB553" s="153" t="s">
        <v>2332</v>
      </c>
      <c r="AC553" s="153" t="s">
        <v>306</v>
      </c>
      <c r="AD553" s="153" t="s">
        <v>369</v>
      </c>
      <c r="AE553" s="153" t="s">
        <v>2339</v>
      </c>
      <c r="AF553" s="153"/>
      <c r="AG553" s="153" t="s">
        <v>6084</v>
      </c>
      <c r="AH553" s="153" t="s">
        <v>2335</v>
      </c>
      <c r="AI553" s="165" t="s">
        <v>2336</v>
      </c>
      <c r="AJ553" s="153"/>
      <c r="AK553" s="153"/>
    </row>
    <row r="554">
      <c r="A554" s="152">
        <v>2025.0</v>
      </c>
      <c r="B554" s="151">
        <v>254.0</v>
      </c>
      <c r="C554" s="153" t="s">
        <v>8189</v>
      </c>
      <c r="D554" s="153"/>
      <c r="E554" s="153" t="s">
        <v>707</v>
      </c>
      <c r="F554" s="153" t="s">
        <v>7080</v>
      </c>
      <c r="G554" s="153">
        <f>IFERROR(__xludf.DUMMYFUNCTION("""COMPUTED_VALUE"""),74.0)</f>
        <v>74</v>
      </c>
      <c r="H554" s="153" t="s">
        <v>314</v>
      </c>
      <c r="I554" s="153" t="s">
        <v>558</v>
      </c>
      <c r="J554" s="153" t="s">
        <v>2066</v>
      </c>
      <c r="K554" s="153" t="s">
        <v>2067</v>
      </c>
      <c r="L554" s="153" t="s">
        <v>2023</v>
      </c>
      <c r="M554" s="153" t="s">
        <v>7081</v>
      </c>
      <c r="N554" s="175" t="s">
        <v>6268</v>
      </c>
      <c r="O554" s="160" t="s">
        <v>149</v>
      </c>
      <c r="P554" s="160" t="s">
        <v>149</v>
      </c>
      <c r="Q554" s="153" t="s">
        <v>151</v>
      </c>
      <c r="R554" s="153" t="s">
        <v>2069</v>
      </c>
      <c r="S554" s="158" t="s">
        <v>2069</v>
      </c>
      <c r="T554" s="158" t="s">
        <v>149</v>
      </c>
      <c r="U554" s="153" t="s">
        <v>2038</v>
      </c>
      <c r="V554" s="158" t="s">
        <v>160</v>
      </c>
      <c r="W554" s="158" t="s">
        <v>271</v>
      </c>
      <c r="X554" s="158" t="s">
        <v>159</v>
      </c>
      <c r="Y554" s="158" t="s">
        <v>149</v>
      </c>
      <c r="Z554" s="158" t="s">
        <v>149</v>
      </c>
      <c r="AA554" s="158" t="s">
        <v>149</v>
      </c>
      <c r="AB554" s="153" t="s">
        <v>2038</v>
      </c>
      <c r="AC554" s="153" t="s">
        <v>271</v>
      </c>
      <c r="AD554" s="153"/>
      <c r="AE554" s="153"/>
      <c r="AF554" s="153"/>
      <c r="AG554" s="153" t="s">
        <v>6038</v>
      </c>
      <c r="AH554" s="153" t="s">
        <v>2070</v>
      </c>
      <c r="AI554" s="165" t="s">
        <v>2071</v>
      </c>
      <c r="AJ554" s="153"/>
      <c r="AK554" s="153"/>
    </row>
    <row r="555">
      <c r="A555" s="152">
        <v>2025.0</v>
      </c>
      <c r="B555" s="151">
        <v>255.0</v>
      </c>
      <c r="C555" s="153" t="s">
        <v>8189</v>
      </c>
      <c r="D555" s="153"/>
      <c r="E555" s="153" t="s">
        <v>707</v>
      </c>
      <c r="F555" s="153" t="s">
        <v>7083</v>
      </c>
      <c r="G555" s="153">
        <f>IFERROR(__xludf.DUMMYFUNCTION("""COMPUTED_VALUE"""),75.0)</f>
        <v>75</v>
      </c>
      <c r="H555" s="153" t="s">
        <v>314</v>
      </c>
      <c r="I555" s="153" t="s">
        <v>558</v>
      </c>
      <c r="J555" s="153" t="s">
        <v>3143</v>
      </c>
      <c r="K555" s="153" t="s">
        <v>3144</v>
      </c>
      <c r="L555" s="158" t="s">
        <v>149</v>
      </c>
      <c r="M555" s="153" t="s">
        <v>7044</v>
      </c>
      <c r="N555" s="160" t="s">
        <v>149</v>
      </c>
      <c r="O555" s="160" t="s">
        <v>149</v>
      </c>
      <c r="P555" s="160" t="s">
        <v>149</v>
      </c>
      <c r="Q555" s="153" t="s">
        <v>151</v>
      </c>
      <c r="R555" s="158" t="s">
        <v>149</v>
      </c>
      <c r="S555" s="158" t="s">
        <v>149</v>
      </c>
      <c r="T555" s="158" t="s">
        <v>149</v>
      </c>
      <c r="U555" s="158" t="s">
        <v>149</v>
      </c>
      <c r="V555" s="158" t="s">
        <v>149</v>
      </c>
      <c r="W555" s="158" t="s">
        <v>149</v>
      </c>
      <c r="X555" s="158" t="s">
        <v>149</v>
      </c>
      <c r="Y555" s="158" t="s">
        <v>149</v>
      </c>
      <c r="Z555" s="158" t="s">
        <v>149</v>
      </c>
      <c r="AA555" s="158" t="s">
        <v>149</v>
      </c>
      <c r="AB555" s="158" t="s">
        <v>149</v>
      </c>
      <c r="AC555" s="158" t="s">
        <v>149</v>
      </c>
      <c r="AD555" s="153"/>
      <c r="AE555" s="153"/>
      <c r="AF555" s="153"/>
      <c r="AG555" s="158" t="s">
        <v>6027</v>
      </c>
      <c r="AH555" s="153" t="s">
        <v>2104</v>
      </c>
      <c r="AI555" s="165" t="s">
        <v>2105</v>
      </c>
      <c r="AJ555" s="153"/>
      <c r="AK555" s="153"/>
    </row>
    <row r="556">
      <c r="A556" s="152">
        <v>2024.0</v>
      </c>
      <c r="B556" s="151">
        <v>187.0</v>
      </c>
      <c r="C556" s="153"/>
      <c r="D556" s="153"/>
      <c r="E556" s="153" t="s">
        <v>8189</v>
      </c>
      <c r="F556" s="153" t="s">
        <v>8344</v>
      </c>
      <c r="G556" s="153">
        <f>IFERROR(__xludf.DUMMYFUNCTION("""COMPUTED_VALUE"""),76.0)</f>
        <v>76</v>
      </c>
      <c r="H556" s="153" t="s">
        <v>522</v>
      </c>
      <c r="I556" s="153" t="s">
        <v>523</v>
      </c>
      <c r="J556" s="153" t="s">
        <v>6804</v>
      </c>
      <c r="K556" s="153" t="s">
        <v>525</v>
      </c>
      <c r="L556" s="153" t="s">
        <v>1683</v>
      </c>
      <c r="M556" s="153"/>
      <c r="N556" s="230">
        <v>2014.0</v>
      </c>
      <c r="O556" s="230">
        <v>2014.0</v>
      </c>
      <c r="P556" s="230">
        <v>2016.0</v>
      </c>
      <c r="Q556" s="153" t="s">
        <v>6062</v>
      </c>
      <c r="R556" s="153" t="s">
        <v>320</v>
      </c>
      <c r="S556" s="153"/>
      <c r="T556" s="153"/>
      <c r="U556" s="153" t="s">
        <v>321</v>
      </c>
      <c r="V556" s="153"/>
      <c r="W556" s="153"/>
      <c r="X556" s="153"/>
      <c r="Y556" s="153"/>
      <c r="Z556" s="153"/>
      <c r="AA556" s="153" t="s">
        <v>1709</v>
      </c>
      <c r="AB556" s="153" t="s">
        <v>326</v>
      </c>
      <c r="AC556" s="153" t="s">
        <v>306</v>
      </c>
      <c r="AD556" s="153"/>
      <c r="AE556" s="153"/>
      <c r="AF556" s="153"/>
      <c r="AG556" s="153" t="s">
        <v>6084</v>
      </c>
      <c r="AH556" s="153" t="s">
        <v>1300</v>
      </c>
      <c r="AI556" s="153" t="s">
        <v>6070</v>
      </c>
      <c r="AJ556" s="153"/>
      <c r="AK556" s="153"/>
    </row>
    <row r="557">
      <c r="A557" s="152">
        <v>2025.0</v>
      </c>
      <c r="B557" s="151">
        <v>256.0</v>
      </c>
      <c r="C557" s="153" t="s">
        <v>8189</v>
      </c>
      <c r="D557" s="153"/>
      <c r="E557" s="153" t="s">
        <v>8301</v>
      </c>
      <c r="F557" s="153" t="s">
        <v>7085</v>
      </c>
      <c r="G557" s="153">
        <f>IFERROR(__xludf.DUMMYFUNCTION("""COMPUTED_VALUE"""),77.0)</f>
        <v>77</v>
      </c>
      <c r="H557" s="153" t="s">
        <v>314</v>
      </c>
      <c r="I557" s="153" t="s">
        <v>558</v>
      </c>
      <c r="J557" s="153" t="s">
        <v>559</v>
      </c>
      <c r="K557" s="153" t="s">
        <v>560</v>
      </c>
      <c r="L557" s="153" t="s">
        <v>384</v>
      </c>
      <c r="M557" s="153" t="s">
        <v>561</v>
      </c>
      <c r="N557" s="175" t="s">
        <v>6052</v>
      </c>
      <c r="O557" s="175" t="s">
        <v>6052</v>
      </c>
      <c r="P557" s="175" t="s">
        <v>6053</v>
      </c>
      <c r="Q557" s="153" t="s">
        <v>151</v>
      </c>
      <c r="R557" s="153" t="s">
        <v>6054</v>
      </c>
      <c r="S557" s="158" t="s">
        <v>6054</v>
      </c>
      <c r="T557" s="158" t="s">
        <v>149</v>
      </c>
      <c r="U557" s="153" t="s">
        <v>390</v>
      </c>
      <c r="V557" s="158" t="s">
        <v>160</v>
      </c>
      <c r="W557" s="158" t="s">
        <v>6035</v>
      </c>
      <c r="X557" s="158" t="s">
        <v>149</v>
      </c>
      <c r="Y557" s="158" t="s">
        <v>149</v>
      </c>
      <c r="Z557" s="158" t="s">
        <v>149</v>
      </c>
      <c r="AA557" s="158" t="s">
        <v>149</v>
      </c>
      <c r="AB557" s="153" t="s">
        <v>390</v>
      </c>
      <c r="AC557" s="153" t="s">
        <v>6035</v>
      </c>
      <c r="AD557" s="153" t="s">
        <v>6055</v>
      </c>
      <c r="AE557" s="153"/>
      <c r="AF557" s="153"/>
      <c r="AG557" s="158" t="s">
        <v>395</v>
      </c>
      <c r="AH557" s="153" t="s">
        <v>6060</v>
      </c>
      <c r="AI557" s="158" t="s">
        <v>6711</v>
      </c>
      <c r="AJ557" s="153" t="s">
        <v>398</v>
      </c>
      <c r="AK557" s="153"/>
    </row>
    <row r="558">
      <c r="A558" s="152">
        <v>2025.0</v>
      </c>
      <c r="B558" s="151">
        <v>257.0</v>
      </c>
      <c r="C558" s="153" t="s">
        <v>8189</v>
      </c>
      <c r="D558" s="153"/>
      <c r="E558" s="153" t="s">
        <v>8301</v>
      </c>
      <c r="F558" s="153" t="s">
        <v>7087</v>
      </c>
      <c r="G558" s="153">
        <f>IFERROR(__xludf.DUMMYFUNCTION("""COMPUTED_VALUE"""),78.0)</f>
        <v>78</v>
      </c>
      <c r="H558" s="153" t="s">
        <v>314</v>
      </c>
      <c r="I558" s="153" t="s">
        <v>558</v>
      </c>
      <c r="J558" s="153" t="s">
        <v>2553</v>
      </c>
      <c r="K558" s="153" t="s">
        <v>2554</v>
      </c>
      <c r="L558" s="158" t="s">
        <v>149</v>
      </c>
      <c r="M558" s="153"/>
      <c r="N558" s="175" t="s">
        <v>6089</v>
      </c>
      <c r="O558" s="160" t="s">
        <v>149</v>
      </c>
      <c r="P558" s="160" t="s">
        <v>149</v>
      </c>
      <c r="Q558" s="153" t="s">
        <v>151</v>
      </c>
      <c r="R558" s="158" t="s">
        <v>149</v>
      </c>
      <c r="S558" s="158" t="s">
        <v>149</v>
      </c>
      <c r="T558" s="153" t="s">
        <v>7051</v>
      </c>
      <c r="U558" s="158" t="s">
        <v>149</v>
      </c>
      <c r="V558" s="158" t="s">
        <v>149</v>
      </c>
      <c r="W558" s="158" t="s">
        <v>149</v>
      </c>
      <c r="X558" s="158" t="s">
        <v>149</v>
      </c>
      <c r="Y558" s="158" t="s">
        <v>149</v>
      </c>
      <c r="Z558" s="158" t="s">
        <v>149</v>
      </c>
      <c r="AA558" s="153" t="s">
        <v>2556</v>
      </c>
      <c r="AB558" s="158" t="s">
        <v>149</v>
      </c>
      <c r="AC558" s="158" t="s">
        <v>149</v>
      </c>
      <c r="AD558" s="153" t="s">
        <v>2557</v>
      </c>
      <c r="AE558" s="153"/>
      <c r="AF558" s="153"/>
      <c r="AG558" s="158" t="s">
        <v>166</v>
      </c>
      <c r="AH558" s="153" t="s">
        <v>7088</v>
      </c>
      <c r="AI558" s="165" t="s">
        <v>2559</v>
      </c>
      <c r="AJ558" s="153"/>
      <c r="AK558" s="153"/>
    </row>
    <row r="559">
      <c r="A559" s="152">
        <v>2024.0</v>
      </c>
      <c r="B559" s="151">
        <v>188.0</v>
      </c>
      <c r="C559" s="153"/>
      <c r="D559" s="153"/>
      <c r="E559" s="153" t="s">
        <v>8189</v>
      </c>
      <c r="F559" s="153" t="s">
        <v>8345</v>
      </c>
      <c r="G559" s="153">
        <f>IFERROR(__xludf.DUMMYFUNCTION("""COMPUTED_VALUE"""),79.0)</f>
        <v>79</v>
      </c>
      <c r="H559" s="153" t="s">
        <v>522</v>
      </c>
      <c r="I559" s="153" t="s">
        <v>523</v>
      </c>
      <c r="J559" s="153" t="s">
        <v>1964</v>
      </c>
      <c r="K559" s="153" t="s">
        <v>1965</v>
      </c>
      <c r="L559" s="158" t="s">
        <v>149</v>
      </c>
      <c r="M559" s="153"/>
      <c r="N559" s="230">
        <v>2011.0</v>
      </c>
      <c r="O559" s="230"/>
      <c r="P559" s="230"/>
      <c r="Q559" s="153" t="s">
        <v>6814</v>
      </c>
      <c r="R559" s="153" t="s">
        <v>6288</v>
      </c>
      <c r="S559" s="153"/>
      <c r="T559" s="153" t="s">
        <v>6843</v>
      </c>
      <c r="U559" s="153" t="s">
        <v>2571</v>
      </c>
      <c r="V559" s="153"/>
      <c r="W559" s="153"/>
      <c r="X559" s="153"/>
      <c r="Y559" s="153"/>
      <c r="Z559" s="153"/>
      <c r="AA559" s="153" t="s">
        <v>2573</v>
      </c>
      <c r="AB559" s="153" t="s">
        <v>2574</v>
      </c>
      <c r="AC559" s="153" t="s">
        <v>8005</v>
      </c>
      <c r="AD559" s="153"/>
      <c r="AE559" s="153"/>
      <c r="AF559" s="153"/>
      <c r="AG559" s="153" t="s">
        <v>6084</v>
      </c>
      <c r="AH559" s="153" t="s">
        <v>2576</v>
      </c>
      <c r="AI559" s="165" t="s">
        <v>2577</v>
      </c>
      <c r="AJ559" s="153"/>
      <c r="AK559" s="153"/>
    </row>
    <row r="560">
      <c r="A560" s="152">
        <v>2025.0</v>
      </c>
      <c r="B560" s="151">
        <v>258.0</v>
      </c>
      <c r="C560" s="153" t="s">
        <v>8189</v>
      </c>
      <c r="D560" s="153"/>
      <c r="E560" s="153" t="s">
        <v>8301</v>
      </c>
      <c r="F560" s="153" t="s">
        <v>7092</v>
      </c>
      <c r="G560" s="153">
        <f>IFERROR(__xludf.DUMMYFUNCTION("""COMPUTED_VALUE"""),80.0)</f>
        <v>80</v>
      </c>
      <c r="H560" s="153" t="s">
        <v>314</v>
      </c>
      <c r="I560" s="153" t="s">
        <v>558</v>
      </c>
      <c r="J560" s="153" t="s">
        <v>959</v>
      </c>
      <c r="K560" s="153" t="s">
        <v>960</v>
      </c>
      <c r="L560" s="158" t="s">
        <v>149</v>
      </c>
      <c r="M560" s="153"/>
      <c r="N560" s="175" t="s">
        <v>6268</v>
      </c>
      <c r="O560" s="160" t="s">
        <v>149</v>
      </c>
      <c r="P560" s="160" t="s">
        <v>149</v>
      </c>
      <c r="Q560" s="153" t="s">
        <v>151</v>
      </c>
      <c r="R560" s="158" t="s">
        <v>149</v>
      </c>
      <c r="S560" s="158" t="s">
        <v>149</v>
      </c>
      <c r="T560" s="153" t="s">
        <v>2668</v>
      </c>
      <c r="U560" s="158" t="s">
        <v>149</v>
      </c>
      <c r="V560" s="158" t="s">
        <v>149</v>
      </c>
      <c r="W560" s="158" t="s">
        <v>149</v>
      </c>
      <c r="X560" s="158" t="s">
        <v>149</v>
      </c>
      <c r="Y560" s="158" t="s">
        <v>149</v>
      </c>
      <c r="Z560" s="158" t="s">
        <v>149</v>
      </c>
      <c r="AA560" s="158" t="s">
        <v>149</v>
      </c>
      <c r="AB560" s="153" t="s">
        <v>1974</v>
      </c>
      <c r="AC560" s="153" t="s">
        <v>6035</v>
      </c>
      <c r="AD560" s="153"/>
      <c r="AE560" s="153"/>
      <c r="AF560" s="153"/>
      <c r="AG560" s="158" t="s">
        <v>6214</v>
      </c>
      <c r="AH560" s="153" t="s">
        <v>2669</v>
      </c>
      <c r="AI560" s="165" t="s">
        <v>2670</v>
      </c>
      <c r="AJ560" s="153" t="s">
        <v>2671</v>
      </c>
      <c r="AK560" s="165" t="s">
        <v>2672</v>
      </c>
    </row>
    <row r="561">
      <c r="A561" s="152">
        <v>2025.0</v>
      </c>
      <c r="B561" s="151">
        <v>259.0</v>
      </c>
      <c r="C561" s="153" t="s">
        <v>8189</v>
      </c>
      <c r="D561" s="153"/>
      <c r="E561" s="153" t="s">
        <v>8301</v>
      </c>
      <c r="F561" s="153" t="s">
        <v>7096</v>
      </c>
      <c r="G561" s="153">
        <f>IFERROR(__xludf.DUMMYFUNCTION("""COMPUTED_VALUE"""),81.0)</f>
        <v>81</v>
      </c>
      <c r="H561" s="153" t="s">
        <v>314</v>
      </c>
      <c r="I561" s="153" t="s">
        <v>558</v>
      </c>
      <c r="J561" s="153" t="s">
        <v>959</v>
      </c>
      <c r="K561" s="153" t="s">
        <v>960</v>
      </c>
      <c r="L561" s="153" t="s">
        <v>934</v>
      </c>
      <c r="M561" s="153"/>
      <c r="N561" s="175" t="s">
        <v>6229</v>
      </c>
      <c r="O561" s="175" t="s">
        <v>6229</v>
      </c>
      <c r="P561" s="175" t="s">
        <v>6230</v>
      </c>
      <c r="Q561" s="153" t="s">
        <v>6062</v>
      </c>
      <c r="R561" s="153" t="s">
        <v>6276</v>
      </c>
      <c r="S561" s="153" t="s">
        <v>179</v>
      </c>
      <c r="T561" s="153" t="s">
        <v>939</v>
      </c>
      <c r="U561" s="153" t="s">
        <v>940</v>
      </c>
      <c r="V561" s="158" t="s">
        <v>6154</v>
      </c>
      <c r="W561" s="158" t="s">
        <v>206</v>
      </c>
      <c r="X561" s="158" t="s">
        <v>204</v>
      </c>
      <c r="Y561" s="158" t="s">
        <v>149</v>
      </c>
      <c r="Z561" s="158" t="s">
        <v>149</v>
      </c>
      <c r="AA561" s="158" t="s">
        <v>149</v>
      </c>
      <c r="AB561" s="153" t="s">
        <v>233</v>
      </c>
      <c r="AC561" s="158" t="s">
        <v>6068</v>
      </c>
      <c r="AD561" s="153"/>
      <c r="AE561" s="153"/>
      <c r="AF561" s="153"/>
      <c r="AG561" s="158" t="s">
        <v>6214</v>
      </c>
      <c r="AH561" s="153" t="s">
        <v>941</v>
      </c>
      <c r="AI561" s="153" t="s">
        <v>942</v>
      </c>
      <c r="AJ561" s="153" t="s">
        <v>943</v>
      </c>
      <c r="AK561" s="153"/>
    </row>
    <row r="562">
      <c r="A562" s="152">
        <v>2024.0</v>
      </c>
      <c r="B562" s="151">
        <v>189.0</v>
      </c>
      <c r="C562" s="153"/>
      <c r="D562" s="153"/>
      <c r="E562" s="153" t="s">
        <v>8189</v>
      </c>
      <c r="F562" s="153" t="s">
        <v>8346</v>
      </c>
      <c r="G562" s="153">
        <f>IFERROR(__xludf.DUMMYFUNCTION("""COMPUTED_VALUE"""),82.0)</f>
        <v>82</v>
      </c>
      <c r="H562" s="153" t="s">
        <v>522</v>
      </c>
      <c r="I562" s="153" t="s">
        <v>523</v>
      </c>
      <c r="J562" s="153" t="s">
        <v>1964</v>
      </c>
      <c r="K562" s="153" t="s">
        <v>1965</v>
      </c>
      <c r="L562" s="153" t="s">
        <v>6235</v>
      </c>
      <c r="M562" s="153"/>
      <c r="N562" s="230">
        <v>2024.0</v>
      </c>
      <c r="O562" s="192">
        <v>2021.0</v>
      </c>
      <c r="P562" s="192">
        <v>2025.0</v>
      </c>
      <c r="Q562" s="153" t="s">
        <v>6221</v>
      </c>
      <c r="R562" s="153"/>
      <c r="S562" s="153"/>
      <c r="T562" s="153"/>
      <c r="U562" s="153" t="s">
        <v>203</v>
      </c>
      <c r="V562" s="153"/>
      <c r="W562" s="153"/>
      <c r="X562" s="153"/>
      <c r="Y562" s="153"/>
      <c r="Z562" s="153"/>
      <c r="AA562" s="153"/>
      <c r="AB562" s="153" t="s">
        <v>208</v>
      </c>
      <c r="AC562" s="153" t="s">
        <v>209</v>
      </c>
      <c r="AD562" s="153" t="s">
        <v>211</v>
      </c>
      <c r="AE562" s="153"/>
      <c r="AF562" s="153"/>
      <c r="AG562" s="153" t="s">
        <v>214</v>
      </c>
      <c r="AH562" s="153" t="s">
        <v>214</v>
      </c>
      <c r="AI562" s="239"/>
      <c r="AJ562" s="153"/>
      <c r="AK562" s="153"/>
    </row>
    <row r="563">
      <c r="A563" s="152">
        <v>2025.0</v>
      </c>
      <c r="B563" s="151">
        <v>19.0</v>
      </c>
      <c r="C563" s="153" t="s">
        <v>8189</v>
      </c>
      <c r="D563" s="153"/>
      <c r="E563" s="153" t="s">
        <v>8301</v>
      </c>
      <c r="F563" s="153" t="s">
        <v>6111</v>
      </c>
      <c r="G563" s="153">
        <f>IFERROR(__xludf.DUMMYFUNCTION("""COMPUTED_VALUE"""),83.0)</f>
        <v>83</v>
      </c>
      <c r="H563" s="153" t="s">
        <v>143</v>
      </c>
      <c r="I563" s="153" t="s">
        <v>438</v>
      </c>
      <c r="J563" s="153" t="s">
        <v>2845</v>
      </c>
      <c r="K563" s="153" t="s">
        <v>2846</v>
      </c>
      <c r="L563" s="153" t="s">
        <v>384</v>
      </c>
      <c r="M563" s="153" t="s">
        <v>2847</v>
      </c>
      <c r="N563" s="175" t="s">
        <v>6073</v>
      </c>
      <c r="O563" s="175" t="s">
        <v>6052</v>
      </c>
      <c r="P563" s="175" t="s">
        <v>6053</v>
      </c>
      <c r="Q563" s="153" t="s">
        <v>151</v>
      </c>
      <c r="R563" s="158" t="s">
        <v>6054</v>
      </c>
      <c r="S563" s="158" t="s">
        <v>6054</v>
      </c>
      <c r="T563" s="158" t="s">
        <v>149</v>
      </c>
      <c r="U563" s="153" t="s">
        <v>390</v>
      </c>
      <c r="V563" s="158" t="s">
        <v>160</v>
      </c>
      <c r="W563" s="158" t="s">
        <v>6035</v>
      </c>
      <c r="X563" s="158" t="s">
        <v>159</v>
      </c>
      <c r="Y563" s="158" t="s">
        <v>149</v>
      </c>
      <c r="Z563" s="158" t="s">
        <v>149</v>
      </c>
      <c r="AA563" s="153" t="s">
        <v>2848</v>
      </c>
      <c r="AB563" s="153" t="s">
        <v>390</v>
      </c>
      <c r="AC563" s="153" t="s">
        <v>6035</v>
      </c>
      <c r="AD563" s="153" t="s">
        <v>6055</v>
      </c>
      <c r="AE563" s="153"/>
      <c r="AF563" s="153"/>
      <c r="AG563" s="158" t="s">
        <v>395</v>
      </c>
      <c r="AH563" s="153" t="s">
        <v>6060</v>
      </c>
      <c r="AI563" s="177" t="s">
        <v>397</v>
      </c>
      <c r="AJ563" s="153" t="s">
        <v>398</v>
      </c>
      <c r="AK563" s="153"/>
    </row>
    <row r="564">
      <c r="A564" s="152">
        <v>2023.0</v>
      </c>
      <c r="B564" s="151">
        <v>20.0</v>
      </c>
      <c r="C564" s="129" t="s">
        <v>140</v>
      </c>
      <c r="D564" s="8"/>
      <c r="E564" s="8" t="s">
        <v>8189</v>
      </c>
      <c r="F564" s="8" t="s">
        <v>6116</v>
      </c>
      <c r="G564" s="8">
        <f>IFERROR(__xludf.DUMMYFUNCTION("""COMPUTED_VALUE"""),84.0)</f>
        <v>84</v>
      </c>
      <c r="H564" s="8" t="s">
        <v>143</v>
      </c>
      <c r="I564" s="8" t="s">
        <v>438</v>
      </c>
      <c r="J564" s="8" t="s">
        <v>2845</v>
      </c>
      <c r="K564" s="277" t="s">
        <v>2846</v>
      </c>
      <c r="L564" s="8" t="s">
        <v>384</v>
      </c>
      <c r="M564" s="8" t="s">
        <v>2847</v>
      </c>
      <c r="N564" s="278" t="s">
        <v>6073</v>
      </c>
      <c r="O564" s="142" t="s">
        <v>6052</v>
      </c>
      <c r="P564" s="142" t="s">
        <v>6053</v>
      </c>
      <c r="Q564" s="8" t="s">
        <v>151</v>
      </c>
      <c r="R564" s="8" t="s">
        <v>6054</v>
      </c>
      <c r="U564" s="8" t="s">
        <v>390</v>
      </c>
      <c r="AA564" s="8" t="s">
        <v>2848</v>
      </c>
      <c r="AB564" s="8" t="s">
        <v>390</v>
      </c>
      <c r="AD564" s="8" t="s">
        <v>6055</v>
      </c>
      <c r="AH564" s="8" t="s">
        <v>6057</v>
      </c>
      <c r="AI564" s="8" t="s">
        <v>2873</v>
      </c>
      <c r="AJ564" s="8" t="s">
        <v>398</v>
      </c>
    </row>
    <row r="565">
      <c r="A565" s="152">
        <v>2024.0</v>
      </c>
      <c r="B565" s="151">
        <v>190.0</v>
      </c>
      <c r="C565" s="153"/>
      <c r="D565" s="153"/>
      <c r="E565" s="153" t="s">
        <v>8189</v>
      </c>
      <c r="F565" s="153" t="s">
        <v>8347</v>
      </c>
      <c r="G565" s="153">
        <f>IFERROR(__xludf.DUMMYFUNCTION("""COMPUTED_VALUE"""),85.0)</f>
        <v>85</v>
      </c>
      <c r="H565" s="153" t="s">
        <v>522</v>
      </c>
      <c r="I565" s="153" t="s">
        <v>523</v>
      </c>
      <c r="J565" s="153" t="s">
        <v>2114</v>
      </c>
      <c r="K565" s="153" t="s">
        <v>2115</v>
      </c>
      <c r="L565" s="153" t="s">
        <v>2116</v>
      </c>
      <c r="M565" s="153"/>
      <c r="N565" s="230">
        <v>2016.0</v>
      </c>
      <c r="O565" s="230"/>
      <c r="P565" s="230"/>
      <c r="Q565" s="153" t="s">
        <v>151</v>
      </c>
      <c r="R565" s="153" t="s">
        <v>2116</v>
      </c>
      <c r="S565" s="153"/>
      <c r="T565" s="153" t="s">
        <v>6849</v>
      </c>
      <c r="U565" s="153" t="s">
        <v>2120</v>
      </c>
      <c r="V565" s="153"/>
      <c r="W565" s="153"/>
      <c r="X565" s="153"/>
      <c r="Y565" s="153"/>
      <c r="Z565" s="153"/>
      <c r="AA565" s="153"/>
      <c r="AB565" s="153" t="s">
        <v>2120</v>
      </c>
      <c r="AC565" s="153" t="s">
        <v>306</v>
      </c>
      <c r="AD565" s="153" t="s">
        <v>369</v>
      </c>
      <c r="AE565" s="153"/>
      <c r="AF565" s="153"/>
      <c r="AG565" s="158" t="s">
        <v>1159</v>
      </c>
      <c r="AH565" s="153" t="s">
        <v>6835</v>
      </c>
      <c r="AI565" s="165" t="s">
        <v>2124</v>
      </c>
      <c r="AJ565" s="153" t="s">
        <v>2125</v>
      </c>
      <c r="AK565" s="165" t="s">
        <v>2126</v>
      </c>
    </row>
    <row r="566">
      <c r="A566" s="152">
        <v>2025.0</v>
      </c>
      <c r="B566" s="151">
        <v>20.0</v>
      </c>
      <c r="C566" s="153" t="s">
        <v>8189</v>
      </c>
      <c r="D566" s="153"/>
      <c r="E566" s="153" t="s">
        <v>8301</v>
      </c>
      <c r="F566" s="153" t="s">
        <v>6115</v>
      </c>
      <c r="G566" s="153">
        <f>IFERROR(__xludf.DUMMYFUNCTION("""COMPUTED_VALUE"""),86.0)</f>
        <v>86</v>
      </c>
      <c r="H566" s="153" t="s">
        <v>143</v>
      </c>
      <c r="I566" s="153" t="s">
        <v>438</v>
      </c>
      <c r="J566" s="153" t="s">
        <v>439</v>
      </c>
      <c r="K566" s="153" t="s">
        <v>440</v>
      </c>
      <c r="L566" s="153" t="s">
        <v>384</v>
      </c>
      <c r="M566" s="153" t="s">
        <v>441</v>
      </c>
      <c r="N566" s="175" t="s">
        <v>6051</v>
      </c>
      <c r="O566" s="175" t="s">
        <v>6052</v>
      </c>
      <c r="P566" s="175" t="s">
        <v>6053</v>
      </c>
      <c r="Q566" s="153" t="s">
        <v>151</v>
      </c>
      <c r="R566" s="153" t="s">
        <v>6054</v>
      </c>
      <c r="S566" s="158" t="s">
        <v>6054</v>
      </c>
      <c r="T566" s="158" t="s">
        <v>149</v>
      </c>
      <c r="U566" s="153" t="s">
        <v>390</v>
      </c>
      <c r="V566" s="158" t="s">
        <v>160</v>
      </c>
      <c r="W566" s="158" t="s">
        <v>6035</v>
      </c>
      <c r="X566" s="158" t="s">
        <v>159</v>
      </c>
      <c r="Y566" s="158" t="s">
        <v>149</v>
      </c>
      <c r="Z566" s="158" t="s">
        <v>149</v>
      </c>
      <c r="AA566" s="153" t="s">
        <v>391</v>
      </c>
      <c r="AB566" s="153" t="s">
        <v>390</v>
      </c>
      <c r="AC566" s="153" t="s">
        <v>6035</v>
      </c>
      <c r="AD566" s="153" t="s">
        <v>6055</v>
      </c>
      <c r="AE566" s="153"/>
      <c r="AF566" s="153"/>
      <c r="AG566" s="158" t="s">
        <v>395</v>
      </c>
      <c r="AH566" s="153" t="s">
        <v>6060</v>
      </c>
      <c r="AI566" s="177" t="s">
        <v>397</v>
      </c>
      <c r="AJ566" s="153" t="s">
        <v>398</v>
      </c>
      <c r="AK566" s="153"/>
    </row>
    <row r="567">
      <c r="A567" s="152">
        <v>2023.0</v>
      </c>
      <c r="B567" s="151">
        <v>21.0</v>
      </c>
      <c r="C567" s="129" t="s">
        <v>140</v>
      </c>
      <c r="D567" s="8"/>
      <c r="E567" s="8" t="s">
        <v>8189</v>
      </c>
      <c r="F567" s="8" t="s">
        <v>8348</v>
      </c>
      <c r="G567" s="8">
        <f>IFERROR(__xludf.DUMMYFUNCTION("""COMPUTED_VALUE"""),87.0)</f>
        <v>87</v>
      </c>
      <c r="H567" s="8" t="s">
        <v>143</v>
      </c>
      <c r="I567" s="8" t="s">
        <v>438</v>
      </c>
      <c r="J567" s="8" t="s">
        <v>2845</v>
      </c>
      <c r="K567" s="153" t="s">
        <v>2846</v>
      </c>
      <c r="L567" s="8" t="s">
        <v>6113</v>
      </c>
      <c r="N567" s="142" t="s">
        <v>6089</v>
      </c>
      <c r="O567" s="142"/>
      <c r="P567" s="142"/>
      <c r="Q567" s="8" t="s">
        <v>151</v>
      </c>
      <c r="AB567" s="8" t="s">
        <v>6140</v>
      </c>
    </row>
    <row r="568">
      <c r="A568" s="152">
        <v>2024.0</v>
      </c>
      <c r="B568" s="151">
        <v>191.0</v>
      </c>
      <c r="C568" s="153"/>
      <c r="D568" s="153"/>
      <c r="E568" s="153" t="s">
        <v>8189</v>
      </c>
      <c r="F568" s="153" t="s">
        <v>8349</v>
      </c>
      <c r="G568" s="153">
        <f>IFERROR(__xludf.DUMMYFUNCTION("""COMPUTED_VALUE"""),88.0)</f>
        <v>88</v>
      </c>
      <c r="H568" s="153" t="s">
        <v>522</v>
      </c>
      <c r="I568" s="153" t="s">
        <v>529</v>
      </c>
      <c r="J568" s="153" t="s">
        <v>530</v>
      </c>
      <c r="K568" s="153" t="s">
        <v>531</v>
      </c>
      <c r="L568" s="153" t="s">
        <v>384</v>
      </c>
      <c r="M568" s="153" t="s">
        <v>532</v>
      </c>
      <c r="N568" s="230">
        <v>1985.0</v>
      </c>
      <c r="O568" s="230">
        <v>1985.0</v>
      </c>
      <c r="P568" s="230">
        <v>1987.0</v>
      </c>
      <c r="Q568" s="153" t="s">
        <v>151</v>
      </c>
      <c r="R568" s="153" t="s">
        <v>469</v>
      </c>
      <c r="S568" s="153"/>
      <c r="T568" s="153"/>
      <c r="U568" s="153" t="s">
        <v>390</v>
      </c>
      <c r="V568" s="153"/>
      <c r="W568" s="153"/>
      <c r="X568" s="153"/>
      <c r="Y568" s="153"/>
      <c r="Z568" s="153"/>
      <c r="AA568" s="153" t="s">
        <v>533</v>
      </c>
      <c r="AB568" s="153" t="s">
        <v>390</v>
      </c>
      <c r="AC568" s="153" t="s">
        <v>6035</v>
      </c>
      <c r="AD568" s="153" t="s">
        <v>6055</v>
      </c>
      <c r="AE568" s="153"/>
      <c r="AF568" s="153"/>
      <c r="AG568" s="153" t="s">
        <v>8004</v>
      </c>
      <c r="AH568" s="153" t="s">
        <v>6060</v>
      </c>
      <c r="AI568" s="153" t="s">
        <v>2873</v>
      </c>
      <c r="AJ568" s="153" t="s">
        <v>398</v>
      </c>
      <c r="AK568" s="239"/>
    </row>
    <row r="569">
      <c r="A569" s="152">
        <v>2025.0</v>
      </c>
      <c r="B569" s="151">
        <v>21.0</v>
      </c>
      <c r="C569" s="153" t="s">
        <v>8189</v>
      </c>
      <c r="D569" s="153"/>
      <c r="E569" s="153" t="s">
        <v>8301</v>
      </c>
      <c r="F569" s="153" t="s">
        <v>6117</v>
      </c>
      <c r="G569" s="153">
        <f>IFERROR(__xludf.DUMMYFUNCTION("""COMPUTED_VALUE"""),89.0)</f>
        <v>89</v>
      </c>
      <c r="H569" s="153" t="s">
        <v>143</v>
      </c>
      <c r="I569" s="153" t="s">
        <v>438</v>
      </c>
      <c r="J569" s="153" t="s">
        <v>1633</v>
      </c>
      <c r="K569" s="153" t="s">
        <v>1634</v>
      </c>
      <c r="L569" s="153" t="s">
        <v>1635</v>
      </c>
      <c r="M569" s="153"/>
      <c r="N569" s="175" t="s">
        <v>6030</v>
      </c>
      <c r="O569" s="160" t="s">
        <v>149</v>
      </c>
      <c r="P569" s="160" t="s">
        <v>149</v>
      </c>
      <c r="Q569" s="153" t="s">
        <v>151</v>
      </c>
      <c r="R569" s="158" t="s">
        <v>153</v>
      </c>
      <c r="S569" s="158" t="s">
        <v>153</v>
      </c>
      <c r="T569" s="158" t="s">
        <v>1647</v>
      </c>
      <c r="U569" s="158" t="s">
        <v>158</v>
      </c>
      <c r="V569" s="158" t="s">
        <v>160</v>
      </c>
      <c r="W569" s="158" t="s">
        <v>6035</v>
      </c>
      <c r="X569" s="158" t="s">
        <v>159</v>
      </c>
      <c r="Y569" s="158" t="s">
        <v>149</v>
      </c>
      <c r="Z569" s="158" t="s">
        <v>149</v>
      </c>
      <c r="AA569" s="158" t="s">
        <v>6127</v>
      </c>
      <c r="AB569" s="153" t="s">
        <v>158</v>
      </c>
      <c r="AC569" s="153" t="s">
        <v>6035</v>
      </c>
      <c r="AD569" s="158" t="s">
        <v>6128</v>
      </c>
      <c r="AE569" s="158"/>
      <c r="AF569" s="158"/>
      <c r="AG569" s="158" t="s">
        <v>166</v>
      </c>
      <c r="AH569" s="153" t="s">
        <v>1640</v>
      </c>
      <c r="AI569" s="172" t="s">
        <v>1641</v>
      </c>
      <c r="AJ569" s="153"/>
      <c r="AK569" s="153"/>
    </row>
    <row r="570">
      <c r="A570" s="152">
        <v>2023.0</v>
      </c>
      <c r="B570" s="151">
        <v>22.0</v>
      </c>
      <c r="C570" s="129" t="s">
        <v>140</v>
      </c>
      <c r="D570" s="8"/>
      <c r="E570" s="8" t="s">
        <v>8189</v>
      </c>
      <c r="F570" s="8" t="s">
        <v>8350</v>
      </c>
      <c r="G570" s="8">
        <f>IFERROR(__xludf.DUMMYFUNCTION("""COMPUTED_VALUE"""),90.0)</f>
        <v>90</v>
      </c>
      <c r="H570" s="8" t="s">
        <v>143</v>
      </c>
      <c r="I570" s="8" t="s">
        <v>438</v>
      </c>
      <c r="J570" s="8" t="s">
        <v>439</v>
      </c>
      <c r="K570" s="277" t="s">
        <v>440</v>
      </c>
      <c r="L570" s="8" t="s">
        <v>384</v>
      </c>
      <c r="M570" s="8" t="s">
        <v>441</v>
      </c>
      <c r="N570" s="142" t="s">
        <v>6051</v>
      </c>
      <c r="O570" s="142" t="s">
        <v>6052</v>
      </c>
      <c r="P570" s="142" t="s">
        <v>6053</v>
      </c>
      <c r="Q570" s="8" t="s">
        <v>151</v>
      </c>
      <c r="R570" s="8" t="s">
        <v>6054</v>
      </c>
      <c r="U570" s="8" t="s">
        <v>390</v>
      </c>
      <c r="AA570" s="8" t="s">
        <v>391</v>
      </c>
      <c r="AB570" s="8" t="s">
        <v>390</v>
      </c>
      <c r="AD570" s="8" t="s">
        <v>6055</v>
      </c>
      <c r="AH570" s="8" t="s">
        <v>6057</v>
      </c>
      <c r="AI570" s="8" t="s">
        <v>2873</v>
      </c>
      <c r="AJ570" s="8" t="s">
        <v>398</v>
      </c>
    </row>
    <row r="571">
      <c r="A571" s="152">
        <v>2024.0</v>
      </c>
      <c r="B571" s="151">
        <v>192.0</v>
      </c>
      <c r="C571" s="153"/>
      <c r="D571" s="153"/>
      <c r="E571" s="153" t="s">
        <v>8189</v>
      </c>
      <c r="F571" s="153" t="s">
        <v>8351</v>
      </c>
      <c r="G571" s="153">
        <f>IFERROR(__xludf.DUMMYFUNCTION("""COMPUTED_VALUE"""),91.0)</f>
        <v>91</v>
      </c>
      <c r="H571" s="153" t="s">
        <v>522</v>
      </c>
      <c r="I571" s="153" t="s">
        <v>529</v>
      </c>
      <c r="J571" s="153" t="s">
        <v>1120</v>
      </c>
      <c r="K571" s="153" t="s">
        <v>1121</v>
      </c>
      <c r="L571" s="153" t="s">
        <v>1122</v>
      </c>
      <c r="M571" s="153"/>
      <c r="N571" s="230">
        <v>2013.0</v>
      </c>
      <c r="O571" s="230"/>
      <c r="P571" s="230"/>
      <c r="Q571" s="153" t="s">
        <v>151</v>
      </c>
      <c r="R571" s="153" t="s">
        <v>6076</v>
      </c>
      <c r="S571" s="153"/>
      <c r="T571" s="153"/>
      <c r="U571" s="158" t="s">
        <v>369</v>
      </c>
      <c r="V571" s="158"/>
      <c r="W571" s="158"/>
      <c r="X571" s="158"/>
      <c r="Y571" s="188">
        <v>1000000.0</v>
      </c>
      <c r="Z571" s="153"/>
      <c r="AA571" s="153" t="s">
        <v>795</v>
      </c>
      <c r="AB571" s="153" t="s">
        <v>1127</v>
      </c>
      <c r="AC571" s="153" t="s">
        <v>306</v>
      </c>
      <c r="AD571" s="153" t="s">
        <v>369</v>
      </c>
      <c r="AE571" s="153"/>
      <c r="AF571" s="153"/>
      <c r="AG571" s="153" t="s">
        <v>8006</v>
      </c>
      <c r="AH571" s="153" t="s">
        <v>1128</v>
      </c>
      <c r="AI571" s="172" t="s">
        <v>1129</v>
      </c>
      <c r="AJ571" s="153"/>
      <c r="AK571" s="239"/>
    </row>
    <row r="572">
      <c r="A572" s="152">
        <v>2025.0</v>
      </c>
      <c r="B572" s="151">
        <v>22.0</v>
      </c>
      <c r="C572" s="153" t="s">
        <v>8189</v>
      </c>
      <c r="D572" s="153"/>
      <c r="E572" s="153" t="s">
        <v>8301</v>
      </c>
      <c r="F572" s="153" t="s">
        <v>6120</v>
      </c>
      <c r="G572" s="153">
        <f>IFERROR(__xludf.DUMMYFUNCTION("""COMPUTED_VALUE"""),92.0)</f>
        <v>92</v>
      </c>
      <c r="H572" s="153" t="s">
        <v>143</v>
      </c>
      <c r="I572" s="153" t="s">
        <v>438</v>
      </c>
      <c r="J572" s="153" t="s">
        <v>6121</v>
      </c>
      <c r="K572" s="153" t="s">
        <v>1565</v>
      </c>
      <c r="L572" s="153" t="s">
        <v>6122</v>
      </c>
      <c r="M572" s="153"/>
      <c r="N572" s="175" t="s">
        <v>6030</v>
      </c>
      <c r="O572" s="160" t="s">
        <v>149</v>
      </c>
      <c r="P572" s="160" t="s">
        <v>149</v>
      </c>
      <c r="Q572" s="153" t="s">
        <v>151</v>
      </c>
      <c r="R572" s="158" t="s">
        <v>149</v>
      </c>
      <c r="S572" s="158" t="s">
        <v>149</v>
      </c>
      <c r="T572" s="158" t="s">
        <v>6130</v>
      </c>
      <c r="U572" s="153" t="s">
        <v>6124</v>
      </c>
      <c r="V572" s="158" t="s">
        <v>160</v>
      </c>
      <c r="W572" s="158" t="s">
        <v>271</v>
      </c>
      <c r="X572" s="158" t="s">
        <v>159</v>
      </c>
      <c r="Y572" s="158" t="s">
        <v>149</v>
      </c>
      <c r="Z572" s="158" t="s">
        <v>149</v>
      </c>
      <c r="AA572" s="153" t="s">
        <v>1536</v>
      </c>
      <c r="AB572" s="158" t="s">
        <v>6125</v>
      </c>
      <c r="AC572" s="153" t="s">
        <v>6035</v>
      </c>
      <c r="AD572" s="158" t="s">
        <v>369</v>
      </c>
      <c r="AE572" s="158" t="s">
        <v>6131</v>
      </c>
      <c r="AF572" s="158"/>
      <c r="AG572" s="158" t="s">
        <v>166</v>
      </c>
      <c r="AH572" s="153" t="s">
        <v>1574</v>
      </c>
      <c r="AI572" s="165" t="s">
        <v>1575</v>
      </c>
      <c r="AJ572" s="153"/>
      <c r="AK572" s="153" t="s">
        <v>1577</v>
      </c>
    </row>
    <row r="573">
      <c r="A573" s="152">
        <v>2024.0</v>
      </c>
      <c r="B573" s="151">
        <v>193.0</v>
      </c>
      <c r="C573" s="153"/>
      <c r="D573" s="153"/>
      <c r="E573" s="153" t="s">
        <v>8189</v>
      </c>
      <c r="F573" s="153" t="s">
        <v>8352</v>
      </c>
      <c r="G573" s="153">
        <f>IFERROR(__xludf.DUMMYFUNCTION("""COMPUTED_VALUE"""),93.0)</f>
        <v>93</v>
      </c>
      <c r="H573" s="153" t="s">
        <v>535</v>
      </c>
      <c r="I573" s="153" t="s">
        <v>893</v>
      </c>
      <c r="J573" s="153" t="s">
        <v>1622</v>
      </c>
      <c r="K573" s="153" t="s">
        <v>1623</v>
      </c>
      <c r="L573" s="158" t="s">
        <v>149</v>
      </c>
      <c r="M573" s="153"/>
      <c r="N573" s="230">
        <v>2022.0</v>
      </c>
      <c r="O573" s="230" t="s">
        <v>8035</v>
      </c>
      <c r="P573" s="230"/>
      <c r="Q573" s="153" t="s">
        <v>6062</v>
      </c>
      <c r="R573" s="153" t="s">
        <v>320</v>
      </c>
      <c r="S573" s="153"/>
      <c r="T573" s="153" t="s">
        <v>6861</v>
      </c>
      <c r="U573" s="153" t="s">
        <v>1627</v>
      </c>
      <c r="V573" s="153"/>
      <c r="W573" s="153"/>
      <c r="X573" s="153"/>
      <c r="Y573" s="153"/>
      <c r="Z573" s="153"/>
      <c r="AA573" s="153"/>
      <c r="AB573" s="153" t="s">
        <v>1627</v>
      </c>
      <c r="AC573" s="153" t="s">
        <v>6035</v>
      </c>
      <c r="AD573" s="153"/>
      <c r="AE573" s="153"/>
      <c r="AF573" s="153"/>
      <c r="AG573" s="153" t="s">
        <v>8006</v>
      </c>
      <c r="AH573" s="153" t="s">
        <v>1630</v>
      </c>
      <c r="AI573" s="153" t="s">
        <v>1631</v>
      </c>
      <c r="AJ573" s="153"/>
      <c r="AK573" s="153"/>
    </row>
    <row r="574">
      <c r="A574" s="152">
        <v>2023.0</v>
      </c>
      <c r="B574" s="151">
        <v>23.0</v>
      </c>
      <c r="C574" s="129" t="s">
        <v>140</v>
      </c>
      <c r="D574" s="8"/>
      <c r="E574" s="8" t="s">
        <v>8189</v>
      </c>
      <c r="F574" s="8" t="s">
        <v>8353</v>
      </c>
      <c r="G574" s="8">
        <f>IFERROR(__xludf.DUMMYFUNCTION("""COMPUTED_VALUE"""),94.0)</f>
        <v>94</v>
      </c>
      <c r="H574" s="8" t="s">
        <v>143</v>
      </c>
      <c r="I574" s="8" t="s">
        <v>438</v>
      </c>
      <c r="J574" s="8" t="s">
        <v>439</v>
      </c>
      <c r="K574" s="153" t="s">
        <v>440</v>
      </c>
      <c r="L574" s="8" t="s">
        <v>1144</v>
      </c>
      <c r="N574" s="142" t="s">
        <v>6063</v>
      </c>
      <c r="O574" s="142"/>
      <c r="P574" s="142"/>
      <c r="Q574" s="8" t="s">
        <v>151</v>
      </c>
      <c r="U574" s="8" t="s">
        <v>1146</v>
      </c>
      <c r="AB574" s="8" t="s">
        <v>6186</v>
      </c>
    </row>
    <row r="575">
      <c r="A575" s="152">
        <v>2024.0</v>
      </c>
      <c r="B575" s="151">
        <v>194.0</v>
      </c>
      <c r="C575" s="153"/>
      <c r="D575" s="153"/>
      <c r="E575" s="153" t="s">
        <v>8189</v>
      </c>
      <c r="F575" s="153" t="s">
        <v>8354</v>
      </c>
      <c r="G575" s="153">
        <f>IFERROR(__xludf.DUMMYFUNCTION("""COMPUTED_VALUE"""),95.0)</f>
        <v>95</v>
      </c>
      <c r="H575" s="153" t="s">
        <v>535</v>
      </c>
      <c r="I575" s="153" t="s">
        <v>893</v>
      </c>
      <c r="J575" s="153" t="s">
        <v>8036</v>
      </c>
      <c r="K575" s="153" t="s">
        <v>1876</v>
      </c>
      <c r="L575" s="158" t="s">
        <v>149</v>
      </c>
      <c r="M575" s="153"/>
      <c r="N575" s="230" t="s">
        <v>6113</v>
      </c>
      <c r="O575" s="230"/>
      <c r="P575" s="230"/>
      <c r="Q575" s="153" t="s">
        <v>6062</v>
      </c>
      <c r="R575" s="153" t="s">
        <v>320</v>
      </c>
      <c r="S575" s="153"/>
      <c r="T575" s="153" t="s">
        <v>6863</v>
      </c>
      <c r="U575" s="153" t="s">
        <v>369</v>
      </c>
      <c r="V575" s="153"/>
      <c r="W575" s="153"/>
      <c r="X575" s="153"/>
      <c r="Y575" s="153"/>
      <c r="Z575" s="153"/>
      <c r="AA575" s="153"/>
      <c r="AB575" s="153" t="s">
        <v>369</v>
      </c>
      <c r="AC575" s="153" t="s">
        <v>6035</v>
      </c>
      <c r="AD575" s="153" t="s">
        <v>6853</v>
      </c>
      <c r="AE575" s="153" t="s">
        <v>2359</v>
      </c>
      <c r="AF575" s="153"/>
      <c r="AG575" s="153" t="s">
        <v>7902</v>
      </c>
      <c r="AH575" s="153" t="s">
        <v>2360</v>
      </c>
      <c r="AI575" s="172" t="s">
        <v>2361</v>
      </c>
      <c r="AJ575" s="153"/>
      <c r="AK575" s="153"/>
    </row>
    <row r="576">
      <c r="A576" s="152">
        <v>2025.0</v>
      </c>
      <c r="B576" s="151">
        <v>23.0</v>
      </c>
      <c r="C576" s="153" t="s">
        <v>8189</v>
      </c>
      <c r="D576" s="153"/>
      <c r="E576" s="153" t="s">
        <v>8301</v>
      </c>
      <c r="F576" s="153" t="s">
        <v>6129</v>
      </c>
      <c r="G576" s="153">
        <f>IFERROR(__xludf.DUMMYFUNCTION("""COMPUTED_VALUE"""),96.0)</f>
        <v>96</v>
      </c>
      <c r="H576" s="153" t="s">
        <v>143</v>
      </c>
      <c r="I576" s="153" t="s">
        <v>438</v>
      </c>
      <c r="J576" s="153" t="s">
        <v>6121</v>
      </c>
      <c r="K576" s="153" t="s">
        <v>1565</v>
      </c>
      <c r="L576" s="153" t="s">
        <v>1635</v>
      </c>
      <c r="M576" s="153"/>
      <c r="N576" s="175" t="s">
        <v>6030</v>
      </c>
      <c r="O576" s="160" t="s">
        <v>149</v>
      </c>
      <c r="P576" s="160" t="s">
        <v>149</v>
      </c>
      <c r="Q576" s="153" t="s">
        <v>151</v>
      </c>
      <c r="R576" s="158" t="s">
        <v>153</v>
      </c>
      <c r="S576" s="158" t="s">
        <v>153</v>
      </c>
      <c r="T576" s="158" t="s">
        <v>1647</v>
      </c>
      <c r="U576" s="158" t="s">
        <v>158</v>
      </c>
      <c r="V576" s="158" t="s">
        <v>160</v>
      </c>
      <c r="W576" s="158" t="s">
        <v>6035</v>
      </c>
      <c r="X576" s="158" t="s">
        <v>159</v>
      </c>
      <c r="Y576" s="158" t="s">
        <v>149</v>
      </c>
      <c r="Z576" s="158" t="s">
        <v>149</v>
      </c>
      <c r="AA576" s="158" t="s">
        <v>6127</v>
      </c>
      <c r="AB576" s="158" t="s">
        <v>158</v>
      </c>
      <c r="AC576" s="153" t="s">
        <v>6035</v>
      </c>
      <c r="AD576" s="158" t="s">
        <v>6128</v>
      </c>
      <c r="AE576" s="158"/>
      <c r="AF576" s="153"/>
      <c r="AG576" s="158" t="s">
        <v>166</v>
      </c>
      <c r="AH576" s="153" t="s">
        <v>1640</v>
      </c>
      <c r="AI576" s="153" t="s">
        <v>1641</v>
      </c>
      <c r="AJ576" s="153"/>
      <c r="AK576" s="153"/>
    </row>
    <row r="577">
      <c r="A577" s="152">
        <v>2023.0</v>
      </c>
      <c r="B577" s="151">
        <v>24.0</v>
      </c>
      <c r="C577" s="129" t="s">
        <v>140</v>
      </c>
      <c r="D577" s="8"/>
      <c r="E577" s="8" t="s">
        <v>8189</v>
      </c>
      <c r="F577" s="8" t="s">
        <v>8355</v>
      </c>
      <c r="G577" s="8">
        <f>IFERROR(__xludf.DUMMYFUNCTION("""COMPUTED_VALUE"""),97.0)</f>
        <v>97</v>
      </c>
      <c r="H577" s="8" t="s">
        <v>143</v>
      </c>
      <c r="I577" s="8" t="s">
        <v>438</v>
      </c>
      <c r="J577" s="8" t="s">
        <v>1633</v>
      </c>
      <c r="K577" s="153" t="s">
        <v>1634</v>
      </c>
      <c r="L577" s="8" t="s">
        <v>1635</v>
      </c>
      <c r="N577" s="142" t="s">
        <v>6030</v>
      </c>
      <c r="O577" s="142"/>
      <c r="P577" s="142"/>
      <c r="Q577" s="8" t="s">
        <v>151</v>
      </c>
      <c r="U577" s="8" t="s">
        <v>341</v>
      </c>
      <c r="AB577" s="8" t="s">
        <v>6118</v>
      </c>
    </row>
    <row r="578">
      <c r="A578" s="152">
        <v>2024.0</v>
      </c>
      <c r="B578" s="151">
        <v>195.0</v>
      </c>
      <c r="C578" s="153"/>
      <c r="D578" s="153"/>
      <c r="E578" s="153" t="s">
        <v>8189</v>
      </c>
      <c r="F578" s="153" t="s">
        <v>8356</v>
      </c>
      <c r="G578" s="153">
        <f>IFERROR(__xludf.DUMMYFUNCTION("""COMPUTED_VALUE"""),98.0)</f>
        <v>98</v>
      </c>
      <c r="H578" s="153" t="s">
        <v>535</v>
      </c>
      <c r="I578" s="153" t="s">
        <v>893</v>
      </c>
      <c r="J578" s="153" t="s">
        <v>2450</v>
      </c>
      <c r="K578" s="153" t="s">
        <v>2451</v>
      </c>
      <c r="L578" s="158" t="s">
        <v>149</v>
      </c>
      <c r="M578" s="153" t="s">
        <v>8037</v>
      </c>
      <c r="N578" s="230" t="s">
        <v>8038</v>
      </c>
      <c r="O578" s="230"/>
      <c r="P578" s="230"/>
      <c r="Q578" s="153" t="s">
        <v>151</v>
      </c>
      <c r="R578" s="153" t="s">
        <v>2468</v>
      </c>
      <c r="S578" s="153"/>
      <c r="T578" s="153" t="s">
        <v>2452</v>
      </c>
      <c r="U578" s="153" t="s">
        <v>8039</v>
      </c>
      <c r="V578" s="153"/>
      <c r="W578" s="153"/>
      <c r="X578" s="153"/>
      <c r="Y578" s="153"/>
      <c r="Z578" s="153"/>
      <c r="AA578" s="153" t="s">
        <v>782</v>
      </c>
      <c r="AB578" s="153" t="s">
        <v>390</v>
      </c>
      <c r="AC578" s="153" t="s">
        <v>6035</v>
      </c>
      <c r="AD578" s="153" t="s">
        <v>369</v>
      </c>
      <c r="AE578" s="153"/>
      <c r="AF578" s="153"/>
      <c r="AG578" s="153" t="s">
        <v>6038</v>
      </c>
      <c r="AH578" s="153" t="s">
        <v>2454</v>
      </c>
      <c r="AI578" s="172" t="s">
        <v>2455</v>
      </c>
      <c r="AJ578" s="153"/>
      <c r="AK578" s="153"/>
    </row>
    <row r="579">
      <c r="A579" s="152">
        <v>2025.0</v>
      </c>
      <c r="B579" s="151">
        <v>24.0</v>
      </c>
      <c r="C579" s="153" t="s">
        <v>8189</v>
      </c>
      <c r="D579" s="153"/>
      <c r="E579" s="153" t="s">
        <v>8301</v>
      </c>
      <c r="F579" s="153" t="s">
        <v>6132</v>
      </c>
      <c r="G579" s="153">
        <f>IFERROR(__xludf.DUMMYFUNCTION("""COMPUTED_VALUE"""),99.0)</f>
        <v>99</v>
      </c>
      <c r="H579" s="153" t="s">
        <v>143</v>
      </c>
      <c r="I579" s="153" t="s">
        <v>438</v>
      </c>
      <c r="J579" s="153" t="s">
        <v>443</v>
      </c>
      <c r="K579" s="153" t="s">
        <v>444</v>
      </c>
      <c r="L579" s="153" t="s">
        <v>384</v>
      </c>
      <c r="M579" s="153" t="s">
        <v>445</v>
      </c>
      <c r="N579" s="175" t="s">
        <v>6051</v>
      </c>
      <c r="O579" s="175" t="s">
        <v>6052</v>
      </c>
      <c r="P579" s="175" t="s">
        <v>6053</v>
      </c>
      <c r="Q579" s="153" t="s">
        <v>151</v>
      </c>
      <c r="R579" s="158" t="s">
        <v>149</v>
      </c>
      <c r="S579" s="158" t="s">
        <v>149</v>
      </c>
      <c r="T579" s="158" t="s">
        <v>149</v>
      </c>
      <c r="U579" s="153" t="s">
        <v>390</v>
      </c>
      <c r="V579" s="158" t="s">
        <v>160</v>
      </c>
      <c r="W579" s="158" t="s">
        <v>6035</v>
      </c>
      <c r="X579" s="158" t="s">
        <v>159</v>
      </c>
      <c r="Y579" s="158" t="s">
        <v>149</v>
      </c>
      <c r="Z579" s="158" t="s">
        <v>149</v>
      </c>
      <c r="AA579" s="158" t="s">
        <v>149</v>
      </c>
      <c r="AB579" s="153" t="s">
        <v>390</v>
      </c>
      <c r="AC579" s="153" t="s">
        <v>6035</v>
      </c>
      <c r="AD579" s="153" t="s">
        <v>6055</v>
      </c>
      <c r="AE579" s="153"/>
      <c r="AF579" s="153"/>
      <c r="AG579" s="158" t="s">
        <v>395</v>
      </c>
      <c r="AH579" s="153" t="s">
        <v>6060</v>
      </c>
      <c r="AI579" s="177" t="s">
        <v>397</v>
      </c>
      <c r="AJ579" s="153" t="s">
        <v>398</v>
      </c>
      <c r="AK579" s="153"/>
    </row>
    <row r="580">
      <c r="A580" s="152">
        <v>2023.0</v>
      </c>
      <c r="B580" s="151">
        <v>25.0</v>
      </c>
      <c r="C580" s="129" t="s">
        <v>140</v>
      </c>
      <c r="D580" s="8"/>
      <c r="E580" s="8" t="s">
        <v>8189</v>
      </c>
      <c r="F580" s="8" t="s">
        <v>8357</v>
      </c>
      <c r="G580" s="8">
        <f>IFERROR(__xludf.DUMMYFUNCTION("""COMPUTED_VALUE"""),100.0)</f>
        <v>100</v>
      </c>
      <c r="H580" s="8" t="s">
        <v>143</v>
      </c>
      <c r="I580" s="8" t="s">
        <v>438</v>
      </c>
      <c r="J580" s="8" t="s">
        <v>6121</v>
      </c>
      <c r="K580" s="153" t="s">
        <v>1565</v>
      </c>
      <c r="L580" s="8" t="s">
        <v>6122</v>
      </c>
      <c r="N580" s="142" t="s">
        <v>6030</v>
      </c>
      <c r="O580" s="142"/>
      <c r="P580" s="142"/>
      <c r="Q580" s="8" t="s">
        <v>151</v>
      </c>
      <c r="T580" s="8" t="s">
        <v>6123</v>
      </c>
      <c r="U580" s="8" t="s">
        <v>6124</v>
      </c>
      <c r="AA580" s="8" t="s">
        <v>1536</v>
      </c>
      <c r="AB580" s="8" t="s">
        <v>369</v>
      </c>
      <c r="AD580" s="8" t="s">
        <v>6125</v>
      </c>
      <c r="AH580" s="8" t="s">
        <v>1575</v>
      </c>
      <c r="AK580" s="8" t="s">
        <v>1577</v>
      </c>
    </row>
    <row r="581">
      <c r="A581" s="152">
        <v>2024.0</v>
      </c>
      <c r="B581" s="151">
        <v>196.0</v>
      </c>
      <c r="C581" s="153"/>
      <c r="D581" s="153"/>
      <c r="E581" s="153" t="s">
        <v>8189</v>
      </c>
      <c r="F581" s="153" t="s">
        <v>8358</v>
      </c>
      <c r="G581" s="153">
        <f>IFERROR(__xludf.DUMMYFUNCTION("""COMPUTED_VALUE"""),101.0)</f>
        <v>101</v>
      </c>
      <c r="H581" s="153" t="s">
        <v>535</v>
      </c>
      <c r="I581" s="153" t="s">
        <v>893</v>
      </c>
      <c r="J581" s="153" t="s">
        <v>2797</v>
      </c>
      <c r="K581" s="153" t="s">
        <v>2798</v>
      </c>
      <c r="L581" s="158" t="s">
        <v>149</v>
      </c>
      <c r="M581" s="153"/>
      <c r="N581" s="230" t="s">
        <v>6113</v>
      </c>
      <c r="O581" s="230"/>
      <c r="P581" s="230"/>
      <c r="Q581" s="153" t="s">
        <v>6062</v>
      </c>
      <c r="R581" s="153" t="s">
        <v>6868</v>
      </c>
      <c r="S581" s="153"/>
      <c r="T581" s="153" t="s">
        <v>699</v>
      </c>
      <c r="U581" s="153" t="s">
        <v>6869</v>
      </c>
      <c r="V581" s="153"/>
      <c r="W581" s="153"/>
      <c r="X581" s="153"/>
      <c r="Y581" s="153"/>
      <c r="Z581" s="153"/>
      <c r="AA581" s="153"/>
      <c r="AB581" s="153" t="s">
        <v>1158</v>
      </c>
      <c r="AC581" s="153" t="s">
        <v>209</v>
      </c>
      <c r="AD581" s="153"/>
      <c r="AE581" s="153"/>
      <c r="AF581" s="153"/>
      <c r="AG581" s="158" t="s">
        <v>1159</v>
      </c>
      <c r="AH581" s="153" t="s">
        <v>1160</v>
      </c>
      <c r="AI581" s="165" t="s">
        <v>1161</v>
      </c>
      <c r="AJ581" s="153" t="s">
        <v>2803</v>
      </c>
      <c r="AK581" s="153"/>
    </row>
    <row r="582">
      <c r="A582" s="152">
        <v>2025.0</v>
      </c>
      <c r="B582" s="151">
        <v>25.0</v>
      </c>
      <c r="C582" s="153" t="s">
        <v>8189</v>
      </c>
      <c r="D582" s="153"/>
      <c r="E582" s="153" t="s">
        <v>8301</v>
      </c>
      <c r="F582" s="153" t="s">
        <v>6134</v>
      </c>
      <c r="G582" s="153">
        <f>IFERROR(__xludf.DUMMYFUNCTION("""COMPUTED_VALUE"""),102.0)</f>
        <v>102</v>
      </c>
      <c r="H582" s="153" t="s">
        <v>143</v>
      </c>
      <c r="I582" s="153" t="s">
        <v>438</v>
      </c>
      <c r="J582" s="153" t="s">
        <v>2723</v>
      </c>
      <c r="K582" s="153" t="s">
        <v>2724</v>
      </c>
      <c r="L582" s="158" t="s">
        <v>149</v>
      </c>
      <c r="M582" s="153"/>
      <c r="N582" s="175" t="s">
        <v>6030</v>
      </c>
      <c r="O582" s="160" t="s">
        <v>149</v>
      </c>
      <c r="P582" s="160" t="s">
        <v>149</v>
      </c>
      <c r="Q582" s="153" t="s">
        <v>151</v>
      </c>
      <c r="R582" s="158" t="s">
        <v>153</v>
      </c>
      <c r="S582" s="158" t="s">
        <v>153</v>
      </c>
      <c r="T582" s="153" t="s">
        <v>6135</v>
      </c>
      <c r="U582" s="158" t="s">
        <v>369</v>
      </c>
      <c r="V582" s="158" t="s">
        <v>160</v>
      </c>
      <c r="W582" s="158" t="s">
        <v>6035</v>
      </c>
      <c r="X582" s="158" t="s">
        <v>159</v>
      </c>
      <c r="Y582" s="158" t="s">
        <v>149</v>
      </c>
      <c r="Z582" s="158" t="s">
        <v>149</v>
      </c>
      <c r="AA582" s="171" t="s">
        <v>2728</v>
      </c>
      <c r="AB582" s="153" t="s">
        <v>369</v>
      </c>
      <c r="AC582" s="153" t="s">
        <v>6035</v>
      </c>
      <c r="AD582" s="153"/>
      <c r="AE582" s="153"/>
      <c r="AF582" s="153"/>
      <c r="AG582" s="153" t="s">
        <v>6038</v>
      </c>
      <c r="AH582" s="158" t="s">
        <v>2729</v>
      </c>
      <c r="AI582" s="165" t="s">
        <v>2730</v>
      </c>
      <c r="AJ582" s="153" t="s">
        <v>2731</v>
      </c>
      <c r="AK582" s="153"/>
    </row>
    <row r="583">
      <c r="A583" s="152">
        <v>2023.0</v>
      </c>
      <c r="B583" s="151">
        <v>26.0</v>
      </c>
      <c r="C583" s="129" t="s">
        <v>140</v>
      </c>
      <c r="D583" s="8"/>
      <c r="E583" s="8" t="s">
        <v>8189</v>
      </c>
      <c r="F583" s="8" t="s">
        <v>8359</v>
      </c>
      <c r="G583" s="8">
        <f>IFERROR(__xludf.DUMMYFUNCTION("""COMPUTED_VALUE"""),103.0)</f>
        <v>103</v>
      </c>
      <c r="H583" s="8" t="s">
        <v>143</v>
      </c>
      <c r="I583" s="8" t="s">
        <v>438</v>
      </c>
      <c r="J583" s="8" t="s">
        <v>6121</v>
      </c>
      <c r="K583" s="153" t="s">
        <v>1565</v>
      </c>
      <c r="L583" s="8" t="s">
        <v>1635</v>
      </c>
      <c r="N583" s="142" t="s">
        <v>6030</v>
      </c>
      <c r="O583" s="142"/>
      <c r="P583" s="142"/>
      <c r="Q583" s="8" t="s">
        <v>151</v>
      </c>
      <c r="U583" s="8" t="s">
        <v>341</v>
      </c>
      <c r="AB583" s="8" t="s">
        <v>6118</v>
      </c>
    </row>
    <row r="584">
      <c r="A584" s="152">
        <v>2024.0</v>
      </c>
      <c r="B584" s="151">
        <v>197.0</v>
      </c>
      <c r="C584" s="153"/>
      <c r="D584" s="153"/>
      <c r="E584" s="153" t="s">
        <v>8189</v>
      </c>
      <c r="F584" s="153" t="s">
        <v>8360</v>
      </c>
      <c r="G584" s="153">
        <f>IFERROR(__xludf.DUMMYFUNCTION("""COMPUTED_VALUE"""),104.0)</f>
        <v>104</v>
      </c>
      <c r="H584" s="153" t="s">
        <v>535</v>
      </c>
      <c r="I584" s="153" t="s">
        <v>893</v>
      </c>
      <c r="J584" s="153" t="s">
        <v>894</v>
      </c>
      <c r="K584" s="153" t="s">
        <v>895</v>
      </c>
      <c r="L584" s="153" t="s">
        <v>384</v>
      </c>
      <c r="M584" s="153" t="s">
        <v>2868</v>
      </c>
      <c r="N584" s="230">
        <v>1983.0</v>
      </c>
      <c r="O584" s="230">
        <v>1985.0</v>
      </c>
      <c r="P584" s="230">
        <v>1987.0</v>
      </c>
      <c r="Q584" s="153" t="s">
        <v>151</v>
      </c>
      <c r="R584" s="153" t="s">
        <v>469</v>
      </c>
      <c r="S584" s="153"/>
      <c r="T584" s="153"/>
      <c r="U584" s="153" t="s">
        <v>390</v>
      </c>
      <c r="V584" s="153"/>
      <c r="W584" s="153"/>
      <c r="X584" s="153"/>
      <c r="Y584" s="153"/>
      <c r="Z584" s="153"/>
      <c r="AA584" s="153" t="s">
        <v>2870</v>
      </c>
      <c r="AB584" s="153" t="s">
        <v>390</v>
      </c>
      <c r="AC584" s="153" t="s">
        <v>6035</v>
      </c>
      <c r="AD584" s="153" t="s">
        <v>6055</v>
      </c>
      <c r="AE584" s="153"/>
      <c r="AF584" s="153"/>
      <c r="AG584" s="153" t="s">
        <v>8004</v>
      </c>
      <c r="AH584" s="153" t="s">
        <v>6060</v>
      </c>
      <c r="AI584" s="153" t="s">
        <v>2873</v>
      </c>
      <c r="AJ584" s="153" t="s">
        <v>398</v>
      </c>
      <c r="AK584" s="153"/>
    </row>
    <row r="585">
      <c r="A585" s="152">
        <v>2025.0</v>
      </c>
      <c r="B585" s="151">
        <v>26.0</v>
      </c>
      <c r="C585" s="153" t="s">
        <v>8189</v>
      </c>
      <c r="D585" s="153"/>
      <c r="E585" s="153" t="s">
        <v>8301</v>
      </c>
      <c r="F585" s="153" t="s">
        <v>6139</v>
      </c>
      <c r="G585" s="153">
        <f>IFERROR(__xludf.DUMMYFUNCTION("""COMPUTED_VALUE"""),105.0)</f>
        <v>105</v>
      </c>
      <c r="H585" s="153" t="s">
        <v>143</v>
      </c>
      <c r="I585" s="153" t="s">
        <v>438</v>
      </c>
      <c r="J585" s="153" t="s">
        <v>1142</v>
      </c>
      <c r="K585" s="153" t="s">
        <v>1143</v>
      </c>
      <c r="L585" s="153" t="s">
        <v>1144</v>
      </c>
      <c r="M585" s="153"/>
      <c r="N585" s="175" t="s">
        <v>6063</v>
      </c>
      <c r="O585" s="160" t="s">
        <v>6151</v>
      </c>
      <c r="P585" s="160" t="s">
        <v>6152</v>
      </c>
      <c r="Q585" s="153" t="s">
        <v>151</v>
      </c>
      <c r="R585" s="158" t="s">
        <v>149</v>
      </c>
      <c r="S585" s="158" t="s">
        <v>149</v>
      </c>
      <c r="T585" s="158" t="s">
        <v>6153</v>
      </c>
      <c r="U585" s="153" t="s">
        <v>1146</v>
      </c>
      <c r="V585" s="158" t="s">
        <v>6154</v>
      </c>
      <c r="W585" s="158" t="s">
        <v>206</v>
      </c>
      <c r="X585" s="158" t="s">
        <v>159</v>
      </c>
      <c r="Y585" s="158" t="s">
        <v>149</v>
      </c>
      <c r="Z585" s="158" t="s">
        <v>149</v>
      </c>
      <c r="AA585" s="158" t="s">
        <v>149</v>
      </c>
      <c r="AB585" s="158" t="s">
        <v>369</v>
      </c>
      <c r="AC585" s="153" t="s">
        <v>6035</v>
      </c>
      <c r="AD585" s="153"/>
      <c r="AE585" s="153"/>
      <c r="AF585" s="153"/>
      <c r="AG585" s="153" t="s">
        <v>6084</v>
      </c>
      <c r="AH585" s="153" t="s">
        <v>1148</v>
      </c>
      <c r="AI585" s="153" t="s">
        <v>1149</v>
      </c>
      <c r="AJ585" s="153"/>
      <c r="AK585" s="153"/>
    </row>
    <row r="586">
      <c r="A586" s="152">
        <v>2023.0</v>
      </c>
      <c r="B586" s="151">
        <v>27.0</v>
      </c>
      <c r="C586" s="129" t="s">
        <v>140</v>
      </c>
      <c r="D586" s="8"/>
      <c r="E586" s="8" t="s">
        <v>8189</v>
      </c>
      <c r="F586" s="8" t="s">
        <v>8361</v>
      </c>
      <c r="G586" s="8">
        <f>IFERROR(__xludf.DUMMYFUNCTION("""COMPUTED_VALUE"""),106.0)</f>
        <v>106</v>
      </c>
      <c r="H586" s="8" t="s">
        <v>143</v>
      </c>
      <c r="I586" s="8" t="s">
        <v>438</v>
      </c>
      <c r="J586" s="8" t="s">
        <v>6121</v>
      </c>
      <c r="K586" s="153" t="s">
        <v>1565</v>
      </c>
      <c r="L586" s="8" t="s">
        <v>652</v>
      </c>
      <c r="N586" s="142" t="s">
        <v>6151</v>
      </c>
      <c r="O586" s="142"/>
      <c r="P586" s="142"/>
      <c r="Q586" s="8" t="s">
        <v>151</v>
      </c>
      <c r="AB586" s="8" t="s">
        <v>369</v>
      </c>
      <c r="AD586" s="8" t="s">
        <v>6189</v>
      </c>
      <c r="AE586" s="8" t="s">
        <v>6190</v>
      </c>
    </row>
    <row r="587">
      <c r="A587" s="152">
        <v>2024.0</v>
      </c>
      <c r="B587" s="151">
        <v>198.0</v>
      </c>
      <c r="C587" s="153"/>
      <c r="D587" s="153"/>
      <c r="E587" s="153" t="s">
        <v>8189</v>
      </c>
      <c r="F587" s="153" t="s">
        <v>8362</v>
      </c>
      <c r="G587" s="153">
        <f>IFERROR(__xludf.DUMMYFUNCTION("""COMPUTED_VALUE"""),107.0)</f>
        <v>107</v>
      </c>
      <c r="H587" s="153" t="s">
        <v>535</v>
      </c>
      <c r="I587" s="153" t="s">
        <v>893</v>
      </c>
      <c r="J587" s="153" t="s">
        <v>894</v>
      </c>
      <c r="K587" s="153" t="s">
        <v>895</v>
      </c>
      <c r="L587" s="153" t="s">
        <v>8040</v>
      </c>
      <c r="M587" s="153" t="s">
        <v>897</v>
      </c>
      <c r="N587" s="230">
        <v>2013.0</v>
      </c>
      <c r="O587" s="153"/>
      <c r="P587" s="230"/>
      <c r="Q587" s="153" t="s">
        <v>6872</v>
      </c>
      <c r="R587" s="153" t="s">
        <v>8041</v>
      </c>
      <c r="S587" s="153"/>
      <c r="T587" s="153" t="s">
        <v>8042</v>
      </c>
      <c r="U587" s="153" t="s">
        <v>901</v>
      </c>
      <c r="V587" s="153"/>
      <c r="W587" s="153"/>
      <c r="X587" s="153"/>
      <c r="Y587" s="153"/>
      <c r="Z587" s="153" t="s">
        <v>902</v>
      </c>
      <c r="AA587" s="153"/>
      <c r="AB587" s="153" t="s">
        <v>901</v>
      </c>
      <c r="AC587" s="153" t="s">
        <v>271</v>
      </c>
      <c r="AD587" s="153" t="s">
        <v>6877</v>
      </c>
      <c r="AE587" s="153" t="s">
        <v>904</v>
      </c>
      <c r="AF587" s="153"/>
      <c r="AG587" s="153" t="s">
        <v>8006</v>
      </c>
      <c r="AH587" s="153" t="s">
        <v>905</v>
      </c>
      <c r="AI587" s="165" t="s">
        <v>906</v>
      </c>
      <c r="AJ587" s="153"/>
      <c r="AK587" s="153"/>
    </row>
    <row r="588">
      <c r="A588" s="152">
        <v>2025.0</v>
      </c>
      <c r="B588" s="151">
        <v>27.0</v>
      </c>
      <c r="C588" s="153" t="s">
        <v>8189</v>
      </c>
      <c r="D588" s="153"/>
      <c r="E588" s="153" t="s">
        <v>8301</v>
      </c>
      <c r="F588" s="153" t="s">
        <v>8363</v>
      </c>
      <c r="G588" s="153">
        <f>IFERROR(__xludf.DUMMYFUNCTION("""COMPUTED_VALUE"""),108.0)</f>
        <v>108</v>
      </c>
      <c r="H588" s="153" t="s">
        <v>143</v>
      </c>
      <c r="I588" s="153" t="s">
        <v>438</v>
      </c>
      <c r="J588" s="153" t="s">
        <v>2538</v>
      </c>
      <c r="K588" s="153" t="s">
        <v>2539</v>
      </c>
      <c r="L588" s="158" t="s">
        <v>149</v>
      </c>
      <c r="M588" s="153" t="s">
        <v>2540</v>
      </c>
      <c r="N588" s="175" t="s">
        <v>18</v>
      </c>
      <c r="O588" s="160" t="s">
        <v>149</v>
      </c>
      <c r="P588" s="160" t="s">
        <v>149</v>
      </c>
      <c r="Q588" s="153" t="s">
        <v>151</v>
      </c>
      <c r="R588" s="158" t="s">
        <v>153</v>
      </c>
      <c r="S588" s="158" t="s">
        <v>153</v>
      </c>
      <c r="T588" s="158" t="s">
        <v>6192</v>
      </c>
      <c r="U588" s="153" t="s">
        <v>158</v>
      </c>
      <c r="V588" s="158" t="s">
        <v>160</v>
      </c>
      <c r="W588" s="158" t="s">
        <v>6035</v>
      </c>
      <c r="X588" s="158" t="s">
        <v>159</v>
      </c>
      <c r="Y588" s="158" t="s">
        <v>149</v>
      </c>
      <c r="Z588" s="158" t="s">
        <v>149</v>
      </c>
      <c r="AA588" s="158" t="s">
        <v>149</v>
      </c>
      <c r="AB588" s="153" t="s">
        <v>158</v>
      </c>
      <c r="AC588" s="153" t="s">
        <v>6035</v>
      </c>
      <c r="AD588" s="153" t="s">
        <v>369</v>
      </c>
      <c r="AE588" s="153"/>
      <c r="AF588" s="153"/>
      <c r="AG588" s="158" t="s">
        <v>166</v>
      </c>
      <c r="AH588" s="153" t="s">
        <v>2542</v>
      </c>
      <c r="AI588" s="165" t="s">
        <v>2543</v>
      </c>
      <c r="AJ588" s="239"/>
      <c r="AK588" s="153"/>
    </row>
    <row r="589">
      <c r="A589" s="152">
        <v>2023.0</v>
      </c>
      <c r="B589" s="151">
        <v>28.0</v>
      </c>
      <c r="C589" s="129" t="s">
        <v>140</v>
      </c>
      <c r="D589" s="8"/>
      <c r="E589" s="8" t="s">
        <v>8189</v>
      </c>
      <c r="F589" s="8" t="s">
        <v>8364</v>
      </c>
      <c r="G589" s="8">
        <f>IFERROR(__xludf.DUMMYFUNCTION("""COMPUTED_VALUE"""),109.0)</f>
        <v>109</v>
      </c>
      <c r="H589" s="8" t="s">
        <v>143</v>
      </c>
      <c r="I589" s="8" t="s">
        <v>438</v>
      </c>
      <c r="J589" s="8" t="s">
        <v>443</v>
      </c>
      <c r="K589" s="277" t="s">
        <v>444</v>
      </c>
      <c r="L589" s="8" t="s">
        <v>384</v>
      </c>
      <c r="M589" s="8" t="s">
        <v>445</v>
      </c>
      <c r="N589" s="142" t="s">
        <v>6051</v>
      </c>
      <c r="O589" s="142" t="s">
        <v>6052</v>
      </c>
      <c r="P589" s="142" t="s">
        <v>6053</v>
      </c>
      <c r="Q589" s="8" t="s">
        <v>151</v>
      </c>
      <c r="U589" s="8" t="s">
        <v>390</v>
      </c>
      <c r="AB589" s="8" t="s">
        <v>390</v>
      </c>
      <c r="AD589" s="8" t="s">
        <v>6055</v>
      </c>
      <c r="AH589" s="8" t="s">
        <v>6057</v>
      </c>
      <c r="AI589" s="8" t="s">
        <v>2873</v>
      </c>
      <c r="AJ589" s="8" t="s">
        <v>398</v>
      </c>
    </row>
    <row r="590">
      <c r="A590" s="152">
        <v>2024.0</v>
      </c>
      <c r="B590" s="151">
        <v>199.0</v>
      </c>
      <c r="C590" s="153"/>
      <c r="D590" s="153"/>
      <c r="E590" s="153" t="s">
        <v>8189</v>
      </c>
      <c r="F590" s="153" t="s">
        <v>8365</v>
      </c>
      <c r="G590" s="153">
        <f>IFERROR(__xludf.DUMMYFUNCTION("""COMPUTED_VALUE"""),110.0)</f>
        <v>110</v>
      </c>
      <c r="H590" s="153" t="s">
        <v>535</v>
      </c>
      <c r="I590" s="153" t="s">
        <v>893</v>
      </c>
      <c r="J590" s="153" t="s">
        <v>8043</v>
      </c>
      <c r="K590" s="153" t="s">
        <v>1152</v>
      </c>
      <c r="L590" s="153" t="s">
        <v>1153</v>
      </c>
      <c r="M590" s="153"/>
      <c r="N590" s="230">
        <v>2016.0</v>
      </c>
      <c r="O590" s="230"/>
      <c r="P590" s="230"/>
      <c r="Q590" s="153" t="s">
        <v>6062</v>
      </c>
      <c r="R590" s="153"/>
      <c r="S590" s="153"/>
      <c r="T590" s="153" t="s">
        <v>1157</v>
      </c>
      <c r="U590" s="153"/>
      <c r="V590" s="153"/>
      <c r="W590" s="153"/>
      <c r="X590" s="153"/>
      <c r="Y590" s="153"/>
      <c r="Z590" s="153"/>
      <c r="AA590" s="153"/>
      <c r="AB590" s="153" t="s">
        <v>1158</v>
      </c>
      <c r="AC590" s="153" t="s">
        <v>209</v>
      </c>
      <c r="AD590" s="153"/>
      <c r="AE590" s="153"/>
      <c r="AF590" s="153"/>
      <c r="AG590" s="153" t="s">
        <v>8044</v>
      </c>
      <c r="AH590" s="153" t="s">
        <v>1160</v>
      </c>
      <c r="AI590" s="172" t="s">
        <v>1161</v>
      </c>
      <c r="AJ590" s="153"/>
      <c r="AK590" s="153"/>
    </row>
    <row r="591">
      <c r="A591" s="152">
        <v>2025.0</v>
      </c>
      <c r="B591" s="151">
        <v>28.0</v>
      </c>
      <c r="C591" s="153" t="s">
        <v>8189</v>
      </c>
      <c r="D591" s="153"/>
      <c r="E591" s="153" t="s">
        <v>8301</v>
      </c>
      <c r="F591" s="153" t="s">
        <v>8366</v>
      </c>
      <c r="G591" s="153">
        <f>IFERROR(__xludf.DUMMYFUNCTION("""COMPUTED_VALUE"""),111.0)</f>
        <v>111</v>
      </c>
      <c r="H591" s="153" t="s">
        <v>143</v>
      </c>
      <c r="I591" s="153" t="s">
        <v>438</v>
      </c>
      <c r="J591" s="153" t="s">
        <v>447</v>
      </c>
      <c r="K591" s="153" t="s">
        <v>448</v>
      </c>
      <c r="L591" s="153" t="s">
        <v>384</v>
      </c>
      <c r="M591" s="153" t="s">
        <v>449</v>
      </c>
      <c r="N591" s="175" t="s">
        <v>6052</v>
      </c>
      <c r="O591" s="175" t="s">
        <v>6052</v>
      </c>
      <c r="P591" s="175" t="s">
        <v>6053</v>
      </c>
      <c r="Q591" s="153" t="s">
        <v>151</v>
      </c>
      <c r="R591" s="153" t="s">
        <v>6054</v>
      </c>
      <c r="S591" s="158" t="s">
        <v>6054</v>
      </c>
      <c r="T591" s="158" t="s">
        <v>149</v>
      </c>
      <c r="U591" s="153" t="s">
        <v>390</v>
      </c>
      <c r="V591" s="158" t="s">
        <v>160</v>
      </c>
      <c r="W591" s="158" t="s">
        <v>6035</v>
      </c>
      <c r="X591" s="158" t="s">
        <v>159</v>
      </c>
      <c r="Y591" s="158" t="s">
        <v>149</v>
      </c>
      <c r="Z591" s="158" t="s">
        <v>149</v>
      </c>
      <c r="AA591" s="153" t="s">
        <v>450</v>
      </c>
      <c r="AB591" s="153" t="s">
        <v>390</v>
      </c>
      <c r="AC591" s="153" t="s">
        <v>6035</v>
      </c>
      <c r="AD591" s="153" t="s">
        <v>6055</v>
      </c>
      <c r="AE591" s="153"/>
      <c r="AF591" s="153"/>
      <c r="AG591" s="158" t="s">
        <v>395</v>
      </c>
      <c r="AH591" s="153" t="s">
        <v>6060</v>
      </c>
      <c r="AI591" s="177" t="s">
        <v>397</v>
      </c>
      <c r="AJ591" s="153" t="s">
        <v>398</v>
      </c>
      <c r="AK591" s="153"/>
    </row>
    <row r="592">
      <c r="A592" s="152">
        <v>2023.0</v>
      </c>
      <c r="B592" s="151">
        <v>29.0</v>
      </c>
      <c r="C592" s="129" t="s">
        <v>140</v>
      </c>
      <c r="D592" s="8"/>
      <c r="E592" s="8" t="s">
        <v>8189</v>
      </c>
      <c r="F592" s="8" t="s">
        <v>8367</v>
      </c>
      <c r="G592" s="8">
        <f>IFERROR(__xludf.DUMMYFUNCTION("""COMPUTED_VALUE"""),112.0)</f>
        <v>112</v>
      </c>
      <c r="H592" s="8" t="s">
        <v>143</v>
      </c>
      <c r="I592" s="8" t="s">
        <v>438</v>
      </c>
      <c r="J592" s="8" t="s">
        <v>2723</v>
      </c>
      <c r="K592" s="153" t="s">
        <v>2724</v>
      </c>
      <c r="L592" s="8" t="s">
        <v>6113</v>
      </c>
      <c r="N592" s="142" t="s">
        <v>6030</v>
      </c>
      <c r="O592" s="142"/>
      <c r="P592" s="142"/>
      <c r="Q592" s="8" t="s">
        <v>151</v>
      </c>
      <c r="T592" s="8" t="s">
        <v>6135</v>
      </c>
      <c r="AA592" s="188" t="s">
        <v>6136</v>
      </c>
      <c r="AB592" s="8" t="s">
        <v>369</v>
      </c>
      <c r="AH592" s="8" t="s">
        <v>6038</v>
      </c>
      <c r="AI592" s="172" t="s">
        <v>6137</v>
      </c>
      <c r="AJ592" s="8" t="s">
        <v>2731</v>
      </c>
    </row>
    <row r="593">
      <c r="A593" s="152">
        <v>2024.0</v>
      </c>
      <c r="B593" s="151">
        <v>200.0</v>
      </c>
      <c r="C593" s="153"/>
      <c r="D593" s="153"/>
      <c r="E593" s="153" t="s">
        <v>8189</v>
      </c>
      <c r="F593" s="153" t="s">
        <v>8368</v>
      </c>
      <c r="G593" s="153">
        <f>IFERROR(__xludf.DUMMYFUNCTION("""COMPUTED_VALUE"""),113.0)</f>
        <v>113</v>
      </c>
      <c r="H593" s="153" t="s">
        <v>535</v>
      </c>
      <c r="I593" s="153" t="s">
        <v>893</v>
      </c>
      <c r="J593" s="153" t="s">
        <v>1442</v>
      </c>
      <c r="K593" s="153" t="s">
        <v>1443</v>
      </c>
      <c r="L593" s="153" t="s">
        <v>1377</v>
      </c>
      <c r="M593" s="153"/>
      <c r="N593" s="192">
        <v>1992.0</v>
      </c>
      <c r="O593" s="230">
        <v>1990.0</v>
      </c>
      <c r="P593" s="230">
        <v>1994.0</v>
      </c>
      <c r="Q593" s="153" t="s">
        <v>151</v>
      </c>
      <c r="R593" s="153"/>
      <c r="S593" s="153"/>
      <c r="T593" s="153"/>
      <c r="U593" s="153" t="s">
        <v>1381</v>
      </c>
      <c r="V593" s="153"/>
      <c r="W593" s="153"/>
      <c r="X593" s="153"/>
      <c r="Y593" s="153"/>
      <c r="Z593" s="153"/>
      <c r="AA593" s="153"/>
      <c r="AB593" s="153" t="s">
        <v>660</v>
      </c>
      <c r="AC593" s="153" t="s">
        <v>6035</v>
      </c>
      <c r="AD593" s="153" t="s">
        <v>369</v>
      </c>
      <c r="AE593" s="153"/>
      <c r="AF593" s="153"/>
      <c r="AG593" s="153" t="s">
        <v>8004</v>
      </c>
      <c r="AH593" s="153" t="s">
        <v>6060</v>
      </c>
      <c r="AI593" s="153" t="s">
        <v>2873</v>
      </c>
      <c r="AJ593" s="153" t="s">
        <v>398</v>
      </c>
      <c r="AK593" s="153"/>
    </row>
    <row r="594">
      <c r="A594" s="152">
        <v>2025.0</v>
      </c>
      <c r="B594" s="151">
        <v>29.0</v>
      </c>
      <c r="C594" s="153" t="s">
        <v>8189</v>
      </c>
      <c r="D594" s="153"/>
      <c r="E594" s="153" t="s">
        <v>8301</v>
      </c>
      <c r="F594" s="153" t="s">
        <v>6170</v>
      </c>
      <c r="G594" s="153">
        <f>IFERROR(__xludf.DUMMYFUNCTION("""COMPUTED_VALUE"""),114.0)</f>
        <v>114</v>
      </c>
      <c r="H594" s="153" t="s">
        <v>143</v>
      </c>
      <c r="I594" s="153" t="s">
        <v>438</v>
      </c>
      <c r="J594" s="153" t="s">
        <v>8369</v>
      </c>
      <c r="K594" s="153" t="s">
        <v>2034</v>
      </c>
      <c r="L594" s="158" t="s">
        <v>149</v>
      </c>
      <c r="M594" s="158" t="s">
        <v>2416</v>
      </c>
      <c r="N594" s="175" t="s">
        <v>6063</v>
      </c>
      <c r="O594" s="160" t="s">
        <v>149</v>
      </c>
      <c r="P594" s="160" t="s">
        <v>149</v>
      </c>
      <c r="Q594" s="153" t="s">
        <v>151</v>
      </c>
      <c r="R594" s="158" t="s">
        <v>6175</v>
      </c>
      <c r="S594" s="158" t="s">
        <v>6175</v>
      </c>
      <c r="T594" s="158" t="s">
        <v>6176</v>
      </c>
      <c r="U594" s="153" t="s">
        <v>1882</v>
      </c>
      <c r="V594" s="158" t="s">
        <v>160</v>
      </c>
      <c r="W594" s="158" t="s">
        <v>6035</v>
      </c>
      <c r="X594" s="158" t="s">
        <v>159</v>
      </c>
      <c r="Y594" s="158" t="s">
        <v>149</v>
      </c>
      <c r="Z594" s="158" t="s">
        <v>149</v>
      </c>
      <c r="AA594" s="158" t="s">
        <v>2419</v>
      </c>
      <c r="AB594" s="153" t="s">
        <v>1882</v>
      </c>
      <c r="AC594" s="153" t="s">
        <v>6035</v>
      </c>
      <c r="AD594" s="158" t="s">
        <v>6177</v>
      </c>
      <c r="AE594" s="153"/>
      <c r="AF594" s="153"/>
      <c r="AG594" s="153" t="s">
        <v>6038</v>
      </c>
      <c r="AH594" s="153" t="s">
        <v>6178</v>
      </c>
      <c r="AI594" s="172" t="s">
        <v>2422</v>
      </c>
      <c r="AJ594" s="153"/>
      <c r="AK594" s="153"/>
    </row>
    <row r="595">
      <c r="A595" s="152">
        <v>2023.0</v>
      </c>
      <c r="B595" s="151">
        <v>30.0</v>
      </c>
      <c r="C595" s="129" t="s">
        <v>140</v>
      </c>
      <c r="D595" s="8"/>
      <c r="E595" s="8" t="s">
        <v>8189</v>
      </c>
      <c r="F595" s="8" t="s">
        <v>8370</v>
      </c>
      <c r="G595" s="8">
        <f>IFERROR(__xludf.DUMMYFUNCTION("""COMPUTED_VALUE"""),115.0)</f>
        <v>115</v>
      </c>
      <c r="H595" s="8" t="s">
        <v>143</v>
      </c>
      <c r="I595" s="8" t="s">
        <v>438</v>
      </c>
      <c r="J595" s="8" t="s">
        <v>1142</v>
      </c>
      <c r="K595" s="153" t="s">
        <v>1143</v>
      </c>
      <c r="L595" s="8" t="s">
        <v>1144</v>
      </c>
      <c r="N595" s="142" t="s">
        <v>6063</v>
      </c>
      <c r="O595" s="142"/>
      <c r="P595" s="142"/>
      <c r="Q595" s="8" t="s">
        <v>151</v>
      </c>
      <c r="U595" s="8" t="s">
        <v>1146</v>
      </c>
      <c r="AB595" s="8" t="s">
        <v>6140</v>
      </c>
    </row>
    <row r="596">
      <c r="A596" s="152">
        <v>2024.0</v>
      </c>
      <c r="B596" s="151">
        <v>201.0</v>
      </c>
      <c r="C596" s="153"/>
      <c r="D596" s="153"/>
      <c r="E596" s="153" t="s">
        <v>8189</v>
      </c>
      <c r="F596" s="153" t="s">
        <v>8371</v>
      </c>
      <c r="G596" s="153">
        <f>IFERROR(__xludf.DUMMYFUNCTION("""COMPUTED_VALUE"""),116.0)</f>
        <v>116</v>
      </c>
      <c r="H596" s="153" t="s">
        <v>535</v>
      </c>
      <c r="I596" s="153" t="s">
        <v>893</v>
      </c>
      <c r="J596" s="153" t="s">
        <v>1442</v>
      </c>
      <c r="K596" s="153" t="s">
        <v>1443</v>
      </c>
      <c r="L596" s="158" t="s">
        <v>149</v>
      </c>
      <c r="M596" s="153"/>
      <c r="N596" s="230">
        <v>1990.0</v>
      </c>
      <c r="O596" s="192" t="s">
        <v>149</v>
      </c>
      <c r="P596" s="192" t="s">
        <v>149</v>
      </c>
      <c r="Q596" s="153" t="s">
        <v>151</v>
      </c>
      <c r="R596" s="153"/>
      <c r="S596" s="153"/>
      <c r="T596" s="153" t="s">
        <v>6506</v>
      </c>
      <c r="U596" s="153"/>
      <c r="V596" s="153"/>
      <c r="W596" s="153"/>
      <c r="X596" s="153"/>
      <c r="Y596" s="153"/>
      <c r="Z596" s="153"/>
      <c r="AA596" s="153"/>
      <c r="AB596" s="153" t="s">
        <v>2304</v>
      </c>
      <c r="AC596" s="153" t="s">
        <v>8005</v>
      </c>
      <c r="AD596" s="153" t="s">
        <v>6507</v>
      </c>
      <c r="AE596" s="153"/>
      <c r="AF596" s="153"/>
      <c r="AG596" s="153" t="s">
        <v>8004</v>
      </c>
      <c r="AH596" s="153" t="s">
        <v>6060</v>
      </c>
      <c r="AI596" s="153" t="s">
        <v>2873</v>
      </c>
      <c r="AJ596" s="153" t="s">
        <v>398</v>
      </c>
      <c r="AK596" s="153"/>
    </row>
    <row r="597">
      <c r="A597" s="152">
        <v>2025.0</v>
      </c>
      <c r="B597" s="151">
        <v>30.0</v>
      </c>
      <c r="C597" s="153" t="s">
        <v>8189</v>
      </c>
      <c r="D597" s="153"/>
      <c r="E597" s="153" t="s">
        <v>8301</v>
      </c>
      <c r="F597" s="153" t="s">
        <v>8372</v>
      </c>
      <c r="G597" s="153">
        <f>IFERROR(__xludf.DUMMYFUNCTION("""COMPUTED_VALUE"""),117.0)</f>
        <v>117</v>
      </c>
      <c r="H597" s="153" t="s">
        <v>143</v>
      </c>
      <c r="I597" s="153" t="s">
        <v>438</v>
      </c>
      <c r="J597" s="153" t="s">
        <v>8373</v>
      </c>
      <c r="K597" s="153" t="s">
        <v>2034</v>
      </c>
      <c r="L597" s="153" t="s">
        <v>6144</v>
      </c>
      <c r="M597" s="153" t="s">
        <v>6160</v>
      </c>
      <c r="N597" s="175" t="s">
        <v>6145</v>
      </c>
      <c r="O597" s="160" t="s">
        <v>6042</v>
      </c>
      <c r="P597" s="160" t="s">
        <v>149</v>
      </c>
      <c r="Q597" s="153" t="s">
        <v>151</v>
      </c>
      <c r="R597" s="153" t="s">
        <v>8374</v>
      </c>
      <c r="S597" s="158" t="s">
        <v>6162</v>
      </c>
      <c r="T597" s="153" t="s">
        <v>6147</v>
      </c>
      <c r="U597" s="153" t="s">
        <v>2038</v>
      </c>
      <c r="V597" s="158" t="s">
        <v>160</v>
      </c>
      <c r="W597" s="158" t="s">
        <v>271</v>
      </c>
      <c r="X597" s="158" t="s">
        <v>159</v>
      </c>
      <c r="Y597" s="158" t="s">
        <v>149</v>
      </c>
      <c r="Z597" s="158" t="s">
        <v>149</v>
      </c>
      <c r="AA597" s="153" t="s">
        <v>2039</v>
      </c>
      <c r="AB597" s="153" t="s">
        <v>8375</v>
      </c>
      <c r="AC597" s="158" t="s">
        <v>271</v>
      </c>
      <c r="AD597" s="153" t="s">
        <v>6165</v>
      </c>
      <c r="AE597" s="153"/>
      <c r="AF597" s="153" t="s">
        <v>6166</v>
      </c>
      <c r="AG597" s="158" t="s">
        <v>166</v>
      </c>
      <c r="AH597" s="153" t="s">
        <v>2043</v>
      </c>
      <c r="AI597" s="172" t="s">
        <v>6149</v>
      </c>
      <c r="AJ597" s="153" t="s">
        <v>2045</v>
      </c>
      <c r="AK597" s="153"/>
    </row>
    <row r="598">
      <c r="A598" s="152">
        <v>2023.0</v>
      </c>
      <c r="B598" s="151">
        <v>31.0</v>
      </c>
      <c r="C598" s="129" t="s">
        <v>140</v>
      </c>
      <c r="D598" s="8"/>
      <c r="E598" s="8" t="s">
        <v>8189</v>
      </c>
      <c r="F598" s="8" t="s">
        <v>8376</v>
      </c>
      <c r="G598" s="8">
        <f>IFERROR(__xludf.DUMMYFUNCTION("""COMPUTED_VALUE"""),118.0)</f>
        <v>118</v>
      </c>
      <c r="H598" s="8" t="s">
        <v>143</v>
      </c>
      <c r="I598" s="8" t="s">
        <v>438</v>
      </c>
      <c r="J598" s="8" t="s">
        <v>2850</v>
      </c>
      <c r="K598" s="277" t="s">
        <v>2851</v>
      </c>
      <c r="L598" s="8" t="s">
        <v>384</v>
      </c>
      <c r="M598" s="8" t="s">
        <v>8377</v>
      </c>
      <c r="N598" s="278" t="s">
        <v>6169</v>
      </c>
      <c r="O598" s="142" t="s">
        <v>6052</v>
      </c>
      <c r="P598" s="142" t="s">
        <v>6053</v>
      </c>
      <c r="Q598" s="8" t="s">
        <v>151</v>
      </c>
      <c r="U598" s="8" t="s">
        <v>390</v>
      </c>
      <c r="AA598" s="8" t="s">
        <v>2853</v>
      </c>
      <c r="AB598" s="8" t="s">
        <v>390</v>
      </c>
      <c r="AD598" s="8" t="s">
        <v>6055</v>
      </c>
      <c r="AH598" s="8" t="s">
        <v>6057</v>
      </c>
      <c r="AI598" s="8" t="s">
        <v>2873</v>
      </c>
      <c r="AJ598" s="8" t="s">
        <v>398</v>
      </c>
      <c r="AK598" s="172"/>
      <c r="AL598" s="8" t="s">
        <v>6109</v>
      </c>
    </row>
    <row r="599">
      <c r="A599" s="152">
        <v>2024.0</v>
      </c>
      <c r="B599" s="151">
        <v>202.0</v>
      </c>
      <c r="C599" s="153"/>
      <c r="D599" s="153"/>
      <c r="E599" s="153" t="s">
        <v>8189</v>
      </c>
      <c r="F599" s="153" t="s">
        <v>8378</v>
      </c>
      <c r="G599" s="153">
        <f>IFERROR(__xludf.DUMMYFUNCTION("""COMPUTED_VALUE"""),119.0)</f>
        <v>119</v>
      </c>
      <c r="H599" s="153" t="s">
        <v>535</v>
      </c>
      <c r="I599" s="153" t="s">
        <v>1445</v>
      </c>
      <c r="J599" s="153" t="s">
        <v>2406</v>
      </c>
      <c r="K599" s="153" t="s">
        <v>2407</v>
      </c>
      <c r="L599" s="158" t="s">
        <v>149</v>
      </c>
      <c r="M599" s="153" t="s">
        <v>6888</v>
      </c>
      <c r="N599" s="230">
        <v>2021.0</v>
      </c>
      <c r="O599" s="158" t="s">
        <v>149</v>
      </c>
      <c r="P599" s="192" t="s">
        <v>149</v>
      </c>
      <c r="Q599" s="153" t="s">
        <v>151</v>
      </c>
      <c r="R599" s="153" t="s">
        <v>6889</v>
      </c>
      <c r="S599" s="153"/>
      <c r="T599" s="153"/>
      <c r="U599" s="153" t="s">
        <v>369</v>
      </c>
      <c r="V599" s="153"/>
      <c r="W599" s="153"/>
      <c r="X599" s="153"/>
      <c r="Y599" s="153"/>
      <c r="Z599" s="153"/>
      <c r="AA599" s="153" t="s">
        <v>1336</v>
      </c>
      <c r="AB599" s="153" t="s">
        <v>2410</v>
      </c>
      <c r="AC599" s="153" t="s">
        <v>6035</v>
      </c>
      <c r="AD599" s="153" t="s">
        <v>2411</v>
      </c>
      <c r="AE599" s="153"/>
      <c r="AF599" s="153" t="s">
        <v>1195</v>
      </c>
      <c r="AG599" s="153" t="s">
        <v>8006</v>
      </c>
      <c r="AH599" s="153" t="s">
        <v>2412</v>
      </c>
      <c r="AI599" s="153" t="s">
        <v>2413</v>
      </c>
      <c r="AJ599" s="153"/>
      <c r="AK599" s="153"/>
    </row>
    <row r="600">
      <c r="A600" s="152">
        <v>2025.0</v>
      </c>
      <c r="B600" s="151">
        <v>31.0</v>
      </c>
      <c r="C600" s="153" t="s">
        <v>8189</v>
      </c>
      <c r="D600" s="153"/>
      <c r="E600" s="153" t="s">
        <v>707</v>
      </c>
      <c r="F600" s="153" t="s">
        <v>6183</v>
      </c>
      <c r="G600" s="153">
        <f>IFERROR(__xludf.DUMMYFUNCTION("""COMPUTED_VALUE"""),120.0)</f>
        <v>120</v>
      </c>
      <c r="H600" s="153" t="s">
        <v>143</v>
      </c>
      <c r="I600" s="153" t="s">
        <v>438</v>
      </c>
      <c r="J600" s="153" t="s">
        <v>491</v>
      </c>
      <c r="K600" s="153" t="s">
        <v>1646</v>
      </c>
      <c r="L600" s="153" t="s">
        <v>1635</v>
      </c>
      <c r="M600" s="153"/>
      <c r="N600" s="175" t="s">
        <v>6030</v>
      </c>
      <c r="O600" s="160" t="s">
        <v>149</v>
      </c>
      <c r="P600" s="160" t="s">
        <v>149</v>
      </c>
      <c r="Q600" s="153" t="s">
        <v>151</v>
      </c>
      <c r="R600" s="158" t="s">
        <v>153</v>
      </c>
      <c r="S600" s="158" t="s">
        <v>153</v>
      </c>
      <c r="T600" s="158" t="s">
        <v>1647</v>
      </c>
      <c r="U600" s="158" t="s">
        <v>158</v>
      </c>
      <c r="V600" s="158" t="s">
        <v>160</v>
      </c>
      <c r="W600" s="158" t="s">
        <v>6035</v>
      </c>
      <c r="X600" s="158" t="s">
        <v>159</v>
      </c>
      <c r="Y600" s="158" t="s">
        <v>149</v>
      </c>
      <c r="Z600" s="158" t="s">
        <v>149</v>
      </c>
      <c r="AA600" s="158" t="s">
        <v>6127</v>
      </c>
      <c r="AB600" s="158" t="s">
        <v>158</v>
      </c>
      <c r="AC600" s="153" t="s">
        <v>6035</v>
      </c>
      <c r="AD600" s="158" t="s">
        <v>6128</v>
      </c>
      <c r="AE600" s="153"/>
      <c r="AF600" s="153"/>
      <c r="AG600" s="158" t="s">
        <v>166</v>
      </c>
      <c r="AH600" s="153" t="s">
        <v>1640</v>
      </c>
      <c r="AI600" s="172" t="s">
        <v>1641</v>
      </c>
      <c r="AJ600" s="153"/>
      <c r="AK600" s="153"/>
    </row>
    <row r="601">
      <c r="A601" s="152">
        <v>2023.0</v>
      </c>
      <c r="B601" s="151">
        <v>32.0</v>
      </c>
      <c r="C601" s="129" t="s">
        <v>140</v>
      </c>
      <c r="D601" s="8"/>
      <c r="E601" s="8" t="s">
        <v>8189</v>
      </c>
      <c r="F601" s="8" t="s">
        <v>6184</v>
      </c>
      <c r="G601" s="8">
        <f>IFERROR(__xludf.DUMMYFUNCTION("""COMPUTED_VALUE"""),121.0)</f>
        <v>121</v>
      </c>
      <c r="H601" s="8" t="s">
        <v>143</v>
      </c>
      <c r="I601" s="8" t="s">
        <v>438</v>
      </c>
      <c r="J601" s="8" t="s">
        <v>447</v>
      </c>
      <c r="K601" s="277" t="s">
        <v>448</v>
      </c>
      <c r="L601" s="8" t="s">
        <v>384</v>
      </c>
      <c r="M601" s="8" t="s">
        <v>449</v>
      </c>
      <c r="N601" s="142" t="s">
        <v>6052</v>
      </c>
      <c r="O601" s="142" t="s">
        <v>6052</v>
      </c>
      <c r="P601" s="142" t="s">
        <v>6053</v>
      </c>
      <c r="Q601" s="8" t="s">
        <v>151</v>
      </c>
      <c r="R601" s="8" t="s">
        <v>6054</v>
      </c>
      <c r="U601" s="8" t="s">
        <v>390</v>
      </c>
      <c r="AA601" s="8" t="s">
        <v>450</v>
      </c>
      <c r="AB601" s="8" t="s">
        <v>390</v>
      </c>
      <c r="AD601" s="8" t="s">
        <v>6055</v>
      </c>
      <c r="AH601" s="8" t="s">
        <v>6057</v>
      </c>
      <c r="AI601" s="8" t="s">
        <v>2873</v>
      </c>
      <c r="AJ601" s="8" t="s">
        <v>398</v>
      </c>
    </row>
    <row r="602">
      <c r="A602" s="152">
        <v>2024.0</v>
      </c>
      <c r="B602" s="151">
        <v>203.0</v>
      </c>
      <c r="C602" s="153"/>
      <c r="D602" s="153"/>
      <c r="E602" s="153" t="s">
        <v>8189</v>
      </c>
      <c r="F602" s="153" t="s">
        <v>8379</v>
      </c>
      <c r="G602" s="153">
        <f>IFERROR(__xludf.DUMMYFUNCTION("""COMPUTED_VALUE"""),122.0)</f>
        <v>122</v>
      </c>
      <c r="H602" s="153" t="s">
        <v>535</v>
      </c>
      <c r="I602" s="153" t="s">
        <v>1445</v>
      </c>
      <c r="J602" s="153" t="s">
        <v>1446</v>
      </c>
      <c r="K602" s="153" t="s">
        <v>1447</v>
      </c>
      <c r="L602" s="153" t="s">
        <v>1377</v>
      </c>
      <c r="M602" s="153" t="s">
        <v>1448</v>
      </c>
      <c r="N602" s="230">
        <v>1992.0</v>
      </c>
      <c r="O602" s="230">
        <v>1990.0</v>
      </c>
      <c r="P602" s="230">
        <v>1994.0</v>
      </c>
      <c r="Q602" s="153" t="s">
        <v>151</v>
      </c>
      <c r="R602" s="153"/>
      <c r="S602" s="153"/>
      <c r="T602" s="153"/>
      <c r="U602" s="153" t="s">
        <v>1381</v>
      </c>
      <c r="V602" s="153"/>
      <c r="W602" s="153"/>
      <c r="X602" s="153"/>
      <c r="Y602" s="153"/>
      <c r="Z602" s="153"/>
      <c r="AA602" s="153"/>
      <c r="AB602" s="153" t="s">
        <v>660</v>
      </c>
      <c r="AC602" s="153" t="s">
        <v>6035</v>
      </c>
      <c r="AD602" s="153" t="s">
        <v>369</v>
      </c>
      <c r="AE602" s="153"/>
      <c r="AF602" s="153"/>
      <c r="AG602" s="153" t="s">
        <v>8004</v>
      </c>
      <c r="AH602" s="153" t="s">
        <v>6060</v>
      </c>
      <c r="AI602" s="153" t="s">
        <v>2873</v>
      </c>
      <c r="AJ602" s="153" t="s">
        <v>398</v>
      </c>
      <c r="AK602" s="153"/>
    </row>
    <row r="603">
      <c r="A603" s="152">
        <v>2025.0</v>
      </c>
      <c r="B603" s="151">
        <v>32.0</v>
      </c>
      <c r="C603" s="153" t="s">
        <v>8189</v>
      </c>
      <c r="D603" s="153"/>
      <c r="E603" s="153" t="s">
        <v>8301</v>
      </c>
      <c r="F603" s="153" t="s">
        <v>8380</v>
      </c>
      <c r="G603" s="153">
        <f>IFERROR(__xludf.DUMMYFUNCTION("""COMPUTED_VALUE"""),123.0)</f>
        <v>123</v>
      </c>
      <c r="H603" s="153" t="s">
        <v>143</v>
      </c>
      <c r="I603" s="153" t="s">
        <v>438</v>
      </c>
      <c r="J603" s="153" t="s">
        <v>2850</v>
      </c>
      <c r="K603" s="153" t="s">
        <v>2851</v>
      </c>
      <c r="L603" s="153" t="s">
        <v>384</v>
      </c>
      <c r="M603" s="153" t="s">
        <v>6181</v>
      </c>
      <c r="N603" s="175" t="s">
        <v>6169</v>
      </c>
      <c r="O603" s="175" t="s">
        <v>6052</v>
      </c>
      <c r="P603" s="175" t="s">
        <v>6053</v>
      </c>
      <c r="Q603" s="153" t="s">
        <v>151</v>
      </c>
      <c r="R603" s="158" t="s">
        <v>149</v>
      </c>
      <c r="S603" s="158" t="s">
        <v>149</v>
      </c>
      <c r="T603" s="158" t="s">
        <v>149</v>
      </c>
      <c r="U603" s="153" t="s">
        <v>390</v>
      </c>
      <c r="V603" s="158" t="s">
        <v>160</v>
      </c>
      <c r="W603" s="158" t="s">
        <v>6035</v>
      </c>
      <c r="X603" s="158" t="s">
        <v>159</v>
      </c>
      <c r="Y603" s="158" t="s">
        <v>149</v>
      </c>
      <c r="Z603" s="158" t="s">
        <v>149</v>
      </c>
      <c r="AA603" s="153" t="s">
        <v>2853</v>
      </c>
      <c r="AB603" s="153" t="s">
        <v>390</v>
      </c>
      <c r="AC603" s="153" t="s">
        <v>6035</v>
      </c>
      <c r="AD603" s="153" t="s">
        <v>6055</v>
      </c>
      <c r="AE603" s="153"/>
      <c r="AF603" s="153"/>
      <c r="AG603" s="158" t="s">
        <v>395</v>
      </c>
      <c r="AH603" s="153" t="s">
        <v>6060</v>
      </c>
      <c r="AI603" s="177" t="s">
        <v>397</v>
      </c>
      <c r="AJ603" s="153" t="s">
        <v>398</v>
      </c>
      <c r="AK603" s="239"/>
    </row>
    <row r="604">
      <c r="A604" s="152">
        <v>2023.0</v>
      </c>
      <c r="B604" s="151">
        <v>33.0</v>
      </c>
      <c r="C604" s="129" t="s">
        <v>140</v>
      </c>
      <c r="D604" s="8"/>
      <c r="E604" s="8" t="s">
        <v>8189</v>
      </c>
      <c r="F604" s="8" t="s">
        <v>8381</v>
      </c>
      <c r="G604" s="8">
        <f>IFERROR(__xludf.DUMMYFUNCTION("""COMPUTED_VALUE"""),124.0)</f>
        <v>124</v>
      </c>
      <c r="H604" s="8" t="s">
        <v>143</v>
      </c>
      <c r="I604" s="8" t="s">
        <v>438</v>
      </c>
      <c r="J604" s="8" t="s">
        <v>1120</v>
      </c>
      <c r="K604" s="153" t="s">
        <v>2034</v>
      </c>
      <c r="L604" s="8" t="s">
        <v>6113</v>
      </c>
      <c r="N604" s="142" t="s">
        <v>6063</v>
      </c>
      <c r="O604" s="142"/>
      <c r="P604" s="142"/>
      <c r="Q604" s="8" t="s">
        <v>151</v>
      </c>
      <c r="U604" s="8" t="s">
        <v>1882</v>
      </c>
      <c r="AB604" s="8" t="s">
        <v>1882</v>
      </c>
      <c r="AD604" s="8" t="s">
        <v>6157</v>
      </c>
    </row>
    <row r="605">
      <c r="A605" s="152">
        <v>2023.0</v>
      </c>
      <c r="B605" s="151">
        <v>34.0</v>
      </c>
      <c r="C605" s="129" t="s">
        <v>140</v>
      </c>
      <c r="D605" s="8"/>
      <c r="E605" s="8" t="s">
        <v>8189</v>
      </c>
      <c r="F605" s="8" t="s">
        <v>8382</v>
      </c>
      <c r="G605" s="8">
        <f>IFERROR(__xludf.DUMMYFUNCTION("""COMPUTED_VALUE"""),125.0)</f>
        <v>125</v>
      </c>
      <c r="H605" s="8" t="s">
        <v>143</v>
      </c>
      <c r="I605" s="8" t="s">
        <v>438</v>
      </c>
      <c r="J605" s="8" t="s">
        <v>1120</v>
      </c>
      <c r="K605" s="153" t="s">
        <v>2034</v>
      </c>
      <c r="L605" s="8" t="s">
        <v>6144</v>
      </c>
      <c r="N605" s="142" t="s">
        <v>6145</v>
      </c>
      <c r="O605" s="142"/>
      <c r="P605" s="142"/>
      <c r="Q605" s="8" t="s">
        <v>151</v>
      </c>
      <c r="R605" s="8" t="s">
        <v>6146</v>
      </c>
      <c r="T605" s="8" t="s">
        <v>6147</v>
      </c>
      <c r="U605" s="8" t="s">
        <v>2038</v>
      </c>
      <c r="AA605" s="8" t="s">
        <v>1558</v>
      </c>
      <c r="AB605" s="8" t="s">
        <v>228</v>
      </c>
      <c r="AD605" s="8" t="s">
        <v>760</v>
      </c>
      <c r="AF605" s="8" t="s">
        <v>6148</v>
      </c>
      <c r="AH605" s="8" t="s">
        <v>166</v>
      </c>
      <c r="AI605" s="8" t="s">
        <v>6149</v>
      </c>
      <c r="AJ605" s="189" t="s">
        <v>2045</v>
      </c>
    </row>
    <row r="606">
      <c r="A606" s="152">
        <v>2024.0</v>
      </c>
      <c r="B606" s="151">
        <v>204.0</v>
      </c>
      <c r="C606" s="153"/>
      <c r="D606" s="153"/>
      <c r="E606" s="153" t="s">
        <v>8189</v>
      </c>
      <c r="F606" s="153" t="s">
        <v>8383</v>
      </c>
      <c r="G606" s="153">
        <f>IFERROR(__xludf.DUMMYFUNCTION("""COMPUTED_VALUE"""),126.0)</f>
        <v>126</v>
      </c>
      <c r="H606" s="153" t="s">
        <v>535</v>
      </c>
      <c r="I606" s="153" t="s">
        <v>1089</v>
      </c>
      <c r="J606" s="153" t="s">
        <v>1667</v>
      </c>
      <c r="K606" s="153" t="s">
        <v>1668</v>
      </c>
      <c r="L606" s="153" t="s">
        <v>1659</v>
      </c>
      <c r="M606" s="153"/>
      <c r="N606" s="230" t="s">
        <v>6113</v>
      </c>
      <c r="O606" s="230">
        <v>1990.0</v>
      </c>
      <c r="P606" s="230">
        <v>1992.0</v>
      </c>
      <c r="Q606" s="153" t="s">
        <v>151</v>
      </c>
      <c r="R606" s="153" t="s">
        <v>6897</v>
      </c>
      <c r="S606" s="153"/>
      <c r="T606" s="153" t="s">
        <v>1380</v>
      </c>
      <c r="U606" s="153" t="s">
        <v>1663</v>
      </c>
      <c r="V606" s="153"/>
      <c r="W606" s="153"/>
      <c r="X606" s="153"/>
      <c r="Y606" s="153"/>
      <c r="Z606" s="153"/>
      <c r="AA606" s="153"/>
      <c r="AB606" s="153" t="s">
        <v>3307</v>
      </c>
      <c r="AC606" s="153" t="s">
        <v>6035</v>
      </c>
      <c r="AD606" s="153" t="s">
        <v>1663</v>
      </c>
      <c r="AE606" s="153"/>
      <c r="AF606" s="153"/>
      <c r="AG606" s="153" t="s">
        <v>8004</v>
      </c>
      <c r="AH606" s="153" t="s">
        <v>6060</v>
      </c>
      <c r="AI606" s="153" t="s">
        <v>2873</v>
      </c>
      <c r="AJ606" s="153" t="s">
        <v>398</v>
      </c>
      <c r="AK606" s="153"/>
    </row>
    <row r="607">
      <c r="A607" s="152">
        <v>2023.0</v>
      </c>
      <c r="B607" s="151">
        <v>35.0</v>
      </c>
      <c r="C607" s="129" t="s">
        <v>140</v>
      </c>
      <c r="D607" s="8"/>
      <c r="E607" s="8" t="s">
        <v>8189</v>
      </c>
      <c r="F607" s="8" t="s">
        <v>8384</v>
      </c>
      <c r="G607" s="8">
        <f>IFERROR(__xludf.DUMMYFUNCTION("""COMPUTED_VALUE"""),127.0)</f>
        <v>127</v>
      </c>
      <c r="H607" s="8" t="s">
        <v>143</v>
      </c>
      <c r="I607" s="8" t="s">
        <v>438</v>
      </c>
      <c r="J607" s="8" t="s">
        <v>491</v>
      </c>
      <c r="K607" s="153" t="s">
        <v>1646</v>
      </c>
      <c r="L607" s="8" t="s">
        <v>1635</v>
      </c>
      <c r="N607" s="142" t="s">
        <v>6030</v>
      </c>
      <c r="O607" s="142"/>
      <c r="P607" s="142"/>
      <c r="Q607" s="8" t="s">
        <v>151</v>
      </c>
      <c r="U607" s="8" t="s">
        <v>341</v>
      </c>
      <c r="AB607" s="8" t="s">
        <v>6118</v>
      </c>
    </row>
    <row r="608">
      <c r="A608" s="152">
        <v>2024.0</v>
      </c>
      <c r="B608" s="151">
        <v>205.0</v>
      </c>
      <c r="C608" s="153"/>
      <c r="D608" s="153"/>
      <c r="E608" s="153" t="s">
        <v>8189</v>
      </c>
      <c r="F608" s="153" t="s">
        <v>8385</v>
      </c>
      <c r="G608" s="153">
        <f>IFERROR(__xludf.DUMMYFUNCTION("""COMPUTED_VALUE"""),128.0)</f>
        <v>128</v>
      </c>
      <c r="H608" s="153" t="s">
        <v>535</v>
      </c>
      <c r="I608" s="153" t="s">
        <v>1089</v>
      </c>
      <c r="J608" s="153" t="s">
        <v>2511</v>
      </c>
      <c r="K608" s="153" t="s">
        <v>2512</v>
      </c>
      <c r="L608" s="158" t="s">
        <v>149</v>
      </c>
      <c r="M608" s="153"/>
      <c r="N608" s="192" t="s">
        <v>149</v>
      </c>
      <c r="O608" s="192" t="s">
        <v>149</v>
      </c>
      <c r="P608" s="192" t="s">
        <v>149</v>
      </c>
      <c r="Q608" s="153" t="s">
        <v>151</v>
      </c>
      <c r="R608" s="153"/>
      <c r="S608" s="153"/>
      <c r="T608" s="153" t="s">
        <v>2513</v>
      </c>
      <c r="U608" s="158" t="s">
        <v>149</v>
      </c>
      <c r="V608" s="158"/>
      <c r="W608" s="158"/>
      <c r="X608" s="158"/>
      <c r="Y608" s="158" t="s">
        <v>149</v>
      </c>
      <c r="Z608" s="158" t="s">
        <v>149</v>
      </c>
      <c r="AA608" s="158" t="s">
        <v>149</v>
      </c>
      <c r="AB608" s="153" t="s">
        <v>765</v>
      </c>
      <c r="AC608" s="153" t="s">
        <v>6035</v>
      </c>
      <c r="AD608" s="153" t="s">
        <v>390</v>
      </c>
      <c r="AE608" s="153" t="s">
        <v>2514</v>
      </c>
      <c r="AF608" s="153"/>
      <c r="AG608" s="158" t="s">
        <v>6214</v>
      </c>
      <c r="AH608" s="153" t="s">
        <v>2515</v>
      </c>
      <c r="AI608" s="165" t="s">
        <v>2516</v>
      </c>
      <c r="AJ608" s="153" t="s">
        <v>2517</v>
      </c>
      <c r="AK608" s="153"/>
    </row>
    <row r="609">
      <c r="A609" s="152">
        <v>2023.0</v>
      </c>
      <c r="B609" s="151">
        <v>36.0</v>
      </c>
      <c r="C609" s="129" t="s">
        <v>140</v>
      </c>
      <c r="D609" s="8"/>
      <c r="E609" s="8" t="s">
        <v>8189</v>
      </c>
      <c r="F609" s="8" t="s">
        <v>8386</v>
      </c>
      <c r="G609" s="8">
        <f>IFERROR(__xludf.DUMMYFUNCTION("""COMPUTED_VALUE"""),129.0)</f>
        <v>129</v>
      </c>
      <c r="H609" s="8" t="s">
        <v>143</v>
      </c>
      <c r="I609" s="8" t="s">
        <v>438</v>
      </c>
      <c r="J609" s="8" t="s">
        <v>2850</v>
      </c>
      <c r="K609" s="153" t="s">
        <v>2851</v>
      </c>
      <c r="L609" s="8" t="s">
        <v>384</v>
      </c>
      <c r="N609" s="142"/>
      <c r="O609" s="142" t="s">
        <v>6198</v>
      </c>
      <c r="P609" s="142" t="s">
        <v>6199</v>
      </c>
      <c r="Q609" s="8" t="s">
        <v>151</v>
      </c>
      <c r="U609" s="8" t="s">
        <v>660</v>
      </c>
      <c r="AB609" s="8" t="s">
        <v>660</v>
      </c>
    </row>
    <row r="610">
      <c r="A610" s="152">
        <v>2025.0</v>
      </c>
      <c r="B610" s="151">
        <v>343.0</v>
      </c>
      <c r="C610" s="153" t="s">
        <v>8189</v>
      </c>
      <c r="D610" s="153"/>
      <c r="E610" s="153" t="s">
        <v>8301</v>
      </c>
      <c r="F610" s="153" t="s">
        <v>7372</v>
      </c>
      <c r="G610" s="153">
        <f>IFERROR(__xludf.DUMMYFUNCTION("""COMPUTED_VALUE"""),130.0)</f>
        <v>130</v>
      </c>
      <c r="H610" s="153" t="s">
        <v>171</v>
      </c>
      <c r="I610" s="153" t="s">
        <v>600</v>
      </c>
      <c r="J610" s="153" t="s">
        <v>601</v>
      </c>
      <c r="K610" s="153" t="s">
        <v>602</v>
      </c>
      <c r="L610" s="153" t="s">
        <v>384</v>
      </c>
      <c r="M610" s="153" t="s">
        <v>603</v>
      </c>
      <c r="N610" s="175" t="s">
        <v>6051</v>
      </c>
      <c r="O610" s="175" t="s">
        <v>6052</v>
      </c>
      <c r="P610" s="175" t="s">
        <v>6053</v>
      </c>
      <c r="Q610" s="153" t="s">
        <v>151</v>
      </c>
      <c r="R610" s="153" t="s">
        <v>6076</v>
      </c>
      <c r="S610" s="158" t="s">
        <v>605</v>
      </c>
      <c r="T610" s="158" t="s">
        <v>149</v>
      </c>
      <c r="U610" s="153" t="s">
        <v>390</v>
      </c>
      <c r="V610" s="158" t="s">
        <v>160</v>
      </c>
      <c r="W610" s="158" t="s">
        <v>6035</v>
      </c>
      <c r="X610" s="158" t="s">
        <v>159</v>
      </c>
      <c r="Y610" s="158" t="s">
        <v>149</v>
      </c>
      <c r="Z610" s="158" t="s">
        <v>149</v>
      </c>
      <c r="AA610" s="153" t="s">
        <v>606</v>
      </c>
      <c r="AB610" s="153" t="s">
        <v>390</v>
      </c>
      <c r="AC610" s="153" t="s">
        <v>6035</v>
      </c>
      <c r="AD610" s="153" t="s">
        <v>6055</v>
      </c>
      <c r="AE610" s="153"/>
      <c r="AF610" s="153"/>
      <c r="AG610" s="158" t="s">
        <v>395</v>
      </c>
      <c r="AH610" s="153" t="s">
        <v>6060</v>
      </c>
      <c r="AI610" s="158" t="s">
        <v>6711</v>
      </c>
      <c r="AJ610" s="153" t="s">
        <v>398</v>
      </c>
      <c r="AK610" s="153"/>
    </row>
    <row r="611">
      <c r="A611" s="152">
        <v>2024.0</v>
      </c>
      <c r="B611" s="151">
        <v>206.0</v>
      </c>
      <c r="C611" s="153"/>
      <c r="D611" s="153"/>
      <c r="E611" s="153" t="s">
        <v>8189</v>
      </c>
      <c r="F611" s="153" t="s">
        <v>8387</v>
      </c>
      <c r="G611" s="153">
        <f>IFERROR(__xludf.DUMMYFUNCTION("""COMPUTED_VALUE"""),131.0)</f>
        <v>131</v>
      </c>
      <c r="H611" s="153" t="s">
        <v>535</v>
      </c>
      <c r="I611" s="153" t="s">
        <v>1089</v>
      </c>
      <c r="J611" s="153" t="s">
        <v>3081</v>
      </c>
      <c r="K611" s="153" t="s">
        <v>3082</v>
      </c>
      <c r="L611" s="158" t="s">
        <v>149</v>
      </c>
      <c r="M611" s="153"/>
      <c r="N611" s="192" t="s">
        <v>149</v>
      </c>
      <c r="O611" s="192" t="s">
        <v>149</v>
      </c>
      <c r="P611" s="192" t="s">
        <v>149</v>
      </c>
      <c r="Q611" s="153" t="s">
        <v>6062</v>
      </c>
      <c r="R611" s="153" t="s">
        <v>6666</v>
      </c>
      <c r="S611" s="153"/>
      <c r="T611" s="158" t="s">
        <v>149</v>
      </c>
      <c r="U611" s="153" t="s">
        <v>3083</v>
      </c>
      <c r="V611" s="153"/>
      <c r="W611" s="153"/>
      <c r="X611" s="153"/>
      <c r="Y611" s="158" t="s">
        <v>149</v>
      </c>
      <c r="Z611" s="158" t="s">
        <v>3084</v>
      </c>
      <c r="AA611" s="158" t="s">
        <v>149</v>
      </c>
      <c r="AB611" s="153" t="s">
        <v>3083</v>
      </c>
      <c r="AC611" s="153" t="s">
        <v>306</v>
      </c>
      <c r="AD611" s="153" t="s">
        <v>369</v>
      </c>
      <c r="AE611" s="153"/>
      <c r="AF611" s="153"/>
      <c r="AG611" s="153" t="s">
        <v>6038</v>
      </c>
      <c r="AH611" s="153" t="s">
        <v>3085</v>
      </c>
      <c r="AI611" s="153" t="s">
        <v>6902</v>
      </c>
      <c r="AJ611" s="153" t="s">
        <v>3087</v>
      </c>
      <c r="AK611" s="153" t="s">
        <v>3088</v>
      </c>
    </row>
    <row r="612">
      <c r="A612" s="152">
        <v>2025.0</v>
      </c>
      <c r="B612" s="151">
        <v>344.0</v>
      </c>
      <c r="C612" s="153" t="s">
        <v>8189</v>
      </c>
      <c r="D612" s="153"/>
      <c r="E612" s="153" t="s">
        <v>8301</v>
      </c>
      <c r="F612" s="153" t="s">
        <v>7373</v>
      </c>
      <c r="G612" s="153">
        <f>IFERROR(__xludf.DUMMYFUNCTION("""COMPUTED_VALUE"""),132.0)</f>
        <v>132</v>
      </c>
      <c r="H612" s="153" t="s">
        <v>171</v>
      </c>
      <c r="I612" s="153" t="s">
        <v>600</v>
      </c>
      <c r="J612" s="153" t="s">
        <v>601</v>
      </c>
      <c r="K612" s="153" t="s">
        <v>602</v>
      </c>
      <c r="L612" s="153" t="s">
        <v>384</v>
      </c>
      <c r="M612" s="153" t="s">
        <v>608</v>
      </c>
      <c r="N612" s="175" t="s">
        <v>6051</v>
      </c>
      <c r="O612" s="175" t="s">
        <v>6052</v>
      </c>
      <c r="P612" s="175" t="s">
        <v>6053</v>
      </c>
      <c r="Q612" s="153" t="s">
        <v>151</v>
      </c>
      <c r="R612" s="153" t="s">
        <v>469</v>
      </c>
      <c r="S612" s="158" t="s">
        <v>469</v>
      </c>
      <c r="T612" s="158" t="s">
        <v>149</v>
      </c>
      <c r="U612" s="153" t="s">
        <v>390</v>
      </c>
      <c r="V612" s="158" t="s">
        <v>160</v>
      </c>
      <c r="W612" s="158" t="s">
        <v>6035</v>
      </c>
      <c r="X612" s="158" t="s">
        <v>159</v>
      </c>
      <c r="Y612" s="158" t="s">
        <v>149</v>
      </c>
      <c r="Z612" s="158" t="s">
        <v>149</v>
      </c>
      <c r="AA612" s="153" t="s">
        <v>609</v>
      </c>
      <c r="AB612" s="153" t="s">
        <v>390</v>
      </c>
      <c r="AC612" s="153" t="s">
        <v>6035</v>
      </c>
      <c r="AD612" s="153" t="s">
        <v>6055</v>
      </c>
      <c r="AE612" s="153"/>
      <c r="AF612" s="153"/>
      <c r="AG612" s="158" t="s">
        <v>395</v>
      </c>
      <c r="AH612" s="153" t="s">
        <v>6060</v>
      </c>
      <c r="AI612" s="158" t="s">
        <v>6711</v>
      </c>
      <c r="AJ612" s="153" t="s">
        <v>398</v>
      </c>
      <c r="AK612" s="153"/>
    </row>
    <row r="613">
      <c r="A613" s="152">
        <v>2025.0</v>
      </c>
      <c r="B613" s="151">
        <v>345.0</v>
      </c>
      <c r="C613" s="153" t="s">
        <v>8189</v>
      </c>
      <c r="D613" s="153"/>
      <c r="E613" s="153" t="s">
        <v>8301</v>
      </c>
      <c r="F613" s="153" t="s">
        <v>7377</v>
      </c>
      <c r="G613" s="153">
        <f>IFERROR(__xludf.DUMMYFUNCTION("""COMPUTED_VALUE"""),133.0)</f>
        <v>133</v>
      </c>
      <c r="H613" s="153" t="s">
        <v>171</v>
      </c>
      <c r="I613" s="153" t="s">
        <v>600</v>
      </c>
      <c r="J613" s="153" t="s">
        <v>2252</v>
      </c>
      <c r="K613" s="153" t="s">
        <v>2253</v>
      </c>
      <c r="L613" s="153" t="s">
        <v>2254</v>
      </c>
      <c r="M613" s="153" t="s">
        <v>7378</v>
      </c>
      <c r="N613" s="175" t="s">
        <v>6415</v>
      </c>
      <c r="O613" s="160" t="s">
        <v>149</v>
      </c>
      <c r="P613" s="160" t="s">
        <v>149</v>
      </c>
      <c r="Q613" s="158" t="s">
        <v>6624</v>
      </c>
      <c r="R613" s="153" t="s">
        <v>2256</v>
      </c>
      <c r="S613" s="158" t="s">
        <v>2092</v>
      </c>
      <c r="T613" s="158" t="s">
        <v>149</v>
      </c>
      <c r="U613" s="153" t="s">
        <v>2257</v>
      </c>
      <c r="V613" s="158" t="s">
        <v>6154</v>
      </c>
      <c r="W613" s="158" t="s">
        <v>206</v>
      </c>
      <c r="X613" s="158" t="s">
        <v>159</v>
      </c>
      <c r="Y613" s="153" t="s">
        <v>7379</v>
      </c>
      <c r="Z613" s="158" t="s">
        <v>149</v>
      </c>
      <c r="AA613" s="153" t="s">
        <v>2259</v>
      </c>
      <c r="AB613" s="153" t="s">
        <v>2260</v>
      </c>
      <c r="AC613" s="153" t="s">
        <v>6035</v>
      </c>
      <c r="AD613" s="153"/>
      <c r="AE613" s="153"/>
      <c r="AF613" s="153" t="s">
        <v>2261</v>
      </c>
      <c r="AG613" s="158" t="s">
        <v>6091</v>
      </c>
      <c r="AH613" s="153" t="s">
        <v>2262</v>
      </c>
      <c r="AI613" s="165" t="s">
        <v>2263</v>
      </c>
      <c r="AJ613" s="153"/>
      <c r="AK613" s="153"/>
    </row>
    <row r="614">
      <c r="A614" s="152">
        <v>2024.0</v>
      </c>
      <c r="B614" s="151">
        <v>207.0</v>
      </c>
      <c r="C614" s="153"/>
      <c r="D614" s="153"/>
      <c r="E614" s="153" t="s">
        <v>8189</v>
      </c>
      <c r="F614" s="153" t="s">
        <v>8388</v>
      </c>
      <c r="G614" s="153">
        <f>IFERROR(__xludf.DUMMYFUNCTION("""COMPUTED_VALUE"""),134.0)</f>
        <v>134</v>
      </c>
      <c r="H614" s="153" t="s">
        <v>535</v>
      </c>
      <c r="I614" s="153" t="s">
        <v>1089</v>
      </c>
      <c r="J614" s="153" t="s">
        <v>1090</v>
      </c>
      <c r="K614" s="153" t="s">
        <v>1091</v>
      </c>
      <c r="L614" s="153" t="s">
        <v>1092</v>
      </c>
      <c r="M614" s="153"/>
      <c r="N614" s="230">
        <v>2021.0</v>
      </c>
      <c r="O614" s="192" t="s">
        <v>149</v>
      </c>
      <c r="P614" s="192" t="s">
        <v>149</v>
      </c>
      <c r="Q614" s="153" t="s">
        <v>6062</v>
      </c>
      <c r="R614" s="153"/>
      <c r="S614" s="153"/>
      <c r="T614" s="158" t="s">
        <v>149</v>
      </c>
      <c r="U614" s="153" t="s">
        <v>369</v>
      </c>
      <c r="V614" s="153"/>
      <c r="W614" s="153"/>
      <c r="X614" s="153"/>
      <c r="Y614" s="158" t="s">
        <v>149</v>
      </c>
      <c r="Z614" s="158" t="s">
        <v>3084</v>
      </c>
      <c r="AA614" s="158" t="s">
        <v>149</v>
      </c>
      <c r="AB614" s="153" t="s">
        <v>369</v>
      </c>
      <c r="AC614" s="153" t="s">
        <v>6035</v>
      </c>
      <c r="AD614" s="153" t="s">
        <v>1093</v>
      </c>
      <c r="AE614" s="153"/>
      <c r="AF614" s="153"/>
      <c r="AG614" s="153" t="s">
        <v>6038</v>
      </c>
      <c r="AH614" s="153" t="s">
        <v>1094</v>
      </c>
      <c r="AI614" s="172" t="s">
        <v>1095</v>
      </c>
      <c r="AJ614" s="153"/>
      <c r="AK614" s="153"/>
    </row>
    <row r="615">
      <c r="A615" s="152">
        <v>2025.0</v>
      </c>
      <c r="B615" s="151">
        <v>346.0</v>
      </c>
      <c r="C615" s="153" t="s">
        <v>8189</v>
      </c>
      <c r="D615" s="153"/>
      <c r="E615" s="153" t="s">
        <v>8301</v>
      </c>
      <c r="F615" s="153" t="s">
        <v>7381</v>
      </c>
      <c r="G615" s="153">
        <f>IFERROR(__xludf.DUMMYFUNCTION("""COMPUTED_VALUE"""),135.0)</f>
        <v>135</v>
      </c>
      <c r="H615" s="153" t="s">
        <v>171</v>
      </c>
      <c r="I615" s="153" t="s">
        <v>600</v>
      </c>
      <c r="J615" s="153" t="s">
        <v>1497</v>
      </c>
      <c r="K615" s="153" t="s">
        <v>1498</v>
      </c>
      <c r="L615" s="153" t="s">
        <v>1377</v>
      </c>
      <c r="M615" s="153"/>
      <c r="N615" s="160" t="s">
        <v>7351</v>
      </c>
      <c r="O615" s="175" t="s">
        <v>6198</v>
      </c>
      <c r="P615" s="175" t="s">
        <v>6199</v>
      </c>
      <c r="Q615" s="153" t="s">
        <v>151</v>
      </c>
      <c r="R615" s="158" t="s">
        <v>149</v>
      </c>
      <c r="S615" s="158" t="s">
        <v>149</v>
      </c>
      <c r="T615" s="158" t="s">
        <v>149</v>
      </c>
      <c r="U615" s="153" t="s">
        <v>1381</v>
      </c>
      <c r="V615" s="158" t="s">
        <v>6154</v>
      </c>
      <c r="W615" s="158" t="s">
        <v>206</v>
      </c>
      <c r="X615" s="158" t="s">
        <v>159</v>
      </c>
      <c r="Y615" s="158" t="s">
        <v>149</v>
      </c>
      <c r="Z615" s="158" t="s">
        <v>149</v>
      </c>
      <c r="AA615" s="158" t="s">
        <v>149</v>
      </c>
      <c r="AB615" s="153" t="s">
        <v>660</v>
      </c>
      <c r="AC615" s="153" t="s">
        <v>6035</v>
      </c>
      <c r="AD615" s="153" t="s">
        <v>369</v>
      </c>
      <c r="AE615" s="153"/>
      <c r="AF615" s="153"/>
      <c r="AG615" s="158" t="s">
        <v>395</v>
      </c>
      <c r="AH615" s="153" t="s">
        <v>6060</v>
      </c>
      <c r="AI615" s="158" t="s">
        <v>6711</v>
      </c>
      <c r="AJ615" s="153" t="s">
        <v>398</v>
      </c>
      <c r="AK615" s="153"/>
    </row>
    <row r="616">
      <c r="A616" s="152">
        <v>2025.0</v>
      </c>
      <c r="B616" s="151">
        <v>347.0</v>
      </c>
      <c r="C616" s="153" t="s">
        <v>8189</v>
      </c>
      <c r="D616" s="153"/>
      <c r="E616" s="153" t="s">
        <v>707</v>
      </c>
      <c r="F616" s="153" t="s">
        <v>7384</v>
      </c>
      <c r="G616" s="153">
        <f>IFERROR(__xludf.DUMMYFUNCTION("""COMPUTED_VALUE"""),136.0)</f>
        <v>136</v>
      </c>
      <c r="H616" s="153" t="s">
        <v>171</v>
      </c>
      <c r="I616" s="153" t="s">
        <v>600</v>
      </c>
      <c r="J616" s="153" t="s">
        <v>1497</v>
      </c>
      <c r="K616" s="153" t="s">
        <v>1498</v>
      </c>
      <c r="L616" s="153" t="s">
        <v>1377</v>
      </c>
      <c r="M616" s="153" t="s">
        <v>7385</v>
      </c>
      <c r="N616" s="160" t="s">
        <v>7351</v>
      </c>
      <c r="O616" s="175" t="s">
        <v>6198</v>
      </c>
      <c r="P616" s="175" t="s">
        <v>6199</v>
      </c>
      <c r="Q616" s="153" t="s">
        <v>151</v>
      </c>
      <c r="R616" s="158" t="s">
        <v>149</v>
      </c>
      <c r="S616" s="158" t="s">
        <v>149</v>
      </c>
      <c r="T616" s="158" t="s">
        <v>149</v>
      </c>
      <c r="U616" s="153" t="s">
        <v>1381</v>
      </c>
      <c r="V616" s="158" t="s">
        <v>6154</v>
      </c>
      <c r="W616" s="158" t="s">
        <v>206</v>
      </c>
      <c r="X616" s="158" t="s">
        <v>159</v>
      </c>
      <c r="Y616" s="158" t="s">
        <v>149</v>
      </c>
      <c r="Z616" s="158" t="s">
        <v>149</v>
      </c>
      <c r="AA616" s="158" t="s">
        <v>149</v>
      </c>
      <c r="AB616" s="153" t="s">
        <v>660</v>
      </c>
      <c r="AC616" s="153" t="s">
        <v>6035</v>
      </c>
      <c r="AD616" s="153" t="s">
        <v>369</v>
      </c>
      <c r="AE616" s="153"/>
      <c r="AF616" s="153"/>
      <c r="AG616" s="158" t="s">
        <v>395</v>
      </c>
      <c r="AH616" s="153" t="s">
        <v>6060</v>
      </c>
      <c r="AI616" s="158" t="s">
        <v>6711</v>
      </c>
      <c r="AJ616" s="153" t="s">
        <v>398</v>
      </c>
      <c r="AK616" s="153"/>
    </row>
    <row r="617">
      <c r="A617" s="152">
        <v>2024.0</v>
      </c>
      <c r="B617" s="151">
        <v>208.0</v>
      </c>
      <c r="C617" s="153"/>
      <c r="D617" s="153"/>
      <c r="E617" s="153" t="s">
        <v>8189</v>
      </c>
      <c r="F617" s="153" t="s">
        <v>8389</v>
      </c>
      <c r="G617" s="153">
        <f>IFERROR(__xludf.DUMMYFUNCTION("""COMPUTED_VALUE"""),137.0)</f>
        <v>137</v>
      </c>
      <c r="H617" s="153" t="s">
        <v>535</v>
      </c>
      <c r="I617" s="153" t="s">
        <v>1089</v>
      </c>
      <c r="J617" s="153" t="s">
        <v>1324</v>
      </c>
      <c r="K617" s="153" t="s">
        <v>1325</v>
      </c>
      <c r="L617" s="153" t="s">
        <v>1377</v>
      </c>
      <c r="M617" s="153" t="s">
        <v>7895</v>
      </c>
      <c r="N617" s="230" t="s">
        <v>6113</v>
      </c>
      <c r="O617" s="230">
        <v>1990.0</v>
      </c>
      <c r="P617" s="230">
        <v>1994.0</v>
      </c>
      <c r="Q617" s="153" t="s">
        <v>151</v>
      </c>
      <c r="R617" s="153"/>
      <c r="S617" s="153"/>
      <c r="T617" s="158" t="s">
        <v>149</v>
      </c>
      <c r="U617" s="153" t="s">
        <v>1381</v>
      </c>
      <c r="V617" s="153"/>
      <c r="W617" s="153"/>
      <c r="X617" s="153"/>
      <c r="Y617" s="158" t="s">
        <v>149</v>
      </c>
      <c r="Z617" s="158" t="s">
        <v>149</v>
      </c>
      <c r="AA617" s="158" t="s">
        <v>149</v>
      </c>
      <c r="AB617" s="153" t="s">
        <v>660</v>
      </c>
      <c r="AC617" s="153" t="s">
        <v>6035</v>
      </c>
      <c r="AD617" s="153" t="s">
        <v>369</v>
      </c>
      <c r="AE617" s="153"/>
      <c r="AF617" s="153"/>
      <c r="AG617" s="158" t="s">
        <v>395</v>
      </c>
      <c r="AH617" s="153" t="s">
        <v>6060</v>
      </c>
      <c r="AI617" s="153" t="s">
        <v>2873</v>
      </c>
      <c r="AJ617" s="153" t="s">
        <v>398</v>
      </c>
      <c r="AK617" s="153"/>
    </row>
    <row r="618">
      <c r="A618" s="152">
        <v>2023.0</v>
      </c>
      <c r="B618" s="151">
        <v>353.0</v>
      </c>
      <c r="C618" s="129" t="s">
        <v>140</v>
      </c>
      <c r="D618" s="8"/>
      <c r="E618" s="8" t="s">
        <v>8189</v>
      </c>
      <c r="F618" s="8" t="s">
        <v>7410</v>
      </c>
      <c r="G618" s="8">
        <f>IFERROR(__xludf.DUMMYFUNCTION("""COMPUTED_VALUE"""),138.0)</f>
        <v>138</v>
      </c>
      <c r="H618" s="8" t="s">
        <v>171</v>
      </c>
      <c r="I618" s="8" t="s">
        <v>600</v>
      </c>
      <c r="J618" s="8" t="s">
        <v>601</v>
      </c>
      <c r="K618" s="277" t="s">
        <v>602</v>
      </c>
      <c r="L618" s="8" t="s">
        <v>384</v>
      </c>
      <c r="M618" s="8" t="s">
        <v>603</v>
      </c>
      <c r="N618" s="142" t="s">
        <v>6051</v>
      </c>
      <c r="O618" s="142" t="s">
        <v>6052</v>
      </c>
      <c r="P618" s="142" t="s">
        <v>6053</v>
      </c>
      <c r="Q618" s="8" t="s">
        <v>151</v>
      </c>
      <c r="R618" s="8" t="s">
        <v>6076</v>
      </c>
      <c r="U618" s="8" t="s">
        <v>390</v>
      </c>
      <c r="AA618" s="8" t="s">
        <v>606</v>
      </c>
      <c r="AB618" s="8" t="s">
        <v>390</v>
      </c>
      <c r="AD618" s="8" t="s">
        <v>6055</v>
      </c>
      <c r="AH618" s="8" t="s">
        <v>6057</v>
      </c>
      <c r="AI618" s="8" t="s">
        <v>2873</v>
      </c>
      <c r="AJ618" s="8" t="s">
        <v>398</v>
      </c>
    </row>
    <row r="619">
      <c r="A619" s="152">
        <v>2023.0</v>
      </c>
      <c r="B619" s="151">
        <v>354.0</v>
      </c>
      <c r="C619" s="129" t="s">
        <v>140</v>
      </c>
      <c r="D619" s="8"/>
      <c r="E619" s="8" t="s">
        <v>8189</v>
      </c>
      <c r="F619" s="8" t="s">
        <v>7415</v>
      </c>
      <c r="G619" s="8">
        <f>IFERROR(__xludf.DUMMYFUNCTION("""COMPUTED_VALUE"""),139.0)</f>
        <v>139</v>
      </c>
      <c r="H619" s="8" t="s">
        <v>171</v>
      </c>
      <c r="I619" s="8" t="s">
        <v>600</v>
      </c>
      <c r="J619" s="8" t="s">
        <v>601</v>
      </c>
      <c r="K619" s="277" t="s">
        <v>602</v>
      </c>
      <c r="L619" s="8" t="s">
        <v>384</v>
      </c>
      <c r="M619" s="8" t="s">
        <v>608</v>
      </c>
      <c r="N619" s="142" t="s">
        <v>6051</v>
      </c>
      <c r="O619" s="142" t="s">
        <v>6052</v>
      </c>
      <c r="P619" s="142" t="s">
        <v>6053</v>
      </c>
      <c r="Q619" s="8" t="s">
        <v>151</v>
      </c>
      <c r="R619" s="8" t="s">
        <v>469</v>
      </c>
      <c r="U619" s="8" t="s">
        <v>390</v>
      </c>
      <c r="AA619" s="8" t="s">
        <v>609</v>
      </c>
      <c r="AB619" s="8" t="s">
        <v>390</v>
      </c>
      <c r="AD619" s="8" t="s">
        <v>6055</v>
      </c>
      <c r="AH619" s="8" t="s">
        <v>6057</v>
      </c>
      <c r="AI619" s="8" t="s">
        <v>2873</v>
      </c>
      <c r="AJ619" s="8" t="s">
        <v>398</v>
      </c>
    </row>
    <row r="620">
      <c r="A620" s="152">
        <v>2024.0</v>
      </c>
      <c r="B620" s="151">
        <v>209.0</v>
      </c>
      <c r="C620" s="153"/>
      <c r="D620" s="153"/>
      <c r="E620" s="153" t="s">
        <v>8189</v>
      </c>
      <c r="F620" s="153" t="s">
        <v>8390</v>
      </c>
      <c r="G620" s="153">
        <f>IFERROR(__xludf.DUMMYFUNCTION("""COMPUTED_VALUE"""),140.0)</f>
        <v>140</v>
      </c>
      <c r="H620" s="153" t="s">
        <v>535</v>
      </c>
      <c r="I620" s="153" t="s">
        <v>1089</v>
      </c>
      <c r="J620" s="153" t="s">
        <v>1324</v>
      </c>
      <c r="K620" s="153" t="s">
        <v>1325</v>
      </c>
      <c r="L620" s="158" t="s">
        <v>149</v>
      </c>
      <c r="M620" s="153"/>
      <c r="N620" s="230">
        <v>1989.0</v>
      </c>
      <c r="O620" s="192" t="s">
        <v>149</v>
      </c>
      <c r="P620" s="192" t="s">
        <v>149</v>
      </c>
      <c r="Q620" s="153" t="s">
        <v>151</v>
      </c>
      <c r="R620" s="153"/>
      <c r="S620" s="153"/>
      <c r="T620" s="158" t="s">
        <v>149</v>
      </c>
      <c r="U620" s="158" t="s">
        <v>149</v>
      </c>
      <c r="V620" s="158"/>
      <c r="W620" s="158"/>
      <c r="X620" s="158"/>
      <c r="Y620" s="158" t="s">
        <v>149</v>
      </c>
      <c r="Z620" s="158" t="s">
        <v>149</v>
      </c>
      <c r="AA620" s="158" t="s">
        <v>149</v>
      </c>
      <c r="AB620" s="158" t="s">
        <v>149</v>
      </c>
      <c r="AC620" s="158" t="s">
        <v>149</v>
      </c>
      <c r="AD620" s="153"/>
      <c r="AE620" s="153"/>
      <c r="AF620" s="153"/>
      <c r="AG620" s="153" t="s">
        <v>8004</v>
      </c>
      <c r="AH620" s="153" t="s">
        <v>6060</v>
      </c>
      <c r="AI620" s="153" t="s">
        <v>2873</v>
      </c>
      <c r="AJ620" s="153" t="s">
        <v>398</v>
      </c>
      <c r="AK620" s="153"/>
    </row>
    <row r="621">
      <c r="A621" s="152">
        <v>2023.0</v>
      </c>
      <c r="B621" s="151">
        <v>355.0</v>
      </c>
      <c r="C621" s="129" t="s">
        <v>140</v>
      </c>
      <c r="D621" s="8"/>
      <c r="E621" s="8" t="s">
        <v>8189</v>
      </c>
      <c r="F621" s="8" t="s">
        <v>7417</v>
      </c>
      <c r="G621" s="8">
        <f>IFERROR(__xludf.DUMMYFUNCTION("""COMPUTED_VALUE"""),141.0)</f>
        <v>141</v>
      </c>
      <c r="H621" s="8" t="s">
        <v>171</v>
      </c>
      <c r="I621" s="8" t="s">
        <v>600</v>
      </c>
      <c r="J621" s="8" t="s">
        <v>601</v>
      </c>
      <c r="K621" s="8" t="s">
        <v>602</v>
      </c>
      <c r="L621" s="8" t="s">
        <v>6113</v>
      </c>
      <c r="N621" s="142" t="s">
        <v>6098</v>
      </c>
      <c r="O621" s="142"/>
      <c r="P621" s="142"/>
      <c r="Q621" s="8" t="s">
        <v>151</v>
      </c>
      <c r="R621" s="8" t="s">
        <v>7418</v>
      </c>
      <c r="AB621" s="8" t="s">
        <v>7419</v>
      </c>
      <c r="AH621" s="8" t="s">
        <v>6038</v>
      </c>
      <c r="AI621" s="8" t="s">
        <v>7420</v>
      </c>
    </row>
    <row r="622">
      <c r="A622" s="152">
        <v>2023.0</v>
      </c>
      <c r="B622" s="151">
        <v>356.0</v>
      </c>
      <c r="C622" s="129" t="s">
        <v>140</v>
      </c>
      <c r="D622" s="8"/>
      <c r="E622" s="8" t="s">
        <v>8189</v>
      </c>
      <c r="F622" s="8" t="s">
        <v>7426</v>
      </c>
      <c r="G622" s="8">
        <f>IFERROR(__xludf.DUMMYFUNCTION("""COMPUTED_VALUE"""),142.0)</f>
        <v>142</v>
      </c>
      <c r="H622" s="8" t="s">
        <v>171</v>
      </c>
      <c r="I622" s="8" t="s">
        <v>600</v>
      </c>
      <c r="J622" s="8" t="s">
        <v>2252</v>
      </c>
      <c r="K622" s="8" t="s">
        <v>2253</v>
      </c>
      <c r="L622" s="8" t="s">
        <v>2254</v>
      </c>
      <c r="M622" s="8" t="s">
        <v>7378</v>
      </c>
      <c r="N622" s="142" t="s">
        <v>6415</v>
      </c>
      <c r="O622" s="142"/>
      <c r="P622" s="142"/>
      <c r="Q622" s="8" t="s">
        <v>6062</v>
      </c>
      <c r="R622" s="8" t="s">
        <v>179</v>
      </c>
      <c r="U622" s="8" t="s">
        <v>2257</v>
      </c>
      <c r="Y622" s="8" t="s">
        <v>7379</v>
      </c>
      <c r="AA622" s="8" t="s">
        <v>2259</v>
      </c>
      <c r="AB622" s="8" t="s">
        <v>2260</v>
      </c>
      <c r="AF622" s="8" t="s">
        <v>2261</v>
      </c>
      <c r="AH622" s="8" t="s">
        <v>6091</v>
      </c>
      <c r="AI622" s="172" t="s">
        <v>2263</v>
      </c>
    </row>
    <row r="623">
      <c r="A623" s="152">
        <v>2024.0</v>
      </c>
      <c r="B623" s="151">
        <v>210.0</v>
      </c>
      <c r="C623" s="153"/>
      <c r="D623" s="153"/>
      <c r="E623" s="153" t="s">
        <v>8189</v>
      </c>
      <c r="F623" s="153" t="s">
        <v>8391</v>
      </c>
      <c r="G623" s="153">
        <f>IFERROR(__xludf.DUMMYFUNCTION("""COMPUTED_VALUE"""),143.0)</f>
        <v>143</v>
      </c>
      <c r="H623" s="153" t="s">
        <v>535</v>
      </c>
      <c r="I623" s="153" t="s">
        <v>1089</v>
      </c>
      <c r="J623" s="153" t="s">
        <v>1324</v>
      </c>
      <c r="K623" s="153" t="s">
        <v>1325</v>
      </c>
      <c r="L623" s="153" t="s">
        <v>1309</v>
      </c>
      <c r="M623" s="153"/>
      <c r="N623" s="230">
        <v>2020.0</v>
      </c>
      <c r="O623" s="192">
        <v>2016.0</v>
      </c>
      <c r="P623" s="192">
        <v>2020.0</v>
      </c>
      <c r="Q623" s="153" t="s">
        <v>151</v>
      </c>
      <c r="R623" s="153"/>
      <c r="S623" s="153"/>
      <c r="T623" s="158" t="s">
        <v>6910</v>
      </c>
      <c r="U623" s="158" t="s">
        <v>1327</v>
      </c>
      <c r="V623" s="153"/>
      <c r="W623" s="153"/>
      <c r="X623" s="153"/>
      <c r="Y623" s="158" t="s">
        <v>149</v>
      </c>
      <c r="Z623" s="158" t="s">
        <v>149</v>
      </c>
      <c r="AA623" s="153" t="s">
        <v>1328</v>
      </c>
      <c r="AB623" s="153" t="s">
        <v>390</v>
      </c>
      <c r="AC623" s="153" t="s">
        <v>6035</v>
      </c>
      <c r="AD623" s="153" t="s">
        <v>6909</v>
      </c>
      <c r="AE623" s="153"/>
      <c r="AF623" s="153"/>
      <c r="AG623" s="153" t="s">
        <v>6084</v>
      </c>
      <c r="AH623" s="153" t="s">
        <v>1330</v>
      </c>
      <c r="AI623" s="153" t="s">
        <v>1331</v>
      </c>
      <c r="AJ623" s="153"/>
      <c r="AK623" s="153"/>
    </row>
    <row r="624">
      <c r="A624" s="152">
        <v>2023.0</v>
      </c>
      <c r="B624" s="151">
        <v>357.0</v>
      </c>
      <c r="C624" s="129" t="s">
        <v>140</v>
      </c>
      <c r="D624" s="8"/>
      <c r="E624" s="8" t="s">
        <v>8189</v>
      </c>
      <c r="F624" s="8" t="s">
        <v>8392</v>
      </c>
      <c r="G624" s="8">
        <f>IFERROR(__xludf.DUMMYFUNCTION("""COMPUTED_VALUE"""),144.0)</f>
        <v>144</v>
      </c>
      <c r="H624" s="8" t="s">
        <v>171</v>
      </c>
      <c r="I624" s="8" t="s">
        <v>600</v>
      </c>
      <c r="J624" s="8" t="s">
        <v>1497</v>
      </c>
      <c r="K624" s="279" t="s">
        <v>1498</v>
      </c>
      <c r="L624" s="8" t="s">
        <v>1377</v>
      </c>
      <c r="N624" s="142"/>
      <c r="O624" s="142" t="s">
        <v>6198</v>
      </c>
      <c r="P624" s="142" t="s">
        <v>6199</v>
      </c>
      <c r="Q624" s="8" t="s">
        <v>151</v>
      </c>
      <c r="U624" s="8" t="s">
        <v>1381</v>
      </c>
      <c r="AB624" s="8" t="s">
        <v>660</v>
      </c>
      <c r="AD624" s="8" t="s">
        <v>369</v>
      </c>
      <c r="AH624" s="8" t="s">
        <v>395</v>
      </c>
      <c r="AI624" s="8" t="s">
        <v>2873</v>
      </c>
      <c r="AJ624" s="8" t="s">
        <v>398</v>
      </c>
    </row>
    <row r="625">
      <c r="A625" s="152">
        <v>2023.0</v>
      </c>
      <c r="B625" s="151">
        <v>358.0</v>
      </c>
      <c r="C625" s="129" t="s">
        <v>140</v>
      </c>
      <c r="D625" s="8"/>
      <c r="E625" s="8" t="s">
        <v>8189</v>
      </c>
      <c r="F625" s="8" t="s">
        <v>8393</v>
      </c>
      <c r="G625" s="8">
        <f>IFERROR(__xludf.DUMMYFUNCTION("""COMPUTED_VALUE"""),145.0)</f>
        <v>145</v>
      </c>
      <c r="H625" s="8" t="s">
        <v>171</v>
      </c>
      <c r="I625" s="8" t="s">
        <v>600</v>
      </c>
      <c r="J625" s="8" t="s">
        <v>1497</v>
      </c>
      <c r="K625" s="279" t="s">
        <v>1498</v>
      </c>
      <c r="L625" s="8" t="s">
        <v>1377</v>
      </c>
      <c r="M625" s="8" t="s">
        <v>8394</v>
      </c>
      <c r="N625" s="142"/>
      <c r="O625" s="142" t="s">
        <v>6198</v>
      </c>
      <c r="P625" s="142" t="s">
        <v>6199</v>
      </c>
      <c r="Q625" s="8" t="s">
        <v>151</v>
      </c>
      <c r="U625" s="8" t="s">
        <v>1381</v>
      </c>
      <c r="AB625" s="8" t="s">
        <v>660</v>
      </c>
      <c r="AD625" s="8" t="s">
        <v>369</v>
      </c>
      <c r="AH625" s="8" t="s">
        <v>395</v>
      </c>
      <c r="AI625" s="8" t="s">
        <v>2873</v>
      </c>
      <c r="AJ625" s="8" t="s">
        <v>398</v>
      </c>
    </row>
    <row r="626">
      <c r="A626" s="152">
        <v>2024.0</v>
      </c>
      <c r="B626" s="151">
        <v>211.0</v>
      </c>
      <c r="C626" s="153"/>
      <c r="D626" s="153"/>
      <c r="E626" s="153" t="s">
        <v>8189</v>
      </c>
      <c r="F626" s="153" t="s">
        <v>8395</v>
      </c>
      <c r="G626" s="153">
        <f>IFERROR(__xludf.DUMMYFUNCTION("""COMPUTED_VALUE"""),146.0)</f>
        <v>146</v>
      </c>
      <c r="H626" s="153" t="s">
        <v>535</v>
      </c>
      <c r="I626" s="153" t="s">
        <v>1089</v>
      </c>
      <c r="J626" s="153" t="s">
        <v>2457</v>
      </c>
      <c r="K626" s="153" t="s">
        <v>2458</v>
      </c>
      <c r="L626" s="158" t="s">
        <v>149</v>
      </c>
      <c r="M626" s="153"/>
      <c r="N626" s="230">
        <v>2019.0</v>
      </c>
      <c r="O626" s="192" t="s">
        <v>149</v>
      </c>
      <c r="P626" s="192" t="s">
        <v>149</v>
      </c>
      <c r="Q626" s="153" t="s">
        <v>6062</v>
      </c>
      <c r="R626" s="153" t="s">
        <v>6666</v>
      </c>
      <c r="S626" s="158" t="s">
        <v>179</v>
      </c>
      <c r="T626" s="153" t="s">
        <v>2459</v>
      </c>
      <c r="U626" s="153" t="s">
        <v>369</v>
      </c>
      <c r="V626" s="153"/>
      <c r="W626" s="153"/>
      <c r="X626" s="153"/>
      <c r="Y626" s="158" t="s">
        <v>149</v>
      </c>
      <c r="Z626" s="158" t="s">
        <v>149</v>
      </c>
      <c r="AA626" s="158" t="s">
        <v>149</v>
      </c>
      <c r="AB626" s="153" t="s">
        <v>2410</v>
      </c>
      <c r="AC626" s="153" t="s">
        <v>6035</v>
      </c>
      <c r="AD626" s="153" t="s">
        <v>6912</v>
      </c>
      <c r="AE626" s="153"/>
      <c r="AF626" s="153"/>
      <c r="AG626" s="158" t="s">
        <v>166</v>
      </c>
      <c r="AH626" s="153" t="s">
        <v>2461</v>
      </c>
      <c r="AI626" s="165" t="s">
        <v>2462</v>
      </c>
      <c r="AJ626" s="153"/>
      <c r="AK626" s="153"/>
    </row>
    <row r="627">
      <c r="A627" s="152">
        <v>2023.0</v>
      </c>
      <c r="B627" s="151">
        <v>359.0</v>
      </c>
      <c r="C627" s="129" t="s">
        <v>140</v>
      </c>
      <c r="D627" s="8"/>
      <c r="E627" s="8" t="s">
        <v>8189</v>
      </c>
      <c r="F627" s="8" t="s">
        <v>7436</v>
      </c>
      <c r="G627" s="8">
        <f>IFERROR(__xludf.DUMMYFUNCTION("""COMPUTED_VALUE"""),147.0)</f>
        <v>147</v>
      </c>
      <c r="H627" s="8" t="s">
        <v>171</v>
      </c>
      <c r="I627" s="8" t="s">
        <v>600</v>
      </c>
      <c r="J627" s="8" t="s">
        <v>5456</v>
      </c>
      <c r="K627" s="8" t="s">
        <v>5457</v>
      </c>
      <c r="L627" s="8" t="s">
        <v>7437</v>
      </c>
      <c r="M627" s="226" t="s">
        <v>7438</v>
      </c>
      <c r="N627" s="142" t="s">
        <v>6030</v>
      </c>
      <c r="O627" s="142"/>
      <c r="P627" s="142"/>
      <c r="Q627" s="8" t="s">
        <v>151</v>
      </c>
      <c r="R627" s="8" t="s">
        <v>7439</v>
      </c>
      <c r="T627" s="8" t="s">
        <v>1006</v>
      </c>
      <c r="U627" s="8" t="s">
        <v>7440</v>
      </c>
      <c r="AB627" s="8" t="s">
        <v>7440</v>
      </c>
      <c r="AD627" s="8" t="s">
        <v>7441</v>
      </c>
      <c r="AE627" s="8" t="s">
        <v>7442</v>
      </c>
      <c r="AF627" s="8" t="s">
        <v>7443</v>
      </c>
      <c r="AH627" s="8" t="s">
        <v>166</v>
      </c>
      <c r="AI627" s="172" t="s">
        <v>7444</v>
      </c>
      <c r="AJ627" s="8" t="s">
        <v>7445</v>
      </c>
    </row>
    <row r="628">
      <c r="A628" s="152">
        <v>2023.0</v>
      </c>
      <c r="B628" s="151">
        <v>360.0</v>
      </c>
      <c r="C628" s="129" t="s">
        <v>140</v>
      </c>
      <c r="D628" s="8"/>
      <c r="E628" s="8" t="s">
        <v>8189</v>
      </c>
      <c r="F628" s="8" t="s">
        <v>7448</v>
      </c>
      <c r="G628" s="8">
        <f>IFERROR(__xludf.DUMMYFUNCTION("""COMPUTED_VALUE"""),148.0)</f>
        <v>148</v>
      </c>
      <c r="H628" s="8" t="s">
        <v>171</v>
      </c>
      <c r="I628" s="8" t="s">
        <v>600</v>
      </c>
      <c r="J628" s="8" t="s">
        <v>5481</v>
      </c>
      <c r="K628" s="8" t="s">
        <v>5482</v>
      </c>
      <c r="L628" s="8" t="s">
        <v>7449</v>
      </c>
      <c r="N628" s="142"/>
      <c r="O628" s="142" t="s">
        <v>6198</v>
      </c>
      <c r="P628" s="142" t="s">
        <v>7351</v>
      </c>
      <c r="Q628" s="8" t="s">
        <v>151</v>
      </c>
      <c r="U628" s="8" t="s">
        <v>1381</v>
      </c>
      <c r="AB628" s="8" t="s">
        <v>660</v>
      </c>
      <c r="AD628" s="8" t="s">
        <v>369</v>
      </c>
    </row>
    <row r="629">
      <c r="A629" s="152">
        <v>2024.0</v>
      </c>
      <c r="B629" s="151">
        <v>212.0</v>
      </c>
      <c r="C629" s="153"/>
      <c r="D629" s="153"/>
      <c r="E629" s="153" t="s">
        <v>8189</v>
      </c>
      <c r="F629" s="153" t="s">
        <v>8396</v>
      </c>
      <c r="G629" s="153">
        <f>IFERROR(__xludf.DUMMYFUNCTION("""COMPUTED_VALUE"""),149.0)</f>
        <v>149</v>
      </c>
      <c r="H629" s="153" t="s">
        <v>535</v>
      </c>
      <c r="I629" s="153" t="s">
        <v>1089</v>
      </c>
      <c r="J629" s="153" t="s">
        <v>1451</v>
      </c>
      <c r="K629" s="153" t="s">
        <v>1452</v>
      </c>
      <c r="L629" s="153" t="s">
        <v>1377</v>
      </c>
      <c r="M629" s="153" t="s">
        <v>1453</v>
      </c>
      <c r="N629" s="192">
        <v>1992.0</v>
      </c>
      <c r="O629" s="230">
        <v>1990.0</v>
      </c>
      <c r="P629" s="230">
        <v>1994.0</v>
      </c>
      <c r="Q629" s="153" t="s">
        <v>151</v>
      </c>
      <c r="R629" s="158" t="s">
        <v>149</v>
      </c>
      <c r="S629" s="158" t="s">
        <v>149</v>
      </c>
      <c r="T629" s="158" t="s">
        <v>149</v>
      </c>
      <c r="U629" s="153" t="s">
        <v>1381</v>
      </c>
      <c r="V629" s="158" t="s">
        <v>6154</v>
      </c>
      <c r="W629" s="158" t="s">
        <v>206</v>
      </c>
      <c r="X629" s="158" t="s">
        <v>159</v>
      </c>
      <c r="Y629" s="158" t="s">
        <v>149</v>
      </c>
      <c r="Z629" s="158" t="s">
        <v>149</v>
      </c>
      <c r="AA629" s="158" t="s">
        <v>149</v>
      </c>
      <c r="AB629" s="153" t="s">
        <v>660</v>
      </c>
      <c r="AC629" s="153" t="s">
        <v>6035</v>
      </c>
      <c r="AD629" s="153" t="s">
        <v>369</v>
      </c>
      <c r="AE629" s="153"/>
      <c r="AF629" s="153"/>
      <c r="AG629" s="158" t="s">
        <v>395</v>
      </c>
      <c r="AH629" s="153" t="s">
        <v>6060</v>
      </c>
      <c r="AI629" s="153" t="s">
        <v>2873</v>
      </c>
      <c r="AJ629" s="153" t="s">
        <v>398</v>
      </c>
      <c r="AK629" s="153"/>
    </row>
    <row r="630">
      <c r="A630" s="152">
        <v>2023.0</v>
      </c>
      <c r="B630" s="151">
        <v>411.0</v>
      </c>
      <c r="C630" s="129" t="s">
        <v>140</v>
      </c>
      <c r="D630" s="8"/>
      <c r="E630" s="8" t="s">
        <v>8189</v>
      </c>
      <c r="F630" s="8" t="s">
        <v>8397</v>
      </c>
      <c r="G630" s="8">
        <f>IFERROR(__xludf.DUMMYFUNCTION("""COMPUTED_VALUE"""),150.0)</f>
        <v>150</v>
      </c>
      <c r="H630" s="8" t="s">
        <v>642</v>
      </c>
      <c r="I630" s="8" t="s">
        <v>2528</v>
      </c>
      <c r="J630" s="8" t="s">
        <v>2529</v>
      </c>
      <c r="K630" s="8" t="s">
        <v>2530</v>
      </c>
      <c r="L630" s="8" t="s">
        <v>1309</v>
      </c>
      <c r="N630" s="142" t="s">
        <v>6273</v>
      </c>
      <c r="O630" s="142"/>
      <c r="P630" s="142"/>
      <c r="Q630" s="8" t="s">
        <v>6062</v>
      </c>
      <c r="R630" s="8" t="s">
        <v>320</v>
      </c>
      <c r="U630" s="8" t="s">
        <v>6907</v>
      </c>
      <c r="AB630" s="8" t="s">
        <v>390</v>
      </c>
      <c r="AD630" s="8" t="s">
        <v>1314</v>
      </c>
      <c r="AH630" s="8" t="s">
        <v>166</v>
      </c>
      <c r="AI630" s="8" t="s">
        <v>7688</v>
      </c>
    </row>
    <row r="631">
      <c r="A631" s="152">
        <v>2025.0</v>
      </c>
      <c r="B631" s="151">
        <v>443.0</v>
      </c>
      <c r="C631" s="153" t="s">
        <v>8189</v>
      </c>
      <c r="D631" s="153"/>
      <c r="E631" s="153" t="s">
        <v>8301</v>
      </c>
      <c r="F631" s="153" t="s">
        <v>8398</v>
      </c>
      <c r="G631" s="153">
        <f>IFERROR(__xludf.DUMMYFUNCTION("""COMPUTED_VALUE"""),151.0)</f>
        <v>151</v>
      </c>
      <c r="H631" s="153" t="s">
        <v>642</v>
      </c>
      <c r="I631" s="153" t="s">
        <v>2528</v>
      </c>
      <c r="J631" s="153" t="s">
        <v>2529</v>
      </c>
      <c r="K631" s="153" t="s">
        <v>2530</v>
      </c>
      <c r="L631" s="158" t="s">
        <v>1309</v>
      </c>
      <c r="M631" s="153" t="s">
        <v>2531</v>
      </c>
      <c r="N631" s="160" t="s">
        <v>6145</v>
      </c>
      <c r="O631" s="160" t="s">
        <v>149</v>
      </c>
      <c r="P631" s="160" t="s">
        <v>149</v>
      </c>
      <c r="Q631" s="153" t="s">
        <v>6062</v>
      </c>
      <c r="R631" s="153" t="s">
        <v>320</v>
      </c>
      <c r="S631" s="158" t="s">
        <v>179</v>
      </c>
      <c r="T631" s="158" t="s">
        <v>1311</v>
      </c>
      <c r="U631" s="158" t="s">
        <v>149</v>
      </c>
      <c r="V631" s="158" t="s">
        <v>149</v>
      </c>
      <c r="W631" s="158" t="s">
        <v>149</v>
      </c>
      <c r="X631" s="158" t="s">
        <v>159</v>
      </c>
      <c r="Y631" s="158" t="s">
        <v>149</v>
      </c>
      <c r="Z631" s="158" t="s">
        <v>149</v>
      </c>
      <c r="AA631" s="158" t="s">
        <v>1360</v>
      </c>
      <c r="AB631" s="158" t="s">
        <v>1314</v>
      </c>
      <c r="AC631" s="153" t="s">
        <v>6035</v>
      </c>
      <c r="AD631" s="158" t="s">
        <v>7758</v>
      </c>
      <c r="AE631" s="153"/>
      <c r="AF631" s="153"/>
      <c r="AG631" s="158" t="s">
        <v>166</v>
      </c>
      <c r="AH631" s="158" t="s">
        <v>7759</v>
      </c>
      <c r="AI631" s="177" t="s">
        <v>2535</v>
      </c>
      <c r="AJ631" s="153"/>
      <c r="AK631" s="153"/>
    </row>
    <row r="632">
      <c r="A632" s="152">
        <v>2024.0</v>
      </c>
      <c r="B632" s="151">
        <v>213.0</v>
      </c>
      <c r="C632" s="153"/>
      <c r="D632" s="153"/>
      <c r="E632" s="153" t="s">
        <v>8189</v>
      </c>
      <c r="F632" s="153" t="s">
        <v>8399</v>
      </c>
      <c r="G632" s="153">
        <f>IFERROR(__xludf.DUMMYFUNCTION("""COMPUTED_VALUE"""),152.0)</f>
        <v>152</v>
      </c>
      <c r="H632" s="153" t="s">
        <v>535</v>
      </c>
      <c r="I632" s="153" t="s">
        <v>1089</v>
      </c>
      <c r="J632" s="153" t="s">
        <v>1455</v>
      </c>
      <c r="K632" s="153" t="s">
        <v>1456</v>
      </c>
      <c r="L632" s="153" t="s">
        <v>1377</v>
      </c>
      <c r="M632" s="153" t="s">
        <v>1457</v>
      </c>
      <c r="N632" s="192">
        <v>1992.0</v>
      </c>
      <c r="O632" s="230">
        <v>1990.0</v>
      </c>
      <c r="P632" s="230">
        <v>1994.0</v>
      </c>
      <c r="Q632" s="153" t="s">
        <v>151</v>
      </c>
      <c r="R632" s="158" t="s">
        <v>149</v>
      </c>
      <c r="S632" s="158" t="s">
        <v>149</v>
      </c>
      <c r="T632" s="158" t="s">
        <v>149</v>
      </c>
      <c r="U632" s="153" t="s">
        <v>1381</v>
      </c>
      <c r="V632" s="158" t="s">
        <v>6154</v>
      </c>
      <c r="W632" s="158" t="s">
        <v>206</v>
      </c>
      <c r="X632" s="158" t="s">
        <v>159</v>
      </c>
      <c r="Y632" s="158" t="s">
        <v>149</v>
      </c>
      <c r="Z632" s="158" t="s">
        <v>149</v>
      </c>
      <c r="AA632" s="158" t="s">
        <v>149</v>
      </c>
      <c r="AB632" s="153" t="s">
        <v>660</v>
      </c>
      <c r="AC632" s="153" t="s">
        <v>6035</v>
      </c>
      <c r="AD632" s="153" t="s">
        <v>369</v>
      </c>
      <c r="AE632" s="153"/>
      <c r="AF632" s="153"/>
      <c r="AG632" s="158" t="s">
        <v>395</v>
      </c>
      <c r="AH632" s="153" t="s">
        <v>6060</v>
      </c>
      <c r="AI632" s="153" t="s">
        <v>2873</v>
      </c>
      <c r="AJ632" s="153" t="s">
        <v>398</v>
      </c>
      <c r="AK632" s="153"/>
    </row>
    <row r="633">
      <c r="A633" s="152">
        <v>2023.0</v>
      </c>
      <c r="B633" s="151">
        <v>303.0</v>
      </c>
      <c r="C633" s="129" t="s">
        <v>140</v>
      </c>
      <c r="D633" s="8"/>
      <c r="E633" s="8" t="s">
        <v>8189</v>
      </c>
      <c r="F633" s="8" t="s">
        <v>8400</v>
      </c>
      <c r="G633" s="8">
        <f>IFERROR(__xludf.DUMMYFUNCTION("""COMPUTED_VALUE"""),153.0)</f>
        <v>153</v>
      </c>
      <c r="H633" s="8" t="s">
        <v>579</v>
      </c>
      <c r="I633" s="8" t="s">
        <v>585</v>
      </c>
      <c r="J633" s="8" t="s">
        <v>1464</v>
      </c>
      <c r="K633" s="279" t="s">
        <v>1465</v>
      </c>
      <c r="L633" s="8" t="s">
        <v>1377</v>
      </c>
      <c r="N633" s="142"/>
      <c r="O633" s="142" t="s">
        <v>6198</v>
      </c>
      <c r="P633" s="142" t="s">
        <v>6199</v>
      </c>
      <c r="Q633" s="8" t="s">
        <v>151</v>
      </c>
      <c r="U633" s="8" t="s">
        <v>1381</v>
      </c>
      <c r="AB633" s="8" t="s">
        <v>660</v>
      </c>
      <c r="AD633" s="8" t="s">
        <v>369</v>
      </c>
      <c r="AH633" s="8" t="s">
        <v>395</v>
      </c>
      <c r="AI633" s="8" t="s">
        <v>2873</v>
      </c>
      <c r="AJ633" s="8" t="s">
        <v>398</v>
      </c>
    </row>
    <row r="634">
      <c r="A634" s="152">
        <v>2023.0</v>
      </c>
      <c r="B634" s="151">
        <v>304.0</v>
      </c>
      <c r="C634" s="129" t="s">
        <v>140</v>
      </c>
      <c r="D634" s="8"/>
      <c r="E634" s="8" t="s">
        <v>8189</v>
      </c>
      <c r="F634" s="8" t="s">
        <v>8401</v>
      </c>
      <c r="G634" s="8">
        <f>IFERROR(__xludf.DUMMYFUNCTION("""COMPUTED_VALUE"""),154.0)</f>
        <v>154</v>
      </c>
      <c r="H634" s="8" t="s">
        <v>579</v>
      </c>
      <c r="I634" s="8" t="s">
        <v>585</v>
      </c>
      <c r="J634" s="8" t="s">
        <v>1467</v>
      </c>
      <c r="K634" s="279" t="s">
        <v>1468</v>
      </c>
      <c r="L634" s="8" t="s">
        <v>1377</v>
      </c>
      <c r="M634" s="8" t="s">
        <v>639</v>
      </c>
      <c r="N634" s="142"/>
      <c r="O634" s="142" t="s">
        <v>6198</v>
      </c>
      <c r="P634" s="142" t="s">
        <v>6199</v>
      </c>
      <c r="Q634" s="8" t="s">
        <v>151</v>
      </c>
      <c r="U634" s="8" t="s">
        <v>1381</v>
      </c>
      <c r="AB634" s="8" t="s">
        <v>660</v>
      </c>
      <c r="AD634" s="8" t="s">
        <v>369</v>
      </c>
      <c r="AH634" s="8" t="s">
        <v>395</v>
      </c>
      <c r="AI634" s="8" t="s">
        <v>2873</v>
      </c>
      <c r="AJ634" s="8" t="s">
        <v>398</v>
      </c>
    </row>
    <row r="635">
      <c r="A635" s="152">
        <v>2024.0</v>
      </c>
      <c r="B635" s="151">
        <v>214.0</v>
      </c>
      <c r="C635" s="153"/>
      <c r="D635" s="153"/>
      <c r="E635" s="153" t="s">
        <v>8189</v>
      </c>
      <c r="F635" s="153" t="s">
        <v>8402</v>
      </c>
      <c r="G635" s="153">
        <f>IFERROR(__xludf.DUMMYFUNCTION("""COMPUTED_VALUE"""),155.0)</f>
        <v>155</v>
      </c>
      <c r="H635" s="153" t="s">
        <v>535</v>
      </c>
      <c r="I635" s="153" t="s">
        <v>1459</v>
      </c>
      <c r="J635" s="153" t="s">
        <v>2464</v>
      </c>
      <c r="K635" s="153" t="s">
        <v>2465</v>
      </c>
      <c r="L635" s="158" t="s">
        <v>149</v>
      </c>
      <c r="M635" s="153" t="s">
        <v>2466</v>
      </c>
      <c r="N635" s="230">
        <v>2024.0</v>
      </c>
      <c r="O635" s="230">
        <v>2024.0</v>
      </c>
      <c r="P635" s="192" t="s">
        <v>149</v>
      </c>
      <c r="Q635" s="153" t="s">
        <v>151</v>
      </c>
      <c r="R635" s="153" t="s">
        <v>2468</v>
      </c>
      <c r="S635" s="158" t="s">
        <v>152</v>
      </c>
      <c r="T635" s="153" t="s">
        <v>2469</v>
      </c>
      <c r="U635" s="153" t="s">
        <v>2470</v>
      </c>
      <c r="V635" s="158" t="s">
        <v>160</v>
      </c>
      <c r="W635" s="158" t="s">
        <v>184</v>
      </c>
      <c r="X635" s="158" t="s">
        <v>159</v>
      </c>
      <c r="Y635" s="158" t="s">
        <v>149</v>
      </c>
      <c r="Z635" s="158" t="s">
        <v>149</v>
      </c>
      <c r="AA635" s="153" t="s">
        <v>2471</v>
      </c>
      <c r="AB635" s="153" t="s">
        <v>2470</v>
      </c>
      <c r="AC635" s="153" t="s">
        <v>271</v>
      </c>
      <c r="AD635" s="153" t="s">
        <v>6140</v>
      </c>
      <c r="AE635" s="153"/>
      <c r="AF635" s="153"/>
      <c r="AG635" s="153" t="s">
        <v>6038</v>
      </c>
      <c r="AH635" s="153" t="s">
        <v>2472</v>
      </c>
      <c r="AI635" s="172" t="s">
        <v>2473</v>
      </c>
      <c r="AJ635" s="153"/>
      <c r="AK635" s="153"/>
    </row>
    <row r="636">
      <c r="A636" s="152">
        <v>2023.0</v>
      </c>
      <c r="B636" s="151">
        <v>305.0</v>
      </c>
      <c r="C636" s="129" t="s">
        <v>140</v>
      </c>
      <c r="D636" s="8"/>
      <c r="E636" s="8" t="s">
        <v>8189</v>
      </c>
      <c r="F636" s="8" t="s">
        <v>8403</v>
      </c>
      <c r="G636" s="8">
        <f>IFERROR(__xludf.DUMMYFUNCTION("""COMPUTED_VALUE"""),156.0)</f>
        <v>156</v>
      </c>
      <c r="H636" s="8" t="s">
        <v>579</v>
      </c>
      <c r="I636" s="8" t="s">
        <v>585</v>
      </c>
      <c r="J636" s="8" t="s">
        <v>1467</v>
      </c>
      <c r="K636" s="279" t="s">
        <v>1468</v>
      </c>
      <c r="L636" s="8" t="s">
        <v>1377</v>
      </c>
      <c r="M636" s="8" t="s">
        <v>1470</v>
      </c>
      <c r="N636" s="142"/>
      <c r="O636" s="142" t="s">
        <v>6198</v>
      </c>
      <c r="P636" s="142" t="s">
        <v>6199</v>
      </c>
      <c r="Q636" s="8" t="s">
        <v>151</v>
      </c>
      <c r="U636" s="8" t="s">
        <v>1381</v>
      </c>
      <c r="AB636" s="8" t="s">
        <v>660</v>
      </c>
      <c r="AD636" s="8" t="s">
        <v>369</v>
      </c>
      <c r="AH636" s="8" t="s">
        <v>395</v>
      </c>
      <c r="AI636" s="8" t="s">
        <v>2873</v>
      </c>
      <c r="AJ636" s="8" t="s">
        <v>398</v>
      </c>
    </row>
    <row r="637">
      <c r="A637" s="152">
        <v>2023.0</v>
      </c>
      <c r="B637" s="151">
        <v>306.0</v>
      </c>
      <c r="C637" s="129" t="s">
        <v>140</v>
      </c>
      <c r="D637" s="8"/>
      <c r="E637" s="8" t="s">
        <v>8189</v>
      </c>
      <c r="F637" s="8" t="s">
        <v>8404</v>
      </c>
      <c r="G637" s="8">
        <f>IFERROR(__xludf.DUMMYFUNCTION("""COMPUTED_VALUE"""),157.0)</f>
        <v>157</v>
      </c>
      <c r="H637" s="8" t="s">
        <v>579</v>
      </c>
      <c r="I637" s="8" t="s">
        <v>585</v>
      </c>
      <c r="J637" s="8" t="s">
        <v>1472</v>
      </c>
      <c r="K637" s="279" t="s">
        <v>1473</v>
      </c>
      <c r="L637" s="8" t="s">
        <v>1377</v>
      </c>
      <c r="M637" s="8" t="s">
        <v>1474</v>
      </c>
      <c r="N637" s="142"/>
      <c r="O637" s="142" t="s">
        <v>6198</v>
      </c>
      <c r="P637" s="142" t="s">
        <v>6199</v>
      </c>
      <c r="Q637" s="8" t="s">
        <v>151</v>
      </c>
      <c r="U637" s="8" t="s">
        <v>1381</v>
      </c>
      <c r="AB637" s="8" t="s">
        <v>660</v>
      </c>
      <c r="AD637" s="8" t="s">
        <v>369</v>
      </c>
      <c r="AH637" s="8" t="s">
        <v>395</v>
      </c>
      <c r="AI637" s="8" t="s">
        <v>2873</v>
      </c>
      <c r="AJ637" s="8" t="s">
        <v>398</v>
      </c>
    </row>
    <row r="638">
      <c r="A638" s="152">
        <v>2024.0</v>
      </c>
      <c r="B638" s="151">
        <v>215.0</v>
      </c>
      <c r="C638" s="153"/>
      <c r="D638" s="153"/>
      <c r="E638" s="153" t="s">
        <v>8189</v>
      </c>
      <c r="F638" s="153" t="s">
        <v>8405</v>
      </c>
      <c r="G638" s="153">
        <f>IFERROR(__xludf.DUMMYFUNCTION("""COMPUTED_VALUE"""),158.0)</f>
        <v>158</v>
      </c>
      <c r="H638" s="153" t="s">
        <v>535</v>
      </c>
      <c r="I638" s="153" t="s">
        <v>1459</v>
      </c>
      <c r="J638" s="153" t="s">
        <v>1460</v>
      </c>
      <c r="K638" s="153" t="s">
        <v>1461</v>
      </c>
      <c r="L638" s="153" t="s">
        <v>1377</v>
      </c>
      <c r="M638" s="153" t="s">
        <v>1462</v>
      </c>
      <c r="N638" s="192">
        <v>1992.0</v>
      </c>
      <c r="O638" s="230">
        <v>1990.0</v>
      </c>
      <c r="P638" s="230">
        <v>1994.0</v>
      </c>
      <c r="Q638" s="153" t="s">
        <v>151</v>
      </c>
      <c r="R638" s="158" t="s">
        <v>149</v>
      </c>
      <c r="S638" s="158" t="s">
        <v>149</v>
      </c>
      <c r="T638" s="158" t="s">
        <v>149</v>
      </c>
      <c r="U638" s="153" t="s">
        <v>1381</v>
      </c>
      <c r="V638" s="158" t="s">
        <v>6154</v>
      </c>
      <c r="W638" s="158" t="s">
        <v>206</v>
      </c>
      <c r="X638" s="158" t="s">
        <v>159</v>
      </c>
      <c r="Y638" s="158" t="s">
        <v>149</v>
      </c>
      <c r="Z638" s="158" t="s">
        <v>149</v>
      </c>
      <c r="AA638" s="158" t="s">
        <v>149</v>
      </c>
      <c r="AB638" s="153" t="s">
        <v>660</v>
      </c>
      <c r="AC638" s="153" t="s">
        <v>6035</v>
      </c>
      <c r="AD638" s="153" t="s">
        <v>369</v>
      </c>
      <c r="AE638" s="153"/>
      <c r="AF638" s="153"/>
      <c r="AG638" s="158" t="s">
        <v>395</v>
      </c>
      <c r="AH638" s="153" t="s">
        <v>6060</v>
      </c>
      <c r="AI638" s="153" t="s">
        <v>2873</v>
      </c>
      <c r="AJ638" s="153" t="s">
        <v>398</v>
      </c>
      <c r="AK638" s="153"/>
    </row>
    <row r="639">
      <c r="A639" s="152">
        <v>2023.0</v>
      </c>
      <c r="B639" s="151">
        <v>307.0</v>
      </c>
      <c r="C639" s="129" t="s">
        <v>140</v>
      </c>
      <c r="D639" s="8"/>
      <c r="E639" s="8" t="s">
        <v>8189</v>
      </c>
      <c r="F639" s="8" t="s">
        <v>7253</v>
      </c>
      <c r="G639" s="8">
        <f>IFERROR(__xludf.DUMMYFUNCTION("""COMPUTED_VALUE"""),159.0)</f>
        <v>159</v>
      </c>
      <c r="H639" s="8" t="s">
        <v>579</v>
      </c>
      <c r="I639" s="8" t="s">
        <v>585</v>
      </c>
      <c r="J639" s="8" t="s">
        <v>586</v>
      </c>
      <c r="K639" s="277" t="s">
        <v>587</v>
      </c>
      <c r="L639" s="8" t="s">
        <v>384</v>
      </c>
      <c r="M639" s="8" t="s">
        <v>588</v>
      </c>
      <c r="N639" s="142" t="s">
        <v>6051</v>
      </c>
      <c r="O639" s="142" t="s">
        <v>6052</v>
      </c>
      <c r="P639" s="142" t="s">
        <v>6053</v>
      </c>
      <c r="Q639" s="8" t="s">
        <v>151</v>
      </c>
      <c r="R639" s="8" t="s">
        <v>6054</v>
      </c>
      <c r="U639" s="8" t="s">
        <v>390</v>
      </c>
      <c r="AA639" s="8" t="s">
        <v>450</v>
      </c>
      <c r="AB639" s="8" t="s">
        <v>390</v>
      </c>
      <c r="AD639" s="8" t="s">
        <v>6055</v>
      </c>
      <c r="AH639" s="8" t="s">
        <v>6057</v>
      </c>
      <c r="AI639" s="8" t="s">
        <v>2873</v>
      </c>
      <c r="AJ639" s="8" t="s">
        <v>398</v>
      </c>
    </row>
    <row r="640">
      <c r="A640" s="152">
        <v>2025.0</v>
      </c>
      <c r="B640" s="151">
        <v>307.0</v>
      </c>
      <c r="C640" s="153" t="s">
        <v>8189</v>
      </c>
      <c r="D640" s="153"/>
      <c r="E640" s="153" t="s">
        <v>8301</v>
      </c>
      <c r="F640" s="153" t="s">
        <v>7252</v>
      </c>
      <c r="G640" s="153">
        <f>IFERROR(__xludf.DUMMYFUNCTION("""COMPUTED_VALUE"""),160.0)</f>
        <v>160</v>
      </c>
      <c r="H640" s="153" t="s">
        <v>579</v>
      </c>
      <c r="I640" s="153" t="s">
        <v>585</v>
      </c>
      <c r="J640" s="153" t="s">
        <v>1464</v>
      </c>
      <c r="K640" s="153" t="s">
        <v>1465</v>
      </c>
      <c r="L640" s="153" t="s">
        <v>1377</v>
      </c>
      <c r="M640" s="153"/>
      <c r="N640" s="160" t="s">
        <v>6896</v>
      </c>
      <c r="O640" s="175" t="s">
        <v>6198</v>
      </c>
      <c r="P640" s="175" t="s">
        <v>6199</v>
      </c>
      <c r="Q640" s="153" t="s">
        <v>151</v>
      </c>
      <c r="R640" s="158" t="s">
        <v>149</v>
      </c>
      <c r="S640" s="158" t="s">
        <v>149</v>
      </c>
      <c r="T640" s="158" t="s">
        <v>149</v>
      </c>
      <c r="U640" s="153" t="s">
        <v>1381</v>
      </c>
      <c r="V640" s="158" t="s">
        <v>6154</v>
      </c>
      <c r="W640" s="158" t="s">
        <v>206</v>
      </c>
      <c r="X640" s="158" t="s">
        <v>159</v>
      </c>
      <c r="Y640" s="158" t="s">
        <v>149</v>
      </c>
      <c r="Z640" s="158" t="s">
        <v>149</v>
      </c>
      <c r="AA640" s="158" t="s">
        <v>149</v>
      </c>
      <c r="AB640" s="153" t="s">
        <v>660</v>
      </c>
      <c r="AC640" s="153" t="s">
        <v>6035</v>
      </c>
      <c r="AD640" s="153" t="s">
        <v>369</v>
      </c>
      <c r="AE640" s="153"/>
      <c r="AF640" s="153"/>
      <c r="AG640" s="158" t="s">
        <v>395</v>
      </c>
      <c r="AH640" s="153" t="s">
        <v>6060</v>
      </c>
      <c r="AI640" s="158" t="s">
        <v>6711</v>
      </c>
      <c r="AJ640" s="153" t="s">
        <v>398</v>
      </c>
      <c r="AK640" s="153"/>
    </row>
    <row r="641">
      <c r="A641" s="152">
        <v>2024.0</v>
      </c>
      <c r="B641" s="151">
        <v>216.0</v>
      </c>
      <c r="C641" s="153"/>
      <c r="D641" s="153"/>
      <c r="E641" s="153" t="s">
        <v>8189</v>
      </c>
      <c r="F641" s="153" t="s">
        <v>8406</v>
      </c>
      <c r="G641" s="153">
        <f>IFERROR(__xludf.DUMMYFUNCTION("""COMPUTED_VALUE"""),161.0)</f>
        <v>161</v>
      </c>
      <c r="H641" s="153" t="s">
        <v>535</v>
      </c>
      <c r="I641" s="153" t="s">
        <v>1191</v>
      </c>
      <c r="J641" s="153" t="s">
        <v>1816</v>
      </c>
      <c r="K641" s="153" t="s">
        <v>1817</v>
      </c>
      <c r="L641" s="153" t="s">
        <v>1818</v>
      </c>
      <c r="M641" s="153"/>
      <c r="N641" s="230">
        <v>2017.0</v>
      </c>
      <c r="O641" s="230">
        <v>2017.0</v>
      </c>
      <c r="P641" s="230" t="s">
        <v>149</v>
      </c>
      <c r="Q641" s="153" t="s">
        <v>151</v>
      </c>
      <c r="R641" s="153" t="s">
        <v>337</v>
      </c>
      <c r="S641" s="158" t="s">
        <v>337</v>
      </c>
      <c r="T641" s="153" t="s">
        <v>1819</v>
      </c>
      <c r="U641" s="153" t="s">
        <v>1820</v>
      </c>
      <c r="V641" s="158" t="s">
        <v>160</v>
      </c>
      <c r="W641" s="158" t="s">
        <v>184</v>
      </c>
      <c r="X641" s="158" t="s">
        <v>159</v>
      </c>
      <c r="Y641" s="158" t="s">
        <v>149</v>
      </c>
      <c r="Z641" s="153" t="s">
        <v>6924</v>
      </c>
      <c r="AA641" s="188" t="s">
        <v>1822</v>
      </c>
      <c r="AB641" s="153" t="s">
        <v>1823</v>
      </c>
      <c r="AC641" s="158" t="s">
        <v>184</v>
      </c>
      <c r="AD641" s="153"/>
      <c r="AE641" s="158" t="s">
        <v>1824</v>
      </c>
      <c r="AF641" s="153"/>
      <c r="AG641" s="158" t="s">
        <v>166</v>
      </c>
      <c r="AH641" s="153" t="s">
        <v>1825</v>
      </c>
      <c r="AI641" s="153" t="s">
        <v>1826</v>
      </c>
      <c r="AJ641" s="153"/>
      <c r="AK641" s="153"/>
    </row>
    <row r="642">
      <c r="A642" s="152">
        <v>2023.0</v>
      </c>
      <c r="B642" s="151">
        <v>308.0</v>
      </c>
      <c r="C642" s="129" t="s">
        <v>140</v>
      </c>
      <c r="D642" s="8"/>
      <c r="E642" s="8" t="s">
        <v>8189</v>
      </c>
      <c r="F642" s="8" t="s">
        <v>8407</v>
      </c>
      <c r="G642" s="8">
        <f>IFERROR(__xludf.DUMMYFUNCTION("""COMPUTED_VALUE"""),162.0)</f>
        <v>162</v>
      </c>
      <c r="H642" s="8" t="s">
        <v>579</v>
      </c>
      <c r="I642" s="8" t="s">
        <v>585</v>
      </c>
      <c r="J642" s="8" t="s">
        <v>586</v>
      </c>
      <c r="K642" s="279" t="s">
        <v>587</v>
      </c>
      <c r="L642" s="8" t="s">
        <v>1377</v>
      </c>
      <c r="M642" s="8" t="s">
        <v>1476</v>
      </c>
      <c r="N642" s="142"/>
      <c r="O642" s="142" t="s">
        <v>6198</v>
      </c>
      <c r="P642" s="142" t="s">
        <v>6199</v>
      </c>
      <c r="Q642" s="8" t="s">
        <v>151</v>
      </c>
      <c r="U642" s="8" t="s">
        <v>1381</v>
      </c>
      <c r="AB642" s="8" t="s">
        <v>660</v>
      </c>
      <c r="AD642" s="8" t="s">
        <v>369</v>
      </c>
      <c r="AH642" s="8" t="s">
        <v>395</v>
      </c>
      <c r="AI642" s="8" t="s">
        <v>2873</v>
      </c>
      <c r="AJ642" s="8" t="s">
        <v>398</v>
      </c>
    </row>
    <row r="643">
      <c r="A643" s="152">
        <v>2025.0</v>
      </c>
      <c r="B643" s="151">
        <v>308.0</v>
      </c>
      <c r="C643" s="153" t="s">
        <v>8189</v>
      </c>
      <c r="D643" s="153"/>
      <c r="E643" s="153" t="s">
        <v>707</v>
      </c>
      <c r="F643" s="153" t="s">
        <v>7254</v>
      </c>
      <c r="G643" s="153">
        <f>IFERROR(__xludf.DUMMYFUNCTION("""COMPUTED_VALUE"""),163.0)</f>
        <v>163</v>
      </c>
      <c r="H643" s="153" t="s">
        <v>579</v>
      </c>
      <c r="I643" s="153" t="s">
        <v>585</v>
      </c>
      <c r="J643" s="153" t="s">
        <v>1467</v>
      </c>
      <c r="K643" s="153" t="s">
        <v>1468</v>
      </c>
      <c r="L643" s="153" t="s">
        <v>1377</v>
      </c>
      <c r="M643" s="153" t="s">
        <v>639</v>
      </c>
      <c r="N643" s="160" t="s">
        <v>6896</v>
      </c>
      <c r="O643" s="175" t="s">
        <v>6198</v>
      </c>
      <c r="P643" s="175" t="s">
        <v>6199</v>
      </c>
      <c r="Q643" s="153" t="s">
        <v>151</v>
      </c>
      <c r="R643" s="158" t="s">
        <v>149</v>
      </c>
      <c r="S643" s="158" t="s">
        <v>149</v>
      </c>
      <c r="T643" s="158" t="s">
        <v>149</v>
      </c>
      <c r="U643" s="153" t="s">
        <v>1381</v>
      </c>
      <c r="V643" s="158" t="s">
        <v>6154</v>
      </c>
      <c r="W643" s="158" t="s">
        <v>206</v>
      </c>
      <c r="X643" s="158" t="s">
        <v>159</v>
      </c>
      <c r="Y643" s="158" t="s">
        <v>149</v>
      </c>
      <c r="Z643" s="158" t="s">
        <v>149</v>
      </c>
      <c r="AA643" s="158" t="s">
        <v>149</v>
      </c>
      <c r="AB643" s="153" t="s">
        <v>660</v>
      </c>
      <c r="AC643" s="153" t="s">
        <v>6035</v>
      </c>
      <c r="AD643" s="153" t="s">
        <v>369</v>
      </c>
      <c r="AE643" s="153"/>
      <c r="AF643" s="153"/>
      <c r="AG643" s="158" t="s">
        <v>395</v>
      </c>
      <c r="AH643" s="153" t="s">
        <v>6060</v>
      </c>
      <c r="AI643" s="158" t="s">
        <v>6711</v>
      </c>
      <c r="AJ643" s="153" t="s">
        <v>398</v>
      </c>
      <c r="AK643" s="153"/>
    </row>
    <row r="644">
      <c r="A644" s="152">
        <v>2024.0</v>
      </c>
      <c r="B644" s="151">
        <v>217.0</v>
      </c>
      <c r="C644" s="153"/>
      <c r="D644" s="153"/>
      <c r="E644" s="153" t="s">
        <v>8189</v>
      </c>
      <c r="F644" s="153" t="s">
        <v>8408</v>
      </c>
      <c r="G644" s="153">
        <f>IFERROR(__xludf.DUMMYFUNCTION("""COMPUTED_VALUE"""),164.0)</f>
        <v>164</v>
      </c>
      <c r="H644" s="153" t="s">
        <v>535</v>
      </c>
      <c r="I644" s="153" t="s">
        <v>1191</v>
      </c>
      <c r="J644" s="153" t="s">
        <v>6933</v>
      </c>
      <c r="K644" s="153" t="s">
        <v>2829</v>
      </c>
      <c r="L644" s="158" t="s">
        <v>149</v>
      </c>
      <c r="M644" s="153" t="s">
        <v>6935</v>
      </c>
      <c r="N644" s="230">
        <v>2018.0</v>
      </c>
      <c r="O644" s="230">
        <v>2014.0</v>
      </c>
      <c r="P644" s="230">
        <v>2018.0</v>
      </c>
      <c r="Q644" s="153" t="s">
        <v>6062</v>
      </c>
      <c r="R644" s="153" t="s">
        <v>2830</v>
      </c>
      <c r="S644" s="158" t="s">
        <v>179</v>
      </c>
      <c r="T644" s="158" t="s">
        <v>2832</v>
      </c>
      <c r="U644" s="158" t="s">
        <v>2833</v>
      </c>
      <c r="V644" s="158" t="s">
        <v>160</v>
      </c>
      <c r="W644" s="158" t="s">
        <v>6035</v>
      </c>
      <c r="X644" s="158" t="s">
        <v>149</v>
      </c>
      <c r="Y644" s="158" t="s">
        <v>149</v>
      </c>
      <c r="Z644" s="158" t="s">
        <v>149</v>
      </c>
      <c r="AA644" s="158" t="s">
        <v>149</v>
      </c>
      <c r="AB644" s="153" t="s">
        <v>1158</v>
      </c>
      <c r="AC644" s="158" t="s">
        <v>6068</v>
      </c>
      <c r="AD644" s="153"/>
      <c r="AE644" s="153"/>
      <c r="AF644" s="153"/>
      <c r="AG644" s="158" t="s">
        <v>1159</v>
      </c>
      <c r="AH644" s="153" t="s">
        <v>1160</v>
      </c>
      <c r="AI644" s="165" t="s">
        <v>1161</v>
      </c>
      <c r="AJ644" s="153" t="s">
        <v>2834</v>
      </c>
      <c r="AK644" s="153"/>
    </row>
    <row r="645">
      <c r="A645" s="152">
        <v>2023.0</v>
      </c>
      <c r="B645" s="151">
        <v>309.0</v>
      </c>
      <c r="C645" s="129" t="s">
        <v>140</v>
      </c>
      <c r="D645" s="8"/>
      <c r="E645" s="8" t="s">
        <v>8189</v>
      </c>
      <c r="F645" s="8" t="s">
        <v>8409</v>
      </c>
      <c r="G645" s="8">
        <f>IFERROR(__xludf.DUMMYFUNCTION("""COMPUTED_VALUE"""),165.0)</f>
        <v>165</v>
      </c>
      <c r="H645" s="8" t="s">
        <v>579</v>
      </c>
      <c r="I645" s="8" t="s">
        <v>585</v>
      </c>
      <c r="J645" s="8" t="s">
        <v>586</v>
      </c>
      <c r="K645" s="279" t="s">
        <v>587</v>
      </c>
      <c r="L645" s="8" t="s">
        <v>1377</v>
      </c>
      <c r="M645" s="8" t="s">
        <v>1478</v>
      </c>
      <c r="N645" s="142"/>
      <c r="O645" s="142" t="s">
        <v>6198</v>
      </c>
      <c r="P645" s="142" t="s">
        <v>6199</v>
      </c>
      <c r="Q645" s="8" t="s">
        <v>151</v>
      </c>
      <c r="U645" s="8" t="s">
        <v>1381</v>
      </c>
      <c r="AB645" s="8" t="s">
        <v>660</v>
      </c>
      <c r="AD645" s="8" t="s">
        <v>369</v>
      </c>
      <c r="AH645" s="8" t="s">
        <v>395</v>
      </c>
      <c r="AI645" s="8" t="s">
        <v>2873</v>
      </c>
      <c r="AJ645" s="8" t="s">
        <v>398</v>
      </c>
    </row>
    <row r="646">
      <c r="A646" s="152">
        <v>2025.0</v>
      </c>
      <c r="B646" s="151">
        <v>309.0</v>
      </c>
      <c r="C646" s="153" t="s">
        <v>8189</v>
      </c>
      <c r="D646" s="153"/>
      <c r="E646" s="153" t="s">
        <v>707</v>
      </c>
      <c r="F646" s="153" t="s">
        <v>7256</v>
      </c>
      <c r="G646" s="153">
        <f>IFERROR(__xludf.DUMMYFUNCTION("""COMPUTED_VALUE"""),166.0)</f>
        <v>166</v>
      </c>
      <c r="H646" s="153" t="s">
        <v>579</v>
      </c>
      <c r="I646" s="153" t="s">
        <v>585</v>
      </c>
      <c r="J646" s="153" t="s">
        <v>1467</v>
      </c>
      <c r="K646" s="153" t="s">
        <v>1468</v>
      </c>
      <c r="L646" s="153" t="s">
        <v>1377</v>
      </c>
      <c r="M646" s="153" t="s">
        <v>1470</v>
      </c>
      <c r="N646" s="160" t="s">
        <v>6896</v>
      </c>
      <c r="O646" s="175" t="s">
        <v>6198</v>
      </c>
      <c r="P646" s="175" t="s">
        <v>6199</v>
      </c>
      <c r="Q646" s="153" t="s">
        <v>151</v>
      </c>
      <c r="R646" s="158" t="s">
        <v>149</v>
      </c>
      <c r="S646" s="158" t="s">
        <v>149</v>
      </c>
      <c r="T646" s="158" t="s">
        <v>149</v>
      </c>
      <c r="U646" s="153" t="s">
        <v>1381</v>
      </c>
      <c r="V646" s="158" t="s">
        <v>6154</v>
      </c>
      <c r="W646" s="158" t="s">
        <v>206</v>
      </c>
      <c r="X646" s="158" t="s">
        <v>159</v>
      </c>
      <c r="Y646" s="158" t="s">
        <v>149</v>
      </c>
      <c r="Z646" s="158" t="s">
        <v>149</v>
      </c>
      <c r="AA646" s="158" t="s">
        <v>149</v>
      </c>
      <c r="AB646" s="153" t="s">
        <v>660</v>
      </c>
      <c r="AC646" s="153" t="s">
        <v>6035</v>
      </c>
      <c r="AD646" s="153" t="s">
        <v>369</v>
      </c>
      <c r="AE646" s="153"/>
      <c r="AF646" s="153"/>
      <c r="AG646" s="158" t="s">
        <v>395</v>
      </c>
      <c r="AH646" s="153" t="s">
        <v>6060</v>
      </c>
      <c r="AI646" s="158" t="s">
        <v>6711</v>
      </c>
      <c r="AJ646" s="153" t="s">
        <v>398</v>
      </c>
      <c r="AK646" s="153"/>
    </row>
    <row r="647">
      <c r="A647" s="152">
        <v>2024.0</v>
      </c>
      <c r="B647" s="151">
        <v>218.0</v>
      </c>
      <c r="C647" s="153"/>
      <c r="D647" s="153"/>
      <c r="E647" s="153" t="s">
        <v>8189</v>
      </c>
      <c r="F647" s="153" t="s">
        <v>8410</v>
      </c>
      <c r="G647" s="153">
        <f>IFERROR(__xludf.DUMMYFUNCTION("""COMPUTED_VALUE"""),167.0)</f>
        <v>167</v>
      </c>
      <c r="H647" s="153" t="s">
        <v>535</v>
      </c>
      <c r="I647" s="153" t="s">
        <v>1191</v>
      </c>
      <c r="J647" s="153" t="s">
        <v>1987</v>
      </c>
      <c r="K647" s="153" t="s">
        <v>1988</v>
      </c>
      <c r="L647" s="153" t="s">
        <v>384</v>
      </c>
      <c r="M647" s="153" t="s">
        <v>2872</v>
      </c>
      <c r="N647" s="230">
        <v>1984.0</v>
      </c>
      <c r="O647" s="230">
        <v>1985.0</v>
      </c>
      <c r="P647" s="230">
        <v>1987.0</v>
      </c>
      <c r="Q647" s="153" t="s">
        <v>151</v>
      </c>
      <c r="R647" s="153" t="s">
        <v>469</v>
      </c>
      <c r="S647" s="158" t="s">
        <v>469</v>
      </c>
      <c r="T647" s="158" t="s">
        <v>149</v>
      </c>
      <c r="U647" s="153" t="s">
        <v>390</v>
      </c>
      <c r="V647" s="158" t="s">
        <v>160</v>
      </c>
      <c r="W647" s="158" t="s">
        <v>6035</v>
      </c>
      <c r="X647" s="158" t="s">
        <v>159</v>
      </c>
      <c r="Y647" s="158" t="s">
        <v>149</v>
      </c>
      <c r="Z647" s="158" t="s">
        <v>149</v>
      </c>
      <c r="AA647" s="153" t="s">
        <v>2870</v>
      </c>
      <c r="AB647" s="153" t="s">
        <v>390</v>
      </c>
      <c r="AC647" s="153" t="s">
        <v>6035</v>
      </c>
      <c r="AD647" s="153" t="s">
        <v>6055</v>
      </c>
      <c r="AE647" s="153"/>
      <c r="AF647" s="153"/>
      <c r="AG647" s="158" t="s">
        <v>395</v>
      </c>
      <c r="AH647" s="153" t="s">
        <v>6060</v>
      </c>
      <c r="AI647" s="153" t="s">
        <v>2873</v>
      </c>
      <c r="AJ647" s="153" t="s">
        <v>398</v>
      </c>
      <c r="AK647" s="153"/>
    </row>
    <row r="648">
      <c r="A648" s="152">
        <v>2023.0</v>
      </c>
      <c r="B648" s="151">
        <v>310.0</v>
      </c>
      <c r="C648" s="129" t="s">
        <v>140</v>
      </c>
      <c r="D648" s="8"/>
      <c r="E648" s="8" t="s">
        <v>8189</v>
      </c>
      <c r="F648" s="8" t="s">
        <v>8411</v>
      </c>
      <c r="G648" s="8">
        <f>IFERROR(__xludf.DUMMYFUNCTION("""COMPUTED_VALUE"""),168.0)</f>
        <v>168</v>
      </c>
      <c r="H648" s="8" t="s">
        <v>579</v>
      </c>
      <c r="I648" s="8" t="s">
        <v>585</v>
      </c>
      <c r="J648" s="8" t="s">
        <v>585</v>
      </c>
      <c r="K648" s="279" t="s">
        <v>1480</v>
      </c>
      <c r="L648" s="8" t="s">
        <v>1377</v>
      </c>
      <c r="M648" s="8" t="s">
        <v>1481</v>
      </c>
      <c r="N648" s="142"/>
      <c r="O648" s="142" t="s">
        <v>6198</v>
      </c>
      <c r="P648" s="142" t="s">
        <v>6199</v>
      </c>
      <c r="Q648" s="8" t="s">
        <v>151</v>
      </c>
      <c r="U648" s="8" t="s">
        <v>1381</v>
      </c>
      <c r="AB648" s="8" t="s">
        <v>660</v>
      </c>
      <c r="AD648" s="8" t="s">
        <v>369</v>
      </c>
      <c r="AH648" s="8" t="s">
        <v>395</v>
      </c>
      <c r="AI648" s="8" t="s">
        <v>2873</v>
      </c>
      <c r="AJ648" s="8" t="s">
        <v>398</v>
      </c>
    </row>
    <row r="649">
      <c r="A649" s="152">
        <v>2025.0</v>
      </c>
      <c r="B649" s="151">
        <v>310.0</v>
      </c>
      <c r="C649" s="153" t="s">
        <v>8189</v>
      </c>
      <c r="D649" s="153"/>
      <c r="E649" s="153" t="s">
        <v>8301</v>
      </c>
      <c r="F649" s="153" t="s">
        <v>7258</v>
      </c>
      <c r="G649" s="153">
        <f>IFERROR(__xludf.DUMMYFUNCTION("""COMPUTED_VALUE"""),169.0)</f>
        <v>169</v>
      </c>
      <c r="H649" s="153" t="s">
        <v>579</v>
      </c>
      <c r="I649" s="153" t="s">
        <v>585</v>
      </c>
      <c r="J649" s="153" t="s">
        <v>2805</v>
      </c>
      <c r="K649" s="153" t="s">
        <v>2806</v>
      </c>
      <c r="L649" s="158" t="s">
        <v>149</v>
      </c>
      <c r="M649" s="153" t="s">
        <v>2807</v>
      </c>
      <c r="N649" s="175" t="s">
        <v>6355</v>
      </c>
      <c r="O649" s="164" t="s">
        <v>149</v>
      </c>
      <c r="P649" s="164" t="s">
        <v>149</v>
      </c>
      <c r="Q649" s="153" t="s">
        <v>151</v>
      </c>
      <c r="R649" s="158" t="s">
        <v>149</v>
      </c>
      <c r="S649" s="158" t="s">
        <v>149</v>
      </c>
      <c r="T649" s="158" t="s">
        <v>149</v>
      </c>
      <c r="U649" s="153" t="s">
        <v>2809</v>
      </c>
      <c r="V649" s="158" t="s">
        <v>160</v>
      </c>
      <c r="W649" s="158" t="s">
        <v>306</v>
      </c>
      <c r="X649" s="158" t="s">
        <v>159</v>
      </c>
      <c r="Y649" s="158" t="s">
        <v>149</v>
      </c>
      <c r="Z649" s="158" t="s">
        <v>149</v>
      </c>
      <c r="AA649" s="153" t="s">
        <v>2810</v>
      </c>
      <c r="AB649" s="153" t="s">
        <v>369</v>
      </c>
      <c r="AC649" s="153" t="s">
        <v>6035</v>
      </c>
      <c r="AD649" s="153"/>
      <c r="AE649" s="153"/>
      <c r="AF649" s="153"/>
      <c r="AG649" s="153" t="s">
        <v>6084</v>
      </c>
      <c r="AH649" s="153" t="s">
        <v>823</v>
      </c>
      <c r="AI649" s="172" t="s">
        <v>824</v>
      </c>
      <c r="AJ649" s="153"/>
      <c r="AK649" s="153"/>
    </row>
    <row r="650">
      <c r="A650" s="152">
        <v>2023.0</v>
      </c>
      <c r="B650" s="151">
        <v>311.0</v>
      </c>
      <c r="C650" s="129" t="s">
        <v>140</v>
      </c>
      <c r="D650" s="8"/>
      <c r="E650" s="8" t="s">
        <v>8189</v>
      </c>
      <c r="F650" s="8" t="s">
        <v>8412</v>
      </c>
      <c r="G650" s="8">
        <f>IFERROR(__xludf.DUMMYFUNCTION("""COMPUTED_VALUE"""),170.0)</f>
        <v>170</v>
      </c>
      <c r="H650" s="8" t="s">
        <v>579</v>
      </c>
      <c r="I650" s="8" t="s">
        <v>585</v>
      </c>
      <c r="J650" s="8" t="s">
        <v>1483</v>
      </c>
      <c r="K650" s="279" t="s">
        <v>1484</v>
      </c>
      <c r="L650" s="8" t="s">
        <v>1377</v>
      </c>
      <c r="M650" s="8" t="s">
        <v>1485</v>
      </c>
      <c r="N650" s="142"/>
      <c r="O650" s="142" t="s">
        <v>6198</v>
      </c>
      <c r="P650" s="142" t="s">
        <v>6199</v>
      </c>
      <c r="Q650" s="8" t="s">
        <v>151</v>
      </c>
      <c r="U650" s="8" t="s">
        <v>1381</v>
      </c>
      <c r="AB650" s="8" t="s">
        <v>660</v>
      </c>
      <c r="AD650" s="8" t="s">
        <v>369</v>
      </c>
      <c r="AH650" s="8" t="s">
        <v>395</v>
      </c>
      <c r="AI650" s="8" t="s">
        <v>2873</v>
      </c>
      <c r="AJ650" s="8" t="s">
        <v>398</v>
      </c>
    </row>
    <row r="651">
      <c r="A651" s="152">
        <v>2024.0</v>
      </c>
      <c r="B651" s="151">
        <v>219.0</v>
      </c>
      <c r="C651" s="153"/>
      <c r="D651" s="153"/>
      <c r="E651" s="153" t="s">
        <v>8189</v>
      </c>
      <c r="F651" s="153" t="s">
        <v>8413</v>
      </c>
      <c r="G651" s="153">
        <f>IFERROR(__xludf.DUMMYFUNCTION("""COMPUTED_VALUE"""),171.0)</f>
        <v>171</v>
      </c>
      <c r="H651" s="153" t="s">
        <v>535</v>
      </c>
      <c r="I651" s="153" t="s">
        <v>1191</v>
      </c>
      <c r="J651" s="153" t="s">
        <v>1987</v>
      </c>
      <c r="K651" s="153" t="s">
        <v>1988</v>
      </c>
      <c r="L651" s="153" t="s">
        <v>1989</v>
      </c>
      <c r="M651" s="153"/>
      <c r="N651" s="192" t="s">
        <v>149</v>
      </c>
      <c r="O651" s="230">
        <v>1984.0</v>
      </c>
      <c r="P651" s="230">
        <v>1985.0</v>
      </c>
      <c r="Q651" s="153" t="s">
        <v>151</v>
      </c>
      <c r="R651" s="158" t="s">
        <v>6942</v>
      </c>
      <c r="S651" s="158" t="s">
        <v>6076</v>
      </c>
      <c r="T651" s="153" t="s">
        <v>1991</v>
      </c>
      <c r="U651" s="158" t="s">
        <v>149</v>
      </c>
      <c r="V651" s="158" t="s">
        <v>149</v>
      </c>
      <c r="W651" s="158" t="s">
        <v>149</v>
      </c>
      <c r="X651" s="158" t="s">
        <v>149</v>
      </c>
      <c r="Y651" s="158" t="s">
        <v>149</v>
      </c>
      <c r="Z651" s="158" t="s">
        <v>149</v>
      </c>
      <c r="AA651" s="153" t="s">
        <v>1992</v>
      </c>
      <c r="AB651" s="153" t="s">
        <v>1993</v>
      </c>
      <c r="AC651" s="153" t="s">
        <v>6035</v>
      </c>
      <c r="AD651" s="153"/>
      <c r="AE651" s="153"/>
      <c r="AF651" s="153"/>
      <c r="AG651" s="153" t="s">
        <v>889</v>
      </c>
      <c r="AH651" s="153" t="s">
        <v>1994</v>
      </c>
      <c r="AI651" s="165" t="s">
        <v>1995</v>
      </c>
      <c r="AJ651" s="153" t="s">
        <v>398</v>
      </c>
      <c r="AK651" s="153"/>
    </row>
    <row r="652">
      <c r="A652" s="152">
        <v>2025.0</v>
      </c>
      <c r="B652" s="151">
        <v>311.0</v>
      </c>
      <c r="C652" s="153" t="s">
        <v>8189</v>
      </c>
      <c r="D652" s="153"/>
      <c r="E652" s="153" t="s">
        <v>8301</v>
      </c>
      <c r="F652" s="153" t="s">
        <v>7260</v>
      </c>
      <c r="G652" s="153">
        <f>IFERROR(__xludf.DUMMYFUNCTION("""COMPUTED_VALUE"""),172.0)</f>
        <v>172</v>
      </c>
      <c r="H652" s="153" t="s">
        <v>579</v>
      </c>
      <c r="I652" s="153" t="s">
        <v>585</v>
      </c>
      <c r="J652" s="153" t="s">
        <v>1472</v>
      </c>
      <c r="K652" s="153" t="s">
        <v>1473</v>
      </c>
      <c r="L652" s="153" t="s">
        <v>1377</v>
      </c>
      <c r="M652" s="153" t="s">
        <v>1474</v>
      </c>
      <c r="N652" s="160" t="s">
        <v>6896</v>
      </c>
      <c r="O652" s="175" t="s">
        <v>6198</v>
      </c>
      <c r="P652" s="175" t="s">
        <v>6199</v>
      </c>
      <c r="Q652" s="153" t="s">
        <v>151</v>
      </c>
      <c r="R652" s="158" t="s">
        <v>149</v>
      </c>
      <c r="S652" s="158" t="s">
        <v>149</v>
      </c>
      <c r="T652" s="158" t="s">
        <v>149</v>
      </c>
      <c r="U652" s="153" t="s">
        <v>1381</v>
      </c>
      <c r="V652" s="158" t="s">
        <v>6154</v>
      </c>
      <c r="W652" s="158" t="s">
        <v>206</v>
      </c>
      <c r="X652" s="158" t="s">
        <v>159</v>
      </c>
      <c r="Y652" s="158" t="s">
        <v>149</v>
      </c>
      <c r="Z652" s="158" t="s">
        <v>149</v>
      </c>
      <c r="AA652" s="158" t="s">
        <v>149</v>
      </c>
      <c r="AB652" s="153" t="s">
        <v>660</v>
      </c>
      <c r="AC652" s="153" t="s">
        <v>6035</v>
      </c>
      <c r="AD652" s="153" t="s">
        <v>369</v>
      </c>
      <c r="AE652" s="153"/>
      <c r="AF652" s="153"/>
      <c r="AG652" s="158" t="s">
        <v>395</v>
      </c>
      <c r="AH652" s="153" t="s">
        <v>6060</v>
      </c>
      <c r="AI652" s="158" t="s">
        <v>6711</v>
      </c>
      <c r="AJ652" s="153" t="s">
        <v>398</v>
      </c>
      <c r="AK652" s="153"/>
    </row>
    <row r="653">
      <c r="A653" s="152">
        <v>2023.0</v>
      </c>
      <c r="B653" s="151">
        <v>312.0</v>
      </c>
      <c r="C653" s="129" t="s">
        <v>140</v>
      </c>
      <c r="D653" s="8"/>
      <c r="E653" s="8" t="s">
        <v>8189</v>
      </c>
      <c r="F653" s="8" t="s">
        <v>8414</v>
      </c>
      <c r="G653" s="8">
        <f>IFERROR(__xludf.DUMMYFUNCTION("""COMPUTED_VALUE"""),173.0)</f>
        <v>173</v>
      </c>
      <c r="H653" s="8" t="s">
        <v>579</v>
      </c>
      <c r="I653" s="8" t="s">
        <v>585</v>
      </c>
      <c r="J653" s="8" t="s">
        <v>1487</v>
      </c>
      <c r="K653" s="279" t="s">
        <v>1488</v>
      </c>
      <c r="L653" s="8" t="s">
        <v>1377</v>
      </c>
      <c r="M653" s="8" t="s">
        <v>1489</v>
      </c>
      <c r="N653" s="142"/>
      <c r="O653" s="142" t="s">
        <v>6198</v>
      </c>
      <c r="P653" s="142" t="s">
        <v>6199</v>
      </c>
      <c r="Q653" s="8" t="s">
        <v>151</v>
      </c>
      <c r="U653" s="8" t="s">
        <v>1381</v>
      </c>
      <c r="AB653" s="8" t="s">
        <v>660</v>
      </c>
      <c r="AD653" s="8" t="s">
        <v>369</v>
      </c>
      <c r="AH653" s="8" t="s">
        <v>395</v>
      </c>
      <c r="AI653" s="8" t="s">
        <v>2873</v>
      </c>
      <c r="AJ653" s="8" t="s">
        <v>398</v>
      </c>
    </row>
    <row r="654">
      <c r="A654" s="152">
        <v>2025.0</v>
      </c>
      <c r="B654" s="151">
        <v>312.0</v>
      </c>
      <c r="C654" s="153" t="s">
        <v>8189</v>
      </c>
      <c r="D654" s="153"/>
      <c r="E654" s="153" t="s">
        <v>8301</v>
      </c>
      <c r="F654" s="153" t="s">
        <v>7262</v>
      </c>
      <c r="G654" s="153">
        <f>IFERROR(__xludf.DUMMYFUNCTION("""COMPUTED_VALUE"""),174.0)</f>
        <v>174</v>
      </c>
      <c r="H654" s="153" t="s">
        <v>579</v>
      </c>
      <c r="I654" s="153" t="s">
        <v>585</v>
      </c>
      <c r="J654" s="153" t="s">
        <v>586</v>
      </c>
      <c r="K654" s="153" t="s">
        <v>587</v>
      </c>
      <c r="L654" s="153" t="s">
        <v>384</v>
      </c>
      <c r="M654" s="153" t="s">
        <v>588</v>
      </c>
      <c r="N654" s="175" t="s">
        <v>6051</v>
      </c>
      <c r="O654" s="175" t="s">
        <v>6052</v>
      </c>
      <c r="P654" s="175" t="s">
        <v>6053</v>
      </c>
      <c r="Q654" s="153" t="s">
        <v>151</v>
      </c>
      <c r="R654" s="153" t="s">
        <v>6054</v>
      </c>
      <c r="S654" s="158" t="s">
        <v>6054</v>
      </c>
      <c r="T654" s="158" t="s">
        <v>149</v>
      </c>
      <c r="U654" s="153" t="s">
        <v>390</v>
      </c>
      <c r="V654" s="158" t="s">
        <v>160</v>
      </c>
      <c r="W654" s="158" t="s">
        <v>6035</v>
      </c>
      <c r="X654" s="158" t="s">
        <v>159</v>
      </c>
      <c r="Y654" s="158" t="s">
        <v>149</v>
      </c>
      <c r="Z654" s="158" t="s">
        <v>149</v>
      </c>
      <c r="AA654" s="153" t="s">
        <v>450</v>
      </c>
      <c r="AB654" s="153" t="s">
        <v>390</v>
      </c>
      <c r="AC654" s="153" t="s">
        <v>6035</v>
      </c>
      <c r="AD654" s="153" t="s">
        <v>6055</v>
      </c>
      <c r="AE654" s="153"/>
      <c r="AF654" s="153"/>
      <c r="AG654" s="158" t="s">
        <v>395</v>
      </c>
      <c r="AH654" s="153" t="s">
        <v>6060</v>
      </c>
      <c r="AI654" s="158" t="s">
        <v>6711</v>
      </c>
      <c r="AJ654" s="153" t="s">
        <v>398</v>
      </c>
      <c r="AK654" s="153"/>
    </row>
    <row r="655">
      <c r="A655" s="152">
        <v>2024.0</v>
      </c>
      <c r="B655" s="151">
        <v>220.0</v>
      </c>
      <c r="C655" s="153"/>
      <c r="D655" s="153"/>
      <c r="E655" s="153" t="s">
        <v>8189</v>
      </c>
      <c r="F655" s="153" t="s">
        <v>8415</v>
      </c>
      <c r="G655" s="153">
        <f>IFERROR(__xludf.DUMMYFUNCTION("""COMPUTED_VALUE"""),175.0)</f>
        <v>175</v>
      </c>
      <c r="H655" s="153" t="s">
        <v>535</v>
      </c>
      <c r="I655" s="153" t="s">
        <v>1191</v>
      </c>
      <c r="J655" s="153" t="s">
        <v>1120</v>
      </c>
      <c r="K655" s="153" t="s">
        <v>1192</v>
      </c>
      <c r="L655" s="153" t="s">
        <v>1174</v>
      </c>
      <c r="M655" s="153"/>
      <c r="N655" s="192">
        <v>2013.0</v>
      </c>
      <c r="O655" s="230">
        <v>2012.0</v>
      </c>
      <c r="P655" s="230">
        <v>2013.0</v>
      </c>
      <c r="Q655" s="153" t="s">
        <v>6062</v>
      </c>
      <c r="R655" s="153" t="s">
        <v>320</v>
      </c>
      <c r="S655" s="158" t="s">
        <v>179</v>
      </c>
      <c r="T655" s="153" t="s">
        <v>1193</v>
      </c>
      <c r="U655" s="153" t="s">
        <v>321</v>
      </c>
      <c r="V655" s="158" t="s">
        <v>160</v>
      </c>
      <c r="W655" s="158" t="s">
        <v>6035</v>
      </c>
      <c r="X655" s="158" t="s">
        <v>204</v>
      </c>
      <c r="Y655" s="158" t="s">
        <v>149</v>
      </c>
      <c r="Z655" s="158" t="s">
        <v>149</v>
      </c>
      <c r="AA655" s="153" t="s">
        <v>1194</v>
      </c>
      <c r="AB655" s="153" t="s">
        <v>1158</v>
      </c>
      <c r="AC655" s="158" t="s">
        <v>6068</v>
      </c>
      <c r="AD655" s="153"/>
      <c r="AE655" s="153"/>
      <c r="AF655" s="153" t="s">
        <v>1195</v>
      </c>
      <c r="AG655" s="158" t="s">
        <v>6069</v>
      </c>
      <c r="AH655" s="153" t="s">
        <v>1196</v>
      </c>
      <c r="AI655" s="153" t="s">
        <v>6070</v>
      </c>
      <c r="AJ655" s="153"/>
      <c r="AK655" s="153"/>
    </row>
    <row r="656">
      <c r="A656" s="152">
        <v>2023.0</v>
      </c>
      <c r="B656" s="151">
        <v>313.0</v>
      </c>
      <c r="C656" s="129" t="s">
        <v>140</v>
      </c>
      <c r="D656" s="8"/>
      <c r="E656" s="8" t="s">
        <v>8189</v>
      </c>
      <c r="F656" s="8" t="s">
        <v>8416</v>
      </c>
      <c r="G656" s="8">
        <f>IFERROR(__xludf.DUMMYFUNCTION("""COMPUTED_VALUE"""),176.0)</f>
        <v>176</v>
      </c>
      <c r="H656" s="8" t="s">
        <v>579</v>
      </c>
      <c r="I656" s="8" t="s">
        <v>585</v>
      </c>
      <c r="J656" s="8" t="s">
        <v>7266</v>
      </c>
      <c r="K656" s="279" t="s">
        <v>1492</v>
      </c>
      <c r="L656" s="8" t="s">
        <v>1377</v>
      </c>
      <c r="M656" s="8" t="s">
        <v>635</v>
      </c>
      <c r="N656" s="142"/>
      <c r="O656" s="142" t="s">
        <v>6198</v>
      </c>
      <c r="P656" s="142" t="s">
        <v>6199</v>
      </c>
      <c r="Q656" s="8" t="s">
        <v>151</v>
      </c>
      <c r="U656" s="8" t="s">
        <v>1381</v>
      </c>
      <c r="AB656" s="8" t="s">
        <v>660</v>
      </c>
      <c r="AD656" s="8" t="s">
        <v>369</v>
      </c>
      <c r="AH656" s="8" t="s">
        <v>395</v>
      </c>
      <c r="AI656" s="8" t="s">
        <v>2873</v>
      </c>
      <c r="AJ656" s="8" t="s">
        <v>398</v>
      </c>
    </row>
    <row r="657">
      <c r="A657" s="152">
        <v>2025.0</v>
      </c>
      <c r="B657" s="151">
        <v>313.0</v>
      </c>
      <c r="C657" s="153" t="s">
        <v>8189</v>
      </c>
      <c r="D657" s="153"/>
      <c r="E657" s="153" t="s">
        <v>707</v>
      </c>
      <c r="F657" s="153" t="s">
        <v>7264</v>
      </c>
      <c r="G657" s="153">
        <f>IFERROR(__xludf.DUMMYFUNCTION("""COMPUTED_VALUE"""),177.0)</f>
        <v>177</v>
      </c>
      <c r="H657" s="153" t="s">
        <v>579</v>
      </c>
      <c r="I657" s="153" t="s">
        <v>585</v>
      </c>
      <c r="J657" s="153" t="s">
        <v>586</v>
      </c>
      <c r="K657" s="153" t="s">
        <v>587</v>
      </c>
      <c r="L657" s="153" t="s">
        <v>1377</v>
      </c>
      <c r="M657" s="153" t="s">
        <v>1476</v>
      </c>
      <c r="N657" s="160" t="s">
        <v>6896</v>
      </c>
      <c r="O657" s="175" t="s">
        <v>6198</v>
      </c>
      <c r="P657" s="175" t="s">
        <v>6199</v>
      </c>
      <c r="Q657" s="153" t="s">
        <v>151</v>
      </c>
      <c r="R657" s="158" t="s">
        <v>149</v>
      </c>
      <c r="S657" s="158" t="s">
        <v>149</v>
      </c>
      <c r="T657" s="158" t="s">
        <v>149</v>
      </c>
      <c r="U657" s="153" t="s">
        <v>1381</v>
      </c>
      <c r="V657" s="158" t="s">
        <v>6154</v>
      </c>
      <c r="W657" s="158" t="s">
        <v>206</v>
      </c>
      <c r="X657" s="158" t="s">
        <v>159</v>
      </c>
      <c r="Y657" s="158" t="s">
        <v>149</v>
      </c>
      <c r="Z657" s="158" t="s">
        <v>149</v>
      </c>
      <c r="AA657" s="158" t="s">
        <v>149</v>
      </c>
      <c r="AB657" s="153" t="s">
        <v>660</v>
      </c>
      <c r="AC657" s="153" t="s">
        <v>6035</v>
      </c>
      <c r="AD657" s="153" t="s">
        <v>369</v>
      </c>
      <c r="AE657" s="153"/>
      <c r="AF657" s="153"/>
      <c r="AG657" s="158" t="s">
        <v>395</v>
      </c>
      <c r="AH657" s="153" t="s">
        <v>6060</v>
      </c>
      <c r="AI657" s="158" t="s">
        <v>6711</v>
      </c>
      <c r="AJ657" s="153" t="s">
        <v>398</v>
      </c>
      <c r="AK657" s="153"/>
    </row>
    <row r="658">
      <c r="A658" s="152">
        <v>2024.0</v>
      </c>
      <c r="B658" s="151">
        <v>221.0</v>
      </c>
      <c r="C658" s="153"/>
      <c r="D658" s="153"/>
      <c r="E658" s="153" t="s">
        <v>8189</v>
      </c>
      <c r="F658" s="153" t="s">
        <v>8417</v>
      </c>
      <c r="G658" s="153">
        <f>IFERROR(__xludf.DUMMYFUNCTION("""COMPUTED_VALUE"""),178.0)</f>
        <v>178</v>
      </c>
      <c r="H658" s="153" t="s">
        <v>535</v>
      </c>
      <c r="I658" s="153" t="s">
        <v>536</v>
      </c>
      <c r="J658" s="153" t="s">
        <v>6945</v>
      </c>
      <c r="K658" s="153" t="s">
        <v>538</v>
      </c>
      <c r="L658" s="153" t="s">
        <v>384</v>
      </c>
      <c r="M658" s="153" t="s">
        <v>6949</v>
      </c>
      <c r="N658" s="230">
        <v>1985.0</v>
      </c>
      <c r="O658" s="230">
        <v>1985.0</v>
      </c>
      <c r="P658" s="230">
        <v>1987.0</v>
      </c>
      <c r="Q658" s="153" t="s">
        <v>151</v>
      </c>
      <c r="R658" s="153" t="s">
        <v>469</v>
      </c>
      <c r="S658" s="158" t="s">
        <v>469</v>
      </c>
      <c r="T658" s="158" t="s">
        <v>149</v>
      </c>
      <c r="U658" s="153" t="s">
        <v>390</v>
      </c>
      <c r="V658" s="158" t="s">
        <v>160</v>
      </c>
      <c r="W658" s="158" t="s">
        <v>6035</v>
      </c>
      <c r="X658" s="158" t="s">
        <v>159</v>
      </c>
      <c r="Y658" s="158" t="s">
        <v>149</v>
      </c>
      <c r="Z658" s="158" t="s">
        <v>149</v>
      </c>
      <c r="AA658" s="158" t="s">
        <v>149</v>
      </c>
      <c r="AB658" s="153" t="s">
        <v>390</v>
      </c>
      <c r="AC658" s="153" t="s">
        <v>6035</v>
      </c>
      <c r="AD658" s="153" t="s">
        <v>6055</v>
      </c>
      <c r="AE658" s="153"/>
      <c r="AF658" s="153"/>
      <c r="AG658" s="158" t="s">
        <v>395</v>
      </c>
      <c r="AH658" s="153" t="s">
        <v>6060</v>
      </c>
      <c r="AI658" s="153" t="s">
        <v>2873</v>
      </c>
      <c r="AJ658" s="153" t="s">
        <v>398</v>
      </c>
      <c r="AK658" s="153"/>
    </row>
    <row r="659">
      <c r="A659" s="152">
        <v>2025.0</v>
      </c>
      <c r="B659" s="151">
        <v>314.0</v>
      </c>
      <c r="C659" s="153" t="s">
        <v>8189</v>
      </c>
      <c r="D659" s="153"/>
      <c r="E659" s="153" t="s">
        <v>8301</v>
      </c>
      <c r="F659" s="153" t="s">
        <v>7267</v>
      </c>
      <c r="G659" s="153">
        <f>IFERROR(__xludf.DUMMYFUNCTION("""COMPUTED_VALUE"""),179.0)</f>
        <v>179</v>
      </c>
      <c r="H659" s="153" t="s">
        <v>579</v>
      </c>
      <c r="I659" s="153" t="s">
        <v>585</v>
      </c>
      <c r="J659" s="153" t="s">
        <v>586</v>
      </c>
      <c r="K659" s="153" t="s">
        <v>587</v>
      </c>
      <c r="L659" s="153" t="s">
        <v>1377</v>
      </c>
      <c r="M659" s="153" t="s">
        <v>1478</v>
      </c>
      <c r="N659" s="160" t="s">
        <v>6896</v>
      </c>
      <c r="O659" s="175" t="s">
        <v>6198</v>
      </c>
      <c r="P659" s="175" t="s">
        <v>6199</v>
      </c>
      <c r="Q659" s="153" t="s">
        <v>151</v>
      </c>
      <c r="R659" s="158" t="s">
        <v>149</v>
      </c>
      <c r="S659" s="158" t="s">
        <v>149</v>
      </c>
      <c r="T659" s="158" t="s">
        <v>149</v>
      </c>
      <c r="U659" s="153" t="s">
        <v>1381</v>
      </c>
      <c r="V659" s="158" t="s">
        <v>6154</v>
      </c>
      <c r="W659" s="158" t="s">
        <v>206</v>
      </c>
      <c r="X659" s="158" t="s">
        <v>159</v>
      </c>
      <c r="Y659" s="158" t="s">
        <v>149</v>
      </c>
      <c r="Z659" s="158" t="s">
        <v>149</v>
      </c>
      <c r="AA659" s="158" t="s">
        <v>149</v>
      </c>
      <c r="AB659" s="153" t="s">
        <v>660</v>
      </c>
      <c r="AC659" s="153" t="s">
        <v>6035</v>
      </c>
      <c r="AD659" s="153" t="s">
        <v>369</v>
      </c>
      <c r="AE659" s="153"/>
      <c r="AF659" s="153"/>
      <c r="AG659" s="158" t="s">
        <v>395</v>
      </c>
      <c r="AH659" s="153" t="s">
        <v>6060</v>
      </c>
      <c r="AI659" s="158" t="s">
        <v>6711</v>
      </c>
      <c r="AJ659" s="153" t="s">
        <v>398</v>
      </c>
      <c r="AK659" s="153"/>
    </row>
    <row r="660">
      <c r="A660" s="152">
        <v>2025.0</v>
      </c>
      <c r="B660" s="151">
        <v>315.0</v>
      </c>
      <c r="C660" s="153" t="s">
        <v>8189</v>
      </c>
      <c r="D660" s="153"/>
      <c r="E660" s="153" t="s">
        <v>707</v>
      </c>
      <c r="F660" s="153" t="s">
        <v>7269</v>
      </c>
      <c r="G660" s="153">
        <f>IFERROR(__xludf.DUMMYFUNCTION("""COMPUTED_VALUE"""),180.0)</f>
        <v>180</v>
      </c>
      <c r="H660" s="153" t="s">
        <v>579</v>
      </c>
      <c r="I660" s="153" t="s">
        <v>585</v>
      </c>
      <c r="J660" s="153" t="s">
        <v>585</v>
      </c>
      <c r="K660" s="153" t="s">
        <v>1480</v>
      </c>
      <c r="L660" s="153" t="s">
        <v>1377</v>
      </c>
      <c r="M660" s="153" t="s">
        <v>1481</v>
      </c>
      <c r="N660" s="160" t="s">
        <v>6896</v>
      </c>
      <c r="O660" s="175" t="s">
        <v>6198</v>
      </c>
      <c r="P660" s="175" t="s">
        <v>6199</v>
      </c>
      <c r="Q660" s="153" t="s">
        <v>151</v>
      </c>
      <c r="R660" s="158" t="s">
        <v>149</v>
      </c>
      <c r="S660" s="158" t="s">
        <v>149</v>
      </c>
      <c r="T660" s="158" t="s">
        <v>149</v>
      </c>
      <c r="U660" s="153" t="s">
        <v>1381</v>
      </c>
      <c r="V660" s="158" t="s">
        <v>6154</v>
      </c>
      <c r="W660" s="158" t="s">
        <v>206</v>
      </c>
      <c r="X660" s="158" t="s">
        <v>159</v>
      </c>
      <c r="Y660" s="158" t="s">
        <v>149</v>
      </c>
      <c r="Z660" s="158" t="s">
        <v>149</v>
      </c>
      <c r="AA660" s="158" t="s">
        <v>149</v>
      </c>
      <c r="AB660" s="153" t="s">
        <v>660</v>
      </c>
      <c r="AC660" s="153" t="s">
        <v>6035</v>
      </c>
      <c r="AD660" s="153" t="s">
        <v>369</v>
      </c>
      <c r="AE660" s="153"/>
      <c r="AF660" s="153"/>
      <c r="AG660" s="158" t="s">
        <v>395</v>
      </c>
      <c r="AH660" s="153" t="s">
        <v>6060</v>
      </c>
      <c r="AI660" s="158" t="s">
        <v>6711</v>
      </c>
      <c r="AJ660" s="153" t="s">
        <v>398</v>
      </c>
      <c r="AK660" s="153"/>
    </row>
    <row r="661">
      <c r="A661" s="152">
        <v>2024.0</v>
      </c>
      <c r="B661" s="151">
        <v>222.0</v>
      </c>
      <c r="C661" s="153"/>
      <c r="D661" s="153"/>
      <c r="E661" s="153" t="s">
        <v>8189</v>
      </c>
      <c r="F661" s="153" t="s">
        <v>8418</v>
      </c>
      <c r="G661" s="153">
        <f>IFERROR(__xludf.DUMMYFUNCTION("""COMPUTED_VALUE"""),181.0)</f>
        <v>181</v>
      </c>
      <c r="H661" s="153" t="s">
        <v>535</v>
      </c>
      <c r="I661" s="153" t="s">
        <v>536</v>
      </c>
      <c r="J661" s="153" t="s">
        <v>6945</v>
      </c>
      <c r="K661" s="153" t="s">
        <v>538</v>
      </c>
      <c r="L661" s="153" t="s">
        <v>384</v>
      </c>
      <c r="M661" s="153" t="s">
        <v>6953</v>
      </c>
      <c r="N661" s="230">
        <v>1985.0</v>
      </c>
      <c r="O661" s="230">
        <v>1985.0</v>
      </c>
      <c r="P661" s="230">
        <v>1987.0</v>
      </c>
      <c r="Q661" s="153" t="s">
        <v>151</v>
      </c>
      <c r="R661" s="153" t="s">
        <v>6054</v>
      </c>
      <c r="S661" s="158" t="s">
        <v>6054</v>
      </c>
      <c r="T661" s="158" t="s">
        <v>149</v>
      </c>
      <c r="U661" s="153" t="s">
        <v>390</v>
      </c>
      <c r="V661" s="158" t="s">
        <v>160</v>
      </c>
      <c r="W661" s="158" t="s">
        <v>6035</v>
      </c>
      <c r="X661" s="158" t="s">
        <v>159</v>
      </c>
      <c r="Y661" s="158" t="s">
        <v>149</v>
      </c>
      <c r="Z661" s="158" t="s">
        <v>149</v>
      </c>
      <c r="AA661" s="153" t="s">
        <v>391</v>
      </c>
      <c r="AB661" s="153" t="s">
        <v>390</v>
      </c>
      <c r="AC661" s="153" t="s">
        <v>6035</v>
      </c>
      <c r="AD661" s="153" t="s">
        <v>6055</v>
      </c>
      <c r="AE661" s="153"/>
      <c r="AF661" s="153"/>
      <c r="AG661" s="158" t="s">
        <v>395</v>
      </c>
      <c r="AH661" s="153" t="s">
        <v>6060</v>
      </c>
      <c r="AI661" s="153" t="s">
        <v>2873</v>
      </c>
      <c r="AJ661" s="153" t="s">
        <v>398</v>
      </c>
      <c r="AK661" s="153"/>
    </row>
    <row r="662">
      <c r="A662" s="152">
        <v>2025.0</v>
      </c>
      <c r="B662" s="151">
        <v>316.0</v>
      </c>
      <c r="C662" s="153" t="s">
        <v>8189</v>
      </c>
      <c r="D662" s="153"/>
      <c r="E662" s="153" t="s">
        <v>8301</v>
      </c>
      <c r="F662" s="153" t="s">
        <v>7271</v>
      </c>
      <c r="G662" s="153">
        <f>IFERROR(__xludf.DUMMYFUNCTION("""COMPUTED_VALUE"""),182.0)</f>
        <v>182</v>
      </c>
      <c r="H662" s="153" t="s">
        <v>579</v>
      </c>
      <c r="I662" s="153" t="s">
        <v>585</v>
      </c>
      <c r="J662" s="153" t="s">
        <v>1483</v>
      </c>
      <c r="K662" s="153" t="s">
        <v>1484</v>
      </c>
      <c r="L662" s="153" t="s">
        <v>1377</v>
      </c>
      <c r="M662" s="153" t="s">
        <v>1485</v>
      </c>
      <c r="N662" s="160" t="s">
        <v>6896</v>
      </c>
      <c r="O662" s="175" t="s">
        <v>6198</v>
      </c>
      <c r="P662" s="175" t="s">
        <v>6199</v>
      </c>
      <c r="Q662" s="153" t="s">
        <v>151</v>
      </c>
      <c r="R662" s="158" t="s">
        <v>149</v>
      </c>
      <c r="S662" s="158" t="s">
        <v>149</v>
      </c>
      <c r="T662" s="158" t="s">
        <v>149</v>
      </c>
      <c r="U662" s="153" t="s">
        <v>1381</v>
      </c>
      <c r="V662" s="158" t="s">
        <v>6154</v>
      </c>
      <c r="W662" s="158" t="s">
        <v>206</v>
      </c>
      <c r="X662" s="158" t="s">
        <v>159</v>
      </c>
      <c r="Y662" s="158" t="s">
        <v>149</v>
      </c>
      <c r="Z662" s="158" t="s">
        <v>149</v>
      </c>
      <c r="AA662" s="158" t="s">
        <v>149</v>
      </c>
      <c r="AB662" s="153" t="s">
        <v>660</v>
      </c>
      <c r="AC662" s="153" t="s">
        <v>6035</v>
      </c>
      <c r="AD662" s="153" t="s">
        <v>369</v>
      </c>
      <c r="AE662" s="153"/>
      <c r="AF662" s="153"/>
      <c r="AG662" s="158" t="s">
        <v>395</v>
      </c>
      <c r="AH662" s="153" t="s">
        <v>6060</v>
      </c>
      <c r="AI662" s="158" t="s">
        <v>6711</v>
      </c>
      <c r="AJ662" s="153" t="s">
        <v>398</v>
      </c>
      <c r="AK662" s="153"/>
    </row>
    <row r="663">
      <c r="A663" s="152">
        <v>2025.0</v>
      </c>
      <c r="B663" s="151">
        <v>317.0</v>
      </c>
      <c r="C663" s="153" t="s">
        <v>8189</v>
      </c>
      <c r="D663" s="153"/>
      <c r="E663" s="153" t="s">
        <v>707</v>
      </c>
      <c r="F663" s="153" t="s">
        <v>7277</v>
      </c>
      <c r="G663" s="153">
        <f>IFERROR(__xludf.DUMMYFUNCTION("""COMPUTED_VALUE"""),183.0)</f>
        <v>183</v>
      </c>
      <c r="H663" s="153" t="s">
        <v>579</v>
      </c>
      <c r="I663" s="153" t="s">
        <v>585</v>
      </c>
      <c r="J663" s="153" t="s">
        <v>1487</v>
      </c>
      <c r="K663" s="153" t="s">
        <v>1488</v>
      </c>
      <c r="L663" s="153" t="s">
        <v>1377</v>
      </c>
      <c r="M663" s="153" t="s">
        <v>1489</v>
      </c>
      <c r="N663" s="160" t="s">
        <v>6896</v>
      </c>
      <c r="O663" s="175" t="s">
        <v>6198</v>
      </c>
      <c r="P663" s="175" t="s">
        <v>6199</v>
      </c>
      <c r="Q663" s="153" t="s">
        <v>151</v>
      </c>
      <c r="R663" s="158" t="s">
        <v>149</v>
      </c>
      <c r="S663" s="158" t="s">
        <v>149</v>
      </c>
      <c r="T663" s="158" t="s">
        <v>149</v>
      </c>
      <c r="U663" s="153" t="s">
        <v>1381</v>
      </c>
      <c r="V663" s="158" t="s">
        <v>6154</v>
      </c>
      <c r="W663" s="158" t="s">
        <v>206</v>
      </c>
      <c r="X663" s="158" t="s">
        <v>159</v>
      </c>
      <c r="Y663" s="158" t="s">
        <v>149</v>
      </c>
      <c r="Z663" s="158" t="s">
        <v>149</v>
      </c>
      <c r="AA663" s="158" t="s">
        <v>149</v>
      </c>
      <c r="AB663" s="153" t="s">
        <v>660</v>
      </c>
      <c r="AC663" s="153" t="s">
        <v>6035</v>
      </c>
      <c r="AD663" s="153" t="s">
        <v>369</v>
      </c>
      <c r="AE663" s="153"/>
      <c r="AF663" s="153"/>
      <c r="AG663" s="158" t="s">
        <v>395</v>
      </c>
      <c r="AH663" s="153" t="s">
        <v>6060</v>
      </c>
      <c r="AI663" s="158" t="s">
        <v>6711</v>
      </c>
      <c r="AJ663" s="153" t="s">
        <v>398</v>
      </c>
      <c r="AK663" s="153"/>
    </row>
    <row r="664">
      <c r="A664" s="152">
        <v>2024.0</v>
      </c>
      <c r="B664" s="151">
        <v>223.0</v>
      </c>
      <c r="C664" s="153"/>
      <c r="D664" s="153"/>
      <c r="E664" s="153" t="s">
        <v>8189</v>
      </c>
      <c r="F664" s="153" t="s">
        <v>8419</v>
      </c>
      <c r="G664" s="153">
        <f>IFERROR(__xludf.DUMMYFUNCTION("""COMPUTED_VALUE"""),184.0)</f>
        <v>184</v>
      </c>
      <c r="H664" s="153" t="s">
        <v>535</v>
      </c>
      <c r="I664" s="153" t="s">
        <v>536</v>
      </c>
      <c r="J664" s="153" t="s">
        <v>6945</v>
      </c>
      <c r="K664" s="153" t="s">
        <v>538</v>
      </c>
      <c r="L664" s="153" t="s">
        <v>384</v>
      </c>
      <c r="M664" s="153" t="s">
        <v>6956</v>
      </c>
      <c r="N664" s="230">
        <v>1986.0</v>
      </c>
      <c r="O664" s="230">
        <v>1985.0</v>
      </c>
      <c r="P664" s="230">
        <v>1987.0</v>
      </c>
      <c r="Q664" s="153" t="s">
        <v>151</v>
      </c>
      <c r="R664" s="153" t="s">
        <v>6054</v>
      </c>
      <c r="S664" s="158" t="s">
        <v>6054</v>
      </c>
      <c r="T664" s="158" t="s">
        <v>149</v>
      </c>
      <c r="U664" s="153" t="s">
        <v>390</v>
      </c>
      <c r="V664" s="158" t="s">
        <v>160</v>
      </c>
      <c r="W664" s="158" t="s">
        <v>6035</v>
      </c>
      <c r="X664" s="158" t="s">
        <v>159</v>
      </c>
      <c r="Y664" s="158" t="s">
        <v>149</v>
      </c>
      <c r="Z664" s="158" t="s">
        <v>149</v>
      </c>
      <c r="AA664" s="153" t="s">
        <v>414</v>
      </c>
      <c r="AB664" s="153" t="s">
        <v>390</v>
      </c>
      <c r="AC664" s="153" t="s">
        <v>6035</v>
      </c>
      <c r="AD664" s="153" t="s">
        <v>6055</v>
      </c>
      <c r="AE664" s="153"/>
      <c r="AF664" s="153"/>
      <c r="AG664" s="158" t="s">
        <v>395</v>
      </c>
      <c r="AH664" s="153" t="s">
        <v>6060</v>
      </c>
      <c r="AI664" s="153" t="s">
        <v>2873</v>
      </c>
      <c r="AJ664" s="153" t="s">
        <v>398</v>
      </c>
      <c r="AK664" s="153"/>
    </row>
    <row r="665">
      <c r="A665" s="152">
        <v>2025.0</v>
      </c>
      <c r="B665" s="151">
        <v>318.0</v>
      </c>
      <c r="C665" s="153" t="s">
        <v>8189</v>
      </c>
      <c r="D665" s="153"/>
      <c r="E665" s="153" t="s">
        <v>8301</v>
      </c>
      <c r="F665" s="153" t="s">
        <v>7280</v>
      </c>
      <c r="G665" s="153">
        <f>IFERROR(__xludf.DUMMYFUNCTION("""COMPUTED_VALUE"""),185.0)</f>
        <v>185</v>
      </c>
      <c r="H665" s="153" t="s">
        <v>579</v>
      </c>
      <c r="I665" s="153" t="s">
        <v>585</v>
      </c>
      <c r="J665" s="153" t="s">
        <v>7266</v>
      </c>
      <c r="K665" s="153" t="s">
        <v>1492</v>
      </c>
      <c r="L665" s="153" t="s">
        <v>1377</v>
      </c>
      <c r="M665" s="153" t="s">
        <v>635</v>
      </c>
      <c r="N665" s="160" t="s">
        <v>6896</v>
      </c>
      <c r="O665" s="175" t="s">
        <v>6198</v>
      </c>
      <c r="P665" s="175" t="s">
        <v>6199</v>
      </c>
      <c r="Q665" s="153" t="s">
        <v>151</v>
      </c>
      <c r="R665" s="158" t="s">
        <v>149</v>
      </c>
      <c r="S665" s="158" t="s">
        <v>149</v>
      </c>
      <c r="T665" s="158" t="s">
        <v>149</v>
      </c>
      <c r="U665" s="153" t="s">
        <v>1381</v>
      </c>
      <c r="V665" s="158" t="s">
        <v>6154</v>
      </c>
      <c r="W665" s="158" t="s">
        <v>206</v>
      </c>
      <c r="X665" s="158" t="s">
        <v>159</v>
      </c>
      <c r="Y665" s="158" t="s">
        <v>149</v>
      </c>
      <c r="Z665" s="158" t="s">
        <v>149</v>
      </c>
      <c r="AA665" s="158" t="s">
        <v>149</v>
      </c>
      <c r="AB665" s="153" t="s">
        <v>660</v>
      </c>
      <c r="AC665" s="153" t="s">
        <v>6035</v>
      </c>
      <c r="AD665" s="153" t="s">
        <v>369</v>
      </c>
      <c r="AE665" s="153"/>
      <c r="AF665" s="153"/>
      <c r="AG665" s="158" t="s">
        <v>395</v>
      </c>
      <c r="AH665" s="153" t="s">
        <v>6060</v>
      </c>
      <c r="AI665" s="158" t="s">
        <v>6711</v>
      </c>
      <c r="AJ665" s="153" t="s">
        <v>398</v>
      </c>
      <c r="AK665" s="153"/>
    </row>
    <row r="666">
      <c r="A666" s="152">
        <v>2023.0</v>
      </c>
      <c r="B666" s="151">
        <v>412.0</v>
      </c>
      <c r="C666" s="129" t="s">
        <v>140</v>
      </c>
      <c r="D666" s="8"/>
      <c r="E666" s="8" t="s">
        <v>8189</v>
      </c>
      <c r="F666" s="8" t="s">
        <v>8420</v>
      </c>
      <c r="G666" s="8">
        <f>IFERROR(__xludf.DUMMYFUNCTION("""COMPUTED_VALUE"""),186.0)</f>
        <v>186</v>
      </c>
      <c r="H666" s="8" t="s">
        <v>642</v>
      </c>
      <c r="I666" s="8" t="s">
        <v>643</v>
      </c>
      <c r="J666" s="8" t="s">
        <v>7691</v>
      </c>
      <c r="K666" s="8" t="s">
        <v>1308</v>
      </c>
      <c r="L666" s="8" t="s">
        <v>1309</v>
      </c>
      <c r="N666" s="142" t="s">
        <v>6030</v>
      </c>
      <c r="O666" s="142"/>
      <c r="P666" s="142"/>
      <c r="Q666" s="8" t="s">
        <v>6062</v>
      </c>
      <c r="R666" s="8" t="s">
        <v>320</v>
      </c>
      <c r="U666" s="8" t="s">
        <v>6907</v>
      </c>
      <c r="AB666" s="8" t="s">
        <v>390</v>
      </c>
      <c r="AD666" s="8" t="s">
        <v>1314</v>
      </c>
      <c r="AH666" s="8" t="s">
        <v>166</v>
      </c>
      <c r="AI666" s="172" t="s">
        <v>7688</v>
      </c>
    </row>
    <row r="667">
      <c r="A667" s="152">
        <v>2024.0</v>
      </c>
      <c r="B667" s="151">
        <v>224.0</v>
      </c>
      <c r="C667" s="153"/>
      <c r="D667" s="153"/>
      <c r="E667" s="153" t="s">
        <v>8189</v>
      </c>
      <c r="F667" s="153" t="s">
        <v>8421</v>
      </c>
      <c r="G667" s="153">
        <f>IFERROR(__xludf.DUMMYFUNCTION("""COMPUTED_VALUE"""),187.0)</f>
        <v>187</v>
      </c>
      <c r="H667" s="153" t="s">
        <v>535</v>
      </c>
      <c r="I667" s="153" t="s">
        <v>536</v>
      </c>
      <c r="J667" s="153" t="s">
        <v>6945</v>
      </c>
      <c r="K667" s="153" t="s">
        <v>538</v>
      </c>
      <c r="L667" s="153" t="s">
        <v>384</v>
      </c>
      <c r="M667" s="153" t="s">
        <v>6959</v>
      </c>
      <c r="N667" s="230">
        <v>1986.0</v>
      </c>
      <c r="O667" s="230">
        <v>1985.0</v>
      </c>
      <c r="P667" s="230">
        <v>1987.0</v>
      </c>
      <c r="Q667" s="153" t="s">
        <v>151</v>
      </c>
      <c r="R667" s="153" t="s">
        <v>6054</v>
      </c>
      <c r="S667" s="158" t="s">
        <v>6054</v>
      </c>
      <c r="T667" s="158" t="s">
        <v>149</v>
      </c>
      <c r="U667" s="153" t="s">
        <v>390</v>
      </c>
      <c r="V667" s="158" t="s">
        <v>160</v>
      </c>
      <c r="W667" s="158" t="s">
        <v>6035</v>
      </c>
      <c r="X667" s="158" t="s">
        <v>159</v>
      </c>
      <c r="Y667" s="158" t="s">
        <v>149</v>
      </c>
      <c r="Z667" s="158" t="s">
        <v>149</v>
      </c>
      <c r="AA667" s="153" t="s">
        <v>548</v>
      </c>
      <c r="AB667" s="153" t="s">
        <v>390</v>
      </c>
      <c r="AC667" s="153" t="s">
        <v>6035</v>
      </c>
      <c r="AD667" s="153" t="s">
        <v>6055</v>
      </c>
      <c r="AE667" s="153"/>
      <c r="AF667" s="153"/>
      <c r="AG667" s="158" t="s">
        <v>395</v>
      </c>
      <c r="AH667" s="153" t="s">
        <v>6060</v>
      </c>
      <c r="AI667" s="153" t="s">
        <v>2873</v>
      </c>
      <c r="AJ667" s="153" t="s">
        <v>398</v>
      </c>
      <c r="AK667" s="153"/>
    </row>
    <row r="668">
      <c r="A668" s="152">
        <v>2023.0</v>
      </c>
      <c r="B668" s="151">
        <v>413.0</v>
      </c>
      <c r="C668" s="129" t="s">
        <v>140</v>
      </c>
      <c r="D668" s="8"/>
      <c r="E668" s="8" t="s">
        <v>8189</v>
      </c>
      <c r="F668" s="8" t="s">
        <v>8422</v>
      </c>
      <c r="G668" s="8">
        <f>IFERROR(__xludf.DUMMYFUNCTION("""COMPUTED_VALUE"""),188.0)</f>
        <v>188</v>
      </c>
      <c r="H668" s="8" t="s">
        <v>642</v>
      </c>
      <c r="I668" s="8" t="s">
        <v>643</v>
      </c>
      <c r="J668" s="8" t="s">
        <v>644</v>
      </c>
      <c r="K668" s="277" t="s">
        <v>645</v>
      </c>
      <c r="L668" s="8" t="s">
        <v>384</v>
      </c>
      <c r="M668" s="8" t="s">
        <v>646</v>
      </c>
      <c r="N668" s="142" t="s">
        <v>6051</v>
      </c>
      <c r="O668" s="142" t="s">
        <v>6052</v>
      </c>
      <c r="P668" s="142" t="s">
        <v>6053</v>
      </c>
      <c r="Q668" s="8" t="s">
        <v>151</v>
      </c>
      <c r="R668" s="8" t="s">
        <v>6054</v>
      </c>
      <c r="U668" s="8" t="s">
        <v>390</v>
      </c>
      <c r="AB668" s="8" t="s">
        <v>390</v>
      </c>
      <c r="AD668" s="8" t="s">
        <v>6055</v>
      </c>
      <c r="AH668" s="8" t="s">
        <v>6057</v>
      </c>
      <c r="AI668" s="8" t="s">
        <v>2873</v>
      </c>
      <c r="AJ668" s="8" t="s">
        <v>398</v>
      </c>
    </row>
    <row r="669">
      <c r="A669" s="152">
        <v>2023.0</v>
      </c>
      <c r="B669" s="151">
        <v>414.0</v>
      </c>
      <c r="C669" s="129" t="s">
        <v>140</v>
      </c>
      <c r="D669" s="8"/>
      <c r="E669" s="8" t="s">
        <v>8189</v>
      </c>
      <c r="F669" s="8" t="s">
        <v>8423</v>
      </c>
      <c r="G669" s="8">
        <f>IFERROR(__xludf.DUMMYFUNCTION("""COMPUTED_VALUE"""),189.0)</f>
        <v>189</v>
      </c>
      <c r="H669" s="8" t="s">
        <v>642</v>
      </c>
      <c r="I669" s="8" t="s">
        <v>643</v>
      </c>
      <c r="J669" s="8" t="s">
        <v>644</v>
      </c>
      <c r="K669" s="8" t="s">
        <v>645</v>
      </c>
      <c r="L669" s="8" t="s">
        <v>1309</v>
      </c>
      <c r="N669" s="142" t="s">
        <v>6906</v>
      </c>
      <c r="O669" s="142"/>
      <c r="P669" s="142"/>
      <c r="Q669" s="8" t="s">
        <v>151</v>
      </c>
      <c r="U669" s="8" t="s">
        <v>6907</v>
      </c>
      <c r="AA669" s="8" t="s">
        <v>1353</v>
      </c>
      <c r="AB669" s="8" t="s">
        <v>390</v>
      </c>
      <c r="AH669" s="8" t="s">
        <v>6084</v>
      </c>
      <c r="AI669" s="8" t="s">
        <v>1331</v>
      </c>
    </row>
    <row r="670">
      <c r="A670" s="152">
        <v>2024.0</v>
      </c>
      <c r="B670" s="151">
        <v>225.0</v>
      </c>
      <c r="C670" s="153"/>
      <c r="D670" s="153"/>
      <c r="E670" s="153" t="s">
        <v>8189</v>
      </c>
      <c r="F670" s="153" t="s">
        <v>8424</v>
      </c>
      <c r="G670" s="153">
        <f>IFERROR(__xludf.DUMMYFUNCTION("""COMPUTED_VALUE"""),190.0)</f>
        <v>190</v>
      </c>
      <c r="H670" s="153" t="s">
        <v>535</v>
      </c>
      <c r="I670" s="153" t="s">
        <v>536</v>
      </c>
      <c r="J670" s="153" t="s">
        <v>6945</v>
      </c>
      <c r="K670" s="153" t="s">
        <v>538</v>
      </c>
      <c r="L670" s="153" t="s">
        <v>384</v>
      </c>
      <c r="M670" s="153" t="s">
        <v>6962</v>
      </c>
      <c r="N670" s="230">
        <v>1986.0</v>
      </c>
      <c r="O670" s="230">
        <v>1985.0</v>
      </c>
      <c r="P670" s="230">
        <v>1987.0</v>
      </c>
      <c r="Q670" s="153" t="s">
        <v>151</v>
      </c>
      <c r="R670" s="153" t="s">
        <v>6054</v>
      </c>
      <c r="S670" s="158" t="s">
        <v>6054</v>
      </c>
      <c r="T670" s="158" t="s">
        <v>149</v>
      </c>
      <c r="U670" s="153" t="s">
        <v>390</v>
      </c>
      <c r="V670" s="158" t="s">
        <v>160</v>
      </c>
      <c r="W670" s="158" t="s">
        <v>6035</v>
      </c>
      <c r="X670" s="158" t="s">
        <v>159</v>
      </c>
      <c r="Y670" s="158" t="s">
        <v>149</v>
      </c>
      <c r="Z670" s="158" t="s">
        <v>149</v>
      </c>
      <c r="AA670" s="153" t="s">
        <v>391</v>
      </c>
      <c r="AB670" s="153" t="s">
        <v>390</v>
      </c>
      <c r="AC670" s="153" t="s">
        <v>6035</v>
      </c>
      <c r="AD670" s="153" t="s">
        <v>6055</v>
      </c>
      <c r="AE670" s="153"/>
      <c r="AF670" s="153"/>
      <c r="AG670" s="158" t="s">
        <v>395</v>
      </c>
      <c r="AH670" s="153" t="s">
        <v>6060</v>
      </c>
      <c r="AI670" s="153" t="s">
        <v>2873</v>
      </c>
      <c r="AJ670" s="153" t="s">
        <v>398</v>
      </c>
      <c r="AK670" s="153"/>
    </row>
    <row r="671">
      <c r="A671" s="152">
        <v>2023.0</v>
      </c>
      <c r="B671" s="151">
        <v>415.0</v>
      </c>
      <c r="C671" s="129" t="s">
        <v>140</v>
      </c>
      <c r="D671" s="8"/>
      <c r="E671" s="8" t="s">
        <v>8189</v>
      </c>
      <c r="F671" s="8" t="s">
        <v>8425</v>
      </c>
      <c r="G671" s="8">
        <f>IFERROR(__xludf.DUMMYFUNCTION("""COMPUTED_VALUE"""),191.0)</f>
        <v>191</v>
      </c>
      <c r="H671" s="8" t="s">
        <v>642</v>
      </c>
      <c r="I671" s="8" t="s">
        <v>643</v>
      </c>
      <c r="J671" s="8" t="s">
        <v>1355</v>
      </c>
      <c r="K671" s="8" t="s">
        <v>1356</v>
      </c>
      <c r="L671" s="8" t="s">
        <v>1309</v>
      </c>
      <c r="M671" s="8" t="s">
        <v>7702</v>
      </c>
      <c r="N671" s="142" t="s">
        <v>6030</v>
      </c>
      <c r="O671" s="142"/>
      <c r="P671" s="142"/>
      <c r="Q671" s="8" t="s">
        <v>6062</v>
      </c>
      <c r="U671" s="8" t="s">
        <v>6907</v>
      </c>
      <c r="AB671" s="8" t="s">
        <v>390</v>
      </c>
      <c r="AD671" s="8" t="s">
        <v>1314</v>
      </c>
    </row>
    <row r="672">
      <c r="A672" s="152">
        <v>2025.0</v>
      </c>
      <c r="B672" s="151">
        <v>444.0</v>
      </c>
      <c r="C672" s="158" t="s">
        <v>8189</v>
      </c>
      <c r="D672" s="158"/>
      <c r="E672" s="158" t="s">
        <v>8301</v>
      </c>
      <c r="F672" s="158" t="s">
        <v>8426</v>
      </c>
      <c r="G672" s="158">
        <f>IFERROR(__xludf.DUMMYFUNCTION("""COMPUTED_VALUE"""),192.0)</f>
        <v>192</v>
      </c>
      <c r="H672" s="158" t="s">
        <v>642</v>
      </c>
      <c r="I672" s="158" t="s">
        <v>643</v>
      </c>
      <c r="J672" s="158" t="s">
        <v>7691</v>
      </c>
      <c r="K672" s="158" t="s">
        <v>1308</v>
      </c>
      <c r="L672" s="158" t="s">
        <v>1309</v>
      </c>
      <c r="M672" s="158" t="s">
        <v>1310</v>
      </c>
      <c r="N672" s="160" t="s">
        <v>6030</v>
      </c>
      <c r="O672" s="160" t="s">
        <v>149</v>
      </c>
      <c r="P672" s="160" t="s">
        <v>149</v>
      </c>
      <c r="Q672" s="158" t="s">
        <v>6062</v>
      </c>
      <c r="R672" s="158" t="s">
        <v>320</v>
      </c>
      <c r="S672" s="158" t="s">
        <v>179</v>
      </c>
      <c r="T672" s="158" t="s">
        <v>1311</v>
      </c>
      <c r="U672" s="158" t="s">
        <v>149</v>
      </c>
      <c r="V672" s="158" t="s">
        <v>149</v>
      </c>
      <c r="W672" s="158" t="s">
        <v>149</v>
      </c>
      <c r="X672" s="158" t="s">
        <v>159</v>
      </c>
      <c r="Y672" s="158" t="s">
        <v>149</v>
      </c>
      <c r="Z672" s="158" t="s">
        <v>149</v>
      </c>
      <c r="AA672" s="158" t="s">
        <v>149</v>
      </c>
      <c r="AB672" s="158" t="s">
        <v>1314</v>
      </c>
      <c r="AC672" s="158" t="s">
        <v>6035</v>
      </c>
      <c r="AD672" s="158" t="s">
        <v>7758</v>
      </c>
      <c r="AE672" s="158"/>
      <c r="AF672" s="158"/>
      <c r="AG672" s="158" t="s">
        <v>6038</v>
      </c>
      <c r="AH672" s="158" t="s">
        <v>1316</v>
      </c>
      <c r="AI672" s="172" t="s">
        <v>1317</v>
      </c>
      <c r="AJ672" s="158"/>
      <c r="AK672" s="158"/>
    </row>
    <row r="673">
      <c r="A673" s="152">
        <v>2024.0</v>
      </c>
      <c r="B673" s="151">
        <v>226.0</v>
      </c>
      <c r="C673" s="153"/>
      <c r="D673" s="153"/>
      <c r="E673" s="153" t="s">
        <v>8189</v>
      </c>
      <c r="F673" s="153" t="s">
        <v>8427</v>
      </c>
      <c r="G673" s="153">
        <f>IFERROR(__xludf.DUMMYFUNCTION("""COMPUTED_VALUE"""),193.0)</f>
        <v>193</v>
      </c>
      <c r="H673" s="153" t="s">
        <v>535</v>
      </c>
      <c r="I673" s="153" t="s">
        <v>536</v>
      </c>
      <c r="J673" s="153" t="s">
        <v>6945</v>
      </c>
      <c r="K673" s="153" t="s">
        <v>538</v>
      </c>
      <c r="L673" s="153" t="s">
        <v>384</v>
      </c>
      <c r="M673" s="153" t="s">
        <v>6965</v>
      </c>
      <c r="N673" s="230">
        <v>1986.0</v>
      </c>
      <c r="O673" s="230">
        <v>1985.0</v>
      </c>
      <c r="P673" s="230">
        <v>1987.0</v>
      </c>
      <c r="Q673" s="153" t="s">
        <v>151</v>
      </c>
      <c r="R673" s="153" t="s">
        <v>6054</v>
      </c>
      <c r="S673" s="158" t="s">
        <v>6054</v>
      </c>
      <c r="T673" s="158" t="s">
        <v>149</v>
      </c>
      <c r="U673" s="153" t="s">
        <v>390</v>
      </c>
      <c r="V673" s="158" t="s">
        <v>160</v>
      </c>
      <c r="W673" s="158" t="s">
        <v>6035</v>
      </c>
      <c r="X673" s="158" t="s">
        <v>159</v>
      </c>
      <c r="Y673" s="158" t="s">
        <v>149</v>
      </c>
      <c r="Z673" s="158" t="s">
        <v>149</v>
      </c>
      <c r="AA673" s="153" t="s">
        <v>548</v>
      </c>
      <c r="AB673" s="153" t="s">
        <v>390</v>
      </c>
      <c r="AC673" s="153" t="s">
        <v>6035</v>
      </c>
      <c r="AD673" s="153" t="s">
        <v>6055</v>
      </c>
      <c r="AE673" s="153"/>
      <c r="AF673" s="153"/>
      <c r="AG673" s="158" t="s">
        <v>395</v>
      </c>
      <c r="AH673" s="153" t="s">
        <v>6060</v>
      </c>
      <c r="AI673" s="153" t="s">
        <v>2873</v>
      </c>
      <c r="AJ673" s="153" t="s">
        <v>398</v>
      </c>
      <c r="AK673" s="153"/>
    </row>
    <row r="674">
      <c r="A674" s="152">
        <v>2025.0</v>
      </c>
      <c r="B674" s="151">
        <v>445.0</v>
      </c>
      <c r="C674" s="158" t="s">
        <v>8189</v>
      </c>
      <c r="D674" s="158"/>
      <c r="E674" s="158" t="s">
        <v>8301</v>
      </c>
      <c r="F674" s="158" t="s">
        <v>8428</v>
      </c>
      <c r="G674" s="158">
        <f>IFERROR(__xludf.DUMMYFUNCTION("""COMPUTED_VALUE"""),194.0)</f>
        <v>194</v>
      </c>
      <c r="H674" s="158" t="s">
        <v>642</v>
      </c>
      <c r="I674" s="158" t="s">
        <v>643</v>
      </c>
      <c r="J674" s="158" t="s">
        <v>7691</v>
      </c>
      <c r="K674" s="158" t="s">
        <v>1308</v>
      </c>
      <c r="L674" s="158" t="s">
        <v>1309</v>
      </c>
      <c r="M674" s="158" t="s">
        <v>1319</v>
      </c>
      <c r="N674" s="160" t="s">
        <v>6030</v>
      </c>
      <c r="O674" s="160" t="s">
        <v>149</v>
      </c>
      <c r="P674" s="160" t="s">
        <v>149</v>
      </c>
      <c r="Q674" s="158" t="s">
        <v>6062</v>
      </c>
      <c r="R674" s="158" t="s">
        <v>320</v>
      </c>
      <c r="S674" s="158" t="s">
        <v>179</v>
      </c>
      <c r="T674" s="158" t="s">
        <v>1311</v>
      </c>
      <c r="U674" s="158" t="s">
        <v>149</v>
      </c>
      <c r="V674" s="158" t="s">
        <v>149</v>
      </c>
      <c r="W674" s="158" t="s">
        <v>149</v>
      </c>
      <c r="X674" s="158" t="s">
        <v>159</v>
      </c>
      <c r="Y674" s="158" t="s">
        <v>149</v>
      </c>
      <c r="Z674" s="158" t="s">
        <v>149</v>
      </c>
      <c r="AA674" s="158" t="s">
        <v>149</v>
      </c>
      <c r="AB674" s="158" t="s">
        <v>1314</v>
      </c>
      <c r="AC674" s="158" t="s">
        <v>6035</v>
      </c>
      <c r="AD674" s="158" t="s">
        <v>7758</v>
      </c>
      <c r="AE674" s="158"/>
      <c r="AF674" s="158"/>
      <c r="AG674" s="158" t="s">
        <v>6038</v>
      </c>
      <c r="AH674" s="158" t="s">
        <v>1316</v>
      </c>
      <c r="AI674" s="177" t="s">
        <v>1317</v>
      </c>
      <c r="AJ674" s="158"/>
      <c r="AK674" s="158"/>
    </row>
    <row r="675">
      <c r="A675" s="152">
        <v>2025.0</v>
      </c>
      <c r="B675" s="151">
        <v>446.0</v>
      </c>
      <c r="C675" s="158" t="s">
        <v>8189</v>
      </c>
      <c r="D675" s="158"/>
      <c r="E675" s="158" t="s">
        <v>707</v>
      </c>
      <c r="F675" s="158" t="s">
        <v>8429</v>
      </c>
      <c r="G675" s="158">
        <f>IFERROR(__xludf.DUMMYFUNCTION("""COMPUTED_VALUE"""),195.0)</f>
        <v>195</v>
      </c>
      <c r="H675" s="158" t="s">
        <v>642</v>
      </c>
      <c r="I675" s="158" t="s">
        <v>643</v>
      </c>
      <c r="J675" s="158" t="s">
        <v>7691</v>
      </c>
      <c r="K675" s="158" t="s">
        <v>1308</v>
      </c>
      <c r="L675" s="158" t="s">
        <v>1309</v>
      </c>
      <c r="M675" s="158" t="s">
        <v>1321</v>
      </c>
      <c r="N675" s="160" t="s">
        <v>6030</v>
      </c>
      <c r="O675" s="160" t="s">
        <v>149</v>
      </c>
      <c r="P675" s="160" t="s">
        <v>149</v>
      </c>
      <c r="Q675" s="158" t="s">
        <v>6062</v>
      </c>
      <c r="R675" s="158" t="s">
        <v>320</v>
      </c>
      <c r="S675" s="158" t="s">
        <v>179</v>
      </c>
      <c r="T675" s="158" t="s">
        <v>1311</v>
      </c>
      <c r="U675" s="158" t="s">
        <v>149</v>
      </c>
      <c r="V675" s="158" t="s">
        <v>149</v>
      </c>
      <c r="W675" s="158" t="s">
        <v>149</v>
      </c>
      <c r="X675" s="158" t="s">
        <v>159</v>
      </c>
      <c r="Y675" s="158" t="s">
        <v>149</v>
      </c>
      <c r="Z675" s="158" t="s">
        <v>149</v>
      </c>
      <c r="AA675" s="158" t="s">
        <v>149</v>
      </c>
      <c r="AB675" s="158" t="s">
        <v>1314</v>
      </c>
      <c r="AC675" s="158" t="s">
        <v>6035</v>
      </c>
      <c r="AD675" s="158" t="s">
        <v>7758</v>
      </c>
      <c r="AE675" s="158"/>
      <c r="AF675" s="158"/>
      <c r="AG675" s="158" t="s">
        <v>6038</v>
      </c>
      <c r="AH675" s="158" t="s">
        <v>1316</v>
      </c>
      <c r="AI675" s="177" t="s">
        <v>1317</v>
      </c>
      <c r="AJ675" s="158"/>
      <c r="AK675" s="158"/>
    </row>
    <row r="676">
      <c r="A676" s="152">
        <v>2024.0</v>
      </c>
      <c r="B676" s="151">
        <v>227.0</v>
      </c>
      <c r="C676" s="153"/>
      <c r="D676" s="153"/>
      <c r="E676" s="153" t="s">
        <v>8189</v>
      </c>
      <c r="F676" s="153" t="s">
        <v>8430</v>
      </c>
      <c r="G676" s="153">
        <f>IFERROR(__xludf.DUMMYFUNCTION("""COMPUTED_VALUE"""),196.0)</f>
        <v>196</v>
      </c>
      <c r="H676" s="153" t="s">
        <v>535</v>
      </c>
      <c r="I676" s="153" t="s">
        <v>536</v>
      </c>
      <c r="J676" s="153" t="s">
        <v>554</v>
      </c>
      <c r="K676" s="153" t="s">
        <v>555</v>
      </c>
      <c r="L676" s="153" t="s">
        <v>384</v>
      </c>
      <c r="M676" s="153" t="s">
        <v>556</v>
      </c>
      <c r="N676" s="230">
        <v>1986.0</v>
      </c>
      <c r="O676" s="230">
        <v>1985.0</v>
      </c>
      <c r="P676" s="230">
        <v>1987.0</v>
      </c>
      <c r="Q676" s="153" t="s">
        <v>151</v>
      </c>
      <c r="R676" s="153" t="s">
        <v>6054</v>
      </c>
      <c r="S676" s="158" t="s">
        <v>6054</v>
      </c>
      <c r="T676" s="158" t="s">
        <v>149</v>
      </c>
      <c r="U676" s="153" t="s">
        <v>390</v>
      </c>
      <c r="V676" s="158" t="s">
        <v>160</v>
      </c>
      <c r="W676" s="158" t="s">
        <v>6035</v>
      </c>
      <c r="X676" s="158" t="s">
        <v>159</v>
      </c>
      <c r="Y676" s="158" t="s">
        <v>149</v>
      </c>
      <c r="Z676" s="158" t="s">
        <v>149</v>
      </c>
      <c r="AA676" s="153" t="s">
        <v>548</v>
      </c>
      <c r="AB676" s="153" t="s">
        <v>390</v>
      </c>
      <c r="AC676" s="153" t="s">
        <v>6035</v>
      </c>
      <c r="AD676" s="153" t="s">
        <v>6055</v>
      </c>
      <c r="AE676" s="153"/>
      <c r="AF676" s="153"/>
      <c r="AG676" s="158" t="s">
        <v>395</v>
      </c>
      <c r="AH676" s="153" t="s">
        <v>6060</v>
      </c>
      <c r="AI676" s="153" t="s">
        <v>2873</v>
      </c>
      <c r="AJ676" s="153" t="s">
        <v>398</v>
      </c>
      <c r="AK676" s="153"/>
    </row>
    <row r="677">
      <c r="A677" s="152">
        <v>2025.0</v>
      </c>
      <c r="B677" s="151">
        <v>447.0</v>
      </c>
      <c r="C677" s="158" t="s">
        <v>8189</v>
      </c>
      <c r="D677" s="158"/>
      <c r="E677" s="158" t="s">
        <v>8301</v>
      </c>
      <c r="F677" s="158" t="s">
        <v>8431</v>
      </c>
      <c r="G677" s="158">
        <f>IFERROR(__xludf.DUMMYFUNCTION("""COMPUTED_VALUE"""),197.0)</f>
        <v>197</v>
      </c>
      <c r="H677" s="158" t="s">
        <v>642</v>
      </c>
      <c r="I677" s="158" t="s">
        <v>643</v>
      </c>
      <c r="J677" s="158" t="s">
        <v>7691</v>
      </c>
      <c r="K677" s="158" t="s">
        <v>1308</v>
      </c>
      <c r="L677" s="158" t="s">
        <v>149</v>
      </c>
      <c r="M677" s="158" t="s">
        <v>2323</v>
      </c>
      <c r="N677" s="160" t="s">
        <v>16</v>
      </c>
      <c r="O677" s="160" t="s">
        <v>149</v>
      </c>
      <c r="P677" s="160" t="s">
        <v>149</v>
      </c>
      <c r="Q677" s="158" t="s">
        <v>6062</v>
      </c>
      <c r="R677" s="158" t="s">
        <v>7762</v>
      </c>
      <c r="S677" s="158" t="s">
        <v>179</v>
      </c>
      <c r="T677" s="158" t="s">
        <v>7763</v>
      </c>
      <c r="U677" s="158" t="s">
        <v>149</v>
      </c>
      <c r="V677" s="158" t="s">
        <v>149</v>
      </c>
      <c r="W677" s="158" t="s">
        <v>149</v>
      </c>
      <c r="X677" s="158" t="s">
        <v>159</v>
      </c>
      <c r="Y677" s="158" t="s">
        <v>149</v>
      </c>
      <c r="Z677" s="158" t="s">
        <v>149</v>
      </c>
      <c r="AA677" s="158" t="s">
        <v>149</v>
      </c>
      <c r="AB677" s="158" t="s">
        <v>1314</v>
      </c>
      <c r="AC677" s="158" t="s">
        <v>6035</v>
      </c>
      <c r="AD677" s="158" t="s">
        <v>7758</v>
      </c>
      <c r="AE677" s="158"/>
      <c r="AF677" s="158"/>
      <c r="AG677" s="158" t="s">
        <v>166</v>
      </c>
      <c r="AH677" s="158" t="s">
        <v>7764</v>
      </c>
      <c r="AI677" s="177" t="s">
        <v>2328</v>
      </c>
      <c r="AJ677" s="158"/>
      <c r="AK677" s="158"/>
    </row>
    <row r="678">
      <c r="A678" s="152">
        <v>2024.0</v>
      </c>
      <c r="B678" s="151">
        <v>228.0</v>
      </c>
      <c r="C678" s="153"/>
      <c r="D678" s="153"/>
      <c r="E678" s="153" t="s">
        <v>8189</v>
      </c>
      <c r="F678" s="153" t="s">
        <v>8432</v>
      </c>
      <c r="G678" s="153">
        <f>IFERROR(__xludf.DUMMYFUNCTION("""COMPUTED_VALUE"""),198.0)</f>
        <v>198</v>
      </c>
      <c r="H678" s="153" t="s">
        <v>314</v>
      </c>
      <c r="I678" s="153" t="s">
        <v>315</v>
      </c>
      <c r="J678" s="153" t="s">
        <v>3090</v>
      </c>
      <c r="K678" s="153" t="s">
        <v>3091</v>
      </c>
      <c r="L678" s="158" t="s">
        <v>149</v>
      </c>
      <c r="M678" s="153" t="s">
        <v>6972</v>
      </c>
      <c r="N678" s="230">
        <v>2017.0</v>
      </c>
      <c r="O678" s="192" t="s">
        <v>149</v>
      </c>
      <c r="P678" s="192" t="s">
        <v>149</v>
      </c>
      <c r="Q678" s="153" t="s">
        <v>151</v>
      </c>
      <c r="R678" s="158" t="s">
        <v>149</v>
      </c>
      <c r="S678" s="158" t="s">
        <v>149</v>
      </c>
      <c r="T678" s="158" t="s">
        <v>149</v>
      </c>
      <c r="U678" s="153" t="s">
        <v>158</v>
      </c>
      <c r="V678" s="158" t="s">
        <v>160</v>
      </c>
      <c r="W678" s="158" t="s">
        <v>6035</v>
      </c>
      <c r="X678" s="158" t="s">
        <v>159</v>
      </c>
      <c r="Y678" s="158" t="s">
        <v>149</v>
      </c>
      <c r="Z678" s="158" t="s">
        <v>149</v>
      </c>
      <c r="AA678" s="158" t="s">
        <v>149</v>
      </c>
      <c r="AB678" s="153" t="s">
        <v>158</v>
      </c>
      <c r="AC678" s="153" t="s">
        <v>6035</v>
      </c>
      <c r="AD678" s="153"/>
      <c r="AE678" s="153"/>
      <c r="AF678" s="153"/>
      <c r="AG678" s="158" t="s">
        <v>166</v>
      </c>
      <c r="AH678" s="153" t="s">
        <v>3092</v>
      </c>
      <c r="AI678" s="172" t="s">
        <v>3093</v>
      </c>
      <c r="AJ678" s="153"/>
      <c r="AK678" s="153"/>
    </row>
    <row r="679">
      <c r="A679" s="152">
        <v>2025.0</v>
      </c>
      <c r="B679" s="151">
        <v>448.0</v>
      </c>
      <c r="C679" s="153" t="s">
        <v>8189</v>
      </c>
      <c r="D679" s="153"/>
      <c r="E679" s="153" t="s">
        <v>8301</v>
      </c>
      <c r="F679" s="153" t="s">
        <v>8433</v>
      </c>
      <c r="G679" s="153">
        <f>IFERROR(__xludf.DUMMYFUNCTION("""COMPUTED_VALUE"""),199.0)</f>
        <v>199</v>
      </c>
      <c r="H679" s="153" t="s">
        <v>642</v>
      </c>
      <c r="I679" s="153" t="s">
        <v>643</v>
      </c>
      <c r="J679" s="153" t="s">
        <v>644</v>
      </c>
      <c r="K679" s="153" t="s">
        <v>645</v>
      </c>
      <c r="L679" s="153" t="s">
        <v>384</v>
      </c>
      <c r="M679" s="153" t="s">
        <v>646</v>
      </c>
      <c r="N679" s="175" t="s">
        <v>6051</v>
      </c>
      <c r="O679" s="175" t="s">
        <v>6052</v>
      </c>
      <c r="P679" s="175" t="s">
        <v>6053</v>
      </c>
      <c r="Q679" s="153" t="s">
        <v>151</v>
      </c>
      <c r="R679" s="153" t="s">
        <v>6054</v>
      </c>
      <c r="S679" s="158" t="s">
        <v>6054</v>
      </c>
      <c r="T679" s="158" t="s">
        <v>149</v>
      </c>
      <c r="U679" s="153" t="s">
        <v>390</v>
      </c>
      <c r="V679" s="158" t="s">
        <v>160</v>
      </c>
      <c r="W679" s="158" t="s">
        <v>6035</v>
      </c>
      <c r="X679" s="158" t="s">
        <v>159</v>
      </c>
      <c r="Y679" s="158" t="s">
        <v>149</v>
      </c>
      <c r="Z679" s="158" t="s">
        <v>149</v>
      </c>
      <c r="AA679" s="158" t="s">
        <v>149</v>
      </c>
      <c r="AB679" s="153" t="s">
        <v>390</v>
      </c>
      <c r="AC679" s="153" t="s">
        <v>6035</v>
      </c>
      <c r="AD679" s="153" t="s">
        <v>6055</v>
      </c>
      <c r="AE679" s="153"/>
      <c r="AF679" s="153"/>
      <c r="AG679" s="158" t="s">
        <v>395</v>
      </c>
      <c r="AH679" s="153" t="s">
        <v>6060</v>
      </c>
      <c r="AI679" s="172" t="s">
        <v>541</v>
      </c>
      <c r="AJ679" s="153" t="s">
        <v>398</v>
      </c>
      <c r="AK679" s="153"/>
    </row>
    <row r="680">
      <c r="A680" s="152">
        <v>2025.0</v>
      </c>
      <c r="B680" s="151">
        <v>449.0</v>
      </c>
      <c r="C680" s="153" t="s">
        <v>8189</v>
      </c>
      <c r="D680" s="153"/>
      <c r="E680" s="153" t="s">
        <v>8301</v>
      </c>
      <c r="F680" s="153" t="s">
        <v>8434</v>
      </c>
      <c r="G680" s="153">
        <f>IFERROR(__xludf.DUMMYFUNCTION("""COMPUTED_VALUE"""),200.0)</f>
        <v>200</v>
      </c>
      <c r="H680" s="153" t="s">
        <v>642</v>
      </c>
      <c r="I680" s="153" t="s">
        <v>643</v>
      </c>
      <c r="J680" s="153" t="s">
        <v>644</v>
      </c>
      <c r="K680" s="153" t="s">
        <v>645</v>
      </c>
      <c r="L680" s="153" t="s">
        <v>1309</v>
      </c>
      <c r="M680" s="153" t="s">
        <v>1352</v>
      </c>
      <c r="N680" s="175" t="s">
        <v>6906</v>
      </c>
      <c r="O680" s="160" t="s">
        <v>6064</v>
      </c>
      <c r="P680" s="160" t="s">
        <v>6906</v>
      </c>
      <c r="Q680" s="153" t="s">
        <v>151</v>
      </c>
      <c r="R680" s="158" t="s">
        <v>149</v>
      </c>
      <c r="S680" s="158" t="s">
        <v>149</v>
      </c>
      <c r="T680" s="158" t="s">
        <v>6910</v>
      </c>
      <c r="U680" s="158" t="s">
        <v>1327</v>
      </c>
      <c r="V680" s="158" t="s">
        <v>6154</v>
      </c>
      <c r="W680" s="158" t="s">
        <v>206</v>
      </c>
      <c r="X680" s="158" t="s">
        <v>159</v>
      </c>
      <c r="Y680" s="158" t="s">
        <v>149</v>
      </c>
      <c r="Z680" s="158" t="s">
        <v>149</v>
      </c>
      <c r="AA680" s="153" t="s">
        <v>1353</v>
      </c>
      <c r="AB680" s="153" t="s">
        <v>390</v>
      </c>
      <c r="AC680" s="153" t="s">
        <v>6035</v>
      </c>
      <c r="AD680" s="158" t="s">
        <v>369</v>
      </c>
      <c r="AE680" s="153"/>
      <c r="AF680" s="153"/>
      <c r="AG680" s="153" t="s">
        <v>6084</v>
      </c>
      <c r="AH680" s="153" t="s">
        <v>1330</v>
      </c>
      <c r="AI680" s="177" t="s">
        <v>1331</v>
      </c>
      <c r="AJ680" s="153"/>
      <c r="AK680" s="153"/>
    </row>
    <row r="681">
      <c r="A681" s="152">
        <v>2024.0</v>
      </c>
      <c r="B681" s="151">
        <v>229.0</v>
      </c>
      <c r="C681" s="153"/>
      <c r="D681" s="153"/>
      <c r="E681" s="153" t="s">
        <v>8189</v>
      </c>
      <c r="F681" s="153" t="s">
        <v>8435</v>
      </c>
      <c r="G681" s="153">
        <f>IFERROR(__xludf.DUMMYFUNCTION("""COMPUTED_VALUE"""),201.0)</f>
        <v>201</v>
      </c>
      <c r="H681" s="153" t="s">
        <v>314</v>
      </c>
      <c r="I681" s="153" t="s">
        <v>315</v>
      </c>
      <c r="J681" s="153" t="s">
        <v>747</v>
      </c>
      <c r="K681" s="153" t="s">
        <v>748</v>
      </c>
      <c r="L681" s="153" t="s">
        <v>6742</v>
      </c>
      <c r="M681" s="153"/>
      <c r="N681" s="230">
        <v>2013.0</v>
      </c>
      <c r="O681" s="192" t="s">
        <v>149</v>
      </c>
      <c r="P681" s="192" t="s">
        <v>149</v>
      </c>
      <c r="Q681" s="153" t="s">
        <v>151</v>
      </c>
      <c r="R681" s="158" t="s">
        <v>790</v>
      </c>
      <c r="S681" s="158" t="s">
        <v>790</v>
      </c>
      <c r="T681" s="153" t="s">
        <v>8436</v>
      </c>
      <c r="U681" s="158" t="s">
        <v>1612</v>
      </c>
      <c r="V681" s="158" t="s">
        <v>160</v>
      </c>
      <c r="W681" s="158" t="s">
        <v>6035</v>
      </c>
      <c r="X681" s="158" t="s">
        <v>159</v>
      </c>
      <c r="Y681" s="158" t="s">
        <v>149</v>
      </c>
      <c r="Z681" s="158" t="s">
        <v>149</v>
      </c>
      <c r="AA681" s="158" t="s">
        <v>149</v>
      </c>
      <c r="AB681" s="158" t="s">
        <v>1613</v>
      </c>
      <c r="AC681" s="158" t="s">
        <v>662</v>
      </c>
      <c r="AD681" s="153" t="s">
        <v>1594</v>
      </c>
      <c r="AE681" s="153"/>
      <c r="AF681" s="153"/>
      <c r="AG681" s="153" t="s">
        <v>6976</v>
      </c>
      <c r="AH681" s="153" t="s">
        <v>1608</v>
      </c>
      <c r="AI681" s="165" t="s">
        <v>1614</v>
      </c>
      <c r="AJ681" s="153"/>
      <c r="AK681" s="153"/>
    </row>
    <row r="682">
      <c r="A682" s="152">
        <v>2025.0</v>
      </c>
      <c r="B682" s="151">
        <v>450.0</v>
      </c>
      <c r="C682" s="158" t="s">
        <v>8189</v>
      </c>
      <c r="D682" s="158"/>
      <c r="E682" s="158" t="s">
        <v>8301</v>
      </c>
      <c r="F682" s="158" t="s">
        <v>8437</v>
      </c>
      <c r="G682" s="158">
        <f>IFERROR(__xludf.DUMMYFUNCTION("""COMPUTED_VALUE"""),202.0)</f>
        <v>202</v>
      </c>
      <c r="H682" s="158" t="s">
        <v>642</v>
      </c>
      <c r="I682" s="158" t="s">
        <v>643</v>
      </c>
      <c r="J682" s="158" t="s">
        <v>1355</v>
      </c>
      <c r="K682" s="158" t="s">
        <v>1356</v>
      </c>
      <c r="L682" s="158" t="s">
        <v>1309</v>
      </c>
      <c r="M682" s="158" t="s">
        <v>1357</v>
      </c>
      <c r="N682" s="160" t="s">
        <v>6906</v>
      </c>
      <c r="O682" s="160" t="s">
        <v>6064</v>
      </c>
      <c r="P682" s="160" t="s">
        <v>6906</v>
      </c>
      <c r="Q682" s="158" t="s">
        <v>6062</v>
      </c>
      <c r="R682" s="158" t="s">
        <v>320</v>
      </c>
      <c r="S682" s="158" t="s">
        <v>179</v>
      </c>
      <c r="T682" s="158" t="s">
        <v>149</v>
      </c>
      <c r="U682" s="158" t="s">
        <v>1327</v>
      </c>
      <c r="V682" s="158" t="s">
        <v>6154</v>
      </c>
      <c r="W682" s="158" t="s">
        <v>206</v>
      </c>
      <c r="X682" s="158" t="s">
        <v>159</v>
      </c>
      <c r="Y682" s="158" t="s">
        <v>149</v>
      </c>
      <c r="Z682" s="158" t="s">
        <v>149</v>
      </c>
      <c r="AA682" s="158" t="s">
        <v>1360</v>
      </c>
      <c r="AB682" s="158" t="s">
        <v>390</v>
      </c>
      <c r="AC682" s="158" t="s">
        <v>6035</v>
      </c>
      <c r="AD682" s="158"/>
      <c r="AE682" s="158"/>
      <c r="AF682" s="158"/>
      <c r="AG682" s="158" t="s">
        <v>6084</v>
      </c>
      <c r="AH682" s="158" t="s">
        <v>1330</v>
      </c>
      <c r="AI682" s="172" t="s">
        <v>1331</v>
      </c>
      <c r="AJ682" s="158"/>
      <c r="AK682" s="158"/>
    </row>
    <row r="683">
      <c r="A683" s="152">
        <v>2023.0</v>
      </c>
      <c r="B683" s="151">
        <v>421.0</v>
      </c>
      <c r="C683" s="129" t="s">
        <v>140</v>
      </c>
      <c r="D683" s="8"/>
      <c r="E683" s="8" t="s">
        <v>8189</v>
      </c>
      <c r="F683" s="8" t="s">
        <v>8438</v>
      </c>
      <c r="G683" s="8">
        <f>IFERROR(__xludf.DUMMYFUNCTION("""COMPUTED_VALUE"""),203.0)</f>
        <v>203</v>
      </c>
      <c r="H683" s="8" t="s">
        <v>619</v>
      </c>
      <c r="I683" s="8" t="s">
        <v>7673</v>
      </c>
      <c r="J683" s="8" t="s">
        <v>7673</v>
      </c>
      <c r="K683" s="277" t="s">
        <v>7674</v>
      </c>
      <c r="L683" s="8" t="s">
        <v>384</v>
      </c>
      <c r="M683" s="8" t="s">
        <v>7725</v>
      </c>
      <c r="N683" s="278" t="s">
        <v>6169</v>
      </c>
      <c r="O683" s="142" t="s">
        <v>6052</v>
      </c>
      <c r="P683" s="142" t="s">
        <v>6053</v>
      </c>
      <c r="Q683" s="8" t="s">
        <v>151</v>
      </c>
      <c r="R683" s="8" t="s">
        <v>6054</v>
      </c>
      <c r="U683" s="8" t="s">
        <v>390</v>
      </c>
      <c r="AA683" s="8" t="s">
        <v>2885</v>
      </c>
      <c r="AB683" s="8" t="s">
        <v>390</v>
      </c>
      <c r="AD683" s="8" t="s">
        <v>6055</v>
      </c>
      <c r="AH683" s="8" t="s">
        <v>6057</v>
      </c>
      <c r="AI683" s="8" t="s">
        <v>2873</v>
      </c>
      <c r="AJ683" s="8" t="s">
        <v>398</v>
      </c>
      <c r="AL683" s="8" t="s">
        <v>6109</v>
      </c>
    </row>
    <row r="684">
      <c r="A684" s="152">
        <v>2024.0</v>
      </c>
      <c r="B684" s="151">
        <v>230.0</v>
      </c>
      <c r="C684" s="153"/>
      <c r="D684" s="153"/>
      <c r="E684" s="153" t="s">
        <v>8189</v>
      </c>
      <c r="F684" s="153" t="s">
        <v>8439</v>
      </c>
      <c r="G684" s="153">
        <f>IFERROR(__xludf.DUMMYFUNCTION("""COMPUTED_VALUE"""),204.0)</f>
        <v>204</v>
      </c>
      <c r="H684" s="153" t="s">
        <v>314</v>
      </c>
      <c r="I684" s="153" t="s">
        <v>315</v>
      </c>
      <c r="J684" s="153" t="s">
        <v>747</v>
      </c>
      <c r="K684" s="153" t="s">
        <v>748</v>
      </c>
      <c r="L684" s="158" t="s">
        <v>149</v>
      </c>
      <c r="M684" s="153" t="s">
        <v>6972</v>
      </c>
      <c r="N684" s="230">
        <v>2017.0</v>
      </c>
      <c r="O684" s="158" t="s">
        <v>149</v>
      </c>
      <c r="P684" s="192" t="s">
        <v>149</v>
      </c>
      <c r="Q684" s="153" t="s">
        <v>151</v>
      </c>
      <c r="R684" s="158" t="s">
        <v>149</v>
      </c>
      <c r="S684" s="158" t="s">
        <v>149</v>
      </c>
      <c r="T684" s="158" t="s">
        <v>149</v>
      </c>
      <c r="U684" s="153" t="s">
        <v>158</v>
      </c>
      <c r="V684" s="158" t="s">
        <v>160</v>
      </c>
      <c r="W684" s="158" t="s">
        <v>6035</v>
      </c>
      <c r="X684" s="158" t="s">
        <v>159</v>
      </c>
      <c r="Y684" s="158" t="s">
        <v>149</v>
      </c>
      <c r="Z684" s="158" t="s">
        <v>149</v>
      </c>
      <c r="AA684" s="158" t="s">
        <v>149</v>
      </c>
      <c r="AB684" s="153" t="s">
        <v>158</v>
      </c>
      <c r="AC684" s="153" t="s">
        <v>6035</v>
      </c>
      <c r="AD684" s="153"/>
      <c r="AE684" s="153"/>
      <c r="AF684" s="153"/>
      <c r="AG684" s="158" t="s">
        <v>166</v>
      </c>
      <c r="AH684" s="153" t="s">
        <v>3092</v>
      </c>
      <c r="AI684" s="165" t="s">
        <v>3093</v>
      </c>
      <c r="AJ684" s="153"/>
      <c r="AK684" s="153"/>
    </row>
    <row r="685">
      <c r="A685" s="152">
        <v>2023.0</v>
      </c>
      <c r="B685" s="151">
        <v>422.0</v>
      </c>
      <c r="C685" s="129" t="s">
        <v>140</v>
      </c>
      <c r="D685" s="8"/>
      <c r="E685" s="8" t="s">
        <v>8189</v>
      </c>
      <c r="F685" s="8" t="s">
        <v>8440</v>
      </c>
      <c r="G685" s="8">
        <f>IFERROR(__xludf.DUMMYFUNCTION("""COMPUTED_VALUE"""),205.0)</f>
        <v>205</v>
      </c>
      <c r="H685" s="8" t="s">
        <v>619</v>
      </c>
      <c r="I685" s="8" t="s">
        <v>7673</v>
      </c>
      <c r="J685" s="8" t="s">
        <v>7673</v>
      </c>
      <c r="K685" s="277" t="s">
        <v>7674</v>
      </c>
      <c r="L685" s="8" t="s">
        <v>384</v>
      </c>
      <c r="M685" s="8" t="s">
        <v>8441</v>
      </c>
      <c r="N685" s="142" t="s">
        <v>6052</v>
      </c>
      <c r="O685" s="142" t="s">
        <v>6052</v>
      </c>
      <c r="P685" s="142" t="s">
        <v>6053</v>
      </c>
      <c r="Q685" s="8" t="s">
        <v>151</v>
      </c>
      <c r="R685" s="8" t="s">
        <v>6054</v>
      </c>
      <c r="U685" s="8" t="s">
        <v>390</v>
      </c>
      <c r="AA685" s="8" t="s">
        <v>414</v>
      </c>
      <c r="AB685" s="8" t="s">
        <v>390</v>
      </c>
      <c r="AD685" s="8" t="s">
        <v>6055</v>
      </c>
      <c r="AH685" s="8" t="s">
        <v>6057</v>
      </c>
      <c r="AI685" s="8" t="s">
        <v>2873</v>
      </c>
      <c r="AJ685" s="8" t="s">
        <v>398</v>
      </c>
    </row>
    <row r="686">
      <c r="A686" s="152">
        <v>2024.0</v>
      </c>
      <c r="B686" s="151">
        <v>231.0</v>
      </c>
      <c r="C686" s="153"/>
      <c r="D686" s="153"/>
      <c r="E686" s="153" t="s">
        <v>8189</v>
      </c>
      <c r="F686" s="153" t="s">
        <v>8442</v>
      </c>
      <c r="G686" s="153">
        <f>IFERROR(__xludf.DUMMYFUNCTION("""COMPUTED_VALUE"""),206.0)</f>
        <v>206</v>
      </c>
      <c r="H686" s="153" t="s">
        <v>314</v>
      </c>
      <c r="I686" s="153" t="s">
        <v>315</v>
      </c>
      <c r="J686" s="153" t="s">
        <v>747</v>
      </c>
      <c r="K686" s="153" t="s">
        <v>748</v>
      </c>
      <c r="L686" s="153" t="s">
        <v>749</v>
      </c>
      <c r="M686" s="153"/>
      <c r="N686" s="230">
        <v>2022.0</v>
      </c>
      <c r="O686" s="230">
        <v>2022.0</v>
      </c>
      <c r="P686" s="230">
        <v>2025.0</v>
      </c>
      <c r="Q686" s="153" t="s">
        <v>151</v>
      </c>
      <c r="R686" s="158" t="s">
        <v>149</v>
      </c>
      <c r="S686" s="158" t="s">
        <v>149</v>
      </c>
      <c r="T686" s="153" t="s">
        <v>752</v>
      </c>
      <c r="U686" s="153" t="s">
        <v>369</v>
      </c>
      <c r="V686" s="158" t="s">
        <v>160</v>
      </c>
      <c r="W686" s="158" t="s">
        <v>6035</v>
      </c>
      <c r="X686" s="158" t="s">
        <v>159</v>
      </c>
      <c r="Y686" s="158" t="s">
        <v>149</v>
      </c>
      <c r="Z686" s="158" t="s">
        <v>149</v>
      </c>
      <c r="AA686" s="158" t="s">
        <v>149</v>
      </c>
      <c r="AB686" s="153" t="s">
        <v>369</v>
      </c>
      <c r="AC686" s="153" t="s">
        <v>6035</v>
      </c>
      <c r="AD686" s="153"/>
      <c r="AE686" s="153"/>
      <c r="AF686" s="153"/>
      <c r="AG686" s="153" t="s">
        <v>213</v>
      </c>
      <c r="AH686" s="153" t="s">
        <v>213</v>
      </c>
      <c r="AI686" s="153"/>
      <c r="AJ686" s="153" t="s">
        <v>753</v>
      </c>
      <c r="AK686" s="153" t="s">
        <v>754</v>
      </c>
    </row>
    <row r="687">
      <c r="A687" s="152">
        <v>2025.0</v>
      </c>
      <c r="B687" s="151">
        <v>169.0</v>
      </c>
      <c r="C687" s="153" t="s">
        <v>8189</v>
      </c>
      <c r="D687" s="153"/>
      <c r="E687" s="153" t="s">
        <v>8301</v>
      </c>
      <c r="F687" s="153" t="s">
        <v>6767</v>
      </c>
      <c r="G687" s="153">
        <f>IFERROR(__xludf.DUMMYFUNCTION("""COMPUTED_VALUE"""),207.0)</f>
        <v>207</v>
      </c>
      <c r="H687" s="153" t="s">
        <v>522</v>
      </c>
      <c r="I687" s="153" t="s">
        <v>802</v>
      </c>
      <c r="J687" s="153" t="s">
        <v>1172</v>
      </c>
      <c r="K687" s="153" t="s">
        <v>1173</v>
      </c>
      <c r="L687" s="158" t="s">
        <v>149</v>
      </c>
      <c r="M687" s="158" t="s">
        <v>1175</v>
      </c>
      <c r="N687" s="175" t="s">
        <v>6030</v>
      </c>
      <c r="O687" s="160" t="s">
        <v>149</v>
      </c>
      <c r="P687" s="160" t="s">
        <v>149</v>
      </c>
      <c r="Q687" s="153" t="s">
        <v>6062</v>
      </c>
      <c r="R687" s="158" t="s">
        <v>1201</v>
      </c>
      <c r="S687" s="158" t="s">
        <v>1201</v>
      </c>
      <c r="T687" s="158" t="s">
        <v>6768</v>
      </c>
      <c r="U687" s="158" t="s">
        <v>1180</v>
      </c>
      <c r="V687" s="158" t="s">
        <v>160</v>
      </c>
      <c r="W687" s="158" t="s">
        <v>6035</v>
      </c>
      <c r="X687" s="158" t="s">
        <v>159</v>
      </c>
      <c r="Y687" s="158" t="s">
        <v>149</v>
      </c>
      <c r="Z687" s="158" t="s">
        <v>149</v>
      </c>
      <c r="AA687" s="158" t="s">
        <v>1181</v>
      </c>
      <c r="AB687" s="158" t="s">
        <v>1180</v>
      </c>
      <c r="AC687" s="153" t="s">
        <v>6035</v>
      </c>
      <c r="AD687" s="153" t="s">
        <v>1182</v>
      </c>
      <c r="AE687" s="153"/>
      <c r="AF687" s="153"/>
      <c r="AG687" s="158" t="s">
        <v>166</v>
      </c>
      <c r="AH687" s="153" t="s">
        <v>1184</v>
      </c>
      <c r="AI687" s="172" t="s">
        <v>1185</v>
      </c>
      <c r="AJ687" s="153"/>
      <c r="AK687" s="153"/>
    </row>
    <row r="688">
      <c r="A688" s="152">
        <v>2025.0</v>
      </c>
      <c r="B688" s="151">
        <v>170.0</v>
      </c>
      <c r="C688" s="153" t="s">
        <v>8189</v>
      </c>
      <c r="D688" s="153"/>
      <c r="E688" s="153" t="s">
        <v>707</v>
      </c>
      <c r="F688" s="153" t="s">
        <v>6770</v>
      </c>
      <c r="G688" s="153">
        <f>IFERROR(__xludf.DUMMYFUNCTION("""COMPUTED_VALUE"""),208.0)</f>
        <v>208</v>
      </c>
      <c r="H688" s="153" t="s">
        <v>522</v>
      </c>
      <c r="I688" s="153" t="s">
        <v>802</v>
      </c>
      <c r="J688" s="153" t="s">
        <v>6771</v>
      </c>
      <c r="K688" s="153" t="s">
        <v>803</v>
      </c>
      <c r="L688" s="153" t="s">
        <v>2107</v>
      </c>
      <c r="M688" s="158" t="s">
        <v>6772</v>
      </c>
      <c r="N688" s="160" t="s">
        <v>149</v>
      </c>
      <c r="O688" s="160" t="s">
        <v>149</v>
      </c>
      <c r="P688" s="160" t="s">
        <v>149</v>
      </c>
      <c r="Q688" s="153" t="s">
        <v>151</v>
      </c>
      <c r="R688" s="153" t="s">
        <v>152</v>
      </c>
      <c r="S688" s="158" t="s">
        <v>152</v>
      </c>
      <c r="T688" s="153" t="s">
        <v>6506</v>
      </c>
      <c r="U688" s="158" t="s">
        <v>2111</v>
      </c>
      <c r="V688" s="158" t="s">
        <v>6154</v>
      </c>
      <c r="W688" s="158" t="s">
        <v>206</v>
      </c>
      <c r="X688" s="158" t="s">
        <v>159</v>
      </c>
      <c r="Y688" s="158" t="s">
        <v>149</v>
      </c>
      <c r="Z688" s="158" t="s">
        <v>149</v>
      </c>
      <c r="AA688" s="158" t="s">
        <v>149</v>
      </c>
      <c r="AB688" s="153" t="s">
        <v>2111</v>
      </c>
      <c r="AC688" s="158" t="s">
        <v>206</v>
      </c>
      <c r="AD688" s="153" t="s">
        <v>660</v>
      </c>
      <c r="AE688" s="153" t="s">
        <v>2112</v>
      </c>
      <c r="AF688" s="153"/>
      <c r="AG688" s="158" t="s">
        <v>395</v>
      </c>
      <c r="AH688" s="153" t="s">
        <v>6060</v>
      </c>
      <c r="AI688" s="158" t="s">
        <v>6711</v>
      </c>
      <c r="AJ688" s="153" t="s">
        <v>398</v>
      </c>
      <c r="AK688" s="153"/>
    </row>
    <row r="689">
      <c r="A689" s="152">
        <v>2024.0</v>
      </c>
      <c r="B689" s="151">
        <v>232.0</v>
      </c>
      <c r="C689" s="153"/>
      <c r="D689" s="153"/>
      <c r="E689" s="153" t="s">
        <v>8189</v>
      </c>
      <c r="F689" s="153" t="s">
        <v>8443</v>
      </c>
      <c r="G689" s="153">
        <f>IFERROR(__xludf.DUMMYFUNCTION("""COMPUTED_VALUE"""),209.0)</f>
        <v>209</v>
      </c>
      <c r="H689" s="153" t="s">
        <v>314</v>
      </c>
      <c r="I689" s="153" t="s">
        <v>315</v>
      </c>
      <c r="J689" s="153" t="s">
        <v>3096</v>
      </c>
      <c r="K689" s="153" t="s">
        <v>3097</v>
      </c>
      <c r="L689" s="158" t="s">
        <v>149</v>
      </c>
      <c r="M689" s="153" t="s">
        <v>6985</v>
      </c>
      <c r="N689" s="158" t="s">
        <v>149</v>
      </c>
      <c r="O689" s="158" t="s">
        <v>149</v>
      </c>
      <c r="P689" s="192" t="s">
        <v>149</v>
      </c>
      <c r="Q689" s="153" t="s">
        <v>151</v>
      </c>
      <c r="R689" s="153" t="s">
        <v>6054</v>
      </c>
      <c r="S689" s="158" t="s">
        <v>6054</v>
      </c>
      <c r="T689" s="158" t="s">
        <v>149</v>
      </c>
      <c r="U689" s="158" t="s">
        <v>149</v>
      </c>
      <c r="V689" s="158" t="s">
        <v>149</v>
      </c>
      <c r="W689" s="158" t="s">
        <v>149</v>
      </c>
      <c r="X689" s="158" t="s">
        <v>149</v>
      </c>
      <c r="Y689" s="158" t="s">
        <v>149</v>
      </c>
      <c r="Z689" s="158" t="s">
        <v>149</v>
      </c>
      <c r="AA689" s="158" t="s">
        <v>149</v>
      </c>
      <c r="AB689" s="158" t="s">
        <v>149</v>
      </c>
      <c r="AC689" s="158" t="s">
        <v>149</v>
      </c>
      <c r="AD689" s="153"/>
      <c r="AE689" s="153"/>
      <c r="AF689" s="153"/>
      <c r="AG689" s="158" t="s">
        <v>1159</v>
      </c>
      <c r="AH689" s="153" t="s">
        <v>3098</v>
      </c>
      <c r="AI689" s="172" t="s">
        <v>3099</v>
      </c>
      <c r="AJ689" s="153"/>
      <c r="AK689" s="153"/>
    </row>
    <row r="690">
      <c r="A690" s="152">
        <v>2025.0</v>
      </c>
      <c r="B690" s="151">
        <v>171.0</v>
      </c>
      <c r="C690" s="153" t="s">
        <v>8189</v>
      </c>
      <c r="D690" s="153"/>
      <c r="E690" s="153" t="s">
        <v>8301</v>
      </c>
      <c r="F690" s="153" t="s">
        <v>6774</v>
      </c>
      <c r="G690" s="153">
        <f>IFERROR(__xludf.DUMMYFUNCTION("""COMPUTED_VALUE"""),210.0)</f>
        <v>210</v>
      </c>
      <c r="H690" s="153" t="s">
        <v>522</v>
      </c>
      <c r="I690" s="153" t="s">
        <v>802</v>
      </c>
      <c r="J690" s="153" t="s">
        <v>6771</v>
      </c>
      <c r="K690" s="153" t="s">
        <v>803</v>
      </c>
      <c r="L690" s="153" t="s">
        <v>804</v>
      </c>
      <c r="M690" s="158" t="s">
        <v>6775</v>
      </c>
      <c r="N690" s="160" t="s">
        <v>149</v>
      </c>
      <c r="O690" s="175" t="s">
        <v>6776</v>
      </c>
      <c r="P690" s="175" t="s">
        <v>6199</v>
      </c>
      <c r="Q690" s="153" t="s">
        <v>151</v>
      </c>
      <c r="R690" s="153" t="s">
        <v>6779</v>
      </c>
      <c r="S690" s="158" t="s">
        <v>6779</v>
      </c>
      <c r="T690" s="158" t="s">
        <v>810</v>
      </c>
      <c r="U690" s="158" t="s">
        <v>149</v>
      </c>
      <c r="V690" s="158" t="s">
        <v>149</v>
      </c>
      <c r="W690" s="158" t="s">
        <v>149</v>
      </c>
      <c r="X690" s="158" t="s">
        <v>149</v>
      </c>
      <c r="Y690" s="158" t="s">
        <v>149</v>
      </c>
      <c r="Z690" s="158" t="s">
        <v>149</v>
      </c>
      <c r="AA690" s="153" t="s">
        <v>6780</v>
      </c>
      <c r="AB690" s="153" t="s">
        <v>341</v>
      </c>
      <c r="AC690" s="153" t="s">
        <v>6035</v>
      </c>
      <c r="AD690" s="153"/>
      <c r="AE690" s="153"/>
      <c r="AF690" s="153"/>
      <c r="AG690" s="158" t="s">
        <v>395</v>
      </c>
      <c r="AH690" s="153" t="s">
        <v>6060</v>
      </c>
      <c r="AI690" s="158" t="s">
        <v>6711</v>
      </c>
      <c r="AJ690" s="153" t="s">
        <v>398</v>
      </c>
      <c r="AK690" s="153"/>
    </row>
    <row r="691">
      <c r="A691" s="152">
        <v>2025.0</v>
      </c>
      <c r="B691" s="151">
        <v>172.0</v>
      </c>
      <c r="C691" s="153" t="s">
        <v>8189</v>
      </c>
      <c r="D691" s="153"/>
      <c r="E691" s="153" t="s">
        <v>8301</v>
      </c>
      <c r="F691" s="153" t="s">
        <v>6782</v>
      </c>
      <c r="G691" s="153">
        <f>IFERROR(__xludf.DUMMYFUNCTION("""COMPUTED_VALUE"""),211.0)</f>
        <v>211</v>
      </c>
      <c r="H691" s="153" t="s">
        <v>522</v>
      </c>
      <c r="I691" s="153" t="s">
        <v>802</v>
      </c>
      <c r="J691" s="153" t="s">
        <v>1187</v>
      </c>
      <c r="K691" s="153" t="s">
        <v>1188</v>
      </c>
      <c r="L691" s="158" t="s">
        <v>149</v>
      </c>
      <c r="M691" s="158" t="s">
        <v>1189</v>
      </c>
      <c r="N691" s="175" t="s">
        <v>6030</v>
      </c>
      <c r="O691" s="160" t="s">
        <v>149</v>
      </c>
      <c r="P691" s="160" t="s">
        <v>149</v>
      </c>
      <c r="Q691" s="153" t="s">
        <v>6062</v>
      </c>
      <c r="R691" s="158" t="s">
        <v>1201</v>
      </c>
      <c r="S691" s="158" t="s">
        <v>1201</v>
      </c>
      <c r="T691" s="158" t="s">
        <v>6768</v>
      </c>
      <c r="U691" s="158" t="s">
        <v>1180</v>
      </c>
      <c r="V691" s="158" t="s">
        <v>160</v>
      </c>
      <c r="W691" s="158" t="s">
        <v>6035</v>
      </c>
      <c r="X691" s="158" t="s">
        <v>159</v>
      </c>
      <c r="Y691" s="158" t="s">
        <v>149</v>
      </c>
      <c r="Z691" s="158" t="s">
        <v>149</v>
      </c>
      <c r="AA691" s="158" t="s">
        <v>1181</v>
      </c>
      <c r="AB691" s="158" t="s">
        <v>1180</v>
      </c>
      <c r="AC691" s="153" t="s">
        <v>6035</v>
      </c>
      <c r="AD691" s="153" t="s">
        <v>1182</v>
      </c>
      <c r="AE691" s="153"/>
      <c r="AF691" s="153"/>
      <c r="AG691" s="158" t="s">
        <v>166</v>
      </c>
      <c r="AH691" s="153" t="s">
        <v>1184</v>
      </c>
      <c r="AI691" s="153" t="s">
        <v>1185</v>
      </c>
      <c r="AJ691" s="153"/>
      <c r="AK691" s="153"/>
    </row>
    <row r="692">
      <c r="A692" s="152">
        <v>2024.0</v>
      </c>
      <c r="B692" s="151">
        <v>233.0</v>
      </c>
      <c r="C692" s="153"/>
      <c r="D692" s="153"/>
      <c r="E692" s="153" t="s">
        <v>8189</v>
      </c>
      <c r="F692" s="153" t="s">
        <v>8444</v>
      </c>
      <c r="G692" s="153">
        <f>IFERROR(__xludf.DUMMYFUNCTION("""COMPUTED_VALUE"""),212.0)</f>
        <v>212</v>
      </c>
      <c r="H692" s="153" t="s">
        <v>314</v>
      </c>
      <c r="I692" s="153" t="s">
        <v>315</v>
      </c>
      <c r="J692" s="153" t="s">
        <v>316</v>
      </c>
      <c r="K692" s="153" t="s">
        <v>317</v>
      </c>
      <c r="L692" s="158" t="s">
        <v>149</v>
      </c>
      <c r="M692" s="153" t="s">
        <v>6990</v>
      </c>
      <c r="N692" s="230">
        <v>2003.0</v>
      </c>
      <c r="O692" s="158" t="s">
        <v>149</v>
      </c>
      <c r="P692" s="192" t="s">
        <v>149</v>
      </c>
      <c r="Q692" s="153" t="s">
        <v>151</v>
      </c>
      <c r="R692" s="153" t="s">
        <v>790</v>
      </c>
      <c r="S692" s="153" t="s">
        <v>790</v>
      </c>
      <c r="T692" s="158" t="s">
        <v>149</v>
      </c>
      <c r="U692" s="158" t="s">
        <v>149</v>
      </c>
      <c r="V692" s="158" t="s">
        <v>149</v>
      </c>
      <c r="W692" s="158" t="s">
        <v>149</v>
      </c>
      <c r="X692" s="158" t="s">
        <v>149</v>
      </c>
      <c r="Y692" s="158" t="s">
        <v>149</v>
      </c>
      <c r="Z692" s="158" t="s">
        <v>149</v>
      </c>
      <c r="AA692" s="158" t="s">
        <v>149</v>
      </c>
      <c r="AB692" s="158" t="s">
        <v>149</v>
      </c>
      <c r="AC692" s="158" t="s">
        <v>149</v>
      </c>
      <c r="AD692" s="153"/>
      <c r="AE692" s="153"/>
      <c r="AF692" s="153"/>
      <c r="AG692" s="158" t="s">
        <v>1159</v>
      </c>
      <c r="AH692" s="153" t="s">
        <v>3098</v>
      </c>
      <c r="AI692" s="165" t="s">
        <v>3099</v>
      </c>
      <c r="AJ692" s="153"/>
      <c r="AK692" s="153"/>
    </row>
    <row r="693">
      <c r="A693" s="152">
        <v>2023.0</v>
      </c>
      <c r="B693" s="151">
        <v>175.0</v>
      </c>
      <c r="C693" s="129" t="s">
        <v>140</v>
      </c>
      <c r="D693" s="8"/>
      <c r="E693" s="8" t="s">
        <v>8189</v>
      </c>
      <c r="F693" s="8" t="s">
        <v>6792</v>
      </c>
      <c r="G693" s="8">
        <f>IFERROR(__xludf.DUMMYFUNCTION("""COMPUTED_VALUE"""),213.0)</f>
        <v>213</v>
      </c>
      <c r="H693" s="8" t="s">
        <v>522</v>
      </c>
      <c r="I693" s="8" t="s">
        <v>802</v>
      </c>
      <c r="J693" s="8" t="s">
        <v>1172</v>
      </c>
      <c r="K693" s="153" t="s">
        <v>1173</v>
      </c>
      <c r="L693" s="8" t="s">
        <v>6113</v>
      </c>
      <c r="N693" s="142" t="s">
        <v>6030</v>
      </c>
      <c r="O693" s="142"/>
      <c r="P693" s="142"/>
      <c r="Q693" s="8" t="s">
        <v>6062</v>
      </c>
      <c r="R693" s="8" t="s">
        <v>320</v>
      </c>
      <c r="AB693" s="8" t="s">
        <v>369</v>
      </c>
      <c r="AD693" s="8" t="s">
        <v>6793</v>
      </c>
      <c r="AH693" s="8" t="s">
        <v>166</v>
      </c>
      <c r="AI693" s="8" t="s">
        <v>1185</v>
      </c>
    </row>
    <row r="694">
      <c r="A694" s="152">
        <v>2023.0</v>
      </c>
      <c r="B694" s="151">
        <v>176.0</v>
      </c>
      <c r="C694" s="129" t="s">
        <v>140</v>
      </c>
      <c r="D694" s="8"/>
      <c r="E694" s="8" t="s">
        <v>8189</v>
      </c>
      <c r="F694" s="8" t="s">
        <v>6802</v>
      </c>
      <c r="G694" s="8">
        <f>IFERROR(__xludf.DUMMYFUNCTION("""COMPUTED_VALUE"""),214.0)</f>
        <v>214</v>
      </c>
      <c r="H694" s="8" t="s">
        <v>522</v>
      </c>
      <c r="I694" s="8" t="s">
        <v>802</v>
      </c>
      <c r="J694" s="8" t="s">
        <v>1187</v>
      </c>
      <c r="K694" s="153" t="s">
        <v>1188</v>
      </c>
      <c r="L694" s="8" t="s">
        <v>6113</v>
      </c>
      <c r="N694" s="142" t="s">
        <v>6030</v>
      </c>
      <c r="O694" s="142"/>
      <c r="P694" s="142"/>
      <c r="Q694" s="8" t="s">
        <v>6062</v>
      </c>
      <c r="R694" s="8" t="s">
        <v>320</v>
      </c>
      <c r="AB694" s="8" t="s">
        <v>369</v>
      </c>
      <c r="AD694" s="8" t="s">
        <v>6793</v>
      </c>
      <c r="AH694" s="8" t="s">
        <v>166</v>
      </c>
      <c r="AI694" s="8" t="s">
        <v>1185</v>
      </c>
    </row>
    <row r="695">
      <c r="A695" s="152">
        <v>2024.0</v>
      </c>
      <c r="B695" s="151">
        <v>234.0</v>
      </c>
      <c r="C695" s="153"/>
      <c r="D695" s="153"/>
      <c r="E695" s="153" t="s">
        <v>8189</v>
      </c>
      <c r="F695" s="153" t="s">
        <v>8445</v>
      </c>
      <c r="G695" s="153">
        <f>IFERROR(__xludf.DUMMYFUNCTION("""COMPUTED_VALUE"""),215.0)</f>
        <v>215</v>
      </c>
      <c r="H695" s="153" t="s">
        <v>314</v>
      </c>
      <c r="I695" s="153" t="s">
        <v>315</v>
      </c>
      <c r="J695" s="153" t="s">
        <v>316</v>
      </c>
      <c r="K695" s="153" t="s">
        <v>317</v>
      </c>
      <c r="L695" s="153" t="s">
        <v>1080</v>
      </c>
      <c r="M695" s="153"/>
      <c r="N695" s="230">
        <v>2022.0</v>
      </c>
      <c r="O695" s="192" t="s">
        <v>149</v>
      </c>
      <c r="P695" s="192" t="s">
        <v>149</v>
      </c>
      <c r="Q695" s="153" t="s">
        <v>6062</v>
      </c>
      <c r="R695" s="153" t="s">
        <v>730</v>
      </c>
      <c r="S695" s="153" t="s">
        <v>179</v>
      </c>
      <c r="T695" s="153" t="s">
        <v>6978</v>
      </c>
      <c r="U695" s="153" t="s">
        <v>1084</v>
      </c>
      <c r="V695" s="158" t="s">
        <v>160</v>
      </c>
      <c r="W695" s="158" t="s">
        <v>184</v>
      </c>
      <c r="X695" s="158" t="s">
        <v>159</v>
      </c>
      <c r="Y695" s="158" t="s">
        <v>149</v>
      </c>
      <c r="Z695" s="158" t="s">
        <v>149</v>
      </c>
      <c r="AA695" s="158" t="s">
        <v>149</v>
      </c>
      <c r="AB695" s="153" t="s">
        <v>739</v>
      </c>
      <c r="AC695" s="158" t="s">
        <v>306</v>
      </c>
      <c r="AD695" s="153" t="s">
        <v>369</v>
      </c>
      <c r="AE695" s="153" t="s">
        <v>1085</v>
      </c>
      <c r="AF695" s="153"/>
      <c r="AG695" s="158" t="s">
        <v>166</v>
      </c>
      <c r="AH695" s="153" t="s">
        <v>1086</v>
      </c>
      <c r="AI695" s="165" t="s">
        <v>6979</v>
      </c>
      <c r="AJ695" s="153"/>
      <c r="AK695" s="153"/>
    </row>
    <row r="696">
      <c r="A696" s="152">
        <v>2023.0</v>
      </c>
      <c r="B696" s="151">
        <v>177.0</v>
      </c>
      <c r="C696" s="129" t="s">
        <v>140</v>
      </c>
      <c r="D696" s="8"/>
      <c r="E696" s="8" t="s">
        <v>8189</v>
      </c>
      <c r="F696" s="8" t="s">
        <v>8446</v>
      </c>
      <c r="G696" s="8">
        <f>IFERROR(__xludf.DUMMYFUNCTION("""COMPUTED_VALUE"""),216.0)</f>
        <v>216</v>
      </c>
      <c r="H696" s="8" t="s">
        <v>522</v>
      </c>
      <c r="I696" s="8" t="s">
        <v>802</v>
      </c>
      <c r="J696" s="8" t="s">
        <v>6771</v>
      </c>
      <c r="K696" s="153" t="s">
        <v>803</v>
      </c>
      <c r="L696" s="8" t="s">
        <v>2107</v>
      </c>
      <c r="N696" s="142" t="s">
        <v>6113</v>
      </c>
      <c r="O696" s="142"/>
      <c r="P696" s="142"/>
      <c r="Q696" s="8" t="s">
        <v>151</v>
      </c>
      <c r="R696" s="8" t="s">
        <v>152</v>
      </c>
      <c r="T696" s="8" t="s">
        <v>6506</v>
      </c>
      <c r="AB696" s="8" t="s">
        <v>2111</v>
      </c>
      <c r="AD696" s="8" t="s">
        <v>660</v>
      </c>
      <c r="AE696" s="8" t="s">
        <v>2112</v>
      </c>
      <c r="AH696" s="8" t="s">
        <v>395</v>
      </c>
      <c r="AI696" s="8" t="s">
        <v>2873</v>
      </c>
      <c r="AJ696" s="8" t="s">
        <v>398</v>
      </c>
    </row>
    <row r="697">
      <c r="A697" s="152">
        <v>2023.0</v>
      </c>
      <c r="B697" s="151">
        <v>178.0</v>
      </c>
      <c r="C697" s="129" t="s">
        <v>140</v>
      </c>
      <c r="D697" s="8"/>
      <c r="E697" s="8" t="s">
        <v>8189</v>
      </c>
      <c r="F697" s="8" t="s">
        <v>8447</v>
      </c>
      <c r="G697" s="8">
        <f>IFERROR(__xludf.DUMMYFUNCTION("""COMPUTED_VALUE"""),217.0)</f>
        <v>217</v>
      </c>
      <c r="H697" s="8" t="s">
        <v>522</v>
      </c>
      <c r="I697" s="8" t="s">
        <v>802</v>
      </c>
      <c r="J697" s="8" t="s">
        <v>6771</v>
      </c>
      <c r="K697" s="153" t="s">
        <v>803</v>
      </c>
      <c r="L697" s="8" t="s">
        <v>804</v>
      </c>
      <c r="M697" s="8" t="s">
        <v>6808</v>
      </c>
      <c r="N697" s="142"/>
      <c r="O697" s="142" t="s">
        <v>6776</v>
      </c>
      <c r="P697" s="142" t="s">
        <v>6199</v>
      </c>
      <c r="Q697" s="8" t="s">
        <v>151</v>
      </c>
      <c r="R697" s="8" t="s">
        <v>6779</v>
      </c>
      <c r="T697" s="8" t="s">
        <v>6809</v>
      </c>
      <c r="U697" s="8" t="s">
        <v>6810</v>
      </c>
      <c r="AA697" s="8" t="s">
        <v>6780</v>
      </c>
      <c r="AB697" s="8" t="s">
        <v>341</v>
      </c>
      <c r="AH697" s="8" t="s">
        <v>395</v>
      </c>
      <c r="AI697" s="8" t="s">
        <v>2873</v>
      </c>
      <c r="AJ697" s="8" t="s">
        <v>398</v>
      </c>
    </row>
    <row r="698">
      <c r="A698" s="152">
        <v>2024.0</v>
      </c>
      <c r="B698" s="151">
        <v>235.0</v>
      </c>
      <c r="C698" s="153"/>
      <c r="D698" s="153"/>
      <c r="E698" s="153" t="s">
        <v>8189</v>
      </c>
      <c r="F698" s="153" t="s">
        <v>8448</v>
      </c>
      <c r="G698" s="153">
        <f>IFERROR(__xludf.DUMMYFUNCTION("""COMPUTED_VALUE"""),218.0)</f>
        <v>218</v>
      </c>
      <c r="H698" s="153" t="s">
        <v>314</v>
      </c>
      <c r="I698" s="153" t="s">
        <v>315</v>
      </c>
      <c r="J698" s="153" t="s">
        <v>316</v>
      </c>
      <c r="K698" s="153" t="s">
        <v>317</v>
      </c>
      <c r="L698" s="153" t="s">
        <v>736</v>
      </c>
      <c r="M698" s="153" t="s">
        <v>6997</v>
      </c>
      <c r="N698" s="230">
        <v>2010.0</v>
      </c>
      <c r="O698" s="192" t="s">
        <v>149</v>
      </c>
      <c r="P698" s="192" t="s">
        <v>149</v>
      </c>
      <c r="Q698" s="153" t="s">
        <v>6062</v>
      </c>
      <c r="R698" s="153" t="s">
        <v>730</v>
      </c>
      <c r="S698" s="153" t="s">
        <v>179</v>
      </c>
      <c r="T698" s="158" t="s">
        <v>149</v>
      </c>
      <c r="U698" s="153" t="s">
        <v>738</v>
      </c>
      <c r="V698" s="158" t="s">
        <v>160</v>
      </c>
      <c r="W698" s="158" t="s">
        <v>184</v>
      </c>
      <c r="X698" s="158" t="s">
        <v>159</v>
      </c>
      <c r="Y698" s="158" t="s">
        <v>149</v>
      </c>
      <c r="Z698" s="158" t="s">
        <v>149</v>
      </c>
      <c r="AA698" s="158" t="s">
        <v>149</v>
      </c>
      <c r="AB698" s="153" t="s">
        <v>739</v>
      </c>
      <c r="AC698" s="158" t="s">
        <v>306</v>
      </c>
      <c r="AD698" s="153" t="s">
        <v>369</v>
      </c>
      <c r="AE698" s="153" t="s">
        <v>738</v>
      </c>
      <c r="AF698" s="153"/>
      <c r="AG698" s="158" t="s">
        <v>166</v>
      </c>
      <c r="AH698" s="153" t="s">
        <v>6998</v>
      </c>
      <c r="AI698" s="165" t="s">
        <v>741</v>
      </c>
      <c r="AJ698" s="153"/>
      <c r="AK698" s="153"/>
    </row>
    <row r="699">
      <c r="A699" s="152">
        <v>2023.0</v>
      </c>
      <c r="B699" s="151">
        <v>206.0</v>
      </c>
      <c r="C699" s="129" t="s">
        <v>140</v>
      </c>
      <c r="D699" s="8"/>
      <c r="E699" s="8" t="s">
        <v>8189</v>
      </c>
      <c r="F699" s="8" t="s">
        <v>6923</v>
      </c>
      <c r="G699" s="8">
        <f>IFERROR(__xludf.DUMMYFUNCTION("""COMPUTED_VALUE"""),219.0)</f>
        <v>219</v>
      </c>
      <c r="H699" s="8" t="s">
        <v>535</v>
      </c>
      <c r="I699" s="8" t="s">
        <v>1191</v>
      </c>
      <c r="J699" s="8" t="s">
        <v>1816</v>
      </c>
      <c r="K699" s="153" t="s">
        <v>1817</v>
      </c>
      <c r="L699" s="8" t="s">
        <v>1818</v>
      </c>
      <c r="N699" s="142" t="s">
        <v>6152</v>
      </c>
      <c r="O699" s="142" t="s">
        <v>6152</v>
      </c>
      <c r="P699" s="142"/>
      <c r="Q699" s="8" t="s">
        <v>151</v>
      </c>
      <c r="R699" s="8" t="s">
        <v>337</v>
      </c>
      <c r="T699" s="8" t="s">
        <v>1819</v>
      </c>
      <c r="U699" s="8" t="s">
        <v>1820</v>
      </c>
      <c r="Z699" s="8" t="s">
        <v>6924</v>
      </c>
      <c r="AA699" s="188" t="s">
        <v>1822</v>
      </c>
      <c r="AB699" s="8" t="s">
        <v>6925</v>
      </c>
      <c r="AH699" s="8" t="s">
        <v>166</v>
      </c>
      <c r="AI699" s="8" t="s">
        <v>1826</v>
      </c>
    </row>
    <row r="700">
      <c r="A700" s="152">
        <v>2023.0</v>
      </c>
      <c r="B700" s="151">
        <v>207.0</v>
      </c>
      <c r="C700" s="129" t="s">
        <v>140</v>
      </c>
      <c r="D700" s="8"/>
      <c r="E700" s="8" t="s">
        <v>8189</v>
      </c>
      <c r="F700" s="8" t="s">
        <v>6927</v>
      </c>
      <c r="G700" s="8">
        <f>IFERROR(__xludf.DUMMYFUNCTION("""COMPUTED_VALUE"""),220.0)</f>
        <v>220</v>
      </c>
      <c r="H700" s="8" t="s">
        <v>535</v>
      </c>
      <c r="I700" s="8" t="s">
        <v>1191</v>
      </c>
      <c r="J700" s="8" t="s">
        <v>4636</v>
      </c>
      <c r="K700" s="153" t="s">
        <v>4637</v>
      </c>
      <c r="L700" s="8" t="s">
        <v>6928</v>
      </c>
      <c r="N700" s="142" t="s">
        <v>6113</v>
      </c>
      <c r="O700" s="142"/>
      <c r="P700" s="142"/>
      <c r="Q700" s="8" t="s">
        <v>151</v>
      </c>
      <c r="U700" s="8" t="s">
        <v>6929</v>
      </c>
      <c r="AA700" s="188"/>
      <c r="AB700" s="8" t="s">
        <v>6113</v>
      </c>
      <c r="AH700" s="8" t="s">
        <v>6257</v>
      </c>
      <c r="AI700" s="172" t="s">
        <v>6930</v>
      </c>
    </row>
    <row r="701">
      <c r="A701" s="152">
        <v>2024.0</v>
      </c>
      <c r="B701" s="151">
        <v>236.0</v>
      </c>
      <c r="C701" s="153"/>
      <c r="D701" s="153"/>
      <c r="E701" s="153" t="s">
        <v>8189</v>
      </c>
      <c r="F701" s="153" t="s">
        <v>8449</v>
      </c>
      <c r="G701" s="153">
        <f>IFERROR(__xludf.DUMMYFUNCTION("""COMPUTED_VALUE"""),221.0)</f>
        <v>221</v>
      </c>
      <c r="H701" s="153" t="s">
        <v>314</v>
      </c>
      <c r="I701" s="153" t="s">
        <v>315</v>
      </c>
      <c r="J701" s="153" t="s">
        <v>316</v>
      </c>
      <c r="K701" s="153" t="s">
        <v>317</v>
      </c>
      <c r="L701" s="153" t="s">
        <v>736</v>
      </c>
      <c r="M701" s="153" t="s">
        <v>7001</v>
      </c>
      <c r="N701" s="230">
        <v>2011.0</v>
      </c>
      <c r="O701" s="192" t="s">
        <v>149</v>
      </c>
      <c r="P701" s="192" t="s">
        <v>149</v>
      </c>
      <c r="Q701" s="153" t="s">
        <v>151</v>
      </c>
      <c r="R701" s="158" t="s">
        <v>149</v>
      </c>
      <c r="S701" s="158" t="s">
        <v>149</v>
      </c>
      <c r="T701" s="158" t="s">
        <v>149</v>
      </c>
      <c r="U701" s="153" t="s">
        <v>745</v>
      </c>
      <c r="V701" s="158" t="s">
        <v>160</v>
      </c>
      <c r="W701" s="158" t="s">
        <v>184</v>
      </c>
      <c r="X701" s="158" t="s">
        <v>159</v>
      </c>
      <c r="Y701" s="158" t="s">
        <v>149</v>
      </c>
      <c r="Z701" s="158" t="s">
        <v>149</v>
      </c>
      <c r="AA701" s="158" t="s">
        <v>149</v>
      </c>
      <c r="AB701" s="153" t="s">
        <v>739</v>
      </c>
      <c r="AC701" s="158" t="s">
        <v>306</v>
      </c>
      <c r="AD701" s="153" t="s">
        <v>369</v>
      </c>
      <c r="AE701" s="153"/>
      <c r="AF701" s="153"/>
      <c r="AG701" s="158" t="s">
        <v>166</v>
      </c>
      <c r="AH701" s="153" t="s">
        <v>6998</v>
      </c>
      <c r="AI701" s="165" t="s">
        <v>741</v>
      </c>
      <c r="AJ701" s="153"/>
      <c r="AK701" s="153"/>
    </row>
    <row r="702">
      <c r="A702" s="152">
        <v>2023.0</v>
      </c>
      <c r="B702" s="151">
        <v>208.0</v>
      </c>
      <c r="C702" s="129" t="s">
        <v>140</v>
      </c>
      <c r="D702" s="8"/>
      <c r="E702" s="8" t="s">
        <v>8189</v>
      </c>
      <c r="F702" s="8" t="s">
        <v>8450</v>
      </c>
      <c r="G702" s="8">
        <f>IFERROR(__xludf.DUMMYFUNCTION("""COMPUTED_VALUE"""),222.0)</f>
        <v>222</v>
      </c>
      <c r="H702" s="8" t="s">
        <v>535</v>
      </c>
      <c r="I702" s="8" t="s">
        <v>1191</v>
      </c>
      <c r="J702" s="8" t="s">
        <v>6933</v>
      </c>
      <c r="K702" s="153" t="s">
        <v>2829</v>
      </c>
      <c r="L702" s="8" t="s">
        <v>6113</v>
      </c>
      <c r="N702" s="142" t="s">
        <v>6113</v>
      </c>
      <c r="O702" s="142"/>
      <c r="P702" s="142"/>
      <c r="Q702" s="8" t="s">
        <v>6062</v>
      </c>
      <c r="R702" s="8" t="s">
        <v>2830</v>
      </c>
      <c r="AH702" s="8" t="s">
        <v>1159</v>
      </c>
      <c r="AI702" s="172" t="s">
        <v>1161</v>
      </c>
      <c r="AJ702" s="8" t="s">
        <v>2834</v>
      </c>
    </row>
    <row r="703">
      <c r="A703" s="152">
        <v>2025.0</v>
      </c>
      <c r="B703" s="151">
        <v>208.0</v>
      </c>
      <c r="C703" s="153" t="s">
        <v>8189</v>
      </c>
      <c r="D703" s="153"/>
      <c r="E703" s="153" t="s">
        <v>8301</v>
      </c>
      <c r="F703" s="153" t="s">
        <v>6931</v>
      </c>
      <c r="G703" s="153">
        <f>IFERROR(__xludf.DUMMYFUNCTION("""COMPUTED_VALUE"""),223.0)</f>
        <v>223</v>
      </c>
      <c r="H703" s="153" t="s">
        <v>535</v>
      </c>
      <c r="I703" s="153" t="s">
        <v>1191</v>
      </c>
      <c r="J703" s="153" t="s">
        <v>1816</v>
      </c>
      <c r="K703" s="153" t="s">
        <v>1817</v>
      </c>
      <c r="L703" s="153" t="s">
        <v>1818</v>
      </c>
      <c r="M703" s="153"/>
      <c r="N703" s="175" t="s">
        <v>6152</v>
      </c>
      <c r="O703" s="175" t="s">
        <v>6152</v>
      </c>
      <c r="P703" s="175" t="s">
        <v>149</v>
      </c>
      <c r="Q703" s="153" t="s">
        <v>151</v>
      </c>
      <c r="R703" s="153" t="s">
        <v>337</v>
      </c>
      <c r="S703" s="158" t="s">
        <v>337</v>
      </c>
      <c r="T703" s="153" t="s">
        <v>1819</v>
      </c>
      <c r="U703" s="153" t="s">
        <v>1820</v>
      </c>
      <c r="V703" s="158" t="s">
        <v>160</v>
      </c>
      <c r="W703" s="158" t="s">
        <v>184</v>
      </c>
      <c r="X703" s="158" t="s">
        <v>159</v>
      </c>
      <c r="Y703" s="158" t="s">
        <v>149</v>
      </c>
      <c r="Z703" s="153" t="s">
        <v>6924</v>
      </c>
      <c r="AA703" s="188" t="s">
        <v>1822</v>
      </c>
      <c r="AB703" s="153" t="s">
        <v>1823</v>
      </c>
      <c r="AC703" s="158" t="s">
        <v>184</v>
      </c>
      <c r="AD703" s="153"/>
      <c r="AE703" s="158" t="s">
        <v>1824</v>
      </c>
      <c r="AF703" s="153"/>
      <c r="AG703" s="158" t="s">
        <v>166</v>
      </c>
      <c r="AH703" s="153" t="s">
        <v>1825</v>
      </c>
      <c r="AI703" s="153" t="s">
        <v>1826</v>
      </c>
      <c r="AJ703" s="153"/>
      <c r="AK703" s="153"/>
    </row>
    <row r="704">
      <c r="A704" s="152">
        <v>2024.0</v>
      </c>
      <c r="B704" s="151">
        <v>237.0</v>
      </c>
      <c r="C704" s="153"/>
      <c r="D704" s="153"/>
      <c r="E704" s="153" t="s">
        <v>8189</v>
      </c>
      <c r="F704" s="153" t="s">
        <v>8451</v>
      </c>
      <c r="G704" s="153">
        <f>IFERROR(__xludf.DUMMYFUNCTION("""COMPUTED_VALUE"""),224.0)</f>
        <v>224</v>
      </c>
      <c r="H704" s="153" t="s">
        <v>314</v>
      </c>
      <c r="I704" s="153" t="s">
        <v>315</v>
      </c>
      <c r="J704" s="153" t="s">
        <v>316</v>
      </c>
      <c r="K704" s="153" t="s">
        <v>317</v>
      </c>
      <c r="L704" s="158" t="s">
        <v>149</v>
      </c>
      <c r="M704" s="153" t="s">
        <v>6987</v>
      </c>
      <c r="N704" s="192" t="s">
        <v>149</v>
      </c>
      <c r="O704" s="192" t="s">
        <v>149</v>
      </c>
      <c r="P704" s="192" t="s">
        <v>149</v>
      </c>
      <c r="Q704" s="153" t="s">
        <v>151</v>
      </c>
      <c r="R704" s="158" t="s">
        <v>337</v>
      </c>
      <c r="S704" s="153" t="s">
        <v>337</v>
      </c>
      <c r="T704" s="158" t="s">
        <v>149</v>
      </c>
      <c r="U704" s="153" t="s">
        <v>3103</v>
      </c>
      <c r="V704" s="158" t="s">
        <v>160</v>
      </c>
      <c r="W704" s="158" t="s">
        <v>271</v>
      </c>
      <c r="X704" s="158" t="s">
        <v>159</v>
      </c>
      <c r="Y704" s="158" t="s">
        <v>149</v>
      </c>
      <c r="Z704" s="158" t="s">
        <v>149</v>
      </c>
      <c r="AA704" s="153" t="s">
        <v>3104</v>
      </c>
      <c r="AB704" s="153" t="s">
        <v>3103</v>
      </c>
      <c r="AC704" s="153" t="s">
        <v>271</v>
      </c>
      <c r="AD704" s="153"/>
      <c r="AE704" s="153"/>
      <c r="AF704" s="153"/>
      <c r="AG704" s="153" t="s">
        <v>7003</v>
      </c>
      <c r="AH704" s="153" t="s">
        <v>3105</v>
      </c>
      <c r="AI704" s="165" t="s">
        <v>3106</v>
      </c>
      <c r="AJ704" s="153"/>
      <c r="AK704" s="153"/>
    </row>
    <row r="705">
      <c r="A705" s="152">
        <v>2023.0</v>
      </c>
      <c r="B705" s="209">
        <v>209.0</v>
      </c>
      <c r="C705" s="291" t="s">
        <v>140</v>
      </c>
      <c r="D705" s="208"/>
      <c r="E705" s="208" t="s">
        <v>8189</v>
      </c>
      <c r="F705" s="208" t="s">
        <v>6936</v>
      </c>
      <c r="G705" s="208">
        <f>IFERROR(__xludf.DUMMYFUNCTION("""COMPUTED_VALUE"""),225.0)</f>
        <v>225</v>
      </c>
      <c r="H705" s="208" t="s">
        <v>535</v>
      </c>
      <c r="I705" s="208" t="s">
        <v>1191</v>
      </c>
      <c r="J705" s="208" t="s">
        <v>1987</v>
      </c>
      <c r="K705" s="281" t="s">
        <v>1988</v>
      </c>
      <c r="L705" s="208" t="s">
        <v>384</v>
      </c>
      <c r="M705" s="208" t="s">
        <v>2872</v>
      </c>
      <c r="N705" s="292" t="s">
        <v>6352</v>
      </c>
      <c r="O705" s="174" t="s">
        <v>6052</v>
      </c>
      <c r="P705" s="174" t="s">
        <v>6053</v>
      </c>
      <c r="Q705" s="208" t="s">
        <v>151</v>
      </c>
      <c r="R705" s="208" t="s">
        <v>469</v>
      </c>
      <c r="S705" s="208"/>
      <c r="T705" s="208"/>
      <c r="U705" s="208" t="s">
        <v>390</v>
      </c>
      <c r="V705" s="208"/>
      <c r="W705" s="208"/>
      <c r="X705" s="208"/>
      <c r="Y705" s="208"/>
      <c r="Z705" s="208"/>
      <c r="AA705" s="208" t="s">
        <v>2870</v>
      </c>
      <c r="AB705" s="208" t="s">
        <v>390</v>
      </c>
      <c r="AC705" s="208"/>
      <c r="AD705" s="208" t="s">
        <v>6055</v>
      </c>
      <c r="AE705" s="208"/>
      <c r="AF705" s="208"/>
      <c r="AG705" s="208"/>
      <c r="AH705" s="208" t="s">
        <v>6057</v>
      </c>
      <c r="AI705" s="208" t="s">
        <v>2873</v>
      </c>
      <c r="AJ705" s="208" t="s">
        <v>398</v>
      </c>
      <c r="AK705" s="208"/>
      <c r="AL705" s="8" t="s">
        <v>6109</v>
      </c>
    </row>
    <row r="706">
      <c r="A706" s="152">
        <v>2025.0</v>
      </c>
      <c r="B706" s="151">
        <v>209.0</v>
      </c>
      <c r="C706" s="153" t="s">
        <v>8189</v>
      </c>
      <c r="D706" s="153"/>
      <c r="E706" s="153" t="s">
        <v>8301</v>
      </c>
      <c r="F706" s="153" t="s">
        <v>6934</v>
      </c>
      <c r="G706" s="153">
        <f>IFERROR(__xludf.DUMMYFUNCTION("""COMPUTED_VALUE"""),226.0)</f>
        <v>226</v>
      </c>
      <c r="H706" s="153" t="s">
        <v>535</v>
      </c>
      <c r="I706" s="153" t="s">
        <v>1191</v>
      </c>
      <c r="J706" s="153" t="s">
        <v>6933</v>
      </c>
      <c r="K706" s="153" t="s">
        <v>2829</v>
      </c>
      <c r="L706" s="158" t="s">
        <v>149</v>
      </c>
      <c r="M706" s="153" t="s">
        <v>6935</v>
      </c>
      <c r="N706" s="175" t="s">
        <v>6098</v>
      </c>
      <c r="O706" s="175" t="s">
        <v>6063</v>
      </c>
      <c r="P706" s="175" t="s">
        <v>6098</v>
      </c>
      <c r="Q706" s="153" t="s">
        <v>6062</v>
      </c>
      <c r="R706" s="153" t="s">
        <v>2830</v>
      </c>
      <c r="S706" s="158" t="s">
        <v>179</v>
      </c>
      <c r="T706" s="158" t="s">
        <v>2832</v>
      </c>
      <c r="U706" s="158" t="s">
        <v>2833</v>
      </c>
      <c r="V706" s="158" t="s">
        <v>160</v>
      </c>
      <c r="W706" s="158" t="s">
        <v>6035</v>
      </c>
      <c r="X706" s="158" t="s">
        <v>149</v>
      </c>
      <c r="Y706" s="158" t="s">
        <v>149</v>
      </c>
      <c r="Z706" s="158" t="s">
        <v>149</v>
      </c>
      <c r="AA706" s="158" t="s">
        <v>149</v>
      </c>
      <c r="AB706" s="153" t="s">
        <v>1158</v>
      </c>
      <c r="AC706" s="158" t="s">
        <v>6068</v>
      </c>
      <c r="AD706" s="153"/>
      <c r="AE706" s="153"/>
      <c r="AF706" s="153"/>
      <c r="AG706" s="158" t="s">
        <v>1159</v>
      </c>
      <c r="AH706" s="153" t="s">
        <v>1160</v>
      </c>
      <c r="AI706" s="165" t="s">
        <v>1161</v>
      </c>
      <c r="AJ706" s="153" t="s">
        <v>2834</v>
      </c>
      <c r="AK706" s="153"/>
    </row>
    <row r="707">
      <c r="A707" s="152">
        <v>2024.0</v>
      </c>
      <c r="B707" s="151">
        <v>238.0</v>
      </c>
      <c r="C707" s="153"/>
      <c r="D707" s="153"/>
      <c r="E707" s="153" t="s">
        <v>8189</v>
      </c>
      <c r="F707" s="153" t="s">
        <v>8452</v>
      </c>
      <c r="G707" s="153">
        <f>IFERROR(__xludf.DUMMYFUNCTION("""COMPUTED_VALUE"""),227.0)</f>
        <v>227</v>
      </c>
      <c r="H707" s="153" t="s">
        <v>314</v>
      </c>
      <c r="I707" s="153" t="s">
        <v>315</v>
      </c>
      <c r="J707" s="153" t="s">
        <v>316</v>
      </c>
      <c r="K707" s="153" t="s">
        <v>317</v>
      </c>
      <c r="L707" s="153" t="s">
        <v>318</v>
      </c>
      <c r="M707" s="153"/>
      <c r="N707" s="192" t="s">
        <v>149</v>
      </c>
      <c r="O707" s="192" t="s">
        <v>149</v>
      </c>
      <c r="P707" s="192" t="s">
        <v>149</v>
      </c>
      <c r="Q707" s="153" t="s">
        <v>6062</v>
      </c>
      <c r="R707" s="158" t="s">
        <v>149</v>
      </c>
      <c r="S707" s="158" t="s">
        <v>149</v>
      </c>
      <c r="T707" s="158" t="s">
        <v>149</v>
      </c>
      <c r="U707" s="153" t="s">
        <v>321</v>
      </c>
      <c r="V707" s="158" t="s">
        <v>160</v>
      </c>
      <c r="W707" s="158" t="s">
        <v>6035</v>
      </c>
      <c r="X707" s="158" t="s">
        <v>159</v>
      </c>
      <c r="Y707" s="158" t="s">
        <v>149</v>
      </c>
      <c r="Z707" s="158" t="s">
        <v>149</v>
      </c>
      <c r="AA707" s="158" t="s">
        <v>149</v>
      </c>
      <c r="AB707" s="153" t="s">
        <v>324</v>
      </c>
      <c r="AC707" s="158" t="s">
        <v>271</v>
      </c>
      <c r="AD707" s="153" t="s">
        <v>325</v>
      </c>
      <c r="AE707" s="153" t="s">
        <v>326</v>
      </c>
      <c r="AF707" s="153"/>
      <c r="AG707" s="158" t="s">
        <v>166</v>
      </c>
      <c r="AH707" s="153" t="s">
        <v>327</v>
      </c>
      <c r="AI707" s="165" t="s">
        <v>328</v>
      </c>
      <c r="AJ707" s="153"/>
      <c r="AK707" s="153"/>
    </row>
    <row r="708">
      <c r="A708" s="152">
        <v>2023.0</v>
      </c>
      <c r="B708" s="151">
        <v>210.0</v>
      </c>
      <c r="C708" s="129" t="s">
        <v>140</v>
      </c>
      <c r="D708" s="8"/>
      <c r="E708" s="8" t="s">
        <v>8189</v>
      </c>
      <c r="F708" s="8" t="s">
        <v>8453</v>
      </c>
      <c r="G708" s="8">
        <f>IFERROR(__xludf.DUMMYFUNCTION("""COMPUTED_VALUE"""),228.0)</f>
        <v>228</v>
      </c>
      <c r="H708" s="8" t="s">
        <v>535</v>
      </c>
      <c r="I708" s="8" t="s">
        <v>1191</v>
      </c>
      <c r="J708" s="8" t="s">
        <v>1987</v>
      </c>
      <c r="K708" s="153" t="s">
        <v>1988</v>
      </c>
      <c r="L708" s="8" t="s">
        <v>6938</v>
      </c>
      <c r="N708" s="278"/>
      <c r="O708" s="142" t="s">
        <v>6352</v>
      </c>
      <c r="P708" s="142" t="s">
        <v>6052</v>
      </c>
      <c r="Q708" s="8" t="s">
        <v>151</v>
      </c>
      <c r="R708" s="8" t="s">
        <v>6076</v>
      </c>
      <c r="T708" s="8" t="s">
        <v>1380</v>
      </c>
      <c r="AA708" s="8" t="s">
        <v>1992</v>
      </c>
      <c r="AB708" s="8" t="s">
        <v>1993</v>
      </c>
      <c r="AH708" s="8" t="s">
        <v>6027</v>
      </c>
      <c r="AI708" s="8" t="s">
        <v>1995</v>
      </c>
      <c r="AJ708" s="8" t="s">
        <v>398</v>
      </c>
    </row>
    <row r="709">
      <c r="A709" s="152">
        <v>2025.0</v>
      </c>
      <c r="B709" s="151">
        <v>210.0</v>
      </c>
      <c r="C709" s="153" t="s">
        <v>8189</v>
      </c>
      <c r="D709" s="153"/>
      <c r="E709" s="153" t="s">
        <v>8301</v>
      </c>
      <c r="F709" s="153" t="s">
        <v>6939</v>
      </c>
      <c r="G709" s="153">
        <f>IFERROR(__xludf.DUMMYFUNCTION("""COMPUTED_VALUE"""),229.0)</f>
        <v>229</v>
      </c>
      <c r="H709" s="153" t="s">
        <v>535</v>
      </c>
      <c r="I709" s="153" t="s">
        <v>1191</v>
      </c>
      <c r="J709" s="153" t="s">
        <v>1987</v>
      </c>
      <c r="K709" s="153" t="s">
        <v>1988</v>
      </c>
      <c r="L709" s="153" t="s">
        <v>384</v>
      </c>
      <c r="M709" s="153" t="s">
        <v>2872</v>
      </c>
      <c r="N709" s="175" t="s">
        <v>6352</v>
      </c>
      <c r="O709" s="175" t="s">
        <v>6052</v>
      </c>
      <c r="P709" s="175" t="s">
        <v>6053</v>
      </c>
      <c r="Q709" s="153" t="s">
        <v>151</v>
      </c>
      <c r="R709" s="153" t="s">
        <v>469</v>
      </c>
      <c r="S709" s="158" t="s">
        <v>469</v>
      </c>
      <c r="T709" s="158" t="s">
        <v>149</v>
      </c>
      <c r="U709" s="153" t="s">
        <v>390</v>
      </c>
      <c r="V709" s="158" t="s">
        <v>160</v>
      </c>
      <c r="W709" s="158" t="s">
        <v>6035</v>
      </c>
      <c r="X709" s="158" t="s">
        <v>159</v>
      </c>
      <c r="Y709" s="158" t="s">
        <v>149</v>
      </c>
      <c r="Z709" s="158" t="s">
        <v>149</v>
      </c>
      <c r="AA709" s="153" t="s">
        <v>2870</v>
      </c>
      <c r="AB709" s="153" t="s">
        <v>390</v>
      </c>
      <c r="AC709" s="153" t="s">
        <v>6035</v>
      </c>
      <c r="AD709" s="153" t="s">
        <v>6055</v>
      </c>
      <c r="AE709" s="153"/>
      <c r="AF709" s="153"/>
      <c r="AG709" s="158" t="s">
        <v>395</v>
      </c>
      <c r="AH709" s="153" t="s">
        <v>6060</v>
      </c>
      <c r="AI709" s="153" t="s">
        <v>2873</v>
      </c>
      <c r="AJ709" s="153" t="s">
        <v>398</v>
      </c>
      <c r="AK709" s="153"/>
    </row>
    <row r="710">
      <c r="A710" s="152">
        <v>2024.0</v>
      </c>
      <c r="B710" s="151">
        <v>239.0</v>
      </c>
      <c r="C710" s="153"/>
      <c r="D710" s="153"/>
      <c r="E710" s="153" t="s">
        <v>8189</v>
      </c>
      <c r="F710" s="153" t="s">
        <v>8454</v>
      </c>
      <c r="G710" s="153">
        <f>IFERROR(__xludf.DUMMYFUNCTION("""COMPUTED_VALUE"""),230.0)</f>
        <v>230</v>
      </c>
      <c r="H710" s="153" t="s">
        <v>314</v>
      </c>
      <c r="I710" s="153" t="s">
        <v>315</v>
      </c>
      <c r="J710" s="153" t="s">
        <v>316</v>
      </c>
      <c r="K710" s="153" t="s">
        <v>317</v>
      </c>
      <c r="L710" s="153" t="s">
        <v>850</v>
      </c>
      <c r="M710" s="153"/>
      <c r="N710" s="230">
        <v>2012.0</v>
      </c>
      <c r="O710" s="192" t="s">
        <v>149</v>
      </c>
      <c r="P710" s="192" t="s">
        <v>149</v>
      </c>
      <c r="Q710" s="153" t="s">
        <v>151</v>
      </c>
      <c r="R710" s="158" t="s">
        <v>851</v>
      </c>
      <c r="S710" s="153" t="s">
        <v>851</v>
      </c>
      <c r="T710" s="158" t="s">
        <v>149</v>
      </c>
      <c r="U710" s="153" t="s">
        <v>852</v>
      </c>
      <c r="V710" s="158" t="s">
        <v>160</v>
      </c>
      <c r="W710" s="158" t="s">
        <v>306</v>
      </c>
      <c r="X710" s="158" t="s">
        <v>159</v>
      </c>
      <c r="Y710" s="158" t="s">
        <v>149</v>
      </c>
      <c r="Z710" s="158" t="s">
        <v>149</v>
      </c>
      <c r="AA710" s="188" t="s">
        <v>853</v>
      </c>
      <c r="AB710" s="153" t="s">
        <v>326</v>
      </c>
      <c r="AC710" s="158" t="s">
        <v>271</v>
      </c>
      <c r="AD710" s="153"/>
      <c r="AE710" s="153" t="s">
        <v>854</v>
      </c>
      <c r="AF710" s="153"/>
      <c r="AG710" s="158" t="s">
        <v>166</v>
      </c>
      <c r="AH710" s="153" t="s">
        <v>855</v>
      </c>
      <c r="AI710" s="153" t="s">
        <v>856</v>
      </c>
      <c r="AJ710" s="153"/>
      <c r="AK710" s="153"/>
    </row>
    <row r="711">
      <c r="A711" s="152">
        <v>2023.0</v>
      </c>
      <c r="B711" s="151">
        <v>211.0</v>
      </c>
      <c r="C711" s="129" t="s">
        <v>140</v>
      </c>
      <c r="D711" s="8"/>
      <c r="E711" s="8" t="s">
        <v>8189</v>
      </c>
      <c r="F711" s="8" t="s">
        <v>8455</v>
      </c>
      <c r="G711" s="8">
        <f>IFERROR(__xludf.DUMMYFUNCTION("""COMPUTED_VALUE"""),231.0)</f>
        <v>231</v>
      </c>
      <c r="H711" s="8" t="s">
        <v>535</v>
      </c>
      <c r="I711" s="8" t="s">
        <v>1191</v>
      </c>
      <c r="J711" s="8" t="s">
        <v>1120</v>
      </c>
      <c r="K711" s="153" t="s">
        <v>1192</v>
      </c>
      <c r="L711" s="8" t="s">
        <v>1174</v>
      </c>
      <c r="N711" s="142"/>
      <c r="O711" s="142" t="s">
        <v>6151</v>
      </c>
      <c r="P711" s="142" t="s">
        <v>6089</v>
      </c>
      <c r="Q711" s="8" t="s">
        <v>6062</v>
      </c>
      <c r="R711" s="8" t="s">
        <v>320</v>
      </c>
      <c r="T711" s="8" t="s">
        <v>1193</v>
      </c>
      <c r="U711" s="8" t="s">
        <v>321</v>
      </c>
      <c r="AA711" s="8" t="s">
        <v>1194</v>
      </c>
      <c r="AB711" s="8" t="s">
        <v>1158</v>
      </c>
      <c r="AF711" s="8" t="s">
        <v>1195</v>
      </c>
      <c r="AH711" s="8" t="s">
        <v>6069</v>
      </c>
    </row>
    <row r="712">
      <c r="A712" s="152">
        <v>2025.0</v>
      </c>
      <c r="B712" s="151">
        <v>211.0</v>
      </c>
      <c r="C712" s="153" t="s">
        <v>8189</v>
      </c>
      <c r="D712" s="153"/>
      <c r="E712" s="153" t="s">
        <v>8301</v>
      </c>
      <c r="F712" s="153" t="s">
        <v>6941</v>
      </c>
      <c r="G712" s="153">
        <f>IFERROR(__xludf.DUMMYFUNCTION("""COMPUTED_VALUE"""),232.0)</f>
        <v>232</v>
      </c>
      <c r="H712" s="153" t="s">
        <v>535</v>
      </c>
      <c r="I712" s="153" t="s">
        <v>1191</v>
      </c>
      <c r="J712" s="153" t="s">
        <v>1987</v>
      </c>
      <c r="K712" s="153" t="s">
        <v>1988</v>
      </c>
      <c r="L712" s="153" t="s">
        <v>1989</v>
      </c>
      <c r="M712" s="153"/>
      <c r="N712" s="160" t="s">
        <v>149</v>
      </c>
      <c r="O712" s="175" t="s">
        <v>6352</v>
      </c>
      <c r="P712" s="175" t="s">
        <v>6052</v>
      </c>
      <c r="Q712" s="153" t="s">
        <v>151</v>
      </c>
      <c r="R712" s="158" t="s">
        <v>6942</v>
      </c>
      <c r="S712" s="158" t="s">
        <v>6076</v>
      </c>
      <c r="T712" s="153" t="s">
        <v>1991</v>
      </c>
      <c r="U712" s="158" t="s">
        <v>149</v>
      </c>
      <c r="V712" s="158" t="s">
        <v>149</v>
      </c>
      <c r="W712" s="158" t="s">
        <v>149</v>
      </c>
      <c r="X712" s="158" t="s">
        <v>149</v>
      </c>
      <c r="Y712" s="158" t="s">
        <v>149</v>
      </c>
      <c r="Z712" s="158" t="s">
        <v>149</v>
      </c>
      <c r="AA712" s="153" t="s">
        <v>1992</v>
      </c>
      <c r="AB712" s="153" t="s">
        <v>1993</v>
      </c>
      <c r="AC712" s="153" t="s">
        <v>6035</v>
      </c>
      <c r="AD712" s="153"/>
      <c r="AE712" s="153"/>
      <c r="AF712" s="153"/>
      <c r="AG712" s="153" t="s">
        <v>889</v>
      </c>
      <c r="AH712" s="153" t="s">
        <v>1994</v>
      </c>
      <c r="AI712" s="165" t="s">
        <v>1995</v>
      </c>
      <c r="AJ712" s="153" t="s">
        <v>398</v>
      </c>
      <c r="AK712" s="153"/>
    </row>
    <row r="713">
      <c r="A713" s="152">
        <v>2024.0</v>
      </c>
      <c r="B713" s="151">
        <v>240.0</v>
      </c>
      <c r="C713" s="153"/>
      <c r="D713" s="153"/>
      <c r="E713" s="153" t="s">
        <v>8189</v>
      </c>
      <c r="F713" s="153" t="s">
        <v>8456</v>
      </c>
      <c r="G713" s="153">
        <f>IFERROR(__xludf.DUMMYFUNCTION("""COMPUTED_VALUE"""),233.0)</f>
        <v>233</v>
      </c>
      <c r="H713" s="153" t="s">
        <v>314</v>
      </c>
      <c r="I713" s="153" t="s">
        <v>315</v>
      </c>
      <c r="J713" s="153" t="s">
        <v>316</v>
      </c>
      <c r="K713" s="153" t="s">
        <v>317</v>
      </c>
      <c r="L713" s="153" t="s">
        <v>1174</v>
      </c>
      <c r="M713" s="153"/>
      <c r="N713" s="192" t="s">
        <v>149</v>
      </c>
      <c r="O713" s="230">
        <v>2012.0</v>
      </c>
      <c r="P713" s="230">
        <v>2013.0</v>
      </c>
      <c r="Q713" s="153" t="s">
        <v>6062</v>
      </c>
      <c r="R713" s="153" t="s">
        <v>320</v>
      </c>
      <c r="S713" s="158" t="s">
        <v>179</v>
      </c>
      <c r="T713" s="158" t="s">
        <v>149</v>
      </c>
      <c r="U713" s="153" t="s">
        <v>321</v>
      </c>
      <c r="V713" s="158" t="s">
        <v>160</v>
      </c>
      <c r="W713" s="158" t="s">
        <v>6035</v>
      </c>
      <c r="X713" s="158" t="s">
        <v>159</v>
      </c>
      <c r="Y713" s="158" t="s">
        <v>149</v>
      </c>
      <c r="Z713" s="158" t="s">
        <v>149</v>
      </c>
      <c r="AA713" s="153" t="s">
        <v>1267</v>
      </c>
      <c r="AB713" s="153" t="s">
        <v>885</v>
      </c>
      <c r="AC713" s="158" t="s">
        <v>6068</v>
      </c>
      <c r="AD713" s="153"/>
      <c r="AE713" s="153" t="s">
        <v>1204</v>
      </c>
      <c r="AF713" s="153"/>
      <c r="AG713" s="158" t="s">
        <v>6069</v>
      </c>
      <c r="AH713" s="153" t="s">
        <v>1268</v>
      </c>
      <c r="AI713" s="153" t="s">
        <v>6070</v>
      </c>
      <c r="AJ713" s="153"/>
      <c r="AK713" s="153"/>
    </row>
    <row r="714">
      <c r="A714" s="152">
        <v>2025.0</v>
      </c>
      <c r="B714" s="151">
        <v>212.0</v>
      </c>
      <c r="C714" s="153" t="s">
        <v>8189</v>
      </c>
      <c r="D714" s="153"/>
      <c r="E714" s="153" t="s">
        <v>8301</v>
      </c>
      <c r="F714" s="153" t="s">
        <v>6943</v>
      </c>
      <c r="G714" s="153">
        <f>IFERROR(__xludf.DUMMYFUNCTION("""COMPUTED_VALUE"""),234.0)</f>
        <v>234</v>
      </c>
      <c r="H714" s="153" t="s">
        <v>535</v>
      </c>
      <c r="I714" s="153" t="s">
        <v>1191</v>
      </c>
      <c r="J714" s="153" t="s">
        <v>1120</v>
      </c>
      <c r="K714" s="153" t="s">
        <v>1192</v>
      </c>
      <c r="L714" s="153" t="s">
        <v>1174</v>
      </c>
      <c r="M714" s="153"/>
      <c r="N714" s="160" t="s">
        <v>6089</v>
      </c>
      <c r="O714" s="175" t="s">
        <v>6151</v>
      </c>
      <c r="P714" s="175" t="s">
        <v>6089</v>
      </c>
      <c r="Q714" s="153" t="s">
        <v>6062</v>
      </c>
      <c r="R714" s="153" t="s">
        <v>320</v>
      </c>
      <c r="S714" s="158" t="s">
        <v>179</v>
      </c>
      <c r="T714" s="153" t="s">
        <v>1193</v>
      </c>
      <c r="U714" s="153" t="s">
        <v>321</v>
      </c>
      <c r="V714" s="158" t="s">
        <v>160</v>
      </c>
      <c r="W714" s="158" t="s">
        <v>6035</v>
      </c>
      <c r="X714" s="158" t="s">
        <v>204</v>
      </c>
      <c r="Y714" s="158" t="s">
        <v>149</v>
      </c>
      <c r="Z714" s="158" t="s">
        <v>149</v>
      </c>
      <c r="AA714" s="153" t="s">
        <v>1194</v>
      </c>
      <c r="AB714" s="153" t="s">
        <v>1158</v>
      </c>
      <c r="AC714" s="158" t="s">
        <v>6068</v>
      </c>
      <c r="AD714" s="153"/>
      <c r="AE714" s="153"/>
      <c r="AF714" s="153" t="s">
        <v>1195</v>
      </c>
      <c r="AG714" s="158" t="s">
        <v>6069</v>
      </c>
      <c r="AH714" s="153" t="s">
        <v>1196</v>
      </c>
      <c r="AI714" s="153" t="s">
        <v>6070</v>
      </c>
      <c r="AJ714" s="153"/>
      <c r="AK714" s="153"/>
    </row>
    <row r="715">
      <c r="A715" s="152">
        <v>2025.0</v>
      </c>
      <c r="B715" s="209">
        <v>408.0</v>
      </c>
      <c r="C715" s="153" t="s">
        <v>8189</v>
      </c>
      <c r="D715" s="153"/>
      <c r="E715" s="153" t="s">
        <v>8301</v>
      </c>
      <c r="F715" s="153" t="s">
        <v>8457</v>
      </c>
      <c r="G715" s="153">
        <f>IFERROR(__xludf.DUMMYFUNCTION("""COMPUTED_VALUE"""),235.0)</f>
        <v>235</v>
      </c>
      <c r="H715" s="173" t="s">
        <v>619</v>
      </c>
      <c r="I715" s="173" t="s">
        <v>620</v>
      </c>
      <c r="J715" s="173" t="s">
        <v>7930</v>
      </c>
      <c r="K715" s="173" t="s">
        <v>7674</v>
      </c>
      <c r="L715" s="173" t="s">
        <v>384</v>
      </c>
      <c r="M715" s="173" t="s">
        <v>7675</v>
      </c>
      <c r="N715" s="203" t="s">
        <v>6052</v>
      </c>
      <c r="O715" s="216" t="s">
        <v>6052</v>
      </c>
      <c r="P715" s="216" t="s">
        <v>6053</v>
      </c>
      <c r="Q715" s="173" t="s">
        <v>151</v>
      </c>
      <c r="R715" s="173" t="s">
        <v>6054</v>
      </c>
      <c r="S715" s="202" t="s">
        <v>6054</v>
      </c>
      <c r="T715" s="202" t="s">
        <v>149</v>
      </c>
      <c r="U715" s="173" t="s">
        <v>390</v>
      </c>
      <c r="V715" s="202" t="s">
        <v>160</v>
      </c>
      <c r="W715" s="202" t="s">
        <v>6035</v>
      </c>
      <c r="X715" s="202" t="s">
        <v>159</v>
      </c>
      <c r="Y715" s="202" t="s">
        <v>149</v>
      </c>
      <c r="Z715" s="202" t="s">
        <v>149</v>
      </c>
      <c r="AA715" s="173" t="s">
        <v>2885</v>
      </c>
      <c r="AB715" s="173" t="s">
        <v>390</v>
      </c>
      <c r="AC715" s="173" t="s">
        <v>6035</v>
      </c>
      <c r="AD715" s="173" t="s">
        <v>6055</v>
      </c>
      <c r="AE715" s="173"/>
      <c r="AF715" s="173"/>
      <c r="AG715" s="202" t="s">
        <v>395</v>
      </c>
      <c r="AH715" s="173" t="s">
        <v>6060</v>
      </c>
      <c r="AI715" s="293" t="s">
        <v>541</v>
      </c>
      <c r="AJ715" s="173" t="s">
        <v>398</v>
      </c>
      <c r="AK715" s="173"/>
    </row>
    <row r="716">
      <c r="A716" s="152">
        <v>2024.0</v>
      </c>
      <c r="B716" s="151">
        <v>241.0</v>
      </c>
      <c r="C716" s="153"/>
      <c r="D716" s="153"/>
      <c r="E716" s="153" t="s">
        <v>8189</v>
      </c>
      <c r="F716" s="153" t="s">
        <v>8458</v>
      </c>
      <c r="G716" s="153">
        <f>IFERROR(__xludf.DUMMYFUNCTION("""COMPUTED_VALUE"""),236.0)</f>
        <v>236</v>
      </c>
      <c r="H716" s="153" t="s">
        <v>314</v>
      </c>
      <c r="I716" s="153" t="s">
        <v>315</v>
      </c>
      <c r="J716" s="153" t="s">
        <v>3108</v>
      </c>
      <c r="K716" s="153" t="s">
        <v>3109</v>
      </c>
      <c r="L716" s="158" t="s">
        <v>149</v>
      </c>
      <c r="M716" s="153" t="s">
        <v>6972</v>
      </c>
      <c r="N716" s="230">
        <v>2017.0</v>
      </c>
      <c r="O716" s="158" t="s">
        <v>149</v>
      </c>
      <c r="P716" s="158" t="s">
        <v>149</v>
      </c>
      <c r="Q716" s="153" t="s">
        <v>151</v>
      </c>
      <c r="R716" s="158" t="s">
        <v>149</v>
      </c>
      <c r="S716" s="158" t="s">
        <v>149</v>
      </c>
      <c r="T716" s="158" t="s">
        <v>149</v>
      </c>
      <c r="U716" s="153" t="s">
        <v>158</v>
      </c>
      <c r="V716" s="158" t="s">
        <v>160</v>
      </c>
      <c r="W716" s="158" t="s">
        <v>6035</v>
      </c>
      <c r="X716" s="158" t="s">
        <v>159</v>
      </c>
      <c r="Y716" s="158" t="s">
        <v>149</v>
      </c>
      <c r="Z716" s="158" t="s">
        <v>149</v>
      </c>
      <c r="AA716" s="158" t="s">
        <v>149</v>
      </c>
      <c r="AB716" s="153" t="s">
        <v>158</v>
      </c>
      <c r="AC716" s="153" t="s">
        <v>6035</v>
      </c>
      <c r="AD716" s="153"/>
      <c r="AE716" s="153"/>
      <c r="AF716" s="153"/>
      <c r="AG716" s="158" t="s">
        <v>166</v>
      </c>
      <c r="AH716" s="153" t="s">
        <v>3092</v>
      </c>
      <c r="AI716" s="172" t="s">
        <v>3093</v>
      </c>
      <c r="AJ716" s="153"/>
      <c r="AK716" s="153"/>
    </row>
    <row r="717">
      <c r="A717" s="152">
        <v>2025.0</v>
      </c>
      <c r="B717" s="151">
        <v>409.0</v>
      </c>
      <c r="C717" s="153" t="s">
        <v>8189</v>
      </c>
      <c r="D717" s="153"/>
      <c r="E717" s="153" t="s">
        <v>8301</v>
      </c>
      <c r="F717" s="153" t="s">
        <v>8459</v>
      </c>
      <c r="G717" s="153">
        <f>IFERROR(__xludf.DUMMYFUNCTION("""COMPUTED_VALUE"""),237.0)</f>
        <v>237</v>
      </c>
      <c r="H717" s="153" t="s">
        <v>619</v>
      </c>
      <c r="I717" s="153" t="s">
        <v>620</v>
      </c>
      <c r="J717" s="153" t="s">
        <v>7930</v>
      </c>
      <c r="K717" s="153" t="s">
        <v>7674</v>
      </c>
      <c r="L717" s="153" t="s">
        <v>384</v>
      </c>
      <c r="M717" s="153" t="s">
        <v>7680</v>
      </c>
      <c r="N717" s="175" t="s">
        <v>6052</v>
      </c>
      <c r="O717" s="175" t="s">
        <v>6052</v>
      </c>
      <c r="P717" s="175" t="s">
        <v>6053</v>
      </c>
      <c r="Q717" s="153" t="s">
        <v>151</v>
      </c>
      <c r="R717" s="153" t="s">
        <v>6054</v>
      </c>
      <c r="S717" s="158" t="s">
        <v>6054</v>
      </c>
      <c r="T717" s="158" t="s">
        <v>149</v>
      </c>
      <c r="U717" s="153" t="s">
        <v>390</v>
      </c>
      <c r="V717" s="158" t="s">
        <v>160</v>
      </c>
      <c r="W717" s="158" t="s">
        <v>6035</v>
      </c>
      <c r="X717" s="158" t="s">
        <v>159</v>
      </c>
      <c r="Y717" s="158" t="s">
        <v>149</v>
      </c>
      <c r="Z717" s="158" t="s">
        <v>149</v>
      </c>
      <c r="AA717" s="153" t="s">
        <v>414</v>
      </c>
      <c r="AB717" s="153" t="s">
        <v>390</v>
      </c>
      <c r="AC717" s="153" t="s">
        <v>6035</v>
      </c>
      <c r="AD717" s="153" t="s">
        <v>6055</v>
      </c>
      <c r="AE717" s="153"/>
      <c r="AF717" s="153"/>
      <c r="AG717" s="158" t="s">
        <v>395</v>
      </c>
      <c r="AH717" s="153" t="s">
        <v>6060</v>
      </c>
      <c r="AI717" s="177" t="s">
        <v>541</v>
      </c>
      <c r="AJ717" s="153" t="s">
        <v>398</v>
      </c>
      <c r="AK717" s="153"/>
    </row>
    <row r="718">
      <c r="A718" s="152">
        <v>2023.0</v>
      </c>
      <c r="B718" s="151">
        <v>334.0</v>
      </c>
      <c r="C718" s="129" t="s">
        <v>140</v>
      </c>
      <c r="D718" s="8"/>
      <c r="E718" s="8" t="s">
        <v>8189</v>
      </c>
      <c r="F718" s="8" t="s">
        <v>8460</v>
      </c>
      <c r="G718" s="8">
        <f>IFERROR(__xludf.DUMMYFUNCTION("""COMPUTED_VALUE"""),238.0)</f>
        <v>238</v>
      </c>
      <c r="H718" s="8" t="s">
        <v>171</v>
      </c>
      <c r="I718" s="8" t="s">
        <v>976</v>
      </c>
      <c r="J718" s="8" t="s">
        <v>1502</v>
      </c>
      <c r="K718" s="279" t="s">
        <v>1503</v>
      </c>
      <c r="L718" s="8" t="s">
        <v>1377</v>
      </c>
      <c r="N718" s="142"/>
      <c r="O718" s="142" t="s">
        <v>6198</v>
      </c>
      <c r="P718" s="142" t="s">
        <v>6199</v>
      </c>
      <c r="Q718" s="8" t="s">
        <v>151</v>
      </c>
      <c r="U718" s="8" t="s">
        <v>1381</v>
      </c>
      <c r="AB718" s="8" t="s">
        <v>660</v>
      </c>
      <c r="AD718" s="8" t="s">
        <v>369</v>
      </c>
      <c r="AH718" s="8" t="s">
        <v>395</v>
      </c>
      <c r="AI718" s="8" t="s">
        <v>2873</v>
      </c>
      <c r="AJ718" s="8" t="s">
        <v>398</v>
      </c>
    </row>
    <row r="719">
      <c r="A719" s="152">
        <v>2024.0</v>
      </c>
      <c r="B719" s="151">
        <v>242.0</v>
      </c>
      <c r="C719" s="153"/>
      <c r="D719" s="153"/>
      <c r="E719" s="153" t="s">
        <v>8189</v>
      </c>
      <c r="F719" s="153" t="s">
        <v>8461</v>
      </c>
      <c r="G719" s="153">
        <f>IFERROR(__xludf.DUMMYFUNCTION("""COMPUTED_VALUE"""),239.0)</f>
        <v>239</v>
      </c>
      <c r="H719" s="153" t="s">
        <v>314</v>
      </c>
      <c r="I719" s="153" t="s">
        <v>315</v>
      </c>
      <c r="J719" s="153" t="s">
        <v>3111</v>
      </c>
      <c r="K719" s="153" t="s">
        <v>3112</v>
      </c>
      <c r="L719" s="158" t="s">
        <v>149</v>
      </c>
      <c r="M719" s="153" t="s">
        <v>7015</v>
      </c>
      <c r="N719" s="158" t="s">
        <v>149</v>
      </c>
      <c r="O719" s="158" t="s">
        <v>149</v>
      </c>
      <c r="P719" s="158" t="s">
        <v>149</v>
      </c>
      <c r="Q719" s="153" t="s">
        <v>151</v>
      </c>
      <c r="R719" s="153" t="s">
        <v>3113</v>
      </c>
      <c r="S719" s="158" t="s">
        <v>149</v>
      </c>
      <c r="T719" s="158" t="s">
        <v>149</v>
      </c>
      <c r="U719" s="158" t="s">
        <v>149</v>
      </c>
      <c r="V719" s="158" t="s">
        <v>149</v>
      </c>
      <c r="W719" s="158" t="s">
        <v>149</v>
      </c>
      <c r="X719" s="158" t="s">
        <v>149</v>
      </c>
      <c r="Y719" s="158" t="s">
        <v>149</v>
      </c>
      <c r="Z719" s="158" t="s">
        <v>149</v>
      </c>
      <c r="AA719" s="158" t="s">
        <v>149</v>
      </c>
      <c r="AB719" s="158" t="s">
        <v>149</v>
      </c>
      <c r="AC719" s="158" t="s">
        <v>149</v>
      </c>
      <c r="AD719" s="153"/>
      <c r="AE719" s="153"/>
      <c r="AF719" s="153"/>
      <c r="AG719" s="158" t="s">
        <v>1159</v>
      </c>
      <c r="AH719" s="153" t="s">
        <v>3098</v>
      </c>
      <c r="AI719" s="172" t="s">
        <v>3099</v>
      </c>
      <c r="AJ719" s="153"/>
      <c r="AK719" s="153"/>
    </row>
    <row r="720">
      <c r="A720" s="152">
        <v>2023.0</v>
      </c>
      <c r="B720" s="151">
        <v>335.0</v>
      </c>
      <c r="C720" s="129" t="s">
        <v>140</v>
      </c>
      <c r="D720" s="8"/>
      <c r="E720" s="8" t="s">
        <v>8189</v>
      </c>
      <c r="F720" s="8" t="s">
        <v>7338</v>
      </c>
      <c r="G720" s="8">
        <f>IFERROR(__xludf.DUMMYFUNCTION("""COMPUTED_VALUE"""),240.0)</f>
        <v>240</v>
      </c>
      <c r="H720" s="8" t="s">
        <v>171</v>
      </c>
      <c r="I720" s="8" t="s">
        <v>976</v>
      </c>
      <c r="J720" s="8" t="s">
        <v>7339</v>
      </c>
      <c r="K720" s="8" t="s">
        <v>1506</v>
      </c>
      <c r="L720" s="8" t="s">
        <v>384</v>
      </c>
      <c r="N720" s="142" t="s">
        <v>6051</v>
      </c>
      <c r="O720" s="142"/>
      <c r="P720" s="142"/>
      <c r="Q720" s="8" t="s">
        <v>151</v>
      </c>
      <c r="AB720" s="8" t="s">
        <v>390</v>
      </c>
      <c r="AD720" s="8" t="s">
        <v>6055</v>
      </c>
    </row>
    <row r="721">
      <c r="A721" s="152">
        <v>2023.0</v>
      </c>
      <c r="B721" s="151">
        <v>336.0</v>
      </c>
      <c r="C721" s="129" t="s">
        <v>140</v>
      </c>
      <c r="D721" s="8"/>
      <c r="E721" s="8" t="s">
        <v>8189</v>
      </c>
      <c r="F721" s="8" t="s">
        <v>8462</v>
      </c>
      <c r="G721" s="8">
        <f>IFERROR(__xludf.DUMMYFUNCTION("""COMPUTED_VALUE"""),241.0)</f>
        <v>241</v>
      </c>
      <c r="H721" s="8" t="s">
        <v>171</v>
      </c>
      <c r="I721" s="8" t="s">
        <v>976</v>
      </c>
      <c r="J721" s="8" t="s">
        <v>7339</v>
      </c>
      <c r="K721" s="279" t="s">
        <v>1506</v>
      </c>
      <c r="L721" s="8" t="s">
        <v>1377</v>
      </c>
      <c r="M721" s="8" t="s">
        <v>1507</v>
      </c>
      <c r="N721" s="142"/>
      <c r="O721" s="142" t="s">
        <v>6198</v>
      </c>
      <c r="P721" s="142" t="s">
        <v>6199</v>
      </c>
      <c r="Q721" s="8" t="s">
        <v>151</v>
      </c>
      <c r="U721" s="8" t="s">
        <v>1381</v>
      </c>
      <c r="AB721" s="8" t="s">
        <v>660</v>
      </c>
      <c r="AD721" s="8" t="s">
        <v>369</v>
      </c>
      <c r="AH721" s="8" t="s">
        <v>395</v>
      </c>
      <c r="AI721" s="8" t="s">
        <v>2873</v>
      </c>
      <c r="AJ721" s="8" t="s">
        <v>398</v>
      </c>
    </row>
    <row r="722">
      <c r="A722" s="152">
        <v>2024.0</v>
      </c>
      <c r="B722" s="151">
        <v>243.0</v>
      </c>
      <c r="C722" s="153"/>
      <c r="D722" s="153"/>
      <c r="E722" s="153" t="s">
        <v>8189</v>
      </c>
      <c r="F722" s="153" t="s">
        <v>8463</v>
      </c>
      <c r="G722" s="153">
        <f>IFERROR(__xludf.DUMMYFUNCTION("""COMPUTED_VALUE"""),242.0)</f>
        <v>242</v>
      </c>
      <c r="H722" s="153" t="s">
        <v>314</v>
      </c>
      <c r="I722" s="153" t="s">
        <v>315</v>
      </c>
      <c r="J722" s="153" t="s">
        <v>3115</v>
      </c>
      <c r="K722" s="153" t="s">
        <v>3116</v>
      </c>
      <c r="L722" s="158" t="s">
        <v>149</v>
      </c>
      <c r="M722" s="153" t="s">
        <v>7019</v>
      </c>
      <c r="N722" s="230">
        <v>2017.0</v>
      </c>
      <c r="O722" s="158" t="s">
        <v>149</v>
      </c>
      <c r="P722" s="158" t="s">
        <v>149</v>
      </c>
      <c r="Q722" s="153" t="s">
        <v>151</v>
      </c>
      <c r="R722" s="158" t="s">
        <v>149</v>
      </c>
      <c r="S722" s="158" t="s">
        <v>149</v>
      </c>
      <c r="T722" s="158" t="s">
        <v>149</v>
      </c>
      <c r="U722" s="153" t="s">
        <v>158</v>
      </c>
      <c r="V722" s="158" t="s">
        <v>160</v>
      </c>
      <c r="W722" s="158" t="s">
        <v>6035</v>
      </c>
      <c r="X722" s="158" t="s">
        <v>159</v>
      </c>
      <c r="Y722" s="158" t="s">
        <v>149</v>
      </c>
      <c r="Z722" s="158" t="s">
        <v>149</v>
      </c>
      <c r="AA722" s="158" t="s">
        <v>149</v>
      </c>
      <c r="AB722" s="153" t="s">
        <v>158</v>
      </c>
      <c r="AC722" s="153" t="s">
        <v>6035</v>
      </c>
      <c r="AD722" s="153"/>
      <c r="AE722" s="153"/>
      <c r="AF722" s="153"/>
      <c r="AG722" s="158" t="s">
        <v>166</v>
      </c>
      <c r="AH722" s="153" t="s">
        <v>3092</v>
      </c>
      <c r="AI722" s="172" t="s">
        <v>3093</v>
      </c>
      <c r="AJ722" s="153"/>
      <c r="AK722" s="153"/>
    </row>
    <row r="723">
      <c r="A723" s="152">
        <v>2023.0</v>
      </c>
      <c r="B723" s="151">
        <v>337.0</v>
      </c>
      <c r="C723" s="129" t="s">
        <v>140</v>
      </c>
      <c r="D723" s="8"/>
      <c r="E723" s="8" t="s">
        <v>8189</v>
      </c>
      <c r="F723" s="8" t="s">
        <v>7347</v>
      </c>
      <c r="G723" s="8">
        <f>IFERROR(__xludf.DUMMYFUNCTION("""COMPUTED_VALUE"""),243.0)</f>
        <v>243</v>
      </c>
      <c r="H723" s="8" t="s">
        <v>171</v>
      </c>
      <c r="I723" s="8" t="s">
        <v>976</v>
      </c>
      <c r="J723" s="8" t="s">
        <v>977</v>
      </c>
      <c r="K723" s="198" t="s">
        <v>978</v>
      </c>
      <c r="L723" s="8" t="s">
        <v>934</v>
      </c>
      <c r="N723" s="142" t="s">
        <v>6229</v>
      </c>
      <c r="O723" s="142" t="s">
        <v>6229</v>
      </c>
      <c r="P723" s="142" t="s">
        <v>6230</v>
      </c>
      <c r="Q723" s="8" t="s">
        <v>6062</v>
      </c>
      <c r="R723" s="8" t="s">
        <v>6276</v>
      </c>
      <c r="T723" s="8" t="s">
        <v>939</v>
      </c>
      <c r="U723" s="8" t="s">
        <v>940</v>
      </c>
      <c r="AB723" s="8" t="s">
        <v>233</v>
      </c>
      <c r="AH723" s="8" t="s">
        <v>6214</v>
      </c>
      <c r="AI723" s="8" t="s">
        <v>942</v>
      </c>
      <c r="AJ723" s="8" t="s">
        <v>943</v>
      </c>
    </row>
    <row r="724">
      <c r="A724" s="152">
        <v>2023.0</v>
      </c>
      <c r="B724" s="151">
        <v>338.0</v>
      </c>
      <c r="C724" s="129" t="s">
        <v>140</v>
      </c>
      <c r="D724" s="8"/>
      <c r="E724" s="8" t="s">
        <v>8189</v>
      </c>
      <c r="F724" s="8" t="s">
        <v>7349</v>
      </c>
      <c r="G724" s="8">
        <f>IFERROR(__xludf.DUMMYFUNCTION("""COMPUTED_VALUE"""),244.0)</f>
        <v>244</v>
      </c>
      <c r="H724" s="8" t="s">
        <v>171</v>
      </c>
      <c r="I724" s="8" t="s">
        <v>976</v>
      </c>
      <c r="J724" s="8" t="s">
        <v>7350</v>
      </c>
      <c r="K724" s="8" t="s">
        <v>5504</v>
      </c>
      <c r="L724" s="8" t="s">
        <v>1377</v>
      </c>
      <c r="N724" s="142"/>
      <c r="O724" s="142" t="s">
        <v>6198</v>
      </c>
      <c r="P724" s="142" t="s">
        <v>7351</v>
      </c>
      <c r="Q724" s="8" t="s">
        <v>151</v>
      </c>
      <c r="U724" s="8" t="s">
        <v>1381</v>
      </c>
      <c r="AB724" s="8" t="s">
        <v>660</v>
      </c>
      <c r="AD724" s="8" t="s">
        <v>369</v>
      </c>
    </row>
    <row r="725">
      <c r="A725" s="152">
        <v>2024.0</v>
      </c>
      <c r="B725" s="151">
        <v>244.0</v>
      </c>
      <c r="C725" s="153"/>
      <c r="D725" s="153"/>
      <c r="E725" s="153" t="s">
        <v>8189</v>
      </c>
      <c r="F725" s="153" t="s">
        <v>8464</v>
      </c>
      <c r="G725" s="153">
        <f>IFERROR(__xludf.DUMMYFUNCTION("""COMPUTED_VALUE"""),245.0)</f>
        <v>245</v>
      </c>
      <c r="H725" s="153" t="s">
        <v>314</v>
      </c>
      <c r="I725" s="153" t="s">
        <v>315</v>
      </c>
      <c r="J725" s="153" t="s">
        <v>1199</v>
      </c>
      <c r="K725" s="153" t="s">
        <v>1200</v>
      </c>
      <c r="L725" s="158" t="s">
        <v>149</v>
      </c>
      <c r="M725" s="153" t="s">
        <v>6990</v>
      </c>
      <c r="N725" s="230">
        <v>2003.0</v>
      </c>
      <c r="O725" s="158" t="s">
        <v>149</v>
      </c>
      <c r="P725" s="158" t="s">
        <v>149</v>
      </c>
      <c r="Q725" s="153" t="s">
        <v>151</v>
      </c>
      <c r="R725" s="158" t="s">
        <v>3119</v>
      </c>
      <c r="S725" s="158" t="s">
        <v>149</v>
      </c>
      <c r="T725" s="158" t="s">
        <v>149</v>
      </c>
      <c r="U725" s="158" t="s">
        <v>149</v>
      </c>
      <c r="V725" s="158" t="s">
        <v>149</v>
      </c>
      <c r="W725" s="158" t="s">
        <v>149</v>
      </c>
      <c r="X725" s="158" t="s">
        <v>149</v>
      </c>
      <c r="Y725" s="158" t="s">
        <v>149</v>
      </c>
      <c r="Z725" s="158" t="s">
        <v>149</v>
      </c>
      <c r="AA725" s="153" t="s">
        <v>3120</v>
      </c>
      <c r="AB725" s="158" t="s">
        <v>149</v>
      </c>
      <c r="AC725" s="158" t="s">
        <v>149</v>
      </c>
      <c r="AD725" s="153"/>
      <c r="AE725" s="153"/>
      <c r="AF725" s="153"/>
      <c r="AG725" s="158" t="s">
        <v>1159</v>
      </c>
      <c r="AH725" s="153" t="s">
        <v>3098</v>
      </c>
      <c r="AI725" s="165" t="s">
        <v>3099</v>
      </c>
      <c r="AJ725" s="153"/>
      <c r="AK725" s="153"/>
    </row>
    <row r="726">
      <c r="A726" s="152">
        <v>2025.0</v>
      </c>
      <c r="B726" s="151">
        <v>348.0</v>
      </c>
      <c r="C726" s="153" t="s">
        <v>8189</v>
      </c>
      <c r="D726" s="153"/>
      <c r="E726" s="153" t="s">
        <v>8301</v>
      </c>
      <c r="F726" s="153" t="s">
        <v>7388</v>
      </c>
      <c r="G726" s="153">
        <f>IFERROR(__xludf.DUMMYFUNCTION("""COMPUTED_VALUE"""),246.0)</f>
        <v>246</v>
      </c>
      <c r="H726" s="153" t="s">
        <v>171</v>
      </c>
      <c r="I726" s="153" t="s">
        <v>976</v>
      </c>
      <c r="J726" s="153" t="s">
        <v>1502</v>
      </c>
      <c r="K726" s="153" t="s">
        <v>1503</v>
      </c>
      <c r="L726" s="153" t="s">
        <v>1377</v>
      </c>
      <c r="M726" s="153"/>
      <c r="N726" s="160" t="s">
        <v>6896</v>
      </c>
      <c r="O726" s="175" t="s">
        <v>6198</v>
      </c>
      <c r="P726" s="175" t="s">
        <v>6199</v>
      </c>
      <c r="Q726" s="153" t="s">
        <v>151</v>
      </c>
      <c r="R726" s="158" t="s">
        <v>149</v>
      </c>
      <c r="S726" s="158" t="s">
        <v>149</v>
      </c>
      <c r="T726" s="158" t="s">
        <v>149</v>
      </c>
      <c r="U726" s="153" t="s">
        <v>1381</v>
      </c>
      <c r="V726" s="158" t="s">
        <v>6154</v>
      </c>
      <c r="W726" s="158" t="s">
        <v>206</v>
      </c>
      <c r="X726" s="158" t="s">
        <v>159</v>
      </c>
      <c r="Y726" s="158" t="s">
        <v>149</v>
      </c>
      <c r="Z726" s="158" t="s">
        <v>149</v>
      </c>
      <c r="AA726" s="158" t="s">
        <v>149</v>
      </c>
      <c r="AB726" s="153" t="s">
        <v>660</v>
      </c>
      <c r="AC726" s="153" t="s">
        <v>6035</v>
      </c>
      <c r="AD726" s="153" t="s">
        <v>369</v>
      </c>
      <c r="AE726" s="153"/>
      <c r="AF726" s="153"/>
      <c r="AG726" s="158" t="s">
        <v>395</v>
      </c>
      <c r="AH726" s="153" t="s">
        <v>6060</v>
      </c>
      <c r="AI726" s="158" t="s">
        <v>6711</v>
      </c>
      <c r="AJ726" s="153" t="s">
        <v>398</v>
      </c>
      <c r="AK726" s="153"/>
    </row>
    <row r="727">
      <c r="A727" s="152">
        <v>2025.0</v>
      </c>
      <c r="B727" s="151">
        <v>349.0</v>
      </c>
      <c r="C727" s="153" t="s">
        <v>8189</v>
      </c>
      <c r="D727" s="153"/>
      <c r="E727" s="153" t="s">
        <v>707</v>
      </c>
      <c r="F727" s="153" t="s">
        <v>7395</v>
      </c>
      <c r="G727" s="153">
        <f>IFERROR(__xludf.DUMMYFUNCTION("""COMPUTED_VALUE"""),247.0)</f>
        <v>247</v>
      </c>
      <c r="H727" s="153" t="s">
        <v>171</v>
      </c>
      <c r="I727" s="153" t="s">
        <v>976</v>
      </c>
      <c r="J727" s="153" t="s">
        <v>8465</v>
      </c>
      <c r="K727" s="153" t="s">
        <v>1506</v>
      </c>
      <c r="L727" s="153" t="s">
        <v>1377</v>
      </c>
      <c r="M727" s="153" t="s">
        <v>1507</v>
      </c>
      <c r="N727" s="160" t="s">
        <v>149</v>
      </c>
      <c r="O727" s="175" t="s">
        <v>6198</v>
      </c>
      <c r="P727" s="175" t="s">
        <v>6199</v>
      </c>
      <c r="Q727" s="153" t="s">
        <v>151</v>
      </c>
      <c r="R727" s="158" t="s">
        <v>149</v>
      </c>
      <c r="S727" s="158" t="s">
        <v>149</v>
      </c>
      <c r="T727" s="158" t="s">
        <v>149</v>
      </c>
      <c r="U727" s="153" t="s">
        <v>1381</v>
      </c>
      <c r="V727" s="158" t="s">
        <v>6154</v>
      </c>
      <c r="W727" s="158" t="s">
        <v>206</v>
      </c>
      <c r="X727" s="158" t="s">
        <v>159</v>
      </c>
      <c r="Y727" s="158" t="s">
        <v>149</v>
      </c>
      <c r="Z727" s="158" t="s">
        <v>149</v>
      </c>
      <c r="AA727" s="158" t="s">
        <v>149</v>
      </c>
      <c r="AB727" s="153" t="s">
        <v>660</v>
      </c>
      <c r="AC727" s="153" t="s">
        <v>6035</v>
      </c>
      <c r="AD727" s="153" t="s">
        <v>369</v>
      </c>
      <c r="AE727" s="153"/>
      <c r="AF727" s="153"/>
      <c r="AG727" s="158" t="s">
        <v>395</v>
      </c>
      <c r="AH727" s="153" t="s">
        <v>6060</v>
      </c>
      <c r="AI727" s="158" t="s">
        <v>6711</v>
      </c>
      <c r="AJ727" s="153" t="s">
        <v>398</v>
      </c>
      <c r="AK727" s="153"/>
    </row>
    <row r="728">
      <c r="A728" s="152">
        <v>2024.0</v>
      </c>
      <c r="B728" s="151">
        <v>245.0</v>
      </c>
      <c r="C728" s="153"/>
      <c r="D728" s="153"/>
      <c r="E728" s="153" t="s">
        <v>8189</v>
      </c>
      <c r="F728" s="153" t="s">
        <v>8466</v>
      </c>
      <c r="G728" s="153">
        <f>IFERROR(__xludf.DUMMYFUNCTION("""COMPUTED_VALUE"""),248.0)</f>
        <v>248</v>
      </c>
      <c r="H728" s="153" t="s">
        <v>314</v>
      </c>
      <c r="I728" s="153" t="s">
        <v>315</v>
      </c>
      <c r="J728" s="153" t="s">
        <v>1199</v>
      </c>
      <c r="K728" s="153" t="s">
        <v>1200</v>
      </c>
      <c r="L728" s="153" t="s">
        <v>2237</v>
      </c>
      <c r="M728" s="153"/>
      <c r="N728" s="192" t="s">
        <v>149</v>
      </c>
      <c r="O728" s="192" t="s">
        <v>149</v>
      </c>
      <c r="P728" s="192" t="s">
        <v>149</v>
      </c>
      <c r="Q728" s="153" t="s">
        <v>6624</v>
      </c>
      <c r="R728" s="153" t="s">
        <v>179</v>
      </c>
      <c r="S728" s="153" t="s">
        <v>179</v>
      </c>
      <c r="T728" s="153" t="s">
        <v>2238</v>
      </c>
      <c r="U728" s="158" t="s">
        <v>149</v>
      </c>
      <c r="V728" s="158" t="s">
        <v>149</v>
      </c>
      <c r="W728" s="158" t="s">
        <v>149</v>
      </c>
      <c r="X728" s="158" t="s">
        <v>149</v>
      </c>
      <c r="Y728" s="158" t="s">
        <v>149</v>
      </c>
      <c r="Z728" s="153" t="s">
        <v>2239</v>
      </c>
      <c r="AA728" s="153" t="s">
        <v>2240</v>
      </c>
      <c r="AB728" s="158" t="s">
        <v>369</v>
      </c>
      <c r="AC728" s="153" t="s">
        <v>6035</v>
      </c>
      <c r="AD728" s="158" t="s">
        <v>390</v>
      </c>
      <c r="AE728" s="153"/>
      <c r="AF728" s="153"/>
      <c r="AG728" s="158" t="s">
        <v>1159</v>
      </c>
      <c r="AH728" s="153" t="s">
        <v>2241</v>
      </c>
      <c r="AI728" s="153" t="s">
        <v>7005</v>
      </c>
      <c r="AJ728" s="153"/>
      <c r="AK728" s="153"/>
    </row>
    <row r="729">
      <c r="A729" s="152">
        <v>2025.0</v>
      </c>
      <c r="B729" s="151">
        <v>350.0</v>
      </c>
      <c r="C729" s="158" t="s">
        <v>8189</v>
      </c>
      <c r="D729" s="158"/>
      <c r="E729" s="158" t="s">
        <v>707</v>
      </c>
      <c r="F729" s="158" t="s">
        <v>7397</v>
      </c>
      <c r="G729" s="158">
        <f>IFERROR(__xludf.DUMMYFUNCTION("""COMPUTED_VALUE"""),249.0)</f>
        <v>249</v>
      </c>
      <c r="H729" s="158" t="s">
        <v>171</v>
      </c>
      <c r="I729" s="158" t="s">
        <v>976</v>
      </c>
      <c r="J729" s="158" t="s">
        <v>2488</v>
      </c>
      <c r="K729" s="158" t="s">
        <v>2489</v>
      </c>
      <c r="L729" s="158" t="s">
        <v>149</v>
      </c>
      <c r="M729" s="158"/>
      <c r="N729" s="160" t="s">
        <v>18</v>
      </c>
      <c r="O729" s="160" t="s">
        <v>149</v>
      </c>
      <c r="P729" s="160" t="s">
        <v>149</v>
      </c>
      <c r="Q729" s="158" t="s">
        <v>151</v>
      </c>
      <c r="R729" s="158" t="s">
        <v>2491</v>
      </c>
      <c r="S729" s="158" t="s">
        <v>2491</v>
      </c>
      <c r="T729" s="158" t="s">
        <v>1006</v>
      </c>
      <c r="U729" s="158" t="s">
        <v>2492</v>
      </c>
      <c r="V729" s="158" t="s">
        <v>160</v>
      </c>
      <c r="W729" s="158" t="s">
        <v>209</v>
      </c>
      <c r="X729" s="158" t="s">
        <v>159</v>
      </c>
      <c r="Y729" s="158" t="s">
        <v>149</v>
      </c>
      <c r="Z729" s="158" t="s">
        <v>149</v>
      </c>
      <c r="AA729" s="158" t="s">
        <v>675</v>
      </c>
      <c r="AB729" s="158" t="s">
        <v>2493</v>
      </c>
      <c r="AC729" s="158" t="s">
        <v>7294</v>
      </c>
      <c r="AD729" s="158"/>
      <c r="AE729" s="158"/>
      <c r="AF729" s="158"/>
      <c r="AG729" s="158" t="s">
        <v>6027</v>
      </c>
      <c r="AH729" s="158" t="s">
        <v>2494</v>
      </c>
      <c r="AI729" s="172" t="s">
        <v>2495</v>
      </c>
      <c r="AJ729" s="158"/>
      <c r="AK729" s="158"/>
    </row>
    <row r="730">
      <c r="A730" s="152">
        <v>2025.0</v>
      </c>
      <c r="B730" s="151">
        <v>351.0</v>
      </c>
      <c r="C730" s="153" t="s">
        <v>8189</v>
      </c>
      <c r="D730" s="153"/>
      <c r="E730" s="153" t="s">
        <v>8301</v>
      </c>
      <c r="F730" s="153" t="s">
        <v>7403</v>
      </c>
      <c r="G730" s="153">
        <f>IFERROR(__xludf.DUMMYFUNCTION("""COMPUTED_VALUE"""),250.0)</f>
        <v>250</v>
      </c>
      <c r="H730" s="153" t="s">
        <v>171</v>
      </c>
      <c r="I730" s="153" t="s">
        <v>976</v>
      </c>
      <c r="J730" s="153" t="s">
        <v>977</v>
      </c>
      <c r="K730" s="153" t="s">
        <v>978</v>
      </c>
      <c r="L730" s="153" t="s">
        <v>934</v>
      </c>
      <c r="M730" s="153"/>
      <c r="N730" s="175" t="s">
        <v>6229</v>
      </c>
      <c r="O730" s="175" t="s">
        <v>6229</v>
      </c>
      <c r="P730" s="175" t="s">
        <v>6230</v>
      </c>
      <c r="Q730" s="153" t="s">
        <v>6062</v>
      </c>
      <c r="R730" s="153" t="s">
        <v>3245</v>
      </c>
      <c r="S730" s="158" t="s">
        <v>179</v>
      </c>
      <c r="T730" s="153" t="s">
        <v>939</v>
      </c>
      <c r="U730" s="153" t="s">
        <v>940</v>
      </c>
      <c r="V730" s="158" t="s">
        <v>6154</v>
      </c>
      <c r="W730" s="158" t="s">
        <v>206</v>
      </c>
      <c r="X730" s="158" t="s">
        <v>204</v>
      </c>
      <c r="Y730" s="158" t="s">
        <v>149</v>
      </c>
      <c r="Z730" s="158" t="s">
        <v>149</v>
      </c>
      <c r="AA730" s="158" t="s">
        <v>149</v>
      </c>
      <c r="AB730" s="153" t="s">
        <v>233</v>
      </c>
      <c r="AC730" s="158" t="s">
        <v>6068</v>
      </c>
      <c r="AD730" s="153"/>
      <c r="AE730" s="153"/>
      <c r="AF730" s="153"/>
      <c r="AG730" s="158" t="s">
        <v>6214</v>
      </c>
      <c r="AH730" s="153" t="s">
        <v>941</v>
      </c>
      <c r="AI730" s="153" t="s">
        <v>942</v>
      </c>
      <c r="AJ730" s="153" t="s">
        <v>943</v>
      </c>
      <c r="AK730" s="153"/>
    </row>
    <row r="731">
      <c r="A731" s="152">
        <v>2024.0</v>
      </c>
      <c r="B731" s="151">
        <v>246.0</v>
      </c>
      <c r="C731" s="153"/>
      <c r="D731" s="153"/>
      <c r="E731" s="153" t="s">
        <v>8189</v>
      </c>
      <c r="F731" s="153" t="s">
        <v>8467</v>
      </c>
      <c r="G731" s="153">
        <f>IFERROR(__xludf.DUMMYFUNCTION("""COMPUTED_VALUE"""),251.0)</f>
        <v>251</v>
      </c>
      <c r="H731" s="153" t="s">
        <v>314</v>
      </c>
      <c r="I731" s="153" t="s">
        <v>315</v>
      </c>
      <c r="J731" s="153" t="s">
        <v>1199</v>
      </c>
      <c r="K731" s="153" t="s">
        <v>1200</v>
      </c>
      <c r="L731" s="153" t="s">
        <v>1174</v>
      </c>
      <c r="M731" s="153"/>
      <c r="N731" s="192">
        <v>2013.0</v>
      </c>
      <c r="O731" s="230">
        <v>2012.0</v>
      </c>
      <c r="P731" s="230">
        <v>2013.0</v>
      </c>
      <c r="Q731" s="153" t="s">
        <v>6062</v>
      </c>
      <c r="R731" s="153" t="s">
        <v>1201</v>
      </c>
      <c r="S731" s="158" t="s">
        <v>179</v>
      </c>
      <c r="T731" s="153" t="s">
        <v>1202</v>
      </c>
      <c r="U731" s="153" t="s">
        <v>321</v>
      </c>
      <c r="V731" s="158" t="s">
        <v>160</v>
      </c>
      <c r="W731" s="158" t="s">
        <v>6035</v>
      </c>
      <c r="X731" s="158" t="s">
        <v>204</v>
      </c>
      <c r="Y731" s="158" t="s">
        <v>149</v>
      </c>
      <c r="Z731" s="158" t="s">
        <v>149</v>
      </c>
      <c r="AA731" s="153" t="s">
        <v>1203</v>
      </c>
      <c r="AB731" s="153" t="s">
        <v>885</v>
      </c>
      <c r="AC731" s="158" t="s">
        <v>6068</v>
      </c>
      <c r="AD731" s="153" t="s">
        <v>1204</v>
      </c>
      <c r="AE731" s="153"/>
      <c r="AF731" s="153"/>
      <c r="AG731" s="158" t="s">
        <v>6069</v>
      </c>
      <c r="AH731" s="153" t="s">
        <v>1205</v>
      </c>
      <c r="AI731" s="153" t="s">
        <v>6070</v>
      </c>
      <c r="AJ731" s="153"/>
      <c r="AK731" s="153"/>
    </row>
    <row r="732">
      <c r="A732" s="152">
        <v>2023.0</v>
      </c>
      <c r="B732" s="151">
        <v>339.0</v>
      </c>
      <c r="C732" s="129" t="s">
        <v>648</v>
      </c>
      <c r="D732" s="8"/>
      <c r="E732" s="8" t="s">
        <v>8189</v>
      </c>
      <c r="F732" s="8" t="s">
        <v>8468</v>
      </c>
      <c r="G732" s="8">
        <f>IFERROR(__xludf.DUMMYFUNCTION("""COMPUTED_VALUE"""),252.0)</f>
        <v>252</v>
      </c>
      <c r="H732" s="8" t="s">
        <v>171</v>
      </c>
      <c r="I732" s="8" t="s">
        <v>172</v>
      </c>
      <c r="J732" s="8" t="s">
        <v>2128</v>
      </c>
      <c r="K732" s="8" t="s">
        <v>2129</v>
      </c>
      <c r="L732" s="8" t="s">
        <v>6113</v>
      </c>
      <c r="M732" s="8" t="s">
        <v>7354</v>
      </c>
      <c r="N732" s="142"/>
      <c r="O732" s="142"/>
      <c r="P732" s="142"/>
    </row>
    <row r="733">
      <c r="A733" s="152">
        <v>2023.0</v>
      </c>
      <c r="B733" s="151">
        <v>340.0</v>
      </c>
      <c r="C733" s="129" t="s">
        <v>140</v>
      </c>
      <c r="D733" s="8"/>
      <c r="E733" s="8" t="s">
        <v>8189</v>
      </c>
      <c r="F733" s="8" t="s">
        <v>7355</v>
      </c>
      <c r="G733" s="8">
        <f>IFERROR(__xludf.DUMMYFUNCTION("""COMPUTED_VALUE"""),253.0)</f>
        <v>253</v>
      </c>
      <c r="H733" s="8" t="s">
        <v>171</v>
      </c>
      <c r="I733" s="8" t="s">
        <v>172</v>
      </c>
      <c r="J733" s="8" t="s">
        <v>7356</v>
      </c>
      <c r="K733" s="8" t="s">
        <v>1552</v>
      </c>
      <c r="L733" s="8" t="s">
        <v>1553</v>
      </c>
      <c r="N733" s="142" t="s">
        <v>6030</v>
      </c>
      <c r="O733" s="142"/>
      <c r="P733" s="142"/>
      <c r="Q733" s="8" t="s">
        <v>151</v>
      </c>
      <c r="U733" s="8" t="s">
        <v>7357</v>
      </c>
      <c r="AB733" s="8" t="s">
        <v>7358</v>
      </c>
      <c r="AD733" s="8" t="s">
        <v>1559</v>
      </c>
      <c r="AE733" s="8" t="s">
        <v>1560</v>
      </c>
    </row>
    <row r="734">
      <c r="A734" s="152">
        <v>2024.0</v>
      </c>
      <c r="B734" s="151">
        <v>247.0</v>
      </c>
      <c r="C734" s="153"/>
      <c r="D734" s="153"/>
      <c r="E734" s="153" t="s">
        <v>8189</v>
      </c>
      <c r="F734" s="153" t="s">
        <v>8469</v>
      </c>
      <c r="G734" s="153">
        <f>IFERROR(__xludf.DUMMYFUNCTION("""COMPUTED_VALUE"""),254.0)</f>
        <v>254</v>
      </c>
      <c r="H734" s="153" t="s">
        <v>314</v>
      </c>
      <c r="I734" s="153" t="s">
        <v>858</v>
      </c>
      <c r="J734" s="153" t="s">
        <v>1296</v>
      </c>
      <c r="K734" s="153" t="s">
        <v>1297</v>
      </c>
      <c r="L734" s="153" t="s">
        <v>1174</v>
      </c>
      <c r="M734" s="153"/>
      <c r="N734" s="192">
        <v>2013.0</v>
      </c>
      <c r="O734" s="230">
        <v>2012.0</v>
      </c>
      <c r="P734" s="230">
        <v>2013.0</v>
      </c>
      <c r="Q734" s="153" t="s">
        <v>6062</v>
      </c>
      <c r="R734" s="153" t="s">
        <v>1201</v>
      </c>
      <c r="S734" s="158" t="s">
        <v>179</v>
      </c>
      <c r="T734" s="158" t="s">
        <v>149</v>
      </c>
      <c r="U734" s="153" t="s">
        <v>321</v>
      </c>
      <c r="V734" s="158" t="s">
        <v>160</v>
      </c>
      <c r="W734" s="158" t="s">
        <v>6035</v>
      </c>
      <c r="X734" s="158" t="s">
        <v>204</v>
      </c>
      <c r="Y734" s="158" t="s">
        <v>149</v>
      </c>
      <c r="Z734" s="158" t="s">
        <v>149</v>
      </c>
      <c r="AA734" s="153" t="s">
        <v>1298</v>
      </c>
      <c r="AB734" s="153" t="s">
        <v>885</v>
      </c>
      <c r="AC734" s="158" t="s">
        <v>6068</v>
      </c>
      <c r="AD734" s="153" t="s">
        <v>1299</v>
      </c>
      <c r="AE734" s="153"/>
      <c r="AF734" s="153"/>
      <c r="AG734" s="158" t="s">
        <v>6069</v>
      </c>
      <c r="AH734" s="153" t="s">
        <v>1300</v>
      </c>
      <c r="AI734" s="153" t="s">
        <v>7029</v>
      </c>
      <c r="AJ734" s="153"/>
      <c r="AK734" s="153"/>
    </row>
    <row r="735">
      <c r="A735" s="152">
        <v>2023.0</v>
      </c>
      <c r="B735" s="151">
        <v>341.0</v>
      </c>
      <c r="C735" s="129" t="s">
        <v>140</v>
      </c>
      <c r="D735" s="8"/>
      <c r="E735" s="8" t="s">
        <v>8189</v>
      </c>
      <c r="F735" s="8" t="s">
        <v>7361</v>
      </c>
      <c r="G735" s="8">
        <f>IFERROR(__xludf.DUMMYFUNCTION("""COMPUTED_VALUE"""),255.0)</f>
        <v>255</v>
      </c>
      <c r="H735" s="8" t="s">
        <v>171</v>
      </c>
      <c r="I735" s="8" t="s">
        <v>172</v>
      </c>
      <c r="J735" s="8" t="s">
        <v>7356</v>
      </c>
      <c r="K735" s="8" t="s">
        <v>1552</v>
      </c>
      <c r="L735" s="8" t="s">
        <v>6113</v>
      </c>
      <c r="N735" s="142" t="s">
        <v>6064</v>
      </c>
      <c r="O735" s="142"/>
      <c r="P735" s="142"/>
      <c r="Q735" s="8" t="s">
        <v>151</v>
      </c>
      <c r="R735" s="8" t="s">
        <v>2631</v>
      </c>
      <c r="T735" s="8" t="s">
        <v>7362</v>
      </c>
      <c r="U735" s="8" t="s">
        <v>7363</v>
      </c>
      <c r="AB735" s="8" t="s">
        <v>7364</v>
      </c>
      <c r="AD735" s="8" t="s">
        <v>390</v>
      </c>
      <c r="AH735" s="8" t="s">
        <v>166</v>
      </c>
      <c r="AI735" s="8" t="s">
        <v>2640</v>
      </c>
    </row>
    <row r="736">
      <c r="A736" s="152">
        <v>2023.0</v>
      </c>
      <c r="B736" s="151">
        <v>342.0</v>
      </c>
      <c r="C736" s="129" t="s">
        <v>140</v>
      </c>
      <c r="D736" s="8"/>
      <c r="E736" s="8" t="s">
        <v>8189</v>
      </c>
      <c r="F736" s="8" t="s">
        <v>7366</v>
      </c>
      <c r="G736" s="8">
        <f>IFERROR(__xludf.DUMMYFUNCTION("""COMPUTED_VALUE"""),256.0)</f>
        <v>256</v>
      </c>
      <c r="H736" s="8" t="s">
        <v>171</v>
      </c>
      <c r="I736" s="8" t="s">
        <v>172</v>
      </c>
      <c r="J736" s="8" t="s">
        <v>611</v>
      </c>
      <c r="K736" s="277" t="s">
        <v>612</v>
      </c>
      <c r="L736" s="8" t="s">
        <v>384</v>
      </c>
      <c r="N736" s="142" t="s">
        <v>6051</v>
      </c>
      <c r="O736" s="142" t="s">
        <v>6052</v>
      </c>
      <c r="P736" s="142" t="s">
        <v>6053</v>
      </c>
      <c r="Q736" s="8" t="s">
        <v>151</v>
      </c>
      <c r="R736" s="8" t="s">
        <v>6054</v>
      </c>
      <c r="U736" s="8" t="s">
        <v>390</v>
      </c>
      <c r="AB736" s="8" t="s">
        <v>390</v>
      </c>
      <c r="AD736" s="8" t="s">
        <v>6055</v>
      </c>
      <c r="AH736" s="8" t="s">
        <v>6057</v>
      </c>
      <c r="AI736" s="8" t="s">
        <v>2873</v>
      </c>
      <c r="AJ736" s="8" t="s">
        <v>398</v>
      </c>
    </row>
    <row r="737">
      <c r="A737" s="152">
        <v>2024.0</v>
      </c>
      <c r="B737" s="151">
        <v>248.0</v>
      </c>
      <c r="C737" s="153"/>
      <c r="D737" s="153"/>
      <c r="E737" s="153" t="s">
        <v>8189</v>
      </c>
      <c r="F737" s="153" t="s">
        <v>8470</v>
      </c>
      <c r="G737" s="153">
        <f>IFERROR(__xludf.DUMMYFUNCTION("""COMPUTED_VALUE"""),257.0)</f>
        <v>257</v>
      </c>
      <c r="H737" s="153" t="s">
        <v>314</v>
      </c>
      <c r="I737" s="153" t="s">
        <v>858</v>
      </c>
      <c r="J737" s="153" t="s">
        <v>1296</v>
      </c>
      <c r="K737" s="153" t="s">
        <v>1297</v>
      </c>
      <c r="L737" s="153" t="s">
        <v>6587</v>
      </c>
      <c r="M737" s="153"/>
      <c r="N737" s="230">
        <v>2016.0</v>
      </c>
      <c r="O737" s="192" t="s">
        <v>149</v>
      </c>
      <c r="P737" s="192" t="s">
        <v>149</v>
      </c>
      <c r="Q737" s="158" t="s">
        <v>149</v>
      </c>
      <c r="R737" s="158" t="s">
        <v>149</v>
      </c>
      <c r="S737" s="158" t="s">
        <v>149</v>
      </c>
      <c r="T737" s="153" t="s">
        <v>2147</v>
      </c>
      <c r="U737" s="158" t="s">
        <v>341</v>
      </c>
      <c r="V737" s="158" t="s">
        <v>160</v>
      </c>
      <c r="W737" s="158" t="s">
        <v>6035</v>
      </c>
      <c r="X737" s="158" t="s">
        <v>159</v>
      </c>
      <c r="Y737" s="158" t="s">
        <v>149</v>
      </c>
      <c r="Z737" s="158" t="s">
        <v>149</v>
      </c>
      <c r="AA737" s="158" t="s">
        <v>149</v>
      </c>
      <c r="AB737" s="153" t="s">
        <v>341</v>
      </c>
      <c r="AC737" s="153" t="s">
        <v>6035</v>
      </c>
      <c r="AD737" s="153"/>
      <c r="AE737" s="153"/>
      <c r="AF737" s="153"/>
      <c r="AG737" s="153" t="s">
        <v>6038</v>
      </c>
      <c r="AH737" s="153" t="s">
        <v>2148</v>
      </c>
      <c r="AI737" s="165" t="s">
        <v>2149</v>
      </c>
      <c r="AJ737" s="239"/>
      <c r="AK737" s="153"/>
    </row>
    <row r="738">
      <c r="A738" s="152">
        <v>2023.0</v>
      </c>
      <c r="B738" s="151">
        <v>343.0</v>
      </c>
      <c r="C738" s="129" t="s">
        <v>140</v>
      </c>
      <c r="D738" s="8"/>
      <c r="E738" s="8" t="s">
        <v>8189</v>
      </c>
      <c r="F738" s="8" t="s">
        <v>8471</v>
      </c>
      <c r="G738" s="8">
        <f>IFERROR(__xludf.DUMMYFUNCTION("""COMPUTED_VALUE"""),258.0)</f>
        <v>258</v>
      </c>
      <c r="H738" s="8" t="s">
        <v>171</v>
      </c>
      <c r="I738" s="8" t="s">
        <v>172</v>
      </c>
      <c r="J738" s="8" t="s">
        <v>277</v>
      </c>
      <c r="K738" s="8" t="s">
        <v>278</v>
      </c>
      <c r="L738" s="8" t="s">
        <v>7370</v>
      </c>
      <c r="N738" s="142" t="s">
        <v>6113</v>
      </c>
      <c r="O738" s="142"/>
      <c r="P738" s="142"/>
      <c r="Q738" s="8" t="s">
        <v>151</v>
      </c>
      <c r="R738" s="8" t="s">
        <v>8472</v>
      </c>
      <c r="T738" s="8" t="s">
        <v>286</v>
      </c>
      <c r="U738" s="8" t="s">
        <v>287</v>
      </c>
      <c r="AB738" s="8" t="s">
        <v>287</v>
      </c>
      <c r="AE738" s="8" t="s">
        <v>288</v>
      </c>
      <c r="AH738" s="8" t="s">
        <v>6091</v>
      </c>
      <c r="AI738" s="8" t="s">
        <v>7371</v>
      </c>
    </row>
    <row r="739">
      <c r="A739" s="152">
        <v>2023.0</v>
      </c>
      <c r="B739" s="151">
        <v>344.0</v>
      </c>
      <c r="C739" s="129" t="s">
        <v>140</v>
      </c>
      <c r="D739" s="8"/>
      <c r="E739" s="8" t="s">
        <v>8189</v>
      </c>
      <c r="F739" s="8" t="s">
        <v>7374</v>
      </c>
      <c r="G739" s="8">
        <f>IFERROR(__xludf.DUMMYFUNCTION("""COMPUTED_VALUE"""),259.0)</f>
        <v>259</v>
      </c>
      <c r="H739" s="8" t="s">
        <v>171</v>
      </c>
      <c r="I739" s="8" t="s">
        <v>172</v>
      </c>
      <c r="J739" s="8" t="s">
        <v>2642</v>
      </c>
      <c r="K739" s="8" t="s">
        <v>2643</v>
      </c>
      <c r="L739" s="8" t="s">
        <v>6113</v>
      </c>
      <c r="M739" s="8" t="s">
        <v>7375</v>
      </c>
      <c r="N739" s="142" t="s">
        <v>6145</v>
      </c>
      <c r="O739" s="142"/>
      <c r="P739" s="142"/>
      <c r="Q739" s="8" t="s">
        <v>6062</v>
      </c>
      <c r="R739" s="8" t="s">
        <v>6666</v>
      </c>
      <c r="U739" s="8" t="s">
        <v>2816</v>
      </c>
      <c r="AB739" s="8" t="s">
        <v>2816</v>
      </c>
      <c r="AD739" s="8" t="s">
        <v>7376</v>
      </c>
      <c r="AH739" s="8" t="s">
        <v>166</v>
      </c>
      <c r="AI739" s="172" t="s">
        <v>2819</v>
      </c>
    </row>
    <row r="740">
      <c r="A740" s="152">
        <v>2024.0</v>
      </c>
      <c r="B740" s="151">
        <v>249.0</v>
      </c>
      <c r="C740" s="153"/>
      <c r="D740" s="153"/>
      <c r="E740" s="153" t="s">
        <v>8189</v>
      </c>
      <c r="F740" s="153" t="s">
        <v>8473</v>
      </c>
      <c r="G740" s="153">
        <f>IFERROR(__xludf.DUMMYFUNCTION("""COMPUTED_VALUE"""),260.0)</f>
        <v>260</v>
      </c>
      <c r="H740" s="153" t="s">
        <v>314</v>
      </c>
      <c r="I740" s="153" t="s">
        <v>858</v>
      </c>
      <c r="J740" s="153" t="s">
        <v>3122</v>
      </c>
      <c r="K740" s="153" t="s">
        <v>3123</v>
      </c>
      <c r="L740" s="158" t="s">
        <v>149</v>
      </c>
      <c r="M740" s="153"/>
      <c r="N740" s="230">
        <v>2015.0</v>
      </c>
      <c r="O740" s="192" t="s">
        <v>149</v>
      </c>
      <c r="P740" s="192" t="s">
        <v>149</v>
      </c>
      <c r="Q740" s="153" t="s">
        <v>151</v>
      </c>
      <c r="R740" s="153" t="s">
        <v>7036</v>
      </c>
      <c r="S740" s="158" t="s">
        <v>790</v>
      </c>
      <c r="T740" s="158" t="s">
        <v>149</v>
      </c>
      <c r="U740" s="153" t="s">
        <v>3124</v>
      </c>
      <c r="V740" s="158" t="s">
        <v>160</v>
      </c>
      <c r="W740" s="158" t="s">
        <v>6035</v>
      </c>
      <c r="X740" s="158" t="s">
        <v>159</v>
      </c>
      <c r="Y740" s="158" t="s">
        <v>149</v>
      </c>
      <c r="Z740" s="158" t="s">
        <v>149</v>
      </c>
      <c r="AA740" s="158" t="s">
        <v>149</v>
      </c>
      <c r="AB740" s="153" t="s">
        <v>3124</v>
      </c>
      <c r="AC740" s="153" t="s">
        <v>6035</v>
      </c>
      <c r="AD740" s="153" t="s">
        <v>7037</v>
      </c>
      <c r="AE740" s="153"/>
      <c r="AF740" s="153"/>
      <c r="AG740" s="153" t="s">
        <v>6038</v>
      </c>
      <c r="AH740" s="153" t="s">
        <v>3127</v>
      </c>
      <c r="AI740" s="177" t="s">
        <v>3128</v>
      </c>
      <c r="AJ740" s="239"/>
      <c r="AK740" s="153"/>
    </row>
    <row r="741">
      <c r="A741" s="152">
        <v>2023.0</v>
      </c>
      <c r="B741" s="151">
        <v>345.0</v>
      </c>
      <c r="C741" s="129" t="s">
        <v>140</v>
      </c>
      <c r="D741" s="8"/>
      <c r="E741" s="8" t="s">
        <v>8189</v>
      </c>
      <c r="F741" s="8" t="s">
        <v>7380</v>
      </c>
      <c r="G741" s="8">
        <f>IFERROR(__xludf.DUMMYFUNCTION("""COMPUTED_VALUE"""),261.0)</f>
        <v>261</v>
      </c>
      <c r="H741" s="8" t="s">
        <v>171</v>
      </c>
      <c r="I741" s="8" t="s">
        <v>172</v>
      </c>
      <c r="J741" s="8" t="s">
        <v>5529</v>
      </c>
      <c r="K741" s="8" t="s">
        <v>5530</v>
      </c>
      <c r="L741" s="8" t="s">
        <v>6113</v>
      </c>
      <c r="N741" s="142" t="s">
        <v>6230</v>
      </c>
      <c r="O741" s="142"/>
      <c r="P741" s="142"/>
      <c r="Q741" s="8" t="s">
        <v>151</v>
      </c>
      <c r="AB741" s="8" t="s">
        <v>1974</v>
      </c>
    </row>
    <row r="742">
      <c r="A742" s="152">
        <v>2023.0</v>
      </c>
      <c r="B742" s="151">
        <v>346.0</v>
      </c>
      <c r="C742" s="129" t="s">
        <v>140</v>
      </c>
      <c r="D742" s="8"/>
      <c r="E742" s="8" t="s">
        <v>8189</v>
      </c>
      <c r="F742" s="8" t="s">
        <v>8474</v>
      </c>
      <c r="G742" s="8">
        <f>IFERROR(__xludf.DUMMYFUNCTION("""COMPUTED_VALUE"""),262.0)</f>
        <v>262</v>
      </c>
      <c r="H742" s="8" t="s">
        <v>171</v>
      </c>
      <c r="I742" s="8" t="s">
        <v>172</v>
      </c>
      <c r="J742" s="8" t="s">
        <v>173</v>
      </c>
      <c r="K742" s="8" t="s">
        <v>174</v>
      </c>
      <c r="L742" s="8" t="s">
        <v>6113</v>
      </c>
      <c r="M742" s="8" t="s">
        <v>7383</v>
      </c>
      <c r="N742" s="142" t="s">
        <v>6113</v>
      </c>
      <c r="O742" s="142"/>
      <c r="P742" s="142"/>
      <c r="Q742" s="8" t="s">
        <v>151</v>
      </c>
      <c r="R742" s="8" t="s">
        <v>2217</v>
      </c>
      <c r="AB742" s="8" t="s">
        <v>2752</v>
      </c>
      <c r="AH742" s="8" t="s">
        <v>6038</v>
      </c>
      <c r="AI742" s="8" t="s">
        <v>2754</v>
      </c>
      <c r="AJ742" s="8" t="s">
        <v>188</v>
      </c>
      <c r="AK742" s="172" t="s">
        <v>1140</v>
      </c>
    </row>
    <row r="743">
      <c r="A743" s="152">
        <v>2024.0</v>
      </c>
      <c r="B743" s="151">
        <v>250.0</v>
      </c>
      <c r="C743" s="153"/>
      <c r="D743" s="153"/>
      <c r="E743" s="153" t="s">
        <v>8189</v>
      </c>
      <c r="F743" s="153" t="s">
        <v>8475</v>
      </c>
      <c r="G743" s="153">
        <f>IFERROR(__xludf.DUMMYFUNCTION("""COMPUTED_VALUE"""),263.0)</f>
        <v>263</v>
      </c>
      <c r="H743" s="153" t="s">
        <v>314</v>
      </c>
      <c r="I743" s="153" t="s">
        <v>858</v>
      </c>
      <c r="J743" s="153" t="s">
        <v>2660</v>
      </c>
      <c r="K743" s="153" t="s">
        <v>2661</v>
      </c>
      <c r="L743" s="158" t="s">
        <v>149</v>
      </c>
      <c r="M743" s="153" t="s">
        <v>2662</v>
      </c>
      <c r="N743" s="230">
        <v>2022.0</v>
      </c>
      <c r="O743" s="192" t="s">
        <v>149</v>
      </c>
      <c r="P743" s="192" t="s">
        <v>149</v>
      </c>
      <c r="Q743" s="153" t="s">
        <v>151</v>
      </c>
      <c r="R743" s="153" t="s">
        <v>7040</v>
      </c>
      <c r="S743" s="158" t="s">
        <v>337</v>
      </c>
      <c r="T743" s="153" t="s">
        <v>2663</v>
      </c>
      <c r="U743" s="153" t="s">
        <v>2664</v>
      </c>
      <c r="V743" s="158" t="s">
        <v>160</v>
      </c>
      <c r="W743" s="158" t="s">
        <v>184</v>
      </c>
      <c r="X743" s="158" t="s">
        <v>159</v>
      </c>
      <c r="Y743" s="158" t="s">
        <v>149</v>
      </c>
      <c r="Z743" s="158" t="s">
        <v>149</v>
      </c>
      <c r="AA743" s="158" t="s">
        <v>149</v>
      </c>
      <c r="AB743" s="153" t="s">
        <v>2664</v>
      </c>
      <c r="AC743" s="158" t="s">
        <v>184</v>
      </c>
      <c r="AD743" s="153"/>
      <c r="AE743" s="153"/>
      <c r="AF743" s="153"/>
      <c r="AG743" s="158" t="s">
        <v>166</v>
      </c>
      <c r="AH743" s="153" t="s">
        <v>2665</v>
      </c>
      <c r="AI743" s="172" t="s">
        <v>2666</v>
      </c>
      <c r="AJ743" s="239"/>
      <c r="AK743" s="153"/>
    </row>
    <row r="744">
      <c r="A744" s="152">
        <v>2023.0</v>
      </c>
      <c r="B744" s="151">
        <v>347.0</v>
      </c>
      <c r="C744" s="129" t="s">
        <v>140</v>
      </c>
      <c r="D744" s="8"/>
      <c r="E744" s="8" t="s">
        <v>8189</v>
      </c>
      <c r="F744" s="8" t="s">
        <v>7386</v>
      </c>
      <c r="G744" s="8">
        <f>IFERROR(__xludf.DUMMYFUNCTION("""COMPUTED_VALUE"""),264.0)</f>
        <v>264</v>
      </c>
      <c r="H744" s="8" t="s">
        <v>171</v>
      </c>
      <c r="I744" s="8" t="s">
        <v>172</v>
      </c>
      <c r="J744" s="8" t="s">
        <v>173</v>
      </c>
      <c r="K744" s="8" t="s">
        <v>174</v>
      </c>
      <c r="L744" s="8" t="s">
        <v>6113</v>
      </c>
      <c r="M744" s="8" t="s">
        <v>7383</v>
      </c>
      <c r="N744" s="142" t="s">
        <v>6152</v>
      </c>
      <c r="O744" s="142"/>
      <c r="P744" s="142"/>
      <c r="Q744" s="8" t="s">
        <v>151</v>
      </c>
      <c r="R744" s="8" t="s">
        <v>2758</v>
      </c>
      <c r="T744" s="8" t="s">
        <v>7387</v>
      </c>
      <c r="U744" s="8" t="s">
        <v>2752</v>
      </c>
      <c r="AB744" s="8" t="s">
        <v>2752</v>
      </c>
      <c r="AH744" s="8" t="s">
        <v>6091</v>
      </c>
      <c r="AI744" s="8" t="s">
        <v>2760</v>
      </c>
      <c r="AJ744" s="8" t="s">
        <v>188</v>
      </c>
      <c r="AK744" s="172" t="s">
        <v>1140</v>
      </c>
    </row>
    <row r="745">
      <c r="A745" s="152">
        <v>2023.0</v>
      </c>
      <c r="B745" s="151">
        <v>348.0</v>
      </c>
      <c r="C745" s="129" t="s">
        <v>140</v>
      </c>
      <c r="D745" s="8"/>
      <c r="E745" s="8" t="s">
        <v>8189</v>
      </c>
      <c r="F745" s="8" t="s">
        <v>8476</v>
      </c>
      <c r="G745" s="8">
        <f>IFERROR(__xludf.DUMMYFUNCTION("""COMPUTED_VALUE"""),265.0)</f>
        <v>265</v>
      </c>
      <c r="H745" s="8" t="s">
        <v>171</v>
      </c>
      <c r="I745" s="8" t="s">
        <v>172</v>
      </c>
      <c r="J745" s="8" t="s">
        <v>173</v>
      </c>
      <c r="K745" s="8" t="s">
        <v>174</v>
      </c>
      <c r="L745" s="8" t="s">
        <v>7390</v>
      </c>
      <c r="M745" s="8" t="s">
        <v>7391</v>
      </c>
      <c r="N745" s="142"/>
      <c r="O745" s="142"/>
      <c r="P745" s="142"/>
      <c r="Q745" s="8" t="s">
        <v>6062</v>
      </c>
      <c r="R745" s="8" t="s">
        <v>179</v>
      </c>
      <c r="T745" s="8" t="s">
        <v>286</v>
      </c>
      <c r="U745" s="8" t="s">
        <v>2093</v>
      </c>
      <c r="Y745" s="8" t="s">
        <v>8035</v>
      </c>
      <c r="AB745" s="8" t="s">
        <v>2094</v>
      </c>
      <c r="AD745" s="8" t="s">
        <v>369</v>
      </c>
      <c r="AH745" s="8" t="s">
        <v>166</v>
      </c>
      <c r="AI745" s="8" t="s">
        <v>7392</v>
      </c>
    </row>
    <row r="746">
      <c r="A746" s="152">
        <v>2024.0</v>
      </c>
      <c r="B746" s="151">
        <v>251.0</v>
      </c>
      <c r="C746" s="153"/>
      <c r="D746" s="153"/>
      <c r="E746" s="153" t="s">
        <v>8189</v>
      </c>
      <c r="F746" s="153" t="s">
        <v>8477</v>
      </c>
      <c r="G746" s="153">
        <f>IFERROR(__xludf.DUMMYFUNCTION("""COMPUTED_VALUE"""),266.0)</f>
        <v>266</v>
      </c>
      <c r="H746" s="153" t="s">
        <v>314</v>
      </c>
      <c r="I746" s="153" t="s">
        <v>858</v>
      </c>
      <c r="J746" s="153" t="s">
        <v>859</v>
      </c>
      <c r="K746" s="153" t="s">
        <v>860</v>
      </c>
      <c r="L746" s="153" t="s">
        <v>861</v>
      </c>
      <c r="M746" s="153"/>
      <c r="N746" s="230">
        <v>1994.0</v>
      </c>
      <c r="O746" s="192" t="s">
        <v>149</v>
      </c>
      <c r="P746" s="192" t="s">
        <v>149</v>
      </c>
      <c r="Q746" s="153" t="s">
        <v>151</v>
      </c>
      <c r="R746" s="153" t="s">
        <v>3393</v>
      </c>
      <c r="S746" s="158" t="s">
        <v>3393</v>
      </c>
      <c r="T746" s="153" t="s">
        <v>866</v>
      </c>
      <c r="U746" s="158" t="s">
        <v>149</v>
      </c>
      <c r="V746" s="158" t="s">
        <v>149</v>
      </c>
      <c r="W746" s="158" t="s">
        <v>149</v>
      </c>
      <c r="X746" s="158" t="s">
        <v>149</v>
      </c>
      <c r="Y746" s="158" t="s">
        <v>149</v>
      </c>
      <c r="Z746" s="158" t="s">
        <v>149</v>
      </c>
      <c r="AA746" s="153" t="s">
        <v>867</v>
      </c>
      <c r="AB746" s="153" t="s">
        <v>868</v>
      </c>
      <c r="AC746" s="158" t="s">
        <v>869</v>
      </c>
      <c r="AD746" s="153"/>
      <c r="AE746" s="153"/>
      <c r="AF746" s="153"/>
      <c r="AG746" s="158" t="s">
        <v>395</v>
      </c>
      <c r="AH746" s="153" t="s">
        <v>6060</v>
      </c>
      <c r="AI746" s="153" t="s">
        <v>2873</v>
      </c>
      <c r="AJ746" s="153" t="s">
        <v>398</v>
      </c>
      <c r="AK746" s="153"/>
    </row>
    <row r="747">
      <c r="A747" s="152">
        <v>2023.0</v>
      </c>
      <c r="B747" s="151">
        <v>349.0</v>
      </c>
      <c r="C747" s="129" t="s">
        <v>140</v>
      </c>
      <c r="D747" s="8"/>
      <c r="E747" s="8" t="s">
        <v>8189</v>
      </c>
      <c r="F747" s="8" t="s">
        <v>8478</v>
      </c>
      <c r="G747" s="8">
        <f>IFERROR(__xludf.DUMMYFUNCTION("""COMPUTED_VALUE"""),267.0)</f>
        <v>267</v>
      </c>
      <c r="H747" s="8" t="s">
        <v>171</v>
      </c>
      <c r="I747" s="8" t="s">
        <v>172</v>
      </c>
      <c r="J747" s="8" t="s">
        <v>173</v>
      </c>
      <c r="K747" s="8" t="s">
        <v>174</v>
      </c>
      <c r="L747" s="8" t="s">
        <v>7394</v>
      </c>
      <c r="N747" s="142"/>
      <c r="O747" s="142" t="s">
        <v>6596</v>
      </c>
      <c r="P747" s="142" t="s">
        <v>6392</v>
      </c>
      <c r="Q747" s="8" t="s">
        <v>6062</v>
      </c>
      <c r="R747" s="8" t="s">
        <v>179</v>
      </c>
      <c r="U747" s="8" t="s">
        <v>2752</v>
      </c>
      <c r="AB747" s="8" t="s">
        <v>2752</v>
      </c>
      <c r="AE747" s="8" t="s">
        <v>185</v>
      </c>
      <c r="AH747" s="8" t="s">
        <v>166</v>
      </c>
      <c r="AI747" s="8" t="s">
        <v>187</v>
      </c>
      <c r="AJ747" s="8" t="s">
        <v>188</v>
      </c>
      <c r="AK747" s="172" t="s">
        <v>1140</v>
      </c>
    </row>
    <row r="748">
      <c r="A748" s="152">
        <v>2023.0</v>
      </c>
      <c r="B748" s="151">
        <v>350.0</v>
      </c>
      <c r="C748" s="129" t="s">
        <v>140</v>
      </c>
      <c r="D748" s="8"/>
      <c r="E748" s="8" t="s">
        <v>8189</v>
      </c>
      <c r="F748" s="8" t="s">
        <v>8479</v>
      </c>
      <c r="G748" s="8">
        <f>IFERROR(__xludf.DUMMYFUNCTION("""COMPUTED_VALUE"""),268.0)</f>
        <v>268</v>
      </c>
      <c r="H748" s="8" t="s">
        <v>171</v>
      </c>
      <c r="I748" s="8" t="s">
        <v>172</v>
      </c>
      <c r="J748" s="8" t="s">
        <v>173</v>
      </c>
      <c r="K748" s="8" t="s">
        <v>174</v>
      </c>
      <c r="L748" s="153" t="s">
        <v>1132</v>
      </c>
      <c r="N748" s="142" t="s">
        <v>6113</v>
      </c>
      <c r="O748" s="142"/>
      <c r="P748" s="142"/>
      <c r="Q748" s="8" t="s">
        <v>6062</v>
      </c>
      <c r="R748" s="8" t="s">
        <v>1134</v>
      </c>
      <c r="T748" s="8" t="s">
        <v>7400</v>
      </c>
      <c r="U748" s="8" t="s">
        <v>2752</v>
      </c>
      <c r="AB748" s="8" t="s">
        <v>2752</v>
      </c>
      <c r="AE748" s="8" t="s">
        <v>185</v>
      </c>
      <c r="AH748" s="8" t="s">
        <v>166</v>
      </c>
      <c r="AI748" s="172" t="s">
        <v>1139</v>
      </c>
      <c r="AJ748" s="8" t="s">
        <v>188</v>
      </c>
      <c r="AK748" s="172" t="s">
        <v>1140</v>
      </c>
    </row>
    <row r="749">
      <c r="A749" s="152">
        <v>2023.0</v>
      </c>
      <c r="B749" s="151">
        <v>351.0</v>
      </c>
      <c r="C749" s="129" t="s">
        <v>140</v>
      </c>
      <c r="D749" s="8"/>
      <c r="E749" s="8" t="s">
        <v>8189</v>
      </c>
      <c r="F749" s="8" t="s">
        <v>7401</v>
      </c>
      <c r="G749" s="8">
        <f>IFERROR(__xludf.DUMMYFUNCTION("""COMPUTED_VALUE"""),269.0)</f>
        <v>269</v>
      </c>
      <c r="H749" s="8" t="s">
        <v>171</v>
      </c>
      <c r="I749" s="8" t="s">
        <v>172</v>
      </c>
      <c r="J749" s="8" t="s">
        <v>3173</v>
      </c>
      <c r="K749" s="8" t="s">
        <v>3174</v>
      </c>
      <c r="L749" s="8" t="s">
        <v>6113</v>
      </c>
      <c r="M749" s="8" t="s">
        <v>8166</v>
      </c>
      <c r="N749" s="142" t="s">
        <v>6064</v>
      </c>
      <c r="O749" s="142"/>
      <c r="P749" s="142"/>
      <c r="Q749" s="8" t="s">
        <v>151</v>
      </c>
      <c r="AB749" s="8" t="s">
        <v>6113</v>
      </c>
      <c r="AH749" s="8" t="s">
        <v>166</v>
      </c>
      <c r="AI749" s="172" t="s">
        <v>3176</v>
      </c>
    </row>
    <row r="750">
      <c r="A750" s="152">
        <v>2024.0</v>
      </c>
      <c r="B750" s="151">
        <v>252.0</v>
      </c>
      <c r="C750" s="153"/>
      <c r="D750" s="153"/>
      <c r="E750" s="153" t="s">
        <v>8189</v>
      </c>
      <c r="F750" s="153" t="s">
        <v>8480</v>
      </c>
      <c r="G750" s="153">
        <f>IFERROR(__xludf.DUMMYFUNCTION("""COMPUTED_VALUE"""),270.0)</f>
        <v>270</v>
      </c>
      <c r="H750" s="153" t="s">
        <v>314</v>
      </c>
      <c r="I750" s="153" t="s">
        <v>1364</v>
      </c>
      <c r="J750" s="153" t="s">
        <v>3917</v>
      </c>
      <c r="K750" s="153" t="s">
        <v>3131</v>
      </c>
      <c r="L750" s="158" t="s">
        <v>149</v>
      </c>
      <c r="M750" s="153" t="s">
        <v>7017</v>
      </c>
      <c r="N750" s="192" t="s">
        <v>149</v>
      </c>
      <c r="O750" s="192" t="s">
        <v>149</v>
      </c>
      <c r="P750" s="192" t="s">
        <v>149</v>
      </c>
      <c r="Q750" s="153" t="s">
        <v>151</v>
      </c>
      <c r="R750" s="153" t="s">
        <v>790</v>
      </c>
      <c r="S750" s="158" t="s">
        <v>790</v>
      </c>
      <c r="T750" s="158" t="s">
        <v>149</v>
      </c>
      <c r="U750" s="153" t="s">
        <v>390</v>
      </c>
      <c r="V750" s="158" t="s">
        <v>160</v>
      </c>
      <c r="W750" s="158" t="s">
        <v>6035</v>
      </c>
      <c r="X750" s="158" t="s">
        <v>159</v>
      </c>
      <c r="Y750" s="158" t="s">
        <v>149</v>
      </c>
      <c r="Z750" s="158" t="s">
        <v>149</v>
      </c>
      <c r="AA750" s="153" t="s">
        <v>3133</v>
      </c>
      <c r="AB750" s="153" t="s">
        <v>228</v>
      </c>
      <c r="AC750" s="153" t="s">
        <v>6035</v>
      </c>
      <c r="AD750" s="153"/>
      <c r="AE750" s="153"/>
      <c r="AF750" s="153"/>
      <c r="AG750" s="158" t="s">
        <v>6027</v>
      </c>
      <c r="AH750" s="153" t="s">
        <v>3134</v>
      </c>
      <c r="AI750" s="165" t="s">
        <v>3135</v>
      </c>
      <c r="AJ750" s="153"/>
      <c r="AK750" s="153"/>
    </row>
    <row r="751">
      <c r="A751" s="152">
        <v>2023.0</v>
      </c>
      <c r="B751" s="151">
        <v>352.0</v>
      </c>
      <c r="C751" s="129" t="s">
        <v>140</v>
      </c>
      <c r="D751" s="8"/>
      <c r="E751" s="8" t="s">
        <v>8189</v>
      </c>
      <c r="F751" s="8" t="s">
        <v>7404</v>
      </c>
      <c r="G751" s="8">
        <f>IFERROR(__xludf.DUMMYFUNCTION("""COMPUTED_VALUE"""),271.0)</f>
        <v>271</v>
      </c>
      <c r="H751" s="8" t="s">
        <v>171</v>
      </c>
      <c r="I751" s="8" t="s">
        <v>172</v>
      </c>
      <c r="J751" s="8" t="s">
        <v>2021</v>
      </c>
      <c r="K751" s="8" t="s">
        <v>2022</v>
      </c>
      <c r="L751" s="8" t="s">
        <v>2023</v>
      </c>
      <c r="M751" s="8" t="s">
        <v>7405</v>
      </c>
      <c r="N751" s="142" t="s">
        <v>6268</v>
      </c>
      <c r="O751" s="142"/>
      <c r="P751" s="142"/>
      <c r="Q751" s="8" t="s">
        <v>151</v>
      </c>
      <c r="R751" s="8" t="s">
        <v>362</v>
      </c>
      <c r="T751" s="8" t="s">
        <v>2026</v>
      </c>
      <c r="U751" s="8" t="s">
        <v>2027</v>
      </c>
      <c r="AB751" s="8" t="s">
        <v>2027</v>
      </c>
      <c r="AD751" s="8" t="s">
        <v>369</v>
      </c>
      <c r="AE751" s="8" t="s">
        <v>7406</v>
      </c>
      <c r="AH751" s="8" t="s">
        <v>166</v>
      </c>
      <c r="AI751" s="172" t="s">
        <v>2031</v>
      </c>
    </row>
    <row r="752">
      <c r="A752" s="152">
        <v>2025.0</v>
      </c>
      <c r="B752" s="151">
        <v>352.0</v>
      </c>
      <c r="C752" s="153" t="s">
        <v>8189</v>
      </c>
      <c r="D752" s="153"/>
      <c r="E752" s="153" t="s">
        <v>8301</v>
      </c>
      <c r="F752" s="153" t="s">
        <v>7407</v>
      </c>
      <c r="G752" s="153">
        <f>IFERROR(__xludf.DUMMYFUNCTION("""COMPUTED_VALUE"""),272.0)</f>
        <v>272</v>
      </c>
      <c r="H752" s="153" t="s">
        <v>171</v>
      </c>
      <c r="I752" s="153" t="s">
        <v>172</v>
      </c>
      <c r="J752" s="153" t="s">
        <v>2128</v>
      </c>
      <c r="K752" s="153" t="s">
        <v>2129</v>
      </c>
      <c r="L752" s="153" t="s">
        <v>2130</v>
      </c>
      <c r="M752" s="153"/>
      <c r="N752" s="175" t="s">
        <v>7119</v>
      </c>
      <c r="O752" s="160" t="s">
        <v>149</v>
      </c>
      <c r="P752" s="160" t="s">
        <v>149</v>
      </c>
      <c r="Q752" s="153" t="s">
        <v>151</v>
      </c>
      <c r="R752" s="153" t="s">
        <v>6054</v>
      </c>
      <c r="S752" s="158" t="s">
        <v>6054</v>
      </c>
      <c r="T752" s="158" t="s">
        <v>149</v>
      </c>
      <c r="U752" s="153" t="s">
        <v>2131</v>
      </c>
      <c r="V752" s="158" t="s">
        <v>6154</v>
      </c>
      <c r="W752" s="158" t="s">
        <v>206</v>
      </c>
      <c r="X752" s="158" t="s">
        <v>159</v>
      </c>
      <c r="Y752" s="158" t="s">
        <v>149</v>
      </c>
      <c r="Z752" s="158" t="s">
        <v>149</v>
      </c>
      <c r="AA752" s="158" t="s">
        <v>149</v>
      </c>
      <c r="AB752" s="153" t="s">
        <v>2132</v>
      </c>
      <c r="AC752" s="158" t="s">
        <v>306</v>
      </c>
      <c r="AD752" s="158" t="s">
        <v>2133</v>
      </c>
      <c r="AE752" s="153"/>
      <c r="AF752" s="153"/>
      <c r="AG752" s="158" t="s">
        <v>6027</v>
      </c>
      <c r="AH752" s="153" t="s">
        <v>2134</v>
      </c>
      <c r="AI752" s="172" t="s">
        <v>2135</v>
      </c>
      <c r="AJ752" s="153"/>
      <c r="AK752" s="153"/>
    </row>
    <row r="753">
      <c r="A753" s="152">
        <v>2024.0</v>
      </c>
      <c r="B753" s="151">
        <v>253.0</v>
      </c>
      <c r="C753" s="153"/>
      <c r="D753" s="153"/>
      <c r="E753" s="153" t="s">
        <v>8189</v>
      </c>
      <c r="F753" s="153" t="s">
        <v>8481</v>
      </c>
      <c r="G753" s="153">
        <f>IFERROR(__xludf.DUMMYFUNCTION("""COMPUTED_VALUE"""),273.0)</f>
        <v>273</v>
      </c>
      <c r="H753" s="153" t="s">
        <v>314</v>
      </c>
      <c r="I753" s="153" t="s">
        <v>1364</v>
      </c>
      <c r="J753" s="153" t="s">
        <v>7048</v>
      </c>
      <c r="K753" s="153" t="s">
        <v>1366</v>
      </c>
      <c r="L753" s="158" t="s">
        <v>1367</v>
      </c>
      <c r="M753" s="153" t="s">
        <v>7049</v>
      </c>
      <c r="N753" s="158" t="s">
        <v>149</v>
      </c>
      <c r="O753" s="192">
        <v>1999.0</v>
      </c>
      <c r="P753" s="192">
        <v>2005.0</v>
      </c>
      <c r="Q753" s="153" t="s">
        <v>151</v>
      </c>
      <c r="R753" s="158" t="s">
        <v>911</v>
      </c>
      <c r="S753" s="158" t="s">
        <v>152</v>
      </c>
      <c r="T753" s="153" t="s">
        <v>1369</v>
      </c>
      <c r="U753" s="158" t="s">
        <v>1370</v>
      </c>
      <c r="V753" s="158" t="s">
        <v>6154</v>
      </c>
      <c r="W753" s="158" t="s">
        <v>206</v>
      </c>
      <c r="X753" s="158" t="s">
        <v>159</v>
      </c>
      <c r="Y753" s="158" t="s">
        <v>149</v>
      </c>
      <c r="Z753" s="158" t="s">
        <v>149</v>
      </c>
      <c r="AA753" s="153" t="s">
        <v>1371</v>
      </c>
      <c r="AB753" s="158" t="s">
        <v>390</v>
      </c>
      <c r="AC753" s="158" t="s">
        <v>6035</v>
      </c>
      <c r="AD753" s="153"/>
      <c r="AE753" s="153"/>
      <c r="AF753" s="153"/>
      <c r="AG753" s="158" t="s">
        <v>6214</v>
      </c>
      <c r="AH753" s="153" t="s">
        <v>1372</v>
      </c>
      <c r="AI753" s="172" t="s">
        <v>1373</v>
      </c>
      <c r="AJ753" s="153"/>
      <c r="AK753" s="153"/>
    </row>
    <row r="754">
      <c r="A754" s="152">
        <v>2025.0</v>
      </c>
      <c r="B754" s="151">
        <v>353.0</v>
      </c>
      <c r="C754" s="153" t="s">
        <v>8189</v>
      </c>
      <c r="D754" s="153"/>
      <c r="E754" s="153" t="s">
        <v>8301</v>
      </c>
      <c r="F754" s="153" t="s">
        <v>7408</v>
      </c>
      <c r="G754" s="153">
        <f>IFERROR(__xludf.DUMMYFUNCTION("""COMPUTED_VALUE"""),274.0)</f>
        <v>274</v>
      </c>
      <c r="H754" s="153" t="s">
        <v>171</v>
      </c>
      <c r="I754" s="153" t="s">
        <v>172</v>
      </c>
      <c r="J754" s="153" t="s">
        <v>7356</v>
      </c>
      <c r="K754" s="153" t="s">
        <v>1552</v>
      </c>
      <c r="L754" s="153" t="s">
        <v>1553</v>
      </c>
      <c r="M754" s="153" t="s">
        <v>1554</v>
      </c>
      <c r="N754" s="175" t="s">
        <v>6030</v>
      </c>
      <c r="O754" s="160" t="s">
        <v>149</v>
      </c>
      <c r="P754" s="160" t="s">
        <v>149</v>
      </c>
      <c r="Q754" s="153" t="s">
        <v>151</v>
      </c>
      <c r="R754" s="158" t="s">
        <v>1556</v>
      </c>
      <c r="S754" s="158" t="s">
        <v>1556</v>
      </c>
      <c r="T754" s="153" t="s">
        <v>149</v>
      </c>
      <c r="U754" s="153" t="s">
        <v>1557</v>
      </c>
      <c r="V754" s="158" t="s">
        <v>160</v>
      </c>
      <c r="W754" s="158" t="s">
        <v>271</v>
      </c>
      <c r="X754" s="158" t="s">
        <v>159</v>
      </c>
      <c r="Y754" s="158" t="s">
        <v>149</v>
      </c>
      <c r="Z754" s="158" t="s">
        <v>149</v>
      </c>
      <c r="AA754" s="153" t="s">
        <v>1558</v>
      </c>
      <c r="AB754" s="153" t="s">
        <v>1557</v>
      </c>
      <c r="AC754" s="153" t="s">
        <v>271</v>
      </c>
      <c r="AD754" s="153" t="s">
        <v>1559</v>
      </c>
      <c r="AE754" s="153" t="s">
        <v>1560</v>
      </c>
      <c r="AF754" s="153"/>
      <c r="AG754" s="153" t="s">
        <v>6038</v>
      </c>
      <c r="AH754" s="153" t="s">
        <v>7409</v>
      </c>
      <c r="AI754" s="172" t="s">
        <v>1562</v>
      </c>
      <c r="AJ754" s="153"/>
      <c r="AK754" s="153"/>
    </row>
    <row r="755">
      <c r="A755" s="152">
        <v>2025.0</v>
      </c>
      <c r="B755" s="151">
        <v>354.0</v>
      </c>
      <c r="C755" s="153" t="s">
        <v>8189</v>
      </c>
      <c r="D755" s="153"/>
      <c r="E755" s="153" t="s">
        <v>8301</v>
      </c>
      <c r="F755" s="153" t="s">
        <v>7411</v>
      </c>
      <c r="G755" s="153">
        <f>IFERROR(__xludf.DUMMYFUNCTION("""COMPUTED_VALUE"""),275.0)</f>
        <v>275</v>
      </c>
      <c r="H755" s="153" t="s">
        <v>171</v>
      </c>
      <c r="I755" s="153" t="s">
        <v>172</v>
      </c>
      <c r="J755" s="153" t="s">
        <v>7356</v>
      </c>
      <c r="K755" s="153" t="s">
        <v>1552</v>
      </c>
      <c r="L755" s="158" t="s">
        <v>149</v>
      </c>
      <c r="M755" s="153" t="s">
        <v>2629</v>
      </c>
      <c r="N755" s="175" t="s">
        <v>6152</v>
      </c>
      <c r="O755" s="175" t="s">
        <v>6152</v>
      </c>
      <c r="P755" s="160" t="s">
        <v>149</v>
      </c>
      <c r="Q755" s="153" t="s">
        <v>151</v>
      </c>
      <c r="R755" s="153" t="s">
        <v>2631</v>
      </c>
      <c r="S755" s="158" t="s">
        <v>2631</v>
      </c>
      <c r="T755" s="153" t="s">
        <v>8482</v>
      </c>
      <c r="U755" s="158" t="s">
        <v>2634</v>
      </c>
      <c r="V755" s="158" t="s">
        <v>160</v>
      </c>
      <c r="W755" s="158" t="s">
        <v>2635</v>
      </c>
      <c r="X755" s="158" t="s">
        <v>204</v>
      </c>
      <c r="Y755" s="158" t="s">
        <v>149</v>
      </c>
      <c r="Z755" s="158" t="s">
        <v>149</v>
      </c>
      <c r="AA755" s="158" t="s">
        <v>149</v>
      </c>
      <c r="AB755" s="153" t="s">
        <v>7413</v>
      </c>
      <c r="AC755" s="158" t="s">
        <v>7294</v>
      </c>
      <c r="AD755" s="153" t="s">
        <v>8483</v>
      </c>
      <c r="AE755" s="153"/>
      <c r="AF755" s="153" t="s">
        <v>2638</v>
      </c>
      <c r="AG755" s="158" t="s">
        <v>166</v>
      </c>
      <c r="AH755" s="153" t="s">
        <v>2639</v>
      </c>
      <c r="AI755" s="165" t="s">
        <v>2640</v>
      </c>
      <c r="AJ755" s="153"/>
      <c r="AK755" s="153"/>
    </row>
    <row r="756">
      <c r="A756" s="152">
        <v>2024.0</v>
      </c>
      <c r="B756" s="151">
        <v>254.0</v>
      </c>
      <c r="C756" s="153"/>
      <c r="D756" s="153"/>
      <c r="E756" s="153" t="s">
        <v>8189</v>
      </c>
      <c r="F756" s="153" t="s">
        <v>8484</v>
      </c>
      <c r="G756" s="153">
        <f>IFERROR(__xludf.DUMMYFUNCTION("""COMPUTED_VALUE"""),276.0)</f>
        <v>276</v>
      </c>
      <c r="H756" s="153" t="s">
        <v>314</v>
      </c>
      <c r="I756" s="153" t="s">
        <v>558</v>
      </c>
      <c r="J756" s="153" t="s">
        <v>1604</v>
      </c>
      <c r="K756" s="153" t="s">
        <v>1605</v>
      </c>
      <c r="L756" s="153" t="s">
        <v>6742</v>
      </c>
      <c r="M756" s="153"/>
      <c r="N756" s="230">
        <v>2004.0</v>
      </c>
      <c r="O756" s="192" t="s">
        <v>149</v>
      </c>
      <c r="P756" s="192" t="s">
        <v>149</v>
      </c>
      <c r="Q756" s="153" t="s">
        <v>151</v>
      </c>
      <c r="R756" s="158" t="s">
        <v>149</v>
      </c>
      <c r="S756" s="158" t="s">
        <v>149</v>
      </c>
      <c r="T756" s="153" t="s">
        <v>793</v>
      </c>
      <c r="U756" s="153" t="s">
        <v>1594</v>
      </c>
      <c r="V756" s="158" t="s">
        <v>160</v>
      </c>
      <c r="W756" s="158" t="s">
        <v>6035</v>
      </c>
      <c r="X756" s="158" t="s">
        <v>159</v>
      </c>
      <c r="Y756" s="158" t="s">
        <v>149</v>
      </c>
      <c r="Z756" s="158" t="s">
        <v>149</v>
      </c>
      <c r="AA756" s="153" t="s">
        <v>1606</v>
      </c>
      <c r="AB756" s="158" t="s">
        <v>369</v>
      </c>
      <c r="AC756" s="153" t="s">
        <v>6035</v>
      </c>
      <c r="AD756" s="153"/>
      <c r="AE756" s="153"/>
      <c r="AF756" s="153" t="s">
        <v>1607</v>
      </c>
      <c r="AG756" s="153" t="s">
        <v>6976</v>
      </c>
      <c r="AH756" s="153" t="s">
        <v>1608</v>
      </c>
      <c r="AI756" s="165" t="s">
        <v>1609</v>
      </c>
      <c r="AJ756" s="153"/>
      <c r="AK756" s="153"/>
    </row>
    <row r="757">
      <c r="A757" s="152">
        <v>2025.0</v>
      </c>
      <c r="B757" s="151">
        <v>355.0</v>
      </c>
      <c r="C757" s="153" t="s">
        <v>8189</v>
      </c>
      <c r="D757" s="153"/>
      <c r="E757" s="153" t="s">
        <v>8301</v>
      </c>
      <c r="F757" s="153" t="s">
        <v>7416</v>
      </c>
      <c r="G757" s="153">
        <f>IFERROR(__xludf.DUMMYFUNCTION("""COMPUTED_VALUE"""),277.0)</f>
        <v>277</v>
      </c>
      <c r="H757" s="153" t="s">
        <v>171</v>
      </c>
      <c r="I757" s="153" t="s">
        <v>172</v>
      </c>
      <c r="J757" s="153" t="s">
        <v>611</v>
      </c>
      <c r="K757" s="153" t="s">
        <v>612</v>
      </c>
      <c r="L757" s="153" t="s">
        <v>384</v>
      </c>
      <c r="M757" s="153"/>
      <c r="N757" s="175" t="s">
        <v>6051</v>
      </c>
      <c r="O757" s="175" t="s">
        <v>6052</v>
      </c>
      <c r="P757" s="175" t="s">
        <v>6053</v>
      </c>
      <c r="Q757" s="153" t="s">
        <v>151</v>
      </c>
      <c r="R757" s="153" t="s">
        <v>6054</v>
      </c>
      <c r="S757" s="158" t="s">
        <v>6054</v>
      </c>
      <c r="T757" s="158" t="s">
        <v>149</v>
      </c>
      <c r="U757" s="153" t="s">
        <v>390</v>
      </c>
      <c r="V757" s="158" t="s">
        <v>160</v>
      </c>
      <c r="W757" s="158" t="s">
        <v>6035</v>
      </c>
      <c r="X757" s="158" t="s">
        <v>159</v>
      </c>
      <c r="Y757" s="158" t="s">
        <v>149</v>
      </c>
      <c r="Z757" s="158" t="s">
        <v>149</v>
      </c>
      <c r="AA757" s="158" t="s">
        <v>149</v>
      </c>
      <c r="AB757" s="153" t="s">
        <v>390</v>
      </c>
      <c r="AC757" s="153" t="s">
        <v>6035</v>
      </c>
      <c r="AD757" s="153" t="s">
        <v>6055</v>
      </c>
      <c r="AE757" s="153"/>
      <c r="AF757" s="153"/>
      <c r="AG757" s="158" t="s">
        <v>395</v>
      </c>
      <c r="AH757" s="153" t="s">
        <v>6060</v>
      </c>
      <c r="AI757" s="158" t="s">
        <v>6711</v>
      </c>
      <c r="AJ757" s="153" t="s">
        <v>398</v>
      </c>
      <c r="AK757" s="153"/>
    </row>
    <row r="758">
      <c r="A758" s="152">
        <v>2025.0</v>
      </c>
      <c r="B758" s="151">
        <v>356.0</v>
      </c>
      <c r="C758" s="153" t="s">
        <v>8189</v>
      </c>
      <c r="D758" s="153"/>
      <c r="E758" s="153" t="s">
        <v>8301</v>
      </c>
      <c r="F758" s="153" t="s">
        <v>7421</v>
      </c>
      <c r="G758" s="153">
        <f>IFERROR(__xludf.DUMMYFUNCTION("""COMPUTED_VALUE"""),278.0)</f>
        <v>278</v>
      </c>
      <c r="H758" s="153" t="s">
        <v>171</v>
      </c>
      <c r="I758" s="153" t="s">
        <v>172</v>
      </c>
      <c r="J758" s="153" t="s">
        <v>277</v>
      </c>
      <c r="K758" s="153" t="s">
        <v>278</v>
      </c>
      <c r="L758" s="153" t="s">
        <v>279</v>
      </c>
      <c r="M758" s="153" t="s">
        <v>280</v>
      </c>
      <c r="N758" s="160" t="s">
        <v>149</v>
      </c>
      <c r="O758" s="160" t="s">
        <v>149</v>
      </c>
      <c r="P758" s="160" t="s">
        <v>149</v>
      </c>
      <c r="Q758" s="153" t="s">
        <v>151</v>
      </c>
      <c r="R758" s="153" t="s">
        <v>283</v>
      </c>
      <c r="S758" s="158" t="s">
        <v>283</v>
      </c>
      <c r="T758" s="153" t="s">
        <v>286</v>
      </c>
      <c r="U758" s="153" t="s">
        <v>287</v>
      </c>
      <c r="V758" s="158" t="s">
        <v>160</v>
      </c>
      <c r="W758" s="158" t="s">
        <v>184</v>
      </c>
      <c r="X758" s="158" t="s">
        <v>159</v>
      </c>
      <c r="Y758" s="158" t="s">
        <v>149</v>
      </c>
      <c r="Z758" s="158" t="s">
        <v>149</v>
      </c>
      <c r="AA758" s="158" t="s">
        <v>149</v>
      </c>
      <c r="AB758" s="153" t="s">
        <v>287</v>
      </c>
      <c r="AC758" s="158" t="s">
        <v>184</v>
      </c>
      <c r="AD758" s="153"/>
      <c r="AE758" s="153" t="s">
        <v>288</v>
      </c>
      <c r="AF758" s="153"/>
      <c r="AG758" s="158" t="s">
        <v>6091</v>
      </c>
      <c r="AH758" s="153" t="s">
        <v>7424</v>
      </c>
      <c r="AI758" s="153" t="s">
        <v>7425</v>
      </c>
      <c r="AJ758" s="153"/>
      <c r="AK758" s="153"/>
    </row>
    <row r="759">
      <c r="A759" s="152">
        <v>2024.0</v>
      </c>
      <c r="B759" s="151">
        <v>255.0</v>
      </c>
      <c r="C759" s="153"/>
      <c r="D759" s="153"/>
      <c r="E759" s="153" t="s">
        <v>8189</v>
      </c>
      <c r="F759" s="153" t="s">
        <v>8485</v>
      </c>
      <c r="G759" s="153">
        <f>IFERROR(__xludf.DUMMYFUNCTION("""COMPUTED_VALUE"""),279.0)</f>
        <v>279</v>
      </c>
      <c r="H759" s="153" t="s">
        <v>314</v>
      </c>
      <c r="I759" s="153" t="s">
        <v>558</v>
      </c>
      <c r="J759" s="153" t="s">
        <v>1604</v>
      </c>
      <c r="K759" s="153" t="s">
        <v>1605</v>
      </c>
      <c r="L759" s="158" t="s">
        <v>149</v>
      </c>
      <c r="M759" s="153" t="s">
        <v>2331</v>
      </c>
      <c r="N759" s="230">
        <v>2014.0</v>
      </c>
      <c r="O759" s="192" t="s">
        <v>149</v>
      </c>
      <c r="P759" s="192" t="s">
        <v>149</v>
      </c>
      <c r="Q759" s="153" t="s">
        <v>6624</v>
      </c>
      <c r="R759" s="153" t="s">
        <v>730</v>
      </c>
      <c r="S759" s="158" t="s">
        <v>179</v>
      </c>
      <c r="T759" s="153" t="s">
        <v>1923</v>
      </c>
      <c r="U759" s="153" t="s">
        <v>2332</v>
      </c>
      <c r="V759" s="158" t="s">
        <v>6154</v>
      </c>
      <c r="W759" s="158" t="s">
        <v>306</v>
      </c>
      <c r="X759" s="158" t="s">
        <v>159</v>
      </c>
      <c r="Y759" s="158" t="s">
        <v>149</v>
      </c>
      <c r="Z759" s="158" t="s">
        <v>149</v>
      </c>
      <c r="AA759" s="153" t="s">
        <v>7055</v>
      </c>
      <c r="AB759" s="153" t="s">
        <v>2332</v>
      </c>
      <c r="AC759" s="153" t="s">
        <v>306</v>
      </c>
      <c r="AD759" s="153" t="s">
        <v>2334</v>
      </c>
      <c r="AE759" s="153"/>
      <c r="AF759" s="153"/>
      <c r="AG759" s="158" t="s">
        <v>6084</v>
      </c>
      <c r="AH759" s="153" t="s">
        <v>2335</v>
      </c>
      <c r="AI759" s="165" t="s">
        <v>2336</v>
      </c>
      <c r="AJ759" s="153"/>
      <c r="AK759" s="153"/>
    </row>
    <row r="760">
      <c r="A760" s="152">
        <v>2025.0</v>
      </c>
      <c r="B760" s="151">
        <v>357.0</v>
      </c>
      <c r="C760" s="153" t="s">
        <v>8189</v>
      </c>
      <c r="D760" s="153"/>
      <c r="E760" s="153" t="s">
        <v>8301</v>
      </c>
      <c r="F760" s="153" t="s">
        <v>7427</v>
      </c>
      <c r="G760" s="153">
        <f>IFERROR(__xludf.DUMMYFUNCTION("""COMPUTED_VALUE"""),280.0)</f>
        <v>280</v>
      </c>
      <c r="H760" s="153" t="s">
        <v>171</v>
      </c>
      <c r="I760" s="153" t="s">
        <v>172</v>
      </c>
      <c r="J760" s="153" t="s">
        <v>2642</v>
      </c>
      <c r="K760" s="153" t="s">
        <v>2643</v>
      </c>
      <c r="L760" s="158" t="s">
        <v>149</v>
      </c>
      <c r="M760" s="153"/>
      <c r="N760" s="175" t="s">
        <v>6152</v>
      </c>
      <c r="O760" s="175" t="s">
        <v>6152</v>
      </c>
      <c r="P760" s="160" t="s">
        <v>149</v>
      </c>
      <c r="Q760" s="153" t="s">
        <v>151</v>
      </c>
      <c r="R760" s="153" t="s">
        <v>2631</v>
      </c>
      <c r="S760" s="158" t="s">
        <v>2631</v>
      </c>
      <c r="T760" s="153" t="s">
        <v>2644</v>
      </c>
      <c r="U760" s="158" t="s">
        <v>2634</v>
      </c>
      <c r="V760" s="158" t="s">
        <v>160</v>
      </c>
      <c r="W760" s="158" t="s">
        <v>2635</v>
      </c>
      <c r="X760" s="158" t="s">
        <v>204</v>
      </c>
      <c r="Y760" s="158" t="s">
        <v>149</v>
      </c>
      <c r="Z760" s="158" t="s">
        <v>149</v>
      </c>
      <c r="AA760" s="158" t="s">
        <v>149</v>
      </c>
      <c r="AB760" s="153" t="s">
        <v>7413</v>
      </c>
      <c r="AC760" s="158" t="s">
        <v>7294</v>
      </c>
      <c r="AD760" s="153" t="s">
        <v>8486</v>
      </c>
      <c r="AE760" s="153"/>
      <c r="AF760" s="153" t="s">
        <v>2638</v>
      </c>
      <c r="AG760" s="158" t="s">
        <v>166</v>
      </c>
      <c r="AH760" s="153" t="s">
        <v>2639</v>
      </c>
      <c r="AI760" s="165" t="s">
        <v>2640</v>
      </c>
      <c r="AJ760" s="153"/>
      <c r="AK760" s="153"/>
    </row>
    <row r="761">
      <c r="A761" s="152">
        <v>2025.0</v>
      </c>
      <c r="B761" s="151">
        <v>358.0</v>
      </c>
      <c r="C761" s="153" t="s">
        <v>8189</v>
      </c>
      <c r="D761" s="153"/>
      <c r="E761" s="153" t="s">
        <v>8301</v>
      </c>
      <c r="F761" s="153" t="s">
        <v>7430</v>
      </c>
      <c r="G761" s="153">
        <f>IFERROR(__xludf.DUMMYFUNCTION("""COMPUTED_VALUE"""),281.0)</f>
        <v>281</v>
      </c>
      <c r="H761" s="153" t="s">
        <v>171</v>
      </c>
      <c r="I761" s="153" t="s">
        <v>172</v>
      </c>
      <c r="J761" s="153" t="s">
        <v>2642</v>
      </c>
      <c r="K761" s="153" t="s">
        <v>2643</v>
      </c>
      <c r="L761" s="158" t="s">
        <v>149</v>
      </c>
      <c r="M761" s="153" t="s">
        <v>7375</v>
      </c>
      <c r="N761" s="175" t="s">
        <v>6145</v>
      </c>
      <c r="O761" s="160" t="s">
        <v>149</v>
      </c>
      <c r="P761" s="160" t="s">
        <v>149</v>
      </c>
      <c r="Q761" s="153" t="s">
        <v>6062</v>
      </c>
      <c r="R761" s="153" t="s">
        <v>6666</v>
      </c>
      <c r="S761" s="158" t="s">
        <v>179</v>
      </c>
      <c r="T761" s="158" t="s">
        <v>2815</v>
      </c>
      <c r="U761" s="158" t="s">
        <v>2816</v>
      </c>
      <c r="V761" s="158" t="s">
        <v>160</v>
      </c>
      <c r="W761" s="158" t="s">
        <v>6035</v>
      </c>
      <c r="X761" s="158" t="s">
        <v>159</v>
      </c>
      <c r="Y761" s="158" t="s">
        <v>149</v>
      </c>
      <c r="Z761" s="158" t="s">
        <v>149</v>
      </c>
      <c r="AA761" s="158" t="s">
        <v>149</v>
      </c>
      <c r="AB761" s="158" t="s">
        <v>2816</v>
      </c>
      <c r="AC761" s="153" t="s">
        <v>6035</v>
      </c>
      <c r="AD761" s="158" t="s">
        <v>2817</v>
      </c>
      <c r="AE761" s="153"/>
      <c r="AF761" s="153"/>
      <c r="AG761" s="158" t="s">
        <v>166</v>
      </c>
      <c r="AH761" s="153" t="s">
        <v>2818</v>
      </c>
      <c r="AI761" s="165" t="s">
        <v>2819</v>
      </c>
      <c r="AJ761" s="153"/>
      <c r="AK761" s="153"/>
    </row>
    <row r="762">
      <c r="A762" s="152">
        <v>2024.0</v>
      </c>
      <c r="B762" s="151">
        <v>256.0</v>
      </c>
      <c r="C762" s="153"/>
      <c r="D762" s="153"/>
      <c r="E762" s="153" t="s">
        <v>8189</v>
      </c>
      <c r="F762" s="153" t="s">
        <v>8487</v>
      </c>
      <c r="G762" s="153">
        <f>IFERROR(__xludf.DUMMYFUNCTION("""COMPUTED_VALUE"""),282.0)</f>
        <v>282</v>
      </c>
      <c r="H762" s="153" t="s">
        <v>314</v>
      </c>
      <c r="I762" s="153" t="s">
        <v>558</v>
      </c>
      <c r="J762" s="153" t="s">
        <v>1604</v>
      </c>
      <c r="K762" s="153" t="s">
        <v>1605</v>
      </c>
      <c r="L762" s="158" t="s">
        <v>149</v>
      </c>
      <c r="M762" s="153"/>
      <c r="N762" s="230">
        <v>1995.0</v>
      </c>
      <c r="O762" s="192" t="s">
        <v>149</v>
      </c>
      <c r="P762" s="192" t="s">
        <v>149</v>
      </c>
      <c r="Q762" s="153" t="s">
        <v>151</v>
      </c>
      <c r="R762" s="158" t="s">
        <v>149</v>
      </c>
      <c r="S762" s="158" t="s">
        <v>149</v>
      </c>
      <c r="T762" s="153" t="s">
        <v>793</v>
      </c>
      <c r="U762" s="153" t="s">
        <v>158</v>
      </c>
      <c r="V762" s="158" t="s">
        <v>160</v>
      </c>
      <c r="W762" s="158" t="s">
        <v>6035</v>
      </c>
      <c r="X762" s="158" t="s">
        <v>159</v>
      </c>
      <c r="Y762" s="158" t="s">
        <v>149</v>
      </c>
      <c r="Z762" s="158" t="s">
        <v>149</v>
      </c>
      <c r="AA762" s="153" t="s">
        <v>2674</v>
      </c>
      <c r="AB762" s="153" t="s">
        <v>158</v>
      </c>
      <c r="AC762" s="153" t="s">
        <v>6035</v>
      </c>
      <c r="AD762" s="153"/>
      <c r="AE762" s="153"/>
      <c r="AF762" s="153"/>
      <c r="AG762" s="158" t="s">
        <v>395</v>
      </c>
      <c r="AH762" s="153" t="s">
        <v>2675</v>
      </c>
      <c r="AI762" s="165" t="s">
        <v>2676</v>
      </c>
      <c r="AJ762" s="153"/>
      <c r="AK762" s="153"/>
    </row>
    <row r="763">
      <c r="A763" s="152">
        <v>2025.0</v>
      </c>
      <c r="B763" s="151">
        <v>359.0</v>
      </c>
      <c r="C763" s="153" t="s">
        <v>8189</v>
      </c>
      <c r="D763" s="153"/>
      <c r="E763" s="153" t="s">
        <v>707</v>
      </c>
      <c r="F763" s="153" t="s">
        <v>7433</v>
      </c>
      <c r="G763" s="153">
        <f>IFERROR(__xludf.DUMMYFUNCTION("""COMPUTED_VALUE"""),283.0)</f>
        <v>283</v>
      </c>
      <c r="H763" s="153" t="s">
        <v>171</v>
      </c>
      <c r="I763" s="153" t="s">
        <v>172</v>
      </c>
      <c r="J763" s="153" t="s">
        <v>173</v>
      </c>
      <c r="K763" s="153" t="s">
        <v>174</v>
      </c>
      <c r="L763" s="158" t="s">
        <v>149</v>
      </c>
      <c r="M763" s="153" t="s">
        <v>7434</v>
      </c>
      <c r="N763" s="160" t="s">
        <v>149</v>
      </c>
      <c r="O763" s="160" t="s">
        <v>149</v>
      </c>
      <c r="P763" s="160" t="s">
        <v>149</v>
      </c>
      <c r="Q763" s="153" t="s">
        <v>151</v>
      </c>
      <c r="R763" s="153" t="s">
        <v>2217</v>
      </c>
      <c r="S763" s="158" t="s">
        <v>2217</v>
      </c>
      <c r="T763" s="158" t="s">
        <v>2751</v>
      </c>
      <c r="U763" s="158" t="s">
        <v>2752</v>
      </c>
      <c r="V763" s="158" t="s">
        <v>160</v>
      </c>
      <c r="W763" s="158" t="s">
        <v>184</v>
      </c>
      <c r="X763" s="158" t="s">
        <v>159</v>
      </c>
      <c r="Y763" s="158" t="s">
        <v>149</v>
      </c>
      <c r="Z763" s="158" t="s">
        <v>149</v>
      </c>
      <c r="AA763" s="158" t="s">
        <v>149</v>
      </c>
      <c r="AB763" s="153" t="s">
        <v>2752</v>
      </c>
      <c r="AC763" s="158" t="s">
        <v>184</v>
      </c>
      <c r="AD763" s="158"/>
      <c r="AE763" s="158"/>
      <c r="AF763" s="158"/>
      <c r="AG763" s="158" t="s">
        <v>6038</v>
      </c>
      <c r="AH763" s="153" t="s">
        <v>8488</v>
      </c>
      <c r="AI763" s="165" t="s">
        <v>2754</v>
      </c>
      <c r="AJ763" s="153" t="s">
        <v>188</v>
      </c>
      <c r="AK763" s="165" t="s">
        <v>1140</v>
      </c>
    </row>
    <row r="764">
      <c r="A764" s="152">
        <v>2025.0</v>
      </c>
      <c r="B764" s="151">
        <v>360.0</v>
      </c>
      <c r="C764" s="153" t="s">
        <v>8189</v>
      </c>
      <c r="D764" s="153"/>
      <c r="E764" s="153" t="s">
        <v>707</v>
      </c>
      <c r="F764" s="153" t="s">
        <v>7446</v>
      </c>
      <c r="G764" s="153">
        <f>IFERROR(__xludf.DUMMYFUNCTION("""COMPUTED_VALUE"""),284.0)</f>
        <v>284</v>
      </c>
      <c r="H764" s="153" t="s">
        <v>171</v>
      </c>
      <c r="I764" s="153" t="s">
        <v>172</v>
      </c>
      <c r="J764" s="153" t="s">
        <v>173</v>
      </c>
      <c r="K764" s="153" t="s">
        <v>174</v>
      </c>
      <c r="L764" s="158" t="s">
        <v>149</v>
      </c>
      <c r="M764" s="153" t="s">
        <v>7447</v>
      </c>
      <c r="N764" s="175" t="s">
        <v>6152</v>
      </c>
      <c r="O764" s="160" t="s">
        <v>149</v>
      </c>
      <c r="P764" s="160" t="s">
        <v>149</v>
      </c>
      <c r="Q764" s="153" t="s">
        <v>151</v>
      </c>
      <c r="R764" s="153" t="s">
        <v>2758</v>
      </c>
      <c r="S764" s="158" t="s">
        <v>2758</v>
      </c>
      <c r="T764" s="158" t="s">
        <v>2751</v>
      </c>
      <c r="U764" s="153" t="s">
        <v>2752</v>
      </c>
      <c r="V764" s="158" t="s">
        <v>160</v>
      </c>
      <c r="W764" s="158" t="s">
        <v>184</v>
      </c>
      <c r="X764" s="158" t="s">
        <v>159</v>
      </c>
      <c r="Y764" s="158" t="s">
        <v>149</v>
      </c>
      <c r="Z764" s="158" t="s">
        <v>149</v>
      </c>
      <c r="AA764" s="158" t="s">
        <v>149</v>
      </c>
      <c r="AB764" s="153" t="s">
        <v>2752</v>
      </c>
      <c r="AC764" s="158" t="s">
        <v>184</v>
      </c>
      <c r="AD764" s="158"/>
      <c r="AE764" s="158"/>
      <c r="AF764" s="158"/>
      <c r="AG764" s="158" t="s">
        <v>6091</v>
      </c>
      <c r="AH764" s="153" t="s">
        <v>2759</v>
      </c>
      <c r="AI764" s="153" t="s">
        <v>2760</v>
      </c>
      <c r="AJ764" s="153" t="s">
        <v>188</v>
      </c>
      <c r="AK764" s="165" t="s">
        <v>1140</v>
      </c>
    </row>
    <row r="765">
      <c r="A765" s="152">
        <v>2024.0</v>
      </c>
      <c r="B765" s="151">
        <v>257.0</v>
      </c>
      <c r="C765" s="153"/>
      <c r="D765" s="153"/>
      <c r="E765" s="153" t="s">
        <v>8189</v>
      </c>
      <c r="F765" s="153" t="s">
        <v>8489</v>
      </c>
      <c r="G765" s="153">
        <f>IFERROR(__xludf.DUMMYFUNCTION("""COMPUTED_VALUE"""),285.0)</f>
        <v>285</v>
      </c>
      <c r="H765" s="153" t="s">
        <v>314</v>
      </c>
      <c r="I765" s="153" t="s">
        <v>558</v>
      </c>
      <c r="J765" s="153" t="s">
        <v>1616</v>
      </c>
      <c r="K765" s="153" t="s">
        <v>1617</v>
      </c>
      <c r="L765" s="153" t="s">
        <v>6742</v>
      </c>
      <c r="M765" s="153" t="s">
        <v>1618</v>
      </c>
      <c r="N765" s="192" t="s">
        <v>149</v>
      </c>
      <c r="O765" s="192" t="s">
        <v>149</v>
      </c>
      <c r="P765" s="192" t="s">
        <v>149</v>
      </c>
      <c r="Q765" s="153" t="s">
        <v>151</v>
      </c>
      <c r="R765" s="158" t="s">
        <v>149</v>
      </c>
      <c r="S765" s="158" t="s">
        <v>149</v>
      </c>
      <c r="T765" s="158" t="s">
        <v>149</v>
      </c>
      <c r="U765" s="153" t="s">
        <v>1594</v>
      </c>
      <c r="V765" s="158" t="s">
        <v>160</v>
      </c>
      <c r="W765" s="158" t="s">
        <v>6035</v>
      </c>
      <c r="X765" s="158" t="s">
        <v>159</v>
      </c>
      <c r="Y765" s="158" t="s">
        <v>149</v>
      </c>
      <c r="Z765" s="158" t="s">
        <v>149</v>
      </c>
      <c r="AA765" s="158" t="s">
        <v>149</v>
      </c>
      <c r="AB765" s="153" t="s">
        <v>369</v>
      </c>
      <c r="AC765" s="153" t="s">
        <v>6035</v>
      </c>
      <c r="AD765" s="153"/>
      <c r="AE765" s="153"/>
      <c r="AF765" s="153"/>
      <c r="AG765" s="153" t="s">
        <v>6084</v>
      </c>
      <c r="AH765" s="153" t="s">
        <v>7061</v>
      </c>
      <c r="AI765" s="165" t="s">
        <v>1620</v>
      </c>
      <c r="AJ765" s="153"/>
      <c r="AK765" s="153"/>
    </row>
    <row r="766">
      <c r="A766" s="152">
        <v>2025.0</v>
      </c>
      <c r="B766" s="151">
        <v>361.0</v>
      </c>
      <c r="C766" s="153" t="s">
        <v>8189</v>
      </c>
      <c r="D766" s="153"/>
      <c r="E766" s="153" t="s">
        <v>8301</v>
      </c>
      <c r="F766" s="153" t="s">
        <v>7450</v>
      </c>
      <c r="G766" s="153">
        <f>IFERROR(__xludf.DUMMYFUNCTION("""COMPUTED_VALUE"""),286.0)</f>
        <v>286</v>
      </c>
      <c r="H766" s="153" t="s">
        <v>171</v>
      </c>
      <c r="I766" s="153" t="s">
        <v>172</v>
      </c>
      <c r="J766" s="153" t="s">
        <v>173</v>
      </c>
      <c r="K766" s="153" t="s">
        <v>174</v>
      </c>
      <c r="L766" s="153" t="s">
        <v>2081</v>
      </c>
      <c r="M766" s="158" t="s">
        <v>7451</v>
      </c>
      <c r="N766" s="160" t="s">
        <v>149</v>
      </c>
      <c r="O766" s="160" t="s">
        <v>6098</v>
      </c>
      <c r="P766" s="160" t="s">
        <v>149</v>
      </c>
      <c r="Q766" s="153" t="s">
        <v>6062</v>
      </c>
      <c r="R766" s="153" t="s">
        <v>179</v>
      </c>
      <c r="S766" s="158" t="s">
        <v>2092</v>
      </c>
      <c r="T766" s="153" t="s">
        <v>286</v>
      </c>
      <c r="U766" s="153" t="s">
        <v>2093</v>
      </c>
      <c r="V766" s="158" t="s">
        <v>160</v>
      </c>
      <c r="W766" s="158" t="s">
        <v>184</v>
      </c>
      <c r="X766" s="158" t="s">
        <v>159</v>
      </c>
      <c r="Y766" s="158" t="s">
        <v>149</v>
      </c>
      <c r="Z766" s="158" t="s">
        <v>149</v>
      </c>
      <c r="AA766" s="158" t="s">
        <v>149</v>
      </c>
      <c r="AB766" s="153" t="s">
        <v>2094</v>
      </c>
      <c r="AC766" s="158" t="s">
        <v>184</v>
      </c>
      <c r="AD766" s="153" t="s">
        <v>369</v>
      </c>
      <c r="AE766" s="153"/>
      <c r="AF766" s="153"/>
      <c r="AG766" s="158" t="s">
        <v>166</v>
      </c>
      <c r="AH766" s="153" t="s">
        <v>2095</v>
      </c>
      <c r="AI766" s="153" t="s">
        <v>7392</v>
      </c>
      <c r="AJ766" s="153"/>
      <c r="AK766" s="153"/>
    </row>
    <row r="767">
      <c r="A767" s="152">
        <v>2025.0</v>
      </c>
      <c r="B767" s="151">
        <v>362.0</v>
      </c>
      <c r="C767" s="153" t="s">
        <v>8189</v>
      </c>
      <c r="D767" s="153"/>
      <c r="E767" s="153" t="s">
        <v>8301</v>
      </c>
      <c r="F767" s="153" t="s">
        <v>7454</v>
      </c>
      <c r="G767" s="153">
        <f>IFERROR(__xludf.DUMMYFUNCTION("""COMPUTED_VALUE"""),287.0)</f>
        <v>287</v>
      </c>
      <c r="H767" s="153" t="s">
        <v>171</v>
      </c>
      <c r="I767" s="153" t="s">
        <v>172</v>
      </c>
      <c r="J767" s="153" t="s">
        <v>173</v>
      </c>
      <c r="K767" s="153" t="s">
        <v>174</v>
      </c>
      <c r="L767" s="153" t="s">
        <v>175</v>
      </c>
      <c r="M767" s="153" t="s">
        <v>7455</v>
      </c>
      <c r="N767" s="175" t="s">
        <v>6211</v>
      </c>
      <c r="O767" s="160" t="s">
        <v>6211</v>
      </c>
      <c r="P767" s="160" t="s">
        <v>149</v>
      </c>
      <c r="Q767" s="153" t="s">
        <v>6062</v>
      </c>
      <c r="R767" s="153" t="s">
        <v>179</v>
      </c>
      <c r="S767" s="158" t="s">
        <v>179</v>
      </c>
      <c r="T767" s="158" t="s">
        <v>7456</v>
      </c>
      <c r="U767" s="153" t="s">
        <v>183</v>
      </c>
      <c r="V767" s="158" t="s">
        <v>160</v>
      </c>
      <c r="W767" s="158" t="s">
        <v>184</v>
      </c>
      <c r="X767" s="158" t="s">
        <v>159</v>
      </c>
      <c r="Y767" s="158" t="s">
        <v>149</v>
      </c>
      <c r="Z767" s="158" t="s">
        <v>149</v>
      </c>
      <c r="AA767" s="158" t="s">
        <v>149</v>
      </c>
      <c r="AB767" s="153" t="s">
        <v>183</v>
      </c>
      <c r="AC767" s="158" t="s">
        <v>184</v>
      </c>
      <c r="AD767" s="153"/>
      <c r="AE767" s="153" t="s">
        <v>185</v>
      </c>
      <c r="AF767" s="153"/>
      <c r="AG767" s="158" t="s">
        <v>166</v>
      </c>
      <c r="AH767" s="153" t="s">
        <v>186</v>
      </c>
      <c r="AI767" s="172" t="s">
        <v>187</v>
      </c>
      <c r="AJ767" s="153" t="s">
        <v>188</v>
      </c>
      <c r="AK767" s="165" t="s">
        <v>1140</v>
      </c>
    </row>
    <row r="768">
      <c r="A768" s="152">
        <v>2024.0</v>
      </c>
      <c r="B768" s="151">
        <v>258.0</v>
      </c>
      <c r="C768" s="153"/>
      <c r="D768" s="153"/>
      <c r="E768" s="153" t="s">
        <v>8189</v>
      </c>
      <c r="F768" s="153" t="s">
        <v>8490</v>
      </c>
      <c r="G768" s="153">
        <f>IFERROR(__xludf.DUMMYFUNCTION("""COMPUTED_VALUE"""),288.0)</f>
        <v>288</v>
      </c>
      <c r="H768" s="153" t="s">
        <v>314</v>
      </c>
      <c r="I768" s="153" t="s">
        <v>558</v>
      </c>
      <c r="J768" s="153" t="s">
        <v>3137</v>
      </c>
      <c r="K768" s="153" t="s">
        <v>3138</v>
      </c>
      <c r="L768" s="158" t="s">
        <v>149</v>
      </c>
      <c r="M768" s="153" t="s">
        <v>7031</v>
      </c>
      <c r="N768" s="192" t="s">
        <v>149</v>
      </c>
      <c r="O768" s="192" t="s">
        <v>149</v>
      </c>
      <c r="P768" s="192" t="s">
        <v>149</v>
      </c>
      <c r="Q768" s="153" t="s">
        <v>151</v>
      </c>
      <c r="R768" s="158" t="s">
        <v>149</v>
      </c>
      <c r="S768" s="158" t="s">
        <v>149</v>
      </c>
      <c r="T768" s="158" t="s">
        <v>149</v>
      </c>
      <c r="U768" s="158" t="s">
        <v>149</v>
      </c>
      <c r="V768" s="158" t="s">
        <v>149</v>
      </c>
      <c r="W768" s="158" t="s">
        <v>149</v>
      </c>
      <c r="X768" s="158" t="s">
        <v>149</v>
      </c>
      <c r="Y768" s="158" t="s">
        <v>149</v>
      </c>
      <c r="Z768" s="158" t="s">
        <v>149</v>
      </c>
      <c r="AA768" s="158" t="s">
        <v>149</v>
      </c>
      <c r="AB768" s="158" t="s">
        <v>149</v>
      </c>
      <c r="AC768" s="158" t="s">
        <v>149</v>
      </c>
      <c r="AD768" s="153"/>
      <c r="AE768" s="153"/>
      <c r="AF768" s="153"/>
      <c r="AG768" s="158" t="s">
        <v>6257</v>
      </c>
      <c r="AH768" s="153" t="s">
        <v>7065</v>
      </c>
      <c r="AI768" s="165" t="s">
        <v>3141</v>
      </c>
      <c r="AJ768" s="153"/>
      <c r="AK768" s="153"/>
    </row>
    <row r="769">
      <c r="A769" s="152">
        <v>2025.0</v>
      </c>
      <c r="B769" s="151">
        <v>363.0</v>
      </c>
      <c r="C769" s="153" t="s">
        <v>8189</v>
      </c>
      <c r="D769" s="153"/>
      <c r="E769" s="153" t="s">
        <v>707</v>
      </c>
      <c r="F769" s="153" t="s">
        <v>7462</v>
      </c>
      <c r="G769" s="153">
        <f>IFERROR(__xludf.DUMMYFUNCTION("""COMPUTED_VALUE"""),289.0)</f>
        <v>289</v>
      </c>
      <c r="H769" s="153" t="s">
        <v>171</v>
      </c>
      <c r="I769" s="153" t="s">
        <v>172</v>
      </c>
      <c r="J769" s="153" t="s">
        <v>173</v>
      </c>
      <c r="K769" s="153" t="s">
        <v>174</v>
      </c>
      <c r="L769" s="153" t="s">
        <v>1132</v>
      </c>
      <c r="M769" s="153" t="s">
        <v>8491</v>
      </c>
      <c r="N769" s="160" t="s">
        <v>149</v>
      </c>
      <c r="O769" s="160" t="s">
        <v>149</v>
      </c>
      <c r="P769" s="160" t="s">
        <v>149</v>
      </c>
      <c r="Q769" s="153" t="s">
        <v>6814</v>
      </c>
      <c r="R769" s="158" t="s">
        <v>7185</v>
      </c>
      <c r="S769" s="153" t="s">
        <v>1134</v>
      </c>
      <c r="T769" s="158" t="s">
        <v>1137</v>
      </c>
      <c r="U769" s="153" t="s">
        <v>183</v>
      </c>
      <c r="V769" s="158" t="s">
        <v>160</v>
      </c>
      <c r="W769" s="158" t="s">
        <v>184</v>
      </c>
      <c r="X769" s="158" t="s">
        <v>204</v>
      </c>
      <c r="Y769" s="158" t="s">
        <v>149</v>
      </c>
      <c r="Z769" s="158" t="s">
        <v>149</v>
      </c>
      <c r="AA769" s="158" t="s">
        <v>149</v>
      </c>
      <c r="AB769" s="153" t="s">
        <v>183</v>
      </c>
      <c r="AC769" s="158" t="s">
        <v>184</v>
      </c>
      <c r="AD769" s="153"/>
      <c r="AE769" s="153" t="s">
        <v>185</v>
      </c>
      <c r="AF769" s="153"/>
      <c r="AG769" s="158" t="s">
        <v>6517</v>
      </c>
      <c r="AH769" s="153" t="s">
        <v>1138</v>
      </c>
      <c r="AI769" s="172" t="s">
        <v>1139</v>
      </c>
      <c r="AJ769" s="153" t="s">
        <v>188</v>
      </c>
      <c r="AK769" s="165" t="s">
        <v>1140</v>
      </c>
    </row>
    <row r="770">
      <c r="A770" s="152">
        <v>2025.0</v>
      </c>
      <c r="B770" s="151">
        <v>364.0</v>
      </c>
      <c r="C770" s="153" t="s">
        <v>8189</v>
      </c>
      <c r="D770" s="153"/>
      <c r="E770" s="153" t="s">
        <v>707</v>
      </c>
      <c r="F770" s="153" t="s">
        <v>7465</v>
      </c>
      <c r="G770" s="153">
        <f>IFERROR(__xludf.DUMMYFUNCTION("""COMPUTED_VALUE"""),290.0)</f>
        <v>290</v>
      </c>
      <c r="H770" s="153" t="s">
        <v>171</v>
      </c>
      <c r="I770" s="153" t="s">
        <v>172</v>
      </c>
      <c r="J770" s="153" t="s">
        <v>3173</v>
      </c>
      <c r="K770" s="153" t="s">
        <v>3174</v>
      </c>
      <c r="L770" s="158" t="s">
        <v>149</v>
      </c>
      <c r="M770" s="153" t="s">
        <v>7402</v>
      </c>
      <c r="N770" s="175" t="s">
        <v>6064</v>
      </c>
      <c r="O770" s="160" t="s">
        <v>149</v>
      </c>
      <c r="P770" s="160" t="s">
        <v>149</v>
      </c>
      <c r="Q770" s="153" t="s">
        <v>151</v>
      </c>
      <c r="R770" s="158" t="s">
        <v>149</v>
      </c>
      <c r="S770" s="158" t="s">
        <v>149</v>
      </c>
      <c r="T770" s="158" t="s">
        <v>149</v>
      </c>
      <c r="U770" s="158" t="s">
        <v>149</v>
      </c>
      <c r="V770" s="158" t="s">
        <v>149</v>
      </c>
      <c r="W770" s="158" t="s">
        <v>149</v>
      </c>
      <c r="X770" s="158" t="s">
        <v>149</v>
      </c>
      <c r="Y770" s="158" t="s">
        <v>149</v>
      </c>
      <c r="Z770" s="158" t="s">
        <v>149</v>
      </c>
      <c r="AA770" s="158" t="s">
        <v>149</v>
      </c>
      <c r="AB770" s="158" t="s">
        <v>149</v>
      </c>
      <c r="AC770" s="158" t="s">
        <v>149</v>
      </c>
      <c r="AD770" s="153"/>
      <c r="AE770" s="153"/>
      <c r="AF770" s="153"/>
      <c r="AG770" s="158" t="s">
        <v>166</v>
      </c>
      <c r="AH770" s="153" t="s">
        <v>3175</v>
      </c>
      <c r="AI770" s="165" t="s">
        <v>3176</v>
      </c>
      <c r="AJ770" s="153"/>
      <c r="AK770" s="153"/>
    </row>
    <row r="771">
      <c r="A771" s="152">
        <v>2024.0</v>
      </c>
      <c r="B771" s="151">
        <v>259.0</v>
      </c>
      <c r="C771" s="153"/>
      <c r="D771" s="153"/>
      <c r="E771" s="153" t="s">
        <v>8189</v>
      </c>
      <c r="F771" s="153" t="s">
        <v>8492</v>
      </c>
      <c r="G771" s="153">
        <f>IFERROR(__xludf.DUMMYFUNCTION("""COMPUTED_VALUE"""),291.0)</f>
        <v>291</v>
      </c>
      <c r="H771" s="153" t="s">
        <v>314</v>
      </c>
      <c r="I771" s="153" t="s">
        <v>558</v>
      </c>
      <c r="J771" s="153" t="s">
        <v>786</v>
      </c>
      <c r="K771" s="153" t="s">
        <v>787</v>
      </c>
      <c r="L771" s="153" t="s">
        <v>788</v>
      </c>
      <c r="M771" s="153"/>
      <c r="N771" s="230">
        <v>2015.0</v>
      </c>
      <c r="O771" s="192" t="s">
        <v>149</v>
      </c>
      <c r="P771" s="192" t="s">
        <v>149</v>
      </c>
      <c r="Q771" s="153" t="s">
        <v>151</v>
      </c>
      <c r="R771" s="158" t="s">
        <v>790</v>
      </c>
      <c r="S771" s="158" t="s">
        <v>790</v>
      </c>
      <c r="T771" s="153" t="s">
        <v>793</v>
      </c>
      <c r="U771" s="153" t="s">
        <v>794</v>
      </c>
      <c r="V771" s="158" t="s">
        <v>6154</v>
      </c>
      <c r="W771" s="158" t="s">
        <v>306</v>
      </c>
      <c r="X771" s="158" t="s">
        <v>159</v>
      </c>
      <c r="Y771" s="158" t="s">
        <v>149</v>
      </c>
      <c r="Z771" s="158" t="s">
        <v>149</v>
      </c>
      <c r="AA771" s="153" t="s">
        <v>795</v>
      </c>
      <c r="AB771" s="153" t="s">
        <v>796</v>
      </c>
      <c r="AC771" s="153" t="s">
        <v>306</v>
      </c>
      <c r="AD771" s="153"/>
      <c r="AE771" s="153"/>
      <c r="AF771" s="153" t="s">
        <v>797</v>
      </c>
      <c r="AG771" s="158" t="s">
        <v>166</v>
      </c>
      <c r="AH771" s="153" t="s">
        <v>798</v>
      </c>
      <c r="AI771" s="165" t="s">
        <v>799</v>
      </c>
      <c r="AJ771" s="153"/>
      <c r="AK771" s="153" t="s">
        <v>800</v>
      </c>
    </row>
    <row r="772">
      <c r="A772" s="152">
        <v>2025.0</v>
      </c>
      <c r="B772" s="151">
        <v>365.0</v>
      </c>
      <c r="C772" s="153" t="s">
        <v>8189</v>
      </c>
      <c r="D772" s="153"/>
      <c r="E772" s="153" t="s">
        <v>707</v>
      </c>
      <c r="F772" s="153" t="s">
        <v>7467</v>
      </c>
      <c r="G772" s="153">
        <f>IFERROR(__xludf.DUMMYFUNCTION("""COMPUTED_VALUE"""),292.0)</f>
        <v>292</v>
      </c>
      <c r="H772" s="173" t="s">
        <v>171</v>
      </c>
      <c r="I772" s="173" t="s">
        <v>172</v>
      </c>
      <c r="J772" s="173" t="s">
        <v>2021</v>
      </c>
      <c r="K772" s="173" t="s">
        <v>2022</v>
      </c>
      <c r="L772" s="173" t="s">
        <v>2023</v>
      </c>
      <c r="M772" s="173" t="s">
        <v>7405</v>
      </c>
      <c r="N772" s="216" t="s">
        <v>6268</v>
      </c>
      <c r="O772" s="203" t="s">
        <v>149</v>
      </c>
      <c r="P772" s="203" t="s">
        <v>149</v>
      </c>
      <c r="Q772" s="173" t="s">
        <v>151</v>
      </c>
      <c r="R772" s="173" t="s">
        <v>362</v>
      </c>
      <c r="S772" s="202" t="s">
        <v>2025</v>
      </c>
      <c r="T772" s="173" t="s">
        <v>2026</v>
      </c>
      <c r="U772" s="173" t="s">
        <v>2027</v>
      </c>
      <c r="V772" s="202" t="s">
        <v>160</v>
      </c>
      <c r="W772" s="202" t="s">
        <v>184</v>
      </c>
      <c r="X772" s="202" t="s">
        <v>159</v>
      </c>
      <c r="Y772" s="202" t="s">
        <v>149</v>
      </c>
      <c r="Z772" s="202" t="s">
        <v>149</v>
      </c>
      <c r="AA772" s="202" t="s">
        <v>149</v>
      </c>
      <c r="AB772" s="173" t="s">
        <v>2027</v>
      </c>
      <c r="AC772" s="202" t="s">
        <v>271</v>
      </c>
      <c r="AD772" s="202" t="s">
        <v>7470</v>
      </c>
      <c r="AE772" s="202" t="s">
        <v>7471</v>
      </c>
      <c r="AF772" s="173"/>
      <c r="AG772" s="202" t="s">
        <v>166</v>
      </c>
      <c r="AH772" s="173" t="s">
        <v>2030</v>
      </c>
      <c r="AI772" s="219" t="s">
        <v>2031</v>
      </c>
      <c r="AJ772" s="173"/>
      <c r="AK772" s="173"/>
    </row>
    <row r="773">
      <c r="A773" s="152">
        <v>2023.0</v>
      </c>
      <c r="B773" s="151">
        <v>248.0</v>
      </c>
      <c r="C773" s="129" t="s">
        <v>140</v>
      </c>
      <c r="D773" s="8"/>
      <c r="E773" s="8" t="s">
        <v>8189</v>
      </c>
      <c r="F773" s="8" t="s">
        <v>7058</v>
      </c>
      <c r="G773" s="8">
        <f>IFERROR(__xludf.DUMMYFUNCTION("""COMPUTED_VALUE"""),293.0)</f>
        <v>293</v>
      </c>
      <c r="H773" s="8" t="s">
        <v>314</v>
      </c>
      <c r="I773" s="8" t="s">
        <v>626</v>
      </c>
      <c r="J773" s="8" t="s">
        <v>5447</v>
      </c>
      <c r="K773" s="277" t="s">
        <v>7059</v>
      </c>
      <c r="L773" s="8" t="s">
        <v>384</v>
      </c>
      <c r="M773" s="8" t="s">
        <v>629</v>
      </c>
      <c r="N773" s="142" t="s">
        <v>6052</v>
      </c>
      <c r="O773" s="142" t="s">
        <v>6052</v>
      </c>
      <c r="P773" s="142" t="s">
        <v>6053</v>
      </c>
      <c r="Q773" s="8" t="s">
        <v>151</v>
      </c>
      <c r="R773" s="8" t="s">
        <v>6054</v>
      </c>
      <c r="U773" s="8" t="s">
        <v>390</v>
      </c>
      <c r="AA773" s="8" t="s">
        <v>391</v>
      </c>
      <c r="AB773" s="8" t="s">
        <v>390</v>
      </c>
      <c r="AD773" s="8" t="s">
        <v>6055</v>
      </c>
      <c r="AH773" s="8" t="s">
        <v>6057</v>
      </c>
      <c r="AI773" s="8" t="s">
        <v>2873</v>
      </c>
      <c r="AJ773" s="8" t="s">
        <v>398</v>
      </c>
    </row>
    <row r="774">
      <c r="A774" s="152">
        <v>2023.0</v>
      </c>
      <c r="B774" s="151">
        <v>249.0</v>
      </c>
      <c r="C774" s="129" t="s">
        <v>140</v>
      </c>
      <c r="D774" s="8"/>
      <c r="E774" s="8" t="s">
        <v>8189</v>
      </c>
      <c r="F774" s="8" t="s">
        <v>7062</v>
      </c>
      <c r="G774" s="8">
        <f>IFERROR(__xludf.DUMMYFUNCTION("""COMPUTED_VALUE"""),294.0)</f>
        <v>294</v>
      </c>
      <c r="H774" s="8" t="s">
        <v>314</v>
      </c>
      <c r="I774" s="8" t="s">
        <v>626</v>
      </c>
      <c r="J774" s="8" t="s">
        <v>983</v>
      </c>
      <c r="K774" s="198" t="s">
        <v>7063</v>
      </c>
      <c r="L774" s="8" t="s">
        <v>934</v>
      </c>
      <c r="N774" s="142" t="s">
        <v>6229</v>
      </c>
      <c r="O774" s="142" t="s">
        <v>6229</v>
      </c>
      <c r="P774" s="142" t="s">
        <v>6230</v>
      </c>
      <c r="Q774" s="8" t="s">
        <v>6062</v>
      </c>
      <c r="R774" s="8" t="s">
        <v>6276</v>
      </c>
      <c r="T774" s="8" t="s">
        <v>939</v>
      </c>
      <c r="U774" s="8" t="s">
        <v>940</v>
      </c>
      <c r="AB774" s="8" t="s">
        <v>233</v>
      </c>
      <c r="AH774" s="8" t="s">
        <v>6214</v>
      </c>
      <c r="AI774" s="8" t="s">
        <v>942</v>
      </c>
      <c r="AJ774" s="8" t="s">
        <v>943</v>
      </c>
    </row>
    <row r="775">
      <c r="A775" s="152">
        <v>2024.0</v>
      </c>
      <c r="B775" s="151">
        <v>260.0</v>
      </c>
      <c r="C775" s="153"/>
      <c r="D775" s="153"/>
      <c r="E775" s="153" t="s">
        <v>8189</v>
      </c>
      <c r="F775" s="153" t="s">
        <v>8493</v>
      </c>
      <c r="G775" s="153">
        <f>IFERROR(__xludf.DUMMYFUNCTION("""COMPUTED_VALUE"""),295.0)</f>
        <v>295</v>
      </c>
      <c r="H775" s="153" t="s">
        <v>314</v>
      </c>
      <c r="I775" s="153" t="s">
        <v>558</v>
      </c>
      <c r="J775" s="153" t="s">
        <v>786</v>
      </c>
      <c r="K775" s="153" t="s">
        <v>787</v>
      </c>
      <c r="L775" s="158" t="s">
        <v>149</v>
      </c>
      <c r="M775" s="153" t="s">
        <v>2331</v>
      </c>
      <c r="N775" s="230">
        <v>2014.0</v>
      </c>
      <c r="O775" s="192" t="s">
        <v>149</v>
      </c>
      <c r="P775" s="192" t="s">
        <v>149</v>
      </c>
      <c r="Q775" s="153" t="s">
        <v>6624</v>
      </c>
      <c r="R775" s="153" t="s">
        <v>730</v>
      </c>
      <c r="S775" s="158" t="s">
        <v>179</v>
      </c>
      <c r="T775" s="153" t="s">
        <v>1923</v>
      </c>
      <c r="U775" s="153" t="s">
        <v>2332</v>
      </c>
      <c r="V775" s="158" t="s">
        <v>6154</v>
      </c>
      <c r="W775" s="158" t="s">
        <v>306</v>
      </c>
      <c r="X775" s="158" t="s">
        <v>159</v>
      </c>
      <c r="Y775" s="158" t="s">
        <v>149</v>
      </c>
      <c r="Z775" s="158" t="s">
        <v>149</v>
      </c>
      <c r="AA775" s="158" t="s">
        <v>149</v>
      </c>
      <c r="AB775" s="153" t="s">
        <v>2332</v>
      </c>
      <c r="AC775" s="153" t="s">
        <v>306</v>
      </c>
      <c r="AD775" s="153" t="s">
        <v>369</v>
      </c>
      <c r="AE775" s="153"/>
      <c r="AF775" s="153"/>
      <c r="AG775" s="153" t="s">
        <v>6084</v>
      </c>
      <c r="AH775" s="153" t="s">
        <v>2335</v>
      </c>
      <c r="AI775" s="153" t="s">
        <v>2336</v>
      </c>
      <c r="AJ775" s="153"/>
      <c r="AK775" s="153"/>
    </row>
    <row r="776">
      <c r="A776" s="152">
        <v>2023.0</v>
      </c>
      <c r="B776" s="151">
        <v>250.0</v>
      </c>
      <c r="C776" s="129" t="s">
        <v>140</v>
      </c>
      <c r="D776" s="8"/>
      <c r="E776" s="8" t="s">
        <v>8189</v>
      </c>
      <c r="F776" s="8" t="s">
        <v>8494</v>
      </c>
      <c r="G776" s="8">
        <f>IFERROR(__xludf.DUMMYFUNCTION("""COMPUTED_VALUE"""),296.0)</f>
        <v>296</v>
      </c>
      <c r="H776" s="8" t="s">
        <v>314</v>
      </c>
      <c r="I776" s="8" t="s">
        <v>626</v>
      </c>
      <c r="J776" s="8" t="s">
        <v>5445</v>
      </c>
      <c r="K776" s="8" t="s">
        <v>5446</v>
      </c>
      <c r="L776" s="8" t="s">
        <v>1659</v>
      </c>
      <c r="N776" s="142"/>
      <c r="O776" s="142" t="s">
        <v>6198</v>
      </c>
      <c r="P776" s="142" t="s">
        <v>6896</v>
      </c>
      <c r="Q776" s="8" t="s">
        <v>151</v>
      </c>
      <c r="R776" s="8" t="s">
        <v>6897</v>
      </c>
      <c r="T776" s="8" t="s">
        <v>1380</v>
      </c>
      <c r="U776" s="8" t="s">
        <v>1663</v>
      </c>
      <c r="AB776" s="8" t="s">
        <v>1663</v>
      </c>
      <c r="AH776" s="8" t="s">
        <v>395</v>
      </c>
      <c r="AI776" s="8" t="s">
        <v>2873</v>
      </c>
      <c r="AJ776" s="8" t="s">
        <v>398</v>
      </c>
    </row>
    <row r="777">
      <c r="A777" s="152">
        <v>2023.0</v>
      </c>
      <c r="B777" s="151">
        <v>251.0</v>
      </c>
      <c r="C777" s="129" t="s">
        <v>140</v>
      </c>
      <c r="D777" s="8"/>
      <c r="E777" s="8" t="s">
        <v>8189</v>
      </c>
      <c r="F777" s="8" t="s">
        <v>7069</v>
      </c>
      <c r="G777" s="8">
        <f>IFERROR(__xludf.DUMMYFUNCTION("""COMPUTED_VALUE"""),297.0)</f>
        <v>297</v>
      </c>
      <c r="H777" s="8" t="s">
        <v>314</v>
      </c>
      <c r="I777" s="8" t="s">
        <v>626</v>
      </c>
      <c r="J777" s="8" t="s">
        <v>4871</v>
      </c>
      <c r="K777" s="153" t="s">
        <v>7070</v>
      </c>
      <c r="L777" s="8" t="s">
        <v>6113</v>
      </c>
      <c r="M777" s="8" t="s">
        <v>7071</v>
      </c>
      <c r="N777" s="142" t="s">
        <v>6113</v>
      </c>
      <c r="O777" s="142"/>
      <c r="P777" s="142"/>
      <c r="Q777" s="8" t="s">
        <v>151</v>
      </c>
    </row>
    <row r="778">
      <c r="A778" s="152">
        <v>2024.0</v>
      </c>
      <c r="B778" s="151">
        <v>261.0</v>
      </c>
      <c r="C778" s="153"/>
      <c r="D778" s="153"/>
      <c r="E778" s="153" t="s">
        <v>8189</v>
      </c>
      <c r="F778" s="153" t="s">
        <v>8495</v>
      </c>
      <c r="G778" s="153">
        <f>IFERROR(__xludf.DUMMYFUNCTION("""COMPUTED_VALUE"""),298.0)</f>
        <v>298</v>
      </c>
      <c r="H778" s="153" t="s">
        <v>314</v>
      </c>
      <c r="I778" s="153" t="s">
        <v>558</v>
      </c>
      <c r="J778" s="153" t="s">
        <v>2066</v>
      </c>
      <c r="K778" s="153" t="s">
        <v>2067</v>
      </c>
      <c r="L778" s="158" t="s">
        <v>149</v>
      </c>
      <c r="M778" s="153" t="s">
        <v>2331</v>
      </c>
      <c r="N778" s="230">
        <v>2014.0</v>
      </c>
      <c r="O778" s="192" t="s">
        <v>149</v>
      </c>
      <c r="P778" s="192" t="s">
        <v>149</v>
      </c>
      <c r="Q778" s="153" t="s">
        <v>6624</v>
      </c>
      <c r="R778" s="153" t="s">
        <v>730</v>
      </c>
      <c r="S778" s="158" t="s">
        <v>179</v>
      </c>
      <c r="T778" s="153" t="s">
        <v>1923</v>
      </c>
      <c r="U778" s="153" t="s">
        <v>2332</v>
      </c>
      <c r="V778" s="158" t="s">
        <v>6154</v>
      </c>
      <c r="W778" s="158" t="s">
        <v>306</v>
      </c>
      <c r="X778" s="158" t="s">
        <v>159</v>
      </c>
      <c r="Y778" s="158" t="s">
        <v>149</v>
      </c>
      <c r="Z778" s="158" t="s">
        <v>149</v>
      </c>
      <c r="AA778" s="158" t="s">
        <v>149</v>
      </c>
      <c r="AB778" s="153" t="s">
        <v>2332</v>
      </c>
      <c r="AC778" s="153" t="s">
        <v>306</v>
      </c>
      <c r="AD778" s="153" t="s">
        <v>369</v>
      </c>
      <c r="AE778" s="153" t="s">
        <v>2339</v>
      </c>
      <c r="AF778" s="153"/>
      <c r="AG778" s="153" t="s">
        <v>6084</v>
      </c>
      <c r="AH778" s="153" t="s">
        <v>2335</v>
      </c>
      <c r="AI778" s="165" t="s">
        <v>2336</v>
      </c>
      <c r="AJ778" s="153"/>
      <c r="AK778" s="153"/>
    </row>
    <row r="779">
      <c r="A779" s="152">
        <v>2025.0</v>
      </c>
      <c r="B779" s="151">
        <v>410.0</v>
      </c>
      <c r="C779" s="153" t="s">
        <v>8189</v>
      </c>
      <c r="D779" s="153"/>
      <c r="E779" s="153" t="s">
        <v>8301</v>
      </c>
      <c r="F779" s="153" t="s">
        <v>8496</v>
      </c>
      <c r="G779" s="153">
        <f>IFERROR(__xludf.DUMMYFUNCTION("""COMPUTED_VALUE"""),299.0)</f>
        <v>299</v>
      </c>
      <c r="H779" s="153" t="s">
        <v>625</v>
      </c>
      <c r="I779" s="153" t="s">
        <v>626</v>
      </c>
      <c r="J779" s="153" t="s">
        <v>627</v>
      </c>
      <c r="K779" s="153" t="s">
        <v>7059</v>
      </c>
      <c r="L779" s="153" t="s">
        <v>384</v>
      </c>
      <c r="M779" s="153" t="s">
        <v>629</v>
      </c>
      <c r="N779" s="160" t="s">
        <v>6051</v>
      </c>
      <c r="O779" s="175" t="s">
        <v>6052</v>
      </c>
      <c r="P779" s="175" t="s">
        <v>6053</v>
      </c>
      <c r="Q779" s="153" t="s">
        <v>151</v>
      </c>
      <c r="R779" s="153" t="s">
        <v>6054</v>
      </c>
      <c r="S779" s="158" t="s">
        <v>6054</v>
      </c>
      <c r="T779" s="158" t="s">
        <v>149</v>
      </c>
      <c r="U779" s="153" t="s">
        <v>390</v>
      </c>
      <c r="V779" s="158" t="s">
        <v>160</v>
      </c>
      <c r="W779" s="158" t="s">
        <v>6035</v>
      </c>
      <c r="X779" s="158" t="s">
        <v>159</v>
      </c>
      <c r="Y779" s="158" t="s">
        <v>149</v>
      </c>
      <c r="Z779" s="158" t="s">
        <v>149</v>
      </c>
      <c r="AA779" s="153" t="s">
        <v>391</v>
      </c>
      <c r="AB779" s="153" t="s">
        <v>390</v>
      </c>
      <c r="AC779" s="153" t="s">
        <v>6035</v>
      </c>
      <c r="AD779" s="153" t="s">
        <v>6055</v>
      </c>
      <c r="AE779" s="153"/>
      <c r="AF779" s="153"/>
      <c r="AG779" s="158" t="s">
        <v>395</v>
      </c>
      <c r="AH779" s="153" t="s">
        <v>6060</v>
      </c>
      <c r="AI779" s="177" t="s">
        <v>541</v>
      </c>
      <c r="AJ779" s="153" t="s">
        <v>398</v>
      </c>
      <c r="AK779" s="153"/>
    </row>
    <row r="780">
      <c r="A780" s="152">
        <v>2025.0</v>
      </c>
      <c r="B780" s="151">
        <v>411.0</v>
      </c>
      <c r="C780" s="153" t="s">
        <v>8189</v>
      </c>
      <c r="D780" s="153"/>
      <c r="E780" s="153" t="s">
        <v>8301</v>
      </c>
      <c r="F780" s="153" t="s">
        <v>8497</v>
      </c>
      <c r="G780" s="153">
        <f>IFERROR(__xludf.DUMMYFUNCTION("""COMPUTED_VALUE"""),300.0)</f>
        <v>300</v>
      </c>
      <c r="H780" s="153" t="s">
        <v>625</v>
      </c>
      <c r="I780" s="153" t="s">
        <v>626</v>
      </c>
      <c r="J780" s="153" t="s">
        <v>983</v>
      </c>
      <c r="K780" s="153" t="s">
        <v>7063</v>
      </c>
      <c r="L780" s="158" t="s">
        <v>149</v>
      </c>
      <c r="M780" s="153" t="s">
        <v>2887</v>
      </c>
      <c r="N780" s="175" t="s">
        <v>6356</v>
      </c>
      <c r="O780" s="175" t="s">
        <v>6356</v>
      </c>
      <c r="P780" s="175" t="s">
        <v>6356</v>
      </c>
      <c r="Q780" s="153" t="s">
        <v>151</v>
      </c>
      <c r="R780" s="153" t="s">
        <v>2889</v>
      </c>
      <c r="S780" s="158" t="s">
        <v>2889</v>
      </c>
      <c r="T780" s="153" t="s">
        <v>2890</v>
      </c>
      <c r="U780" s="158" t="s">
        <v>149</v>
      </c>
      <c r="V780" s="158" t="s">
        <v>149</v>
      </c>
      <c r="W780" s="158" t="s">
        <v>149</v>
      </c>
      <c r="X780" s="158" t="s">
        <v>149</v>
      </c>
      <c r="Y780" s="158" t="s">
        <v>149</v>
      </c>
      <c r="Z780" s="158" t="s">
        <v>149</v>
      </c>
      <c r="AA780" s="158" t="s">
        <v>149</v>
      </c>
      <c r="AB780" s="158" t="s">
        <v>7685</v>
      </c>
      <c r="AC780" s="153" t="s">
        <v>6068</v>
      </c>
      <c r="AD780" s="153"/>
      <c r="AE780" s="153" t="s">
        <v>7686</v>
      </c>
      <c r="AF780" s="153"/>
      <c r="AG780" s="158" t="s">
        <v>6214</v>
      </c>
      <c r="AH780" s="153" t="s">
        <v>2893</v>
      </c>
      <c r="AI780" s="165" t="s">
        <v>2894</v>
      </c>
      <c r="AJ780" s="153"/>
      <c r="AK780" s="153"/>
    </row>
    <row r="781">
      <c r="A781" s="152">
        <v>2024.0</v>
      </c>
      <c r="B781" s="151">
        <v>262.0</v>
      </c>
      <c r="C781" s="153"/>
      <c r="D781" s="153"/>
      <c r="E781" s="153" t="s">
        <v>8189</v>
      </c>
      <c r="F781" s="153" t="s">
        <v>8498</v>
      </c>
      <c r="G781" s="153">
        <f>IFERROR(__xludf.DUMMYFUNCTION("""COMPUTED_VALUE"""),301.0)</f>
        <v>301</v>
      </c>
      <c r="H781" s="153" t="s">
        <v>314</v>
      </c>
      <c r="I781" s="153" t="s">
        <v>558</v>
      </c>
      <c r="J781" s="153" t="s">
        <v>2066</v>
      </c>
      <c r="K781" s="153" t="s">
        <v>2067</v>
      </c>
      <c r="L781" s="153" t="s">
        <v>2023</v>
      </c>
      <c r="M781" s="153" t="s">
        <v>7081</v>
      </c>
      <c r="N781" s="230">
        <v>2015.0</v>
      </c>
      <c r="O781" s="192" t="s">
        <v>149</v>
      </c>
      <c r="P781" s="192" t="s">
        <v>149</v>
      </c>
      <c r="Q781" s="153" t="s">
        <v>151</v>
      </c>
      <c r="R781" s="153" t="s">
        <v>2069</v>
      </c>
      <c r="S781" s="158" t="s">
        <v>2069</v>
      </c>
      <c r="T781" s="158" t="s">
        <v>149</v>
      </c>
      <c r="U781" s="153" t="s">
        <v>2038</v>
      </c>
      <c r="V781" s="158" t="s">
        <v>160</v>
      </c>
      <c r="W781" s="158" t="s">
        <v>271</v>
      </c>
      <c r="X781" s="158" t="s">
        <v>159</v>
      </c>
      <c r="Y781" s="158" t="s">
        <v>149</v>
      </c>
      <c r="Z781" s="158" t="s">
        <v>149</v>
      </c>
      <c r="AA781" s="158" t="s">
        <v>149</v>
      </c>
      <c r="AB781" s="153" t="s">
        <v>2038</v>
      </c>
      <c r="AC781" s="153" t="s">
        <v>271</v>
      </c>
      <c r="AD781" s="153"/>
      <c r="AE781" s="153"/>
      <c r="AF781" s="153"/>
      <c r="AG781" s="153" t="s">
        <v>6038</v>
      </c>
      <c r="AH781" s="153" t="s">
        <v>2070</v>
      </c>
      <c r="AI781" s="165" t="s">
        <v>2071</v>
      </c>
      <c r="AJ781" s="153"/>
      <c r="AK781" s="153"/>
    </row>
    <row r="782">
      <c r="A782" s="152">
        <v>2025.0</v>
      </c>
      <c r="B782" s="151">
        <v>412.0</v>
      </c>
      <c r="C782" s="153" t="s">
        <v>8189</v>
      </c>
      <c r="D782" s="153"/>
      <c r="E782" s="153" t="s">
        <v>8301</v>
      </c>
      <c r="F782" s="153" t="s">
        <v>8499</v>
      </c>
      <c r="G782" s="153">
        <f>IFERROR(__xludf.DUMMYFUNCTION("""COMPUTED_VALUE"""),302.0)</f>
        <v>302</v>
      </c>
      <c r="H782" s="153" t="s">
        <v>625</v>
      </c>
      <c r="I782" s="153" t="s">
        <v>626</v>
      </c>
      <c r="J782" s="153" t="s">
        <v>983</v>
      </c>
      <c r="K782" s="153" t="s">
        <v>7063</v>
      </c>
      <c r="L782" s="153" t="s">
        <v>934</v>
      </c>
      <c r="M782" s="153"/>
      <c r="N782" s="175" t="s">
        <v>6229</v>
      </c>
      <c r="O782" s="175" t="s">
        <v>6229</v>
      </c>
      <c r="P782" s="175" t="s">
        <v>6230</v>
      </c>
      <c r="Q782" s="153" t="s">
        <v>6062</v>
      </c>
      <c r="R782" s="153" t="s">
        <v>3245</v>
      </c>
      <c r="S782" s="153" t="s">
        <v>179</v>
      </c>
      <c r="T782" s="153" t="s">
        <v>939</v>
      </c>
      <c r="U782" s="153" t="s">
        <v>940</v>
      </c>
      <c r="V782" s="158" t="s">
        <v>6154</v>
      </c>
      <c r="W782" s="158" t="s">
        <v>206</v>
      </c>
      <c r="X782" s="158" t="s">
        <v>204</v>
      </c>
      <c r="Y782" s="158" t="s">
        <v>149</v>
      </c>
      <c r="Z782" s="158" t="s">
        <v>149</v>
      </c>
      <c r="AA782" s="158" t="s">
        <v>149</v>
      </c>
      <c r="AB782" s="153" t="s">
        <v>233</v>
      </c>
      <c r="AC782" s="158" t="s">
        <v>6068</v>
      </c>
      <c r="AD782" s="153"/>
      <c r="AE782" s="153"/>
      <c r="AF782" s="153"/>
      <c r="AG782" s="158" t="s">
        <v>6214</v>
      </c>
      <c r="AH782" s="153" t="s">
        <v>941</v>
      </c>
      <c r="AI782" s="153" t="s">
        <v>942</v>
      </c>
      <c r="AJ782" s="153" t="s">
        <v>943</v>
      </c>
      <c r="AK782" s="153"/>
    </row>
    <row r="783">
      <c r="A783" s="152">
        <v>2025.0</v>
      </c>
      <c r="B783" s="151">
        <v>413.0</v>
      </c>
      <c r="C783" s="153" t="s">
        <v>8189</v>
      </c>
      <c r="D783" s="153"/>
      <c r="E783" s="153" t="s">
        <v>8301</v>
      </c>
      <c r="F783" s="153" t="s">
        <v>8500</v>
      </c>
      <c r="G783" s="153">
        <f>IFERROR(__xludf.DUMMYFUNCTION("""COMPUTED_VALUE"""),303.0)</f>
        <v>303</v>
      </c>
      <c r="H783" s="153" t="s">
        <v>625</v>
      </c>
      <c r="I783" s="153" t="s">
        <v>626</v>
      </c>
      <c r="J783" s="153" t="s">
        <v>5445</v>
      </c>
      <c r="K783" s="153" t="s">
        <v>5446</v>
      </c>
      <c r="L783" s="153" t="s">
        <v>1659</v>
      </c>
      <c r="M783" s="153"/>
      <c r="N783" s="160" t="s">
        <v>149</v>
      </c>
      <c r="O783" s="175" t="s">
        <v>6198</v>
      </c>
      <c r="P783" s="175" t="s">
        <v>6896</v>
      </c>
      <c r="Q783" s="153" t="s">
        <v>151</v>
      </c>
      <c r="R783" s="153" t="s">
        <v>7067</v>
      </c>
      <c r="S783" s="158" t="s">
        <v>7067</v>
      </c>
      <c r="T783" s="153" t="s">
        <v>1380</v>
      </c>
      <c r="U783" s="153" t="s">
        <v>1673</v>
      </c>
      <c r="V783" s="158" t="s">
        <v>160</v>
      </c>
      <c r="W783" s="158" t="s">
        <v>6035</v>
      </c>
      <c r="X783" s="158" t="s">
        <v>159</v>
      </c>
      <c r="Y783" s="158" t="s">
        <v>149</v>
      </c>
      <c r="Z783" s="158" t="s">
        <v>149</v>
      </c>
      <c r="AA783" s="158" t="s">
        <v>149</v>
      </c>
      <c r="AB783" s="153" t="s">
        <v>1673</v>
      </c>
      <c r="AC783" s="153" t="s">
        <v>6035</v>
      </c>
      <c r="AD783" s="153"/>
      <c r="AE783" s="153"/>
      <c r="AF783" s="153"/>
      <c r="AG783" s="158" t="s">
        <v>395</v>
      </c>
      <c r="AH783" s="153" t="s">
        <v>6060</v>
      </c>
      <c r="AI783" s="177" t="s">
        <v>541</v>
      </c>
      <c r="AJ783" s="153" t="s">
        <v>398</v>
      </c>
      <c r="AK783" s="153"/>
    </row>
    <row r="784">
      <c r="A784" s="152">
        <v>2024.0</v>
      </c>
      <c r="B784" s="151">
        <v>263.0</v>
      </c>
      <c r="C784" s="153"/>
      <c r="D784" s="153"/>
      <c r="E784" s="153" t="s">
        <v>8189</v>
      </c>
      <c r="F784" s="153" t="s">
        <v>8501</v>
      </c>
      <c r="G784" s="153">
        <f>IFERROR(__xludf.DUMMYFUNCTION("""COMPUTED_VALUE"""),304.0)</f>
        <v>304</v>
      </c>
      <c r="H784" s="153" t="s">
        <v>314</v>
      </c>
      <c r="I784" s="153" t="s">
        <v>558</v>
      </c>
      <c r="J784" s="153" t="s">
        <v>3143</v>
      </c>
      <c r="K784" s="153" t="s">
        <v>3144</v>
      </c>
      <c r="L784" s="158" t="s">
        <v>149</v>
      </c>
      <c r="M784" s="153" t="s">
        <v>7044</v>
      </c>
      <c r="N784" s="192" t="s">
        <v>149</v>
      </c>
      <c r="O784" s="192" t="s">
        <v>149</v>
      </c>
      <c r="P784" s="192" t="s">
        <v>149</v>
      </c>
      <c r="Q784" s="153" t="s">
        <v>151</v>
      </c>
      <c r="R784" s="158" t="s">
        <v>149</v>
      </c>
      <c r="S784" s="158" t="s">
        <v>149</v>
      </c>
      <c r="T784" s="158" t="s">
        <v>149</v>
      </c>
      <c r="U784" s="158" t="s">
        <v>149</v>
      </c>
      <c r="V784" s="158" t="s">
        <v>149</v>
      </c>
      <c r="W784" s="158" t="s">
        <v>149</v>
      </c>
      <c r="X784" s="158" t="s">
        <v>149</v>
      </c>
      <c r="Y784" s="158" t="s">
        <v>149</v>
      </c>
      <c r="Z784" s="158" t="s">
        <v>149</v>
      </c>
      <c r="AA784" s="158" t="s">
        <v>149</v>
      </c>
      <c r="AB784" s="158" t="s">
        <v>149</v>
      </c>
      <c r="AC784" s="158" t="s">
        <v>149</v>
      </c>
      <c r="AD784" s="153"/>
      <c r="AE784" s="153"/>
      <c r="AF784" s="153"/>
      <c r="AG784" s="158" t="s">
        <v>6027</v>
      </c>
      <c r="AH784" s="153" t="s">
        <v>2104</v>
      </c>
      <c r="AI784" s="165" t="s">
        <v>2105</v>
      </c>
      <c r="AJ784" s="153"/>
      <c r="AK784" s="153"/>
    </row>
    <row r="785">
      <c r="A785" s="152">
        <v>2023.0</v>
      </c>
      <c r="B785" s="151">
        <v>278.0</v>
      </c>
      <c r="C785" s="129" t="s">
        <v>140</v>
      </c>
      <c r="D785" s="8"/>
      <c r="E785" s="8" t="s">
        <v>8189</v>
      </c>
      <c r="F785" s="8" t="s">
        <v>8502</v>
      </c>
      <c r="G785" s="8">
        <f>IFERROR(__xludf.DUMMYFUNCTION("""COMPUTED_VALUE"""),305.0)</f>
        <v>305</v>
      </c>
      <c r="H785" s="8" t="s">
        <v>193</v>
      </c>
      <c r="I785" s="8" t="s">
        <v>632</v>
      </c>
      <c r="J785" s="8" t="s">
        <v>2678</v>
      </c>
      <c r="K785" s="8" t="s">
        <v>7155</v>
      </c>
      <c r="L785" s="8" t="s">
        <v>6113</v>
      </c>
      <c r="N785" s="142" t="s">
        <v>6113</v>
      </c>
      <c r="O785" s="142"/>
      <c r="P785" s="142"/>
      <c r="Q785" s="8" t="s">
        <v>151</v>
      </c>
      <c r="Z785" s="8" t="s">
        <v>7156</v>
      </c>
      <c r="AB785" s="8" t="s">
        <v>6113</v>
      </c>
      <c r="AH785" s="8" t="s">
        <v>395</v>
      </c>
      <c r="AI785" s="8" t="s">
        <v>2873</v>
      </c>
      <c r="AJ785" s="8" t="s">
        <v>398</v>
      </c>
    </row>
    <row r="786">
      <c r="A786" s="152">
        <v>2023.0</v>
      </c>
      <c r="B786" s="151">
        <v>279.0</v>
      </c>
      <c r="C786" s="129" t="s">
        <v>140</v>
      </c>
      <c r="D786" s="8"/>
      <c r="E786" s="8" t="s">
        <v>8189</v>
      </c>
      <c r="F786" s="8" t="s">
        <v>8503</v>
      </c>
      <c r="G786" s="8">
        <f>IFERROR(__xludf.DUMMYFUNCTION("""COMPUTED_VALUE"""),306.0)</f>
        <v>306</v>
      </c>
      <c r="H786" s="8" t="s">
        <v>193</v>
      </c>
      <c r="I786" s="8" t="s">
        <v>632</v>
      </c>
      <c r="J786" s="8" t="s">
        <v>2687</v>
      </c>
      <c r="K786" s="8" t="s">
        <v>7160</v>
      </c>
      <c r="L786" s="8" t="s">
        <v>6113</v>
      </c>
      <c r="N786" s="142" t="s">
        <v>6113</v>
      </c>
      <c r="O786" s="142"/>
      <c r="P786" s="142"/>
      <c r="Q786" s="8" t="s">
        <v>151</v>
      </c>
      <c r="Z786" s="8" t="s">
        <v>7161</v>
      </c>
      <c r="AB786" s="8" t="s">
        <v>6113</v>
      </c>
      <c r="AH786" s="8" t="s">
        <v>395</v>
      </c>
      <c r="AI786" s="8" t="s">
        <v>2873</v>
      </c>
      <c r="AJ786" s="8" t="s">
        <v>398</v>
      </c>
    </row>
    <row r="787">
      <c r="A787" s="152">
        <v>2024.0</v>
      </c>
      <c r="B787" s="151">
        <v>264.0</v>
      </c>
      <c r="C787" s="153"/>
      <c r="D787" s="153"/>
      <c r="E787" s="153" t="s">
        <v>8189</v>
      </c>
      <c r="F787" s="153" t="s">
        <v>8504</v>
      </c>
      <c r="G787" s="153">
        <f>IFERROR(__xludf.DUMMYFUNCTION("""COMPUTED_VALUE"""),307.0)</f>
        <v>307</v>
      </c>
      <c r="H787" s="153" t="s">
        <v>314</v>
      </c>
      <c r="I787" s="153" t="s">
        <v>558</v>
      </c>
      <c r="J787" s="153" t="s">
        <v>559</v>
      </c>
      <c r="K787" s="153" t="s">
        <v>560</v>
      </c>
      <c r="L787" s="153" t="s">
        <v>384</v>
      </c>
      <c r="M787" s="153" t="s">
        <v>561</v>
      </c>
      <c r="N787" s="230">
        <v>1985.0</v>
      </c>
      <c r="O787" s="230">
        <v>1985.0</v>
      </c>
      <c r="P787" s="230">
        <v>1987.0</v>
      </c>
      <c r="Q787" s="153" t="s">
        <v>151</v>
      </c>
      <c r="R787" s="153" t="s">
        <v>6054</v>
      </c>
      <c r="S787" s="158" t="s">
        <v>6054</v>
      </c>
      <c r="T787" s="158" t="s">
        <v>149</v>
      </c>
      <c r="U787" s="153" t="s">
        <v>390</v>
      </c>
      <c r="V787" s="158" t="s">
        <v>160</v>
      </c>
      <c r="W787" s="158" t="s">
        <v>6035</v>
      </c>
      <c r="X787" s="158" t="s">
        <v>149</v>
      </c>
      <c r="Y787" s="158" t="s">
        <v>149</v>
      </c>
      <c r="Z787" s="158" t="s">
        <v>149</v>
      </c>
      <c r="AA787" s="158" t="s">
        <v>149</v>
      </c>
      <c r="AB787" s="153" t="s">
        <v>390</v>
      </c>
      <c r="AC787" s="153" t="s">
        <v>6035</v>
      </c>
      <c r="AD787" s="153" t="s">
        <v>6055</v>
      </c>
      <c r="AE787" s="153"/>
      <c r="AF787" s="153"/>
      <c r="AG787" s="158" t="s">
        <v>395</v>
      </c>
      <c r="AH787" s="153" t="s">
        <v>6060</v>
      </c>
      <c r="AI787" s="153" t="s">
        <v>2873</v>
      </c>
      <c r="AJ787" s="153" t="s">
        <v>398</v>
      </c>
      <c r="AK787" s="153"/>
    </row>
    <row r="788">
      <c r="A788" s="152">
        <v>2023.0</v>
      </c>
      <c r="B788" s="151">
        <v>280.0</v>
      </c>
      <c r="C788" s="129" t="s">
        <v>140</v>
      </c>
      <c r="D788" s="8"/>
      <c r="E788" s="8" t="s">
        <v>8189</v>
      </c>
      <c r="F788" s="8" t="s">
        <v>8505</v>
      </c>
      <c r="G788" s="8">
        <f>IFERROR(__xludf.DUMMYFUNCTION("""COMPUTED_VALUE"""),308.0)</f>
        <v>308</v>
      </c>
      <c r="H788" s="8" t="s">
        <v>193</v>
      </c>
      <c r="I788" s="8" t="s">
        <v>632</v>
      </c>
      <c r="J788" s="8" t="s">
        <v>847</v>
      </c>
      <c r="K788" s="8" t="s">
        <v>7167</v>
      </c>
      <c r="L788" s="8" t="s">
        <v>6113</v>
      </c>
      <c r="N788" s="142"/>
      <c r="O788" s="142"/>
      <c r="P788" s="142"/>
      <c r="Q788" s="8" t="s">
        <v>151</v>
      </c>
      <c r="Z788" s="8" t="s">
        <v>7168</v>
      </c>
      <c r="AB788" s="8" t="s">
        <v>6113</v>
      </c>
      <c r="AH788" s="8" t="s">
        <v>395</v>
      </c>
      <c r="AI788" s="8" t="s">
        <v>2873</v>
      </c>
      <c r="AJ788" s="8" t="s">
        <v>398</v>
      </c>
    </row>
    <row r="789">
      <c r="A789" s="152">
        <v>2023.0</v>
      </c>
      <c r="B789" s="151">
        <v>281.0</v>
      </c>
      <c r="C789" s="129" t="s">
        <v>140</v>
      </c>
      <c r="D789" s="8"/>
      <c r="E789" s="8" t="s">
        <v>8189</v>
      </c>
      <c r="F789" s="8" t="s">
        <v>7169</v>
      </c>
      <c r="G789" s="8">
        <f>IFERROR(__xludf.DUMMYFUNCTION("""COMPUTED_VALUE"""),309.0)</f>
        <v>309</v>
      </c>
      <c r="H789" s="8" t="s">
        <v>193</v>
      </c>
      <c r="I789" s="8" t="s">
        <v>632</v>
      </c>
      <c r="J789" s="8" t="s">
        <v>847</v>
      </c>
      <c r="K789" s="8" t="s">
        <v>7167</v>
      </c>
      <c r="L789" s="8" t="s">
        <v>6113</v>
      </c>
      <c r="N789" s="142" t="s">
        <v>6145</v>
      </c>
      <c r="O789" s="142"/>
      <c r="P789" s="142"/>
      <c r="Q789" s="8" t="s">
        <v>6062</v>
      </c>
      <c r="R789" s="8" t="s">
        <v>320</v>
      </c>
      <c r="AB789" s="8" t="s">
        <v>7170</v>
      </c>
      <c r="AE789" s="8" t="s">
        <v>7171</v>
      </c>
      <c r="AH789" s="8" t="s">
        <v>6027</v>
      </c>
      <c r="AI789" s="172" t="s">
        <v>7172</v>
      </c>
    </row>
    <row r="790">
      <c r="A790" s="152">
        <v>2024.0</v>
      </c>
      <c r="B790" s="151">
        <v>265.0</v>
      </c>
      <c r="C790" s="153"/>
      <c r="D790" s="153"/>
      <c r="E790" s="153" t="s">
        <v>8189</v>
      </c>
      <c r="F790" s="153" t="s">
        <v>8506</v>
      </c>
      <c r="G790" s="153">
        <f>IFERROR(__xludf.DUMMYFUNCTION("""COMPUTED_VALUE"""),310.0)</f>
        <v>310</v>
      </c>
      <c r="H790" s="153" t="s">
        <v>314</v>
      </c>
      <c r="I790" s="153" t="s">
        <v>558</v>
      </c>
      <c r="J790" s="153" t="s">
        <v>2553</v>
      </c>
      <c r="K790" s="153" t="s">
        <v>2554</v>
      </c>
      <c r="L790" s="158" t="s">
        <v>149</v>
      </c>
      <c r="M790" s="153"/>
      <c r="N790" s="230">
        <v>2013.0</v>
      </c>
      <c r="O790" s="192" t="s">
        <v>149</v>
      </c>
      <c r="P790" s="192" t="s">
        <v>149</v>
      </c>
      <c r="Q790" s="153" t="s">
        <v>151</v>
      </c>
      <c r="R790" s="158" t="s">
        <v>149</v>
      </c>
      <c r="S790" s="158" t="s">
        <v>149</v>
      </c>
      <c r="T790" s="153" t="s">
        <v>7051</v>
      </c>
      <c r="U790" s="158" t="s">
        <v>149</v>
      </c>
      <c r="V790" s="158" t="s">
        <v>149</v>
      </c>
      <c r="W790" s="158" t="s">
        <v>149</v>
      </c>
      <c r="X790" s="158" t="s">
        <v>149</v>
      </c>
      <c r="Y790" s="158" t="s">
        <v>149</v>
      </c>
      <c r="Z790" s="158" t="s">
        <v>149</v>
      </c>
      <c r="AA790" s="153" t="s">
        <v>2556</v>
      </c>
      <c r="AB790" s="158" t="s">
        <v>149</v>
      </c>
      <c r="AC790" s="158" t="s">
        <v>149</v>
      </c>
      <c r="AD790" s="153" t="s">
        <v>2557</v>
      </c>
      <c r="AE790" s="153"/>
      <c r="AF790" s="153"/>
      <c r="AG790" s="158" t="s">
        <v>166</v>
      </c>
      <c r="AH790" s="153" t="s">
        <v>7088</v>
      </c>
      <c r="AI790" s="165" t="s">
        <v>2559</v>
      </c>
      <c r="AJ790" s="153"/>
      <c r="AK790" s="153"/>
    </row>
    <row r="791">
      <c r="A791" s="152">
        <v>2023.0</v>
      </c>
      <c r="B791" s="151">
        <v>282.0</v>
      </c>
      <c r="C791" s="129" t="s">
        <v>140</v>
      </c>
      <c r="D791" s="8"/>
      <c r="E791" s="8" t="s">
        <v>8189</v>
      </c>
      <c r="F791" s="8" t="s">
        <v>8507</v>
      </c>
      <c r="G791" s="8">
        <f>IFERROR(__xludf.DUMMYFUNCTION("""COMPUTED_VALUE"""),311.0)</f>
        <v>311</v>
      </c>
      <c r="H791" s="8" t="s">
        <v>193</v>
      </c>
      <c r="I791" s="8" t="s">
        <v>632</v>
      </c>
      <c r="J791" s="8" t="s">
        <v>7175</v>
      </c>
      <c r="K791" s="8" t="s">
        <v>7176</v>
      </c>
      <c r="L791" s="153" t="s">
        <v>6113</v>
      </c>
      <c r="N791" s="142" t="s">
        <v>6113</v>
      </c>
      <c r="O791" s="142"/>
      <c r="P791" s="142"/>
      <c r="Q791" s="8" t="s">
        <v>151</v>
      </c>
      <c r="AB791" s="8" t="s">
        <v>2343</v>
      </c>
      <c r="AE791" s="8" t="s">
        <v>7177</v>
      </c>
      <c r="AH791" s="8" t="s">
        <v>166</v>
      </c>
      <c r="AI791" s="172" t="s">
        <v>2345</v>
      </c>
    </row>
    <row r="792">
      <c r="A792" s="152">
        <v>2023.0</v>
      </c>
      <c r="B792" s="151">
        <v>283.0</v>
      </c>
      <c r="C792" s="129" t="s">
        <v>140</v>
      </c>
      <c r="D792" s="8"/>
      <c r="E792" s="8" t="s">
        <v>8189</v>
      </c>
      <c r="F792" s="8" t="s">
        <v>7179</v>
      </c>
      <c r="G792" s="8">
        <f>IFERROR(__xludf.DUMMYFUNCTION("""COMPUTED_VALUE"""),312.0)</f>
        <v>312</v>
      </c>
      <c r="H792" s="8" t="s">
        <v>193</v>
      </c>
      <c r="I792" s="8" t="s">
        <v>632</v>
      </c>
      <c r="J792" s="8" t="s">
        <v>7175</v>
      </c>
      <c r="K792" s="8" t="s">
        <v>7176</v>
      </c>
      <c r="L792" s="8" t="s">
        <v>6113</v>
      </c>
      <c r="N792" s="142" t="s">
        <v>7180</v>
      </c>
      <c r="O792" s="142" t="s">
        <v>7180</v>
      </c>
      <c r="P792" s="142" t="s">
        <v>6347</v>
      </c>
      <c r="Q792" s="8" t="s">
        <v>151</v>
      </c>
      <c r="R792" s="8" t="s">
        <v>386</v>
      </c>
      <c r="T792" s="8" t="s">
        <v>699</v>
      </c>
      <c r="AA792" s="8" t="s">
        <v>3036</v>
      </c>
      <c r="AB792" s="8" t="s">
        <v>3037</v>
      </c>
      <c r="AD792" s="8" t="s">
        <v>3038</v>
      </c>
      <c r="AH792" s="8" t="s">
        <v>395</v>
      </c>
      <c r="AI792" s="8" t="s">
        <v>2873</v>
      </c>
      <c r="AJ792" s="8" t="s">
        <v>398</v>
      </c>
    </row>
    <row r="793">
      <c r="A793" s="152">
        <v>2024.0</v>
      </c>
      <c r="B793" s="151">
        <v>266.0</v>
      </c>
      <c r="C793" s="153"/>
      <c r="D793" s="153"/>
      <c r="E793" s="153" t="s">
        <v>8189</v>
      </c>
      <c r="F793" s="153" t="s">
        <v>8508</v>
      </c>
      <c r="G793" s="153">
        <f>IFERROR(__xludf.DUMMYFUNCTION("""COMPUTED_VALUE"""),313.0)</f>
        <v>313</v>
      </c>
      <c r="H793" s="153" t="s">
        <v>314</v>
      </c>
      <c r="I793" s="153" t="s">
        <v>558</v>
      </c>
      <c r="J793" s="153" t="s">
        <v>959</v>
      </c>
      <c r="K793" s="153" t="s">
        <v>960</v>
      </c>
      <c r="L793" s="158" t="s">
        <v>149</v>
      </c>
      <c r="M793" s="153"/>
      <c r="N793" s="230">
        <v>2015.0</v>
      </c>
      <c r="O793" s="192" t="s">
        <v>149</v>
      </c>
      <c r="P793" s="192" t="s">
        <v>149</v>
      </c>
      <c r="Q793" s="153" t="s">
        <v>151</v>
      </c>
      <c r="R793" s="158" t="s">
        <v>149</v>
      </c>
      <c r="S793" s="158" t="s">
        <v>149</v>
      </c>
      <c r="T793" s="153" t="s">
        <v>2668</v>
      </c>
      <c r="U793" s="158" t="s">
        <v>149</v>
      </c>
      <c r="V793" s="158" t="s">
        <v>149</v>
      </c>
      <c r="W793" s="158" t="s">
        <v>149</v>
      </c>
      <c r="X793" s="158" t="s">
        <v>149</v>
      </c>
      <c r="Y793" s="158" t="s">
        <v>149</v>
      </c>
      <c r="Z793" s="158" t="s">
        <v>149</v>
      </c>
      <c r="AA793" s="158" t="s">
        <v>149</v>
      </c>
      <c r="AB793" s="153" t="s">
        <v>1974</v>
      </c>
      <c r="AC793" s="153" t="s">
        <v>6035</v>
      </c>
      <c r="AD793" s="153"/>
      <c r="AE793" s="153"/>
      <c r="AF793" s="153"/>
      <c r="AG793" s="158" t="s">
        <v>6214</v>
      </c>
      <c r="AH793" s="153" t="s">
        <v>2669</v>
      </c>
      <c r="AI793" s="165" t="s">
        <v>2670</v>
      </c>
      <c r="AJ793" s="153" t="s">
        <v>2671</v>
      </c>
      <c r="AK793" s="165" t="s">
        <v>2672</v>
      </c>
    </row>
    <row r="794">
      <c r="A794" s="152">
        <v>2023.0</v>
      </c>
      <c r="B794" s="151">
        <v>284.0</v>
      </c>
      <c r="C794" s="129" t="s">
        <v>140</v>
      </c>
      <c r="D794" s="8"/>
      <c r="E794" s="8" t="s">
        <v>8189</v>
      </c>
      <c r="F794" s="8" t="s">
        <v>7183</v>
      </c>
      <c r="G794" s="8">
        <f>IFERROR(__xludf.DUMMYFUNCTION("""COMPUTED_VALUE"""),314.0)</f>
        <v>314</v>
      </c>
      <c r="H794" s="8" t="s">
        <v>193</v>
      </c>
      <c r="I794" s="8" t="s">
        <v>632</v>
      </c>
      <c r="J794" s="8" t="s">
        <v>7175</v>
      </c>
      <c r="K794" s="8" t="s">
        <v>7176</v>
      </c>
      <c r="L794" s="8" t="s">
        <v>934</v>
      </c>
      <c r="N794" s="142" t="s">
        <v>6229</v>
      </c>
      <c r="O794" s="142" t="s">
        <v>6229</v>
      </c>
      <c r="P794" s="142" t="s">
        <v>6230</v>
      </c>
      <c r="Q794" s="8" t="s">
        <v>6062</v>
      </c>
      <c r="R794" s="8" t="s">
        <v>6276</v>
      </c>
      <c r="T794" s="8" t="s">
        <v>939</v>
      </c>
      <c r="U794" s="8" t="s">
        <v>940</v>
      </c>
      <c r="AB794" s="8" t="s">
        <v>233</v>
      </c>
      <c r="AH794" s="8" t="s">
        <v>6214</v>
      </c>
      <c r="AI794" s="8" t="s">
        <v>942</v>
      </c>
      <c r="AJ794" s="8" t="s">
        <v>943</v>
      </c>
    </row>
    <row r="795">
      <c r="A795" s="152">
        <v>2023.0</v>
      </c>
      <c r="B795" s="151">
        <v>285.0</v>
      </c>
      <c r="C795" s="129" t="s">
        <v>140</v>
      </c>
      <c r="D795" s="8"/>
      <c r="E795" s="8" t="s">
        <v>8189</v>
      </c>
      <c r="F795" s="8" t="s">
        <v>8509</v>
      </c>
      <c r="G795" s="8">
        <f>IFERROR(__xludf.DUMMYFUNCTION("""COMPUTED_VALUE"""),315.0)</f>
        <v>315</v>
      </c>
      <c r="H795" s="8" t="s">
        <v>193</v>
      </c>
      <c r="I795" s="8" t="s">
        <v>632</v>
      </c>
      <c r="J795" s="8" t="s">
        <v>2697</v>
      </c>
      <c r="K795" s="8" t="s">
        <v>7189</v>
      </c>
      <c r="L795" s="8" t="s">
        <v>6113</v>
      </c>
      <c r="N795" s="142" t="s">
        <v>6113</v>
      </c>
      <c r="O795" s="142"/>
      <c r="P795" s="142"/>
      <c r="Q795" s="8" t="s">
        <v>151</v>
      </c>
      <c r="Z795" s="8" t="s">
        <v>7190</v>
      </c>
      <c r="AB795" s="8" t="s">
        <v>6113</v>
      </c>
      <c r="AH795" s="8" t="s">
        <v>395</v>
      </c>
      <c r="AI795" s="8" t="s">
        <v>2873</v>
      </c>
      <c r="AJ795" s="8" t="s">
        <v>398</v>
      </c>
    </row>
    <row r="796">
      <c r="A796" s="152">
        <v>2024.0</v>
      </c>
      <c r="B796" s="151">
        <v>267.0</v>
      </c>
      <c r="C796" s="153"/>
      <c r="D796" s="153"/>
      <c r="E796" s="153" t="s">
        <v>8189</v>
      </c>
      <c r="F796" s="153" t="s">
        <v>8510</v>
      </c>
      <c r="G796" s="153">
        <f>IFERROR(__xludf.DUMMYFUNCTION("""COMPUTED_VALUE"""),316.0)</f>
        <v>316</v>
      </c>
      <c r="H796" s="153" t="s">
        <v>314</v>
      </c>
      <c r="I796" s="153" t="s">
        <v>558</v>
      </c>
      <c r="J796" s="153" t="s">
        <v>959</v>
      </c>
      <c r="K796" s="153" t="s">
        <v>960</v>
      </c>
      <c r="L796" s="153" t="s">
        <v>934</v>
      </c>
      <c r="M796" s="153"/>
      <c r="N796" s="230">
        <v>2001.0</v>
      </c>
      <c r="O796" s="230">
        <v>2001.0</v>
      </c>
      <c r="P796" s="230">
        <v>2005.0</v>
      </c>
      <c r="Q796" s="153" t="s">
        <v>6062</v>
      </c>
      <c r="R796" s="153" t="s">
        <v>6276</v>
      </c>
      <c r="S796" s="153" t="s">
        <v>179</v>
      </c>
      <c r="T796" s="153" t="s">
        <v>939</v>
      </c>
      <c r="U796" s="153" t="s">
        <v>940</v>
      </c>
      <c r="V796" s="158" t="s">
        <v>6154</v>
      </c>
      <c r="W796" s="158" t="s">
        <v>206</v>
      </c>
      <c r="X796" s="158" t="s">
        <v>204</v>
      </c>
      <c r="Y796" s="158" t="s">
        <v>149</v>
      </c>
      <c r="Z796" s="158" t="s">
        <v>149</v>
      </c>
      <c r="AA796" s="158" t="s">
        <v>149</v>
      </c>
      <c r="AB796" s="153" t="s">
        <v>233</v>
      </c>
      <c r="AC796" s="158" t="s">
        <v>6068</v>
      </c>
      <c r="AD796" s="153"/>
      <c r="AE796" s="153"/>
      <c r="AF796" s="153"/>
      <c r="AG796" s="158" t="s">
        <v>6214</v>
      </c>
      <c r="AH796" s="153" t="s">
        <v>941</v>
      </c>
      <c r="AI796" s="153" t="s">
        <v>942</v>
      </c>
      <c r="AJ796" s="153" t="s">
        <v>943</v>
      </c>
      <c r="AK796" s="153"/>
    </row>
    <row r="797">
      <c r="A797" s="152">
        <v>2024.0</v>
      </c>
      <c r="B797" s="151">
        <v>268.0</v>
      </c>
      <c r="C797" s="153"/>
      <c r="D797" s="153"/>
      <c r="E797" s="153" t="s">
        <v>8189</v>
      </c>
      <c r="F797" s="153" t="s">
        <v>8511</v>
      </c>
      <c r="G797" s="153">
        <f>IFERROR(__xludf.DUMMYFUNCTION("""COMPUTED_VALUE"""),317.0)</f>
        <v>317</v>
      </c>
      <c r="H797" s="153" t="s">
        <v>193</v>
      </c>
      <c r="I797" s="153" t="s">
        <v>563</v>
      </c>
      <c r="J797" s="153" t="s">
        <v>7099</v>
      </c>
      <c r="K797" s="153" t="s">
        <v>2152</v>
      </c>
      <c r="L797" s="153" t="s">
        <v>6587</v>
      </c>
      <c r="M797" s="153" t="s">
        <v>7100</v>
      </c>
      <c r="N797" s="158" t="s">
        <v>149</v>
      </c>
      <c r="O797" s="230">
        <v>2012.0</v>
      </c>
      <c r="P797" s="192" t="s">
        <v>149</v>
      </c>
      <c r="Q797" s="153" t="s">
        <v>151</v>
      </c>
      <c r="R797" s="158" t="s">
        <v>149</v>
      </c>
      <c r="S797" s="158" t="s">
        <v>149</v>
      </c>
      <c r="T797" s="153" t="s">
        <v>7101</v>
      </c>
      <c r="U797" s="153" t="s">
        <v>341</v>
      </c>
      <c r="V797" s="158" t="s">
        <v>160</v>
      </c>
      <c r="W797" s="158" t="s">
        <v>6035</v>
      </c>
      <c r="X797" s="158" t="s">
        <v>159</v>
      </c>
      <c r="Y797" s="158" t="s">
        <v>149</v>
      </c>
      <c r="Z797" s="158" t="s">
        <v>149</v>
      </c>
      <c r="AA797" s="158" t="s">
        <v>149</v>
      </c>
      <c r="AB797" s="153" t="s">
        <v>2160</v>
      </c>
      <c r="AC797" s="153" t="s">
        <v>6035</v>
      </c>
      <c r="AD797" s="153"/>
      <c r="AE797" s="153"/>
      <c r="AF797" s="153"/>
      <c r="AG797" s="158" t="s">
        <v>166</v>
      </c>
      <c r="AH797" s="153" t="s">
        <v>2161</v>
      </c>
      <c r="AI797" s="172" t="s">
        <v>2162</v>
      </c>
      <c r="AJ797" s="153"/>
      <c r="AK797" s="153"/>
    </row>
    <row r="798">
      <c r="A798" s="152">
        <v>2023.0</v>
      </c>
      <c r="B798" s="151">
        <v>286.0</v>
      </c>
      <c r="C798" s="129" t="s">
        <v>140</v>
      </c>
      <c r="D798" s="8"/>
      <c r="E798" s="8" t="s">
        <v>8189</v>
      </c>
      <c r="F798" s="8" t="s">
        <v>8512</v>
      </c>
      <c r="G798" s="8">
        <f>IFERROR(__xludf.DUMMYFUNCTION("""COMPUTED_VALUE"""),318.0)</f>
        <v>318</v>
      </c>
      <c r="H798" s="8" t="s">
        <v>193</v>
      </c>
      <c r="I798" s="8" t="s">
        <v>632</v>
      </c>
      <c r="J798" s="8" t="s">
        <v>1667</v>
      </c>
      <c r="K798" s="8" t="s">
        <v>7195</v>
      </c>
      <c r="L798" s="8" t="s">
        <v>6113</v>
      </c>
      <c r="N798" s="142" t="s">
        <v>6113</v>
      </c>
      <c r="O798" s="142"/>
      <c r="P798" s="142"/>
      <c r="Q798" s="8" t="s">
        <v>151</v>
      </c>
      <c r="Z798" s="8" t="s">
        <v>7196</v>
      </c>
      <c r="AB798" s="8" t="s">
        <v>6113</v>
      </c>
      <c r="AH798" s="8" t="s">
        <v>395</v>
      </c>
      <c r="AI798" s="8" t="s">
        <v>2873</v>
      </c>
      <c r="AJ798" s="8" t="s">
        <v>398</v>
      </c>
    </row>
    <row r="799">
      <c r="A799" s="152">
        <v>2023.0</v>
      </c>
      <c r="B799" s="151">
        <v>287.0</v>
      </c>
      <c r="C799" s="129" t="s">
        <v>140</v>
      </c>
      <c r="D799" s="8"/>
      <c r="E799" s="8" t="s">
        <v>8189</v>
      </c>
      <c r="F799" s="8" t="s">
        <v>7199</v>
      </c>
      <c r="G799" s="8">
        <f>IFERROR(__xludf.DUMMYFUNCTION("""COMPUTED_VALUE"""),319.0)</f>
        <v>319</v>
      </c>
      <c r="H799" s="8" t="s">
        <v>193</v>
      </c>
      <c r="I799" s="8" t="s">
        <v>632</v>
      </c>
      <c r="J799" s="8" t="s">
        <v>633</v>
      </c>
      <c r="K799" s="277" t="s">
        <v>7200</v>
      </c>
      <c r="L799" s="8" t="s">
        <v>384</v>
      </c>
      <c r="M799" s="8" t="s">
        <v>635</v>
      </c>
      <c r="N799" s="142" t="s">
        <v>6051</v>
      </c>
      <c r="O799" s="142" t="s">
        <v>6052</v>
      </c>
      <c r="P799" s="142" t="s">
        <v>6053</v>
      </c>
      <c r="Q799" s="8" t="s">
        <v>151</v>
      </c>
      <c r="R799" s="8" t="s">
        <v>6054</v>
      </c>
      <c r="U799" s="8" t="s">
        <v>390</v>
      </c>
      <c r="AA799" s="8" t="s">
        <v>162</v>
      </c>
      <c r="AB799" s="8" t="s">
        <v>390</v>
      </c>
      <c r="AD799" s="8" t="s">
        <v>6055</v>
      </c>
      <c r="AH799" s="8" t="s">
        <v>6057</v>
      </c>
      <c r="AI799" s="8" t="s">
        <v>2873</v>
      </c>
      <c r="AJ799" s="8" t="s">
        <v>398</v>
      </c>
    </row>
    <row r="800">
      <c r="A800" s="152">
        <v>2024.0</v>
      </c>
      <c r="B800" s="151">
        <v>269.0</v>
      </c>
      <c r="C800" s="153"/>
      <c r="D800" s="153"/>
      <c r="E800" s="153" t="s">
        <v>8189</v>
      </c>
      <c r="F800" s="153" t="s">
        <v>8513</v>
      </c>
      <c r="G800" s="153">
        <f>IFERROR(__xludf.DUMMYFUNCTION("""COMPUTED_VALUE"""),320.0)</f>
        <v>320</v>
      </c>
      <c r="H800" s="153" t="s">
        <v>193</v>
      </c>
      <c r="I800" s="153" t="s">
        <v>563</v>
      </c>
      <c r="J800" s="153" t="s">
        <v>230</v>
      </c>
      <c r="K800" s="153" t="s">
        <v>1713</v>
      </c>
      <c r="L800" s="153" t="s">
        <v>1683</v>
      </c>
      <c r="M800" s="153"/>
      <c r="N800" s="192">
        <v>2015.0</v>
      </c>
      <c r="O800" s="230">
        <v>2014.0</v>
      </c>
      <c r="P800" s="230">
        <v>2016.0</v>
      </c>
      <c r="Q800" s="153" t="s">
        <v>6062</v>
      </c>
      <c r="R800" s="153" t="s">
        <v>320</v>
      </c>
      <c r="S800" s="158" t="s">
        <v>179</v>
      </c>
      <c r="T800" s="158" t="s">
        <v>149</v>
      </c>
      <c r="U800" s="153" t="s">
        <v>321</v>
      </c>
      <c r="V800" s="158" t="s">
        <v>160</v>
      </c>
      <c r="W800" s="158" t="s">
        <v>6035</v>
      </c>
      <c r="X800" s="158" t="s">
        <v>159</v>
      </c>
      <c r="Y800" s="158" t="s">
        <v>149</v>
      </c>
      <c r="Z800" s="158" t="s">
        <v>149</v>
      </c>
      <c r="AA800" s="153" t="s">
        <v>1692</v>
      </c>
      <c r="AB800" s="153" t="s">
        <v>1714</v>
      </c>
      <c r="AC800" s="158" t="s">
        <v>6068</v>
      </c>
      <c r="AD800" s="153"/>
      <c r="AE800" s="153"/>
      <c r="AF800" s="153"/>
      <c r="AG800" s="158" t="s">
        <v>6069</v>
      </c>
      <c r="AH800" s="153" t="s">
        <v>1300</v>
      </c>
      <c r="AI800" s="153" t="s">
        <v>7029</v>
      </c>
      <c r="AJ800" s="153" t="s">
        <v>1716</v>
      </c>
      <c r="AK800" s="165" t="s">
        <v>1717</v>
      </c>
    </row>
    <row r="801">
      <c r="A801" s="152">
        <v>2023.0</v>
      </c>
      <c r="B801" s="151">
        <v>288.0</v>
      </c>
      <c r="C801" s="129" t="s">
        <v>140</v>
      </c>
      <c r="D801" s="8"/>
      <c r="E801" s="8" t="s">
        <v>8189</v>
      </c>
      <c r="F801" s="8" t="s">
        <v>8514</v>
      </c>
      <c r="G801" s="8">
        <f>IFERROR(__xludf.DUMMYFUNCTION("""COMPUTED_VALUE"""),321.0)</f>
        <v>321</v>
      </c>
      <c r="H801" s="8" t="s">
        <v>193</v>
      </c>
      <c r="I801" s="8" t="s">
        <v>632</v>
      </c>
      <c r="J801" s="8" t="s">
        <v>633</v>
      </c>
      <c r="K801" s="8" t="s">
        <v>7200</v>
      </c>
      <c r="L801" s="8" t="s">
        <v>6113</v>
      </c>
      <c r="N801" s="142" t="s">
        <v>6113</v>
      </c>
      <c r="O801" s="142"/>
      <c r="P801" s="142"/>
      <c r="Q801" s="8" t="s">
        <v>151</v>
      </c>
      <c r="Z801" s="8" t="s">
        <v>7203</v>
      </c>
      <c r="AB801" s="8" t="s">
        <v>6113</v>
      </c>
      <c r="AH801" s="8" t="s">
        <v>395</v>
      </c>
      <c r="AI801" s="8" t="s">
        <v>2873</v>
      </c>
      <c r="AJ801" s="8" t="s">
        <v>398</v>
      </c>
    </row>
    <row r="802">
      <c r="A802" s="152">
        <v>2023.0</v>
      </c>
      <c r="B802" s="151">
        <v>289.0</v>
      </c>
      <c r="C802" s="129" t="s">
        <v>140</v>
      </c>
      <c r="D802" s="8"/>
      <c r="E802" s="8" t="s">
        <v>8189</v>
      </c>
      <c r="F802" s="8" t="s">
        <v>7205</v>
      </c>
      <c r="G802" s="8">
        <f>IFERROR(__xludf.DUMMYFUNCTION("""COMPUTED_VALUE"""),322.0)</f>
        <v>322</v>
      </c>
      <c r="H802" s="8" t="s">
        <v>193</v>
      </c>
      <c r="I802" s="8" t="s">
        <v>632</v>
      </c>
      <c r="J802" s="8" t="s">
        <v>637</v>
      </c>
      <c r="K802" s="277" t="s">
        <v>7206</v>
      </c>
      <c r="L802" s="8" t="s">
        <v>384</v>
      </c>
      <c r="M802" s="8" t="s">
        <v>639</v>
      </c>
      <c r="N802" s="142" t="s">
        <v>6051</v>
      </c>
      <c r="O802" s="142" t="s">
        <v>6052</v>
      </c>
      <c r="P802" s="142" t="s">
        <v>6053</v>
      </c>
      <c r="Q802" s="8" t="s">
        <v>151</v>
      </c>
      <c r="R802" s="8" t="s">
        <v>6054</v>
      </c>
      <c r="U802" s="8" t="s">
        <v>390</v>
      </c>
      <c r="AA802" s="8" t="s">
        <v>640</v>
      </c>
      <c r="AB802" s="8" t="s">
        <v>390</v>
      </c>
      <c r="AD802" s="8" t="s">
        <v>6055</v>
      </c>
      <c r="AH802" s="8" t="s">
        <v>6057</v>
      </c>
      <c r="AI802" s="8" t="s">
        <v>2873</v>
      </c>
      <c r="AJ802" s="8" t="s">
        <v>398</v>
      </c>
    </row>
    <row r="803">
      <c r="A803" s="152">
        <v>2024.0</v>
      </c>
      <c r="B803" s="151">
        <v>270.0</v>
      </c>
      <c r="C803" s="153"/>
      <c r="D803" s="153"/>
      <c r="E803" s="153" t="s">
        <v>8189</v>
      </c>
      <c r="F803" s="153" t="s">
        <v>8515</v>
      </c>
      <c r="G803" s="153">
        <f>IFERROR(__xludf.DUMMYFUNCTION("""COMPUTED_VALUE"""),323.0)</f>
        <v>323</v>
      </c>
      <c r="H803" s="153" t="s">
        <v>193</v>
      </c>
      <c r="I803" s="153" t="s">
        <v>563</v>
      </c>
      <c r="J803" s="153" t="s">
        <v>962</v>
      </c>
      <c r="K803" s="153" t="s">
        <v>963</v>
      </c>
      <c r="L803" s="153" t="s">
        <v>934</v>
      </c>
      <c r="M803" s="153"/>
      <c r="N803" s="230">
        <v>2001.0</v>
      </c>
      <c r="O803" s="230">
        <v>2001.0</v>
      </c>
      <c r="P803" s="230">
        <v>2005.0</v>
      </c>
      <c r="Q803" s="153" t="s">
        <v>6062</v>
      </c>
      <c r="R803" s="153" t="s">
        <v>6276</v>
      </c>
      <c r="S803" s="158" t="s">
        <v>179</v>
      </c>
      <c r="T803" s="153" t="s">
        <v>939</v>
      </c>
      <c r="U803" s="153" t="s">
        <v>940</v>
      </c>
      <c r="V803" s="158" t="s">
        <v>6154</v>
      </c>
      <c r="W803" s="158" t="s">
        <v>206</v>
      </c>
      <c r="X803" s="158" t="s">
        <v>204</v>
      </c>
      <c r="Y803" s="158" t="s">
        <v>149</v>
      </c>
      <c r="Z803" s="158" t="s">
        <v>149</v>
      </c>
      <c r="AA803" s="158" t="s">
        <v>149</v>
      </c>
      <c r="AB803" s="153" t="s">
        <v>233</v>
      </c>
      <c r="AC803" s="158" t="s">
        <v>6068</v>
      </c>
      <c r="AD803" s="153"/>
      <c r="AE803" s="153"/>
      <c r="AF803" s="153"/>
      <c r="AG803" s="158" t="s">
        <v>6214</v>
      </c>
      <c r="AH803" s="153" t="s">
        <v>941</v>
      </c>
      <c r="AI803" s="153" t="s">
        <v>942</v>
      </c>
      <c r="AJ803" s="153" t="s">
        <v>943</v>
      </c>
      <c r="AK803" s="153"/>
    </row>
    <row r="804">
      <c r="A804" s="152">
        <v>2023.0</v>
      </c>
      <c r="B804" s="151">
        <v>290.0</v>
      </c>
      <c r="C804" s="129" t="s">
        <v>140</v>
      </c>
      <c r="D804" s="8"/>
      <c r="E804" s="8" t="s">
        <v>8189</v>
      </c>
      <c r="F804" s="8" t="s">
        <v>8516</v>
      </c>
      <c r="G804" s="8">
        <f>IFERROR(__xludf.DUMMYFUNCTION("""COMPUTED_VALUE"""),324.0)</f>
        <v>324</v>
      </c>
      <c r="H804" s="8" t="s">
        <v>193</v>
      </c>
      <c r="I804" s="8" t="s">
        <v>632</v>
      </c>
      <c r="J804" s="8" t="s">
        <v>637</v>
      </c>
      <c r="K804" s="8" t="s">
        <v>7206</v>
      </c>
      <c r="L804" s="8" t="s">
        <v>6113</v>
      </c>
      <c r="M804" s="8" t="s">
        <v>8152</v>
      </c>
      <c r="N804" s="142" t="s">
        <v>6113</v>
      </c>
      <c r="O804" s="142"/>
      <c r="P804" s="142"/>
      <c r="Q804" s="8" t="s">
        <v>151</v>
      </c>
      <c r="Z804" s="8" t="s">
        <v>7210</v>
      </c>
      <c r="AB804" s="8" t="s">
        <v>6113</v>
      </c>
      <c r="AH804" s="8" t="s">
        <v>395</v>
      </c>
      <c r="AI804" s="8" t="s">
        <v>2873</v>
      </c>
      <c r="AJ804" s="8" t="s">
        <v>398</v>
      </c>
    </row>
    <row r="805">
      <c r="A805" s="152">
        <v>2023.0</v>
      </c>
      <c r="B805" s="151">
        <v>291.0</v>
      </c>
      <c r="C805" s="129" t="s">
        <v>140</v>
      </c>
      <c r="D805" s="8"/>
      <c r="E805" s="8" t="s">
        <v>8189</v>
      </c>
      <c r="F805" s="8" t="s">
        <v>8517</v>
      </c>
      <c r="G805" s="8">
        <f>IFERROR(__xludf.DUMMYFUNCTION("""COMPUTED_VALUE"""),325.0)</f>
        <v>325</v>
      </c>
      <c r="H805" s="8" t="s">
        <v>193</v>
      </c>
      <c r="I805" s="8" t="s">
        <v>632</v>
      </c>
      <c r="J805" s="8" t="s">
        <v>637</v>
      </c>
      <c r="K805" s="8" t="s">
        <v>7206</v>
      </c>
      <c r="L805" s="8" t="s">
        <v>6113</v>
      </c>
      <c r="M805" s="8" t="s">
        <v>8153</v>
      </c>
      <c r="N805" s="142" t="s">
        <v>6113</v>
      </c>
      <c r="O805" s="142"/>
      <c r="P805" s="142"/>
      <c r="Q805" s="8" t="s">
        <v>151</v>
      </c>
      <c r="Z805" s="8" t="s">
        <v>7190</v>
      </c>
      <c r="AB805" s="8" t="s">
        <v>6113</v>
      </c>
      <c r="AH805" s="8" t="s">
        <v>395</v>
      </c>
      <c r="AI805" s="8" t="s">
        <v>2873</v>
      </c>
      <c r="AJ805" s="8" t="s">
        <v>398</v>
      </c>
    </row>
    <row r="806">
      <c r="A806" s="152">
        <v>2024.0</v>
      </c>
      <c r="B806" s="151">
        <v>271.0</v>
      </c>
      <c r="C806" s="153"/>
      <c r="D806" s="153"/>
      <c r="E806" s="153" t="s">
        <v>8189</v>
      </c>
      <c r="F806" s="153" t="s">
        <v>8518</v>
      </c>
      <c r="G806" s="153">
        <f>IFERROR(__xludf.DUMMYFUNCTION("""COMPUTED_VALUE"""),326.0)</f>
        <v>326</v>
      </c>
      <c r="H806" s="153" t="s">
        <v>193</v>
      </c>
      <c r="I806" s="153" t="s">
        <v>563</v>
      </c>
      <c r="J806" s="153" t="s">
        <v>564</v>
      </c>
      <c r="K806" s="153" t="s">
        <v>565</v>
      </c>
      <c r="L806" s="153" t="s">
        <v>384</v>
      </c>
      <c r="M806" s="153" t="s">
        <v>566</v>
      </c>
      <c r="N806" s="230">
        <v>1986.0</v>
      </c>
      <c r="O806" s="230">
        <v>1985.0</v>
      </c>
      <c r="P806" s="230">
        <v>1987.0</v>
      </c>
      <c r="Q806" s="153" t="s">
        <v>151</v>
      </c>
      <c r="R806" s="153" t="s">
        <v>6054</v>
      </c>
      <c r="S806" s="158" t="s">
        <v>6054</v>
      </c>
      <c r="T806" s="158" t="s">
        <v>149</v>
      </c>
      <c r="U806" s="153" t="s">
        <v>390</v>
      </c>
      <c r="V806" s="158" t="s">
        <v>160</v>
      </c>
      <c r="W806" s="158" t="s">
        <v>6035</v>
      </c>
      <c r="X806" s="158" t="s">
        <v>159</v>
      </c>
      <c r="Y806" s="158" t="s">
        <v>149</v>
      </c>
      <c r="Z806" s="158" t="s">
        <v>149</v>
      </c>
      <c r="AA806" s="153" t="s">
        <v>475</v>
      </c>
      <c r="AB806" s="153" t="s">
        <v>390</v>
      </c>
      <c r="AC806" s="153" t="s">
        <v>6035</v>
      </c>
      <c r="AD806" s="153" t="s">
        <v>6055</v>
      </c>
      <c r="AE806" s="153"/>
      <c r="AF806" s="153"/>
      <c r="AG806" s="158" t="s">
        <v>395</v>
      </c>
      <c r="AH806" s="153" t="s">
        <v>6060</v>
      </c>
      <c r="AI806" s="153" t="s">
        <v>2873</v>
      </c>
      <c r="AJ806" s="153" t="s">
        <v>398</v>
      </c>
      <c r="AK806" s="153"/>
    </row>
    <row r="807">
      <c r="A807" s="152">
        <v>2023.0</v>
      </c>
      <c r="B807" s="151">
        <v>292.0</v>
      </c>
      <c r="C807" s="129" t="s">
        <v>140</v>
      </c>
      <c r="D807" s="8"/>
      <c r="E807" s="8" t="s">
        <v>8189</v>
      </c>
      <c r="F807" s="8" t="s">
        <v>8519</v>
      </c>
      <c r="G807" s="8">
        <f>IFERROR(__xludf.DUMMYFUNCTION("""COMPUTED_VALUE"""),327.0)</f>
        <v>327</v>
      </c>
      <c r="H807" s="8" t="s">
        <v>193</v>
      </c>
      <c r="I807" s="8" t="s">
        <v>632</v>
      </c>
      <c r="J807" s="8" t="s">
        <v>637</v>
      </c>
      <c r="K807" s="8" t="s">
        <v>7206</v>
      </c>
      <c r="L807" s="8" t="s">
        <v>6113</v>
      </c>
      <c r="M807" s="8" t="s">
        <v>8154</v>
      </c>
      <c r="N807" s="142" t="s">
        <v>6113</v>
      </c>
      <c r="O807" s="142"/>
      <c r="P807" s="142"/>
      <c r="Q807" s="8" t="s">
        <v>151</v>
      </c>
      <c r="Z807" s="8" t="s">
        <v>7215</v>
      </c>
      <c r="AB807" s="8" t="s">
        <v>6113</v>
      </c>
      <c r="AH807" s="8" t="s">
        <v>395</v>
      </c>
      <c r="AI807" s="8" t="s">
        <v>2873</v>
      </c>
      <c r="AJ807" s="8" t="s">
        <v>398</v>
      </c>
    </row>
    <row r="808">
      <c r="A808" s="152">
        <v>2025.0</v>
      </c>
      <c r="B808" s="151">
        <v>414.0</v>
      </c>
      <c r="C808" s="153" t="s">
        <v>8189</v>
      </c>
      <c r="D808" s="153"/>
      <c r="E808" s="153" t="s">
        <v>8301</v>
      </c>
      <c r="F808" s="153" t="s">
        <v>8520</v>
      </c>
      <c r="G808" s="153">
        <f>IFERROR(__xludf.DUMMYFUNCTION("""COMPUTED_VALUE"""),328.0)</f>
        <v>328</v>
      </c>
      <c r="H808" s="153" t="s">
        <v>625</v>
      </c>
      <c r="I808" s="153" t="s">
        <v>632</v>
      </c>
      <c r="J808" s="153" t="s">
        <v>2678</v>
      </c>
      <c r="K808" s="153" t="s">
        <v>7155</v>
      </c>
      <c r="L808" s="158" t="s">
        <v>149</v>
      </c>
      <c r="M808" s="158" t="s">
        <v>2680</v>
      </c>
      <c r="N808" s="160" t="s">
        <v>149</v>
      </c>
      <c r="O808" s="160" t="s">
        <v>149</v>
      </c>
      <c r="P808" s="160" t="s">
        <v>149</v>
      </c>
      <c r="Q808" s="153" t="s">
        <v>151</v>
      </c>
      <c r="R808" s="158" t="s">
        <v>7695</v>
      </c>
      <c r="S808" s="158" t="s">
        <v>7695</v>
      </c>
      <c r="T808" s="158" t="s">
        <v>149</v>
      </c>
      <c r="U808" s="158" t="s">
        <v>149</v>
      </c>
      <c r="V808" s="158" t="s">
        <v>149</v>
      </c>
      <c r="W808" s="158" t="s">
        <v>149</v>
      </c>
      <c r="X808" s="158" t="s">
        <v>149</v>
      </c>
      <c r="Y808" s="158" t="s">
        <v>149</v>
      </c>
      <c r="Z808" s="158" t="s">
        <v>7696</v>
      </c>
      <c r="AA808" s="158" t="s">
        <v>149</v>
      </c>
      <c r="AB808" s="158" t="s">
        <v>149</v>
      </c>
      <c r="AC808" s="158" t="s">
        <v>149</v>
      </c>
      <c r="AD808" s="153"/>
      <c r="AE808" s="153"/>
      <c r="AF808" s="153"/>
      <c r="AG808" s="158" t="s">
        <v>395</v>
      </c>
      <c r="AH808" s="153" t="s">
        <v>6060</v>
      </c>
      <c r="AI808" s="177" t="s">
        <v>541</v>
      </c>
      <c r="AJ808" s="153" t="s">
        <v>398</v>
      </c>
      <c r="AK808" s="153"/>
    </row>
    <row r="809">
      <c r="A809" s="152">
        <v>2024.0</v>
      </c>
      <c r="B809" s="151">
        <v>272.0</v>
      </c>
      <c r="C809" s="153"/>
      <c r="D809" s="153"/>
      <c r="E809" s="153" t="s">
        <v>8189</v>
      </c>
      <c r="F809" s="153" t="s">
        <v>8521</v>
      </c>
      <c r="G809" s="153">
        <f>IFERROR(__xludf.DUMMYFUNCTION("""COMPUTED_VALUE"""),329.0)</f>
        <v>329</v>
      </c>
      <c r="H809" s="153" t="s">
        <v>193</v>
      </c>
      <c r="I809" s="153" t="s">
        <v>563</v>
      </c>
      <c r="J809" s="153" t="s">
        <v>2164</v>
      </c>
      <c r="K809" s="153" t="s">
        <v>2165</v>
      </c>
      <c r="L809" s="153" t="s">
        <v>6587</v>
      </c>
      <c r="M809" s="153" t="s">
        <v>7100</v>
      </c>
      <c r="N809" s="158" t="s">
        <v>149</v>
      </c>
      <c r="O809" s="230">
        <v>2012.0</v>
      </c>
      <c r="P809" s="192" t="s">
        <v>149</v>
      </c>
      <c r="Q809" s="153" t="s">
        <v>151</v>
      </c>
      <c r="R809" s="158" t="s">
        <v>149</v>
      </c>
      <c r="S809" s="158" t="s">
        <v>149</v>
      </c>
      <c r="T809" s="153" t="s">
        <v>7101</v>
      </c>
      <c r="U809" s="153" t="s">
        <v>341</v>
      </c>
      <c r="V809" s="158" t="s">
        <v>160</v>
      </c>
      <c r="W809" s="158" t="s">
        <v>6035</v>
      </c>
      <c r="X809" s="158" t="s">
        <v>159</v>
      </c>
      <c r="Y809" s="158" t="s">
        <v>149</v>
      </c>
      <c r="Z809" s="158" t="s">
        <v>149</v>
      </c>
      <c r="AA809" s="158" t="s">
        <v>149</v>
      </c>
      <c r="AB809" s="153" t="s">
        <v>2160</v>
      </c>
      <c r="AC809" s="153" t="s">
        <v>6035</v>
      </c>
      <c r="AD809" s="153"/>
      <c r="AE809" s="153"/>
      <c r="AF809" s="153"/>
      <c r="AG809" s="158" t="s">
        <v>166</v>
      </c>
      <c r="AH809" s="153" t="s">
        <v>2161</v>
      </c>
      <c r="AI809" s="172" t="s">
        <v>2162</v>
      </c>
      <c r="AJ809" s="153"/>
      <c r="AK809" s="153"/>
    </row>
    <row r="810">
      <c r="A810" s="152">
        <v>2025.0</v>
      </c>
      <c r="B810" s="151">
        <v>415.0</v>
      </c>
      <c r="C810" s="153" t="s">
        <v>8189</v>
      </c>
      <c r="D810" s="153"/>
      <c r="E810" s="153" t="s">
        <v>8301</v>
      </c>
      <c r="F810" s="153" t="s">
        <v>8522</v>
      </c>
      <c r="G810" s="153">
        <f>IFERROR(__xludf.DUMMYFUNCTION("""COMPUTED_VALUE"""),330.0)</f>
        <v>330</v>
      </c>
      <c r="H810" s="153" t="s">
        <v>625</v>
      </c>
      <c r="I810" s="153" t="s">
        <v>632</v>
      </c>
      <c r="J810" s="153" t="s">
        <v>2193</v>
      </c>
      <c r="K810" s="153" t="s">
        <v>7699</v>
      </c>
      <c r="L810" s="153" t="s">
        <v>6587</v>
      </c>
      <c r="M810" s="153" t="s">
        <v>7700</v>
      </c>
      <c r="N810" s="164" t="s">
        <v>149</v>
      </c>
      <c r="O810" s="175" t="s">
        <v>6151</v>
      </c>
      <c r="P810" s="164" t="s">
        <v>149</v>
      </c>
      <c r="Q810" s="153" t="s">
        <v>151</v>
      </c>
      <c r="R810" s="158" t="s">
        <v>149</v>
      </c>
      <c r="S810" s="158" t="s">
        <v>149</v>
      </c>
      <c r="T810" s="153" t="s">
        <v>7101</v>
      </c>
      <c r="U810" s="153" t="s">
        <v>341</v>
      </c>
      <c r="V810" s="158" t="s">
        <v>160</v>
      </c>
      <c r="W810" s="158" t="s">
        <v>6035</v>
      </c>
      <c r="X810" s="158" t="s">
        <v>159</v>
      </c>
      <c r="Y810" s="158" t="s">
        <v>149</v>
      </c>
      <c r="Z810" s="158" t="s">
        <v>149</v>
      </c>
      <c r="AA810" s="158" t="s">
        <v>149</v>
      </c>
      <c r="AB810" s="153" t="s">
        <v>2160</v>
      </c>
      <c r="AC810" s="153" t="s">
        <v>6035</v>
      </c>
      <c r="AD810" s="153"/>
      <c r="AE810" s="153"/>
      <c r="AF810" s="153"/>
      <c r="AG810" s="158" t="s">
        <v>166</v>
      </c>
      <c r="AH810" s="153" t="s">
        <v>2161</v>
      </c>
      <c r="AI810" s="172" t="s">
        <v>2162</v>
      </c>
      <c r="AJ810" s="153"/>
      <c r="AK810" s="153"/>
    </row>
    <row r="811">
      <c r="A811" s="152">
        <v>2025.0</v>
      </c>
      <c r="B811" s="151">
        <v>416.0</v>
      </c>
      <c r="C811" s="153" t="s">
        <v>8189</v>
      </c>
      <c r="D811" s="153"/>
      <c r="E811" s="153" t="s">
        <v>8301</v>
      </c>
      <c r="F811" s="153" t="s">
        <v>8523</v>
      </c>
      <c r="G811" s="153">
        <f>IFERROR(__xludf.DUMMYFUNCTION("""COMPUTED_VALUE"""),331.0)</f>
        <v>331</v>
      </c>
      <c r="H811" s="153" t="s">
        <v>625</v>
      </c>
      <c r="I811" s="153" t="s">
        <v>632</v>
      </c>
      <c r="J811" s="153" t="s">
        <v>2687</v>
      </c>
      <c r="K811" s="153" t="s">
        <v>7160</v>
      </c>
      <c r="L811" s="158" t="s">
        <v>149</v>
      </c>
      <c r="M811" s="158" t="s">
        <v>2689</v>
      </c>
      <c r="N811" s="160" t="s">
        <v>149</v>
      </c>
      <c r="O811" s="160" t="s">
        <v>149</v>
      </c>
      <c r="P811" s="160" t="s">
        <v>149</v>
      </c>
      <c r="Q811" s="153" t="s">
        <v>151</v>
      </c>
      <c r="R811" s="158" t="s">
        <v>7695</v>
      </c>
      <c r="S811" s="158" t="s">
        <v>7695</v>
      </c>
      <c r="T811" s="158" t="s">
        <v>149</v>
      </c>
      <c r="U811" s="158" t="s">
        <v>149</v>
      </c>
      <c r="V811" s="158" t="s">
        <v>149</v>
      </c>
      <c r="W811" s="158" t="s">
        <v>149</v>
      </c>
      <c r="X811" s="158" t="s">
        <v>149</v>
      </c>
      <c r="Y811" s="158" t="s">
        <v>149</v>
      </c>
      <c r="Z811" s="153" t="s">
        <v>7161</v>
      </c>
      <c r="AA811" s="158" t="s">
        <v>149</v>
      </c>
      <c r="AB811" s="158" t="s">
        <v>149</v>
      </c>
      <c r="AC811" s="158" t="s">
        <v>149</v>
      </c>
      <c r="AD811" s="153"/>
      <c r="AE811" s="153"/>
      <c r="AF811" s="153"/>
      <c r="AG811" s="158" t="s">
        <v>395</v>
      </c>
      <c r="AH811" s="153" t="s">
        <v>6060</v>
      </c>
      <c r="AI811" s="177" t="s">
        <v>541</v>
      </c>
      <c r="AJ811" s="153" t="s">
        <v>398</v>
      </c>
      <c r="AK811" s="153"/>
    </row>
    <row r="812">
      <c r="A812" s="152">
        <v>2024.0</v>
      </c>
      <c r="B812" s="151">
        <v>273.0</v>
      </c>
      <c r="C812" s="153"/>
      <c r="D812" s="153"/>
      <c r="E812" s="153" t="s">
        <v>8189</v>
      </c>
      <c r="F812" s="153" t="s">
        <v>8524</v>
      </c>
      <c r="G812" s="153">
        <f>IFERROR(__xludf.DUMMYFUNCTION("""COMPUTED_VALUE"""),332.0)</f>
        <v>332</v>
      </c>
      <c r="H812" s="153" t="s">
        <v>193</v>
      </c>
      <c r="I812" s="153" t="s">
        <v>563</v>
      </c>
      <c r="J812" s="153" t="s">
        <v>1108</v>
      </c>
      <c r="K812" s="153" t="s">
        <v>1109</v>
      </c>
      <c r="L812" s="153" t="s">
        <v>1174</v>
      </c>
      <c r="M812" s="153"/>
      <c r="N812" s="192">
        <v>2013.0</v>
      </c>
      <c r="O812" s="230">
        <v>2012.0</v>
      </c>
      <c r="P812" s="230">
        <v>2013.0</v>
      </c>
      <c r="Q812" s="153" t="s">
        <v>6062</v>
      </c>
      <c r="R812" s="153" t="s">
        <v>320</v>
      </c>
      <c r="S812" s="158" t="s">
        <v>179</v>
      </c>
      <c r="T812" s="158" t="s">
        <v>149</v>
      </c>
      <c r="U812" s="153" t="s">
        <v>321</v>
      </c>
      <c r="V812" s="158" t="s">
        <v>160</v>
      </c>
      <c r="W812" s="158" t="s">
        <v>6035</v>
      </c>
      <c r="X812" s="158" t="s">
        <v>159</v>
      </c>
      <c r="Y812" s="158" t="s">
        <v>149</v>
      </c>
      <c r="Z812" s="158" t="s">
        <v>149</v>
      </c>
      <c r="AA812" s="153" t="s">
        <v>1303</v>
      </c>
      <c r="AB812" s="153" t="s">
        <v>885</v>
      </c>
      <c r="AC812" s="158" t="s">
        <v>6068</v>
      </c>
      <c r="AD812" s="153"/>
      <c r="AE812" s="153"/>
      <c r="AF812" s="153"/>
      <c r="AG812" s="158" t="s">
        <v>6069</v>
      </c>
      <c r="AH812" s="153" t="s">
        <v>1304</v>
      </c>
      <c r="AI812" s="153" t="s">
        <v>6070</v>
      </c>
      <c r="AJ812" s="153" t="s">
        <v>1280</v>
      </c>
      <c r="AK812" s="165" t="s">
        <v>1281</v>
      </c>
    </row>
    <row r="813">
      <c r="A813" s="152">
        <v>2025.0</v>
      </c>
      <c r="B813" s="151">
        <v>417.0</v>
      </c>
      <c r="C813" s="153" t="s">
        <v>8189</v>
      </c>
      <c r="D813" s="153"/>
      <c r="E813" s="153" t="s">
        <v>8301</v>
      </c>
      <c r="F813" s="153" t="s">
        <v>8525</v>
      </c>
      <c r="G813" s="153">
        <f>IFERROR(__xludf.DUMMYFUNCTION("""COMPUTED_VALUE"""),333.0)</f>
        <v>333</v>
      </c>
      <c r="H813" s="153" t="s">
        <v>625</v>
      </c>
      <c r="I813" s="153" t="s">
        <v>632</v>
      </c>
      <c r="J813" s="153" t="s">
        <v>2687</v>
      </c>
      <c r="K813" s="153" t="s">
        <v>7160</v>
      </c>
      <c r="L813" s="158" t="s">
        <v>149</v>
      </c>
      <c r="M813" s="158" t="s">
        <v>7707</v>
      </c>
      <c r="N813" s="164" t="s">
        <v>149</v>
      </c>
      <c r="O813" s="164" t="s">
        <v>149</v>
      </c>
      <c r="P813" s="164" t="s">
        <v>149</v>
      </c>
      <c r="Q813" s="153" t="s">
        <v>151</v>
      </c>
      <c r="R813" s="153" t="s">
        <v>3211</v>
      </c>
      <c r="S813" s="158" t="s">
        <v>3211</v>
      </c>
      <c r="T813" s="158" t="s">
        <v>149</v>
      </c>
      <c r="U813" s="153" t="s">
        <v>3212</v>
      </c>
      <c r="V813" s="158" t="s">
        <v>160</v>
      </c>
      <c r="W813" s="158" t="s">
        <v>184</v>
      </c>
      <c r="X813" s="158" t="s">
        <v>159</v>
      </c>
      <c r="Y813" s="158" t="s">
        <v>149</v>
      </c>
      <c r="Z813" s="158" t="s">
        <v>149</v>
      </c>
      <c r="AA813" s="158" t="s">
        <v>149</v>
      </c>
      <c r="AB813" s="153" t="s">
        <v>3214</v>
      </c>
      <c r="AC813" s="158" t="s">
        <v>184</v>
      </c>
      <c r="AD813" s="153"/>
      <c r="AE813" s="153"/>
      <c r="AF813" s="153"/>
      <c r="AG813" s="158" t="s">
        <v>6038</v>
      </c>
      <c r="AH813" s="153" t="s">
        <v>3215</v>
      </c>
      <c r="AI813" s="165" t="s">
        <v>3216</v>
      </c>
      <c r="AJ813" s="153"/>
      <c r="AK813" s="153"/>
    </row>
    <row r="814">
      <c r="A814" s="152">
        <v>2025.0</v>
      </c>
      <c r="B814" s="151">
        <v>418.0</v>
      </c>
      <c r="C814" s="153" t="s">
        <v>8189</v>
      </c>
      <c r="D814" s="153"/>
      <c r="E814" s="153" t="s">
        <v>8301</v>
      </c>
      <c r="F814" s="153" t="s">
        <v>8526</v>
      </c>
      <c r="G814" s="153">
        <f>IFERROR(__xludf.DUMMYFUNCTION("""COMPUTED_VALUE"""),334.0)</f>
        <v>334</v>
      </c>
      <c r="H814" s="153" t="s">
        <v>625</v>
      </c>
      <c r="I814" s="153" t="s">
        <v>632</v>
      </c>
      <c r="J814" s="153" t="s">
        <v>2198</v>
      </c>
      <c r="K814" s="153" t="s">
        <v>7710</v>
      </c>
      <c r="L814" s="153" t="s">
        <v>6587</v>
      </c>
      <c r="M814" s="153" t="s">
        <v>7700</v>
      </c>
      <c r="N814" s="164" t="s">
        <v>149</v>
      </c>
      <c r="O814" s="175" t="s">
        <v>6151</v>
      </c>
      <c r="P814" s="164" t="s">
        <v>149</v>
      </c>
      <c r="Q814" s="153" t="s">
        <v>151</v>
      </c>
      <c r="R814" s="158" t="s">
        <v>149</v>
      </c>
      <c r="S814" s="158" t="s">
        <v>149</v>
      </c>
      <c r="T814" s="153" t="s">
        <v>7101</v>
      </c>
      <c r="U814" s="153" t="s">
        <v>341</v>
      </c>
      <c r="V814" s="158" t="s">
        <v>160</v>
      </c>
      <c r="W814" s="158" t="s">
        <v>6035</v>
      </c>
      <c r="X814" s="158" t="s">
        <v>159</v>
      </c>
      <c r="Y814" s="158" t="s">
        <v>149</v>
      </c>
      <c r="Z814" s="158" t="s">
        <v>149</v>
      </c>
      <c r="AA814" s="158" t="s">
        <v>149</v>
      </c>
      <c r="AB814" s="153" t="s">
        <v>2160</v>
      </c>
      <c r="AC814" s="153" t="s">
        <v>6035</v>
      </c>
      <c r="AD814" s="153"/>
      <c r="AE814" s="153"/>
      <c r="AF814" s="153"/>
      <c r="AG814" s="158" t="s">
        <v>166</v>
      </c>
      <c r="AH814" s="153" t="s">
        <v>2161</v>
      </c>
      <c r="AI814" s="172" t="s">
        <v>2162</v>
      </c>
      <c r="AJ814" s="153"/>
      <c r="AK814" s="153"/>
    </row>
    <row r="815">
      <c r="A815" s="152">
        <v>2024.0</v>
      </c>
      <c r="B815" s="151">
        <v>274.0</v>
      </c>
      <c r="C815" s="153"/>
      <c r="D815" s="153"/>
      <c r="E815" s="153" t="s">
        <v>8189</v>
      </c>
      <c r="F815" s="153" t="s">
        <v>8527</v>
      </c>
      <c r="G815" s="153">
        <f>IFERROR(__xludf.DUMMYFUNCTION("""COMPUTED_VALUE"""),335.0)</f>
        <v>335</v>
      </c>
      <c r="H815" s="153" t="s">
        <v>193</v>
      </c>
      <c r="I815" s="153" t="s">
        <v>563</v>
      </c>
      <c r="J815" s="153" t="s">
        <v>1108</v>
      </c>
      <c r="K815" s="153" t="s">
        <v>1109</v>
      </c>
      <c r="L815" s="153" t="s">
        <v>6587</v>
      </c>
      <c r="M815" s="153" t="s">
        <v>7100</v>
      </c>
      <c r="N815" s="158" t="s">
        <v>149</v>
      </c>
      <c r="O815" s="230">
        <v>2012.0</v>
      </c>
      <c r="P815" s="192" t="s">
        <v>149</v>
      </c>
      <c r="Q815" s="153" t="s">
        <v>151</v>
      </c>
      <c r="R815" s="158" t="s">
        <v>149</v>
      </c>
      <c r="S815" s="158" t="s">
        <v>149</v>
      </c>
      <c r="T815" s="153" t="s">
        <v>7101</v>
      </c>
      <c r="U815" s="153" t="s">
        <v>341</v>
      </c>
      <c r="V815" s="158" t="s">
        <v>160</v>
      </c>
      <c r="W815" s="158" t="s">
        <v>6035</v>
      </c>
      <c r="X815" s="158" t="s">
        <v>159</v>
      </c>
      <c r="Y815" s="158" t="s">
        <v>149</v>
      </c>
      <c r="Z815" s="158" t="s">
        <v>149</v>
      </c>
      <c r="AA815" s="158" t="s">
        <v>149</v>
      </c>
      <c r="AB815" s="153" t="s">
        <v>2160</v>
      </c>
      <c r="AC815" s="153" t="s">
        <v>6035</v>
      </c>
      <c r="AD815" s="153"/>
      <c r="AE815" s="153"/>
      <c r="AF815" s="153"/>
      <c r="AG815" s="158" t="s">
        <v>166</v>
      </c>
      <c r="AH815" s="153" t="s">
        <v>2161</v>
      </c>
      <c r="AI815" s="165" t="s">
        <v>2162</v>
      </c>
      <c r="AJ815" s="153"/>
      <c r="AK815" s="239"/>
    </row>
    <row r="816">
      <c r="A816" s="152">
        <v>2025.0</v>
      </c>
      <c r="B816" s="151">
        <v>419.0</v>
      </c>
      <c r="C816" s="153" t="s">
        <v>8189</v>
      </c>
      <c r="D816" s="153"/>
      <c r="E816" s="153" t="s">
        <v>8301</v>
      </c>
      <c r="F816" s="153" t="s">
        <v>8528</v>
      </c>
      <c r="G816" s="153">
        <f>IFERROR(__xludf.DUMMYFUNCTION("""COMPUTED_VALUE"""),336.0)</f>
        <v>336</v>
      </c>
      <c r="H816" s="153" t="s">
        <v>625</v>
      </c>
      <c r="I816" s="153" t="s">
        <v>632</v>
      </c>
      <c r="J816" s="153" t="s">
        <v>847</v>
      </c>
      <c r="K816" s="153" t="s">
        <v>7167</v>
      </c>
      <c r="L816" s="158" t="s">
        <v>149</v>
      </c>
      <c r="M816" s="158" t="s">
        <v>2693</v>
      </c>
      <c r="N816" s="160" t="s">
        <v>149</v>
      </c>
      <c r="O816" s="160" t="s">
        <v>149</v>
      </c>
      <c r="P816" s="160" t="s">
        <v>149</v>
      </c>
      <c r="Q816" s="153" t="s">
        <v>151</v>
      </c>
      <c r="R816" s="158" t="s">
        <v>7695</v>
      </c>
      <c r="S816" s="158" t="s">
        <v>7695</v>
      </c>
      <c r="T816" s="158" t="s">
        <v>149</v>
      </c>
      <c r="U816" s="158" t="s">
        <v>149</v>
      </c>
      <c r="V816" s="158" t="s">
        <v>149</v>
      </c>
      <c r="W816" s="158" t="s">
        <v>149</v>
      </c>
      <c r="X816" s="158" t="s">
        <v>149</v>
      </c>
      <c r="Y816" s="158" t="s">
        <v>149</v>
      </c>
      <c r="Z816" s="153" t="s">
        <v>7168</v>
      </c>
      <c r="AA816" s="158" t="s">
        <v>149</v>
      </c>
      <c r="AB816" s="158" t="s">
        <v>149</v>
      </c>
      <c r="AC816" s="158" t="s">
        <v>149</v>
      </c>
      <c r="AD816" s="153"/>
      <c r="AE816" s="153"/>
      <c r="AF816" s="153"/>
      <c r="AG816" s="158" t="s">
        <v>395</v>
      </c>
      <c r="AH816" s="153" t="s">
        <v>6060</v>
      </c>
      <c r="AI816" s="177" t="s">
        <v>541</v>
      </c>
      <c r="AJ816" s="153" t="s">
        <v>398</v>
      </c>
      <c r="AK816" s="153"/>
    </row>
    <row r="817">
      <c r="A817" s="152">
        <v>2025.0</v>
      </c>
      <c r="B817" s="151">
        <v>420.0</v>
      </c>
      <c r="C817" s="153" t="s">
        <v>8189</v>
      </c>
      <c r="D817" s="153"/>
      <c r="E817" s="153" t="s">
        <v>707</v>
      </c>
      <c r="F817" s="153" t="s">
        <v>8529</v>
      </c>
      <c r="G817" s="153">
        <f>IFERROR(__xludf.DUMMYFUNCTION("""COMPUTED_VALUE"""),337.0)</f>
        <v>337</v>
      </c>
      <c r="H817" s="153" t="s">
        <v>625</v>
      </c>
      <c r="I817" s="153" t="s">
        <v>632</v>
      </c>
      <c r="J817" s="153" t="s">
        <v>847</v>
      </c>
      <c r="K817" s="153" t="s">
        <v>7167</v>
      </c>
      <c r="L817" s="158" t="s">
        <v>1097</v>
      </c>
      <c r="M817" s="158" t="s">
        <v>1098</v>
      </c>
      <c r="N817" s="175" t="s">
        <v>6145</v>
      </c>
      <c r="O817" s="160" t="s">
        <v>149</v>
      </c>
      <c r="P817" s="160" t="s">
        <v>149</v>
      </c>
      <c r="Q817" s="153" t="s">
        <v>6062</v>
      </c>
      <c r="R817" s="153" t="s">
        <v>1100</v>
      </c>
      <c r="S817" s="158" t="s">
        <v>7719</v>
      </c>
      <c r="T817" s="158" t="s">
        <v>7720</v>
      </c>
      <c r="U817" s="158" t="s">
        <v>1103</v>
      </c>
      <c r="V817" s="158" t="s">
        <v>160</v>
      </c>
      <c r="W817" s="158" t="s">
        <v>184</v>
      </c>
      <c r="X817" s="158" t="s">
        <v>159</v>
      </c>
      <c r="Y817" s="158" t="s">
        <v>149</v>
      </c>
      <c r="Z817" s="158" t="s">
        <v>149</v>
      </c>
      <c r="AA817" s="158" t="s">
        <v>149</v>
      </c>
      <c r="AB817" s="153" t="s">
        <v>1103</v>
      </c>
      <c r="AC817" s="158" t="s">
        <v>184</v>
      </c>
      <c r="AD817" s="153"/>
      <c r="AE817" s="153" t="s">
        <v>8530</v>
      </c>
      <c r="AF817" s="153"/>
      <c r="AG817" s="158" t="s">
        <v>6517</v>
      </c>
      <c r="AH817" s="153" t="s">
        <v>1105</v>
      </c>
      <c r="AI817" s="165" t="s">
        <v>7722</v>
      </c>
      <c r="AJ817" s="153"/>
      <c r="AK817" s="153"/>
    </row>
    <row r="818">
      <c r="A818" s="152">
        <v>2024.0</v>
      </c>
      <c r="B818" s="151">
        <v>275.0</v>
      </c>
      <c r="C818" s="153"/>
      <c r="D818" s="153"/>
      <c r="E818" s="153" t="s">
        <v>8189</v>
      </c>
      <c r="F818" s="153" t="s">
        <v>8531</v>
      </c>
      <c r="G818" s="153">
        <f>IFERROR(__xludf.DUMMYFUNCTION("""COMPUTED_VALUE"""),338.0)</f>
        <v>338</v>
      </c>
      <c r="H818" s="153" t="s">
        <v>193</v>
      </c>
      <c r="I818" s="153" t="s">
        <v>563</v>
      </c>
      <c r="J818" s="153" t="s">
        <v>1108</v>
      </c>
      <c r="K818" s="153" t="s">
        <v>1109</v>
      </c>
      <c r="L818" s="153" t="s">
        <v>1110</v>
      </c>
      <c r="M818" s="153" t="s">
        <v>1111</v>
      </c>
      <c r="N818" s="158" t="s">
        <v>149</v>
      </c>
      <c r="O818" s="192" t="s">
        <v>149</v>
      </c>
      <c r="P818" s="192" t="s">
        <v>149</v>
      </c>
      <c r="Q818" s="153" t="s">
        <v>6062</v>
      </c>
      <c r="R818" s="153" t="s">
        <v>1112</v>
      </c>
      <c r="S818" s="158" t="s">
        <v>179</v>
      </c>
      <c r="T818" s="153" t="s">
        <v>1113</v>
      </c>
      <c r="U818" s="158" t="s">
        <v>149</v>
      </c>
      <c r="V818" s="158" t="s">
        <v>149</v>
      </c>
      <c r="W818" s="158" t="s">
        <v>149</v>
      </c>
      <c r="X818" s="158" t="s">
        <v>149</v>
      </c>
      <c r="Y818" s="158" t="s">
        <v>149</v>
      </c>
      <c r="Z818" s="158" t="s">
        <v>149</v>
      </c>
      <c r="AA818" s="158" t="s">
        <v>149</v>
      </c>
      <c r="AB818" s="153" t="s">
        <v>1114</v>
      </c>
      <c r="AC818" s="158" t="s">
        <v>184</v>
      </c>
      <c r="AD818" s="153" t="s">
        <v>1115</v>
      </c>
      <c r="AE818" s="153" t="s">
        <v>1116</v>
      </c>
      <c r="AF818" s="153"/>
      <c r="AG818" s="158" t="s">
        <v>6038</v>
      </c>
      <c r="AH818" s="153" t="s">
        <v>1117</v>
      </c>
      <c r="AI818" s="165" t="s">
        <v>1118</v>
      </c>
      <c r="AJ818" s="153"/>
      <c r="AK818" s="239"/>
    </row>
    <row r="819">
      <c r="A819" s="152">
        <v>2025.0</v>
      </c>
      <c r="B819" s="151">
        <v>421.0</v>
      </c>
      <c r="C819" s="153" t="s">
        <v>8189</v>
      </c>
      <c r="D819" s="153"/>
      <c r="E819" s="153" t="s">
        <v>707</v>
      </c>
      <c r="F819" s="153" t="s">
        <v>8532</v>
      </c>
      <c r="G819" s="153">
        <f>IFERROR(__xludf.DUMMYFUNCTION("""COMPUTED_VALUE"""),339.0)</f>
        <v>339</v>
      </c>
      <c r="H819" s="153" t="s">
        <v>625</v>
      </c>
      <c r="I819" s="153" t="s">
        <v>632</v>
      </c>
      <c r="J819" s="153" t="s">
        <v>847</v>
      </c>
      <c r="K819" s="153" t="s">
        <v>7167</v>
      </c>
      <c r="L819" s="158" t="s">
        <v>149</v>
      </c>
      <c r="M819" s="153" t="s">
        <v>8533</v>
      </c>
      <c r="N819" s="160" t="s">
        <v>6152</v>
      </c>
      <c r="O819" s="164" t="s">
        <v>149</v>
      </c>
      <c r="P819" s="164" t="s">
        <v>149</v>
      </c>
      <c r="Q819" s="153" t="s">
        <v>151</v>
      </c>
      <c r="R819" s="153" t="s">
        <v>2630</v>
      </c>
      <c r="S819" s="158" t="s">
        <v>2630</v>
      </c>
      <c r="T819" s="158" t="s">
        <v>149</v>
      </c>
      <c r="U819" s="158" t="s">
        <v>3219</v>
      </c>
      <c r="V819" s="158" t="s">
        <v>160</v>
      </c>
      <c r="W819" s="158" t="s">
        <v>184</v>
      </c>
      <c r="X819" s="158" t="s">
        <v>159</v>
      </c>
      <c r="Y819" s="158" t="s">
        <v>149</v>
      </c>
      <c r="Z819" s="158" t="s">
        <v>149</v>
      </c>
      <c r="AA819" s="158" t="s">
        <v>7728</v>
      </c>
      <c r="AB819" s="158" t="s">
        <v>3221</v>
      </c>
      <c r="AC819" s="158" t="s">
        <v>184</v>
      </c>
      <c r="AD819" s="153"/>
      <c r="AE819" s="158"/>
      <c r="AF819" s="153"/>
      <c r="AG819" s="158" t="s">
        <v>6038</v>
      </c>
      <c r="AH819" s="153" t="s">
        <v>3215</v>
      </c>
      <c r="AI819" s="165" t="s">
        <v>3216</v>
      </c>
      <c r="AJ819" s="153"/>
      <c r="AK819" s="153"/>
    </row>
    <row r="820">
      <c r="A820" s="152">
        <v>2025.0</v>
      </c>
      <c r="B820" s="151">
        <v>422.0</v>
      </c>
      <c r="C820" s="153" t="s">
        <v>8189</v>
      </c>
      <c r="D820" s="153"/>
      <c r="E820" s="153" t="s">
        <v>707</v>
      </c>
      <c r="F820" s="153" t="s">
        <v>8534</v>
      </c>
      <c r="G820" s="153">
        <f>IFERROR(__xludf.DUMMYFUNCTION("""COMPUTED_VALUE"""),340.0)</f>
        <v>340</v>
      </c>
      <c r="H820" s="153" t="s">
        <v>625</v>
      </c>
      <c r="I820" s="153" t="s">
        <v>632</v>
      </c>
      <c r="J820" s="153" t="s">
        <v>7175</v>
      </c>
      <c r="K820" s="153" t="s">
        <v>7176</v>
      </c>
      <c r="L820" s="158" t="s">
        <v>149</v>
      </c>
      <c r="M820" s="158"/>
      <c r="N820" s="160" t="s">
        <v>149</v>
      </c>
      <c r="O820" s="160" t="s">
        <v>149</v>
      </c>
      <c r="P820" s="160" t="s">
        <v>149</v>
      </c>
      <c r="Q820" s="153" t="s">
        <v>151</v>
      </c>
      <c r="R820" s="158" t="s">
        <v>361</v>
      </c>
      <c r="S820" s="158" t="s">
        <v>361</v>
      </c>
      <c r="T820" s="158" t="s">
        <v>2341</v>
      </c>
      <c r="U820" s="158" t="s">
        <v>2342</v>
      </c>
      <c r="V820" s="158" t="s">
        <v>160</v>
      </c>
      <c r="W820" s="158" t="s">
        <v>184</v>
      </c>
      <c r="X820" s="158" t="s">
        <v>159</v>
      </c>
      <c r="Y820" s="158" t="s">
        <v>149</v>
      </c>
      <c r="Z820" s="158" t="s">
        <v>149</v>
      </c>
      <c r="AA820" s="158" t="s">
        <v>149</v>
      </c>
      <c r="AB820" s="153" t="s">
        <v>2343</v>
      </c>
      <c r="AC820" s="153" t="s">
        <v>271</v>
      </c>
      <c r="AD820" s="153"/>
      <c r="AE820" s="153" t="s">
        <v>2342</v>
      </c>
      <c r="AF820" s="153"/>
      <c r="AG820" s="158" t="s">
        <v>166</v>
      </c>
      <c r="AH820" s="153" t="s">
        <v>2344</v>
      </c>
      <c r="AI820" s="165" t="s">
        <v>2345</v>
      </c>
      <c r="AJ820" s="153"/>
      <c r="AK820" s="153"/>
    </row>
    <row r="821">
      <c r="A821" s="152">
        <v>2024.0</v>
      </c>
      <c r="B821" s="151">
        <v>276.0</v>
      </c>
      <c r="C821" s="153"/>
      <c r="D821" s="153"/>
      <c r="E821" s="153" t="s">
        <v>8189</v>
      </c>
      <c r="F821" s="153" t="s">
        <v>8535</v>
      </c>
      <c r="G821" s="153">
        <f>IFERROR(__xludf.DUMMYFUNCTION("""COMPUTED_VALUE"""),341.0)</f>
        <v>341</v>
      </c>
      <c r="H821" s="153" t="s">
        <v>193</v>
      </c>
      <c r="I821" s="153" t="s">
        <v>563</v>
      </c>
      <c r="J821" s="153" t="s">
        <v>7090</v>
      </c>
      <c r="K821" s="153" t="s">
        <v>2102</v>
      </c>
      <c r="L821" s="153" t="s">
        <v>2103</v>
      </c>
      <c r="M821" s="153" t="s">
        <v>7091</v>
      </c>
      <c r="N821" s="230">
        <v>1995.0</v>
      </c>
      <c r="O821" s="192" t="s">
        <v>149</v>
      </c>
      <c r="P821" s="192" t="s">
        <v>149</v>
      </c>
      <c r="Q821" s="153" t="s">
        <v>151</v>
      </c>
      <c r="R821" s="158" t="s">
        <v>149</v>
      </c>
      <c r="S821" s="158" t="s">
        <v>149</v>
      </c>
      <c r="T821" s="158" t="s">
        <v>149</v>
      </c>
      <c r="U821" s="158" t="s">
        <v>149</v>
      </c>
      <c r="V821" s="158" t="s">
        <v>149</v>
      </c>
      <c r="W821" s="158" t="s">
        <v>149</v>
      </c>
      <c r="X821" s="158" t="s">
        <v>149</v>
      </c>
      <c r="Y821" s="158" t="s">
        <v>149</v>
      </c>
      <c r="Z821" s="158" t="s">
        <v>149</v>
      </c>
      <c r="AA821" s="158" t="s">
        <v>149</v>
      </c>
      <c r="AB821" s="153" t="s">
        <v>369</v>
      </c>
      <c r="AC821" s="153" t="s">
        <v>6035</v>
      </c>
      <c r="AD821" s="153"/>
      <c r="AE821" s="153"/>
      <c r="AF821" s="153"/>
      <c r="AG821" s="158" t="s">
        <v>6027</v>
      </c>
      <c r="AH821" s="153" t="s">
        <v>2104</v>
      </c>
      <c r="AI821" s="165" t="s">
        <v>2105</v>
      </c>
      <c r="AJ821" s="153"/>
      <c r="AK821" s="153"/>
    </row>
    <row r="822">
      <c r="A822" s="152">
        <v>2025.0</v>
      </c>
      <c r="B822" s="151">
        <v>423.0</v>
      </c>
      <c r="C822" s="153" t="s">
        <v>8189</v>
      </c>
      <c r="D822" s="153"/>
      <c r="E822" s="153" t="s">
        <v>8301</v>
      </c>
      <c r="F822" s="153" t="s">
        <v>8536</v>
      </c>
      <c r="G822" s="153">
        <f>IFERROR(__xludf.DUMMYFUNCTION("""COMPUTED_VALUE"""),342.0)</f>
        <v>342</v>
      </c>
      <c r="H822" s="153" t="s">
        <v>625</v>
      </c>
      <c r="I822" s="153" t="s">
        <v>632</v>
      </c>
      <c r="J822" s="153" t="s">
        <v>7175</v>
      </c>
      <c r="K822" s="153" t="s">
        <v>7176</v>
      </c>
      <c r="L822" s="158" t="s">
        <v>149</v>
      </c>
      <c r="M822" s="153" t="s">
        <v>3035</v>
      </c>
      <c r="N822" s="160" t="s">
        <v>149</v>
      </c>
      <c r="O822" s="175" t="s">
        <v>7180</v>
      </c>
      <c r="P822" s="175" t="s">
        <v>6347</v>
      </c>
      <c r="Q822" s="153" t="s">
        <v>151</v>
      </c>
      <c r="R822" s="153" t="s">
        <v>6054</v>
      </c>
      <c r="S822" s="158" t="s">
        <v>6054</v>
      </c>
      <c r="T822" s="153" t="s">
        <v>699</v>
      </c>
      <c r="U822" s="158" t="s">
        <v>3037</v>
      </c>
      <c r="V822" s="158" t="s">
        <v>160</v>
      </c>
      <c r="W822" s="158" t="s">
        <v>209</v>
      </c>
      <c r="X822" s="158" t="s">
        <v>204</v>
      </c>
      <c r="Y822" s="158" t="s">
        <v>149</v>
      </c>
      <c r="Z822" s="158" t="s">
        <v>149</v>
      </c>
      <c r="AA822" s="153" t="s">
        <v>3036</v>
      </c>
      <c r="AB822" s="153" t="s">
        <v>3037</v>
      </c>
      <c r="AC822" s="158" t="s">
        <v>6068</v>
      </c>
      <c r="AD822" s="153" t="s">
        <v>3038</v>
      </c>
      <c r="AE822" s="153"/>
      <c r="AF822" s="153"/>
      <c r="AG822" s="158" t="s">
        <v>395</v>
      </c>
      <c r="AH822" s="153" t="s">
        <v>7733</v>
      </c>
      <c r="AI822" s="177" t="s">
        <v>541</v>
      </c>
      <c r="AJ822" s="153" t="s">
        <v>398</v>
      </c>
      <c r="AK822" s="153"/>
    </row>
    <row r="823">
      <c r="A823" s="152">
        <v>2025.0</v>
      </c>
      <c r="B823" s="151">
        <v>424.0</v>
      </c>
      <c r="C823" s="153" t="s">
        <v>8189</v>
      </c>
      <c r="D823" s="153"/>
      <c r="E823" s="153" t="s">
        <v>8301</v>
      </c>
      <c r="F823" s="153" t="s">
        <v>8537</v>
      </c>
      <c r="G823" s="153">
        <f>IFERROR(__xludf.DUMMYFUNCTION("""COMPUTED_VALUE"""),343.0)</f>
        <v>343</v>
      </c>
      <c r="H823" s="153" t="s">
        <v>625</v>
      </c>
      <c r="I823" s="153" t="s">
        <v>632</v>
      </c>
      <c r="J823" s="153" t="s">
        <v>7175</v>
      </c>
      <c r="K823" s="153" t="s">
        <v>7176</v>
      </c>
      <c r="L823" s="153" t="s">
        <v>934</v>
      </c>
      <c r="M823" s="153"/>
      <c r="N823" s="175" t="s">
        <v>6229</v>
      </c>
      <c r="O823" s="175" t="s">
        <v>6229</v>
      </c>
      <c r="P823" s="175" t="s">
        <v>6230</v>
      </c>
      <c r="Q823" s="153" t="s">
        <v>6062</v>
      </c>
      <c r="R823" s="153" t="s">
        <v>3245</v>
      </c>
      <c r="S823" s="158" t="s">
        <v>179</v>
      </c>
      <c r="T823" s="153" t="s">
        <v>939</v>
      </c>
      <c r="U823" s="153" t="s">
        <v>940</v>
      </c>
      <c r="V823" s="158" t="s">
        <v>6154</v>
      </c>
      <c r="W823" s="158" t="s">
        <v>206</v>
      </c>
      <c r="X823" s="158" t="s">
        <v>204</v>
      </c>
      <c r="Y823" s="158" t="s">
        <v>149</v>
      </c>
      <c r="Z823" s="158" t="s">
        <v>149</v>
      </c>
      <c r="AA823" s="158" t="s">
        <v>149</v>
      </c>
      <c r="AB823" s="153" t="s">
        <v>233</v>
      </c>
      <c r="AC823" s="158" t="s">
        <v>6068</v>
      </c>
      <c r="AD823" s="153"/>
      <c r="AE823" s="153"/>
      <c r="AF823" s="153"/>
      <c r="AG823" s="158" t="s">
        <v>6214</v>
      </c>
      <c r="AH823" s="153" t="s">
        <v>941</v>
      </c>
      <c r="AI823" s="172" t="s">
        <v>942</v>
      </c>
      <c r="AJ823" s="153" t="s">
        <v>943</v>
      </c>
      <c r="AK823" s="153"/>
    </row>
    <row r="824">
      <c r="A824" s="152">
        <v>2024.0</v>
      </c>
      <c r="B824" s="151">
        <v>277.0</v>
      </c>
      <c r="C824" s="153"/>
      <c r="D824" s="153"/>
      <c r="E824" s="153" t="s">
        <v>8189</v>
      </c>
      <c r="F824" s="153" t="s">
        <v>8538</v>
      </c>
      <c r="G824" s="153">
        <f>IFERROR(__xludf.DUMMYFUNCTION("""COMPUTED_VALUE"""),344.0)</f>
        <v>344</v>
      </c>
      <c r="H824" s="153" t="s">
        <v>193</v>
      </c>
      <c r="I824" s="153" t="s">
        <v>563</v>
      </c>
      <c r="J824" s="158" t="s">
        <v>7094</v>
      </c>
      <c r="K824" s="153" t="s">
        <v>2876</v>
      </c>
      <c r="L824" s="153" t="s">
        <v>384</v>
      </c>
      <c r="M824" s="153" t="s">
        <v>2877</v>
      </c>
      <c r="N824" s="230">
        <v>1979.0</v>
      </c>
      <c r="O824" s="230">
        <v>1985.0</v>
      </c>
      <c r="P824" s="230">
        <v>1987.0</v>
      </c>
      <c r="Q824" s="153" t="s">
        <v>151</v>
      </c>
      <c r="R824" s="153" t="s">
        <v>469</v>
      </c>
      <c r="S824" s="158" t="s">
        <v>469</v>
      </c>
      <c r="T824" s="158" t="s">
        <v>149</v>
      </c>
      <c r="U824" s="153" t="s">
        <v>390</v>
      </c>
      <c r="V824" s="158" t="s">
        <v>160</v>
      </c>
      <c r="W824" s="158" t="s">
        <v>6035</v>
      </c>
      <c r="X824" s="158" t="s">
        <v>159</v>
      </c>
      <c r="Y824" s="158" t="s">
        <v>149</v>
      </c>
      <c r="Z824" s="158" t="s">
        <v>149</v>
      </c>
      <c r="AA824" s="153" t="s">
        <v>2878</v>
      </c>
      <c r="AB824" s="153" t="s">
        <v>390</v>
      </c>
      <c r="AC824" s="153" t="s">
        <v>6035</v>
      </c>
      <c r="AD824" s="153" t="s">
        <v>6055</v>
      </c>
      <c r="AE824" s="153"/>
      <c r="AF824" s="153"/>
      <c r="AG824" s="158" t="s">
        <v>395</v>
      </c>
      <c r="AH824" s="153" t="s">
        <v>6060</v>
      </c>
      <c r="AI824" s="153" t="s">
        <v>2873</v>
      </c>
      <c r="AJ824" s="153" t="s">
        <v>398</v>
      </c>
      <c r="AK824" s="153"/>
    </row>
    <row r="825">
      <c r="A825" s="152">
        <v>2025.0</v>
      </c>
      <c r="B825" s="151">
        <v>425.0</v>
      </c>
      <c r="C825" s="153" t="s">
        <v>8189</v>
      </c>
      <c r="D825" s="153"/>
      <c r="E825" s="153" t="s">
        <v>8301</v>
      </c>
      <c r="F825" s="153" t="s">
        <v>8539</v>
      </c>
      <c r="G825" s="153">
        <f>IFERROR(__xludf.DUMMYFUNCTION("""COMPUTED_VALUE"""),345.0)</f>
        <v>345</v>
      </c>
      <c r="H825" s="153" t="s">
        <v>625</v>
      </c>
      <c r="I825" s="153" t="s">
        <v>632</v>
      </c>
      <c r="J825" s="153" t="s">
        <v>2697</v>
      </c>
      <c r="K825" s="153" t="s">
        <v>7189</v>
      </c>
      <c r="L825" s="158" t="s">
        <v>149</v>
      </c>
      <c r="M825" s="158" t="s">
        <v>2699</v>
      </c>
      <c r="N825" s="160" t="s">
        <v>149</v>
      </c>
      <c r="O825" s="160" t="s">
        <v>149</v>
      </c>
      <c r="P825" s="160" t="s">
        <v>149</v>
      </c>
      <c r="Q825" s="153" t="s">
        <v>151</v>
      </c>
      <c r="R825" s="158" t="s">
        <v>7695</v>
      </c>
      <c r="S825" s="158" t="s">
        <v>7695</v>
      </c>
      <c r="T825" s="158" t="s">
        <v>149</v>
      </c>
      <c r="U825" s="158" t="s">
        <v>149</v>
      </c>
      <c r="V825" s="158" t="s">
        <v>149</v>
      </c>
      <c r="W825" s="158" t="s">
        <v>149</v>
      </c>
      <c r="X825" s="158" t="s">
        <v>149</v>
      </c>
      <c r="Y825" s="158" t="s">
        <v>149</v>
      </c>
      <c r="Z825" s="153" t="s">
        <v>7190</v>
      </c>
      <c r="AA825" s="158" t="s">
        <v>149</v>
      </c>
      <c r="AB825" s="158" t="s">
        <v>149</v>
      </c>
      <c r="AC825" s="158" t="s">
        <v>149</v>
      </c>
      <c r="AD825" s="153"/>
      <c r="AE825" s="153"/>
      <c r="AF825" s="153"/>
      <c r="AG825" s="158" t="s">
        <v>395</v>
      </c>
      <c r="AH825" s="153" t="s">
        <v>6060</v>
      </c>
      <c r="AI825" s="177" t="s">
        <v>541</v>
      </c>
      <c r="AJ825" s="153" t="s">
        <v>398</v>
      </c>
      <c r="AK825" s="153"/>
    </row>
    <row r="826">
      <c r="A826" s="152">
        <v>2025.0</v>
      </c>
      <c r="B826" s="151">
        <v>426.0</v>
      </c>
      <c r="C826" s="153" t="s">
        <v>8189</v>
      </c>
      <c r="D826" s="153"/>
      <c r="E826" s="153" t="s">
        <v>8301</v>
      </c>
      <c r="F826" s="153" t="s">
        <v>8540</v>
      </c>
      <c r="G826" s="153">
        <f>IFERROR(__xludf.DUMMYFUNCTION("""COMPUTED_VALUE"""),346.0)</f>
        <v>346</v>
      </c>
      <c r="H826" s="153" t="s">
        <v>625</v>
      </c>
      <c r="I826" s="153" t="s">
        <v>632</v>
      </c>
      <c r="J826" s="153" t="s">
        <v>2202</v>
      </c>
      <c r="K826" s="153" t="s">
        <v>7737</v>
      </c>
      <c r="L826" s="153" t="s">
        <v>6587</v>
      </c>
      <c r="M826" s="153" t="s">
        <v>7700</v>
      </c>
      <c r="N826" s="164" t="s">
        <v>149</v>
      </c>
      <c r="O826" s="175" t="s">
        <v>6151</v>
      </c>
      <c r="P826" s="164" t="s">
        <v>149</v>
      </c>
      <c r="Q826" s="153" t="s">
        <v>151</v>
      </c>
      <c r="R826" s="158" t="s">
        <v>149</v>
      </c>
      <c r="S826" s="158" t="s">
        <v>149</v>
      </c>
      <c r="T826" s="153" t="s">
        <v>7101</v>
      </c>
      <c r="U826" s="153" t="s">
        <v>341</v>
      </c>
      <c r="V826" s="158" t="s">
        <v>160</v>
      </c>
      <c r="W826" s="158" t="s">
        <v>6035</v>
      </c>
      <c r="X826" s="158" t="s">
        <v>159</v>
      </c>
      <c r="Y826" s="158" t="s">
        <v>149</v>
      </c>
      <c r="Z826" s="158" t="s">
        <v>149</v>
      </c>
      <c r="AA826" s="158" t="s">
        <v>149</v>
      </c>
      <c r="AB826" s="153" t="s">
        <v>2160</v>
      </c>
      <c r="AC826" s="153" t="s">
        <v>6035</v>
      </c>
      <c r="AD826" s="153"/>
      <c r="AE826" s="153"/>
      <c r="AF826" s="153"/>
      <c r="AG826" s="158" t="s">
        <v>166</v>
      </c>
      <c r="AH826" s="153" t="s">
        <v>2161</v>
      </c>
      <c r="AI826" s="165" t="s">
        <v>2162</v>
      </c>
      <c r="AJ826" s="153"/>
      <c r="AK826" s="153"/>
    </row>
    <row r="827">
      <c r="A827" s="152">
        <v>2024.0</v>
      </c>
      <c r="B827" s="151">
        <v>278.0</v>
      </c>
      <c r="C827" s="153"/>
      <c r="D827" s="153"/>
      <c r="E827" s="153" t="s">
        <v>8189</v>
      </c>
      <c r="F827" s="153" t="s">
        <v>8541</v>
      </c>
      <c r="G827" s="153">
        <f>IFERROR(__xludf.DUMMYFUNCTION("""COMPUTED_VALUE"""),347.0)</f>
        <v>347</v>
      </c>
      <c r="H827" s="153" t="s">
        <v>193</v>
      </c>
      <c r="I827" s="153" t="s">
        <v>563</v>
      </c>
      <c r="J827" s="153" t="s">
        <v>2172</v>
      </c>
      <c r="K827" s="153" t="s">
        <v>2173</v>
      </c>
      <c r="L827" s="153" t="s">
        <v>6587</v>
      </c>
      <c r="M827" s="153" t="s">
        <v>7100</v>
      </c>
      <c r="N827" s="158" t="s">
        <v>149</v>
      </c>
      <c r="O827" s="230">
        <v>2012.0</v>
      </c>
      <c r="P827" s="158" t="s">
        <v>149</v>
      </c>
      <c r="Q827" s="153" t="s">
        <v>151</v>
      </c>
      <c r="R827" s="158" t="s">
        <v>149</v>
      </c>
      <c r="S827" s="158" t="s">
        <v>149</v>
      </c>
      <c r="T827" s="153" t="s">
        <v>7101</v>
      </c>
      <c r="U827" s="153" t="s">
        <v>341</v>
      </c>
      <c r="V827" s="158" t="s">
        <v>160</v>
      </c>
      <c r="W827" s="158" t="s">
        <v>6035</v>
      </c>
      <c r="X827" s="158" t="s">
        <v>149</v>
      </c>
      <c r="Y827" s="158" t="s">
        <v>149</v>
      </c>
      <c r="Z827" s="158" t="s">
        <v>149</v>
      </c>
      <c r="AA827" s="158" t="s">
        <v>149</v>
      </c>
      <c r="AB827" s="153" t="s">
        <v>2160</v>
      </c>
      <c r="AC827" s="153" t="s">
        <v>6035</v>
      </c>
      <c r="AD827" s="153"/>
      <c r="AE827" s="153"/>
      <c r="AF827" s="153"/>
      <c r="AG827" s="158" t="s">
        <v>166</v>
      </c>
      <c r="AH827" s="153" t="s">
        <v>2161</v>
      </c>
      <c r="AI827" s="172" t="s">
        <v>2162</v>
      </c>
      <c r="AJ827" s="153"/>
      <c r="AK827" s="153"/>
    </row>
    <row r="828">
      <c r="A828" s="152">
        <v>2025.0</v>
      </c>
      <c r="B828" s="151">
        <v>427.0</v>
      </c>
      <c r="C828" s="153" t="s">
        <v>8189</v>
      </c>
      <c r="D828" s="153"/>
      <c r="E828" s="153" t="s">
        <v>8301</v>
      </c>
      <c r="F828" s="153" t="s">
        <v>8542</v>
      </c>
      <c r="G828" s="153">
        <f>IFERROR(__xludf.DUMMYFUNCTION("""COMPUTED_VALUE"""),348.0)</f>
        <v>348</v>
      </c>
      <c r="H828" s="153" t="s">
        <v>625</v>
      </c>
      <c r="I828" s="153" t="s">
        <v>632</v>
      </c>
      <c r="J828" s="153" t="s">
        <v>1667</v>
      </c>
      <c r="K828" s="153" t="s">
        <v>7195</v>
      </c>
      <c r="L828" s="158" t="s">
        <v>149</v>
      </c>
      <c r="M828" s="158" t="s">
        <v>2704</v>
      </c>
      <c r="N828" s="160" t="s">
        <v>149</v>
      </c>
      <c r="O828" s="160" t="s">
        <v>149</v>
      </c>
      <c r="P828" s="160" t="s">
        <v>149</v>
      </c>
      <c r="Q828" s="153" t="s">
        <v>151</v>
      </c>
      <c r="R828" s="158" t="s">
        <v>7695</v>
      </c>
      <c r="S828" s="158" t="s">
        <v>7695</v>
      </c>
      <c r="T828" s="158" t="s">
        <v>149</v>
      </c>
      <c r="U828" s="158" t="s">
        <v>149</v>
      </c>
      <c r="V828" s="158" t="s">
        <v>149</v>
      </c>
      <c r="W828" s="158" t="s">
        <v>149</v>
      </c>
      <c r="X828" s="158" t="s">
        <v>149</v>
      </c>
      <c r="Y828" s="158" t="s">
        <v>149</v>
      </c>
      <c r="Z828" s="153" t="s">
        <v>7196</v>
      </c>
      <c r="AA828" s="158" t="s">
        <v>149</v>
      </c>
      <c r="AB828" s="158" t="s">
        <v>149</v>
      </c>
      <c r="AC828" s="158" t="s">
        <v>149</v>
      </c>
      <c r="AD828" s="153"/>
      <c r="AE828" s="153"/>
      <c r="AF828" s="153"/>
      <c r="AG828" s="158" t="s">
        <v>395</v>
      </c>
      <c r="AH828" s="153" t="s">
        <v>6060</v>
      </c>
      <c r="AI828" s="177" t="s">
        <v>541</v>
      </c>
      <c r="AJ828" s="153" t="s">
        <v>398</v>
      </c>
      <c r="AK828" s="153"/>
    </row>
    <row r="829">
      <c r="A829" s="152">
        <v>2025.0</v>
      </c>
      <c r="B829" s="151">
        <v>428.0</v>
      </c>
      <c r="C829" s="153" t="s">
        <v>8189</v>
      </c>
      <c r="D829" s="153"/>
      <c r="E829" s="153" t="s">
        <v>8301</v>
      </c>
      <c r="F829" s="153" t="s">
        <v>8543</v>
      </c>
      <c r="G829" s="153">
        <f>IFERROR(__xludf.DUMMYFUNCTION("""COMPUTED_VALUE"""),349.0)</f>
        <v>349</v>
      </c>
      <c r="H829" s="153" t="s">
        <v>625</v>
      </c>
      <c r="I829" s="153" t="s">
        <v>632</v>
      </c>
      <c r="J829" s="153" t="s">
        <v>633</v>
      </c>
      <c r="K829" s="153" t="s">
        <v>7200</v>
      </c>
      <c r="L829" s="153" t="s">
        <v>384</v>
      </c>
      <c r="M829" s="153" t="s">
        <v>635</v>
      </c>
      <c r="N829" s="175" t="s">
        <v>6051</v>
      </c>
      <c r="O829" s="175" t="s">
        <v>6052</v>
      </c>
      <c r="P829" s="175" t="s">
        <v>6053</v>
      </c>
      <c r="Q829" s="153" t="s">
        <v>151</v>
      </c>
      <c r="R829" s="153" t="s">
        <v>6054</v>
      </c>
      <c r="S829" s="158" t="s">
        <v>6054</v>
      </c>
      <c r="T829" s="158" t="s">
        <v>149</v>
      </c>
      <c r="U829" s="153" t="s">
        <v>390</v>
      </c>
      <c r="V829" s="158" t="s">
        <v>160</v>
      </c>
      <c r="W829" s="158" t="s">
        <v>6035</v>
      </c>
      <c r="X829" s="158" t="s">
        <v>159</v>
      </c>
      <c r="Y829" s="158" t="s">
        <v>149</v>
      </c>
      <c r="Z829" s="158" t="s">
        <v>149</v>
      </c>
      <c r="AA829" s="153" t="s">
        <v>162</v>
      </c>
      <c r="AB829" s="153" t="s">
        <v>390</v>
      </c>
      <c r="AC829" s="153" t="s">
        <v>6035</v>
      </c>
      <c r="AD829" s="153" t="s">
        <v>6055</v>
      </c>
      <c r="AE829" s="153"/>
      <c r="AF829" s="153"/>
      <c r="AG829" s="158" t="s">
        <v>395</v>
      </c>
      <c r="AH829" s="153" t="s">
        <v>6060</v>
      </c>
      <c r="AI829" s="177" t="s">
        <v>541</v>
      </c>
      <c r="AJ829" s="153" t="s">
        <v>398</v>
      </c>
      <c r="AK829" s="153"/>
    </row>
    <row r="830">
      <c r="A830" s="152">
        <v>2024.0</v>
      </c>
      <c r="B830" s="151">
        <v>279.0</v>
      </c>
      <c r="C830" s="153"/>
      <c r="D830" s="153"/>
      <c r="E830" s="153" t="s">
        <v>8189</v>
      </c>
      <c r="F830" s="153" t="s">
        <v>8544</v>
      </c>
      <c r="G830" s="153">
        <f>IFERROR(__xludf.DUMMYFUNCTION("""COMPUTED_VALUE"""),350.0)</f>
        <v>350</v>
      </c>
      <c r="H830" s="153" t="s">
        <v>193</v>
      </c>
      <c r="I830" s="153" t="s">
        <v>194</v>
      </c>
      <c r="J830" s="153" t="s">
        <v>965</v>
      </c>
      <c r="K830" s="153" t="s">
        <v>966</v>
      </c>
      <c r="L830" s="153" t="s">
        <v>934</v>
      </c>
      <c r="M830" s="153"/>
      <c r="N830" s="230">
        <v>2001.0</v>
      </c>
      <c r="O830" s="230">
        <v>2001.0</v>
      </c>
      <c r="P830" s="230">
        <v>2005.0</v>
      </c>
      <c r="Q830" s="153" t="s">
        <v>6062</v>
      </c>
      <c r="R830" s="153" t="s">
        <v>6276</v>
      </c>
      <c r="S830" s="158" t="s">
        <v>179</v>
      </c>
      <c r="T830" s="153" t="s">
        <v>939</v>
      </c>
      <c r="U830" s="153" t="s">
        <v>940</v>
      </c>
      <c r="V830" s="158" t="s">
        <v>6154</v>
      </c>
      <c r="W830" s="158" t="s">
        <v>206</v>
      </c>
      <c r="X830" s="158" t="s">
        <v>204</v>
      </c>
      <c r="Y830" s="158" t="s">
        <v>149</v>
      </c>
      <c r="Z830" s="158" t="s">
        <v>149</v>
      </c>
      <c r="AA830" s="158" t="s">
        <v>149</v>
      </c>
      <c r="AB830" s="153" t="s">
        <v>233</v>
      </c>
      <c r="AC830" s="158" t="s">
        <v>6068</v>
      </c>
      <c r="AD830" s="153"/>
      <c r="AE830" s="153"/>
      <c r="AF830" s="153"/>
      <c r="AG830" s="158" t="s">
        <v>6214</v>
      </c>
      <c r="AH830" s="153" t="s">
        <v>941</v>
      </c>
      <c r="AI830" s="153" t="s">
        <v>942</v>
      </c>
      <c r="AJ830" s="153" t="s">
        <v>943</v>
      </c>
      <c r="AK830" s="153"/>
    </row>
    <row r="831">
      <c r="A831" s="152">
        <v>2025.0</v>
      </c>
      <c r="B831" s="151">
        <v>429.0</v>
      </c>
      <c r="C831" s="153" t="s">
        <v>8189</v>
      </c>
      <c r="D831" s="153"/>
      <c r="E831" s="153" t="s">
        <v>8301</v>
      </c>
      <c r="F831" s="153" t="s">
        <v>8545</v>
      </c>
      <c r="G831" s="153">
        <f>IFERROR(__xludf.DUMMYFUNCTION("""COMPUTED_VALUE"""),351.0)</f>
        <v>351</v>
      </c>
      <c r="H831" s="153" t="s">
        <v>625</v>
      </c>
      <c r="I831" s="153" t="s">
        <v>632</v>
      </c>
      <c r="J831" s="153" t="s">
        <v>633</v>
      </c>
      <c r="K831" s="153" t="s">
        <v>7200</v>
      </c>
      <c r="L831" s="158" t="s">
        <v>149</v>
      </c>
      <c r="M831" s="158" t="s">
        <v>2708</v>
      </c>
      <c r="N831" s="160" t="s">
        <v>149</v>
      </c>
      <c r="O831" s="160" t="s">
        <v>149</v>
      </c>
      <c r="P831" s="160" t="s">
        <v>149</v>
      </c>
      <c r="Q831" s="153" t="s">
        <v>151</v>
      </c>
      <c r="R831" s="158" t="s">
        <v>7695</v>
      </c>
      <c r="S831" s="158" t="s">
        <v>7695</v>
      </c>
      <c r="T831" s="158" t="s">
        <v>149</v>
      </c>
      <c r="U831" s="158" t="s">
        <v>149</v>
      </c>
      <c r="V831" s="158" t="s">
        <v>149</v>
      </c>
      <c r="W831" s="158" t="s">
        <v>149</v>
      </c>
      <c r="X831" s="158" t="s">
        <v>149</v>
      </c>
      <c r="Y831" s="158" t="s">
        <v>149</v>
      </c>
      <c r="Z831" s="153" t="s">
        <v>7203</v>
      </c>
      <c r="AA831" s="158" t="s">
        <v>149</v>
      </c>
      <c r="AB831" s="158" t="s">
        <v>149</v>
      </c>
      <c r="AC831" s="158" t="s">
        <v>149</v>
      </c>
      <c r="AD831" s="153"/>
      <c r="AE831" s="153"/>
      <c r="AF831" s="153"/>
      <c r="AG831" s="158" t="s">
        <v>395</v>
      </c>
      <c r="AH831" s="153" t="s">
        <v>6060</v>
      </c>
      <c r="AI831" s="172" t="s">
        <v>541</v>
      </c>
      <c r="AJ831" s="153" t="s">
        <v>398</v>
      </c>
      <c r="AK831" s="153"/>
    </row>
    <row r="832">
      <c r="A832" s="152">
        <v>2025.0</v>
      </c>
      <c r="B832" s="151">
        <v>430.0</v>
      </c>
      <c r="C832" s="153" t="s">
        <v>8189</v>
      </c>
      <c r="D832" s="153"/>
      <c r="E832" s="153" t="s">
        <v>8301</v>
      </c>
      <c r="F832" s="153" t="s">
        <v>8546</v>
      </c>
      <c r="G832" s="153">
        <f>IFERROR(__xludf.DUMMYFUNCTION("""COMPUTED_VALUE"""),352.0)</f>
        <v>352</v>
      </c>
      <c r="H832" s="153" t="s">
        <v>625</v>
      </c>
      <c r="I832" s="153" t="s">
        <v>632</v>
      </c>
      <c r="J832" s="153" t="s">
        <v>2206</v>
      </c>
      <c r="K832" s="153" t="s">
        <v>7742</v>
      </c>
      <c r="L832" s="153" t="s">
        <v>6587</v>
      </c>
      <c r="M832" s="153" t="s">
        <v>7700</v>
      </c>
      <c r="N832" s="164" t="s">
        <v>149</v>
      </c>
      <c r="O832" s="175" t="s">
        <v>6151</v>
      </c>
      <c r="P832" s="164" t="s">
        <v>149</v>
      </c>
      <c r="Q832" s="153" t="s">
        <v>151</v>
      </c>
      <c r="R832" s="158" t="s">
        <v>149</v>
      </c>
      <c r="S832" s="158" t="s">
        <v>149</v>
      </c>
      <c r="T832" s="153" t="s">
        <v>7101</v>
      </c>
      <c r="U832" s="153" t="s">
        <v>341</v>
      </c>
      <c r="V832" s="158" t="s">
        <v>160</v>
      </c>
      <c r="W832" s="158" t="s">
        <v>6035</v>
      </c>
      <c r="X832" s="158" t="s">
        <v>159</v>
      </c>
      <c r="Y832" s="158" t="s">
        <v>149</v>
      </c>
      <c r="Z832" s="158" t="s">
        <v>149</v>
      </c>
      <c r="AA832" s="158" t="s">
        <v>149</v>
      </c>
      <c r="AB832" s="153" t="s">
        <v>2160</v>
      </c>
      <c r="AC832" s="153" t="s">
        <v>6035</v>
      </c>
      <c r="AD832" s="153"/>
      <c r="AE832" s="153"/>
      <c r="AF832" s="153"/>
      <c r="AG832" s="158" t="s">
        <v>166</v>
      </c>
      <c r="AH832" s="153" t="s">
        <v>2161</v>
      </c>
      <c r="AI832" s="165" t="s">
        <v>2162</v>
      </c>
      <c r="AJ832" s="153"/>
      <c r="AK832" s="153"/>
    </row>
    <row r="833">
      <c r="A833" s="152">
        <v>2024.0</v>
      </c>
      <c r="B833" s="151">
        <v>280.0</v>
      </c>
      <c r="C833" s="153"/>
      <c r="D833" s="153"/>
      <c r="E833" s="153" t="s">
        <v>8189</v>
      </c>
      <c r="F833" s="153" t="s">
        <v>8547</v>
      </c>
      <c r="G833" s="153">
        <f>IFERROR(__xludf.DUMMYFUNCTION("""COMPUTED_VALUE"""),353.0)</f>
        <v>353</v>
      </c>
      <c r="H833" s="153" t="s">
        <v>193</v>
      </c>
      <c r="I833" s="153" t="s">
        <v>194</v>
      </c>
      <c r="J833" s="153" t="s">
        <v>1530</v>
      </c>
      <c r="K833" s="153" t="s">
        <v>1531</v>
      </c>
      <c r="L833" s="153" t="s">
        <v>1532</v>
      </c>
      <c r="M833" s="153" t="s">
        <v>1533</v>
      </c>
      <c r="N833" s="158" t="s">
        <v>149</v>
      </c>
      <c r="O833" s="192" t="s">
        <v>149</v>
      </c>
      <c r="P833" s="192" t="s">
        <v>149</v>
      </c>
      <c r="Q833" s="153" t="s">
        <v>151</v>
      </c>
      <c r="R833" s="153" t="s">
        <v>1535</v>
      </c>
      <c r="S833" s="158" t="s">
        <v>152</v>
      </c>
      <c r="T833" s="158" t="s">
        <v>149</v>
      </c>
      <c r="U833" s="158" t="s">
        <v>149</v>
      </c>
      <c r="V833" s="158" t="s">
        <v>149</v>
      </c>
      <c r="W833" s="158" t="s">
        <v>149</v>
      </c>
      <c r="X833" s="158" t="s">
        <v>149</v>
      </c>
      <c r="Y833" s="158" t="s">
        <v>149</v>
      </c>
      <c r="Z833" s="158" t="s">
        <v>149</v>
      </c>
      <c r="AA833" s="153" t="s">
        <v>7139</v>
      </c>
      <c r="AB833" s="158" t="s">
        <v>149</v>
      </c>
      <c r="AC833" s="158" t="s">
        <v>149</v>
      </c>
      <c r="AD833" s="153"/>
      <c r="AE833" s="153"/>
      <c r="AF833" s="153"/>
      <c r="AG833" s="158" t="s">
        <v>6091</v>
      </c>
      <c r="AH833" s="153" t="s">
        <v>1537</v>
      </c>
      <c r="AI833" s="165" t="s">
        <v>1538</v>
      </c>
      <c r="AJ833" s="153"/>
      <c r="AK833" s="153"/>
    </row>
    <row r="834">
      <c r="A834" s="152">
        <v>2025.0</v>
      </c>
      <c r="B834" s="151">
        <v>431.0</v>
      </c>
      <c r="C834" s="153" t="s">
        <v>8189</v>
      </c>
      <c r="D834" s="153"/>
      <c r="E834" s="153" t="s">
        <v>8301</v>
      </c>
      <c r="F834" s="153" t="s">
        <v>8548</v>
      </c>
      <c r="G834" s="153">
        <f>IFERROR(__xludf.DUMMYFUNCTION("""COMPUTED_VALUE"""),354.0)</f>
        <v>354</v>
      </c>
      <c r="H834" s="153" t="s">
        <v>625</v>
      </c>
      <c r="I834" s="153" t="s">
        <v>632</v>
      </c>
      <c r="J834" s="153" t="s">
        <v>637</v>
      </c>
      <c r="K834" s="153" t="s">
        <v>7206</v>
      </c>
      <c r="L834" s="153" t="s">
        <v>384</v>
      </c>
      <c r="M834" s="153" t="s">
        <v>639</v>
      </c>
      <c r="N834" s="175" t="s">
        <v>6051</v>
      </c>
      <c r="O834" s="175" t="s">
        <v>6052</v>
      </c>
      <c r="P834" s="175" t="s">
        <v>6053</v>
      </c>
      <c r="Q834" s="153" t="s">
        <v>151</v>
      </c>
      <c r="R834" s="153" t="s">
        <v>6054</v>
      </c>
      <c r="S834" s="158" t="s">
        <v>6054</v>
      </c>
      <c r="T834" s="158" t="s">
        <v>149</v>
      </c>
      <c r="U834" s="153" t="s">
        <v>390</v>
      </c>
      <c r="V834" s="158" t="s">
        <v>160</v>
      </c>
      <c r="W834" s="158" t="s">
        <v>6035</v>
      </c>
      <c r="X834" s="158" t="s">
        <v>159</v>
      </c>
      <c r="Y834" s="158" t="s">
        <v>149</v>
      </c>
      <c r="Z834" s="158" t="s">
        <v>149</v>
      </c>
      <c r="AA834" s="153" t="s">
        <v>640</v>
      </c>
      <c r="AB834" s="153" t="s">
        <v>390</v>
      </c>
      <c r="AC834" s="153" t="s">
        <v>6035</v>
      </c>
      <c r="AD834" s="153" t="s">
        <v>6055</v>
      </c>
      <c r="AE834" s="153"/>
      <c r="AF834" s="153"/>
      <c r="AG834" s="158" t="s">
        <v>395</v>
      </c>
      <c r="AH834" s="153" t="s">
        <v>6060</v>
      </c>
      <c r="AI834" s="177" t="s">
        <v>541</v>
      </c>
      <c r="AJ834" s="153" t="s">
        <v>398</v>
      </c>
      <c r="AK834" s="153"/>
    </row>
    <row r="835">
      <c r="A835" s="152">
        <v>2025.0</v>
      </c>
      <c r="B835" s="151">
        <v>432.0</v>
      </c>
      <c r="C835" s="153" t="s">
        <v>8189</v>
      </c>
      <c r="D835" s="153"/>
      <c r="E835" s="153" t="s">
        <v>8301</v>
      </c>
      <c r="F835" s="153" t="s">
        <v>8549</v>
      </c>
      <c r="G835" s="153">
        <f>IFERROR(__xludf.DUMMYFUNCTION("""COMPUTED_VALUE"""),355.0)</f>
        <v>355</v>
      </c>
      <c r="H835" s="153" t="s">
        <v>625</v>
      </c>
      <c r="I835" s="153" t="s">
        <v>632</v>
      </c>
      <c r="J835" s="153" t="s">
        <v>637</v>
      </c>
      <c r="K835" s="153" t="s">
        <v>7206</v>
      </c>
      <c r="L835" s="158" t="s">
        <v>149</v>
      </c>
      <c r="M835" s="158" t="s">
        <v>2712</v>
      </c>
      <c r="N835" s="160" t="s">
        <v>149</v>
      </c>
      <c r="O835" s="160" t="s">
        <v>149</v>
      </c>
      <c r="P835" s="160" t="s">
        <v>149</v>
      </c>
      <c r="Q835" s="153" t="s">
        <v>151</v>
      </c>
      <c r="R835" s="158" t="s">
        <v>7695</v>
      </c>
      <c r="S835" s="158" t="s">
        <v>7695</v>
      </c>
      <c r="T835" s="158" t="s">
        <v>149</v>
      </c>
      <c r="U835" s="158" t="s">
        <v>149</v>
      </c>
      <c r="V835" s="158" t="s">
        <v>149</v>
      </c>
      <c r="W835" s="158" t="s">
        <v>149</v>
      </c>
      <c r="X835" s="158" t="s">
        <v>149</v>
      </c>
      <c r="Y835" s="158" t="s">
        <v>149</v>
      </c>
      <c r="Z835" s="153" t="s">
        <v>7210</v>
      </c>
      <c r="AA835" s="158" t="s">
        <v>149</v>
      </c>
      <c r="AB835" s="158" t="s">
        <v>149</v>
      </c>
      <c r="AC835" s="158" t="s">
        <v>149</v>
      </c>
      <c r="AD835" s="153"/>
      <c r="AE835" s="153"/>
      <c r="AF835" s="153"/>
      <c r="AG835" s="158" t="s">
        <v>395</v>
      </c>
      <c r="AH835" s="153" t="s">
        <v>6060</v>
      </c>
      <c r="AI835" s="158" t="s">
        <v>541</v>
      </c>
      <c r="AJ835" s="153" t="s">
        <v>398</v>
      </c>
      <c r="AK835" s="153"/>
    </row>
    <row r="836">
      <c r="A836" s="152">
        <v>2024.0</v>
      </c>
      <c r="B836" s="151">
        <v>281.0</v>
      </c>
      <c r="C836" s="153"/>
      <c r="D836" s="153"/>
      <c r="E836" s="153" t="s">
        <v>8189</v>
      </c>
      <c r="F836" s="153" t="s">
        <v>8550</v>
      </c>
      <c r="G836" s="153">
        <f>IFERROR(__xludf.DUMMYFUNCTION("""COMPUTED_VALUE"""),356.0)</f>
        <v>356</v>
      </c>
      <c r="H836" s="153" t="s">
        <v>193</v>
      </c>
      <c r="I836" s="153" t="s">
        <v>194</v>
      </c>
      <c r="J836" s="153" t="s">
        <v>2176</v>
      </c>
      <c r="K836" s="153" t="s">
        <v>2177</v>
      </c>
      <c r="L836" s="153" t="s">
        <v>6587</v>
      </c>
      <c r="M836" s="153" t="s">
        <v>7142</v>
      </c>
      <c r="N836" s="158" t="s">
        <v>149</v>
      </c>
      <c r="O836" s="230">
        <v>2012.0</v>
      </c>
      <c r="P836" s="192" t="s">
        <v>149</v>
      </c>
      <c r="Q836" s="153" t="s">
        <v>151</v>
      </c>
      <c r="R836" s="158" t="s">
        <v>149</v>
      </c>
      <c r="S836" s="158" t="s">
        <v>149</v>
      </c>
      <c r="T836" s="158" t="s">
        <v>149</v>
      </c>
      <c r="U836" s="153" t="s">
        <v>341</v>
      </c>
      <c r="V836" s="158" t="s">
        <v>160</v>
      </c>
      <c r="W836" s="158" t="s">
        <v>6035</v>
      </c>
      <c r="X836" s="158" t="s">
        <v>159</v>
      </c>
      <c r="Y836" s="158" t="s">
        <v>149</v>
      </c>
      <c r="Z836" s="158" t="s">
        <v>149</v>
      </c>
      <c r="AA836" s="158" t="s">
        <v>149</v>
      </c>
      <c r="AB836" s="153" t="s">
        <v>2160</v>
      </c>
      <c r="AC836" s="153" t="s">
        <v>6035</v>
      </c>
      <c r="AD836" s="153"/>
      <c r="AE836" s="153"/>
      <c r="AF836" s="153"/>
      <c r="AG836" s="158" t="s">
        <v>166</v>
      </c>
      <c r="AH836" s="153" t="s">
        <v>2161</v>
      </c>
      <c r="AI836" s="172" t="s">
        <v>2162</v>
      </c>
      <c r="AJ836" s="153"/>
      <c r="AK836" s="153"/>
    </row>
    <row r="837">
      <c r="A837" s="152">
        <v>2025.0</v>
      </c>
      <c r="B837" s="151">
        <v>433.0</v>
      </c>
      <c r="C837" s="153" t="s">
        <v>8189</v>
      </c>
      <c r="D837" s="153"/>
      <c r="E837" s="153" t="s">
        <v>8301</v>
      </c>
      <c r="F837" s="153" t="s">
        <v>8551</v>
      </c>
      <c r="G837" s="153">
        <f>IFERROR(__xludf.DUMMYFUNCTION("""COMPUTED_VALUE"""),357.0)</f>
        <v>357</v>
      </c>
      <c r="H837" s="153" t="s">
        <v>625</v>
      </c>
      <c r="I837" s="153" t="s">
        <v>632</v>
      </c>
      <c r="J837" s="153" t="s">
        <v>637</v>
      </c>
      <c r="K837" s="153" t="s">
        <v>7206</v>
      </c>
      <c r="L837" s="158" t="s">
        <v>149</v>
      </c>
      <c r="M837" s="158" t="s">
        <v>2716</v>
      </c>
      <c r="N837" s="160" t="s">
        <v>149</v>
      </c>
      <c r="O837" s="160" t="s">
        <v>149</v>
      </c>
      <c r="P837" s="160" t="s">
        <v>149</v>
      </c>
      <c r="Q837" s="153" t="s">
        <v>151</v>
      </c>
      <c r="R837" s="158" t="s">
        <v>7695</v>
      </c>
      <c r="S837" s="158" t="s">
        <v>7695</v>
      </c>
      <c r="T837" s="158" t="s">
        <v>149</v>
      </c>
      <c r="U837" s="158" t="s">
        <v>149</v>
      </c>
      <c r="V837" s="158" t="s">
        <v>149</v>
      </c>
      <c r="W837" s="158" t="s">
        <v>149</v>
      </c>
      <c r="X837" s="158" t="s">
        <v>149</v>
      </c>
      <c r="Y837" s="158" t="s">
        <v>149</v>
      </c>
      <c r="Z837" s="153" t="s">
        <v>7190</v>
      </c>
      <c r="AA837" s="158" t="s">
        <v>149</v>
      </c>
      <c r="AB837" s="158" t="s">
        <v>149</v>
      </c>
      <c r="AC837" s="158" t="s">
        <v>149</v>
      </c>
      <c r="AD837" s="153"/>
      <c r="AE837" s="153"/>
      <c r="AF837" s="153"/>
      <c r="AG837" s="158" t="s">
        <v>395</v>
      </c>
      <c r="AH837" s="153" t="s">
        <v>6060</v>
      </c>
      <c r="AI837" s="158" t="s">
        <v>541</v>
      </c>
      <c r="AJ837" s="153" t="s">
        <v>398</v>
      </c>
      <c r="AK837" s="153"/>
    </row>
    <row r="838">
      <c r="A838" s="152">
        <v>2025.0</v>
      </c>
      <c r="B838" s="151">
        <v>434.0</v>
      </c>
      <c r="C838" s="153" t="s">
        <v>8189</v>
      </c>
      <c r="D838" s="153"/>
      <c r="E838" s="153" t="s">
        <v>707</v>
      </c>
      <c r="F838" s="153" t="s">
        <v>8552</v>
      </c>
      <c r="G838" s="153">
        <f>IFERROR(__xludf.DUMMYFUNCTION("""COMPUTED_VALUE"""),358.0)</f>
        <v>358</v>
      </c>
      <c r="H838" s="153" t="s">
        <v>625</v>
      </c>
      <c r="I838" s="153" t="s">
        <v>632</v>
      </c>
      <c r="J838" s="153" t="s">
        <v>637</v>
      </c>
      <c r="K838" s="153" t="s">
        <v>7206</v>
      </c>
      <c r="L838" s="158" t="s">
        <v>149</v>
      </c>
      <c r="M838" s="158" t="s">
        <v>2719</v>
      </c>
      <c r="N838" s="160" t="s">
        <v>149</v>
      </c>
      <c r="O838" s="160" t="s">
        <v>149</v>
      </c>
      <c r="P838" s="160" t="s">
        <v>149</v>
      </c>
      <c r="Q838" s="153" t="s">
        <v>151</v>
      </c>
      <c r="R838" s="158" t="s">
        <v>7695</v>
      </c>
      <c r="S838" s="158" t="s">
        <v>7695</v>
      </c>
      <c r="T838" s="158" t="s">
        <v>149</v>
      </c>
      <c r="U838" s="158" t="s">
        <v>149</v>
      </c>
      <c r="V838" s="158" t="s">
        <v>149</v>
      </c>
      <c r="W838" s="158" t="s">
        <v>149</v>
      </c>
      <c r="X838" s="158" t="s">
        <v>149</v>
      </c>
      <c r="Y838" s="158" t="s">
        <v>149</v>
      </c>
      <c r="Z838" s="153" t="s">
        <v>7745</v>
      </c>
      <c r="AA838" s="158" t="s">
        <v>149</v>
      </c>
      <c r="AB838" s="158" t="s">
        <v>149</v>
      </c>
      <c r="AC838" s="158" t="s">
        <v>149</v>
      </c>
      <c r="AD838" s="153"/>
      <c r="AE838" s="153"/>
      <c r="AF838" s="153"/>
      <c r="AG838" s="158" t="s">
        <v>395</v>
      </c>
      <c r="AH838" s="153" t="s">
        <v>6060</v>
      </c>
      <c r="AI838" s="177" t="s">
        <v>541</v>
      </c>
      <c r="AJ838" s="153" t="s">
        <v>398</v>
      </c>
      <c r="AK838" s="153"/>
    </row>
    <row r="839">
      <c r="A839" s="152">
        <v>2024.0</v>
      </c>
      <c r="B839" s="151">
        <v>282.0</v>
      </c>
      <c r="C839" s="153"/>
      <c r="D839" s="153"/>
      <c r="E839" s="153" t="s">
        <v>8189</v>
      </c>
      <c r="F839" s="153" t="s">
        <v>8553</v>
      </c>
      <c r="G839" s="153">
        <f>IFERROR(__xludf.DUMMYFUNCTION("""COMPUTED_VALUE"""),359.0)</f>
        <v>359</v>
      </c>
      <c r="H839" s="153" t="s">
        <v>193</v>
      </c>
      <c r="I839" s="153" t="s">
        <v>194</v>
      </c>
      <c r="J839" s="153" t="s">
        <v>2181</v>
      </c>
      <c r="K839" s="153" t="s">
        <v>2182</v>
      </c>
      <c r="L839" s="153" t="s">
        <v>6587</v>
      </c>
      <c r="M839" s="153" t="s">
        <v>7142</v>
      </c>
      <c r="N839" s="158" t="s">
        <v>149</v>
      </c>
      <c r="O839" s="230">
        <v>2012.0</v>
      </c>
      <c r="P839" s="192" t="s">
        <v>149</v>
      </c>
      <c r="Q839" s="153" t="s">
        <v>151</v>
      </c>
      <c r="R839" s="158" t="s">
        <v>149</v>
      </c>
      <c r="S839" s="158" t="s">
        <v>149</v>
      </c>
      <c r="T839" s="158" t="s">
        <v>149</v>
      </c>
      <c r="U839" s="153" t="s">
        <v>341</v>
      </c>
      <c r="V839" s="158" t="s">
        <v>160</v>
      </c>
      <c r="W839" s="158" t="s">
        <v>6035</v>
      </c>
      <c r="X839" s="158" t="s">
        <v>159</v>
      </c>
      <c r="Y839" s="158" t="s">
        <v>149</v>
      </c>
      <c r="Z839" s="158" t="s">
        <v>149</v>
      </c>
      <c r="AA839" s="158" t="s">
        <v>149</v>
      </c>
      <c r="AB839" s="153" t="s">
        <v>2160</v>
      </c>
      <c r="AC839" s="153" t="s">
        <v>6035</v>
      </c>
      <c r="AD839" s="153"/>
      <c r="AE839" s="153"/>
      <c r="AF839" s="153"/>
      <c r="AG839" s="158" t="s">
        <v>166</v>
      </c>
      <c r="AH839" s="153" t="s">
        <v>2161</v>
      </c>
      <c r="AI839" s="172" t="s">
        <v>2162</v>
      </c>
      <c r="AJ839" s="153"/>
      <c r="AK839" s="153"/>
    </row>
    <row r="840">
      <c r="A840" s="152">
        <v>2025.0</v>
      </c>
      <c r="B840" s="151">
        <v>435.0</v>
      </c>
      <c r="C840" s="153" t="s">
        <v>8189</v>
      </c>
      <c r="D840" s="153"/>
      <c r="E840" s="153" t="s">
        <v>8301</v>
      </c>
      <c r="F840" s="153" t="s">
        <v>8554</v>
      </c>
      <c r="G840" s="153">
        <f>IFERROR(__xludf.DUMMYFUNCTION("""COMPUTED_VALUE"""),360.0)</f>
        <v>360</v>
      </c>
      <c r="H840" s="153" t="s">
        <v>625</v>
      </c>
      <c r="I840" s="153" t="s">
        <v>632</v>
      </c>
      <c r="J840" s="153" t="s">
        <v>637</v>
      </c>
      <c r="K840" s="153" t="s">
        <v>7206</v>
      </c>
      <c r="L840" s="153" t="s">
        <v>756</v>
      </c>
      <c r="M840" s="153" t="s">
        <v>757</v>
      </c>
      <c r="N840" s="175" t="s">
        <v>6064</v>
      </c>
      <c r="O840" s="160" t="s">
        <v>6064</v>
      </c>
      <c r="P840" s="160" t="s">
        <v>149</v>
      </c>
      <c r="Q840" s="153" t="s">
        <v>151</v>
      </c>
      <c r="R840" s="153" t="s">
        <v>7747</v>
      </c>
      <c r="S840" s="158" t="s">
        <v>7747</v>
      </c>
      <c r="T840" s="153" t="s">
        <v>759</v>
      </c>
      <c r="U840" s="153" t="s">
        <v>760</v>
      </c>
      <c r="V840" s="158" t="s">
        <v>160</v>
      </c>
      <c r="W840" s="158" t="s">
        <v>6035</v>
      </c>
      <c r="X840" s="158" t="s">
        <v>159</v>
      </c>
      <c r="Y840" s="158" t="s">
        <v>149</v>
      </c>
      <c r="Z840" s="158" t="s">
        <v>149</v>
      </c>
      <c r="AA840" s="153" t="s">
        <v>7748</v>
      </c>
      <c r="AB840" s="153" t="s">
        <v>7749</v>
      </c>
      <c r="AC840" s="153" t="s">
        <v>6035</v>
      </c>
      <c r="AD840" s="158" t="s">
        <v>764</v>
      </c>
      <c r="AE840" s="153" t="s">
        <v>765</v>
      </c>
      <c r="AF840" s="153"/>
      <c r="AG840" s="158" t="s">
        <v>166</v>
      </c>
      <c r="AH840" s="153" t="s">
        <v>766</v>
      </c>
      <c r="AI840" s="172" t="s">
        <v>767</v>
      </c>
      <c r="AJ840" s="153"/>
      <c r="AK840" s="153"/>
    </row>
    <row r="841">
      <c r="A841" s="152">
        <v>2023.0</v>
      </c>
      <c r="B841" s="151">
        <v>300.0</v>
      </c>
      <c r="C841" s="129" t="s">
        <v>140</v>
      </c>
      <c r="D841" s="8"/>
      <c r="E841" s="8" t="s">
        <v>8189</v>
      </c>
      <c r="F841" s="8" t="s">
        <v>7237</v>
      </c>
      <c r="G841" s="8">
        <f>IFERROR(__xludf.DUMMYFUNCTION("""COMPUTED_VALUE"""),361.0)</f>
        <v>361</v>
      </c>
      <c r="H841" s="8" t="s">
        <v>579</v>
      </c>
      <c r="I841" s="8" t="s">
        <v>714</v>
      </c>
      <c r="J841" s="8" t="s">
        <v>715</v>
      </c>
      <c r="K841" s="8" t="s">
        <v>716</v>
      </c>
      <c r="L841" s="8" t="s">
        <v>717</v>
      </c>
      <c r="N841" s="142" t="s">
        <v>6089</v>
      </c>
      <c r="O841" s="142"/>
      <c r="P841" s="142"/>
      <c r="Q841" s="8" t="s">
        <v>151</v>
      </c>
      <c r="R841" s="8" t="s">
        <v>362</v>
      </c>
      <c r="T841" s="8" t="s">
        <v>723</v>
      </c>
      <c r="AB841" s="8" t="s">
        <v>724</v>
      </c>
      <c r="AH841" s="8" t="s">
        <v>6517</v>
      </c>
      <c r="AI841" s="8" t="s">
        <v>6825</v>
      </c>
    </row>
    <row r="842">
      <c r="A842" s="152">
        <v>2024.0</v>
      </c>
      <c r="B842" s="151">
        <v>283.0</v>
      </c>
      <c r="C842" s="153"/>
      <c r="D842" s="153"/>
      <c r="E842" s="153" t="s">
        <v>8189</v>
      </c>
      <c r="F842" s="153" t="s">
        <v>8555</v>
      </c>
      <c r="G842" s="153">
        <f>IFERROR(__xludf.DUMMYFUNCTION("""COMPUTED_VALUE"""),362.0)</f>
        <v>362</v>
      </c>
      <c r="H842" s="153" t="s">
        <v>193</v>
      </c>
      <c r="I842" s="153" t="s">
        <v>194</v>
      </c>
      <c r="J842" s="153" t="s">
        <v>814</v>
      </c>
      <c r="K842" s="153" t="s">
        <v>815</v>
      </c>
      <c r="L842" s="153" t="s">
        <v>816</v>
      </c>
      <c r="M842" s="153"/>
      <c r="N842" s="192">
        <v>1988.0</v>
      </c>
      <c r="O842" s="192">
        <v>1984.0</v>
      </c>
      <c r="P842" s="192">
        <v>1992.0</v>
      </c>
      <c r="Q842" s="153" t="s">
        <v>151</v>
      </c>
      <c r="R842" s="158" t="s">
        <v>149</v>
      </c>
      <c r="S842" s="158" t="s">
        <v>149</v>
      </c>
      <c r="T842" s="153" t="s">
        <v>819</v>
      </c>
      <c r="U842" s="153" t="s">
        <v>820</v>
      </c>
      <c r="V842" s="158" t="s">
        <v>6154</v>
      </c>
      <c r="W842" s="158" t="s">
        <v>206</v>
      </c>
      <c r="X842" s="158" t="s">
        <v>159</v>
      </c>
      <c r="Y842" s="158" t="s">
        <v>149</v>
      </c>
      <c r="Z842" s="158" t="s">
        <v>149</v>
      </c>
      <c r="AA842" s="158" t="s">
        <v>149</v>
      </c>
      <c r="AB842" s="153" t="s">
        <v>821</v>
      </c>
      <c r="AC842" s="153" t="s">
        <v>6035</v>
      </c>
      <c r="AD842" s="153" t="s">
        <v>822</v>
      </c>
      <c r="AE842" s="153"/>
      <c r="AF842" s="153"/>
      <c r="AG842" s="153" t="s">
        <v>6084</v>
      </c>
      <c r="AH842" s="153" t="s">
        <v>823</v>
      </c>
      <c r="AI842" s="172" t="s">
        <v>824</v>
      </c>
      <c r="AJ842" s="153"/>
      <c r="AK842" s="153"/>
    </row>
    <row r="843">
      <c r="A843" s="152">
        <v>2023.0</v>
      </c>
      <c r="B843" s="151">
        <v>301.0</v>
      </c>
      <c r="C843" s="129" t="s">
        <v>140</v>
      </c>
      <c r="D843" s="8"/>
      <c r="E843" s="8" t="s">
        <v>8189</v>
      </c>
      <c r="F843" s="8" t="s">
        <v>7239</v>
      </c>
      <c r="G843" s="8">
        <f>IFERROR(__xludf.DUMMYFUNCTION("""COMPUTED_VALUE"""),363.0)</f>
        <v>363</v>
      </c>
      <c r="H843" s="8" t="s">
        <v>579</v>
      </c>
      <c r="I843" s="8" t="s">
        <v>714</v>
      </c>
      <c r="J843" s="8" t="s">
        <v>715</v>
      </c>
      <c r="K843" s="8" t="s">
        <v>716</v>
      </c>
      <c r="L843" s="8" t="s">
        <v>1840</v>
      </c>
      <c r="N843" s="142" t="s">
        <v>6152</v>
      </c>
      <c r="O843" s="142"/>
      <c r="P843" s="142"/>
      <c r="Q843" s="8" t="s">
        <v>6062</v>
      </c>
      <c r="R843" s="8" t="s">
        <v>1841</v>
      </c>
      <c r="T843" s="8" t="s">
        <v>1842</v>
      </c>
      <c r="AB843" s="8" t="s">
        <v>724</v>
      </c>
      <c r="AH843" s="8" t="s">
        <v>6517</v>
      </c>
      <c r="AI843" s="172" t="s">
        <v>6825</v>
      </c>
    </row>
    <row r="844">
      <c r="A844" s="152">
        <v>2023.0</v>
      </c>
      <c r="B844" s="151">
        <v>302.0</v>
      </c>
      <c r="C844" s="129" t="s">
        <v>140</v>
      </c>
      <c r="D844" s="8"/>
      <c r="E844" s="8" t="s">
        <v>8189</v>
      </c>
      <c r="F844" s="8" t="s">
        <v>7243</v>
      </c>
      <c r="G844" s="8">
        <f>IFERROR(__xludf.DUMMYFUNCTION("""COMPUTED_VALUE"""),364.0)</f>
        <v>364</v>
      </c>
      <c r="H844" s="8" t="s">
        <v>579</v>
      </c>
      <c r="I844" s="8" t="s">
        <v>714</v>
      </c>
      <c r="J844" s="8" t="s">
        <v>715</v>
      </c>
      <c r="K844" s="8" t="s">
        <v>716</v>
      </c>
      <c r="L844" s="8" t="s">
        <v>6704</v>
      </c>
      <c r="N844" s="142" t="s">
        <v>6392</v>
      </c>
      <c r="O844" s="142"/>
      <c r="P844" s="142"/>
      <c r="Q844" s="8" t="s">
        <v>151</v>
      </c>
      <c r="T844" s="8" t="s">
        <v>699</v>
      </c>
      <c r="AB844" s="8" t="s">
        <v>724</v>
      </c>
    </row>
    <row r="845">
      <c r="A845" s="152">
        <v>2024.0</v>
      </c>
      <c r="B845" s="151">
        <v>284.0</v>
      </c>
      <c r="C845" s="153"/>
      <c r="D845" s="153"/>
      <c r="E845" s="153" t="s">
        <v>8189</v>
      </c>
      <c r="F845" s="153" t="s">
        <v>8556</v>
      </c>
      <c r="G845" s="153">
        <f>IFERROR(__xludf.DUMMYFUNCTION("""COMPUTED_VALUE"""),365.0)</f>
        <v>365</v>
      </c>
      <c r="H845" s="153" t="s">
        <v>193</v>
      </c>
      <c r="I845" s="153" t="s">
        <v>194</v>
      </c>
      <c r="J845" s="153" t="s">
        <v>2185</v>
      </c>
      <c r="K845" s="153" t="s">
        <v>2186</v>
      </c>
      <c r="L845" s="153" t="s">
        <v>6587</v>
      </c>
      <c r="M845" s="153" t="s">
        <v>7142</v>
      </c>
      <c r="N845" s="158" t="s">
        <v>149</v>
      </c>
      <c r="O845" s="230">
        <v>2012.0</v>
      </c>
      <c r="P845" s="192" t="s">
        <v>149</v>
      </c>
      <c r="Q845" s="153" t="s">
        <v>151</v>
      </c>
      <c r="R845" s="158" t="s">
        <v>149</v>
      </c>
      <c r="S845" s="158" t="s">
        <v>149</v>
      </c>
      <c r="T845" s="153" t="s">
        <v>7101</v>
      </c>
      <c r="U845" s="153" t="s">
        <v>341</v>
      </c>
      <c r="V845" s="158" t="s">
        <v>160</v>
      </c>
      <c r="W845" s="158" t="s">
        <v>6035</v>
      </c>
      <c r="X845" s="158" t="s">
        <v>159</v>
      </c>
      <c r="Y845" s="158" t="s">
        <v>149</v>
      </c>
      <c r="Z845" s="158" t="s">
        <v>149</v>
      </c>
      <c r="AA845" s="158" t="s">
        <v>149</v>
      </c>
      <c r="AB845" s="153" t="s">
        <v>2160</v>
      </c>
      <c r="AC845" s="153" t="s">
        <v>6035</v>
      </c>
      <c r="AD845" s="153"/>
      <c r="AE845" s="153"/>
      <c r="AF845" s="153"/>
      <c r="AG845" s="158" t="s">
        <v>166</v>
      </c>
      <c r="AH845" s="153" t="s">
        <v>2161</v>
      </c>
      <c r="AI845" s="172" t="s">
        <v>2162</v>
      </c>
      <c r="AJ845" s="153"/>
      <c r="AK845" s="153"/>
    </row>
    <row r="846">
      <c r="A846" s="152">
        <v>2025.0</v>
      </c>
      <c r="B846" s="151">
        <v>319.0</v>
      </c>
      <c r="C846" s="153" t="s">
        <v>8189</v>
      </c>
      <c r="D846" s="153"/>
      <c r="E846" s="153" t="s">
        <v>8301</v>
      </c>
      <c r="F846" s="153" t="s">
        <v>7281</v>
      </c>
      <c r="G846" s="153">
        <f>IFERROR(__xludf.DUMMYFUNCTION("""COMPUTED_VALUE"""),366.0)</f>
        <v>366</v>
      </c>
      <c r="H846" s="153" t="s">
        <v>579</v>
      </c>
      <c r="I846" s="153" t="s">
        <v>714</v>
      </c>
      <c r="J846" s="153" t="s">
        <v>715</v>
      </c>
      <c r="K846" s="153" t="s">
        <v>716</v>
      </c>
      <c r="L846" s="153" t="s">
        <v>717</v>
      </c>
      <c r="M846" s="153"/>
      <c r="N846" s="175" t="s">
        <v>6089</v>
      </c>
      <c r="O846" s="160" t="s">
        <v>149</v>
      </c>
      <c r="P846" s="160" t="s">
        <v>149</v>
      </c>
      <c r="Q846" s="153" t="s">
        <v>151</v>
      </c>
      <c r="R846" s="153" t="s">
        <v>720</v>
      </c>
      <c r="S846" s="158" t="s">
        <v>720</v>
      </c>
      <c r="T846" s="153" t="s">
        <v>723</v>
      </c>
      <c r="U846" s="158" t="s">
        <v>149</v>
      </c>
      <c r="V846" s="158" t="s">
        <v>149</v>
      </c>
      <c r="W846" s="158" t="s">
        <v>149</v>
      </c>
      <c r="X846" s="158" t="s">
        <v>149</v>
      </c>
      <c r="Y846" s="158" t="s">
        <v>149</v>
      </c>
      <c r="Z846" s="158" t="s">
        <v>149</v>
      </c>
      <c r="AA846" s="158" t="s">
        <v>149</v>
      </c>
      <c r="AB846" s="153" t="s">
        <v>724</v>
      </c>
      <c r="AC846" s="158" t="s">
        <v>184</v>
      </c>
      <c r="AD846" s="153"/>
      <c r="AE846" s="153" t="s">
        <v>725</v>
      </c>
      <c r="AF846" s="153"/>
      <c r="AG846" s="158" t="s">
        <v>6517</v>
      </c>
      <c r="AH846" s="153" t="s">
        <v>726</v>
      </c>
      <c r="AI846" s="165" t="s">
        <v>727</v>
      </c>
      <c r="AJ846" s="153"/>
      <c r="AK846" s="153"/>
    </row>
    <row r="847">
      <c r="A847" s="152">
        <v>2025.0</v>
      </c>
      <c r="B847" s="151">
        <v>320.0</v>
      </c>
      <c r="C847" s="153" t="s">
        <v>8189</v>
      </c>
      <c r="D847" s="153"/>
      <c r="E847" s="153" t="s">
        <v>707</v>
      </c>
      <c r="F847" s="153" t="s">
        <v>7284</v>
      </c>
      <c r="G847" s="153">
        <f>IFERROR(__xludf.DUMMYFUNCTION("""COMPUTED_VALUE"""),367.0)</f>
        <v>367</v>
      </c>
      <c r="H847" s="153" t="s">
        <v>579</v>
      </c>
      <c r="I847" s="153" t="s">
        <v>714</v>
      </c>
      <c r="J847" s="153" t="s">
        <v>715</v>
      </c>
      <c r="K847" s="153" t="s">
        <v>716</v>
      </c>
      <c r="L847" s="153" t="s">
        <v>1840</v>
      </c>
      <c r="M847" s="153"/>
      <c r="N847" s="175" t="s">
        <v>6152</v>
      </c>
      <c r="O847" s="160" t="s">
        <v>149</v>
      </c>
      <c r="P847" s="160" t="s">
        <v>149</v>
      </c>
      <c r="Q847" s="153" t="s">
        <v>6062</v>
      </c>
      <c r="R847" s="153" t="s">
        <v>1841</v>
      </c>
      <c r="S847" s="158" t="s">
        <v>179</v>
      </c>
      <c r="T847" s="153" t="s">
        <v>1842</v>
      </c>
      <c r="U847" s="158" t="s">
        <v>149</v>
      </c>
      <c r="V847" s="158" t="s">
        <v>149</v>
      </c>
      <c r="W847" s="158" t="s">
        <v>149</v>
      </c>
      <c r="X847" s="158" t="s">
        <v>149</v>
      </c>
      <c r="Y847" s="158" t="s">
        <v>149</v>
      </c>
      <c r="Z847" s="158" t="s">
        <v>149</v>
      </c>
      <c r="AA847" s="158" t="s">
        <v>149</v>
      </c>
      <c r="AB847" s="153" t="s">
        <v>724</v>
      </c>
      <c r="AC847" s="158" t="s">
        <v>184</v>
      </c>
      <c r="AD847" s="153"/>
      <c r="AE847" s="153"/>
      <c r="AF847" s="153" t="s">
        <v>1843</v>
      </c>
      <c r="AG847" s="158" t="s">
        <v>6517</v>
      </c>
      <c r="AH847" s="153" t="s">
        <v>726</v>
      </c>
      <c r="AI847" s="165" t="s">
        <v>1844</v>
      </c>
      <c r="AJ847" s="153"/>
      <c r="AK847" s="153"/>
    </row>
    <row r="848">
      <c r="A848" s="152">
        <v>2024.0</v>
      </c>
      <c r="B848" s="151">
        <v>285.0</v>
      </c>
      <c r="C848" s="153"/>
      <c r="D848" s="153"/>
      <c r="E848" s="153" t="s">
        <v>8189</v>
      </c>
      <c r="F848" s="153" t="s">
        <v>8557</v>
      </c>
      <c r="G848" s="153">
        <f>IFERROR(__xludf.DUMMYFUNCTION("""COMPUTED_VALUE"""),368.0)</f>
        <v>368</v>
      </c>
      <c r="H848" s="153" t="s">
        <v>193</v>
      </c>
      <c r="I848" s="153" t="s">
        <v>194</v>
      </c>
      <c r="J848" s="153" t="s">
        <v>195</v>
      </c>
      <c r="K848" s="153" t="s">
        <v>196</v>
      </c>
      <c r="L848" s="158" t="s">
        <v>149</v>
      </c>
      <c r="M848" s="153"/>
      <c r="N848" s="230">
        <v>2022.0</v>
      </c>
      <c r="O848" s="192" t="s">
        <v>149</v>
      </c>
      <c r="P848" s="192" t="s">
        <v>149</v>
      </c>
      <c r="Q848" s="153" t="s">
        <v>6062</v>
      </c>
      <c r="R848" s="153" t="s">
        <v>6666</v>
      </c>
      <c r="S848" s="158" t="s">
        <v>179</v>
      </c>
      <c r="T848" s="158" t="s">
        <v>149</v>
      </c>
      <c r="U848" s="153" t="s">
        <v>3147</v>
      </c>
      <c r="V848" s="158" t="s">
        <v>160</v>
      </c>
      <c r="W848" s="158" t="s">
        <v>306</v>
      </c>
      <c r="X848" s="158" t="s">
        <v>159</v>
      </c>
      <c r="Y848" s="158" t="s">
        <v>149</v>
      </c>
      <c r="Z848" s="158" t="s">
        <v>149</v>
      </c>
      <c r="AA848" s="158" t="s">
        <v>149</v>
      </c>
      <c r="AB848" s="158" t="s">
        <v>3147</v>
      </c>
      <c r="AC848" s="153" t="s">
        <v>306</v>
      </c>
      <c r="AD848" s="153"/>
      <c r="AE848" s="153"/>
      <c r="AF848" s="153"/>
      <c r="AG848" s="153" t="s">
        <v>214</v>
      </c>
      <c r="AH848" s="153" t="s">
        <v>214</v>
      </c>
      <c r="AI848" s="153"/>
      <c r="AJ848" s="153" t="s">
        <v>3148</v>
      </c>
      <c r="AK848" s="153"/>
    </row>
    <row r="849">
      <c r="A849" s="152">
        <v>2025.0</v>
      </c>
      <c r="B849" s="151">
        <v>173.0</v>
      </c>
      <c r="C849" s="153" t="s">
        <v>8189</v>
      </c>
      <c r="D849" s="153"/>
      <c r="E849" s="153" t="s">
        <v>707</v>
      </c>
      <c r="F849" s="153" t="s">
        <v>6784</v>
      </c>
      <c r="G849" s="153">
        <f>IFERROR(__xludf.DUMMYFUNCTION("""COMPUTED_VALUE"""),369.0)</f>
        <v>369</v>
      </c>
      <c r="H849" s="153" t="s">
        <v>522</v>
      </c>
      <c r="I849" s="153" t="s">
        <v>2618</v>
      </c>
      <c r="J849" s="153" t="s">
        <v>2619</v>
      </c>
      <c r="K849" s="153" t="s">
        <v>2620</v>
      </c>
      <c r="L849" s="158" t="s">
        <v>149</v>
      </c>
      <c r="M849" s="158" t="s">
        <v>2621</v>
      </c>
      <c r="N849" s="160" t="s">
        <v>149</v>
      </c>
      <c r="O849" s="160" t="s">
        <v>149</v>
      </c>
      <c r="P849" s="160" t="s">
        <v>149</v>
      </c>
      <c r="Q849" s="153" t="s">
        <v>6062</v>
      </c>
      <c r="R849" s="153" t="s">
        <v>2622</v>
      </c>
      <c r="S849" s="158" t="s">
        <v>179</v>
      </c>
      <c r="T849" s="158" t="s">
        <v>2623</v>
      </c>
      <c r="U849" s="153" t="s">
        <v>2624</v>
      </c>
      <c r="V849" s="158" t="s">
        <v>160</v>
      </c>
      <c r="W849" s="158" t="s">
        <v>184</v>
      </c>
      <c r="X849" s="158" t="s">
        <v>2625</v>
      </c>
      <c r="Y849" s="158" t="s">
        <v>149</v>
      </c>
      <c r="Z849" s="158" t="s">
        <v>149</v>
      </c>
      <c r="AA849" s="158" t="s">
        <v>149</v>
      </c>
      <c r="AB849" s="153" t="s">
        <v>2624</v>
      </c>
      <c r="AC849" s="158" t="s">
        <v>184</v>
      </c>
      <c r="AD849" s="153"/>
      <c r="AE849" s="153"/>
      <c r="AF849" s="153"/>
      <c r="AG849" s="158" t="s">
        <v>6091</v>
      </c>
      <c r="AH849" s="153" t="s">
        <v>2626</v>
      </c>
      <c r="AI849" s="165" t="s">
        <v>2627</v>
      </c>
      <c r="AJ849" s="153"/>
      <c r="AK849" s="153"/>
    </row>
    <row r="850">
      <c r="A850" s="152">
        <v>2023.0</v>
      </c>
      <c r="B850" s="151">
        <v>179.0</v>
      </c>
      <c r="C850" s="129" t="s">
        <v>140</v>
      </c>
      <c r="D850" s="8"/>
      <c r="E850" s="8" t="s">
        <v>8189</v>
      </c>
      <c r="F850" s="8" t="s">
        <v>8558</v>
      </c>
      <c r="G850" s="8">
        <f>IFERROR(__xludf.DUMMYFUNCTION("""COMPUTED_VALUE"""),370.0)</f>
        <v>370</v>
      </c>
      <c r="H850" s="8" t="s">
        <v>522</v>
      </c>
      <c r="I850" s="8" t="s">
        <v>2618</v>
      </c>
      <c r="J850" s="8" t="s">
        <v>2619</v>
      </c>
      <c r="K850" s="153" t="s">
        <v>2620</v>
      </c>
      <c r="L850" s="8" t="s">
        <v>6113</v>
      </c>
      <c r="N850" s="142" t="s">
        <v>6113</v>
      </c>
      <c r="O850" s="142"/>
      <c r="P850" s="142"/>
      <c r="Q850" s="8" t="s">
        <v>6062</v>
      </c>
      <c r="R850" s="8" t="s">
        <v>2622</v>
      </c>
      <c r="T850" s="8" t="s">
        <v>6812</v>
      </c>
      <c r="U850" s="8" t="s">
        <v>2624</v>
      </c>
      <c r="AB850" s="8" t="s">
        <v>2624</v>
      </c>
      <c r="AH850" s="8" t="s">
        <v>6091</v>
      </c>
      <c r="AI850" s="8" t="s">
        <v>2627</v>
      </c>
    </row>
    <row r="851">
      <c r="A851" s="152">
        <v>2024.0</v>
      </c>
      <c r="B851" s="294">
        <v>286.0</v>
      </c>
      <c r="C851" s="295"/>
      <c r="D851" s="295"/>
      <c r="E851" s="295" t="s">
        <v>8189</v>
      </c>
      <c r="F851" s="295" t="s">
        <v>8559</v>
      </c>
      <c r="G851" s="295">
        <f>IFERROR(__xludf.DUMMYFUNCTION("""COMPUTED_VALUE"""),371.0)</f>
        <v>371</v>
      </c>
      <c r="H851" s="295" t="s">
        <v>193</v>
      </c>
      <c r="I851" s="295" t="s">
        <v>194</v>
      </c>
      <c r="J851" s="295" t="s">
        <v>195</v>
      </c>
      <c r="K851" s="295" t="s">
        <v>196</v>
      </c>
      <c r="L851" s="295" t="s">
        <v>3412</v>
      </c>
      <c r="M851" s="295"/>
      <c r="N851" s="296">
        <v>2014.0</v>
      </c>
      <c r="O851" s="296">
        <v>2014.0</v>
      </c>
      <c r="P851" s="296">
        <v>2016.0</v>
      </c>
      <c r="Q851" s="295" t="s">
        <v>6221</v>
      </c>
      <c r="R851" s="297" t="s">
        <v>1358</v>
      </c>
      <c r="S851" s="297"/>
      <c r="T851" s="297" t="s">
        <v>149</v>
      </c>
      <c r="U851" s="295" t="s">
        <v>321</v>
      </c>
      <c r="V851" s="297" t="s">
        <v>160</v>
      </c>
      <c r="W851" s="297" t="s">
        <v>6035</v>
      </c>
      <c r="X851" s="297" t="s">
        <v>204</v>
      </c>
      <c r="Y851" s="297" t="s">
        <v>149</v>
      </c>
      <c r="Z851" s="297" t="s">
        <v>149</v>
      </c>
      <c r="AA851" s="297" t="s">
        <v>149</v>
      </c>
      <c r="AB851" s="295" t="s">
        <v>885</v>
      </c>
      <c r="AC851" s="297" t="s">
        <v>6068</v>
      </c>
      <c r="AD851" s="295" t="s">
        <v>1858</v>
      </c>
      <c r="AE851" s="295"/>
      <c r="AF851" s="295"/>
      <c r="AG851" s="297" t="s">
        <v>6069</v>
      </c>
      <c r="AH851" s="295" t="s">
        <v>1859</v>
      </c>
      <c r="AI851" s="295" t="s">
        <v>6070</v>
      </c>
      <c r="AJ851" s="295" t="s">
        <v>1861</v>
      </c>
      <c r="AK851" s="298" t="s">
        <v>1862</v>
      </c>
    </row>
    <row r="852">
      <c r="A852" s="152">
        <v>2025.0</v>
      </c>
      <c r="B852" s="151">
        <v>174.0</v>
      </c>
      <c r="C852" s="153" t="s">
        <v>8189</v>
      </c>
      <c r="D852" s="153"/>
      <c r="E852" s="153" t="s">
        <v>8301</v>
      </c>
      <c r="F852" s="153" t="s">
        <v>6786</v>
      </c>
      <c r="G852" s="153">
        <f>IFERROR(__xludf.DUMMYFUNCTION("""COMPUTED_VALUE"""),372.0)</f>
        <v>372</v>
      </c>
      <c r="H852" s="153" t="s">
        <v>522</v>
      </c>
      <c r="I852" s="153" t="s">
        <v>1947</v>
      </c>
      <c r="J852" s="153" t="s">
        <v>1948</v>
      </c>
      <c r="K852" s="153" t="s">
        <v>1949</v>
      </c>
      <c r="L852" s="153" t="s">
        <v>1950</v>
      </c>
      <c r="M852" s="158" t="s">
        <v>1951</v>
      </c>
      <c r="N852" s="175" t="s">
        <v>6089</v>
      </c>
      <c r="O852" s="160" t="s">
        <v>149</v>
      </c>
      <c r="P852" s="160" t="s">
        <v>149</v>
      </c>
      <c r="Q852" s="153" t="s">
        <v>151</v>
      </c>
      <c r="R852" s="153" t="s">
        <v>851</v>
      </c>
      <c r="S852" s="158" t="s">
        <v>851</v>
      </c>
      <c r="T852" s="158" t="s">
        <v>6787</v>
      </c>
      <c r="U852" s="158" t="s">
        <v>724</v>
      </c>
      <c r="V852" s="158" t="s">
        <v>160</v>
      </c>
      <c r="W852" s="158" t="s">
        <v>184</v>
      </c>
      <c r="X852" s="158" t="s">
        <v>159</v>
      </c>
      <c r="Y852" s="158" t="s">
        <v>149</v>
      </c>
      <c r="Z852" s="158" t="s">
        <v>149</v>
      </c>
      <c r="AA852" s="153" t="s">
        <v>571</v>
      </c>
      <c r="AB852" s="153" t="s">
        <v>724</v>
      </c>
      <c r="AC852" s="158" t="s">
        <v>184</v>
      </c>
      <c r="AD852" s="153"/>
      <c r="AE852" s="158" t="s">
        <v>1955</v>
      </c>
      <c r="AF852" s="153"/>
      <c r="AG852" s="158" t="s">
        <v>6517</v>
      </c>
      <c r="AH852" s="153" t="s">
        <v>726</v>
      </c>
      <c r="AI852" s="165" t="s">
        <v>8560</v>
      </c>
      <c r="AJ852" s="153"/>
      <c r="AK852" s="153"/>
    </row>
    <row r="853">
      <c r="A853" s="152">
        <v>2023.0</v>
      </c>
      <c r="B853" s="151">
        <v>180.0</v>
      </c>
      <c r="C853" s="129" t="s">
        <v>140</v>
      </c>
      <c r="D853" s="8"/>
      <c r="E853" s="8" t="s">
        <v>8189</v>
      </c>
      <c r="F853" s="8" t="s">
        <v>6823</v>
      </c>
      <c r="G853" s="8">
        <f>IFERROR(__xludf.DUMMYFUNCTION("""COMPUTED_VALUE"""),373.0)</f>
        <v>373</v>
      </c>
      <c r="H853" s="8" t="s">
        <v>522</v>
      </c>
      <c r="I853" s="8" t="s">
        <v>1947</v>
      </c>
      <c r="J853" s="8" t="s">
        <v>1948</v>
      </c>
      <c r="K853" s="153" t="s">
        <v>1949</v>
      </c>
      <c r="L853" s="8" t="s">
        <v>1950</v>
      </c>
      <c r="N853" s="142" t="s">
        <v>6089</v>
      </c>
      <c r="O853" s="142"/>
      <c r="P853" s="142"/>
      <c r="Q853" s="8" t="s">
        <v>151</v>
      </c>
      <c r="R853" s="8" t="s">
        <v>8028</v>
      </c>
      <c r="Y853" s="8" t="s">
        <v>6824</v>
      </c>
      <c r="AB853" s="8" t="s">
        <v>724</v>
      </c>
      <c r="AH853" s="8" t="s">
        <v>6517</v>
      </c>
      <c r="AI853" s="8" t="s">
        <v>6825</v>
      </c>
    </row>
    <row r="854">
      <c r="A854" s="152">
        <v>2024.0</v>
      </c>
      <c r="B854" s="151">
        <v>287.0</v>
      </c>
      <c r="C854" s="153"/>
      <c r="D854" s="153"/>
      <c r="E854" s="153" t="s">
        <v>8189</v>
      </c>
      <c r="F854" s="153" t="s">
        <v>8561</v>
      </c>
      <c r="G854" s="153">
        <f>IFERROR(__xludf.DUMMYFUNCTION("""COMPUTED_VALUE"""),374.0)</f>
        <v>374</v>
      </c>
      <c r="H854" s="153" t="s">
        <v>193</v>
      </c>
      <c r="I854" s="153" t="s">
        <v>194</v>
      </c>
      <c r="J854" s="153" t="s">
        <v>195</v>
      </c>
      <c r="K854" s="153" t="s">
        <v>196</v>
      </c>
      <c r="L854" s="153" t="s">
        <v>6235</v>
      </c>
      <c r="M854" s="153" t="s">
        <v>198</v>
      </c>
      <c r="N854" s="230">
        <v>2024.0</v>
      </c>
      <c r="O854" s="230">
        <v>2021.0</v>
      </c>
      <c r="P854" s="192">
        <v>2025.0</v>
      </c>
      <c r="Q854" s="153" t="s">
        <v>6221</v>
      </c>
      <c r="R854" s="158" t="s">
        <v>201</v>
      </c>
      <c r="S854" s="158" t="s">
        <v>224</v>
      </c>
      <c r="T854" s="153" t="s">
        <v>202</v>
      </c>
      <c r="U854" s="153" t="s">
        <v>203</v>
      </c>
      <c r="V854" s="158" t="s">
        <v>6154</v>
      </c>
      <c r="W854" s="158" t="s">
        <v>206</v>
      </c>
      <c r="X854" s="158" t="s">
        <v>204</v>
      </c>
      <c r="Y854" s="158" t="s">
        <v>149</v>
      </c>
      <c r="Z854" s="158" t="s">
        <v>149</v>
      </c>
      <c r="AA854" s="158" t="s">
        <v>149</v>
      </c>
      <c r="AB854" s="153" t="s">
        <v>208</v>
      </c>
      <c r="AC854" s="158" t="s">
        <v>6068</v>
      </c>
      <c r="AD854" s="153" t="s">
        <v>6614</v>
      </c>
      <c r="AE854" s="153" t="s">
        <v>212</v>
      </c>
      <c r="AF854" s="153"/>
      <c r="AG854" s="153" t="s">
        <v>214</v>
      </c>
      <c r="AH854" s="153" t="s">
        <v>214</v>
      </c>
      <c r="AI854" s="153"/>
      <c r="AJ854" s="153"/>
      <c r="AK854" s="239"/>
    </row>
    <row r="855">
      <c r="A855" s="152">
        <v>2025.0</v>
      </c>
      <c r="B855" s="151">
        <v>175.0</v>
      </c>
      <c r="C855" s="153" t="s">
        <v>8189</v>
      </c>
      <c r="D855" s="153"/>
      <c r="E855" s="153" t="s">
        <v>8301</v>
      </c>
      <c r="F855" s="153" t="s">
        <v>6789</v>
      </c>
      <c r="G855" s="153">
        <f>IFERROR(__xludf.DUMMYFUNCTION("""COMPUTED_VALUE"""),375.0)</f>
        <v>375</v>
      </c>
      <c r="H855" s="153" t="s">
        <v>522</v>
      </c>
      <c r="I855" s="153" t="s">
        <v>523</v>
      </c>
      <c r="J855" s="153" t="s">
        <v>922</v>
      </c>
      <c r="K855" s="154" t="s">
        <v>923</v>
      </c>
      <c r="L855" s="153" t="s">
        <v>924</v>
      </c>
      <c r="M855" s="153" t="s">
        <v>925</v>
      </c>
      <c r="N855" s="175" t="s">
        <v>18</v>
      </c>
      <c r="O855" s="175" t="s">
        <v>18</v>
      </c>
      <c r="P855" s="160" t="s">
        <v>149</v>
      </c>
      <c r="Q855" s="153" t="s">
        <v>6624</v>
      </c>
      <c r="R855" s="153" t="s">
        <v>927</v>
      </c>
      <c r="S855" s="158" t="s">
        <v>179</v>
      </c>
      <c r="T855" s="158" t="s">
        <v>149</v>
      </c>
      <c r="U855" s="153" t="s">
        <v>928</v>
      </c>
      <c r="V855" s="158" t="s">
        <v>160</v>
      </c>
      <c r="W855" s="158" t="s">
        <v>184</v>
      </c>
      <c r="X855" s="158" t="s">
        <v>159</v>
      </c>
      <c r="Y855" s="158" t="s">
        <v>149</v>
      </c>
      <c r="Z855" s="158" t="s">
        <v>149</v>
      </c>
      <c r="AA855" s="158" t="s">
        <v>149</v>
      </c>
      <c r="AB855" s="153" t="s">
        <v>928</v>
      </c>
      <c r="AC855" s="158" t="s">
        <v>184</v>
      </c>
      <c r="AD855" s="153" t="s">
        <v>369</v>
      </c>
      <c r="AE855" s="153" t="s">
        <v>930</v>
      </c>
      <c r="AF855" s="153"/>
      <c r="AG855" s="153" t="s">
        <v>6038</v>
      </c>
      <c r="AH855" s="153" t="s">
        <v>6791</v>
      </c>
      <c r="AI855" s="172" t="s">
        <v>932</v>
      </c>
      <c r="AJ855" s="153"/>
      <c r="AK855" s="153"/>
    </row>
    <row r="856">
      <c r="A856" s="152">
        <v>2025.0</v>
      </c>
      <c r="B856" s="151">
        <v>176.0</v>
      </c>
      <c r="C856" s="153" t="s">
        <v>8189</v>
      </c>
      <c r="D856" s="153"/>
      <c r="E856" s="153" t="s">
        <v>8301</v>
      </c>
      <c r="F856" s="153" t="s">
        <v>6794</v>
      </c>
      <c r="G856" s="153">
        <f>IFERROR(__xludf.DUMMYFUNCTION("""COMPUTED_VALUE"""),376.0)</f>
        <v>376</v>
      </c>
      <c r="H856" s="153" t="s">
        <v>522</v>
      </c>
      <c r="I856" s="153" t="s">
        <v>523</v>
      </c>
      <c r="J856" s="153" t="s">
        <v>2278</v>
      </c>
      <c r="K856" s="153" t="s">
        <v>2279</v>
      </c>
      <c r="L856" s="153" t="s">
        <v>6795</v>
      </c>
      <c r="M856" s="158" t="s">
        <v>6796</v>
      </c>
      <c r="N856" s="175" t="s">
        <v>6392</v>
      </c>
      <c r="O856" s="160" t="s">
        <v>149</v>
      </c>
      <c r="P856" s="160" t="s">
        <v>149</v>
      </c>
      <c r="Q856" s="153" t="s">
        <v>151</v>
      </c>
      <c r="R856" s="153" t="s">
        <v>8562</v>
      </c>
      <c r="S856" s="158" t="s">
        <v>6798</v>
      </c>
      <c r="T856" s="153" t="s">
        <v>8563</v>
      </c>
      <c r="U856" s="158" t="s">
        <v>2285</v>
      </c>
      <c r="V856" s="158" t="s">
        <v>6154</v>
      </c>
      <c r="W856" s="158" t="s">
        <v>306</v>
      </c>
      <c r="X856" s="158" t="s">
        <v>159</v>
      </c>
      <c r="Y856" s="158" t="s">
        <v>149</v>
      </c>
      <c r="Z856" s="158" t="s">
        <v>149</v>
      </c>
      <c r="AA856" s="158" t="s">
        <v>1748</v>
      </c>
      <c r="AB856" s="153" t="s">
        <v>2286</v>
      </c>
      <c r="AC856" s="158" t="s">
        <v>306</v>
      </c>
      <c r="AD856" s="153"/>
      <c r="AE856" s="153" t="s">
        <v>2287</v>
      </c>
      <c r="AF856" s="153"/>
      <c r="AG856" s="158" t="s">
        <v>6517</v>
      </c>
      <c r="AH856" s="153" t="s">
        <v>2288</v>
      </c>
      <c r="AI856" s="153" t="s">
        <v>6801</v>
      </c>
      <c r="AJ856" s="153"/>
      <c r="AK856" s="153"/>
    </row>
    <row r="857">
      <c r="A857" s="152">
        <v>2024.0</v>
      </c>
      <c r="B857" s="151">
        <v>288.0</v>
      </c>
      <c r="C857" s="153"/>
      <c r="D857" s="153"/>
      <c r="E857" s="153" t="s">
        <v>8189</v>
      </c>
      <c r="F857" s="153" t="s">
        <v>8564</v>
      </c>
      <c r="G857" s="153">
        <f>IFERROR(__xludf.DUMMYFUNCTION("""COMPUTED_VALUE"""),377.0)</f>
        <v>377</v>
      </c>
      <c r="H857" s="153" t="s">
        <v>193</v>
      </c>
      <c r="I857" s="153" t="s">
        <v>194</v>
      </c>
      <c r="J857" s="153" t="s">
        <v>2222</v>
      </c>
      <c r="K857" s="153" t="s">
        <v>2223</v>
      </c>
      <c r="L857" s="153" t="s">
        <v>2224</v>
      </c>
      <c r="M857" s="153" t="s">
        <v>2225</v>
      </c>
      <c r="N857" s="230">
        <v>2019.0</v>
      </c>
      <c r="O857" s="230">
        <v>2019.0</v>
      </c>
      <c r="P857" s="230">
        <v>2023.0</v>
      </c>
      <c r="Q857" s="153" t="s">
        <v>7163</v>
      </c>
      <c r="R857" s="153" t="s">
        <v>320</v>
      </c>
      <c r="S857" s="158" t="s">
        <v>179</v>
      </c>
      <c r="T857" s="153" t="s">
        <v>2227</v>
      </c>
      <c r="U857" s="153" t="s">
        <v>2228</v>
      </c>
      <c r="V857" s="158" t="s">
        <v>160</v>
      </c>
      <c r="W857" s="158" t="s">
        <v>184</v>
      </c>
      <c r="X857" s="158" t="s">
        <v>159</v>
      </c>
      <c r="Y857" s="158" t="s">
        <v>149</v>
      </c>
      <c r="Z857" s="158" t="s">
        <v>149</v>
      </c>
      <c r="AA857" s="158" t="s">
        <v>149</v>
      </c>
      <c r="AB857" s="153" t="s">
        <v>2229</v>
      </c>
      <c r="AC857" s="153" t="s">
        <v>306</v>
      </c>
      <c r="AD857" s="153" t="s">
        <v>2230</v>
      </c>
      <c r="AE857" s="153" t="s">
        <v>7165</v>
      </c>
      <c r="AF857" s="153" t="s">
        <v>2232</v>
      </c>
      <c r="AG857" s="153" t="s">
        <v>213</v>
      </c>
      <c r="AH857" s="153" t="s">
        <v>213</v>
      </c>
      <c r="AI857" s="165" t="s">
        <v>2233</v>
      </c>
      <c r="AJ857" s="153" t="s">
        <v>2234</v>
      </c>
      <c r="AK857" s="165" t="s">
        <v>2235</v>
      </c>
    </row>
    <row r="858">
      <c r="A858" s="152">
        <v>2025.0</v>
      </c>
      <c r="B858" s="151">
        <v>177.0</v>
      </c>
      <c r="C858" s="153" t="s">
        <v>8189</v>
      </c>
      <c r="D858" s="153"/>
      <c r="E858" s="153" t="s">
        <v>8301</v>
      </c>
      <c r="F858" s="153" t="s">
        <v>6803</v>
      </c>
      <c r="G858" s="153">
        <f>IFERROR(__xludf.DUMMYFUNCTION("""COMPUTED_VALUE"""),378.0)</f>
        <v>378</v>
      </c>
      <c r="H858" s="153" t="s">
        <v>522</v>
      </c>
      <c r="I858" s="153" t="s">
        <v>523</v>
      </c>
      <c r="J858" s="153" t="s">
        <v>6804</v>
      </c>
      <c r="K858" s="153" t="s">
        <v>525</v>
      </c>
      <c r="L858" s="153" t="s">
        <v>384</v>
      </c>
      <c r="M858" s="153" t="s">
        <v>526</v>
      </c>
      <c r="N858" s="160" t="s">
        <v>6052</v>
      </c>
      <c r="O858" s="175" t="s">
        <v>6052</v>
      </c>
      <c r="P858" s="175" t="s">
        <v>6053</v>
      </c>
      <c r="Q858" s="153" t="s">
        <v>151</v>
      </c>
      <c r="R858" s="153" t="s">
        <v>6054</v>
      </c>
      <c r="S858" s="158" t="s">
        <v>6054</v>
      </c>
      <c r="T858" s="158" t="s">
        <v>149</v>
      </c>
      <c r="U858" s="153" t="s">
        <v>390</v>
      </c>
      <c r="V858" s="158" t="s">
        <v>160</v>
      </c>
      <c r="W858" s="158" t="s">
        <v>6035</v>
      </c>
      <c r="X858" s="158" t="s">
        <v>159</v>
      </c>
      <c r="Y858" s="158" t="s">
        <v>149</v>
      </c>
      <c r="Z858" s="158" t="s">
        <v>149</v>
      </c>
      <c r="AA858" s="158" t="s">
        <v>149</v>
      </c>
      <c r="AB858" s="153" t="s">
        <v>390</v>
      </c>
      <c r="AC858" s="153" t="s">
        <v>6035</v>
      </c>
      <c r="AD858" s="153" t="s">
        <v>6055</v>
      </c>
      <c r="AE858" s="153"/>
      <c r="AF858" s="153"/>
      <c r="AG858" s="158" t="s">
        <v>395</v>
      </c>
      <c r="AH858" s="153" t="s">
        <v>6060</v>
      </c>
      <c r="AI858" s="158" t="s">
        <v>397</v>
      </c>
      <c r="AJ858" s="153" t="s">
        <v>398</v>
      </c>
      <c r="AK858" s="153"/>
    </row>
    <row r="859">
      <c r="A859" s="152">
        <v>2025.0</v>
      </c>
      <c r="B859" s="151">
        <v>178.0</v>
      </c>
      <c r="C859" s="153" t="s">
        <v>8189</v>
      </c>
      <c r="D859" s="153"/>
      <c r="E859" s="153" t="s">
        <v>8301</v>
      </c>
      <c r="F859" s="153" t="s">
        <v>6806</v>
      </c>
      <c r="G859" s="153">
        <f>IFERROR(__xludf.DUMMYFUNCTION("""COMPUTED_VALUE"""),379.0)</f>
        <v>379</v>
      </c>
      <c r="H859" s="153" t="s">
        <v>522</v>
      </c>
      <c r="I859" s="153" t="s">
        <v>523</v>
      </c>
      <c r="J859" s="153" t="s">
        <v>6804</v>
      </c>
      <c r="K859" s="153" t="s">
        <v>525</v>
      </c>
      <c r="L859" s="153" t="s">
        <v>1683</v>
      </c>
      <c r="M859" s="153"/>
      <c r="N859" s="175" t="s">
        <v>6063</v>
      </c>
      <c r="O859" s="175" t="s">
        <v>6063</v>
      </c>
      <c r="P859" s="175" t="s">
        <v>6064</v>
      </c>
      <c r="Q859" s="153" t="s">
        <v>6062</v>
      </c>
      <c r="R859" s="153" t="s">
        <v>1201</v>
      </c>
      <c r="S859" s="158" t="s">
        <v>179</v>
      </c>
      <c r="T859" s="158" t="s">
        <v>149</v>
      </c>
      <c r="U859" s="153" t="s">
        <v>321</v>
      </c>
      <c r="V859" s="158" t="s">
        <v>160</v>
      </c>
      <c r="W859" s="158" t="s">
        <v>6035</v>
      </c>
      <c r="X859" s="158" t="s">
        <v>159</v>
      </c>
      <c r="Y859" s="158" t="s">
        <v>149</v>
      </c>
      <c r="Z859" s="158" t="s">
        <v>149</v>
      </c>
      <c r="AA859" s="153" t="s">
        <v>1709</v>
      </c>
      <c r="AB859" s="153" t="s">
        <v>326</v>
      </c>
      <c r="AC859" s="153" t="s">
        <v>306</v>
      </c>
      <c r="AD859" s="158" t="s">
        <v>1710</v>
      </c>
      <c r="AE859" s="153"/>
      <c r="AF859" s="153"/>
      <c r="AG859" s="158" t="s">
        <v>6069</v>
      </c>
      <c r="AH859" s="153" t="s">
        <v>1300</v>
      </c>
      <c r="AI859" s="153" t="s">
        <v>6070</v>
      </c>
      <c r="AJ859" s="153"/>
      <c r="AK859" s="153"/>
    </row>
    <row r="860">
      <c r="A860" s="152">
        <v>2024.0</v>
      </c>
      <c r="B860" s="151">
        <v>289.0</v>
      </c>
      <c r="C860" s="153"/>
      <c r="D860" s="153"/>
      <c r="E860" s="153" t="s">
        <v>8189</v>
      </c>
      <c r="F860" s="153" t="s">
        <v>8565</v>
      </c>
      <c r="G860" s="153">
        <f>IFERROR(__xludf.DUMMYFUNCTION("""COMPUTED_VALUE"""),380.0)</f>
        <v>380</v>
      </c>
      <c r="H860" s="153" t="s">
        <v>193</v>
      </c>
      <c r="I860" s="153" t="s">
        <v>194</v>
      </c>
      <c r="J860" s="153" t="s">
        <v>7114</v>
      </c>
      <c r="K860" s="153" t="s">
        <v>217</v>
      </c>
      <c r="L860" s="153" t="s">
        <v>384</v>
      </c>
      <c r="M860" s="153" t="s">
        <v>2880</v>
      </c>
      <c r="N860" s="230">
        <v>1979.0</v>
      </c>
      <c r="O860" s="230">
        <v>1985.0</v>
      </c>
      <c r="P860" s="230">
        <v>1987.0</v>
      </c>
      <c r="Q860" s="153" t="s">
        <v>151</v>
      </c>
      <c r="R860" s="153" t="s">
        <v>6054</v>
      </c>
      <c r="S860" s="158" t="s">
        <v>6054</v>
      </c>
      <c r="T860" s="158" t="s">
        <v>149</v>
      </c>
      <c r="U860" s="153" t="s">
        <v>390</v>
      </c>
      <c r="V860" s="158" t="s">
        <v>160</v>
      </c>
      <c r="W860" s="158" t="s">
        <v>6035</v>
      </c>
      <c r="X860" s="158" t="s">
        <v>159</v>
      </c>
      <c r="Y860" s="158" t="s">
        <v>149</v>
      </c>
      <c r="Z860" s="158" t="s">
        <v>149</v>
      </c>
      <c r="AA860" s="153" t="s">
        <v>391</v>
      </c>
      <c r="AB860" s="153" t="s">
        <v>390</v>
      </c>
      <c r="AC860" s="153" t="s">
        <v>6035</v>
      </c>
      <c r="AD860" s="153" t="s">
        <v>6055</v>
      </c>
      <c r="AE860" s="153"/>
      <c r="AF860" s="153"/>
      <c r="AG860" s="158" t="s">
        <v>395</v>
      </c>
      <c r="AH860" s="153" t="s">
        <v>6060</v>
      </c>
      <c r="AI860" s="153" t="s">
        <v>2873</v>
      </c>
      <c r="AJ860" s="153" t="s">
        <v>398</v>
      </c>
      <c r="AK860" s="239"/>
    </row>
    <row r="861">
      <c r="A861" s="152">
        <v>2025.0</v>
      </c>
      <c r="B861" s="151">
        <v>179.0</v>
      </c>
      <c r="C861" s="153" t="s">
        <v>8189</v>
      </c>
      <c r="D861" s="153"/>
      <c r="E861" s="153" t="s">
        <v>8301</v>
      </c>
      <c r="F861" s="153" t="s">
        <v>6813</v>
      </c>
      <c r="G861" s="153">
        <f>IFERROR(__xludf.DUMMYFUNCTION("""COMPUTED_VALUE"""),381.0)</f>
        <v>381</v>
      </c>
      <c r="H861" s="153" t="s">
        <v>522</v>
      </c>
      <c r="I861" s="153" t="s">
        <v>523</v>
      </c>
      <c r="J861" s="153" t="s">
        <v>1964</v>
      </c>
      <c r="K861" s="153" t="s">
        <v>1965</v>
      </c>
      <c r="L861" s="158" t="s">
        <v>149</v>
      </c>
      <c r="M861" s="158" t="s">
        <v>2565</v>
      </c>
      <c r="N861" s="175" t="s">
        <v>6042</v>
      </c>
      <c r="O861" s="160" t="s">
        <v>6042</v>
      </c>
      <c r="P861" s="160" t="s">
        <v>149</v>
      </c>
      <c r="Q861" s="153" t="s">
        <v>6814</v>
      </c>
      <c r="R861" s="153" t="s">
        <v>8566</v>
      </c>
      <c r="S861" s="153" t="s">
        <v>8567</v>
      </c>
      <c r="T861" s="153" t="s">
        <v>8568</v>
      </c>
      <c r="U861" s="153" t="s">
        <v>2571</v>
      </c>
      <c r="V861" s="158" t="s">
        <v>160</v>
      </c>
      <c r="W861" s="158" t="s">
        <v>184</v>
      </c>
      <c r="X861" s="158" t="s">
        <v>6820</v>
      </c>
      <c r="Y861" s="158" t="s">
        <v>149</v>
      </c>
      <c r="Z861" s="158" t="s">
        <v>149</v>
      </c>
      <c r="AA861" s="153" t="s">
        <v>2573</v>
      </c>
      <c r="AB861" s="153" t="s">
        <v>2574</v>
      </c>
      <c r="AC861" s="158" t="s">
        <v>184</v>
      </c>
      <c r="AD861" s="153"/>
      <c r="AE861" s="158" t="s">
        <v>2575</v>
      </c>
      <c r="AF861" s="153"/>
      <c r="AG861" s="153" t="s">
        <v>6084</v>
      </c>
      <c r="AH861" s="153" t="s">
        <v>2576</v>
      </c>
      <c r="AI861" s="165" t="s">
        <v>2577</v>
      </c>
      <c r="AJ861" s="153"/>
      <c r="AK861" s="153"/>
    </row>
    <row r="862">
      <c r="A862" s="152">
        <v>2025.0</v>
      </c>
      <c r="B862" s="151">
        <v>180.0</v>
      </c>
      <c r="C862" s="153" t="s">
        <v>8189</v>
      </c>
      <c r="D862" s="153"/>
      <c r="E862" s="153" t="s">
        <v>8301</v>
      </c>
      <c r="F862" s="153" t="s">
        <v>6821</v>
      </c>
      <c r="G862" s="153">
        <f>IFERROR(__xludf.DUMMYFUNCTION("""COMPUTED_VALUE"""),382.0)</f>
        <v>382</v>
      </c>
      <c r="H862" s="153" t="s">
        <v>522</v>
      </c>
      <c r="I862" s="153" t="s">
        <v>523</v>
      </c>
      <c r="J862" s="153" t="s">
        <v>1964</v>
      </c>
      <c r="K862" s="153" t="s">
        <v>1965</v>
      </c>
      <c r="L862" s="158" t="s">
        <v>3414</v>
      </c>
      <c r="M862" s="158" t="s">
        <v>1966</v>
      </c>
      <c r="N862" s="175" t="s">
        <v>16</v>
      </c>
      <c r="O862" s="160" t="s">
        <v>6030</v>
      </c>
      <c r="P862" s="160" t="s">
        <v>14</v>
      </c>
      <c r="Q862" s="153" t="s">
        <v>6221</v>
      </c>
      <c r="R862" s="153" t="s">
        <v>8569</v>
      </c>
      <c r="S862" s="158" t="s">
        <v>1962</v>
      </c>
      <c r="T862" s="158" t="s">
        <v>149</v>
      </c>
      <c r="U862" s="153" t="s">
        <v>203</v>
      </c>
      <c r="V862" s="158" t="s">
        <v>6154</v>
      </c>
      <c r="W862" s="158" t="s">
        <v>206</v>
      </c>
      <c r="X862" s="158" t="s">
        <v>159</v>
      </c>
      <c r="Y862" s="158" t="s">
        <v>149</v>
      </c>
      <c r="Z862" s="158" t="s">
        <v>149</v>
      </c>
      <c r="AA862" s="158" t="s">
        <v>149</v>
      </c>
      <c r="AB862" s="153" t="s">
        <v>208</v>
      </c>
      <c r="AC862" s="158" t="s">
        <v>6068</v>
      </c>
      <c r="AD862" s="153" t="s">
        <v>6614</v>
      </c>
      <c r="AE862" s="153"/>
      <c r="AF862" s="153"/>
      <c r="AG862" s="153" t="s">
        <v>214</v>
      </c>
      <c r="AH862" s="153" t="s">
        <v>214</v>
      </c>
      <c r="AI862" s="239"/>
      <c r="AJ862" s="153"/>
      <c r="AK862" s="153"/>
    </row>
    <row r="863">
      <c r="A863" s="152">
        <v>2024.0</v>
      </c>
      <c r="B863" s="151">
        <v>290.0</v>
      </c>
      <c r="C863" s="153"/>
      <c r="D863" s="153"/>
      <c r="E863" s="153" t="s">
        <v>8189</v>
      </c>
      <c r="F863" s="153" t="s">
        <v>8570</v>
      </c>
      <c r="G863" s="153">
        <f>IFERROR(__xludf.DUMMYFUNCTION("""COMPUTED_VALUE"""),383.0)</f>
        <v>383</v>
      </c>
      <c r="H863" s="153" t="s">
        <v>193</v>
      </c>
      <c r="I863" s="153" t="s">
        <v>194</v>
      </c>
      <c r="J863" s="153" t="s">
        <v>7114</v>
      </c>
      <c r="K863" s="153" t="s">
        <v>217</v>
      </c>
      <c r="L863" s="153" t="s">
        <v>384</v>
      </c>
      <c r="M863" s="153" t="s">
        <v>2882</v>
      </c>
      <c r="N863" s="230">
        <v>1982.0</v>
      </c>
      <c r="O863" s="230">
        <v>1985.0</v>
      </c>
      <c r="P863" s="230">
        <v>1987.0</v>
      </c>
      <c r="Q863" s="153" t="s">
        <v>151</v>
      </c>
      <c r="R863" s="153" t="s">
        <v>6054</v>
      </c>
      <c r="S863" s="158" t="s">
        <v>6054</v>
      </c>
      <c r="T863" s="158" t="s">
        <v>149</v>
      </c>
      <c r="U863" s="153" t="s">
        <v>390</v>
      </c>
      <c r="V863" s="158" t="s">
        <v>160</v>
      </c>
      <c r="W863" s="158" t="s">
        <v>6035</v>
      </c>
      <c r="X863" s="158" t="s">
        <v>159</v>
      </c>
      <c r="Y863" s="158" t="s">
        <v>149</v>
      </c>
      <c r="Z863" s="158" t="s">
        <v>149</v>
      </c>
      <c r="AA863" s="153" t="s">
        <v>414</v>
      </c>
      <c r="AB863" s="153" t="s">
        <v>390</v>
      </c>
      <c r="AC863" s="153" t="s">
        <v>6035</v>
      </c>
      <c r="AD863" s="153" t="s">
        <v>6055</v>
      </c>
      <c r="AE863" s="153"/>
      <c r="AF863" s="153"/>
      <c r="AG863" s="158" t="s">
        <v>395</v>
      </c>
      <c r="AH863" s="153" t="s">
        <v>6060</v>
      </c>
      <c r="AI863" s="153" t="s">
        <v>2873</v>
      </c>
      <c r="AJ863" s="153" t="s">
        <v>398</v>
      </c>
      <c r="AK863" s="239"/>
    </row>
    <row r="864">
      <c r="A864" s="152">
        <v>2023.0</v>
      </c>
      <c r="B864" s="151">
        <v>181.0</v>
      </c>
      <c r="C864" s="129" t="s">
        <v>140</v>
      </c>
      <c r="D864" s="8"/>
      <c r="E864" s="8" t="s">
        <v>8189</v>
      </c>
      <c r="F864" s="8" t="s">
        <v>6826</v>
      </c>
      <c r="G864" s="8">
        <f>IFERROR(__xludf.DUMMYFUNCTION("""COMPUTED_VALUE"""),384.0)</f>
        <v>384</v>
      </c>
      <c r="H864" s="8" t="s">
        <v>522</v>
      </c>
      <c r="I864" s="8" t="s">
        <v>523</v>
      </c>
      <c r="J864" s="8" t="s">
        <v>2278</v>
      </c>
      <c r="K864" s="153" t="s">
        <v>2279</v>
      </c>
      <c r="L864" s="8" t="s">
        <v>6795</v>
      </c>
      <c r="N864" s="142" t="s">
        <v>6392</v>
      </c>
      <c r="O864" s="142"/>
      <c r="P864" s="142"/>
      <c r="Q864" s="8" t="s">
        <v>151</v>
      </c>
      <c r="R864" s="8" t="s">
        <v>6827</v>
      </c>
      <c r="T864" s="8" t="s">
        <v>6828</v>
      </c>
      <c r="U864" s="8" t="s">
        <v>2286</v>
      </c>
      <c r="AB864" s="8" t="s">
        <v>6829</v>
      </c>
      <c r="AE864" s="8" t="s">
        <v>2287</v>
      </c>
      <c r="AH864" s="8" t="s">
        <v>6517</v>
      </c>
      <c r="AI864" s="8" t="s">
        <v>6801</v>
      </c>
    </row>
    <row r="865">
      <c r="A865" s="152">
        <v>2025.0</v>
      </c>
      <c r="B865" s="151">
        <v>181.0</v>
      </c>
      <c r="C865" s="153" t="s">
        <v>8189</v>
      </c>
      <c r="D865" s="153"/>
      <c r="E865" s="153" t="s">
        <v>8301</v>
      </c>
      <c r="F865" s="153" t="s">
        <v>6830</v>
      </c>
      <c r="G865" s="153">
        <f>IFERROR(__xludf.DUMMYFUNCTION("""COMPUTED_VALUE"""),385.0)</f>
        <v>385</v>
      </c>
      <c r="H865" s="153" t="s">
        <v>522</v>
      </c>
      <c r="I865" s="153" t="s">
        <v>523</v>
      </c>
      <c r="J865" s="153" t="s">
        <v>2114</v>
      </c>
      <c r="K865" s="153" t="s">
        <v>2115</v>
      </c>
      <c r="L865" s="153" t="s">
        <v>2116</v>
      </c>
      <c r="M865" s="158" t="s">
        <v>2117</v>
      </c>
      <c r="N865" s="160" t="s">
        <v>6152</v>
      </c>
      <c r="O865" s="160" t="s">
        <v>149</v>
      </c>
      <c r="P865" s="160" t="s">
        <v>149</v>
      </c>
      <c r="Q865" s="153" t="s">
        <v>6624</v>
      </c>
      <c r="R865" s="153" t="s">
        <v>8571</v>
      </c>
      <c r="S865" s="153" t="s">
        <v>8572</v>
      </c>
      <c r="T865" s="153" t="s">
        <v>8573</v>
      </c>
      <c r="U865" s="153" t="s">
        <v>2120</v>
      </c>
      <c r="V865" s="158" t="s">
        <v>160</v>
      </c>
      <c r="W865" s="158" t="s">
        <v>306</v>
      </c>
      <c r="X865" s="158" t="s">
        <v>159</v>
      </c>
      <c r="Y865" s="158" t="s">
        <v>149</v>
      </c>
      <c r="Z865" s="158" t="s">
        <v>6834</v>
      </c>
      <c r="AA865" s="158" t="s">
        <v>2122</v>
      </c>
      <c r="AB865" s="153" t="s">
        <v>2120</v>
      </c>
      <c r="AC865" s="153" t="s">
        <v>306</v>
      </c>
      <c r="AD865" s="153" t="s">
        <v>369</v>
      </c>
      <c r="AE865" s="153"/>
      <c r="AF865" s="153"/>
      <c r="AG865" s="158" t="s">
        <v>1159</v>
      </c>
      <c r="AH865" s="153" t="s">
        <v>6835</v>
      </c>
      <c r="AI865" s="165" t="s">
        <v>2124</v>
      </c>
      <c r="AJ865" s="153" t="s">
        <v>2125</v>
      </c>
      <c r="AK865" s="165" t="s">
        <v>2126</v>
      </c>
    </row>
    <row r="866">
      <c r="A866" s="152">
        <v>2024.0</v>
      </c>
      <c r="B866" s="151">
        <v>291.0</v>
      </c>
      <c r="C866" s="153"/>
      <c r="D866" s="153"/>
      <c r="E866" s="153" t="s">
        <v>8189</v>
      </c>
      <c r="F866" s="153" t="s">
        <v>8574</v>
      </c>
      <c r="G866" s="153">
        <f>IFERROR(__xludf.DUMMYFUNCTION("""COMPUTED_VALUE"""),386.0)</f>
        <v>386</v>
      </c>
      <c r="H866" s="153" t="s">
        <v>193</v>
      </c>
      <c r="I866" s="153" t="s">
        <v>194</v>
      </c>
      <c r="J866" s="153" t="s">
        <v>7114</v>
      </c>
      <c r="K866" s="153" t="s">
        <v>217</v>
      </c>
      <c r="L866" s="153" t="s">
        <v>877</v>
      </c>
      <c r="M866" s="153" t="s">
        <v>878</v>
      </c>
      <c r="N866" s="230">
        <v>1997.0</v>
      </c>
      <c r="O866" s="230">
        <v>1997.0</v>
      </c>
      <c r="P866" s="230">
        <v>2000.0</v>
      </c>
      <c r="Q866" s="153" t="s">
        <v>6062</v>
      </c>
      <c r="R866" s="153" t="s">
        <v>320</v>
      </c>
      <c r="S866" s="158" t="s">
        <v>179</v>
      </c>
      <c r="T866" s="153" t="s">
        <v>881</v>
      </c>
      <c r="U866" s="153" t="s">
        <v>7120</v>
      </c>
      <c r="V866" s="158" t="s">
        <v>6154</v>
      </c>
      <c r="W866" s="158" t="s">
        <v>206</v>
      </c>
      <c r="X866" s="158" t="s">
        <v>159</v>
      </c>
      <c r="Y866" s="158" t="s">
        <v>149</v>
      </c>
      <c r="Z866" s="153" t="s">
        <v>7121</v>
      </c>
      <c r="AA866" s="188" t="s">
        <v>884</v>
      </c>
      <c r="AB866" s="153" t="s">
        <v>885</v>
      </c>
      <c r="AC866" s="158" t="s">
        <v>6068</v>
      </c>
      <c r="AD866" s="153" t="s">
        <v>887</v>
      </c>
      <c r="AE866" s="153"/>
      <c r="AF866" s="153" t="s">
        <v>888</v>
      </c>
      <c r="AG866" s="158" t="s">
        <v>395</v>
      </c>
      <c r="AH866" s="153" t="s">
        <v>7182</v>
      </c>
      <c r="AI866" s="165" t="s">
        <v>942</v>
      </c>
      <c r="AJ866" s="153" t="s">
        <v>1280</v>
      </c>
      <c r="AK866" s="153"/>
    </row>
    <row r="867">
      <c r="A867" s="152">
        <v>2023.0</v>
      </c>
      <c r="B867" s="151">
        <v>182.0</v>
      </c>
      <c r="C867" s="129" t="s">
        <v>140</v>
      </c>
      <c r="D867" s="8"/>
      <c r="E867" s="8" t="s">
        <v>8189</v>
      </c>
      <c r="F867" s="8" t="s">
        <v>6837</v>
      </c>
      <c r="G867" s="8">
        <f>IFERROR(__xludf.DUMMYFUNCTION("""COMPUTED_VALUE"""),387.0)</f>
        <v>387</v>
      </c>
      <c r="H867" s="8" t="s">
        <v>522</v>
      </c>
      <c r="I867" s="8" t="s">
        <v>523</v>
      </c>
      <c r="J867" s="8" t="s">
        <v>6804</v>
      </c>
      <c r="K867" s="277" t="s">
        <v>525</v>
      </c>
      <c r="L867" s="8" t="s">
        <v>384</v>
      </c>
      <c r="M867" s="8" t="s">
        <v>526</v>
      </c>
      <c r="N867" s="142" t="s">
        <v>6052</v>
      </c>
      <c r="O867" s="142" t="s">
        <v>6052</v>
      </c>
      <c r="P867" s="142" t="s">
        <v>6053</v>
      </c>
      <c r="Q867" s="8" t="s">
        <v>151</v>
      </c>
      <c r="R867" s="8" t="s">
        <v>6054</v>
      </c>
      <c r="U867" s="8" t="s">
        <v>390</v>
      </c>
      <c r="AB867" s="8" t="s">
        <v>390</v>
      </c>
      <c r="AD867" s="8" t="s">
        <v>6055</v>
      </c>
      <c r="AH867" s="8" t="s">
        <v>6057</v>
      </c>
      <c r="AI867" s="8" t="s">
        <v>2873</v>
      </c>
      <c r="AJ867" s="8" t="s">
        <v>398</v>
      </c>
    </row>
    <row r="868">
      <c r="A868" s="152">
        <v>2023.0</v>
      </c>
      <c r="B868" s="151">
        <v>183.0</v>
      </c>
      <c r="C868" s="129" t="s">
        <v>140</v>
      </c>
      <c r="D868" s="8"/>
      <c r="E868" s="8" t="s">
        <v>8189</v>
      </c>
      <c r="F868" s="8" t="s">
        <v>8575</v>
      </c>
      <c r="G868" s="8">
        <f>IFERROR(__xludf.DUMMYFUNCTION("""COMPUTED_VALUE"""),388.0)</f>
        <v>388</v>
      </c>
      <c r="H868" s="8" t="s">
        <v>522</v>
      </c>
      <c r="I868" s="8" t="s">
        <v>523</v>
      </c>
      <c r="J868" s="8" t="s">
        <v>6804</v>
      </c>
      <c r="K868" s="153" t="s">
        <v>525</v>
      </c>
      <c r="L868" s="8" t="s">
        <v>1683</v>
      </c>
      <c r="N868" s="142"/>
      <c r="O868" s="142" t="s">
        <v>6063</v>
      </c>
      <c r="P868" s="142" t="s">
        <v>6064</v>
      </c>
      <c r="Q868" s="8" t="s">
        <v>6062</v>
      </c>
      <c r="R868" s="8" t="s">
        <v>320</v>
      </c>
      <c r="U868" s="8" t="s">
        <v>321</v>
      </c>
      <c r="AA868" s="8" t="s">
        <v>1709</v>
      </c>
      <c r="AB868" s="8" t="s">
        <v>326</v>
      </c>
      <c r="AH868" s="8" t="s">
        <v>6069</v>
      </c>
    </row>
    <row r="869">
      <c r="A869" s="152">
        <v>2024.0</v>
      </c>
      <c r="B869" s="151">
        <v>292.0</v>
      </c>
      <c r="C869" s="153"/>
      <c r="D869" s="153"/>
      <c r="E869" s="153" t="s">
        <v>8189</v>
      </c>
      <c r="F869" s="153" t="s">
        <v>8576</v>
      </c>
      <c r="G869" s="153">
        <f>IFERROR(__xludf.DUMMYFUNCTION("""COMPUTED_VALUE"""),389.0)</f>
        <v>389</v>
      </c>
      <c r="H869" s="153" t="s">
        <v>193</v>
      </c>
      <c r="I869" s="153" t="s">
        <v>194</v>
      </c>
      <c r="J869" s="153" t="s">
        <v>7114</v>
      </c>
      <c r="K869" s="153" t="s">
        <v>217</v>
      </c>
      <c r="L869" s="158" t="s">
        <v>149</v>
      </c>
      <c r="M869" s="153" t="s">
        <v>3150</v>
      </c>
      <c r="N869" s="230">
        <v>2014.0</v>
      </c>
      <c r="O869" s="230">
        <v>2014.0</v>
      </c>
      <c r="P869" s="230">
        <v>2015.0</v>
      </c>
      <c r="Q869" s="153" t="s">
        <v>6062</v>
      </c>
      <c r="R869" s="153" t="s">
        <v>7185</v>
      </c>
      <c r="S869" s="158" t="s">
        <v>179</v>
      </c>
      <c r="T869" s="158" t="s">
        <v>149</v>
      </c>
      <c r="U869" s="158" t="s">
        <v>149</v>
      </c>
      <c r="V869" s="158" t="s">
        <v>149</v>
      </c>
      <c r="W869" s="158" t="s">
        <v>149</v>
      </c>
      <c r="X869" s="158" t="s">
        <v>149</v>
      </c>
      <c r="Y869" s="158" t="s">
        <v>149</v>
      </c>
      <c r="Z869" s="158" t="s">
        <v>149</v>
      </c>
      <c r="AA869" s="158" t="s">
        <v>149</v>
      </c>
      <c r="AB869" s="153" t="s">
        <v>885</v>
      </c>
      <c r="AC869" s="158" t="s">
        <v>6068</v>
      </c>
      <c r="AD869" s="153"/>
      <c r="AE869" s="153"/>
      <c r="AF869" s="153"/>
      <c r="AG869" s="158" t="s">
        <v>7186</v>
      </c>
      <c r="AH869" s="153" t="s">
        <v>3151</v>
      </c>
      <c r="AI869" s="165" t="s">
        <v>7187</v>
      </c>
      <c r="AJ869" s="153"/>
      <c r="AK869" s="153"/>
    </row>
    <row r="870">
      <c r="A870" s="152">
        <v>2023.0</v>
      </c>
      <c r="B870" s="151">
        <v>184.0</v>
      </c>
      <c r="C870" s="129" t="s">
        <v>140</v>
      </c>
      <c r="D870" s="8"/>
      <c r="E870" s="8" t="s">
        <v>8189</v>
      </c>
      <c r="F870" s="8" t="s">
        <v>6842</v>
      </c>
      <c r="G870" s="8">
        <f>IFERROR(__xludf.DUMMYFUNCTION("""COMPUTED_VALUE"""),390.0)</f>
        <v>390</v>
      </c>
      <c r="H870" s="8" t="s">
        <v>522</v>
      </c>
      <c r="I870" s="8" t="s">
        <v>523</v>
      </c>
      <c r="J870" s="8" t="s">
        <v>1964</v>
      </c>
      <c r="K870" s="153" t="s">
        <v>1965</v>
      </c>
      <c r="L870" s="8" t="s">
        <v>6113</v>
      </c>
      <c r="N870" s="142" t="s">
        <v>6042</v>
      </c>
      <c r="O870" s="142"/>
      <c r="P870" s="142"/>
      <c r="Q870" s="8" t="s">
        <v>6814</v>
      </c>
      <c r="R870" s="8" t="s">
        <v>6288</v>
      </c>
      <c r="T870" s="8" t="s">
        <v>6843</v>
      </c>
      <c r="Y870" s="8" t="s">
        <v>2571</v>
      </c>
      <c r="AB870" s="8" t="s">
        <v>2574</v>
      </c>
      <c r="AH870" s="8" t="s">
        <v>6027</v>
      </c>
      <c r="AI870" s="8" t="s">
        <v>6844</v>
      </c>
    </row>
    <row r="871">
      <c r="A871" s="152">
        <v>2023.0</v>
      </c>
      <c r="B871" s="151">
        <v>185.0</v>
      </c>
      <c r="C871" s="129" t="s">
        <v>140</v>
      </c>
      <c r="D871" s="8"/>
      <c r="E871" s="8" t="s">
        <v>8189</v>
      </c>
      <c r="F871" s="8" t="s">
        <v>6848</v>
      </c>
      <c r="G871" s="8">
        <f>IFERROR(__xludf.DUMMYFUNCTION("""COMPUTED_VALUE"""),391.0)</f>
        <v>391</v>
      </c>
      <c r="H871" s="8" t="s">
        <v>522</v>
      </c>
      <c r="I871" s="8" t="s">
        <v>523</v>
      </c>
      <c r="J871" s="8" t="s">
        <v>2114</v>
      </c>
      <c r="K871" s="153" t="s">
        <v>2115</v>
      </c>
      <c r="L871" s="8" t="s">
        <v>2116</v>
      </c>
      <c r="N871" s="142" t="s">
        <v>6064</v>
      </c>
      <c r="O871" s="142"/>
      <c r="P871" s="142"/>
      <c r="Q871" s="8" t="s">
        <v>151</v>
      </c>
      <c r="R871" s="8" t="s">
        <v>2116</v>
      </c>
      <c r="T871" s="8" t="s">
        <v>6849</v>
      </c>
      <c r="U871" s="8" t="s">
        <v>2120</v>
      </c>
      <c r="AB871" s="8" t="s">
        <v>2120</v>
      </c>
      <c r="AD871" s="8" t="s">
        <v>369</v>
      </c>
      <c r="AH871" s="8" t="s">
        <v>1159</v>
      </c>
      <c r="AI871" s="172" t="s">
        <v>2124</v>
      </c>
      <c r="AJ871" s="8" t="s">
        <v>2125</v>
      </c>
      <c r="AK871" s="172" t="s">
        <v>2126</v>
      </c>
    </row>
    <row r="872">
      <c r="A872" s="152">
        <v>2024.0</v>
      </c>
      <c r="B872" s="151">
        <v>293.0</v>
      </c>
      <c r="C872" s="153"/>
      <c r="D872" s="153"/>
      <c r="E872" s="153" t="s">
        <v>8189</v>
      </c>
      <c r="F872" s="153" t="s">
        <v>8577</v>
      </c>
      <c r="G872" s="153">
        <f>IFERROR(__xludf.DUMMYFUNCTION("""COMPUTED_VALUE"""),392.0)</f>
        <v>392</v>
      </c>
      <c r="H872" s="153" t="s">
        <v>193</v>
      </c>
      <c r="I872" s="153" t="s">
        <v>194</v>
      </c>
      <c r="J872" s="153" t="s">
        <v>7114</v>
      </c>
      <c r="K872" s="153" t="s">
        <v>217</v>
      </c>
      <c r="L872" s="158" t="s">
        <v>149</v>
      </c>
      <c r="M872" s="153" t="s">
        <v>218</v>
      </c>
      <c r="N872" s="230">
        <v>2014.0</v>
      </c>
      <c r="O872" s="230">
        <v>2014.0</v>
      </c>
      <c r="P872" s="230">
        <v>2015.0</v>
      </c>
      <c r="Q872" s="153" t="s">
        <v>6814</v>
      </c>
      <c r="R872" s="153" t="s">
        <v>7185</v>
      </c>
      <c r="S872" s="158" t="s">
        <v>179</v>
      </c>
      <c r="T872" s="158" t="s">
        <v>149</v>
      </c>
      <c r="U872" s="158" t="s">
        <v>149</v>
      </c>
      <c r="V872" s="158" t="s">
        <v>149</v>
      </c>
      <c r="W872" s="158" t="s">
        <v>149</v>
      </c>
      <c r="X872" s="158" t="s">
        <v>149</v>
      </c>
      <c r="Y872" s="158" t="s">
        <v>149</v>
      </c>
      <c r="Z872" s="158" t="s">
        <v>149</v>
      </c>
      <c r="AA872" s="158" t="s">
        <v>149</v>
      </c>
      <c r="AB872" s="153" t="s">
        <v>885</v>
      </c>
      <c r="AC872" s="158" t="s">
        <v>6068</v>
      </c>
      <c r="AD872" s="153"/>
      <c r="AE872" s="153"/>
      <c r="AF872" s="153"/>
      <c r="AG872" s="158" t="s">
        <v>7186</v>
      </c>
      <c r="AH872" s="153" t="s">
        <v>3151</v>
      </c>
      <c r="AI872" s="165" t="s">
        <v>7187</v>
      </c>
      <c r="AJ872" s="153"/>
      <c r="AK872" s="153"/>
    </row>
    <row r="873">
      <c r="A873" s="152">
        <v>2025.0</v>
      </c>
      <c r="B873" s="151">
        <v>33.0</v>
      </c>
      <c r="C873" s="153" t="s">
        <v>8189</v>
      </c>
      <c r="D873" s="153"/>
      <c r="E873" s="153" t="s">
        <v>8301</v>
      </c>
      <c r="F873" s="153" t="s">
        <v>8578</v>
      </c>
      <c r="G873" s="153">
        <f>IFERROR(__xludf.DUMMYFUNCTION("""COMPUTED_VALUE"""),393.0)</f>
        <v>393</v>
      </c>
      <c r="H873" s="153" t="s">
        <v>143</v>
      </c>
      <c r="I873" s="153" t="s">
        <v>144</v>
      </c>
      <c r="J873" s="153" t="s">
        <v>145</v>
      </c>
      <c r="K873" s="153" t="s">
        <v>146</v>
      </c>
      <c r="L873" s="158" t="s">
        <v>6217</v>
      </c>
      <c r="M873" s="153"/>
      <c r="N873" s="160" t="s">
        <v>149</v>
      </c>
      <c r="O873" s="175" t="s">
        <v>6073</v>
      </c>
      <c r="P873" s="175" t="s">
        <v>6198</v>
      </c>
      <c r="Q873" s="153" t="s">
        <v>151</v>
      </c>
      <c r="R873" s="158" t="s">
        <v>149</v>
      </c>
      <c r="S873" s="158" t="s">
        <v>149</v>
      </c>
      <c r="T873" s="153" t="s">
        <v>6204</v>
      </c>
      <c r="U873" s="153" t="s">
        <v>2111</v>
      </c>
      <c r="V873" s="158" t="s">
        <v>6154</v>
      </c>
      <c r="W873" s="158" t="s">
        <v>206</v>
      </c>
      <c r="X873" s="158" t="s">
        <v>159</v>
      </c>
      <c r="Y873" s="158" t="s">
        <v>149</v>
      </c>
      <c r="Z873" s="158" t="s">
        <v>149</v>
      </c>
      <c r="AA873" s="158" t="s">
        <v>149</v>
      </c>
      <c r="AB873" s="153" t="s">
        <v>2111</v>
      </c>
      <c r="AC873" s="158" t="s">
        <v>206</v>
      </c>
      <c r="AD873" s="153"/>
      <c r="AE873" s="153"/>
      <c r="AF873" s="153"/>
      <c r="AG873" s="158" t="s">
        <v>395</v>
      </c>
      <c r="AH873" s="153" t="s">
        <v>6060</v>
      </c>
      <c r="AI873" s="177" t="s">
        <v>397</v>
      </c>
      <c r="AJ873" s="153"/>
      <c r="AK873" s="153"/>
    </row>
    <row r="874">
      <c r="A874" s="152">
        <v>2025.0</v>
      </c>
      <c r="B874" s="151">
        <v>34.0</v>
      </c>
      <c r="C874" s="153" t="s">
        <v>8189</v>
      </c>
      <c r="D874" s="153"/>
      <c r="E874" s="153" t="s">
        <v>8301</v>
      </c>
      <c r="F874" s="153" t="s">
        <v>6193</v>
      </c>
      <c r="G874" s="153">
        <f>IFERROR(__xludf.DUMMYFUNCTION("""COMPUTED_VALUE"""),394.0)</f>
        <v>394</v>
      </c>
      <c r="H874" s="153" t="s">
        <v>143</v>
      </c>
      <c r="I874" s="153" t="s">
        <v>144</v>
      </c>
      <c r="J874" s="153" t="s">
        <v>145</v>
      </c>
      <c r="K874" s="153" t="s">
        <v>146</v>
      </c>
      <c r="L874" s="153" t="s">
        <v>384</v>
      </c>
      <c r="M874" s="153" t="s">
        <v>452</v>
      </c>
      <c r="N874" s="175" t="s">
        <v>6052</v>
      </c>
      <c r="O874" s="175" t="s">
        <v>6052</v>
      </c>
      <c r="P874" s="175" t="s">
        <v>6053</v>
      </c>
      <c r="Q874" s="153" t="s">
        <v>151</v>
      </c>
      <c r="R874" s="153" t="s">
        <v>6054</v>
      </c>
      <c r="S874" s="158" t="s">
        <v>6054</v>
      </c>
      <c r="T874" s="158" t="s">
        <v>149</v>
      </c>
      <c r="U874" s="153" t="s">
        <v>390</v>
      </c>
      <c r="V874" s="158" t="s">
        <v>160</v>
      </c>
      <c r="W874" s="158" t="s">
        <v>6035</v>
      </c>
      <c r="X874" s="158" t="s">
        <v>159</v>
      </c>
      <c r="Y874" s="158" t="s">
        <v>149</v>
      </c>
      <c r="Z874" s="158" t="s">
        <v>149</v>
      </c>
      <c r="AA874" s="153" t="s">
        <v>453</v>
      </c>
      <c r="AB874" s="153" t="s">
        <v>390</v>
      </c>
      <c r="AC874" s="153" t="s">
        <v>6035</v>
      </c>
      <c r="AD874" s="153" t="s">
        <v>6055</v>
      </c>
      <c r="AE874" s="153"/>
      <c r="AF874" s="153" t="s">
        <v>6056</v>
      </c>
      <c r="AG874" s="158" t="s">
        <v>395</v>
      </c>
      <c r="AH874" s="153" t="s">
        <v>6060</v>
      </c>
      <c r="AI874" s="177" t="s">
        <v>397</v>
      </c>
      <c r="AJ874" s="153" t="s">
        <v>398</v>
      </c>
      <c r="AK874" s="153"/>
    </row>
    <row r="875">
      <c r="A875" s="152">
        <v>2024.0</v>
      </c>
      <c r="B875" s="151">
        <v>294.0</v>
      </c>
      <c r="C875" s="153"/>
      <c r="D875" s="153"/>
      <c r="E875" s="153" t="s">
        <v>8189</v>
      </c>
      <c r="F875" s="153" t="s">
        <v>8579</v>
      </c>
      <c r="G875" s="153">
        <f>IFERROR(__xludf.DUMMYFUNCTION("""COMPUTED_VALUE"""),395.0)</f>
        <v>395</v>
      </c>
      <c r="H875" s="153" t="s">
        <v>193</v>
      </c>
      <c r="I875" s="153" t="s">
        <v>194</v>
      </c>
      <c r="J875" s="153" t="s">
        <v>7114</v>
      </c>
      <c r="K875" s="153" t="s">
        <v>217</v>
      </c>
      <c r="L875" s="153" t="s">
        <v>2073</v>
      </c>
      <c r="M875" s="153" t="s">
        <v>218</v>
      </c>
      <c r="N875" s="192" t="s">
        <v>149</v>
      </c>
      <c r="O875" s="192" t="s">
        <v>149</v>
      </c>
      <c r="P875" s="192" t="s">
        <v>149</v>
      </c>
      <c r="Q875" s="153" t="s">
        <v>6062</v>
      </c>
      <c r="R875" s="153" t="s">
        <v>7193</v>
      </c>
      <c r="S875" s="158" t="s">
        <v>179</v>
      </c>
      <c r="T875" s="153" t="s">
        <v>7132</v>
      </c>
      <c r="U875" s="153" t="s">
        <v>2077</v>
      </c>
      <c r="V875" s="158" t="s">
        <v>160</v>
      </c>
      <c r="W875" s="158" t="s">
        <v>184</v>
      </c>
      <c r="X875" s="158" t="s">
        <v>159</v>
      </c>
      <c r="Y875" s="158" t="s">
        <v>149</v>
      </c>
      <c r="Z875" s="158" t="s">
        <v>149</v>
      </c>
      <c r="AA875" s="158" t="s">
        <v>149</v>
      </c>
      <c r="AB875" s="153" t="s">
        <v>2077</v>
      </c>
      <c r="AC875" s="158" t="s">
        <v>184</v>
      </c>
      <c r="AD875" s="153"/>
      <c r="AE875" s="153"/>
      <c r="AF875" s="153"/>
      <c r="AG875" s="158" t="s">
        <v>6091</v>
      </c>
      <c r="AH875" s="153" t="s">
        <v>2078</v>
      </c>
      <c r="AI875" s="165" t="s">
        <v>2079</v>
      </c>
      <c r="AJ875" s="153"/>
      <c r="AK875" s="153"/>
    </row>
    <row r="876">
      <c r="A876" s="152">
        <v>2025.0</v>
      </c>
      <c r="B876" s="151">
        <v>35.0</v>
      </c>
      <c r="C876" s="153" t="s">
        <v>8189</v>
      </c>
      <c r="D876" s="153"/>
      <c r="E876" s="153" t="s">
        <v>707</v>
      </c>
      <c r="F876" s="153" t="s">
        <v>6194</v>
      </c>
      <c r="G876" s="153">
        <f>IFERROR(__xludf.DUMMYFUNCTION("""COMPUTED_VALUE"""),396.0)</f>
        <v>396</v>
      </c>
      <c r="H876" s="153" t="s">
        <v>143</v>
      </c>
      <c r="I876" s="153" t="s">
        <v>144</v>
      </c>
      <c r="J876" s="153" t="s">
        <v>145</v>
      </c>
      <c r="K876" s="153" t="s">
        <v>146</v>
      </c>
      <c r="L876" s="153" t="s">
        <v>147</v>
      </c>
      <c r="M876" s="158" t="s">
        <v>452</v>
      </c>
      <c r="N876" s="175" t="s">
        <v>6030</v>
      </c>
      <c r="O876" s="160" t="s">
        <v>149</v>
      </c>
      <c r="P876" s="160" t="s">
        <v>149</v>
      </c>
      <c r="Q876" s="153" t="s">
        <v>151</v>
      </c>
      <c r="R876" s="158" t="s">
        <v>153</v>
      </c>
      <c r="S876" s="158" t="s">
        <v>153</v>
      </c>
      <c r="T876" s="158" t="s">
        <v>6195</v>
      </c>
      <c r="U876" s="158" t="s">
        <v>158</v>
      </c>
      <c r="V876" s="158" t="s">
        <v>160</v>
      </c>
      <c r="W876" s="158" t="s">
        <v>6035</v>
      </c>
      <c r="X876" s="158" t="s">
        <v>159</v>
      </c>
      <c r="Y876" s="158" t="s">
        <v>149</v>
      </c>
      <c r="Z876" s="158" t="s">
        <v>149</v>
      </c>
      <c r="AA876" s="158" t="s">
        <v>162</v>
      </c>
      <c r="AB876" s="153" t="s">
        <v>158</v>
      </c>
      <c r="AC876" s="153" t="s">
        <v>6035</v>
      </c>
      <c r="AD876" s="153" t="s">
        <v>8580</v>
      </c>
      <c r="AE876" s="153"/>
      <c r="AF876" s="153"/>
      <c r="AG876" s="158" t="s">
        <v>166</v>
      </c>
      <c r="AH876" s="153" t="s">
        <v>167</v>
      </c>
      <c r="AI876" s="165" t="s">
        <v>168</v>
      </c>
      <c r="AJ876" s="153"/>
      <c r="AK876" s="153"/>
    </row>
    <row r="877">
      <c r="A877" s="152">
        <v>2025.0</v>
      </c>
      <c r="B877" s="151">
        <v>36.0</v>
      </c>
      <c r="C877" s="153" t="s">
        <v>8189</v>
      </c>
      <c r="D877" s="153"/>
      <c r="E877" s="153" t="s">
        <v>8301</v>
      </c>
      <c r="F877" s="153" t="s">
        <v>6200</v>
      </c>
      <c r="G877" s="153">
        <f>IFERROR(__xludf.DUMMYFUNCTION("""COMPUTED_VALUE"""),397.0)</f>
        <v>397</v>
      </c>
      <c r="H877" s="153" t="s">
        <v>143</v>
      </c>
      <c r="I877" s="153" t="s">
        <v>144</v>
      </c>
      <c r="J877" s="153" t="s">
        <v>4284</v>
      </c>
      <c r="K877" s="153" t="s">
        <v>222</v>
      </c>
      <c r="L877" s="153" t="s">
        <v>384</v>
      </c>
      <c r="M877" s="153" t="s">
        <v>2855</v>
      </c>
      <c r="N877" s="175" t="s">
        <v>6169</v>
      </c>
      <c r="O877" s="175" t="s">
        <v>6052</v>
      </c>
      <c r="P877" s="175" t="s">
        <v>6053</v>
      </c>
      <c r="Q877" s="153" t="s">
        <v>151</v>
      </c>
      <c r="R877" s="158" t="s">
        <v>6054</v>
      </c>
      <c r="S877" s="158" t="s">
        <v>6054</v>
      </c>
      <c r="T877" s="158" t="s">
        <v>149</v>
      </c>
      <c r="U877" s="153" t="s">
        <v>390</v>
      </c>
      <c r="V877" s="158" t="s">
        <v>160</v>
      </c>
      <c r="W877" s="158" t="s">
        <v>6035</v>
      </c>
      <c r="X877" s="158" t="s">
        <v>159</v>
      </c>
      <c r="Y877" s="158" t="s">
        <v>149</v>
      </c>
      <c r="Z877" s="158" t="s">
        <v>149</v>
      </c>
      <c r="AA877" s="153" t="s">
        <v>2853</v>
      </c>
      <c r="AB877" s="153" t="s">
        <v>390</v>
      </c>
      <c r="AC877" s="153" t="s">
        <v>6035</v>
      </c>
      <c r="AD877" s="153" t="s">
        <v>6055</v>
      </c>
      <c r="AE877" s="153" t="s">
        <v>6201</v>
      </c>
      <c r="AF877" s="153"/>
      <c r="AG877" s="158" t="s">
        <v>395</v>
      </c>
      <c r="AH877" s="153" t="s">
        <v>6060</v>
      </c>
      <c r="AI877" s="165" t="s">
        <v>397</v>
      </c>
      <c r="AJ877" s="153" t="s">
        <v>398</v>
      </c>
      <c r="AK877" s="153"/>
    </row>
    <row r="878">
      <c r="A878" s="152">
        <v>2024.0</v>
      </c>
      <c r="B878" s="151">
        <v>295.0</v>
      </c>
      <c r="C878" s="153"/>
      <c r="D878" s="153"/>
      <c r="E878" s="153" t="s">
        <v>8189</v>
      </c>
      <c r="F878" s="153" t="s">
        <v>8581</v>
      </c>
      <c r="G878" s="153">
        <f>IFERROR(__xludf.DUMMYFUNCTION("""COMPUTED_VALUE"""),398.0)</f>
        <v>398</v>
      </c>
      <c r="H878" s="153" t="s">
        <v>193</v>
      </c>
      <c r="I878" s="153" t="s">
        <v>194</v>
      </c>
      <c r="J878" s="153" t="s">
        <v>7114</v>
      </c>
      <c r="K878" s="153" t="s">
        <v>217</v>
      </c>
      <c r="L878" s="153" t="s">
        <v>872</v>
      </c>
      <c r="M878" s="153" t="s">
        <v>7198</v>
      </c>
      <c r="N878" s="230">
        <v>2010.0</v>
      </c>
      <c r="O878" s="192" t="s">
        <v>149</v>
      </c>
      <c r="P878" s="192" t="s">
        <v>149</v>
      </c>
      <c r="Q878" s="153" t="s">
        <v>6062</v>
      </c>
      <c r="R878" s="153" t="s">
        <v>320</v>
      </c>
      <c r="S878" s="158" t="s">
        <v>149</v>
      </c>
      <c r="T878" s="158" t="s">
        <v>149</v>
      </c>
      <c r="U878" s="153" t="s">
        <v>872</v>
      </c>
      <c r="V878" s="158" t="s">
        <v>160</v>
      </c>
      <c r="W878" s="158" t="s">
        <v>306</v>
      </c>
      <c r="X878" s="158" t="s">
        <v>159</v>
      </c>
      <c r="Y878" s="158" t="s">
        <v>149</v>
      </c>
      <c r="Z878" s="158" t="s">
        <v>149</v>
      </c>
      <c r="AA878" s="158" t="s">
        <v>149</v>
      </c>
      <c r="AB878" s="153" t="s">
        <v>872</v>
      </c>
      <c r="AC878" s="158" t="s">
        <v>306</v>
      </c>
      <c r="AD878" s="153"/>
      <c r="AE878" s="153"/>
      <c r="AF878" s="153"/>
      <c r="AG878" s="158" t="s">
        <v>6027</v>
      </c>
      <c r="AH878" s="153" t="s">
        <v>874</v>
      </c>
      <c r="AI878" s="165" t="s">
        <v>875</v>
      </c>
      <c r="AJ878" s="153"/>
      <c r="AK878" s="153"/>
    </row>
    <row r="879">
      <c r="A879" s="152">
        <v>2023.0</v>
      </c>
      <c r="B879" s="151">
        <v>37.0</v>
      </c>
      <c r="C879" s="129" t="s">
        <v>140</v>
      </c>
      <c r="D879" s="8"/>
      <c r="E879" s="8" t="s">
        <v>8189</v>
      </c>
      <c r="F879" s="8" t="s">
        <v>8582</v>
      </c>
      <c r="G879" s="8">
        <f>IFERROR(__xludf.DUMMYFUNCTION("""COMPUTED_VALUE"""),399.0)</f>
        <v>399</v>
      </c>
      <c r="H879" s="8" t="s">
        <v>143</v>
      </c>
      <c r="I879" s="8" t="s">
        <v>144</v>
      </c>
      <c r="J879" s="8" t="s">
        <v>145</v>
      </c>
      <c r="K879" s="153" t="s">
        <v>146</v>
      </c>
      <c r="L879" s="8" t="s">
        <v>6113</v>
      </c>
      <c r="N879" s="142"/>
      <c r="O879" s="142" t="s">
        <v>6073</v>
      </c>
      <c r="P879" s="142" t="s">
        <v>6198</v>
      </c>
      <c r="Q879" s="8" t="s">
        <v>151</v>
      </c>
      <c r="T879" s="8" t="s">
        <v>6204</v>
      </c>
      <c r="U879" s="8" t="s">
        <v>2111</v>
      </c>
      <c r="AB879" s="8" t="s">
        <v>2111</v>
      </c>
      <c r="AH879" s="8" t="s">
        <v>395</v>
      </c>
      <c r="AI879" s="172" t="s">
        <v>2873</v>
      </c>
    </row>
    <row r="880">
      <c r="A880" s="152">
        <v>2025.0</v>
      </c>
      <c r="B880" s="151">
        <v>37.0</v>
      </c>
      <c r="C880" s="153" t="s">
        <v>8189</v>
      </c>
      <c r="D880" s="153"/>
      <c r="E880" s="153" t="s">
        <v>8301</v>
      </c>
      <c r="F880" s="153" t="s">
        <v>6205</v>
      </c>
      <c r="G880" s="153">
        <f>IFERROR(__xludf.DUMMYFUNCTION("""COMPUTED_VALUE"""),400.0)</f>
        <v>400</v>
      </c>
      <c r="H880" s="153" t="s">
        <v>143</v>
      </c>
      <c r="I880" s="153" t="s">
        <v>144</v>
      </c>
      <c r="J880" s="153" t="s">
        <v>4284</v>
      </c>
      <c r="K880" s="153" t="s">
        <v>222</v>
      </c>
      <c r="L880" s="153" t="s">
        <v>384</v>
      </c>
      <c r="M880" s="153" t="s">
        <v>455</v>
      </c>
      <c r="N880" s="175" t="s">
        <v>6052</v>
      </c>
      <c r="O880" s="175" t="s">
        <v>6052</v>
      </c>
      <c r="P880" s="175" t="s">
        <v>6053</v>
      </c>
      <c r="Q880" s="153" t="s">
        <v>151</v>
      </c>
      <c r="R880" s="153" t="s">
        <v>6054</v>
      </c>
      <c r="S880" s="158" t="s">
        <v>6054</v>
      </c>
      <c r="T880" s="158" t="s">
        <v>149</v>
      </c>
      <c r="U880" s="153" t="s">
        <v>390</v>
      </c>
      <c r="V880" s="158" t="s">
        <v>160</v>
      </c>
      <c r="W880" s="158" t="s">
        <v>6035</v>
      </c>
      <c r="X880" s="158" t="s">
        <v>159</v>
      </c>
      <c r="Y880" s="158" t="s">
        <v>149</v>
      </c>
      <c r="Z880" s="158" t="s">
        <v>149</v>
      </c>
      <c r="AA880" s="153" t="s">
        <v>453</v>
      </c>
      <c r="AB880" s="153" t="s">
        <v>390</v>
      </c>
      <c r="AC880" s="153" t="s">
        <v>6035</v>
      </c>
      <c r="AD880" s="153" t="s">
        <v>6055</v>
      </c>
      <c r="AE880" s="153"/>
      <c r="AF880" s="153"/>
      <c r="AG880" s="158" t="s">
        <v>395</v>
      </c>
      <c r="AH880" s="153" t="s">
        <v>6060</v>
      </c>
      <c r="AI880" s="165" t="s">
        <v>397</v>
      </c>
      <c r="AJ880" s="153" t="s">
        <v>398</v>
      </c>
      <c r="AK880" s="153"/>
    </row>
    <row r="881">
      <c r="A881" s="152">
        <v>2024.0</v>
      </c>
      <c r="B881" s="294">
        <v>296.0</v>
      </c>
      <c r="C881" s="295"/>
      <c r="D881" s="295"/>
      <c r="E881" s="295" t="s">
        <v>8189</v>
      </c>
      <c r="F881" s="295" t="s">
        <v>8583</v>
      </c>
      <c r="G881" s="295">
        <f>IFERROR(__xludf.DUMMYFUNCTION("""COMPUTED_VALUE"""),401.0)</f>
        <v>401</v>
      </c>
      <c r="H881" s="295" t="s">
        <v>193</v>
      </c>
      <c r="I881" s="295" t="s">
        <v>194</v>
      </c>
      <c r="J881" s="295" t="s">
        <v>7114</v>
      </c>
      <c r="K881" s="295" t="s">
        <v>217</v>
      </c>
      <c r="L881" s="295" t="s">
        <v>3412</v>
      </c>
      <c r="M881" s="295"/>
      <c r="N881" s="296">
        <v>2014.0</v>
      </c>
      <c r="O881" s="296">
        <v>2014.0</v>
      </c>
      <c r="P881" s="296">
        <v>2016.0</v>
      </c>
      <c r="Q881" s="295" t="s">
        <v>6221</v>
      </c>
      <c r="R881" s="297" t="s">
        <v>149</v>
      </c>
      <c r="S881" s="297"/>
      <c r="T881" s="297" t="s">
        <v>149</v>
      </c>
      <c r="U881" s="295" t="s">
        <v>321</v>
      </c>
      <c r="V881" s="297" t="s">
        <v>160</v>
      </c>
      <c r="W881" s="297" t="s">
        <v>6035</v>
      </c>
      <c r="X881" s="297" t="s">
        <v>204</v>
      </c>
      <c r="Y881" s="297" t="s">
        <v>149</v>
      </c>
      <c r="Z881" s="297" t="s">
        <v>149</v>
      </c>
      <c r="AA881" s="297" t="s">
        <v>149</v>
      </c>
      <c r="AB881" s="295" t="s">
        <v>885</v>
      </c>
      <c r="AC881" s="297" t="s">
        <v>6068</v>
      </c>
      <c r="AD881" s="295" t="s">
        <v>1858</v>
      </c>
      <c r="AE881" s="295"/>
      <c r="AF881" s="295"/>
      <c r="AG881" s="297" t="s">
        <v>6069</v>
      </c>
      <c r="AH881" s="295" t="s">
        <v>1859</v>
      </c>
      <c r="AI881" s="295" t="s">
        <v>6070</v>
      </c>
      <c r="AJ881" s="295" t="s">
        <v>1861</v>
      </c>
      <c r="AK881" s="298" t="s">
        <v>1862</v>
      </c>
    </row>
    <row r="882">
      <c r="A882" s="152">
        <v>2023.0</v>
      </c>
      <c r="B882" s="151">
        <v>38.0</v>
      </c>
      <c r="C882" s="129" t="s">
        <v>140</v>
      </c>
      <c r="D882" s="8"/>
      <c r="E882" s="8" t="s">
        <v>8189</v>
      </c>
      <c r="F882" s="8" t="s">
        <v>8584</v>
      </c>
      <c r="G882" s="8">
        <f>IFERROR(__xludf.DUMMYFUNCTION("""COMPUTED_VALUE"""),402.0)</f>
        <v>402</v>
      </c>
      <c r="H882" s="8" t="s">
        <v>143</v>
      </c>
      <c r="I882" s="8" t="s">
        <v>144</v>
      </c>
      <c r="J882" s="8" t="s">
        <v>145</v>
      </c>
      <c r="K882" s="277" t="s">
        <v>146</v>
      </c>
      <c r="L882" s="8" t="s">
        <v>384</v>
      </c>
      <c r="M882" s="8" t="s">
        <v>452</v>
      </c>
      <c r="N882" s="142" t="s">
        <v>6052</v>
      </c>
      <c r="O882" s="142" t="s">
        <v>6052</v>
      </c>
      <c r="P882" s="142" t="s">
        <v>6053</v>
      </c>
      <c r="Q882" s="8" t="s">
        <v>151</v>
      </c>
      <c r="R882" s="8" t="s">
        <v>6054</v>
      </c>
      <c r="U882" s="8" t="s">
        <v>390</v>
      </c>
      <c r="AA882" s="8" t="s">
        <v>453</v>
      </c>
      <c r="AB882" s="8" t="s">
        <v>390</v>
      </c>
      <c r="AD882" s="8" t="s">
        <v>6055</v>
      </c>
      <c r="AF882" s="8" t="s">
        <v>6056</v>
      </c>
      <c r="AH882" s="8" t="s">
        <v>6057</v>
      </c>
      <c r="AI882" s="8" t="s">
        <v>2873</v>
      </c>
      <c r="AJ882" s="8" t="s">
        <v>398</v>
      </c>
    </row>
    <row r="883">
      <c r="A883" s="152">
        <v>2025.0</v>
      </c>
      <c r="B883" s="151">
        <v>38.0</v>
      </c>
      <c r="C883" s="153" t="s">
        <v>8189</v>
      </c>
      <c r="D883" s="153"/>
      <c r="E883" s="153" t="s">
        <v>707</v>
      </c>
      <c r="F883" s="153" t="s">
        <v>6207</v>
      </c>
      <c r="G883" s="153">
        <f>IFERROR(__xludf.DUMMYFUNCTION("""COMPUTED_VALUE"""),403.0)</f>
        <v>403</v>
      </c>
      <c r="H883" s="153" t="s">
        <v>143</v>
      </c>
      <c r="I883" s="153" t="s">
        <v>144</v>
      </c>
      <c r="J883" s="153" t="s">
        <v>4284</v>
      </c>
      <c r="K883" s="153" t="s">
        <v>222</v>
      </c>
      <c r="L883" s="153" t="s">
        <v>384</v>
      </c>
      <c r="M883" s="153" t="s">
        <v>457</v>
      </c>
      <c r="N883" s="175" t="s">
        <v>6053</v>
      </c>
      <c r="O883" s="175" t="s">
        <v>6052</v>
      </c>
      <c r="P883" s="175" t="s">
        <v>6053</v>
      </c>
      <c r="Q883" s="153" t="s">
        <v>151</v>
      </c>
      <c r="R883" s="153" t="s">
        <v>6054</v>
      </c>
      <c r="S883" s="158" t="s">
        <v>6054</v>
      </c>
      <c r="T883" s="158" t="s">
        <v>149</v>
      </c>
      <c r="U883" s="153" t="s">
        <v>390</v>
      </c>
      <c r="V883" s="158" t="s">
        <v>160</v>
      </c>
      <c r="W883" s="158" t="s">
        <v>6035</v>
      </c>
      <c r="X883" s="158" t="s">
        <v>159</v>
      </c>
      <c r="Y883" s="158" t="s">
        <v>149</v>
      </c>
      <c r="Z883" s="158" t="s">
        <v>149</v>
      </c>
      <c r="AA883" s="153" t="s">
        <v>391</v>
      </c>
      <c r="AB883" s="153" t="s">
        <v>390</v>
      </c>
      <c r="AC883" s="153" t="s">
        <v>6035</v>
      </c>
      <c r="AD883" s="153" t="s">
        <v>6055</v>
      </c>
      <c r="AE883" s="153"/>
      <c r="AF883" s="153"/>
      <c r="AG883" s="158" t="s">
        <v>395</v>
      </c>
      <c r="AH883" s="153" t="s">
        <v>6060</v>
      </c>
      <c r="AI883" s="165" t="s">
        <v>397</v>
      </c>
      <c r="AJ883" s="153" t="s">
        <v>398</v>
      </c>
      <c r="AK883" s="153"/>
    </row>
    <row r="884">
      <c r="A884" s="152">
        <v>2024.0</v>
      </c>
      <c r="B884" s="151">
        <v>297.0</v>
      </c>
      <c r="C884" s="153"/>
      <c r="D884" s="153"/>
      <c r="E884" s="153" t="s">
        <v>8189</v>
      </c>
      <c r="F884" s="153" t="s">
        <v>8585</v>
      </c>
      <c r="G884" s="153">
        <f>IFERROR(__xludf.DUMMYFUNCTION("""COMPUTED_VALUE"""),404.0)</f>
        <v>404</v>
      </c>
      <c r="H884" s="153" t="s">
        <v>193</v>
      </c>
      <c r="I884" s="153" t="s">
        <v>194</v>
      </c>
      <c r="J884" s="153" t="s">
        <v>7114</v>
      </c>
      <c r="K884" s="153" t="s">
        <v>217</v>
      </c>
      <c r="L884" s="153" t="s">
        <v>934</v>
      </c>
      <c r="M884" s="153"/>
      <c r="N884" s="230">
        <v>2001.0</v>
      </c>
      <c r="O884" s="230">
        <v>2001.0</v>
      </c>
      <c r="P884" s="230">
        <v>2005.0</v>
      </c>
      <c r="Q884" s="153" t="s">
        <v>6062</v>
      </c>
      <c r="R884" s="153" t="s">
        <v>3245</v>
      </c>
      <c r="S884" s="158" t="s">
        <v>179</v>
      </c>
      <c r="T884" s="153" t="s">
        <v>939</v>
      </c>
      <c r="U884" s="153" t="s">
        <v>940</v>
      </c>
      <c r="V884" s="158" t="s">
        <v>6154</v>
      </c>
      <c r="W884" s="158" t="s">
        <v>206</v>
      </c>
      <c r="X884" s="158" t="s">
        <v>204</v>
      </c>
      <c r="Y884" s="158" t="s">
        <v>149</v>
      </c>
      <c r="Z884" s="158" t="s">
        <v>149</v>
      </c>
      <c r="AA884" s="158" t="s">
        <v>149</v>
      </c>
      <c r="AB884" s="153" t="s">
        <v>233</v>
      </c>
      <c r="AC884" s="158" t="s">
        <v>6068</v>
      </c>
      <c r="AD884" s="153"/>
      <c r="AE884" s="153"/>
      <c r="AF884" s="153"/>
      <c r="AG884" s="158" t="s">
        <v>6214</v>
      </c>
      <c r="AH884" s="153" t="s">
        <v>941</v>
      </c>
      <c r="AI884" s="153" t="s">
        <v>942</v>
      </c>
      <c r="AJ884" s="153" t="s">
        <v>943</v>
      </c>
      <c r="AK884" s="153"/>
    </row>
    <row r="885">
      <c r="A885" s="152">
        <v>2023.0</v>
      </c>
      <c r="B885" s="151">
        <v>39.0</v>
      </c>
      <c r="C885" s="129" t="s">
        <v>140</v>
      </c>
      <c r="D885" s="8"/>
      <c r="E885" s="8" t="s">
        <v>8189</v>
      </c>
      <c r="F885" s="8" t="s">
        <v>8586</v>
      </c>
      <c r="G885" s="8">
        <f>IFERROR(__xludf.DUMMYFUNCTION("""COMPUTED_VALUE"""),405.0)</f>
        <v>405</v>
      </c>
      <c r="H885" s="8" t="s">
        <v>143</v>
      </c>
      <c r="I885" s="8" t="s">
        <v>144</v>
      </c>
      <c r="J885" s="8" t="s">
        <v>145</v>
      </c>
      <c r="K885" s="153" t="s">
        <v>146</v>
      </c>
      <c r="L885" s="8" t="s">
        <v>147</v>
      </c>
      <c r="N885" s="142" t="s">
        <v>6030</v>
      </c>
      <c r="O885" s="142"/>
      <c r="P885" s="142"/>
      <c r="Q885" s="8" t="s">
        <v>151</v>
      </c>
      <c r="AB885" s="8" t="s">
        <v>158</v>
      </c>
      <c r="AD885" s="8" t="s">
        <v>390</v>
      </c>
      <c r="AH885" s="8" t="s">
        <v>166</v>
      </c>
      <c r="AI885" s="8" t="s">
        <v>168</v>
      </c>
    </row>
    <row r="886">
      <c r="A886" s="152">
        <v>2025.0</v>
      </c>
      <c r="B886" s="151">
        <v>39.0</v>
      </c>
      <c r="C886" s="153" t="s">
        <v>8189</v>
      </c>
      <c r="D886" s="153"/>
      <c r="E886" s="153" t="s">
        <v>8301</v>
      </c>
      <c r="F886" s="153" t="s">
        <v>6209</v>
      </c>
      <c r="G886" s="153">
        <f>IFERROR(__xludf.DUMMYFUNCTION("""COMPUTED_VALUE"""),406.0)</f>
        <v>406</v>
      </c>
      <c r="H886" s="153" t="s">
        <v>143</v>
      </c>
      <c r="I886" s="153" t="s">
        <v>144</v>
      </c>
      <c r="J886" s="153" t="s">
        <v>4284</v>
      </c>
      <c r="K886" s="153" t="s">
        <v>222</v>
      </c>
      <c r="L886" s="158" t="s">
        <v>149</v>
      </c>
      <c r="M886" s="153" t="s">
        <v>2897</v>
      </c>
      <c r="N886" s="175" t="s">
        <v>6210</v>
      </c>
      <c r="O886" s="175" t="s">
        <v>6210</v>
      </c>
      <c r="P886" s="175" t="s">
        <v>6211</v>
      </c>
      <c r="Q886" s="153" t="s">
        <v>3324</v>
      </c>
      <c r="R886" s="158" t="s">
        <v>2899</v>
      </c>
      <c r="S886" s="158" t="s">
        <v>2899</v>
      </c>
      <c r="T886" s="153" t="s">
        <v>8587</v>
      </c>
      <c r="U886" s="153" t="s">
        <v>2833</v>
      </c>
      <c r="V886" s="158" t="s">
        <v>160</v>
      </c>
      <c r="W886" s="158" t="s">
        <v>6035</v>
      </c>
      <c r="X886" s="158" t="s">
        <v>204</v>
      </c>
      <c r="Y886" s="158" t="s">
        <v>149</v>
      </c>
      <c r="Z886" s="158" t="s">
        <v>149</v>
      </c>
      <c r="AA886" s="158" t="s">
        <v>149</v>
      </c>
      <c r="AB886" s="153" t="s">
        <v>233</v>
      </c>
      <c r="AC886" s="158" t="s">
        <v>6068</v>
      </c>
      <c r="AD886" s="153" t="s">
        <v>2901</v>
      </c>
      <c r="AE886" s="153"/>
      <c r="AF886" s="153"/>
      <c r="AG886" s="158" t="s">
        <v>6214</v>
      </c>
      <c r="AH886" s="153" t="s">
        <v>2902</v>
      </c>
      <c r="AI886" s="165" t="s">
        <v>6215</v>
      </c>
      <c r="AJ886" s="153" t="s">
        <v>2904</v>
      </c>
      <c r="AK886" s="153"/>
    </row>
    <row r="887">
      <c r="A887" s="152">
        <v>2024.0</v>
      </c>
      <c r="B887" s="151">
        <v>298.0</v>
      </c>
      <c r="C887" s="153"/>
      <c r="D887" s="153"/>
      <c r="E887" s="153" t="s">
        <v>8189</v>
      </c>
      <c r="F887" s="153" t="s">
        <v>8588</v>
      </c>
      <c r="G887" s="153">
        <f>IFERROR(__xludf.DUMMYFUNCTION("""COMPUTED_VALUE"""),407.0)</f>
        <v>407</v>
      </c>
      <c r="H887" s="153" t="s">
        <v>193</v>
      </c>
      <c r="I887" s="153" t="s">
        <v>194</v>
      </c>
      <c r="J887" s="153" t="s">
        <v>7114</v>
      </c>
      <c r="K887" s="153" t="s">
        <v>217</v>
      </c>
      <c r="L887" s="153" t="s">
        <v>6235</v>
      </c>
      <c r="M887" s="153" t="s">
        <v>218</v>
      </c>
      <c r="N887" s="230">
        <v>2024.0</v>
      </c>
      <c r="O887" s="230">
        <v>2021.0</v>
      </c>
      <c r="P887" s="192">
        <v>2025.0</v>
      </c>
      <c r="Q887" s="153" t="s">
        <v>6221</v>
      </c>
      <c r="R887" s="158" t="s">
        <v>201</v>
      </c>
      <c r="S887" s="158" t="s">
        <v>224</v>
      </c>
      <c r="T887" s="153" t="s">
        <v>202</v>
      </c>
      <c r="U887" s="153" t="s">
        <v>203</v>
      </c>
      <c r="V887" s="158" t="s">
        <v>6154</v>
      </c>
      <c r="W887" s="158" t="s">
        <v>206</v>
      </c>
      <c r="X887" s="158" t="s">
        <v>204</v>
      </c>
      <c r="Y887" s="158" t="s">
        <v>149</v>
      </c>
      <c r="Z887" s="158" t="s">
        <v>149</v>
      </c>
      <c r="AA887" s="158" t="s">
        <v>149</v>
      </c>
      <c r="AB887" s="153" t="s">
        <v>208</v>
      </c>
      <c r="AC887" s="158" t="s">
        <v>6068</v>
      </c>
      <c r="AD887" s="153" t="s">
        <v>7208</v>
      </c>
      <c r="AE887" s="153" t="s">
        <v>212</v>
      </c>
      <c r="AF887" s="153"/>
      <c r="AG887" s="153" t="s">
        <v>214</v>
      </c>
      <c r="AH887" s="153" t="s">
        <v>214</v>
      </c>
      <c r="AI887" s="153"/>
      <c r="AJ887" s="153"/>
      <c r="AK887" s="153"/>
    </row>
    <row r="888">
      <c r="A888" s="152">
        <v>2023.0</v>
      </c>
      <c r="B888" s="151">
        <v>40.0</v>
      </c>
      <c r="C888" s="129" t="s">
        <v>140</v>
      </c>
      <c r="D888" s="8"/>
      <c r="E888" s="8" t="s">
        <v>8189</v>
      </c>
      <c r="F888" s="8" t="s">
        <v>8589</v>
      </c>
      <c r="G888" s="8">
        <f>IFERROR(__xludf.DUMMYFUNCTION("""COMPUTED_VALUE"""),408.0)</f>
        <v>408</v>
      </c>
      <c r="H888" s="8" t="s">
        <v>143</v>
      </c>
      <c r="I888" s="8" t="s">
        <v>144</v>
      </c>
      <c r="J888" s="8" t="s">
        <v>4284</v>
      </c>
      <c r="K888" s="277" t="s">
        <v>222</v>
      </c>
      <c r="L888" s="8" t="s">
        <v>384</v>
      </c>
      <c r="M888" s="8" t="s">
        <v>2855</v>
      </c>
      <c r="N888" s="278" t="s">
        <v>6169</v>
      </c>
      <c r="O888" s="142" t="s">
        <v>6052</v>
      </c>
      <c r="P888" s="142" t="s">
        <v>6053</v>
      </c>
      <c r="Q888" s="8" t="s">
        <v>151</v>
      </c>
      <c r="U888" s="8" t="s">
        <v>390</v>
      </c>
      <c r="AA888" s="8" t="s">
        <v>2853</v>
      </c>
      <c r="AB888" s="8" t="s">
        <v>390</v>
      </c>
      <c r="AD888" s="8" t="s">
        <v>6055</v>
      </c>
      <c r="AE888" s="8" t="s">
        <v>6201</v>
      </c>
      <c r="AH888" s="8" t="s">
        <v>6057</v>
      </c>
      <c r="AI888" s="8" t="s">
        <v>2873</v>
      </c>
      <c r="AJ888" s="8" t="s">
        <v>398</v>
      </c>
      <c r="AL888" s="8" t="s">
        <v>6109</v>
      </c>
    </row>
    <row r="889">
      <c r="A889" s="152">
        <v>2025.0</v>
      </c>
      <c r="B889" s="151">
        <v>40.0</v>
      </c>
      <c r="C889" s="153" t="s">
        <v>8189</v>
      </c>
      <c r="D889" s="153"/>
      <c r="E889" s="153" t="s">
        <v>8301</v>
      </c>
      <c r="F889" s="153" t="s">
        <v>6218</v>
      </c>
      <c r="G889" s="153">
        <f>IFERROR(__xludf.DUMMYFUNCTION("""COMPUTED_VALUE"""),409.0)</f>
        <v>409</v>
      </c>
      <c r="H889" s="153" t="s">
        <v>143</v>
      </c>
      <c r="I889" s="153" t="s">
        <v>144</v>
      </c>
      <c r="J889" s="153" t="s">
        <v>4284</v>
      </c>
      <c r="K889" s="153" t="s">
        <v>222</v>
      </c>
      <c r="L889" s="153" t="s">
        <v>1683</v>
      </c>
      <c r="M889" s="153" t="s">
        <v>223</v>
      </c>
      <c r="N889" s="160" t="s">
        <v>6268</v>
      </c>
      <c r="O889" s="175" t="s">
        <v>6063</v>
      </c>
      <c r="P889" s="175" t="s">
        <v>6064</v>
      </c>
      <c r="Q889" s="153" t="s">
        <v>6062</v>
      </c>
      <c r="R889" s="153" t="s">
        <v>320</v>
      </c>
      <c r="S889" s="158" t="s">
        <v>179</v>
      </c>
      <c r="T889" s="158" t="s">
        <v>149</v>
      </c>
      <c r="U889" s="153" t="s">
        <v>321</v>
      </c>
      <c r="V889" s="158" t="s">
        <v>160</v>
      </c>
      <c r="W889" s="158" t="s">
        <v>6035</v>
      </c>
      <c r="X889" s="158" t="s">
        <v>159</v>
      </c>
      <c r="Y889" s="158" t="s">
        <v>149</v>
      </c>
      <c r="Z889" s="158" t="s">
        <v>149</v>
      </c>
      <c r="AA889" s="153" t="s">
        <v>1698</v>
      </c>
      <c r="AB889" s="153" t="s">
        <v>1699</v>
      </c>
      <c r="AC889" s="158" t="s">
        <v>6068</v>
      </c>
      <c r="AD889" s="153" t="s">
        <v>1700</v>
      </c>
      <c r="AE889" s="153"/>
      <c r="AF889" s="153"/>
      <c r="AG889" s="158" t="s">
        <v>6069</v>
      </c>
      <c r="AH889" s="153" t="s">
        <v>1300</v>
      </c>
      <c r="AI889" s="153" t="s">
        <v>6070</v>
      </c>
      <c r="AJ889" s="153"/>
      <c r="AK889" s="153"/>
    </row>
    <row r="890">
      <c r="A890" s="152">
        <v>2024.0</v>
      </c>
      <c r="B890" s="151">
        <v>299.0</v>
      </c>
      <c r="C890" s="153"/>
      <c r="D890" s="153"/>
      <c r="E890" s="153" t="s">
        <v>8189</v>
      </c>
      <c r="F890" s="153" t="s">
        <v>8590</v>
      </c>
      <c r="G890" s="153">
        <f>IFERROR(__xludf.DUMMYFUNCTION("""COMPUTED_VALUE"""),410.0)</f>
        <v>410</v>
      </c>
      <c r="H890" s="153" t="s">
        <v>193</v>
      </c>
      <c r="I890" s="153" t="s">
        <v>194</v>
      </c>
      <c r="J890" s="153" t="s">
        <v>568</v>
      </c>
      <c r="K890" s="153" t="s">
        <v>569</v>
      </c>
      <c r="L890" s="153" t="s">
        <v>384</v>
      </c>
      <c r="M890" s="153" t="s">
        <v>570</v>
      </c>
      <c r="N890" s="230">
        <v>1986.0</v>
      </c>
      <c r="O890" s="230">
        <v>1985.0</v>
      </c>
      <c r="P890" s="230">
        <v>1987.0</v>
      </c>
      <c r="Q890" s="153" t="s">
        <v>151</v>
      </c>
      <c r="R890" s="153" t="s">
        <v>6054</v>
      </c>
      <c r="S890" s="158" t="s">
        <v>6054</v>
      </c>
      <c r="T890" s="158" t="s">
        <v>149</v>
      </c>
      <c r="U890" s="153" t="s">
        <v>390</v>
      </c>
      <c r="V890" s="158" t="s">
        <v>160</v>
      </c>
      <c r="W890" s="158" t="s">
        <v>6035</v>
      </c>
      <c r="X890" s="158" t="s">
        <v>159</v>
      </c>
      <c r="Y890" s="158" t="s">
        <v>149</v>
      </c>
      <c r="Z890" s="158" t="s">
        <v>149</v>
      </c>
      <c r="AA890" s="153" t="s">
        <v>571</v>
      </c>
      <c r="AB890" s="153" t="s">
        <v>390</v>
      </c>
      <c r="AC890" s="153" t="s">
        <v>6035</v>
      </c>
      <c r="AD890" s="153" t="s">
        <v>6055</v>
      </c>
      <c r="AE890" s="153"/>
      <c r="AF890" s="153"/>
      <c r="AG890" s="158" t="s">
        <v>395</v>
      </c>
      <c r="AH890" s="153" t="s">
        <v>6060</v>
      </c>
      <c r="AI890" s="153" t="s">
        <v>2873</v>
      </c>
      <c r="AJ890" s="153" t="s">
        <v>398</v>
      </c>
      <c r="AK890" s="153"/>
    </row>
    <row r="891">
      <c r="A891" s="152">
        <v>2023.0</v>
      </c>
      <c r="B891" s="151">
        <v>41.0</v>
      </c>
      <c r="C891" s="129" t="s">
        <v>140</v>
      </c>
      <c r="D891" s="8"/>
      <c r="E891" s="8" t="s">
        <v>8189</v>
      </c>
      <c r="F891" s="8" t="s">
        <v>6219</v>
      </c>
      <c r="G891" s="8">
        <f>IFERROR(__xludf.DUMMYFUNCTION("""COMPUTED_VALUE"""),411.0)</f>
        <v>411</v>
      </c>
      <c r="H891" s="8" t="s">
        <v>143</v>
      </c>
      <c r="I891" s="8" t="s">
        <v>144</v>
      </c>
      <c r="J891" s="8" t="s">
        <v>4284</v>
      </c>
      <c r="K891" s="277" t="s">
        <v>222</v>
      </c>
      <c r="L891" s="8" t="s">
        <v>384</v>
      </c>
      <c r="M891" s="8" t="s">
        <v>455</v>
      </c>
      <c r="N891" s="142" t="s">
        <v>6052</v>
      </c>
      <c r="O891" s="142" t="s">
        <v>6052</v>
      </c>
      <c r="P891" s="142" t="s">
        <v>6053</v>
      </c>
      <c r="Q891" s="8" t="s">
        <v>151</v>
      </c>
      <c r="R891" s="8" t="s">
        <v>6054</v>
      </c>
      <c r="U891" s="8" t="s">
        <v>390</v>
      </c>
      <c r="AA891" s="8" t="s">
        <v>453</v>
      </c>
      <c r="AB891" s="8" t="s">
        <v>390</v>
      </c>
      <c r="AD891" s="8" t="s">
        <v>6055</v>
      </c>
      <c r="AH891" s="8" t="s">
        <v>6057</v>
      </c>
      <c r="AI891" s="8" t="s">
        <v>2873</v>
      </c>
      <c r="AJ891" s="8" t="s">
        <v>398</v>
      </c>
    </row>
    <row r="892">
      <c r="A892" s="152">
        <v>2025.0</v>
      </c>
      <c r="B892" s="151">
        <v>41.0</v>
      </c>
      <c r="C892" s="153" t="s">
        <v>8189</v>
      </c>
      <c r="D892" s="153"/>
      <c r="E892" s="153" t="s">
        <v>8301</v>
      </c>
      <c r="F892" s="153" t="s">
        <v>6220</v>
      </c>
      <c r="G892" s="153">
        <f>IFERROR(__xludf.DUMMYFUNCTION("""COMPUTED_VALUE"""),412.0)</f>
        <v>412</v>
      </c>
      <c r="H892" s="153" t="s">
        <v>143</v>
      </c>
      <c r="I892" s="153" t="s">
        <v>144</v>
      </c>
      <c r="J892" s="153" t="s">
        <v>4284</v>
      </c>
      <c r="K892" s="153" t="s">
        <v>222</v>
      </c>
      <c r="L892" s="153" t="s">
        <v>6235</v>
      </c>
      <c r="M892" s="153" t="s">
        <v>223</v>
      </c>
      <c r="N892" s="175" t="s">
        <v>6098</v>
      </c>
      <c r="O892" s="160" t="s">
        <v>149</v>
      </c>
      <c r="P892" s="160" t="s">
        <v>149</v>
      </c>
      <c r="Q892" s="153" t="s">
        <v>6221</v>
      </c>
      <c r="R892" s="158" t="s">
        <v>200</v>
      </c>
      <c r="S892" s="158" t="s">
        <v>224</v>
      </c>
      <c r="T892" s="158" t="s">
        <v>225</v>
      </c>
      <c r="U892" s="153" t="s">
        <v>203</v>
      </c>
      <c r="V892" s="158" t="s">
        <v>6154</v>
      </c>
      <c r="W892" s="158" t="s">
        <v>206</v>
      </c>
      <c r="X892" s="158" t="s">
        <v>159</v>
      </c>
      <c r="Y892" s="158" t="s">
        <v>149</v>
      </c>
      <c r="Z892" s="158" t="s">
        <v>149</v>
      </c>
      <c r="AA892" s="158" t="s">
        <v>149</v>
      </c>
      <c r="AB892" s="153" t="s">
        <v>226</v>
      </c>
      <c r="AC892" s="158" t="s">
        <v>6068</v>
      </c>
      <c r="AD892" s="153" t="s">
        <v>228</v>
      </c>
      <c r="AE892" s="153"/>
      <c r="AF892" s="153" t="s">
        <v>208</v>
      </c>
      <c r="AG892" s="153" t="s">
        <v>214</v>
      </c>
      <c r="AH892" s="153" t="s">
        <v>214</v>
      </c>
      <c r="AI892" s="153"/>
      <c r="AJ892" s="153"/>
      <c r="AK892" s="153"/>
    </row>
    <row r="893">
      <c r="A893" s="152">
        <v>2024.0</v>
      </c>
      <c r="B893" s="151">
        <v>300.0</v>
      </c>
      <c r="C893" s="153"/>
      <c r="D893" s="153"/>
      <c r="E893" s="153" t="s">
        <v>8189</v>
      </c>
      <c r="F893" s="153" t="s">
        <v>8591</v>
      </c>
      <c r="G893" s="153">
        <f>IFERROR(__xludf.DUMMYFUNCTION("""COMPUTED_VALUE"""),413.0)</f>
        <v>413</v>
      </c>
      <c r="H893" s="153" t="s">
        <v>193</v>
      </c>
      <c r="I893" s="153" t="s">
        <v>194</v>
      </c>
      <c r="J893" s="153" t="s">
        <v>5384</v>
      </c>
      <c r="K893" s="153" t="s">
        <v>2314</v>
      </c>
      <c r="L893" s="158" t="s">
        <v>149</v>
      </c>
      <c r="M893" s="153"/>
      <c r="N893" s="230">
        <v>1990.0</v>
      </c>
      <c r="O893" s="192" t="s">
        <v>149</v>
      </c>
      <c r="P893" s="192" t="s">
        <v>149</v>
      </c>
      <c r="Q893" s="153" t="s">
        <v>151</v>
      </c>
      <c r="R893" s="153" t="s">
        <v>6054</v>
      </c>
      <c r="S893" s="158" t="s">
        <v>6054</v>
      </c>
      <c r="T893" s="153" t="s">
        <v>6506</v>
      </c>
      <c r="U893" s="158" t="s">
        <v>149</v>
      </c>
      <c r="V893" s="158" t="s">
        <v>149</v>
      </c>
      <c r="W893" s="158" t="s">
        <v>149</v>
      </c>
      <c r="X893" s="158" t="s">
        <v>149</v>
      </c>
      <c r="Y893" s="158" t="s">
        <v>149</v>
      </c>
      <c r="Z893" s="158" t="s">
        <v>149</v>
      </c>
      <c r="AA893" s="158" t="s">
        <v>149</v>
      </c>
      <c r="AB893" s="153" t="s">
        <v>2304</v>
      </c>
      <c r="AC893" s="158" t="s">
        <v>184</v>
      </c>
      <c r="AD893" s="153"/>
      <c r="AE893" s="153" t="s">
        <v>6507</v>
      </c>
      <c r="AF893" s="153"/>
      <c r="AG893" s="158" t="s">
        <v>395</v>
      </c>
      <c r="AH893" s="153" t="s">
        <v>6060</v>
      </c>
      <c r="AI893" s="153" t="s">
        <v>2873</v>
      </c>
      <c r="AJ893" s="153" t="s">
        <v>398</v>
      </c>
      <c r="AK893" s="153"/>
    </row>
    <row r="894">
      <c r="A894" s="152">
        <v>2023.0</v>
      </c>
      <c r="B894" s="151">
        <v>42.0</v>
      </c>
      <c r="C894" s="129" t="s">
        <v>140</v>
      </c>
      <c r="D894" s="8"/>
      <c r="E894" s="8" t="s">
        <v>8189</v>
      </c>
      <c r="F894" s="8" t="s">
        <v>6222</v>
      </c>
      <c r="G894" s="8">
        <f>IFERROR(__xludf.DUMMYFUNCTION("""COMPUTED_VALUE"""),414.0)</f>
        <v>414</v>
      </c>
      <c r="H894" s="8" t="s">
        <v>143</v>
      </c>
      <c r="I894" s="8" t="s">
        <v>144</v>
      </c>
      <c r="J894" s="8" t="s">
        <v>4284</v>
      </c>
      <c r="K894" s="277" t="s">
        <v>222</v>
      </c>
      <c r="L894" s="8" t="s">
        <v>384</v>
      </c>
      <c r="M894" s="8" t="s">
        <v>457</v>
      </c>
      <c r="N894" s="142" t="s">
        <v>6053</v>
      </c>
      <c r="O894" s="142" t="s">
        <v>6052</v>
      </c>
      <c r="P894" s="142" t="s">
        <v>6053</v>
      </c>
      <c r="Q894" s="8" t="s">
        <v>151</v>
      </c>
      <c r="R894" s="8" t="s">
        <v>6054</v>
      </c>
      <c r="U894" s="8" t="s">
        <v>390</v>
      </c>
      <c r="AA894" s="8" t="s">
        <v>391</v>
      </c>
      <c r="AB894" s="8" t="s">
        <v>390</v>
      </c>
      <c r="AD894" s="8" t="s">
        <v>6055</v>
      </c>
      <c r="AH894" s="8" t="s">
        <v>6057</v>
      </c>
      <c r="AI894" s="8" t="s">
        <v>2873</v>
      </c>
      <c r="AJ894" s="8" t="s">
        <v>398</v>
      </c>
    </row>
    <row r="895">
      <c r="A895" s="152">
        <v>2025.0</v>
      </c>
      <c r="B895" s="151">
        <v>42.0</v>
      </c>
      <c r="C895" s="153" t="s">
        <v>8189</v>
      </c>
      <c r="D895" s="153"/>
      <c r="E895" s="153" t="s">
        <v>8301</v>
      </c>
      <c r="F895" s="153" t="s">
        <v>6223</v>
      </c>
      <c r="G895" s="153">
        <f>IFERROR(__xludf.DUMMYFUNCTION("""COMPUTED_VALUE"""),415.0)</f>
        <v>415</v>
      </c>
      <c r="H895" s="153" t="s">
        <v>143</v>
      </c>
      <c r="I895" s="153" t="s">
        <v>144</v>
      </c>
      <c r="J895" s="153" t="s">
        <v>4284</v>
      </c>
      <c r="K895" s="153" t="s">
        <v>222</v>
      </c>
      <c r="L895" s="158" t="s">
        <v>1776</v>
      </c>
      <c r="M895" s="158" t="s">
        <v>223</v>
      </c>
      <c r="N895" s="160" t="s">
        <v>6152</v>
      </c>
      <c r="O895" s="160" t="s">
        <v>149</v>
      </c>
      <c r="P895" s="160" t="s">
        <v>149</v>
      </c>
      <c r="Q895" s="153" t="s">
        <v>6062</v>
      </c>
      <c r="R895" s="158" t="s">
        <v>320</v>
      </c>
      <c r="S895" s="158" t="s">
        <v>179</v>
      </c>
      <c r="T895" s="158" t="s">
        <v>149</v>
      </c>
      <c r="U895" s="158" t="s">
        <v>1777</v>
      </c>
      <c r="V895" s="158" t="s">
        <v>160</v>
      </c>
      <c r="W895" s="158" t="s">
        <v>184</v>
      </c>
      <c r="X895" s="158" t="s">
        <v>159</v>
      </c>
      <c r="Y895" s="158" t="s">
        <v>149</v>
      </c>
      <c r="Z895" s="158" t="s">
        <v>149</v>
      </c>
      <c r="AA895" s="158" t="s">
        <v>6224</v>
      </c>
      <c r="AB895" s="153" t="s">
        <v>228</v>
      </c>
      <c r="AC895" s="153" t="s">
        <v>6035</v>
      </c>
      <c r="AD895" s="153" t="s">
        <v>8592</v>
      </c>
      <c r="AE895" s="153" t="s">
        <v>8593</v>
      </c>
      <c r="AF895" s="153"/>
      <c r="AG895" s="158" t="s">
        <v>6069</v>
      </c>
      <c r="AH895" s="153" t="s">
        <v>1300</v>
      </c>
      <c r="AI895" s="153" t="s">
        <v>6070</v>
      </c>
      <c r="AJ895" s="153"/>
      <c r="AK895" s="153"/>
    </row>
    <row r="896">
      <c r="A896" s="152">
        <v>2024.0</v>
      </c>
      <c r="B896" s="151">
        <v>301.0</v>
      </c>
      <c r="C896" s="153"/>
      <c r="D896" s="153"/>
      <c r="E896" s="153" t="s">
        <v>8189</v>
      </c>
      <c r="F896" s="153" t="s">
        <v>8594</v>
      </c>
      <c r="G896" s="153">
        <f>IFERROR(__xludf.DUMMYFUNCTION("""COMPUTED_VALUE"""),416.0)</f>
        <v>416</v>
      </c>
      <c r="H896" s="153" t="s">
        <v>193</v>
      </c>
      <c r="I896" s="153" t="s">
        <v>194</v>
      </c>
      <c r="J896" s="153" t="s">
        <v>1587</v>
      </c>
      <c r="K896" s="153" t="s">
        <v>1588</v>
      </c>
      <c r="L896" s="153" t="s">
        <v>7217</v>
      </c>
      <c r="M896" s="153" t="s">
        <v>1590</v>
      </c>
      <c r="N896" s="230">
        <v>2022.0</v>
      </c>
      <c r="O896" s="230">
        <v>2022.0</v>
      </c>
      <c r="P896" s="192" t="s">
        <v>149</v>
      </c>
      <c r="Q896" s="153" t="s">
        <v>151</v>
      </c>
      <c r="R896" s="153" t="s">
        <v>1592</v>
      </c>
      <c r="S896" s="158" t="s">
        <v>1592</v>
      </c>
      <c r="T896" s="153" t="s">
        <v>1593</v>
      </c>
      <c r="U896" s="153" t="s">
        <v>1594</v>
      </c>
      <c r="V896" s="158" t="s">
        <v>160</v>
      </c>
      <c r="W896" s="158" t="s">
        <v>6035</v>
      </c>
      <c r="X896" s="158" t="s">
        <v>159</v>
      </c>
      <c r="Y896" s="244" t="s">
        <v>7218</v>
      </c>
      <c r="Z896" s="153" t="s">
        <v>7219</v>
      </c>
      <c r="AA896" s="153" t="s">
        <v>1597</v>
      </c>
      <c r="AB896" s="153" t="s">
        <v>1598</v>
      </c>
      <c r="AC896" s="153" t="s">
        <v>6035</v>
      </c>
      <c r="AD896" s="153"/>
      <c r="AE896" s="153" t="s">
        <v>1599</v>
      </c>
      <c r="AF896" s="153" t="s">
        <v>1600</v>
      </c>
      <c r="AG896" s="158" t="s">
        <v>166</v>
      </c>
      <c r="AH896" s="153" t="s">
        <v>1601</v>
      </c>
      <c r="AI896" s="172" t="s">
        <v>1602</v>
      </c>
      <c r="AJ896" s="153"/>
      <c r="AK896" s="153"/>
    </row>
    <row r="897">
      <c r="A897" s="152">
        <v>2023.0</v>
      </c>
      <c r="B897" s="151">
        <v>43.0</v>
      </c>
      <c r="C897" s="129" t="s">
        <v>140</v>
      </c>
      <c r="D897" s="8"/>
      <c r="E897" s="8" t="s">
        <v>8189</v>
      </c>
      <c r="F897" s="8" t="s">
        <v>6227</v>
      </c>
      <c r="G897" s="8">
        <f>IFERROR(__xludf.DUMMYFUNCTION("""COMPUTED_VALUE"""),417.0)</f>
        <v>417</v>
      </c>
      <c r="H897" s="8" t="s">
        <v>143</v>
      </c>
      <c r="I897" s="8" t="s">
        <v>144</v>
      </c>
      <c r="J897" s="8" t="s">
        <v>4284</v>
      </c>
      <c r="K897" s="153" t="s">
        <v>222</v>
      </c>
      <c r="L897" s="8" t="s">
        <v>6113</v>
      </c>
      <c r="M897" s="8" t="s">
        <v>8098</v>
      </c>
      <c r="N897" s="142" t="s">
        <v>6210</v>
      </c>
      <c r="O897" s="142" t="s">
        <v>6210</v>
      </c>
      <c r="P897" s="142" t="s">
        <v>6211</v>
      </c>
      <c r="Q897" s="8" t="s">
        <v>3324</v>
      </c>
      <c r="T897" s="8" t="s">
        <v>204</v>
      </c>
      <c r="U897" s="8" t="s">
        <v>8099</v>
      </c>
      <c r="AB897" s="8" t="s">
        <v>233</v>
      </c>
      <c r="AD897" s="8" t="s">
        <v>2901</v>
      </c>
      <c r="AH897" s="8" t="s">
        <v>6214</v>
      </c>
      <c r="AI897" s="172" t="s">
        <v>6215</v>
      </c>
      <c r="AJ897" s="8" t="s">
        <v>2904</v>
      </c>
    </row>
    <row r="898">
      <c r="A898" s="152">
        <v>2025.0</v>
      </c>
      <c r="B898" s="151">
        <v>43.0</v>
      </c>
      <c r="C898" s="153" t="s">
        <v>8189</v>
      </c>
      <c r="D898" s="153"/>
      <c r="E898" s="153" t="s">
        <v>8301</v>
      </c>
      <c r="F898" s="153" t="s">
        <v>6228</v>
      </c>
      <c r="G898" s="153">
        <f>IFERROR(__xludf.DUMMYFUNCTION("""COMPUTED_VALUE"""),418.0)</f>
        <v>418</v>
      </c>
      <c r="H898" s="153" t="s">
        <v>143</v>
      </c>
      <c r="I898" s="153" t="s">
        <v>144</v>
      </c>
      <c r="J898" s="153" t="s">
        <v>4284</v>
      </c>
      <c r="K898" s="153" t="s">
        <v>222</v>
      </c>
      <c r="L898" s="153" t="s">
        <v>934</v>
      </c>
      <c r="M898" s="153"/>
      <c r="N898" s="175" t="s">
        <v>6229</v>
      </c>
      <c r="O898" s="175" t="s">
        <v>6229</v>
      </c>
      <c r="P898" s="175" t="s">
        <v>6230</v>
      </c>
      <c r="Q898" s="153" t="s">
        <v>6062</v>
      </c>
      <c r="R898" s="153" t="s">
        <v>3245</v>
      </c>
      <c r="S898" s="158" t="s">
        <v>179</v>
      </c>
      <c r="T898" s="153" t="s">
        <v>939</v>
      </c>
      <c r="U898" s="153" t="s">
        <v>940</v>
      </c>
      <c r="V898" s="158" t="s">
        <v>160</v>
      </c>
      <c r="W898" s="158" t="s">
        <v>206</v>
      </c>
      <c r="X898" s="158" t="s">
        <v>159</v>
      </c>
      <c r="Y898" s="158" t="s">
        <v>149</v>
      </c>
      <c r="Z898" s="158" t="s">
        <v>149</v>
      </c>
      <c r="AA898" s="158" t="s">
        <v>149</v>
      </c>
      <c r="AB898" s="153" t="s">
        <v>233</v>
      </c>
      <c r="AC898" s="158" t="s">
        <v>6068</v>
      </c>
      <c r="AD898" s="153"/>
      <c r="AE898" s="153"/>
      <c r="AF898" s="153"/>
      <c r="AG898" s="158" t="s">
        <v>6214</v>
      </c>
      <c r="AH898" s="153" t="s">
        <v>941</v>
      </c>
      <c r="AI898" s="165" t="s">
        <v>942</v>
      </c>
      <c r="AJ898" s="153" t="s">
        <v>943</v>
      </c>
      <c r="AK898" s="153"/>
    </row>
    <row r="899">
      <c r="A899" s="152">
        <v>2024.0</v>
      </c>
      <c r="B899" s="151">
        <v>302.0</v>
      </c>
      <c r="C899" s="153"/>
      <c r="D899" s="153"/>
      <c r="E899" s="153" t="s">
        <v>8189</v>
      </c>
      <c r="F899" s="153" t="s">
        <v>8595</v>
      </c>
      <c r="G899" s="153">
        <f>IFERROR(__xludf.DUMMYFUNCTION("""COMPUTED_VALUE"""),419.0)</f>
        <v>419</v>
      </c>
      <c r="H899" s="153" t="s">
        <v>193</v>
      </c>
      <c r="I899" s="153" t="s">
        <v>194</v>
      </c>
      <c r="J899" s="153" t="s">
        <v>969</v>
      </c>
      <c r="K899" s="153" t="s">
        <v>970</v>
      </c>
      <c r="L899" s="158" t="s">
        <v>149</v>
      </c>
      <c r="M899" s="153" t="s">
        <v>7222</v>
      </c>
      <c r="N899" s="230">
        <v>2000.0</v>
      </c>
      <c r="O899" s="192" t="s">
        <v>149</v>
      </c>
      <c r="P899" s="192" t="s">
        <v>149</v>
      </c>
      <c r="Q899" s="153" t="s">
        <v>6062</v>
      </c>
      <c r="R899" s="153" t="s">
        <v>320</v>
      </c>
      <c r="S899" s="158" t="s">
        <v>179</v>
      </c>
      <c r="T899" s="158" t="s">
        <v>2397</v>
      </c>
      <c r="U899" s="158" t="s">
        <v>149</v>
      </c>
      <c r="V899" s="158" t="s">
        <v>149</v>
      </c>
      <c r="W899" s="158" t="s">
        <v>149</v>
      </c>
      <c r="X899" s="158" t="s">
        <v>159</v>
      </c>
      <c r="Y899" s="158" t="s">
        <v>149</v>
      </c>
      <c r="Z899" s="153" t="s">
        <v>7223</v>
      </c>
      <c r="AA899" s="153" t="s">
        <v>2399</v>
      </c>
      <c r="AB899" s="153" t="s">
        <v>2400</v>
      </c>
      <c r="AC899" s="158" t="s">
        <v>306</v>
      </c>
      <c r="AD899" s="153"/>
      <c r="AE899" s="153"/>
      <c r="AF899" s="158" t="s">
        <v>2401</v>
      </c>
      <c r="AG899" s="158" t="s">
        <v>7149</v>
      </c>
      <c r="AH899" s="153" t="s">
        <v>2402</v>
      </c>
      <c r="AI899" s="172" t="s">
        <v>2403</v>
      </c>
      <c r="AJ899" s="153" t="s">
        <v>2404</v>
      </c>
      <c r="AK899" s="153"/>
    </row>
    <row r="900">
      <c r="A900" s="152">
        <v>2023.0</v>
      </c>
      <c r="B900" s="151">
        <v>44.0</v>
      </c>
      <c r="C900" s="129" t="s">
        <v>140</v>
      </c>
      <c r="D900" s="8"/>
      <c r="E900" s="8" t="s">
        <v>8189</v>
      </c>
      <c r="F900" s="8" t="s">
        <v>8596</v>
      </c>
      <c r="G900" s="8">
        <f>IFERROR(__xludf.DUMMYFUNCTION("""COMPUTED_VALUE"""),420.0)</f>
        <v>420</v>
      </c>
      <c r="H900" s="8" t="s">
        <v>143</v>
      </c>
      <c r="I900" s="8" t="s">
        <v>144</v>
      </c>
      <c r="J900" s="8" t="s">
        <v>4284</v>
      </c>
      <c r="K900" s="153" t="s">
        <v>222</v>
      </c>
      <c r="L900" s="8" t="s">
        <v>1683</v>
      </c>
      <c r="N900" s="142"/>
      <c r="O900" s="142" t="s">
        <v>6063</v>
      </c>
      <c r="P900" s="142" t="s">
        <v>6064</v>
      </c>
      <c r="Q900" s="8" t="s">
        <v>6062</v>
      </c>
      <c r="R900" s="8" t="s">
        <v>320</v>
      </c>
      <c r="U900" s="8" t="s">
        <v>321</v>
      </c>
      <c r="AA900" s="8" t="s">
        <v>1698</v>
      </c>
      <c r="AB900" s="8" t="s">
        <v>1699</v>
      </c>
      <c r="AD900" s="8" t="s">
        <v>6232</v>
      </c>
      <c r="AH900" s="8" t="s">
        <v>6069</v>
      </c>
    </row>
    <row r="901">
      <c r="A901" s="152">
        <v>2025.0</v>
      </c>
      <c r="B901" s="151">
        <v>44.0</v>
      </c>
      <c r="C901" s="153" t="s">
        <v>8189</v>
      </c>
      <c r="D901" s="153"/>
      <c r="E901" s="153" t="s">
        <v>8301</v>
      </c>
      <c r="F901" s="153" t="s">
        <v>6233</v>
      </c>
      <c r="G901" s="153">
        <f>IFERROR(__xludf.DUMMYFUNCTION("""COMPUTED_VALUE"""),421.0)</f>
        <v>421</v>
      </c>
      <c r="H901" s="153" t="s">
        <v>143</v>
      </c>
      <c r="I901" s="153" t="s">
        <v>144</v>
      </c>
      <c r="J901" s="153" t="s">
        <v>230</v>
      </c>
      <c r="K901" s="153" t="s">
        <v>231</v>
      </c>
      <c r="L901" s="153" t="s">
        <v>384</v>
      </c>
      <c r="M901" s="153" t="s">
        <v>459</v>
      </c>
      <c r="N901" s="175" t="s">
        <v>6051</v>
      </c>
      <c r="O901" s="175" t="s">
        <v>6052</v>
      </c>
      <c r="P901" s="175" t="s">
        <v>6053</v>
      </c>
      <c r="Q901" s="153" t="s">
        <v>151</v>
      </c>
      <c r="R901" s="153" t="s">
        <v>6054</v>
      </c>
      <c r="S901" s="158" t="s">
        <v>6054</v>
      </c>
      <c r="T901" s="158" t="s">
        <v>149</v>
      </c>
      <c r="U901" s="153" t="s">
        <v>390</v>
      </c>
      <c r="V901" s="158" t="s">
        <v>160</v>
      </c>
      <c r="W901" s="158" t="s">
        <v>6035</v>
      </c>
      <c r="X901" s="158" t="s">
        <v>159</v>
      </c>
      <c r="Y901" s="158" t="s">
        <v>149</v>
      </c>
      <c r="Z901" s="158" t="s">
        <v>149</v>
      </c>
      <c r="AA901" s="153" t="s">
        <v>391</v>
      </c>
      <c r="AB901" s="153" t="s">
        <v>390</v>
      </c>
      <c r="AC901" s="153" t="s">
        <v>6035</v>
      </c>
      <c r="AD901" s="153" t="s">
        <v>6055</v>
      </c>
      <c r="AE901" s="153"/>
      <c r="AF901" s="153" t="s">
        <v>6056</v>
      </c>
      <c r="AG901" s="158" t="s">
        <v>395</v>
      </c>
      <c r="AH901" s="153" t="s">
        <v>6060</v>
      </c>
      <c r="AI901" s="177" t="s">
        <v>397</v>
      </c>
      <c r="AJ901" s="153" t="s">
        <v>398</v>
      </c>
      <c r="AK901" s="153"/>
    </row>
    <row r="902">
      <c r="A902" s="152">
        <v>2024.0</v>
      </c>
      <c r="B902" s="151">
        <v>303.0</v>
      </c>
      <c r="C902" s="153"/>
      <c r="D902" s="153"/>
      <c r="E902" s="153" t="s">
        <v>8189</v>
      </c>
      <c r="F902" s="153" t="s">
        <v>8597</v>
      </c>
      <c r="G902" s="153">
        <f>IFERROR(__xludf.DUMMYFUNCTION("""COMPUTED_VALUE"""),422.0)</f>
        <v>422</v>
      </c>
      <c r="H902" s="153" t="s">
        <v>193</v>
      </c>
      <c r="I902" s="158" t="s">
        <v>194</v>
      </c>
      <c r="J902" s="158" t="s">
        <v>969</v>
      </c>
      <c r="K902" s="158" t="s">
        <v>970</v>
      </c>
      <c r="L902" s="158" t="s">
        <v>934</v>
      </c>
      <c r="M902" s="158" t="s">
        <v>7900</v>
      </c>
      <c r="N902" s="192">
        <v>2001.0</v>
      </c>
      <c r="O902" s="192">
        <v>2001.0</v>
      </c>
      <c r="P902" s="192">
        <v>2005.0</v>
      </c>
      <c r="Q902" s="158" t="s">
        <v>6062</v>
      </c>
      <c r="R902" s="158" t="s">
        <v>3245</v>
      </c>
      <c r="S902" s="158" t="s">
        <v>179</v>
      </c>
      <c r="T902" s="153" t="s">
        <v>939</v>
      </c>
      <c r="U902" s="153" t="s">
        <v>940</v>
      </c>
      <c r="V902" s="158" t="s">
        <v>6154</v>
      </c>
      <c r="W902" s="158" t="s">
        <v>206</v>
      </c>
      <c r="X902" s="158" t="s">
        <v>159</v>
      </c>
      <c r="Y902" s="158" t="s">
        <v>149</v>
      </c>
      <c r="Z902" s="158" t="s">
        <v>149</v>
      </c>
      <c r="AA902" s="158" t="s">
        <v>149</v>
      </c>
      <c r="AB902" s="153" t="s">
        <v>233</v>
      </c>
      <c r="AC902" s="158" t="s">
        <v>6068</v>
      </c>
      <c r="AD902" s="153"/>
      <c r="AE902" s="153"/>
      <c r="AF902" s="153"/>
      <c r="AG902" s="158" t="s">
        <v>6214</v>
      </c>
      <c r="AH902" s="153" t="s">
        <v>941</v>
      </c>
      <c r="AI902" s="172" t="s">
        <v>942</v>
      </c>
      <c r="AJ902" s="153" t="s">
        <v>943</v>
      </c>
      <c r="AK902" s="158"/>
    </row>
    <row r="903">
      <c r="A903" s="152">
        <v>2023.0</v>
      </c>
      <c r="B903" s="151">
        <v>45.0</v>
      </c>
      <c r="C903" s="129" t="s">
        <v>140</v>
      </c>
      <c r="D903" s="8"/>
      <c r="E903" s="8" t="s">
        <v>8189</v>
      </c>
      <c r="F903" s="8" t="s">
        <v>6234</v>
      </c>
      <c r="G903" s="8">
        <f>IFERROR(__xludf.DUMMYFUNCTION("""COMPUTED_VALUE"""),423.0)</f>
        <v>423</v>
      </c>
      <c r="H903" s="8" t="s">
        <v>143</v>
      </c>
      <c r="I903" s="8" t="s">
        <v>144</v>
      </c>
      <c r="J903" s="8" t="s">
        <v>4284</v>
      </c>
      <c r="K903" s="153" t="s">
        <v>222</v>
      </c>
      <c r="L903" s="8" t="s">
        <v>6235</v>
      </c>
      <c r="N903" s="142" t="s">
        <v>6098</v>
      </c>
      <c r="O903" s="142"/>
      <c r="P903" s="142"/>
      <c r="Q903" s="8" t="s">
        <v>6221</v>
      </c>
      <c r="U903" s="8" t="s">
        <v>203</v>
      </c>
      <c r="AB903" s="8" t="s">
        <v>226</v>
      </c>
      <c r="AD903" s="8" t="s">
        <v>228</v>
      </c>
      <c r="AF903" s="8" t="s">
        <v>208</v>
      </c>
    </row>
    <row r="904">
      <c r="A904" s="152">
        <v>2025.0</v>
      </c>
      <c r="B904" s="151">
        <v>45.0</v>
      </c>
      <c r="C904" s="153" t="s">
        <v>8189</v>
      </c>
      <c r="D904" s="153"/>
      <c r="E904" s="153" t="s">
        <v>8301</v>
      </c>
      <c r="F904" s="153" t="s">
        <v>6236</v>
      </c>
      <c r="G904" s="153">
        <f>IFERROR(__xludf.DUMMYFUNCTION("""COMPUTED_VALUE"""),424.0)</f>
        <v>424</v>
      </c>
      <c r="H904" s="153" t="s">
        <v>143</v>
      </c>
      <c r="I904" s="153" t="s">
        <v>144</v>
      </c>
      <c r="J904" s="153" t="s">
        <v>230</v>
      </c>
      <c r="K904" s="153" t="s">
        <v>231</v>
      </c>
      <c r="L904" s="153" t="s">
        <v>384</v>
      </c>
      <c r="M904" s="153" t="s">
        <v>461</v>
      </c>
      <c r="N904" s="175" t="s">
        <v>6051</v>
      </c>
      <c r="O904" s="175" t="s">
        <v>6052</v>
      </c>
      <c r="P904" s="175" t="s">
        <v>6053</v>
      </c>
      <c r="Q904" s="153" t="s">
        <v>151</v>
      </c>
      <c r="R904" s="153" t="s">
        <v>6054</v>
      </c>
      <c r="S904" s="158" t="s">
        <v>6054</v>
      </c>
      <c r="T904" s="158" t="s">
        <v>149</v>
      </c>
      <c r="U904" s="153" t="s">
        <v>390</v>
      </c>
      <c r="V904" s="158" t="s">
        <v>160</v>
      </c>
      <c r="W904" s="158" t="s">
        <v>6035</v>
      </c>
      <c r="X904" s="158" t="s">
        <v>159</v>
      </c>
      <c r="Y904" s="158" t="s">
        <v>149</v>
      </c>
      <c r="Z904" s="158" t="s">
        <v>149</v>
      </c>
      <c r="AA904" s="153" t="s">
        <v>391</v>
      </c>
      <c r="AB904" s="153" t="s">
        <v>390</v>
      </c>
      <c r="AC904" s="153" t="s">
        <v>6035</v>
      </c>
      <c r="AD904" s="153" t="s">
        <v>6055</v>
      </c>
      <c r="AE904" s="153"/>
      <c r="AF904" s="153"/>
      <c r="AG904" s="158" t="s">
        <v>395</v>
      </c>
      <c r="AH904" s="153" t="s">
        <v>6060</v>
      </c>
      <c r="AI904" s="177" t="s">
        <v>397</v>
      </c>
      <c r="AJ904" s="153" t="s">
        <v>398</v>
      </c>
      <c r="AK904" s="153"/>
    </row>
    <row r="905">
      <c r="A905" s="152">
        <v>2024.0</v>
      </c>
      <c r="B905" s="151">
        <v>304.0</v>
      </c>
      <c r="C905" s="153"/>
      <c r="D905" s="153"/>
      <c r="E905" s="153" t="s">
        <v>8189</v>
      </c>
      <c r="F905" s="153" t="s">
        <v>8598</v>
      </c>
      <c r="G905" s="153">
        <f>IFERROR(__xludf.DUMMYFUNCTION("""COMPUTED_VALUE"""),425.0)</f>
        <v>425</v>
      </c>
      <c r="H905" s="153" t="s">
        <v>193</v>
      </c>
      <c r="I905" s="153" t="s">
        <v>194</v>
      </c>
      <c r="J905" s="153" t="s">
        <v>573</v>
      </c>
      <c r="K905" s="153" t="s">
        <v>574</v>
      </c>
      <c r="L905" s="153" t="s">
        <v>384</v>
      </c>
      <c r="M905" s="153" t="s">
        <v>575</v>
      </c>
      <c r="N905" s="230">
        <v>1986.0</v>
      </c>
      <c r="O905" s="230">
        <v>1985.0</v>
      </c>
      <c r="P905" s="230">
        <v>1987.0</v>
      </c>
      <c r="Q905" s="153" t="s">
        <v>151</v>
      </c>
      <c r="R905" s="158" t="s">
        <v>149</v>
      </c>
      <c r="S905" s="158" t="s">
        <v>149</v>
      </c>
      <c r="T905" s="158" t="s">
        <v>149</v>
      </c>
      <c r="U905" s="153" t="s">
        <v>390</v>
      </c>
      <c r="V905" s="158" t="s">
        <v>160</v>
      </c>
      <c r="W905" s="158" t="s">
        <v>6035</v>
      </c>
      <c r="X905" s="158" t="s">
        <v>159</v>
      </c>
      <c r="Y905" s="158" t="s">
        <v>149</v>
      </c>
      <c r="Z905" s="158" t="s">
        <v>149</v>
      </c>
      <c r="AA905" s="153" t="s">
        <v>571</v>
      </c>
      <c r="AB905" s="153" t="s">
        <v>390</v>
      </c>
      <c r="AC905" s="153" t="s">
        <v>6035</v>
      </c>
      <c r="AD905" s="153" t="s">
        <v>6055</v>
      </c>
      <c r="AE905" s="153"/>
      <c r="AF905" s="153"/>
      <c r="AG905" s="158" t="s">
        <v>395</v>
      </c>
      <c r="AH905" s="153" t="s">
        <v>6060</v>
      </c>
      <c r="AI905" s="153" t="s">
        <v>2873</v>
      </c>
      <c r="AJ905" s="153" t="s">
        <v>398</v>
      </c>
      <c r="AK905" s="153"/>
    </row>
    <row r="906">
      <c r="A906" s="152">
        <v>2023.0</v>
      </c>
      <c r="B906" s="151">
        <v>46.0</v>
      </c>
      <c r="C906" s="129" t="s">
        <v>140</v>
      </c>
      <c r="D906" s="8"/>
      <c r="E906" s="8" t="s">
        <v>8189</v>
      </c>
      <c r="F906" s="8" t="s">
        <v>8599</v>
      </c>
      <c r="G906" s="8">
        <f>IFERROR(__xludf.DUMMYFUNCTION("""COMPUTED_VALUE"""),426.0)</f>
        <v>426</v>
      </c>
      <c r="H906" s="8" t="s">
        <v>143</v>
      </c>
      <c r="I906" s="8" t="s">
        <v>144</v>
      </c>
      <c r="J906" s="8" t="s">
        <v>4284</v>
      </c>
      <c r="K906" s="153" t="s">
        <v>222</v>
      </c>
      <c r="L906" s="8" t="s">
        <v>1683</v>
      </c>
      <c r="M906" s="8" t="s">
        <v>6238</v>
      </c>
      <c r="N906" s="142"/>
      <c r="O906" s="142" t="s">
        <v>6063</v>
      </c>
      <c r="P906" s="142" t="s">
        <v>6064</v>
      </c>
      <c r="Q906" s="8" t="s">
        <v>6062</v>
      </c>
      <c r="U906" s="8" t="s">
        <v>321</v>
      </c>
      <c r="AB906" s="8" t="s">
        <v>6239</v>
      </c>
      <c r="AD906" s="8" t="s">
        <v>1699</v>
      </c>
      <c r="AE906" s="8" t="s">
        <v>6240</v>
      </c>
      <c r="AH906" s="8" t="s">
        <v>6069</v>
      </c>
    </row>
    <row r="907">
      <c r="A907" s="152">
        <v>2025.0</v>
      </c>
      <c r="B907" s="151">
        <v>46.0</v>
      </c>
      <c r="C907" s="153" t="s">
        <v>8189</v>
      </c>
      <c r="D907" s="153"/>
      <c r="E907" s="153" t="s">
        <v>707</v>
      </c>
      <c r="F907" s="153" t="s">
        <v>6241</v>
      </c>
      <c r="G907" s="153">
        <f>IFERROR(__xludf.DUMMYFUNCTION("""COMPUTED_VALUE"""),427.0)</f>
        <v>427</v>
      </c>
      <c r="H907" s="153" t="s">
        <v>143</v>
      </c>
      <c r="I907" s="153" t="s">
        <v>144</v>
      </c>
      <c r="J907" s="153" t="s">
        <v>230</v>
      </c>
      <c r="K907" s="153" t="s">
        <v>231</v>
      </c>
      <c r="L907" s="153" t="s">
        <v>1828</v>
      </c>
      <c r="M907" s="153" t="s">
        <v>6242</v>
      </c>
      <c r="N907" s="175" t="s">
        <v>6063</v>
      </c>
      <c r="O907" s="175" t="s">
        <v>6063</v>
      </c>
      <c r="P907" s="175" t="s">
        <v>6152</v>
      </c>
      <c r="Q907" s="153" t="s">
        <v>6221</v>
      </c>
      <c r="R907" s="158" t="s">
        <v>1830</v>
      </c>
      <c r="S907" s="192" t="s">
        <v>1830</v>
      </c>
      <c r="T907" s="153" t="s">
        <v>1831</v>
      </c>
      <c r="U907" s="153" t="s">
        <v>321</v>
      </c>
      <c r="V907" s="158" t="s">
        <v>160</v>
      </c>
      <c r="W907" s="158" t="s">
        <v>6035</v>
      </c>
      <c r="X907" s="158" t="s">
        <v>204</v>
      </c>
      <c r="Y907" s="240">
        <v>2803661.28</v>
      </c>
      <c r="Z907" s="158" t="s">
        <v>149</v>
      </c>
      <c r="AA907" s="158" t="s">
        <v>149</v>
      </c>
      <c r="AB907" s="153" t="s">
        <v>233</v>
      </c>
      <c r="AC907" s="158" t="s">
        <v>6068</v>
      </c>
      <c r="AD907" s="153" t="s">
        <v>1833</v>
      </c>
      <c r="AE907" s="153"/>
      <c r="AF907" s="153"/>
      <c r="AG907" s="153" t="s">
        <v>6084</v>
      </c>
      <c r="AH907" s="153" t="s">
        <v>1834</v>
      </c>
      <c r="AI907" s="153" t="s">
        <v>6070</v>
      </c>
      <c r="AJ907" s="153" t="s">
        <v>943</v>
      </c>
      <c r="AK907" s="153"/>
    </row>
    <row r="908">
      <c r="A908" s="152">
        <v>2024.0</v>
      </c>
      <c r="B908" s="151">
        <v>305.0</v>
      </c>
      <c r="C908" s="153"/>
      <c r="D908" s="153"/>
      <c r="E908" s="153" t="s">
        <v>8189</v>
      </c>
      <c r="F908" s="153" t="s">
        <v>8600</v>
      </c>
      <c r="G908" s="153">
        <f>IFERROR(__xludf.DUMMYFUNCTION("""COMPUTED_VALUE"""),428.0)</f>
        <v>428</v>
      </c>
      <c r="H908" s="153" t="s">
        <v>193</v>
      </c>
      <c r="I908" s="153" t="s">
        <v>194</v>
      </c>
      <c r="J908" s="153" t="s">
        <v>573</v>
      </c>
      <c r="K908" s="153" t="s">
        <v>574</v>
      </c>
      <c r="L908" s="153" t="s">
        <v>384</v>
      </c>
      <c r="M908" s="153" t="s">
        <v>577</v>
      </c>
      <c r="N908" s="230">
        <v>1986.0</v>
      </c>
      <c r="O908" s="230">
        <v>1985.0</v>
      </c>
      <c r="P908" s="230">
        <v>1987.0</v>
      </c>
      <c r="Q908" s="153" t="s">
        <v>151</v>
      </c>
      <c r="R908" s="158" t="s">
        <v>149</v>
      </c>
      <c r="S908" s="158" t="s">
        <v>149</v>
      </c>
      <c r="T908" s="158" t="s">
        <v>149</v>
      </c>
      <c r="U908" s="153" t="s">
        <v>390</v>
      </c>
      <c r="V908" s="158" t="s">
        <v>160</v>
      </c>
      <c r="W908" s="158" t="s">
        <v>6035</v>
      </c>
      <c r="X908" s="158" t="s">
        <v>159</v>
      </c>
      <c r="Y908" s="158" t="s">
        <v>149</v>
      </c>
      <c r="Z908" s="158" t="s">
        <v>149</v>
      </c>
      <c r="AA908" s="153" t="s">
        <v>571</v>
      </c>
      <c r="AB908" s="153" t="s">
        <v>390</v>
      </c>
      <c r="AC908" s="153" t="s">
        <v>6035</v>
      </c>
      <c r="AD908" s="153" t="s">
        <v>6055</v>
      </c>
      <c r="AE908" s="153"/>
      <c r="AF908" s="153"/>
      <c r="AG908" s="158" t="s">
        <v>395</v>
      </c>
      <c r="AH908" s="153" t="s">
        <v>6060</v>
      </c>
      <c r="AI908" s="153" t="s">
        <v>2873</v>
      </c>
      <c r="AJ908" s="153" t="s">
        <v>398</v>
      </c>
      <c r="AK908" s="153"/>
    </row>
    <row r="909">
      <c r="A909" s="152">
        <v>2023.0</v>
      </c>
      <c r="B909" s="151">
        <v>47.0</v>
      </c>
      <c r="C909" s="129" t="s">
        <v>140</v>
      </c>
      <c r="D909" s="8"/>
      <c r="E909" s="8" t="s">
        <v>8189</v>
      </c>
      <c r="F909" s="8" t="s">
        <v>6244</v>
      </c>
      <c r="G909" s="8">
        <f>IFERROR(__xludf.DUMMYFUNCTION("""COMPUTED_VALUE"""),429.0)</f>
        <v>429</v>
      </c>
      <c r="H909" s="8" t="s">
        <v>143</v>
      </c>
      <c r="I909" s="8" t="s">
        <v>144</v>
      </c>
      <c r="J909" s="8" t="s">
        <v>4284</v>
      </c>
      <c r="K909" s="153" t="s">
        <v>222</v>
      </c>
      <c r="L909" s="8" t="s">
        <v>934</v>
      </c>
      <c r="N909" s="142" t="s">
        <v>6229</v>
      </c>
      <c r="O909" s="142" t="s">
        <v>6229</v>
      </c>
      <c r="P909" s="142" t="s">
        <v>6230</v>
      </c>
      <c r="Q909" s="8" t="s">
        <v>6062</v>
      </c>
      <c r="R909" s="8" t="s">
        <v>6276</v>
      </c>
      <c r="T909" s="8" t="s">
        <v>939</v>
      </c>
      <c r="U909" s="8" t="s">
        <v>940</v>
      </c>
      <c r="AB909" s="8" t="s">
        <v>233</v>
      </c>
      <c r="AH909" s="8" t="s">
        <v>6214</v>
      </c>
      <c r="AI909" s="8" t="s">
        <v>942</v>
      </c>
      <c r="AJ909" s="8" t="s">
        <v>943</v>
      </c>
    </row>
    <row r="910">
      <c r="A910" s="152">
        <v>2025.0</v>
      </c>
      <c r="B910" s="151">
        <v>47.0</v>
      </c>
      <c r="C910" s="153" t="s">
        <v>8189</v>
      </c>
      <c r="D910" s="153"/>
      <c r="E910" s="153" t="s">
        <v>8301</v>
      </c>
      <c r="F910" s="153" t="s">
        <v>6245</v>
      </c>
      <c r="G910" s="153">
        <f>IFERROR(__xludf.DUMMYFUNCTION("""COMPUTED_VALUE"""),430.0)</f>
        <v>430</v>
      </c>
      <c r="H910" s="153" t="s">
        <v>143</v>
      </c>
      <c r="I910" s="153" t="s">
        <v>144</v>
      </c>
      <c r="J910" s="153" t="s">
        <v>230</v>
      </c>
      <c r="K910" s="153" t="s">
        <v>231</v>
      </c>
      <c r="L910" s="153" t="s">
        <v>1846</v>
      </c>
      <c r="M910" s="153"/>
      <c r="N910" s="175" t="s">
        <v>6063</v>
      </c>
      <c r="O910" s="175" t="s">
        <v>6063</v>
      </c>
      <c r="P910" s="175" t="s">
        <v>6152</v>
      </c>
      <c r="Q910" s="153" t="s">
        <v>6221</v>
      </c>
      <c r="R910" s="158" t="s">
        <v>1847</v>
      </c>
      <c r="S910" s="158" t="s">
        <v>1847</v>
      </c>
      <c r="T910" s="153" t="s">
        <v>1848</v>
      </c>
      <c r="U910" s="153" t="s">
        <v>321</v>
      </c>
      <c r="V910" s="158" t="s">
        <v>160</v>
      </c>
      <c r="W910" s="158" t="s">
        <v>6035</v>
      </c>
      <c r="X910" s="158" t="s">
        <v>204</v>
      </c>
      <c r="Y910" s="240">
        <v>2682661.5</v>
      </c>
      <c r="Z910" s="158" t="s">
        <v>149</v>
      </c>
      <c r="AA910" s="158" t="s">
        <v>149</v>
      </c>
      <c r="AB910" s="153" t="s">
        <v>233</v>
      </c>
      <c r="AC910" s="158" t="s">
        <v>6068</v>
      </c>
      <c r="AD910" s="153" t="s">
        <v>1850</v>
      </c>
      <c r="AE910" s="153" t="s">
        <v>885</v>
      </c>
      <c r="AF910" s="153"/>
      <c r="AG910" s="153" t="s">
        <v>6084</v>
      </c>
      <c r="AH910" s="153" t="s">
        <v>1851</v>
      </c>
      <c r="AI910" s="153" t="s">
        <v>6070</v>
      </c>
      <c r="AJ910" s="153" t="s">
        <v>943</v>
      </c>
      <c r="AK910" s="153"/>
    </row>
    <row r="911">
      <c r="A911" s="152">
        <v>2024.0</v>
      </c>
      <c r="B911" s="151">
        <v>306.0</v>
      </c>
      <c r="C911" s="153"/>
      <c r="D911" s="153"/>
      <c r="E911" s="153" t="s">
        <v>8189</v>
      </c>
      <c r="F911" s="153" t="s">
        <v>8601</v>
      </c>
      <c r="G911" s="153">
        <f>IFERROR(__xludf.DUMMYFUNCTION("""COMPUTED_VALUE"""),431.0)</f>
        <v>431</v>
      </c>
      <c r="H911" s="153" t="s">
        <v>193</v>
      </c>
      <c r="I911" s="153" t="s">
        <v>194</v>
      </c>
      <c r="J911" s="153" t="s">
        <v>2189</v>
      </c>
      <c r="K911" s="153" t="s">
        <v>2190</v>
      </c>
      <c r="L911" s="153" t="s">
        <v>6587</v>
      </c>
      <c r="M911" s="153" t="s">
        <v>7142</v>
      </c>
      <c r="N911" s="158" t="s">
        <v>149</v>
      </c>
      <c r="O911" s="230">
        <v>2012.0</v>
      </c>
      <c r="P911" s="158" t="s">
        <v>149</v>
      </c>
      <c r="Q911" s="153" t="s">
        <v>151</v>
      </c>
      <c r="R911" s="158" t="s">
        <v>149</v>
      </c>
      <c r="S911" s="158" t="s">
        <v>149</v>
      </c>
      <c r="T911" s="153" t="s">
        <v>7101</v>
      </c>
      <c r="U911" s="153" t="s">
        <v>341</v>
      </c>
      <c r="V911" s="158" t="s">
        <v>160</v>
      </c>
      <c r="W911" s="158" t="s">
        <v>6035</v>
      </c>
      <c r="X911" s="158" t="s">
        <v>159</v>
      </c>
      <c r="Y911" s="158" t="s">
        <v>149</v>
      </c>
      <c r="Z911" s="158" t="s">
        <v>149</v>
      </c>
      <c r="AA911" s="158" t="s">
        <v>149</v>
      </c>
      <c r="AB911" s="153" t="s">
        <v>2160</v>
      </c>
      <c r="AC911" s="153" t="s">
        <v>6035</v>
      </c>
      <c r="AD911" s="153"/>
      <c r="AE911" s="153"/>
      <c r="AF911" s="153"/>
      <c r="AG911" s="158" t="s">
        <v>166</v>
      </c>
      <c r="AH911" s="153" t="s">
        <v>2161</v>
      </c>
      <c r="AI911" s="172" t="s">
        <v>2162</v>
      </c>
      <c r="AJ911" s="153"/>
      <c r="AK911" s="153"/>
    </row>
    <row r="912">
      <c r="A912" s="152">
        <v>2023.0</v>
      </c>
      <c r="B912" s="151">
        <v>48.0</v>
      </c>
      <c r="C912" s="129" t="s">
        <v>140</v>
      </c>
      <c r="D912" s="8"/>
      <c r="E912" s="8" t="s">
        <v>8189</v>
      </c>
      <c r="F912" s="8" t="s">
        <v>6247</v>
      </c>
      <c r="G912" s="8">
        <f>IFERROR(__xludf.DUMMYFUNCTION("""COMPUTED_VALUE"""),432.0)</f>
        <v>432</v>
      </c>
      <c r="H912" s="8" t="s">
        <v>143</v>
      </c>
      <c r="I912" s="8" t="s">
        <v>144</v>
      </c>
      <c r="J912" s="8" t="s">
        <v>230</v>
      </c>
      <c r="K912" s="277" t="s">
        <v>231</v>
      </c>
      <c r="L912" s="8" t="s">
        <v>384</v>
      </c>
      <c r="M912" s="8" t="s">
        <v>459</v>
      </c>
      <c r="N912" s="142" t="s">
        <v>6051</v>
      </c>
      <c r="O912" s="142" t="s">
        <v>6052</v>
      </c>
      <c r="P912" s="142" t="s">
        <v>6053</v>
      </c>
      <c r="Q912" s="8" t="s">
        <v>151</v>
      </c>
      <c r="R912" s="8" t="s">
        <v>6054</v>
      </c>
      <c r="U912" s="8" t="s">
        <v>390</v>
      </c>
      <c r="AA912" s="8" t="s">
        <v>391</v>
      </c>
      <c r="AB912" s="8" t="s">
        <v>390</v>
      </c>
      <c r="AD912" s="8" t="s">
        <v>6055</v>
      </c>
      <c r="AF912" s="8" t="s">
        <v>6056</v>
      </c>
      <c r="AH912" s="8" t="s">
        <v>6057</v>
      </c>
      <c r="AI912" s="8" t="s">
        <v>2873</v>
      </c>
      <c r="AJ912" s="8" t="s">
        <v>398</v>
      </c>
    </row>
    <row r="913">
      <c r="A913" s="152">
        <v>2025.0</v>
      </c>
      <c r="B913" s="151">
        <v>48.0</v>
      </c>
      <c r="C913" s="153" t="s">
        <v>8189</v>
      </c>
      <c r="D913" s="153"/>
      <c r="E913" s="153" t="s">
        <v>8301</v>
      </c>
      <c r="F913" s="153" t="s">
        <v>6248</v>
      </c>
      <c r="G913" s="153">
        <f>IFERROR(__xludf.DUMMYFUNCTION("""COMPUTED_VALUE"""),433.0)</f>
        <v>433</v>
      </c>
      <c r="H913" s="153" t="s">
        <v>143</v>
      </c>
      <c r="I913" s="153" t="s">
        <v>144</v>
      </c>
      <c r="J913" s="153" t="s">
        <v>230</v>
      </c>
      <c r="K913" s="153" t="s">
        <v>231</v>
      </c>
      <c r="L913" s="153" t="s">
        <v>6235</v>
      </c>
      <c r="M913" s="158" t="s">
        <v>232</v>
      </c>
      <c r="N913" s="175" t="s">
        <v>6098</v>
      </c>
      <c r="O913" s="175"/>
      <c r="P913" s="175"/>
      <c r="Q913" s="153" t="s">
        <v>6221</v>
      </c>
      <c r="R913" s="158" t="s">
        <v>200</v>
      </c>
      <c r="S913" s="158" t="s">
        <v>224</v>
      </c>
      <c r="T913" s="158" t="s">
        <v>225</v>
      </c>
      <c r="U913" s="153" t="s">
        <v>203</v>
      </c>
      <c r="V913" s="158" t="s">
        <v>6154</v>
      </c>
      <c r="W913" s="158" t="s">
        <v>206</v>
      </c>
      <c r="X913" s="158" t="s">
        <v>159</v>
      </c>
      <c r="Y913" s="158" t="s">
        <v>149</v>
      </c>
      <c r="Z913" s="158" t="s">
        <v>149</v>
      </c>
      <c r="AA913" s="158" t="s">
        <v>149</v>
      </c>
      <c r="AB913" s="153" t="s">
        <v>233</v>
      </c>
      <c r="AC913" s="158" t="s">
        <v>6068</v>
      </c>
      <c r="AD913" s="153"/>
      <c r="AE913" s="153"/>
      <c r="AF913" s="153" t="s">
        <v>208</v>
      </c>
      <c r="AG913" s="153" t="s">
        <v>214</v>
      </c>
      <c r="AH913" s="153" t="s">
        <v>214</v>
      </c>
      <c r="AI913" s="153"/>
      <c r="AJ913" s="153"/>
      <c r="AK913" s="153"/>
    </row>
    <row r="914">
      <c r="A914" s="152">
        <v>2024.0</v>
      </c>
      <c r="B914" s="151">
        <v>307.0</v>
      </c>
      <c r="C914" s="153"/>
      <c r="D914" s="153"/>
      <c r="E914" s="153" t="s">
        <v>8189</v>
      </c>
      <c r="F914" s="153" t="s">
        <v>8602</v>
      </c>
      <c r="G914" s="153">
        <f>IFERROR(__xludf.DUMMYFUNCTION("""COMPUTED_VALUE"""),434.0)</f>
        <v>434</v>
      </c>
      <c r="H914" s="153" t="s">
        <v>579</v>
      </c>
      <c r="I914" s="153" t="s">
        <v>580</v>
      </c>
      <c r="J914" s="158" t="s">
        <v>581</v>
      </c>
      <c r="K914" s="153" t="s">
        <v>582</v>
      </c>
      <c r="L914" s="153" t="s">
        <v>384</v>
      </c>
      <c r="M914" s="153" t="s">
        <v>583</v>
      </c>
      <c r="N914" s="230">
        <v>1986.0</v>
      </c>
      <c r="O914" s="230">
        <v>1985.0</v>
      </c>
      <c r="P914" s="230">
        <v>1987.0</v>
      </c>
      <c r="Q914" s="153" t="s">
        <v>151</v>
      </c>
      <c r="R914" s="153" t="s">
        <v>6054</v>
      </c>
      <c r="S914" s="158" t="s">
        <v>6054</v>
      </c>
      <c r="T914" s="158" t="s">
        <v>149</v>
      </c>
      <c r="U914" s="153" t="s">
        <v>390</v>
      </c>
      <c r="V914" s="158" t="s">
        <v>160</v>
      </c>
      <c r="W914" s="158" t="s">
        <v>6035</v>
      </c>
      <c r="X914" s="158" t="s">
        <v>159</v>
      </c>
      <c r="Y914" s="158" t="s">
        <v>149</v>
      </c>
      <c r="Z914" s="158" t="s">
        <v>149</v>
      </c>
      <c r="AA914" s="153" t="s">
        <v>450</v>
      </c>
      <c r="AB914" s="153" t="s">
        <v>390</v>
      </c>
      <c r="AC914" s="153" t="s">
        <v>6035</v>
      </c>
      <c r="AD914" s="153" t="s">
        <v>6055</v>
      </c>
      <c r="AE914" s="153"/>
      <c r="AF914" s="153"/>
      <c r="AG914" s="158" t="s">
        <v>395</v>
      </c>
      <c r="AH914" s="153" t="s">
        <v>6060</v>
      </c>
      <c r="AI914" s="153" t="s">
        <v>2873</v>
      </c>
      <c r="AJ914" s="153" t="s">
        <v>398</v>
      </c>
      <c r="AK914" s="153"/>
    </row>
    <row r="915">
      <c r="A915" s="152">
        <v>2023.0</v>
      </c>
      <c r="B915" s="151">
        <v>49.0</v>
      </c>
      <c r="C915" s="129" t="s">
        <v>140</v>
      </c>
      <c r="D915" s="8"/>
      <c r="E915" s="8" t="s">
        <v>8189</v>
      </c>
      <c r="F915" s="8" t="s">
        <v>6249</v>
      </c>
      <c r="G915" s="8">
        <f>IFERROR(__xludf.DUMMYFUNCTION("""COMPUTED_VALUE"""),435.0)</f>
        <v>435</v>
      </c>
      <c r="H915" s="8" t="s">
        <v>143</v>
      </c>
      <c r="I915" s="8" t="s">
        <v>144</v>
      </c>
      <c r="J915" s="8" t="s">
        <v>230</v>
      </c>
      <c r="K915" s="277" t="s">
        <v>231</v>
      </c>
      <c r="L915" s="8" t="s">
        <v>384</v>
      </c>
      <c r="M915" s="8" t="s">
        <v>461</v>
      </c>
      <c r="N915" s="142" t="s">
        <v>6051</v>
      </c>
      <c r="O915" s="142" t="s">
        <v>6052</v>
      </c>
      <c r="P915" s="142" t="s">
        <v>6053</v>
      </c>
      <c r="Q915" s="8" t="s">
        <v>151</v>
      </c>
      <c r="R915" s="8" t="s">
        <v>6054</v>
      </c>
      <c r="U915" s="8" t="s">
        <v>390</v>
      </c>
      <c r="AA915" s="8" t="s">
        <v>391</v>
      </c>
      <c r="AB915" s="8" t="s">
        <v>390</v>
      </c>
      <c r="AD915" s="8" t="s">
        <v>6055</v>
      </c>
      <c r="AH915" s="8" t="s">
        <v>6057</v>
      </c>
      <c r="AI915" s="8" t="s">
        <v>2873</v>
      </c>
      <c r="AJ915" s="8" t="s">
        <v>398</v>
      </c>
    </row>
    <row r="916">
      <c r="A916" s="152">
        <v>2025.0</v>
      </c>
      <c r="B916" s="151">
        <v>49.0</v>
      </c>
      <c r="C916" s="153" t="s">
        <v>8189</v>
      </c>
      <c r="D916" s="153"/>
      <c r="E916" s="153" t="s">
        <v>8301</v>
      </c>
      <c r="F916" s="153" t="s">
        <v>6250</v>
      </c>
      <c r="G916" s="153">
        <f>IFERROR(__xludf.DUMMYFUNCTION("""COMPUTED_VALUE"""),436.0)</f>
        <v>436</v>
      </c>
      <c r="H916" s="153" t="s">
        <v>143</v>
      </c>
      <c r="I916" s="153" t="s">
        <v>144</v>
      </c>
      <c r="J916" s="153" t="s">
        <v>230</v>
      </c>
      <c r="K916" s="153" t="s">
        <v>231</v>
      </c>
      <c r="L916" s="153" t="s">
        <v>8603</v>
      </c>
      <c r="M916" s="158" t="s">
        <v>6252</v>
      </c>
      <c r="N916" s="175" t="s">
        <v>6229</v>
      </c>
      <c r="O916" s="175" t="s">
        <v>6229</v>
      </c>
      <c r="P916" s="175" t="s">
        <v>6230</v>
      </c>
      <c r="Q916" s="153" t="s">
        <v>6062</v>
      </c>
      <c r="R916" s="153" t="s">
        <v>8604</v>
      </c>
      <c r="S916" s="153" t="s">
        <v>8605</v>
      </c>
      <c r="T916" s="153" t="s">
        <v>939</v>
      </c>
      <c r="U916" s="153" t="s">
        <v>940</v>
      </c>
      <c r="V916" s="158" t="s">
        <v>6154</v>
      </c>
      <c r="W916" s="158" t="s">
        <v>206</v>
      </c>
      <c r="X916" s="158" t="s">
        <v>159</v>
      </c>
      <c r="Y916" s="158" t="s">
        <v>149</v>
      </c>
      <c r="Z916" s="158" t="s">
        <v>149</v>
      </c>
      <c r="AA916" s="158" t="s">
        <v>149</v>
      </c>
      <c r="AB916" s="153" t="s">
        <v>233</v>
      </c>
      <c r="AC916" s="158" t="s">
        <v>6068</v>
      </c>
      <c r="AD916" s="153"/>
      <c r="AE916" s="153"/>
      <c r="AF916" s="153"/>
      <c r="AG916" s="158" t="s">
        <v>6214</v>
      </c>
      <c r="AH916" s="153" t="s">
        <v>941</v>
      </c>
      <c r="AI916" s="172" t="s">
        <v>948</v>
      </c>
      <c r="AJ916" s="153" t="s">
        <v>943</v>
      </c>
      <c r="AK916" s="153"/>
    </row>
    <row r="917">
      <c r="A917" s="152">
        <v>2024.0</v>
      </c>
      <c r="B917" s="151">
        <v>308.0</v>
      </c>
      <c r="C917" s="153"/>
      <c r="D917" s="153"/>
      <c r="E917" s="153" t="s">
        <v>8189</v>
      </c>
      <c r="F917" s="153" t="s">
        <v>8606</v>
      </c>
      <c r="G917" s="153">
        <f>IFERROR(__xludf.DUMMYFUNCTION("""COMPUTED_VALUE"""),437.0)</f>
        <v>437</v>
      </c>
      <c r="H917" s="153" t="s">
        <v>579</v>
      </c>
      <c r="I917" s="153" t="s">
        <v>580</v>
      </c>
      <c r="J917" s="153" t="s">
        <v>1540</v>
      </c>
      <c r="K917" s="153" t="s">
        <v>1541</v>
      </c>
      <c r="L917" s="153" t="s">
        <v>1542</v>
      </c>
      <c r="M917" s="153"/>
      <c r="N917" s="230">
        <v>1995.0</v>
      </c>
      <c r="O917" s="230">
        <v>1995.0</v>
      </c>
      <c r="P917" s="230">
        <v>1997.0</v>
      </c>
      <c r="Q917" s="153" t="s">
        <v>6062</v>
      </c>
      <c r="R917" s="153" t="s">
        <v>179</v>
      </c>
      <c r="S917" s="158" t="s">
        <v>179</v>
      </c>
      <c r="T917" s="153" t="s">
        <v>1545</v>
      </c>
      <c r="U917" s="153" t="s">
        <v>1546</v>
      </c>
      <c r="V917" s="158" t="s">
        <v>160</v>
      </c>
      <c r="W917" s="158" t="s">
        <v>306</v>
      </c>
      <c r="X917" s="158" t="s">
        <v>204</v>
      </c>
      <c r="Y917" s="158" t="s">
        <v>149</v>
      </c>
      <c r="Z917" s="158" t="s">
        <v>149</v>
      </c>
      <c r="AA917" s="158" t="s">
        <v>149</v>
      </c>
      <c r="AB917" s="153" t="s">
        <v>1547</v>
      </c>
      <c r="AC917" s="153" t="s">
        <v>306</v>
      </c>
      <c r="AD917" s="153"/>
      <c r="AE917" s="153"/>
      <c r="AF917" s="153"/>
      <c r="AG917" s="153" t="s">
        <v>213</v>
      </c>
      <c r="AH917" s="153" t="s">
        <v>213</v>
      </c>
      <c r="AI917" s="153"/>
      <c r="AJ917" s="153" t="s">
        <v>1548</v>
      </c>
      <c r="AK917" s="153" t="s">
        <v>1549</v>
      </c>
    </row>
    <row r="918">
      <c r="A918" s="152">
        <v>2023.0</v>
      </c>
      <c r="B918" s="151">
        <v>50.0</v>
      </c>
      <c r="C918" s="129" t="s">
        <v>140</v>
      </c>
      <c r="D918" s="8"/>
      <c r="E918" s="8" t="s">
        <v>8189</v>
      </c>
      <c r="F918" s="8" t="s">
        <v>6255</v>
      </c>
      <c r="G918" s="8">
        <f>IFERROR(__xludf.DUMMYFUNCTION("""COMPUTED_VALUE"""),438.0)</f>
        <v>438</v>
      </c>
      <c r="H918" s="8" t="s">
        <v>143</v>
      </c>
      <c r="I918" s="8" t="s">
        <v>144</v>
      </c>
      <c r="J918" s="8" t="s">
        <v>230</v>
      </c>
      <c r="K918" s="153" t="s">
        <v>231</v>
      </c>
      <c r="L918" s="8" t="s">
        <v>1828</v>
      </c>
      <c r="M918" s="8" t="s">
        <v>6256</v>
      </c>
      <c r="N918" s="142" t="s">
        <v>6063</v>
      </c>
      <c r="O918" s="142" t="s">
        <v>6063</v>
      </c>
      <c r="P918" s="142" t="s">
        <v>6152</v>
      </c>
      <c r="Q918" s="8" t="s">
        <v>6221</v>
      </c>
      <c r="T918" s="8" t="s">
        <v>1831</v>
      </c>
      <c r="U918" s="8" t="s">
        <v>321</v>
      </c>
      <c r="V918" s="244"/>
      <c r="W918" s="244"/>
      <c r="X918" s="244"/>
      <c r="Y918" s="244">
        <v>2803661.28</v>
      </c>
      <c r="AB918" s="8" t="s">
        <v>233</v>
      </c>
      <c r="AD918" s="8" t="s">
        <v>1837</v>
      </c>
      <c r="AH918" s="8" t="s">
        <v>6257</v>
      </c>
      <c r="AJ918" s="8" t="s">
        <v>943</v>
      </c>
    </row>
    <row r="919">
      <c r="A919" s="152">
        <v>2025.0</v>
      </c>
      <c r="B919" s="151">
        <v>50.0</v>
      </c>
      <c r="C919" s="153" t="s">
        <v>8189</v>
      </c>
      <c r="D919" s="153"/>
      <c r="E919" s="153" t="s">
        <v>8301</v>
      </c>
      <c r="F919" s="153" t="s">
        <v>6258</v>
      </c>
      <c r="G919" s="153">
        <f>IFERROR(__xludf.DUMMYFUNCTION("""COMPUTED_VALUE"""),439.0)</f>
        <v>439</v>
      </c>
      <c r="H919" s="153" t="s">
        <v>143</v>
      </c>
      <c r="I919" s="153" t="s">
        <v>144</v>
      </c>
      <c r="J919" s="153" t="s">
        <v>230</v>
      </c>
      <c r="K919" s="153" t="s">
        <v>231</v>
      </c>
      <c r="L919" s="158" t="s">
        <v>149</v>
      </c>
      <c r="M919" s="158" t="s">
        <v>6260</v>
      </c>
      <c r="N919" s="160" t="s">
        <v>6042</v>
      </c>
      <c r="O919" s="160" t="s">
        <v>6114</v>
      </c>
      <c r="P919" s="160" t="s">
        <v>149</v>
      </c>
      <c r="Q919" s="153" t="s">
        <v>6259</v>
      </c>
      <c r="R919" s="158" t="s">
        <v>6262</v>
      </c>
      <c r="S919" s="158" t="s">
        <v>2907</v>
      </c>
      <c r="T919" s="153" t="s">
        <v>8607</v>
      </c>
      <c r="U919" s="153" t="s">
        <v>2909</v>
      </c>
      <c r="V919" s="158" t="s">
        <v>160</v>
      </c>
      <c r="W919" s="158" t="s">
        <v>209</v>
      </c>
      <c r="X919" s="158" t="s">
        <v>204</v>
      </c>
      <c r="Y919" s="158" t="s">
        <v>149</v>
      </c>
      <c r="Z919" s="158" t="s">
        <v>149</v>
      </c>
      <c r="AA919" s="158" t="s">
        <v>149</v>
      </c>
      <c r="AB919" s="153" t="s">
        <v>233</v>
      </c>
      <c r="AC919" s="158" t="s">
        <v>6068</v>
      </c>
      <c r="AD919" s="153" t="s">
        <v>321</v>
      </c>
      <c r="AE919" s="153"/>
      <c r="AF919" s="153"/>
      <c r="AG919" s="158" t="s">
        <v>6214</v>
      </c>
      <c r="AH919" s="153" t="s">
        <v>2910</v>
      </c>
      <c r="AI919" s="165" t="s">
        <v>2911</v>
      </c>
      <c r="AJ919" s="153" t="s">
        <v>1061</v>
      </c>
      <c r="AK919" s="153"/>
    </row>
    <row r="920">
      <c r="A920" s="152">
        <v>2024.0</v>
      </c>
      <c r="B920" s="151">
        <v>309.0</v>
      </c>
      <c r="C920" s="153"/>
      <c r="D920" s="153"/>
      <c r="E920" s="153" t="s">
        <v>8189</v>
      </c>
      <c r="F920" s="153" t="s">
        <v>8608</v>
      </c>
      <c r="G920" s="153">
        <f>IFERROR(__xludf.DUMMYFUNCTION("""COMPUTED_VALUE"""),440.0)</f>
        <v>440</v>
      </c>
      <c r="H920" s="153" t="s">
        <v>579</v>
      </c>
      <c r="I920" s="153" t="s">
        <v>580</v>
      </c>
      <c r="J920" s="153" t="s">
        <v>973</v>
      </c>
      <c r="K920" s="153" t="s">
        <v>974</v>
      </c>
      <c r="L920" s="153" t="s">
        <v>934</v>
      </c>
      <c r="M920" s="153"/>
      <c r="N920" s="230">
        <v>2001.0</v>
      </c>
      <c r="O920" s="230">
        <v>2001.0</v>
      </c>
      <c r="P920" s="230">
        <v>2005.0</v>
      </c>
      <c r="Q920" s="153" t="s">
        <v>6062</v>
      </c>
      <c r="R920" s="153" t="s">
        <v>3245</v>
      </c>
      <c r="S920" s="158" t="s">
        <v>179</v>
      </c>
      <c r="T920" s="153" t="s">
        <v>939</v>
      </c>
      <c r="U920" s="153" t="s">
        <v>940</v>
      </c>
      <c r="V920" s="158" t="s">
        <v>6154</v>
      </c>
      <c r="W920" s="158" t="s">
        <v>206</v>
      </c>
      <c r="X920" s="158" t="s">
        <v>204</v>
      </c>
      <c r="Y920" s="158" t="s">
        <v>149</v>
      </c>
      <c r="Z920" s="158" t="s">
        <v>149</v>
      </c>
      <c r="AA920" s="158" t="s">
        <v>149</v>
      </c>
      <c r="AB920" s="153" t="s">
        <v>233</v>
      </c>
      <c r="AC920" s="158" t="s">
        <v>6068</v>
      </c>
      <c r="AD920" s="153"/>
      <c r="AE920" s="153"/>
      <c r="AF920" s="153"/>
      <c r="AG920" s="158" t="s">
        <v>6214</v>
      </c>
      <c r="AH920" s="153" t="s">
        <v>941</v>
      </c>
      <c r="AI920" s="153" t="s">
        <v>942</v>
      </c>
      <c r="AJ920" s="153" t="s">
        <v>943</v>
      </c>
      <c r="AK920" s="153"/>
    </row>
    <row r="921">
      <c r="A921" s="152">
        <v>2023.0</v>
      </c>
      <c r="B921" s="151">
        <v>51.0</v>
      </c>
      <c r="C921" s="129" t="s">
        <v>140</v>
      </c>
      <c r="D921" s="8"/>
      <c r="E921" s="8" t="s">
        <v>8189</v>
      </c>
      <c r="F921" s="8" t="s">
        <v>6265</v>
      </c>
      <c r="G921" s="8">
        <f>IFERROR(__xludf.DUMMYFUNCTION("""COMPUTED_VALUE"""),441.0)</f>
        <v>441</v>
      </c>
      <c r="H921" s="8" t="s">
        <v>143</v>
      </c>
      <c r="I921" s="8" t="s">
        <v>144</v>
      </c>
      <c r="J921" s="8" t="s">
        <v>230</v>
      </c>
      <c r="K921" s="153" t="s">
        <v>231</v>
      </c>
      <c r="L921" s="8" t="s">
        <v>1846</v>
      </c>
      <c r="N921" s="142" t="s">
        <v>6063</v>
      </c>
      <c r="O921" s="142" t="s">
        <v>6063</v>
      </c>
      <c r="P921" s="142" t="s">
        <v>6152</v>
      </c>
      <c r="Q921" s="8" t="s">
        <v>6221</v>
      </c>
      <c r="T921" s="8" t="s">
        <v>1848</v>
      </c>
      <c r="U921" s="8" t="s">
        <v>321</v>
      </c>
      <c r="V921" s="244"/>
      <c r="W921" s="244"/>
      <c r="X921" s="244"/>
      <c r="Y921" s="244">
        <v>2682661.5</v>
      </c>
      <c r="AB921" s="8" t="s">
        <v>233</v>
      </c>
      <c r="AD921" s="8" t="s">
        <v>1850</v>
      </c>
      <c r="AE921" s="8" t="s">
        <v>885</v>
      </c>
      <c r="AH921" s="8" t="s">
        <v>6257</v>
      </c>
      <c r="AJ921" s="8" t="s">
        <v>943</v>
      </c>
    </row>
    <row r="922">
      <c r="A922" s="152">
        <v>2025.0</v>
      </c>
      <c r="B922" s="151">
        <v>51.0</v>
      </c>
      <c r="C922" s="153" t="s">
        <v>8189</v>
      </c>
      <c r="D922" s="153"/>
      <c r="E922" s="153" t="s">
        <v>8301</v>
      </c>
      <c r="F922" s="153" t="s">
        <v>6266</v>
      </c>
      <c r="G922" s="153">
        <f>IFERROR(__xludf.DUMMYFUNCTION("""COMPUTED_VALUE"""),442.0)</f>
        <v>442</v>
      </c>
      <c r="H922" s="153" t="s">
        <v>143</v>
      </c>
      <c r="I922" s="153" t="s">
        <v>144</v>
      </c>
      <c r="J922" s="153" t="s">
        <v>230</v>
      </c>
      <c r="K922" s="153" t="s">
        <v>231</v>
      </c>
      <c r="L922" s="153" t="s">
        <v>197</v>
      </c>
      <c r="M922" s="158" t="s">
        <v>6267</v>
      </c>
      <c r="N922" s="175" t="s">
        <v>6089</v>
      </c>
      <c r="O922" s="175" t="s">
        <v>6089</v>
      </c>
      <c r="P922" s="175" t="s">
        <v>6268</v>
      </c>
      <c r="Q922" s="153" t="s">
        <v>6221</v>
      </c>
      <c r="R922" s="158" t="s">
        <v>200</v>
      </c>
      <c r="S922" s="158" t="s">
        <v>224</v>
      </c>
      <c r="T922" s="153" t="s">
        <v>6269</v>
      </c>
      <c r="U922" s="153" t="s">
        <v>203</v>
      </c>
      <c r="V922" s="158" t="s">
        <v>6154</v>
      </c>
      <c r="W922" s="158" t="s">
        <v>206</v>
      </c>
      <c r="X922" s="158" t="s">
        <v>159</v>
      </c>
      <c r="Y922" s="158" t="s">
        <v>149</v>
      </c>
      <c r="Z922" s="158" t="s">
        <v>149</v>
      </c>
      <c r="AA922" s="158" t="s">
        <v>149</v>
      </c>
      <c r="AB922" s="153" t="s">
        <v>208</v>
      </c>
      <c r="AC922" s="158" t="s">
        <v>6068</v>
      </c>
      <c r="AD922" s="153" t="s">
        <v>8609</v>
      </c>
      <c r="AE922" s="153"/>
      <c r="AF922" s="153"/>
      <c r="AG922" s="158" t="s">
        <v>6214</v>
      </c>
      <c r="AH922" s="153" t="s">
        <v>243</v>
      </c>
      <c r="AI922" s="165" t="s">
        <v>244</v>
      </c>
      <c r="AJ922" s="153" t="s">
        <v>245</v>
      </c>
      <c r="AK922" s="153"/>
    </row>
    <row r="923">
      <c r="A923" s="152">
        <v>2024.0</v>
      </c>
      <c r="B923" s="151">
        <v>310.0</v>
      </c>
      <c r="C923" s="153"/>
      <c r="D923" s="153"/>
      <c r="E923" s="153" t="s">
        <v>8189</v>
      </c>
      <c r="F923" s="153" t="s">
        <v>8610</v>
      </c>
      <c r="G923" s="153">
        <f>IFERROR(__xludf.DUMMYFUNCTION("""COMPUTED_VALUE"""),443.0)</f>
        <v>443</v>
      </c>
      <c r="H923" s="153" t="s">
        <v>579</v>
      </c>
      <c r="I923" s="153" t="s">
        <v>580</v>
      </c>
      <c r="J923" s="153" t="s">
        <v>973</v>
      </c>
      <c r="K923" s="153" t="s">
        <v>974</v>
      </c>
      <c r="L923" s="158" t="s">
        <v>149</v>
      </c>
      <c r="M923" s="153" t="s">
        <v>3017</v>
      </c>
      <c r="N923" s="230">
        <v>2013.0</v>
      </c>
      <c r="O923" s="192" t="s">
        <v>149</v>
      </c>
      <c r="P923" s="192" t="s">
        <v>149</v>
      </c>
      <c r="Q923" s="153" t="s">
        <v>6062</v>
      </c>
      <c r="R923" s="153" t="s">
        <v>3018</v>
      </c>
      <c r="S923" s="158" t="s">
        <v>179</v>
      </c>
      <c r="T923" s="153" t="s">
        <v>3019</v>
      </c>
      <c r="U923" s="153" t="s">
        <v>1546</v>
      </c>
      <c r="V923" s="158" t="s">
        <v>160</v>
      </c>
      <c r="W923" s="158" t="s">
        <v>306</v>
      </c>
      <c r="X923" s="158" t="s">
        <v>204</v>
      </c>
      <c r="Y923" s="158" t="s">
        <v>149</v>
      </c>
      <c r="Z923" s="158" t="s">
        <v>149</v>
      </c>
      <c r="AA923" s="158" t="s">
        <v>149</v>
      </c>
      <c r="AB923" s="153" t="s">
        <v>3020</v>
      </c>
      <c r="AC923" s="158" t="s">
        <v>6068</v>
      </c>
      <c r="AD923" s="153"/>
      <c r="AE923" s="153"/>
      <c r="AF923" s="153"/>
      <c r="AG923" s="158" t="s">
        <v>6214</v>
      </c>
      <c r="AH923" s="153" t="s">
        <v>7242</v>
      </c>
      <c r="AI923" s="165" t="s">
        <v>3022</v>
      </c>
      <c r="AJ923" s="153"/>
      <c r="AK923" s="153"/>
    </row>
    <row r="924">
      <c r="A924" s="152">
        <v>2023.0</v>
      </c>
      <c r="B924" s="151">
        <v>52.0</v>
      </c>
      <c r="C924" s="129" t="s">
        <v>140</v>
      </c>
      <c r="D924" s="8"/>
      <c r="E924" s="8" t="s">
        <v>8189</v>
      </c>
      <c r="F924" s="8" t="s">
        <v>6271</v>
      </c>
      <c r="G924" s="8">
        <f>IFERROR(__xludf.DUMMYFUNCTION("""COMPUTED_VALUE"""),444.0)</f>
        <v>444</v>
      </c>
      <c r="H924" s="8" t="s">
        <v>143</v>
      </c>
      <c r="I924" s="8" t="s">
        <v>144</v>
      </c>
      <c r="J924" s="8" t="s">
        <v>230</v>
      </c>
      <c r="K924" s="153" t="s">
        <v>231</v>
      </c>
      <c r="L924" s="8" t="s">
        <v>6235</v>
      </c>
      <c r="N924" s="142" t="s">
        <v>6098</v>
      </c>
      <c r="O924" s="142"/>
      <c r="P924" s="142"/>
      <c r="Q924" s="8" t="s">
        <v>6221</v>
      </c>
      <c r="U924" s="8" t="s">
        <v>203</v>
      </c>
      <c r="AB924" s="8" t="s">
        <v>233</v>
      </c>
      <c r="AF924" s="8" t="s">
        <v>208</v>
      </c>
    </row>
    <row r="925">
      <c r="A925" s="152">
        <v>2025.0</v>
      </c>
      <c r="B925" s="151">
        <v>52.0</v>
      </c>
      <c r="C925" s="153" t="s">
        <v>8189</v>
      </c>
      <c r="D925" s="153"/>
      <c r="E925" s="153" t="s">
        <v>8301</v>
      </c>
      <c r="F925" s="153" t="s">
        <v>6272</v>
      </c>
      <c r="G925" s="153">
        <f>IFERROR(__xludf.DUMMYFUNCTION("""COMPUTED_VALUE"""),445.0)</f>
        <v>445</v>
      </c>
      <c r="H925" s="153" t="s">
        <v>143</v>
      </c>
      <c r="I925" s="153" t="s">
        <v>144</v>
      </c>
      <c r="J925" s="153" t="s">
        <v>230</v>
      </c>
      <c r="K925" s="153" t="s">
        <v>231</v>
      </c>
      <c r="L925" s="153" t="s">
        <v>6305</v>
      </c>
      <c r="M925" s="153" t="s">
        <v>247</v>
      </c>
      <c r="N925" s="175" t="s">
        <v>6064</v>
      </c>
      <c r="O925" s="175" t="s">
        <v>6064</v>
      </c>
      <c r="P925" s="175" t="s">
        <v>6273</v>
      </c>
      <c r="Q925" s="153" t="s">
        <v>6221</v>
      </c>
      <c r="R925" s="158" t="s">
        <v>200</v>
      </c>
      <c r="S925" s="158" t="s">
        <v>224</v>
      </c>
      <c r="T925" s="153" t="s">
        <v>248</v>
      </c>
      <c r="U925" s="153" t="s">
        <v>203</v>
      </c>
      <c r="V925" s="158" t="s">
        <v>6154</v>
      </c>
      <c r="W925" s="158" t="s">
        <v>206</v>
      </c>
      <c r="X925" s="158" t="s">
        <v>159</v>
      </c>
      <c r="Y925" s="158" t="s">
        <v>149</v>
      </c>
      <c r="Z925" s="158" t="s">
        <v>149</v>
      </c>
      <c r="AA925" s="158" t="s">
        <v>149</v>
      </c>
      <c r="AB925" s="153" t="s">
        <v>208</v>
      </c>
      <c r="AC925" s="158" t="s">
        <v>6068</v>
      </c>
      <c r="AD925" s="153" t="s">
        <v>8611</v>
      </c>
      <c r="AE925" s="153"/>
      <c r="AF925" s="153"/>
      <c r="AG925" s="158" t="s">
        <v>6214</v>
      </c>
      <c r="AH925" s="153" t="s">
        <v>250</v>
      </c>
      <c r="AI925" s="165" t="s">
        <v>251</v>
      </c>
      <c r="AJ925" s="153" t="s">
        <v>252</v>
      </c>
      <c r="AK925" s="153"/>
    </row>
    <row r="926">
      <c r="A926" s="152">
        <v>2024.0</v>
      </c>
      <c r="B926" s="151">
        <v>311.0</v>
      </c>
      <c r="C926" s="153"/>
      <c r="D926" s="153"/>
      <c r="E926" s="153" t="s">
        <v>8189</v>
      </c>
      <c r="F926" s="153" t="s">
        <v>8612</v>
      </c>
      <c r="G926" s="153">
        <f>IFERROR(__xludf.DUMMYFUNCTION("""COMPUTED_VALUE"""),446.0)</f>
        <v>446</v>
      </c>
      <c r="H926" s="153" t="s">
        <v>579</v>
      </c>
      <c r="I926" s="153" t="s">
        <v>580</v>
      </c>
      <c r="J926" s="153" t="s">
        <v>973</v>
      </c>
      <c r="K926" s="153" t="s">
        <v>974</v>
      </c>
      <c r="L926" s="158" t="s">
        <v>149</v>
      </c>
      <c r="M926" s="153" t="s">
        <v>3024</v>
      </c>
      <c r="N926" s="230">
        <v>2013.0</v>
      </c>
      <c r="O926" s="192" t="s">
        <v>149</v>
      </c>
      <c r="P926" s="192" t="s">
        <v>149</v>
      </c>
      <c r="Q926" s="153" t="s">
        <v>6062</v>
      </c>
      <c r="R926" s="153" t="s">
        <v>3018</v>
      </c>
      <c r="S926" s="158" t="s">
        <v>179</v>
      </c>
      <c r="T926" s="153" t="s">
        <v>3019</v>
      </c>
      <c r="U926" s="153" t="s">
        <v>1546</v>
      </c>
      <c r="V926" s="158" t="s">
        <v>160</v>
      </c>
      <c r="W926" s="158" t="s">
        <v>306</v>
      </c>
      <c r="X926" s="158" t="s">
        <v>204</v>
      </c>
      <c r="Y926" s="158" t="s">
        <v>149</v>
      </c>
      <c r="Z926" s="158" t="s">
        <v>149</v>
      </c>
      <c r="AA926" s="158" t="s">
        <v>149</v>
      </c>
      <c r="AB926" s="153" t="s">
        <v>3020</v>
      </c>
      <c r="AC926" s="158" t="s">
        <v>6068</v>
      </c>
      <c r="AD926" s="153"/>
      <c r="AE926" s="153"/>
      <c r="AF926" s="153"/>
      <c r="AG926" s="158" t="s">
        <v>6214</v>
      </c>
      <c r="AH926" s="153" t="s">
        <v>7242</v>
      </c>
      <c r="AI926" s="153" t="s">
        <v>3022</v>
      </c>
      <c r="AJ926" s="153"/>
      <c r="AK926" s="153"/>
    </row>
    <row r="927">
      <c r="A927" s="152">
        <v>2023.0</v>
      </c>
      <c r="B927" s="151">
        <v>53.0</v>
      </c>
      <c r="C927" s="129" t="s">
        <v>140</v>
      </c>
      <c r="D927" s="8"/>
      <c r="E927" s="8" t="s">
        <v>8189</v>
      </c>
      <c r="F927" s="8" t="s">
        <v>6275</v>
      </c>
      <c r="G927" s="8">
        <f>IFERROR(__xludf.DUMMYFUNCTION("""COMPUTED_VALUE"""),447.0)</f>
        <v>447</v>
      </c>
      <c r="H927" s="8" t="s">
        <v>143</v>
      </c>
      <c r="I927" s="8" t="s">
        <v>144</v>
      </c>
      <c r="J927" s="8" t="s">
        <v>230</v>
      </c>
      <c r="K927" s="153" t="s">
        <v>231</v>
      </c>
      <c r="L927" s="8" t="s">
        <v>934</v>
      </c>
      <c r="N927" s="142" t="s">
        <v>6229</v>
      </c>
      <c r="O927" s="142" t="s">
        <v>6229</v>
      </c>
      <c r="P927" s="142" t="s">
        <v>6230</v>
      </c>
      <c r="Q927" s="8" t="s">
        <v>6062</v>
      </c>
      <c r="R927" s="8" t="s">
        <v>6276</v>
      </c>
      <c r="T927" s="8" t="s">
        <v>939</v>
      </c>
      <c r="U927" s="8" t="s">
        <v>940</v>
      </c>
      <c r="AB927" s="8" t="s">
        <v>233</v>
      </c>
      <c r="AH927" s="8" t="s">
        <v>6214</v>
      </c>
      <c r="AI927" s="8" t="s">
        <v>942</v>
      </c>
      <c r="AJ927" s="8" t="s">
        <v>943</v>
      </c>
    </row>
    <row r="928">
      <c r="A928" s="152">
        <v>2025.0</v>
      </c>
      <c r="B928" s="151">
        <v>53.0</v>
      </c>
      <c r="C928" s="158" t="s">
        <v>8189</v>
      </c>
      <c r="D928" s="158"/>
      <c r="E928" s="158" t="s">
        <v>8301</v>
      </c>
      <c r="F928" s="158" t="s">
        <v>8613</v>
      </c>
      <c r="G928" s="158">
        <f>IFERROR(__xludf.DUMMYFUNCTION("""COMPUTED_VALUE"""),448.0)</f>
        <v>448</v>
      </c>
      <c r="H928" s="158" t="s">
        <v>143</v>
      </c>
      <c r="I928" s="158" t="s">
        <v>144</v>
      </c>
      <c r="J928" s="158" t="s">
        <v>230</v>
      </c>
      <c r="K928" s="158" t="s">
        <v>231</v>
      </c>
      <c r="L928" s="153" t="s">
        <v>7809</v>
      </c>
      <c r="M928" s="158"/>
      <c r="N928" s="160"/>
      <c r="O928" s="160" t="s">
        <v>6030</v>
      </c>
      <c r="P928" s="160" t="s">
        <v>14</v>
      </c>
      <c r="Q928" s="158" t="s">
        <v>6221</v>
      </c>
      <c r="R928" s="158" t="s">
        <v>200</v>
      </c>
      <c r="S928" s="158" t="s">
        <v>224</v>
      </c>
      <c r="T928" s="158" t="s">
        <v>149</v>
      </c>
      <c r="U928" s="158" t="s">
        <v>203</v>
      </c>
      <c r="V928" s="158" t="s">
        <v>6154</v>
      </c>
      <c r="W928" s="158" t="s">
        <v>206</v>
      </c>
      <c r="X928" s="158" t="s">
        <v>159</v>
      </c>
      <c r="Y928" s="158" t="s">
        <v>149</v>
      </c>
      <c r="Z928" s="158" t="s">
        <v>149</v>
      </c>
      <c r="AA928" s="158" t="s">
        <v>149</v>
      </c>
      <c r="AB928" s="158" t="s">
        <v>208</v>
      </c>
      <c r="AC928" s="158" t="s">
        <v>6068</v>
      </c>
      <c r="AD928" s="158" t="s">
        <v>255</v>
      </c>
      <c r="AE928" s="153"/>
      <c r="AF928" s="153"/>
      <c r="AG928" s="158" t="s">
        <v>214</v>
      </c>
      <c r="AH928" s="158"/>
      <c r="AI928" s="165"/>
      <c r="AJ928" s="153"/>
      <c r="AK928" s="153"/>
    </row>
    <row r="929">
      <c r="A929" s="152">
        <v>2024.0</v>
      </c>
      <c r="B929" s="151">
        <v>312.0</v>
      </c>
      <c r="C929" s="153"/>
      <c r="D929" s="153"/>
      <c r="E929" s="153" t="s">
        <v>8189</v>
      </c>
      <c r="F929" s="153" t="s">
        <v>8614</v>
      </c>
      <c r="G929" s="153">
        <f>IFERROR(__xludf.DUMMYFUNCTION("""COMPUTED_VALUE"""),449.0)</f>
        <v>449</v>
      </c>
      <c r="H929" s="153" t="s">
        <v>579</v>
      </c>
      <c r="I929" s="153" t="s">
        <v>580</v>
      </c>
      <c r="J929" s="153" t="s">
        <v>3155</v>
      </c>
      <c r="K929" s="153" t="s">
        <v>3156</v>
      </c>
      <c r="L929" s="158" t="s">
        <v>149</v>
      </c>
      <c r="M929" s="153" t="s">
        <v>7234</v>
      </c>
      <c r="N929" s="192" t="s">
        <v>149</v>
      </c>
      <c r="O929" s="192" t="s">
        <v>149</v>
      </c>
      <c r="P929" s="192" t="s">
        <v>149</v>
      </c>
      <c r="Q929" s="153" t="s">
        <v>151</v>
      </c>
      <c r="R929" s="158" t="s">
        <v>149</v>
      </c>
      <c r="S929" s="158" t="s">
        <v>149</v>
      </c>
      <c r="T929" s="158" t="s">
        <v>149</v>
      </c>
      <c r="U929" s="158" t="s">
        <v>149</v>
      </c>
      <c r="V929" s="158" t="s">
        <v>149</v>
      </c>
      <c r="W929" s="158" t="s">
        <v>149</v>
      </c>
      <c r="X929" s="158" t="s">
        <v>149</v>
      </c>
      <c r="Y929" s="158" t="s">
        <v>149</v>
      </c>
      <c r="Z929" s="158" t="s">
        <v>149</v>
      </c>
      <c r="AA929" s="158" t="s">
        <v>149</v>
      </c>
      <c r="AB929" s="158" t="s">
        <v>149</v>
      </c>
      <c r="AC929" s="158" t="s">
        <v>149</v>
      </c>
      <c r="AD929" s="153"/>
      <c r="AE929" s="153"/>
      <c r="AF929" s="153"/>
      <c r="AG929" s="153" t="s">
        <v>6084</v>
      </c>
      <c r="AH929" s="153" t="s">
        <v>3158</v>
      </c>
      <c r="AI929" s="165" t="s">
        <v>3159</v>
      </c>
      <c r="AJ929" s="153"/>
      <c r="AK929" s="153"/>
    </row>
    <row r="930">
      <c r="A930" s="152">
        <v>2023.0</v>
      </c>
      <c r="B930" s="151">
        <v>54.0</v>
      </c>
      <c r="C930" s="129" t="s">
        <v>140</v>
      </c>
      <c r="D930" s="8"/>
      <c r="E930" s="8" t="s">
        <v>8189</v>
      </c>
      <c r="F930" s="8" t="s">
        <v>8615</v>
      </c>
      <c r="G930" s="8">
        <f>IFERROR(__xludf.DUMMYFUNCTION("""COMPUTED_VALUE"""),450.0)</f>
        <v>450</v>
      </c>
      <c r="H930" s="8" t="s">
        <v>143</v>
      </c>
      <c r="I930" s="8" t="s">
        <v>144</v>
      </c>
      <c r="J930" s="8" t="s">
        <v>230</v>
      </c>
      <c r="K930" s="153" t="s">
        <v>231</v>
      </c>
      <c r="L930" s="158" t="s">
        <v>6279</v>
      </c>
      <c r="N930" s="142"/>
      <c r="O930" s="142"/>
      <c r="P930" s="142"/>
      <c r="AB930" s="8" t="s">
        <v>233</v>
      </c>
      <c r="AH930" s="8" t="s">
        <v>6214</v>
      </c>
      <c r="AI930" s="8" t="s">
        <v>6280</v>
      </c>
      <c r="AJ930" s="8" t="s">
        <v>943</v>
      </c>
    </row>
    <row r="931">
      <c r="A931" s="152">
        <v>2025.0</v>
      </c>
      <c r="B931" s="151">
        <v>54.0</v>
      </c>
      <c r="C931" s="153" t="s">
        <v>8189</v>
      </c>
      <c r="D931" s="153"/>
      <c r="E931" s="153" t="s">
        <v>8301</v>
      </c>
      <c r="F931" s="153" t="s">
        <v>6281</v>
      </c>
      <c r="G931" s="153">
        <f>IFERROR(__xludf.DUMMYFUNCTION("""COMPUTED_VALUE"""),451.0)</f>
        <v>451</v>
      </c>
      <c r="H931" s="153" t="s">
        <v>143</v>
      </c>
      <c r="I931" s="153" t="s">
        <v>144</v>
      </c>
      <c r="J931" s="153" t="s">
        <v>230</v>
      </c>
      <c r="K931" s="153" t="s">
        <v>231</v>
      </c>
      <c r="L931" s="158" t="s">
        <v>149</v>
      </c>
      <c r="M931" s="158" t="s">
        <v>6283</v>
      </c>
      <c r="N931" s="175" t="s">
        <v>6064</v>
      </c>
      <c r="O931" s="160" t="s">
        <v>149</v>
      </c>
      <c r="P931" s="160" t="s">
        <v>149</v>
      </c>
      <c r="Q931" s="153" t="s">
        <v>8616</v>
      </c>
      <c r="R931" s="153" t="s">
        <v>2913</v>
      </c>
      <c r="S931" s="158" t="s">
        <v>2913</v>
      </c>
      <c r="T931" s="153" t="s">
        <v>8617</v>
      </c>
      <c r="U931" s="153" t="s">
        <v>321</v>
      </c>
      <c r="V931" s="158" t="s">
        <v>160</v>
      </c>
      <c r="W931" s="158" t="s">
        <v>6035</v>
      </c>
      <c r="X931" s="158" t="s">
        <v>204</v>
      </c>
      <c r="Y931" s="158" t="s">
        <v>149</v>
      </c>
      <c r="Z931" s="158" t="s">
        <v>149</v>
      </c>
      <c r="AA931" s="153" t="s">
        <v>2915</v>
      </c>
      <c r="AB931" s="153" t="s">
        <v>233</v>
      </c>
      <c r="AC931" s="158" t="s">
        <v>6068</v>
      </c>
      <c r="AD931" s="153"/>
      <c r="AE931" s="153"/>
      <c r="AF931" s="153"/>
      <c r="AG931" s="158" t="s">
        <v>6214</v>
      </c>
      <c r="AH931" s="153" t="s">
        <v>2916</v>
      </c>
      <c r="AI931" s="165" t="s">
        <v>2917</v>
      </c>
      <c r="AJ931" s="153" t="s">
        <v>2918</v>
      </c>
      <c r="AK931" s="153"/>
    </row>
    <row r="932">
      <c r="A932" s="152">
        <v>2024.0</v>
      </c>
      <c r="B932" s="151">
        <v>313.0</v>
      </c>
      <c r="C932" s="153"/>
      <c r="D932" s="153"/>
      <c r="E932" s="153" t="s">
        <v>8189</v>
      </c>
      <c r="F932" s="153" t="s">
        <v>8618</v>
      </c>
      <c r="G932" s="153">
        <f>IFERROR(__xludf.DUMMYFUNCTION("""COMPUTED_VALUE"""),452.0)</f>
        <v>452</v>
      </c>
      <c r="H932" s="153" t="s">
        <v>579</v>
      </c>
      <c r="I932" s="153" t="s">
        <v>580</v>
      </c>
      <c r="J932" s="153" t="s">
        <v>2821</v>
      </c>
      <c r="K932" s="153" t="s">
        <v>2822</v>
      </c>
      <c r="L932" s="158" t="s">
        <v>149</v>
      </c>
      <c r="M932" s="153" t="s">
        <v>2823</v>
      </c>
      <c r="N932" s="158" t="s">
        <v>149</v>
      </c>
      <c r="O932" s="158" t="s">
        <v>149</v>
      </c>
      <c r="P932" s="158" t="s">
        <v>149</v>
      </c>
      <c r="Q932" s="153" t="s">
        <v>151</v>
      </c>
      <c r="R932" s="158" t="s">
        <v>149</v>
      </c>
      <c r="S932" s="158" t="s">
        <v>149</v>
      </c>
      <c r="T932" s="153" t="s">
        <v>819</v>
      </c>
      <c r="U932" s="158" t="s">
        <v>149</v>
      </c>
      <c r="V932" s="158" t="s">
        <v>149</v>
      </c>
      <c r="W932" s="158" t="s">
        <v>149</v>
      </c>
      <c r="X932" s="158" t="s">
        <v>149</v>
      </c>
      <c r="Y932" s="158" t="s">
        <v>149</v>
      </c>
      <c r="Z932" s="158" t="s">
        <v>149</v>
      </c>
      <c r="AA932" s="158" t="s">
        <v>149</v>
      </c>
      <c r="AB932" s="153" t="s">
        <v>369</v>
      </c>
      <c r="AC932" s="153" t="s">
        <v>6035</v>
      </c>
      <c r="AD932" s="153"/>
      <c r="AE932" s="153"/>
      <c r="AF932" s="153"/>
      <c r="AG932" s="153" t="s">
        <v>6084</v>
      </c>
      <c r="AH932" s="153" t="s">
        <v>823</v>
      </c>
      <c r="AI932" s="172" t="s">
        <v>824</v>
      </c>
      <c r="AJ932" s="153"/>
      <c r="AK932" s="153"/>
    </row>
    <row r="933">
      <c r="A933" s="152">
        <v>2023.0</v>
      </c>
      <c r="B933" s="151">
        <v>55.0</v>
      </c>
      <c r="C933" s="129" t="s">
        <v>140</v>
      </c>
      <c r="D933" s="8"/>
      <c r="E933" s="8" t="s">
        <v>8189</v>
      </c>
      <c r="F933" s="8" t="s">
        <v>6285</v>
      </c>
      <c r="G933" s="8">
        <f>IFERROR(__xludf.DUMMYFUNCTION("""COMPUTED_VALUE"""),453.0)</f>
        <v>453</v>
      </c>
      <c r="H933" s="8" t="s">
        <v>143</v>
      </c>
      <c r="I933" s="8" t="s">
        <v>144</v>
      </c>
      <c r="J933" s="8" t="s">
        <v>230</v>
      </c>
      <c r="K933" s="153" t="s">
        <v>231</v>
      </c>
      <c r="L933" s="8" t="s">
        <v>6113</v>
      </c>
      <c r="M933" s="8" t="s">
        <v>6286</v>
      </c>
      <c r="N933" s="142" t="s">
        <v>6287</v>
      </c>
      <c r="O933" s="142"/>
      <c r="P933" s="142"/>
      <c r="Q933" s="8" t="s">
        <v>6259</v>
      </c>
      <c r="R933" s="8" t="s">
        <v>6288</v>
      </c>
      <c r="T933" s="8" t="s">
        <v>6289</v>
      </c>
      <c r="U933" s="8" t="s">
        <v>2909</v>
      </c>
      <c r="AB933" s="8" t="s">
        <v>233</v>
      </c>
      <c r="AD933" s="8" t="s">
        <v>321</v>
      </c>
      <c r="AH933" s="8" t="s">
        <v>6214</v>
      </c>
      <c r="AI933" s="8" t="s">
        <v>2911</v>
      </c>
      <c r="AJ933" s="8" t="s">
        <v>1061</v>
      </c>
    </row>
    <row r="934">
      <c r="A934" s="152">
        <v>2025.0</v>
      </c>
      <c r="B934" s="151">
        <v>55.0</v>
      </c>
      <c r="C934" s="153" t="s">
        <v>8189</v>
      </c>
      <c r="D934" s="153"/>
      <c r="E934" s="153" t="s">
        <v>8301</v>
      </c>
      <c r="F934" s="153" t="s">
        <v>6290</v>
      </c>
      <c r="G934" s="153">
        <f>IFERROR(__xludf.DUMMYFUNCTION("""COMPUTED_VALUE"""),454.0)</f>
        <v>454</v>
      </c>
      <c r="H934" s="153" t="s">
        <v>143</v>
      </c>
      <c r="I934" s="153" t="s">
        <v>144</v>
      </c>
      <c r="J934" s="153" t="s">
        <v>230</v>
      </c>
      <c r="K934" s="153" t="s">
        <v>231</v>
      </c>
      <c r="L934" s="158" t="s">
        <v>149</v>
      </c>
      <c r="M934" s="153" t="s">
        <v>6291</v>
      </c>
      <c r="N934" s="175" t="s">
        <v>6042</v>
      </c>
      <c r="O934" s="175" t="s">
        <v>6114</v>
      </c>
      <c r="P934" s="175" t="s">
        <v>6151</v>
      </c>
      <c r="Q934" s="153" t="s">
        <v>6259</v>
      </c>
      <c r="R934" s="153" t="s">
        <v>8619</v>
      </c>
      <c r="S934" s="158" t="s">
        <v>2922</v>
      </c>
      <c r="T934" s="153" t="s">
        <v>8620</v>
      </c>
      <c r="U934" s="153" t="s">
        <v>321</v>
      </c>
      <c r="V934" s="158" t="s">
        <v>160</v>
      </c>
      <c r="W934" s="158" t="s">
        <v>6035</v>
      </c>
      <c r="X934" s="158" t="s">
        <v>204</v>
      </c>
      <c r="Y934" s="158" t="s">
        <v>149</v>
      </c>
      <c r="Z934" s="158" t="s">
        <v>149</v>
      </c>
      <c r="AA934" s="153" t="s">
        <v>2924</v>
      </c>
      <c r="AB934" s="153" t="s">
        <v>233</v>
      </c>
      <c r="AC934" s="158" t="s">
        <v>6068</v>
      </c>
      <c r="AD934" s="153"/>
      <c r="AE934" s="153"/>
      <c r="AF934" s="153"/>
      <c r="AG934" s="158" t="s">
        <v>6214</v>
      </c>
      <c r="AH934" s="153" t="s">
        <v>2925</v>
      </c>
      <c r="AI934" s="165" t="s">
        <v>2926</v>
      </c>
      <c r="AJ934" s="153" t="s">
        <v>2927</v>
      </c>
      <c r="AK934" s="239"/>
    </row>
    <row r="935">
      <c r="A935" s="152">
        <v>2024.0</v>
      </c>
      <c r="B935" s="151">
        <v>314.0</v>
      </c>
      <c r="C935" s="153"/>
      <c r="D935" s="153"/>
      <c r="E935" s="153" t="s">
        <v>8189</v>
      </c>
      <c r="F935" s="153" t="s">
        <v>8621</v>
      </c>
      <c r="G935" s="153">
        <f>IFERROR(__xludf.DUMMYFUNCTION("""COMPUTED_VALUE"""),455.0)</f>
        <v>455</v>
      </c>
      <c r="H935" s="153" t="s">
        <v>579</v>
      </c>
      <c r="I935" s="153" t="s">
        <v>580</v>
      </c>
      <c r="J935" s="153" t="s">
        <v>3026</v>
      </c>
      <c r="K935" s="153" t="s">
        <v>3027</v>
      </c>
      <c r="L935" s="158" t="s">
        <v>149</v>
      </c>
      <c r="M935" s="153" t="s">
        <v>3028</v>
      </c>
      <c r="N935" s="230">
        <v>2013.0</v>
      </c>
      <c r="O935" s="192" t="s">
        <v>149</v>
      </c>
      <c r="P935" s="192" t="s">
        <v>149</v>
      </c>
      <c r="Q935" s="153" t="s">
        <v>6062</v>
      </c>
      <c r="R935" s="153" t="s">
        <v>3018</v>
      </c>
      <c r="S935" s="158" t="s">
        <v>179</v>
      </c>
      <c r="T935" s="153" t="s">
        <v>3019</v>
      </c>
      <c r="U935" s="153" t="s">
        <v>1546</v>
      </c>
      <c r="V935" s="158" t="s">
        <v>160</v>
      </c>
      <c r="W935" s="158" t="s">
        <v>306</v>
      </c>
      <c r="X935" s="158" t="s">
        <v>204</v>
      </c>
      <c r="Y935" s="158" t="s">
        <v>149</v>
      </c>
      <c r="Z935" s="158" t="s">
        <v>149</v>
      </c>
      <c r="AA935" s="158" t="s">
        <v>149</v>
      </c>
      <c r="AB935" s="153" t="s">
        <v>3020</v>
      </c>
      <c r="AC935" s="158" t="s">
        <v>6068</v>
      </c>
      <c r="AD935" s="153"/>
      <c r="AE935" s="153"/>
      <c r="AF935" s="153"/>
      <c r="AG935" s="158" t="s">
        <v>6214</v>
      </c>
      <c r="AH935" s="153" t="s">
        <v>7242</v>
      </c>
      <c r="AI935" s="153" t="s">
        <v>3022</v>
      </c>
      <c r="AJ935" s="153"/>
      <c r="AK935" s="153"/>
    </row>
    <row r="936">
      <c r="A936" s="152">
        <v>2023.0</v>
      </c>
      <c r="B936" s="151">
        <v>56.0</v>
      </c>
      <c r="C936" s="129" t="s">
        <v>140</v>
      </c>
      <c r="D936" s="8"/>
      <c r="E936" s="8" t="s">
        <v>8189</v>
      </c>
      <c r="F936" s="8" t="s">
        <v>6294</v>
      </c>
      <c r="G936" s="8">
        <f>IFERROR(__xludf.DUMMYFUNCTION("""COMPUTED_VALUE"""),456.0)</f>
        <v>456</v>
      </c>
      <c r="H936" s="8" t="s">
        <v>143</v>
      </c>
      <c r="I936" s="8" t="s">
        <v>144</v>
      </c>
      <c r="J936" s="8" t="s">
        <v>230</v>
      </c>
      <c r="K936" s="153" t="s">
        <v>231</v>
      </c>
      <c r="L936" s="8" t="s">
        <v>197</v>
      </c>
      <c r="M936" s="8" t="s">
        <v>6295</v>
      </c>
      <c r="N936" s="142" t="s">
        <v>6089</v>
      </c>
      <c r="O936" s="142" t="s">
        <v>6089</v>
      </c>
      <c r="P936" s="142" t="s">
        <v>6268</v>
      </c>
      <c r="Q936" s="8" t="s">
        <v>6221</v>
      </c>
      <c r="R936" s="8" t="s">
        <v>6296</v>
      </c>
      <c r="T936" s="8" t="s">
        <v>6297</v>
      </c>
      <c r="U936" s="8" t="s">
        <v>203</v>
      </c>
      <c r="AB936" s="8" t="s">
        <v>208</v>
      </c>
      <c r="AD936" s="8" t="s">
        <v>1833</v>
      </c>
      <c r="AH936" s="8" t="s">
        <v>6214</v>
      </c>
      <c r="AI936" s="172" t="s">
        <v>244</v>
      </c>
      <c r="AJ936" s="8" t="s">
        <v>245</v>
      </c>
    </row>
    <row r="937">
      <c r="A937" s="152">
        <v>2025.0</v>
      </c>
      <c r="B937" s="151">
        <v>56.0</v>
      </c>
      <c r="C937" s="153" t="s">
        <v>8189</v>
      </c>
      <c r="D937" s="153"/>
      <c r="E937" s="153" t="s">
        <v>8301</v>
      </c>
      <c r="F937" s="153" t="s">
        <v>6298</v>
      </c>
      <c r="G937" s="153">
        <f>IFERROR(__xludf.DUMMYFUNCTION("""COMPUTED_VALUE"""),457.0)</f>
        <v>457</v>
      </c>
      <c r="H937" s="153" t="s">
        <v>143</v>
      </c>
      <c r="I937" s="153" t="s">
        <v>144</v>
      </c>
      <c r="J937" s="153" t="s">
        <v>230</v>
      </c>
      <c r="K937" s="153" t="s">
        <v>231</v>
      </c>
      <c r="L937" s="158" t="s">
        <v>149</v>
      </c>
      <c r="M937" s="153" t="s">
        <v>2929</v>
      </c>
      <c r="N937" s="175" t="s">
        <v>6268</v>
      </c>
      <c r="O937" s="160" t="s">
        <v>149</v>
      </c>
      <c r="P937" s="160" t="s">
        <v>149</v>
      </c>
      <c r="Q937" s="153" t="s">
        <v>6221</v>
      </c>
      <c r="R937" s="158" t="s">
        <v>6300</v>
      </c>
      <c r="S937" s="153" t="s">
        <v>8622</v>
      </c>
      <c r="T937" s="153" t="s">
        <v>8623</v>
      </c>
      <c r="U937" s="158" t="s">
        <v>149</v>
      </c>
      <c r="V937" s="158" t="s">
        <v>149</v>
      </c>
      <c r="W937" s="158" t="s">
        <v>149</v>
      </c>
      <c r="X937" s="158" t="s">
        <v>149</v>
      </c>
      <c r="Y937" s="158" t="s">
        <v>149</v>
      </c>
      <c r="Z937" s="158" t="s">
        <v>149</v>
      </c>
      <c r="AA937" s="153" t="s">
        <v>8624</v>
      </c>
      <c r="AB937" s="153" t="s">
        <v>233</v>
      </c>
      <c r="AC937" s="158" t="s">
        <v>6068</v>
      </c>
      <c r="AD937" s="153"/>
      <c r="AE937" s="153"/>
      <c r="AF937" s="153"/>
      <c r="AG937" s="158" t="s">
        <v>6214</v>
      </c>
      <c r="AH937" s="153" t="s">
        <v>8625</v>
      </c>
      <c r="AI937" s="177" t="s">
        <v>2934</v>
      </c>
      <c r="AJ937" s="153" t="s">
        <v>2935</v>
      </c>
      <c r="AK937" s="239"/>
    </row>
    <row r="938">
      <c r="A938" s="152">
        <v>2024.0</v>
      </c>
      <c r="B938" s="151">
        <v>315.0</v>
      </c>
      <c r="C938" s="153"/>
      <c r="D938" s="153"/>
      <c r="E938" s="153" t="s">
        <v>8189</v>
      </c>
      <c r="F938" s="153" t="s">
        <v>8626</v>
      </c>
      <c r="G938" s="153">
        <f>IFERROR(__xludf.DUMMYFUNCTION("""COMPUTED_VALUE"""),458.0)</f>
        <v>458</v>
      </c>
      <c r="H938" s="153" t="s">
        <v>579</v>
      </c>
      <c r="I938" s="153" t="s">
        <v>585</v>
      </c>
      <c r="J938" s="153" t="s">
        <v>1464</v>
      </c>
      <c r="K938" s="153" t="s">
        <v>1465</v>
      </c>
      <c r="L938" s="153" t="s">
        <v>1377</v>
      </c>
      <c r="M938" s="153"/>
      <c r="N938" s="192">
        <v>1992.0</v>
      </c>
      <c r="O938" s="230">
        <v>1990.0</v>
      </c>
      <c r="P938" s="230">
        <v>1994.0</v>
      </c>
      <c r="Q938" s="153" t="s">
        <v>151</v>
      </c>
      <c r="R938" s="158" t="s">
        <v>149</v>
      </c>
      <c r="S938" s="158" t="s">
        <v>149</v>
      </c>
      <c r="T938" s="158" t="s">
        <v>149</v>
      </c>
      <c r="U938" s="153" t="s">
        <v>1381</v>
      </c>
      <c r="V938" s="158" t="s">
        <v>6154</v>
      </c>
      <c r="W938" s="158" t="s">
        <v>206</v>
      </c>
      <c r="X938" s="158" t="s">
        <v>159</v>
      </c>
      <c r="Y938" s="158" t="s">
        <v>149</v>
      </c>
      <c r="Z938" s="158" t="s">
        <v>149</v>
      </c>
      <c r="AA938" s="158" t="s">
        <v>149</v>
      </c>
      <c r="AB938" s="153" t="s">
        <v>660</v>
      </c>
      <c r="AC938" s="153" t="s">
        <v>6035</v>
      </c>
      <c r="AD938" s="153" t="s">
        <v>369</v>
      </c>
      <c r="AE938" s="153"/>
      <c r="AF938" s="153"/>
      <c r="AG938" s="158" t="s">
        <v>395</v>
      </c>
      <c r="AH938" s="153" t="s">
        <v>6060</v>
      </c>
      <c r="AI938" s="153" t="s">
        <v>2873</v>
      </c>
      <c r="AJ938" s="153" t="s">
        <v>398</v>
      </c>
      <c r="AK938" s="153"/>
    </row>
    <row r="939">
      <c r="A939" s="152">
        <v>2023.0</v>
      </c>
      <c r="B939" s="151">
        <v>57.0</v>
      </c>
      <c r="C939" s="129" t="s">
        <v>140</v>
      </c>
      <c r="D939" s="8"/>
      <c r="E939" s="8" t="s">
        <v>8189</v>
      </c>
      <c r="F939" s="8" t="s">
        <v>6304</v>
      </c>
      <c r="G939" s="8">
        <f>IFERROR(__xludf.DUMMYFUNCTION("""COMPUTED_VALUE"""),459.0)</f>
        <v>459</v>
      </c>
      <c r="H939" s="8" t="s">
        <v>143</v>
      </c>
      <c r="I939" s="8" t="s">
        <v>144</v>
      </c>
      <c r="J939" s="8" t="s">
        <v>230</v>
      </c>
      <c r="K939" s="153" t="s">
        <v>231</v>
      </c>
      <c r="L939" s="8" t="s">
        <v>6305</v>
      </c>
      <c r="M939" s="8" t="s">
        <v>8627</v>
      </c>
      <c r="N939" s="142" t="s">
        <v>6064</v>
      </c>
      <c r="O939" s="142" t="s">
        <v>6064</v>
      </c>
      <c r="P939" s="142" t="s">
        <v>6273</v>
      </c>
      <c r="Q939" s="8" t="s">
        <v>6221</v>
      </c>
      <c r="R939" s="8" t="s">
        <v>6306</v>
      </c>
      <c r="T939" s="8" t="s">
        <v>6307</v>
      </c>
      <c r="U939" s="8" t="s">
        <v>203</v>
      </c>
      <c r="AB939" s="8" t="s">
        <v>208</v>
      </c>
      <c r="AD939" s="8" t="s">
        <v>1833</v>
      </c>
      <c r="AH939" s="8" t="s">
        <v>6214</v>
      </c>
      <c r="AI939" s="172" t="s">
        <v>251</v>
      </c>
      <c r="AJ939" s="8" t="s">
        <v>252</v>
      </c>
    </row>
    <row r="940">
      <c r="A940" s="152">
        <v>2025.0</v>
      </c>
      <c r="B940" s="151">
        <v>57.0</v>
      </c>
      <c r="C940" s="153" t="s">
        <v>8189</v>
      </c>
      <c r="D940" s="153"/>
      <c r="E940" s="153" t="s">
        <v>8301</v>
      </c>
      <c r="F940" s="153" t="s">
        <v>6308</v>
      </c>
      <c r="G940" s="153">
        <f>IFERROR(__xludf.DUMMYFUNCTION("""COMPUTED_VALUE"""),460.0)</f>
        <v>460</v>
      </c>
      <c r="H940" s="153" t="s">
        <v>143</v>
      </c>
      <c r="I940" s="153" t="s">
        <v>144</v>
      </c>
      <c r="J940" s="153" t="s">
        <v>463</v>
      </c>
      <c r="K940" s="153" t="s">
        <v>464</v>
      </c>
      <c r="L940" s="153" t="s">
        <v>384</v>
      </c>
      <c r="M940" s="153" t="s">
        <v>465</v>
      </c>
      <c r="N940" s="175" t="s">
        <v>6052</v>
      </c>
      <c r="O940" s="175" t="s">
        <v>6052</v>
      </c>
      <c r="P940" s="175" t="s">
        <v>6053</v>
      </c>
      <c r="Q940" s="153" t="s">
        <v>151</v>
      </c>
      <c r="R940" s="153" t="s">
        <v>6054</v>
      </c>
      <c r="S940" s="158" t="s">
        <v>6054</v>
      </c>
      <c r="T940" s="158" t="s">
        <v>149</v>
      </c>
      <c r="U940" s="153" t="s">
        <v>390</v>
      </c>
      <c r="V940" s="158" t="s">
        <v>160</v>
      </c>
      <c r="W940" s="158" t="s">
        <v>6035</v>
      </c>
      <c r="X940" s="158" t="s">
        <v>159</v>
      </c>
      <c r="Y940" s="158" t="s">
        <v>149</v>
      </c>
      <c r="Z940" s="158" t="s">
        <v>149</v>
      </c>
      <c r="AA940" s="153" t="s">
        <v>450</v>
      </c>
      <c r="AB940" s="153" t="s">
        <v>390</v>
      </c>
      <c r="AC940" s="153" t="s">
        <v>6035</v>
      </c>
      <c r="AD940" s="153" t="s">
        <v>6055</v>
      </c>
      <c r="AE940" s="153"/>
      <c r="AF940" s="153" t="s">
        <v>6056</v>
      </c>
      <c r="AG940" s="158" t="s">
        <v>395</v>
      </c>
      <c r="AH940" s="153" t="s">
        <v>6060</v>
      </c>
      <c r="AI940" s="158" t="s">
        <v>397</v>
      </c>
      <c r="AJ940" s="153" t="s">
        <v>398</v>
      </c>
      <c r="AK940" s="153"/>
    </row>
    <row r="941">
      <c r="A941" s="152">
        <v>2024.0</v>
      </c>
      <c r="B941" s="151">
        <v>316.0</v>
      </c>
      <c r="C941" s="153"/>
      <c r="D941" s="153"/>
      <c r="E941" s="153" t="s">
        <v>8189</v>
      </c>
      <c r="F941" s="153" t="s">
        <v>8628</v>
      </c>
      <c r="G941" s="153">
        <f>IFERROR(__xludf.DUMMYFUNCTION("""COMPUTED_VALUE"""),461.0)</f>
        <v>461</v>
      </c>
      <c r="H941" s="153" t="s">
        <v>579</v>
      </c>
      <c r="I941" s="153" t="s">
        <v>585</v>
      </c>
      <c r="J941" s="153" t="s">
        <v>1467</v>
      </c>
      <c r="K941" s="153" t="s">
        <v>1468</v>
      </c>
      <c r="L941" s="153" t="s">
        <v>1377</v>
      </c>
      <c r="M941" s="153" t="s">
        <v>639</v>
      </c>
      <c r="N941" s="192">
        <v>1992.0</v>
      </c>
      <c r="O941" s="230">
        <v>1990.0</v>
      </c>
      <c r="P941" s="230">
        <v>1994.0</v>
      </c>
      <c r="Q941" s="153" t="s">
        <v>151</v>
      </c>
      <c r="R941" s="158" t="s">
        <v>149</v>
      </c>
      <c r="S941" s="158" t="s">
        <v>149</v>
      </c>
      <c r="T941" s="158" t="s">
        <v>149</v>
      </c>
      <c r="U941" s="153" t="s">
        <v>1381</v>
      </c>
      <c r="V941" s="158" t="s">
        <v>6154</v>
      </c>
      <c r="W941" s="158" t="s">
        <v>206</v>
      </c>
      <c r="X941" s="158" t="s">
        <v>159</v>
      </c>
      <c r="Y941" s="158" t="s">
        <v>149</v>
      </c>
      <c r="Z941" s="158" t="s">
        <v>149</v>
      </c>
      <c r="AA941" s="158" t="s">
        <v>149</v>
      </c>
      <c r="AB941" s="153" t="s">
        <v>660</v>
      </c>
      <c r="AC941" s="153" t="s">
        <v>6035</v>
      </c>
      <c r="AD941" s="153" t="s">
        <v>369</v>
      </c>
      <c r="AE941" s="153"/>
      <c r="AF941" s="153"/>
      <c r="AG941" s="158" t="s">
        <v>395</v>
      </c>
      <c r="AH941" s="153" t="s">
        <v>6060</v>
      </c>
      <c r="AI941" s="153" t="s">
        <v>2873</v>
      </c>
      <c r="AJ941" s="153" t="s">
        <v>398</v>
      </c>
      <c r="AK941" s="153"/>
    </row>
    <row r="942">
      <c r="A942" s="152">
        <v>2023.0</v>
      </c>
      <c r="B942" s="151">
        <v>58.0</v>
      </c>
      <c r="C942" s="129" t="s">
        <v>140</v>
      </c>
      <c r="D942" s="8"/>
      <c r="E942" s="8" t="s">
        <v>8189</v>
      </c>
      <c r="F942" s="8" t="s">
        <v>6309</v>
      </c>
      <c r="G942" s="8">
        <f>IFERROR(__xludf.DUMMYFUNCTION("""COMPUTED_VALUE"""),462.0)</f>
        <v>462</v>
      </c>
      <c r="H942" s="8" t="s">
        <v>143</v>
      </c>
      <c r="I942" s="8" t="s">
        <v>144</v>
      </c>
      <c r="J942" s="8" t="s">
        <v>230</v>
      </c>
      <c r="K942" s="153" t="s">
        <v>231</v>
      </c>
      <c r="L942" s="8" t="s">
        <v>6113</v>
      </c>
      <c r="M942" s="8" t="s">
        <v>6310</v>
      </c>
      <c r="N942" s="142" t="s">
        <v>6064</v>
      </c>
      <c r="O942" s="142"/>
      <c r="P942" s="142"/>
      <c r="Q942" s="8" t="s">
        <v>6221</v>
      </c>
      <c r="R942" s="8" t="s">
        <v>2913</v>
      </c>
      <c r="T942" s="8" t="s">
        <v>6311</v>
      </c>
      <c r="U942" s="8" t="s">
        <v>321</v>
      </c>
      <c r="AA942" s="8" t="s">
        <v>2915</v>
      </c>
      <c r="AB942" s="8" t="s">
        <v>233</v>
      </c>
      <c r="AH942" s="8" t="s">
        <v>6214</v>
      </c>
      <c r="AI942" s="172" t="s">
        <v>2917</v>
      </c>
      <c r="AJ942" s="8" t="s">
        <v>2918</v>
      </c>
    </row>
    <row r="943">
      <c r="A943" s="152">
        <v>2025.0</v>
      </c>
      <c r="B943" s="151">
        <v>58.0</v>
      </c>
      <c r="C943" s="153" t="s">
        <v>8189</v>
      </c>
      <c r="D943" s="153"/>
      <c r="E943" s="153" t="s">
        <v>8301</v>
      </c>
      <c r="F943" s="153" t="s">
        <v>6312</v>
      </c>
      <c r="G943" s="153">
        <f>IFERROR(__xludf.DUMMYFUNCTION("""COMPUTED_VALUE"""),463.0)</f>
        <v>463</v>
      </c>
      <c r="H943" s="153" t="s">
        <v>143</v>
      </c>
      <c r="I943" s="153" t="s">
        <v>144</v>
      </c>
      <c r="J943" s="153" t="s">
        <v>463</v>
      </c>
      <c r="K943" s="153" t="s">
        <v>464</v>
      </c>
      <c r="L943" s="153" t="s">
        <v>384</v>
      </c>
      <c r="M943" s="153" t="s">
        <v>8629</v>
      </c>
      <c r="N943" s="175" t="s">
        <v>6052</v>
      </c>
      <c r="O943" s="175" t="s">
        <v>6052</v>
      </c>
      <c r="P943" s="175" t="s">
        <v>6053</v>
      </c>
      <c r="Q943" s="153" t="s">
        <v>151</v>
      </c>
      <c r="R943" s="153" t="s">
        <v>469</v>
      </c>
      <c r="S943" s="158" t="s">
        <v>469</v>
      </c>
      <c r="T943" s="158" t="s">
        <v>149</v>
      </c>
      <c r="U943" s="153" t="s">
        <v>390</v>
      </c>
      <c r="V943" s="158" t="s">
        <v>160</v>
      </c>
      <c r="W943" s="158" t="s">
        <v>6035</v>
      </c>
      <c r="X943" s="158" t="s">
        <v>159</v>
      </c>
      <c r="Y943" s="158" t="s">
        <v>149</v>
      </c>
      <c r="Z943" s="158" t="s">
        <v>149</v>
      </c>
      <c r="AA943" s="153" t="s">
        <v>6314</v>
      </c>
      <c r="AB943" s="153" t="s">
        <v>390</v>
      </c>
      <c r="AC943" s="153" t="s">
        <v>6035</v>
      </c>
      <c r="AD943" s="153" t="s">
        <v>6055</v>
      </c>
      <c r="AE943" s="153"/>
      <c r="AF943" s="153"/>
      <c r="AG943" s="158" t="s">
        <v>395</v>
      </c>
      <c r="AH943" s="153" t="s">
        <v>6060</v>
      </c>
      <c r="AI943" s="158" t="s">
        <v>397</v>
      </c>
      <c r="AJ943" s="153" t="s">
        <v>398</v>
      </c>
      <c r="AK943" s="153"/>
    </row>
    <row r="944">
      <c r="A944" s="152">
        <v>2024.0</v>
      </c>
      <c r="B944" s="151">
        <v>317.0</v>
      </c>
      <c r="C944" s="153"/>
      <c r="D944" s="153"/>
      <c r="E944" s="153" t="s">
        <v>8189</v>
      </c>
      <c r="F944" s="153" t="s">
        <v>8630</v>
      </c>
      <c r="G944" s="153">
        <f>IFERROR(__xludf.DUMMYFUNCTION("""COMPUTED_VALUE"""),464.0)</f>
        <v>464</v>
      </c>
      <c r="H944" s="153" t="s">
        <v>579</v>
      </c>
      <c r="I944" s="153" t="s">
        <v>585</v>
      </c>
      <c r="J944" s="153" t="s">
        <v>1467</v>
      </c>
      <c r="K944" s="153" t="s">
        <v>1468</v>
      </c>
      <c r="L944" s="153" t="s">
        <v>1377</v>
      </c>
      <c r="M944" s="153" t="s">
        <v>1470</v>
      </c>
      <c r="N944" s="192">
        <v>1992.0</v>
      </c>
      <c r="O944" s="230">
        <v>1990.0</v>
      </c>
      <c r="P944" s="230">
        <v>1994.0</v>
      </c>
      <c r="Q944" s="153" t="s">
        <v>151</v>
      </c>
      <c r="R944" s="158" t="s">
        <v>149</v>
      </c>
      <c r="S944" s="158" t="s">
        <v>149</v>
      </c>
      <c r="T944" s="158" t="s">
        <v>149</v>
      </c>
      <c r="U944" s="153" t="s">
        <v>1381</v>
      </c>
      <c r="V944" s="158" t="s">
        <v>6154</v>
      </c>
      <c r="W944" s="158" t="s">
        <v>206</v>
      </c>
      <c r="X944" s="158" t="s">
        <v>159</v>
      </c>
      <c r="Y944" s="158" t="s">
        <v>149</v>
      </c>
      <c r="Z944" s="158" t="s">
        <v>149</v>
      </c>
      <c r="AA944" s="158" t="s">
        <v>149</v>
      </c>
      <c r="AB944" s="153" t="s">
        <v>660</v>
      </c>
      <c r="AC944" s="153" t="s">
        <v>6035</v>
      </c>
      <c r="AD944" s="153" t="s">
        <v>369</v>
      </c>
      <c r="AE944" s="153"/>
      <c r="AF944" s="153"/>
      <c r="AG944" s="158" t="s">
        <v>395</v>
      </c>
      <c r="AH944" s="153" t="s">
        <v>6060</v>
      </c>
      <c r="AI944" s="153" t="s">
        <v>2873</v>
      </c>
      <c r="AJ944" s="153" t="s">
        <v>398</v>
      </c>
      <c r="AK944" s="153"/>
    </row>
    <row r="945">
      <c r="A945" s="152">
        <v>2023.0</v>
      </c>
      <c r="B945" s="151">
        <v>59.0</v>
      </c>
      <c r="C945" s="129" t="s">
        <v>140</v>
      </c>
      <c r="D945" s="8"/>
      <c r="E945" s="8" t="s">
        <v>8189</v>
      </c>
      <c r="F945" s="8" t="s">
        <v>6315</v>
      </c>
      <c r="G945" s="8">
        <f>IFERROR(__xludf.DUMMYFUNCTION("""COMPUTED_VALUE"""),465.0)</f>
        <v>465</v>
      </c>
      <c r="H945" s="8" t="s">
        <v>143</v>
      </c>
      <c r="I945" s="8" t="s">
        <v>144</v>
      </c>
      <c r="J945" s="8" t="s">
        <v>230</v>
      </c>
      <c r="K945" s="153" t="s">
        <v>231</v>
      </c>
      <c r="L945" s="8" t="s">
        <v>6113</v>
      </c>
      <c r="M945" s="8" t="s">
        <v>6316</v>
      </c>
      <c r="N945" s="142" t="s">
        <v>6042</v>
      </c>
      <c r="O945" s="142" t="s">
        <v>6114</v>
      </c>
      <c r="P945" s="142" t="s">
        <v>6151</v>
      </c>
      <c r="Q945" s="8" t="s">
        <v>6259</v>
      </c>
      <c r="R945" s="8" t="s">
        <v>6317</v>
      </c>
      <c r="T945" s="8" t="s">
        <v>6318</v>
      </c>
      <c r="U945" s="8" t="s">
        <v>321</v>
      </c>
      <c r="AA945" s="8" t="s">
        <v>2924</v>
      </c>
      <c r="AB945" s="8" t="s">
        <v>233</v>
      </c>
      <c r="AH945" s="8" t="s">
        <v>6214</v>
      </c>
      <c r="AI945" s="8" t="s">
        <v>2926</v>
      </c>
      <c r="AJ945" s="8" t="s">
        <v>2927</v>
      </c>
      <c r="AK945" s="172"/>
    </row>
    <row r="946">
      <c r="A946" s="152">
        <v>2025.0</v>
      </c>
      <c r="B946" s="151">
        <v>59.0</v>
      </c>
      <c r="C946" s="153" t="s">
        <v>8189</v>
      </c>
      <c r="D946" s="153"/>
      <c r="E946" s="153" t="s">
        <v>8301</v>
      </c>
      <c r="F946" s="153" t="s">
        <v>6319</v>
      </c>
      <c r="G946" s="153">
        <f>IFERROR(__xludf.DUMMYFUNCTION("""COMPUTED_VALUE"""),466.0)</f>
        <v>466</v>
      </c>
      <c r="H946" s="153" t="s">
        <v>143</v>
      </c>
      <c r="I946" s="153" t="s">
        <v>144</v>
      </c>
      <c r="J946" s="153" t="s">
        <v>693</v>
      </c>
      <c r="K946" s="153" t="s">
        <v>694</v>
      </c>
      <c r="L946" s="158" t="s">
        <v>149</v>
      </c>
      <c r="M946" s="158"/>
      <c r="N946" s="175" t="s">
        <v>6347</v>
      </c>
      <c r="O946" s="160" t="s">
        <v>149</v>
      </c>
      <c r="P946" s="160" t="s">
        <v>149</v>
      </c>
      <c r="Q946" s="153" t="s">
        <v>151</v>
      </c>
      <c r="R946" s="158" t="s">
        <v>6054</v>
      </c>
      <c r="S946" s="158" t="s">
        <v>6054</v>
      </c>
      <c r="T946" s="153" t="s">
        <v>699</v>
      </c>
      <c r="U946" s="153" t="s">
        <v>2111</v>
      </c>
      <c r="V946" s="158" t="s">
        <v>6154</v>
      </c>
      <c r="W946" s="158" t="s">
        <v>206</v>
      </c>
      <c r="X946" s="158" t="s">
        <v>159</v>
      </c>
      <c r="Y946" s="158" t="s">
        <v>149</v>
      </c>
      <c r="Z946" s="158" t="s">
        <v>149</v>
      </c>
      <c r="AA946" s="153" t="s">
        <v>2938</v>
      </c>
      <c r="AB946" s="158" t="s">
        <v>233</v>
      </c>
      <c r="AC946" s="158" t="s">
        <v>6068</v>
      </c>
      <c r="AD946" s="158" t="s">
        <v>6320</v>
      </c>
      <c r="AE946" s="158" t="s">
        <v>6321</v>
      </c>
      <c r="AF946" s="158"/>
      <c r="AG946" s="158" t="s">
        <v>395</v>
      </c>
      <c r="AH946" s="153" t="s">
        <v>6060</v>
      </c>
      <c r="AI946" s="158" t="s">
        <v>397</v>
      </c>
      <c r="AJ946" s="153" t="s">
        <v>398</v>
      </c>
      <c r="AK946" s="153"/>
    </row>
    <row r="947">
      <c r="A947" s="152">
        <v>2024.0</v>
      </c>
      <c r="B947" s="151">
        <v>318.0</v>
      </c>
      <c r="C947" s="153"/>
      <c r="D947" s="153"/>
      <c r="E947" s="153" t="s">
        <v>8189</v>
      </c>
      <c r="F947" s="153" t="s">
        <v>8631</v>
      </c>
      <c r="G947" s="153">
        <f>IFERROR(__xludf.DUMMYFUNCTION("""COMPUTED_VALUE"""),467.0)</f>
        <v>467</v>
      </c>
      <c r="H947" s="153" t="s">
        <v>579</v>
      </c>
      <c r="I947" s="153" t="s">
        <v>585</v>
      </c>
      <c r="J947" s="153" t="s">
        <v>1472</v>
      </c>
      <c r="K947" s="153" t="s">
        <v>1473</v>
      </c>
      <c r="L947" s="153" t="s">
        <v>1377</v>
      </c>
      <c r="M947" s="153" t="s">
        <v>1474</v>
      </c>
      <c r="N947" s="192">
        <v>1992.0</v>
      </c>
      <c r="O947" s="230">
        <v>1990.0</v>
      </c>
      <c r="P947" s="230">
        <v>1994.0</v>
      </c>
      <c r="Q947" s="153" t="s">
        <v>151</v>
      </c>
      <c r="R947" s="158" t="s">
        <v>149</v>
      </c>
      <c r="S947" s="158" t="s">
        <v>149</v>
      </c>
      <c r="T947" s="158" t="s">
        <v>149</v>
      </c>
      <c r="U947" s="153" t="s">
        <v>1381</v>
      </c>
      <c r="V947" s="158" t="s">
        <v>6154</v>
      </c>
      <c r="W947" s="158" t="s">
        <v>206</v>
      </c>
      <c r="X947" s="158" t="s">
        <v>159</v>
      </c>
      <c r="Y947" s="158" t="s">
        <v>149</v>
      </c>
      <c r="Z947" s="158" t="s">
        <v>149</v>
      </c>
      <c r="AA947" s="158" t="s">
        <v>149</v>
      </c>
      <c r="AB947" s="153" t="s">
        <v>660</v>
      </c>
      <c r="AC947" s="153" t="s">
        <v>6035</v>
      </c>
      <c r="AD947" s="153" t="s">
        <v>369</v>
      </c>
      <c r="AE947" s="153"/>
      <c r="AF947" s="153"/>
      <c r="AG947" s="158" t="s">
        <v>395</v>
      </c>
      <c r="AH947" s="153" t="s">
        <v>6060</v>
      </c>
      <c r="AI947" s="153" t="s">
        <v>2873</v>
      </c>
      <c r="AJ947" s="153" t="s">
        <v>398</v>
      </c>
      <c r="AK947" s="153"/>
    </row>
    <row r="948">
      <c r="A948" s="152">
        <v>2023.0</v>
      </c>
      <c r="B948" s="151">
        <v>60.0</v>
      </c>
      <c r="C948" s="129" t="s">
        <v>140</v>
      </c>
      <c r="D948" s="8"/>
      <c r="E948" s="8" t="s">
        <v>8189</v>
      </c>
      <c r="F948" s="8" t="s">
        <v>6322</v>
      </c>
      <c r="G948" s="8">
        <f>IFERROR(__xludf.DUMMYFUNCTION("""COMPUTED_VALUE"""),468.0)</f>
        <v>468</v>
      </c>
      <c r="H948" s="8" t="s">
        <v>143</v>
      </c>
      <c r="I948" s="8" t="s">
        <v>144</v>
      </c>
      <c r="J948" s="8" t="s">
        <v>230</v>
      </c>
      <c r="K948" s="153" t="s">
        <v>231</v>
      </c>
      <c r="L948" s="8" t="s">
        <v>6113</v>
      </c>
      <c r="M948" s="8" t="s">
        <v>6323</v>
      </c>
      <c r="N948" s="142" t="s">
        <v>6268</v>
      </c>
      <c r="O948" s="142"/>
      <c r="P948" s="142"/>
      <c r="Q948" s="8" t="s">
        <v>6221</v>
      </c>
      <c r="R948" s="8" t="s">
        <v>6324</v>
      </c>
      <c r="T948" s="8" t="s">
        <v>204</v>
      </c>
      <c r="AA948" s="8" t="s">
        <v>6325</v>
      </c>
      <c r="AB948" s="8" t="s">
        <v>233</v>
      </c>
      <c r="AH948" s="8" t="s">
        <v>6214</v>
      </c>
      <c r="AI948" s="8" t="s">
        <v>6326</v>
      </c>
      <c r="AJ948" s="8" t="s">
        <v>2935</v>
      </c>
      <c r="AK948" s="172"/>
    </row>
    <row r="949">
      <c r="A949" s="152">
        <v>2025.0</v>
      </c>
      <c r="B949" s="151">
        <v>60.0</v>
      </c>
      <c r="C949" s="153" t="s">
        <v>8189</v>
      </c>
      <c r="D949" s="153"/>
      <c r="E949" s="153" t="s">
        <v>8301</v>
      </c>
      <c r="F949" s="153" t="s">
        <v>6327</v>
      </c>
      <c r="G949" s="153">
        <f>IFERROR(__xludf.DUMMYFUNCTION("""COMPUTED_VALUE"""),469.0)</f>
        <v>469</v>
      </c>
      <c r="H949" s="153" t="s">
        <v>143</v>
      </c>
      <c r="I949" s="153" t="s">
        <v>144</v>
      </c>
      <c r="J949" s="153" t="s">
        <v>693</v>
      </c>
      <c r="K949" s="153" t="s">
        <v>694</v>
      </c>
      <c r="L949" s="153" t="s">
        <v>729</v>
      </c>
      <c r="M949" s="153"/>
      <c r="N949" s="175" t="s">
        <v>6328</v>
      </c>
      <c r="O949" s="175" t="s">
        <v>6328</v>
      </c>
      <c r="P949" s="175" t="s">
        <v>6329</v>
      </c>
      <c r="Q949" s="153" t="s">
        <v>6062</v>
      </c>
      <c r="R949" s="153" t="s">
        <v>730</v>
      </c>
      <c r="S949" s="158" t="s">
        <v>730</v>
      </c>
      <c r="T949" s="158" t="s">
        <v>149</v>
      </c>
      <c r="U949" s="158" t="s">
        <v>149</v>
      </c>
      <c r="V949" s="158" t="s">
        <v>149</v>
      </c>
      <c r="W949" s="158" t="s">
        <v>149</v>
      </c>
      <c r="X949" s="158" t="s">
        <v>149</v>
      </c>
      <c r="Y949" s="158" t="s">
        <v>149</v>
      </c>
      <c r="Z949" s="158" t="s">
        <v>149</v>
      </c>
      <c r="AA949" s="158" t="s">
        <v>149</v>
      </c>
      <c r="AB949" s="158" t="s">
        <v>149</v>
      </c>
      <c r="AC949" s="158" t="s">
        <v>149</v>
      </c>
      <c r="AD949" s="153"/>
      <c r="AE949" s="153"/>
      <c r="AF949" s="153"/>
      <c r="AG949" s="153" t="s">
        <v>6084</v>
      </c>
      <c r="AH949" s="153" t="s">
        <v>732</v>
      </c>
      <c r="AI949" s="165" t="s">
        <v>733</v>
      </c>
      <c r="AJ949" s="153" t="s">
        <v>734</v>
      </c>
      <c r="AK949" s="153"/>
    </row>
    <row r="950">
      <c r="A950" s="152">
        <v>2024.0</v>
      </c>
      <c r="B950" s="151">
        <v>319.0</v>
      </c>
      <c r="C950" s="153"/>
      <c r="D950" s="153"/>
      <c r="E950" s="153" t="s">
        <v>8189</v>
      </c>
      <c r="F950" s="153" t="s">
        <v>8632</v>
      </c>
      <c r="G950" s="153">
        <f>IFERROR(__xludf.DUMMYFUNCTION("""COMPUTED_VALUE"""),470.0)</f>
        <v>470</v>
      </c>
      <c r="H950" s="153" t="s">
        <v>579</v>
      </c>
      <c r="I950" s="153" t="s">
        <v>585</v>
      </c>
      <c r="J950" s="153" t="s">
        <v>586</v>
      </c>
      <c r="K950" s="153" t="s">
        <v>587</v>
      </c>
      <c r="L950" s="153" t="s">
        <v>384</v>
      </c>
      <c r="M950" s="153" t="s">
        <v>588</v>
      </c>
      <c r="N950" s="230">
        <v>1986.0</v>
      </c>
      <c r="O950" s="230">
        <v>1985.0</v>
      </c>
      <c r="P950" s="230">
        <v>1987.0</v>
      </c>
      <c r="Q950" s="153" t="s">
        <v>151</v>
      </c>
      <c r="R950" s="153" t="s">
        <v>6054</v>
      </c>
      <c r="S950" s="158" t="s">
        <v>6054</v>
      </c>
      <c r="T950" s="158" t="s">
        <v>149</v>
      </c>
      <c r="U950" s="153" t="s">
        <v>390</v>
      </c>
      <c r="V950" s="158" t="s">
        <v>160</v>
      </c>
      <c r="W950" s="158" t="s">
        <v>6035</v>
      </c>
      <c r="X950" s="158" t="s">
        <v>159</v>
      </c>
      <c r="Y950" s="158" t="s">
        <v>149</v>
      </c>
      <c r="Z950" s="158" t="s">
        <v>149</v>
      </c>
      <c r="AA950" s="153" t="s">
        <v>450</v>
      </c>
      <c r="AB950" s="153" t="s">
        <v>390</v>
      </c>
      <c r="AC950" s="153" t="s">
        <v>6035</v>
      </c>
      <c r="AD950" s="153" t="s">
        <v>6055</v>
      </c>
      <c r="AE950" s="153"/>
      <c r="AF950" s="153"/>
      <c r="AG950" s="158" t="s">
        <v>395</v>
      </c>
      <c r="AH950" s="153" t="s">
        <v>6060</v>
      </c>
      <c r="AI950" s="153" t="s">
        <v>2873</v>
      </c>
      <c r="AJ950" s="153" t="s">
        <v>398</v>
      </c>
      <c r="AK950" s="153"/>
    </row>
    <row r="951">
      <c r="A951" s="152">
        <v>2023.0</v>
      </c>
      <c r="B951" s="151">
        <v>61.0</v>
      </c>
      <c r="C951" s="129" t="s">
        <v>140</v>
      </c>
      <c r="D951" s="8"/>
      <c r="E951" s="8" t="s">
        <v>8189</v>
      </c>
      <c r="F951" s="8" t="s">
        <v>6330</v>
      </c>
      <c r="G951" s="8">
        <f>IFERROR(__xludf.DUMMYFUNCTION("""COMPUTED_VALUE"""),471.0)</f>
        <v>471</v>
      </c>
      <c r="H951" s="8" t="s">
        <v>143</v>
      </c>
      <c r="I951" s="8" t="s">
        <v>144</v>
      </c>
      <c r="J951" s="8" t="s">
        <v>463</v>
      </c>
      <c r="K951" s="277" t="s">
        <v>464</v>
      </c>
      <c r="L951" s="8" t="s">
        <v>384</v>
      </c>
      <c r="M951" s="8" t="s">
        <v>465</v>
      </c>
      <c r="N951" s="142" t="s">
        <v>6052</v>
      </c>
      <c r="O951" s="142" t="s">
        <v>6052</v>
      </c>
      <c r="P951" s="142" t="s">
        <v>6053</v>
      </c>
      <c r="Q951" s="8" t="s">
        <v>151</v>
      </c>
      <c r="R951" s="8" t="s">
        <v>6054</v>
      </c>
      <c r="U951" s="8" t="s">
        <v>390</v>
      </c>
      <c r="AA951" s="8" t="s">
        <v>450</v>
      </c>
      <c r="AB951" s="8" t="s">
        <v>390</v>
      </c>
      <c r="AD951" s="8" t="s">
        <v>6055</v>
      </c>
      <c r="AF951" s="8" t="s">
        <v>6056</v>
      </c>
      <c r="AH951" s="8" t="s">
        <v>6057</v>
      </c>
      <c r="AI951" s="8" t="s">
        <v>2873</v>
      </c>
      <c r="AJ951" s="8" t="s">
        <v>398</v>
      </c>
    </row>
    <row r="952">
      <c r="A952" s="152">
        <v>2025.0</v>
      </c>
      <c r="B952" s="151">
        <v>61.0</v>
      </c>
      <c r="C952" s="153" t="s">
        <v>8189</v>
      </c>
      <c r="D952" s="153"/>
      <c r="E952" s="153" t="s">
        <v>8301</v>
      </c>
      <c r="F952" s="153" t="s">
        <v>6331</v>
      </c>
      <c r="G952" s="153">
        <f>IFERROR(__xludf.DUMMYFUNCTION("""COMPUTED_VALUE"""),472.0)</f>
        <v>472</v>
      </c>
      <c r="H952" s="153" t="s">
        <v>143</v>
      </c>
      <c r="I952" s="153" t="s">
        <v>144</v>
      </c>
      <c r="J952" s="153" t="s">
        <v>693</v>
      </c>
      <c r="K952" s="153" t="s">
        <v>694</v>
      </c>
      <c r="L952" s="153" t="s">
        <v>695</v>
      </c>
      <c r="M952" s="153" t="s">
        <v>8633</v>
      </c>
      <c r="N952" s="175" t="s">
        <v>6333</v>
      </c>
      <c r="O952" s="160" t="s">
        <v>6333</v>
      </c>
      <c r="P952" s="160" t="s">
        <v>6333</v>
      </c>
      <c r="Q952" s="153" t="s">
        <v>151</v>
      </c>
      <c r="R952" s="153" t="s">
        <v>697</v>
      </c>
      <c r="S952" s="158" t="s">
        <v>697</v>
      </c>
      <c r="T952" s="153" t="s">
        <v>699</v>
      </c>
      <c r="U952" s="158" t="s">
        <v>695</v>
      </c>
      <c r="V952" s="158" t="s">
        <v>6154</v>
      </c>
      <c r="W952" s="158" t="s">
        <v>206</v>
      </c>
      <c r="X952" s="158" t="s">
        <v>204</v>
      </c>
      <c r="Y952" s="158" t="s">
        <v>149</v>
      </c>
      <c r="Z952" s="158" t="s">
        <v>149</v>
      </c>
      <c r="AA952" s="158" t="s">
        <v>700</v>
      </c>
      <c r="AB952" s="153" t="s">
        <v>233</v>
      </c>
      <c r="AC952" s="158" t="s">
        <v>6068</v>
      </c>
      <c r="AD952" s="153"/>
      <c r="AE952" s="153"/>
      <c r="AF952" s="153"/>
      <c r="AG952" s="158" t="s">
        <v>6214</v>
      </c>
      <c r="AH952" s="153" t="s">
        <v>701</v>
      </c>
      <c r="AI952" s="153" t="s">
        <v>6334</v>
      </c>
      <c r="AJ952" s="153" t="s">
        <v>703</v>
      </c>
      <c r="AK952" s="153"/>
    </row>
    <row r="953">
      <c r="A953" s="152">
        <v>2024.0</v>
      </c>
      <c r="B953" s="151">
        <v>320.0</v>
      </c>
      <c r="C953" s="153"/>
      <c r="D953" s="153"/>
      <c r="E953" s="153" t="s">
        <v>8189</v>
      </c>
      <c r="F953" s="153" t="s">
        <v>8634</v>
      </c>
      <c r="G953" s="153">
        <f>IFERROR(__xludf.DUMMYFUNCTION("""COMPUTED_VALUE"""),473.0)</f>
        <v>473</v>
      </c>
      <c r="H953" s="153" t="s">
        <v>579</v>
      </c>
      <c r="I953" s="153" t="s">
        <v>585</v>
      </c>
      <c r="J953" s="153" t="s">
        <v>586</v>
      </c>
      <c r="K953" s="153" t="s">
        <v>587</v>
      </c>
      <c r="L953" s="153" t="s">
        <v>1377</v>
      </c>
      <c r="M953" s="153" t="s">
        <v>1476</v>
      </c>
      <c r="N953" s="192">
        <v>1992.0</v>
      </c>
      <c r="O953" s="230">
        <v>1990.0</v>
      </c>
      <c r="P953" s="230">
        <v>1994.0</v>
      </c>
      <c r="Q953" s="153" t="s">
        <v>151</v>
      </c>
      <c r="R953" s="158" t="s">
        <v>149</v>
      </c>
      <c r="S953" s="158" t="s">
        <v>149</v>
      </c>
      <c r="T953" s="158" t="s">
        <v>149</v>
      </c>
      <c r="U953" s="153" t="s">
        <v>1381</v>
      </c>
      <c r="V953" s="158" t="s">
        <v>6154</v>
      </c>
      <c r="W953" s="158" t="s">
        <v>206</v>
      </c>
      <c r="X953" s="158" t="s">
        <v>159</v>
      </c>
      <c r="Y953" s="158" t="s">
        <v>149</v>
      </c>
      <c r="Z953" s="158" t="s">
        <v>149</v>
      </c>
      <c r="AA953" s="158" t="s">
        <v>149</v>
      </c>
      <c r="AB953" s="153" t="s">
        <v>660</v>
      </c>
      <c r="AC953" s="153" t="s">
        <v>6035</v>
      </c>
      <c r="AD953" s="153" t="s">
        <v>369</v>
      </c>
      <c r="AE953" s="153"/>
      <c r="AF953" s="153"/>
      <c r="AG953" s="158" t="s">
        <v>395</v>
      </c>
      <c r="AH953" s="153" t="s">
        <v>6060</v>
      </c>
      <c r="AI953" s="153" t="s">
        <v>2873</v>
      </c>
      <c r="AJ953" s="153" t="s">
        <v>398</v>
      </c>
      <c r="AK953" s="153"/>
    </row>
    <row r="954">
      <c r="A954" s="152">
        <v>2023.0</v>
      </c>
      <c r="B954" s="151">
        <v>62.0</v>
      </c>
      <c r="C954" s="129" t="s">
        <v>140</v>
      </c>
      <c r="D954" s="8"/>
      <c r="E954" s="8" t="s">
        <v>8189</v>
      </c>
      <c r="F954" s="8" t="s">
        <v>6335</v>
      </c>
      <c r="G954" s="8">
        <f>IFERROR(__xludf.DUMMYFUNCTION("""COMPUTED_VALUE"""),474.0)</f>
        <v>474</v>
      </c>
      <c r="H954" s="8" t="s">
        <v>143</v>
      </c>
      <c r="I954" s="8" t="s">
        <v>144</v>
      </c>
      <c r="J954" s="8" t="s">
        <v>463</v>
      </c>
      <c r="K954" s="277" t="s">
        <v>464</v>
      </c>
      <c r="L954" s="8" t="s">
        <v>384</v>
      </c>
      <c r="M954" s="8" t="s">
        <v>6336</v>
      </c>
      <c r="N954" s="142" t="s">
        <v>6052</v>
      </c>
      <c r="O954" s="142" t="s">
        <v>6052</v>
      </c>
      <c r="P954" s="142" t="s">
        <v>6053</v>
      </c>
      <c r="Q954" s="8" t="s">
        <v>151</v>
      </c>
      <c r="R954" s="8" t="s">
        <v>469</v>
      </c>
      <c r="U954" s="8" t="s">
        <v>390</v>
      </c>
      <c r="AA954" s="8" t="s">
        <v>6314</v>
      </c>
      <c r="AB954" s="8" t="s">
        <v>390</v>
      </c>
      <c r="AD954" s="8" t="s">
        <v>6055</v>
      </c>
      <c r="AH954" s="8" t="s">
        <v>6057</v>
      </c>
      <c r="AI954" s="8" t="s">
        <v>2873</v>
      </c>
      <c r="AJ954" s="8" t="s">
        <v>398</v>
      </c>
    </row>
    <row r="955">
      <c r="A955" s="152">
        <v>2025.0</v>
      </c>
      <c r="B955" s="151">
        <v>62.0</v>
      </c>
      <c r="C955" s="153" t="s">
        <v>8189</v>
      </c>
      <c r="D955" s="153"/>
      <c r="E955" s="153" t="s">
        <v>8301</v>
      </c>
      <c r="F955" s="153" t="s">
        <v>6337</v>
      </c>
      <c r="G955" s="153">
        <f>IFERROR(__xludf.DUMMYFUNCTION("""COMPUTED_VALUE"""),475.0)</f>
        <v>475</v>
      </c>
      <c r="H955" s="153" t="s">
        <v>143</v>
      </c>
      <c r="I955" s="153" t="s">
        <v>144</v>
      </c>
      <c r="J955" s="153" t="s">
        <v>693</v>
      </c>
      <c r="K955" s="153" t="s">
        <v>694</v>
      </c>
      <c r="L955" s="153" t="s">
        <v>1377</v>
      </c>
      <c r="M955" s="153" t="s">
        <v>8635</v>
      </c>
      <c r="N955" s="175" t="s">
        <v>6199</v>
      </c>
      <c r="O955" s="175" t="s">
        <v>6199</v>
      </c>
      <c r="P955" s="175" t="s">
        <v>6339</v>
      </c>
      <c r="Q955" s="153" t="s">
        <v>6062</v>
      </c>
      <c r="R955" s="153" t="s">
        <v>179</v>
      </c>
      <c r="S955" s="158" t="s">
        <v>179</v>
      </c>
      <c r="T955" s="153" t="s">
        <v>8636</v>
      </c>
      <c r="U955" s="153" t="s">
        <v>1381</v>
      </c>
      <c r="V955" s="158" t="s">
        <v>6154</v>
      </c>
      <c r="W955" s="158" t="s">
        <v>206</v>
      </c>
      <c r="X955" s="158" t="s">
        <v>204</v>
      </c>
      <c r="Y955" s="158" t="s">
        <v>149</v>
      </c>
      <c r="Z955" s="158" t="s">
        <v>149</v>
      </c>
      <c r="AA955" s="158" t="s">
        <v>149</v>
      </c>
      <c r="AB955" s="153" t="s">
        <v>233</v>
      </c>
      <c r="AC955" s="158" t="s">
        <v>6068</v>
      </c>
      <c r="AD955" s="153" t="s">
        <v>660</v>
      </c>
      <c r="AE955" s="153"/>
      <c r="AF955" s="153"/>
      <c r="AG955" s="158" t="s">
        <v>6214</v>
      </c>
      <c r="AH955" s="153" t="s">
        <v>1513</v>
      </c>
      <c r="AI955" s="165" t="s">
        <v>6341</v>
      </c>
      <c r="AJ955" s="153" t="s">
        <v>1068</v>
      </c>
      <c r="AK955" s="153"/>
    </row>
    <row r="956">
      <c r="A956" s="152">
        <v>2024.0</v>
      </c>
      <c r="B956" s="151">
        <v>321.0</v>
      </c>
      <c r="C956" s="153"/>
      <c r="D956" s="153"/>
      <c r="E956" s="153" t="s">
        <v>8189</v>
      </c>
      <c r="F956" s="153" t="s">
        <v>8637</v>
      </c>
      <c r="G956" s="153">
        <f>IFERROR(__xludf.DUMMYFUNCTION("""COMPUTED_VALUE"""),476.0)</f>
        <v>476</v>
      </c>
      <c r="H956" s="153" t="s">
        <v>579</v>
      </c>
      <c r="I956" s="153" t="s">
        <v>585</v>
      </c>
      <c r="J956" s="153" t="s">
        <v>586</v>
      </c>
      <c r="K956" s="153" t="s">
        <v>587</v>
      </c>
      <c r="L956" s="153" t="s">
        <v>1377</v>
      </c>
      <c r="M956" s="153" t="s">
        <v>1478</v>
      </c>
      <c r="N956" s="192">
        <v>1992.0</v>
      </c>
      <c r="O956" s="230">
        <v>1990.0</v>
      </c>
      <c r="P956" s="230">
        <v>1994.0</v>
      </c>
      <c r="Q956" s="153" t="s">
        <v>151</v>
      </c>
      <c r="R956" s="158" t="s">
        <v>149</v>
      </c>
      <c r="S956" s="158" t="s">
        <v>149</v>
      </c>
      <c r="T956" s="158" t="s">
        <v>149</v>
      </c>
      <c r="U956" s="153" t="s">
        <v>1381</v>
      </c>
      <c r="V956" s="158" t="s">
        <v>6154</v>
      </c>
      <c r="W956" s="158" t="s">
        <v>206</v>
      </c>
      <c r="X956" s="158" t="s">
        <v>159</v>
      </c>
      <c r="Y956" s="158" t="s">
        <v>149</v>
      </c>
      <c r="Z956" s="158" t="s">
        <v>149</v>
      </c>
      <c r="AA956" s="158" t="s">
        <v>149</v>
      </c>
      <c r="AB956" s="153" t="s">
        <v>660</v>
      </c>
      <c r="AC956" s="153" t="s">
        <v>6035</v>
      </c>
      <c r="AD956" s="153" t="s">
        <v>369</v>
      </c>
      <c r="AE956" s="153"/>
      <c r="AF956" s="153"/>
      <c r="AG956" s="158" t="s">
        <v>395</v>
      </c>
      <c r="AH956" s="153" t="s">
        <v>6060</v>
      </c>
      <c r="AI956" s="153" t="s">
        <v>2873</v>
      </c>
      <c r="AJ956" s="153" t="s">
        <v>398</v>
      </c>
      <c r="AK956" s="153"/>
    </row>
    <row r="957">
      <c r="A957" s="152">
        <v>2023.0</v>
      </c>
      <c r="B957" s="151">
        <v>63.0</v>
      </c>
      <c r="C957" s="129" t="s">
        <v>140</v>
      </c>
      <c r="D957" s="8"/>
      <c r="E957" s="8" t="s">
        <v>8189</v>
      </c>
      <c r="F957" s="8" t="s">
        <v>6345</v>
      </c>
      <c r="G957" s="8">
        <f>IFERROR(__xludf.DUMMYFUNCTION("""COMPUTED_VALUE"""),477.0)</f>
        <v>477</v>
      </c>
      <c r="H957" s="8" t="s">
        <v>143</v>
      </c>
      <c r="I957" s="8" t="s">
        <v>144</v>
      </c>
      <c r="J957" s="8" t="s">
        <v>3750</v>
      </c>
      <c r="K957" s="153" t="s">
        <v>3751</v>
      </c>
      <c r="L957" s="8" t="s">
        <v>6113</v>
      </c>
      <c r="N957" s="142" t="s">
        <v>6268</v>
      </c>
      <c r="O957" s="142"/>
      <c r="P957" s="142"/>
      <c r="Q957" s="8" t="s">
        <v>151</v>
      </c>
      <c r="AB957" s="8" t="s">
        <v>369</v>
      </c>
      <c r="AD957" s="8" t="s">
        <v>660</v>
      </c>
    </row>
    <row r="958">
      <c r="A958" s="152">
        <v>2025.0</v>
      </c>
      <c r="B958" s="151">
        <v>63.0</v>
      </c>
      <c r="C958" s="153" t="s">
        <v>8189</v>
      </c>
      <c r="D958" s="153"/>
      <c r="E958" s="153" t="s">
        <v>8301</v>
      </c>
      <c r="F958" s="153" t="s">
        <v>6342</v>
      </c>
      <c r="G958" s="153">
        <f>IFERROR(__xludf.DUMMYFUNCTION("""COMPUTED_VALUE"""),478.0)</f>
        <v>478</v>
      </c>
      <c r="H958" s="153" t="s">
        <v>143</v>
      </c>
      <c r="I958" s="153" t="s">
        <v>144</v>
      </c>
      <c r="J958" s="153" t="s">
        <v>693</v>
      </c>
      <c r="K958" s="153" t="s">
        <v>694</v>
      </c>
      <c r="L958" s="158" t="s">
        <v>149</v>
      </c>
      <c r="M958" s="158" t="s">
        <v>2941</v>
      </c>
      <c r="N958" s="160" t="s">
        <v>6343</v>
      </c>
      <c r="O958" s="175" t="s">
        <v>6343</v>
      </c>
      <c r="P958" s="175" t="s">
        <v>6073</v>
      </c>
      <c r="Q958" s="153" t="s">
        <v>6062</v>
      </c>
      <c r="R958" s="153" t="s">
        <v>179</v>
      </c>
      <c r="S958" s="158" t="s">
        <v>179</v>
      </c>
      <c r="T958" s="153" t="s">
        <v>8638</v>
      </c>
      <c r="U958" s="158" t="s">
        <v>149</v>
      </c>
      <c r="V958" s="158" t="s">
        <v>149</v>
      </c>
      <c r="W958" s="158" t="s">
        <v>149</v>
      </c>
      <c r="X958" s="158" t="s">
        <v>204</v>
      </c>
      <c r="Y958" s="158" t="s">
        <v>149</v>
      </c>
      <c r="Z958" s="158" t="s">
        <v>149</v>
      </c>
      <c r="AA958" s="158" t="s">
        <v>149</v>
      </c>
      <c r="AB958" s="153" t="s">
        <v>233</v>
      </c>
      <c r="AC958" s="158" t="s">
        <v>6068</v>
      </c>
      <c r="AD958" s="153"/>
      <c r="AE958" s="153"/>
      <c r="AF958" s="153"/>
      <c r="AG958" s="158" t="s">
        <v>6214</v>
      </c>
      <c r="AH958" s="153" t="s">
        <v>2943</v>
      </c>
      <c r="AI958" s="177" t="s">
        <v>2944</v>
      </c>
      <c r="AJ958" s="153" t="s">
        <v>1068</v>
      </c>
      <c r="AK958" s="153"/>
    </row>
    <row r="959">
      <c r="A959" s="152">
        <v>2024.0</v>
      </c>
      <c r="B959" s="151">
        <v>322.0</v>
      </c>
      <c r="C959" s="153"/>
      <c r="D959" s="153"/>
      <c r="E959" s="153" t="s">
        <v>8189</v>
      </c>
      <c r="F959" s="153" t="s">
        <v>8639</v>
      </c>
      <c r="G959" s="153">
        <f>IFERROR(__xludf.DUMMYFUNCTION("""COMPUTED_VALUE"""),479.0)</f>
        <v>479</v>
      </c>
      <c r="H959" s="153" t="s">
        <v>579</v>
      </c>
      <c r="I959" s="153" t="s">
        <v>585</v>
      </c>
      <c r="J959" s="153" t="s">
        <v>585</v>
      </c>
      <c r="K959" s="153" t="s">
        <v>1480</v>
      </c>
      <c r="L959" s="153" t="s">
        <v>1377</v>
      </c>
      <c r="M959" s="153" t="s">
        <v>1481</v>
      </c>
      <c r="N959" s="192">
        <v>1992.0</v>
      </c>
      <c r="O959" s="230">
        <v>1990.0</v>
      </c>
      <c r="P959" s="230">
        <v>1994.0</v>
      </c>
      <c r="Q959" s="153" t="s">
        <v>151</v>
      </c>
      <c r="R959" s="158" t="s">
        <v>149</v>
      </c>
      <c r="S959" s="158" t="s">
        <v>149</v>
      </c>
      <c r="T959" s="158" t="s">
        <v>149</v>
      </c>
      <c r="U959" s="153" t="s">
        <v>1381</v>
      </c>
      <c r="V959" s="158" t="s">
        <v>6154</v>
      </c>
      <c r="W959" s="158" t="s">
        <v>206</v>
      </c>
      <c r="X959" s="158" t="s">
        <v>159</v>
      </c>
      <c r="Y959" s="158" t="s">
        <v>149</v>
      </c>
      <c r="Z959" s="158" t="s">
        <v>149</v>
      </c>
      <c r="AA959" s="158" t="s">
        <v>149</v>
      </c>
      <c r="AB959" s="153" t="s">
        <v>660</v>
      </c>
      <c r="AC959" s="153" t="s">
        <v>6035</v>
      </c>
      <c r="AD959" s="153" t="s">
        <v>369</v>
      </c>
      <c r="AE959" s="153"/>
      <c r="AF959" s="153"/>
      <c r="AG959" s="158" t="s">
        <v>395</v>
      </c>
      <c r="AH959" s="153" t="s">
        <v>6060</v>
      </c>
      <c r="AI959" s="153" t="s">
        <v>2873</v>
      </c>
      <c r="AJ959" s="153" t="s">
        <v>398</v>
      </c>
      <c r="AK959" s="153"/>
    </row>
    <row r="960">
      <c r="A960" s="152">
        <v>2023.0</v>
      </c>
      <c r="B960" s="151">
        <v>64.0</v>
      </c>
      <c r="C960" s="129" t="s">
        <v>140</v>
      </c>
      <c r="D960" s="8"/>
      <c r="E960" s="8" t="s">
        <v>8189</v>
      </c>
      <c r="F960" s="8" t="s">
        <v>6346</v>
      </c>
      <c r="G960" s="8">
        <f>IFERROR(__xludf.DUMMYFUNCTION("""COMPUTED_VALUE"""),480.0)</f>
        <v>480</v>
      </c>
      <c r="H960" s="8" t="s">
        <v>143</v>
      </c>
      <c r="I960" s="8" t="s">
        <v>144</v>
      </c>
      <c r="J960" s="8" t="s">
        <v>693</v>
      </c>
      <c r="K960" s="153" t="s">
        <v>694</v>
      </c>
      <c r="L960" s="8" t="s">
        <v>6113</v>
      </c>
      <c r="N960" s="142" t="s">
        <v>6347</v>
      </c>
      <c r="O960" s="142"/>
      <c r="P960" s="142"/>
      <c r="Q960" s="8" t="s">
        <v>151</v>
      </c>
      <c r="T960" s="8" t="s">
        <v>699</v>
      </c>
      <c r="U960" s="8" t="s">
        <v>2111</v>
      </c>
      <c r="AA960" s="8" t="s">
        <v>2938</v>
      </c>
      <c r="AB960" s="8" t="s">
        <v>6348</v>
      </c>
      <c r="AH960" s="8" t="s">
        <v>395</v>
      </c>
      <c r="AI960" s="172" t="s">
        <v>6349</v>
      </c>
      <c r="AJ960" s="8" t="s">
        <v>398</v>
      </c>
    </row>
    <row r="961">
      <c r="A961" s="152">
        <v>2025.0</v>
      </c>
      <c r="B961" s="151">
        <v>64.0</v>
      </c>
      <c r="C961" s="153" t="s">
        <v>8189</v>
      </c>
      <c r="D961" s="153"/>
      <c r="E961" s="153" t="s">
        <v>8301</v>
      </c>
      <c r="F961" s="153" t="s">
        <v>6350</v>
      </c>
      <c r="G961" s="153">
        <f>IFERROR(__xludf.DUMMYFUNCTION("""COMPUTED_VALUE"""),481.0)</f>
        <v>481</v>
      </c>
      <c r="H961" s="153" t="s">
        <v>143</v>
      </c>
      <c r="I961" s="153" t="s">
        <v>144</v>
      </c>
      <c r="J961" s="153" t="s">
        <v>693</v>
      </c>
      <c r="K961" s="153" t="s">
        <v>694</v>
      </c>
      <c r="L961" s="158" t="s">
        <v>149</v>
      </c>
      <c r="M961" s="153" t="s">
        <v>8640</v>
      </c>
      <c r="N961" s="175" t="s">
        <v>6078</v>
      </c>
      <c r="O961" s="160" t="s">
        <v>6078</v>
      </c>
      <c r="P961" s="160" t="s">
        <v>6352</v>
      </c>
      <c r="Q961" s="153" t="s">
        <v>6062</v>
      </c>
      <c r="R961" s="153" t="s">
        <v>179</v>
      </c>
      <c r="S961" s="158" t="s">
        <v>179</v>
      </c>
      <c r="T961" s="158" t="s">
        <v>2947</v>
      </c>
      <c r="U961" s="158" t="s">
        <v>321</v>
      </c>
      <c r="V961" s="158" t="s">
        <v>160</v>
      </c>
      <c r="W961" s="158" t="s">
        <v>6035</v>
      </c>
      <c r="X961" s="158" t="s">
        <v>204</v>
      </c>
      <c r="Y961" s="158" t="s">
        <v>149</v>
      </c>
      <c r="Z961" s="158" t="s">
        <v>149</v>
      </c>
      <c r="AA961" s="158" t="s">
        <v>149</v>
      </c>
      <c r="AB961" s="153" t="s">
        <v>233</v>
      </c>
      <c r="AC961" s="158" t="s">
        <v>6068</v>
      </c>
      <c r="AD961" s="153"/>
      <c r="AE961" s="153"/>
      <c r="AF961" s="153"/>
      <c r="AG961" s="158" t="s">
        <v>6214</v>
      </c>
      <c r="AH961" s="153" t="s">
        <v>2948</v>
      </c>
      <c r="AI961" s="177" t="s">
        <v>2949</v>
      </c>
      <c r="AJ961" s="153" t="s">
        <v>1068</v>
      </c>
      <c r="AK961" s="153"/>
    </row>
    <row r="962">
      <c r="A962" s="152">
        <v>2024.0</v>
      </c>
      <c r="B962" s="151">
        <v>323.0</v>
      </c>
      <c r="C962" s="153"/>
      <c r="D962" s="153"/>
      <c r="E962" s="153" t="s">
        <v>8189</v>
      </c>
      <c r="F962" s="153" t="s">
        <v>8641</v>
      </c>
      <c r="G962" s="153">
        <f>IFERROR(__xludf.DUMMYFUNCTION("""COMPUTED_VALUE"""),482.0)</f>
        <v>482</v>
      </c>
      <c r="H962" s="153" t="s">
        <v>579</v>
      </c>
      <c r="I962" s="153" t="s">
        <v>585</v>
      </c>
      <c r="J962" s="153" t="s">
        <v>1483</v>
      </c>
      <c r="K962" s="153" t="s">
        <v>1484</v>
      </c>
      <c r="L962" s="153" t="s">
        <v>1377</v>
      </c>
      <c r="M962" s="153" t="s">
        <v>1485</v>
      </c>
      <c r="N962" s="192">
        <v>1992.0</v>
      </c>
      <c r="O962" s="230">
        <v>1990.0</v>
      </c>
      <c r="P962" s="230">
        <v>1994.0</v>
      </c>
      <c r="Q962" s="153" t="s">
        <v>151</v>
      </c>
      <c r="R962" s="158" t="s">
        <v>149</v>
      </c>
      <c r="S962" s="158" t="s">
        <v>149</v>
      </c>
      <c r="T962" s="158" t="s">
        <v>149</v>
      </c>
      <c r="U962" s="153" t="s">
        <v>1381</v>
      </c>
      <c r="V962" s="158" t="s">
        <v>6154</v>
      </c>
      <c r="W962" s="158" t="s">
        <v>206</v>
      </c>
      <c r="X962" s="158" t="s">
        <v>159</v>
      </c>
      <c r="Y962" s="158" t="s">
        <v>149</v>
      </c>
      <c r="Z962" s="158" t="s">
        <v>149</v>
      </c>
      <c r="AA962" s="158" t="s">
        <v>149</v>
      </c>
      <c r="AB962" s="153" t="s">
        <v>660</v>
      </c>
      <c r="AC962" s="153" t="s">
        <v>6035</v>
      </c>
      <c r="AD962" s="153" t="s">
        <v>369</v>
      </c>
      <c r="AE962" s="153"/>
      <c r="AF962" s="153"/>
      <c r="AG962" s="158" t="s">
        <v>395</v>
      </c>
      <c r="AH962" s="153" t="s">
        <v>6060</v>
      </c>
      <c r="AI962" s="153" t="s">
        <v>2873</v>
      </c>
      <c r="AJ962" s="153" t="s">
        <v>398</v>
      </c>
      <c r="AK962" s="153"/>
    </row>
    <row r="963">
      <c r="A963" s="152">
        <v>2023.0</v>
      </c>
      <c r="B963" s="151">
        <v>65.0</v>
      </c>
      <c r="C963" s="129" t="s">
        <v>648</v>
      </c>
      <c r="D963" s="8"/>
      <c r="E963" s="8" t="s">
        <v>8189</v>
      </c>
      <c r="F963" s="8" t="s">
        <v>6360</v>
      </c>
      <c r="G963" s="8">
        <f>IFERROR(__xludf.DUMMYFUNCTION("""COMPUTED_VALUE"""),483.0)</f>
        <v>483</v>
      </c>
      <c r="H963" s="8" t="s">
        <v>143</v>
      </c>
      <c r="I963" s="8" t="s">
        <v>144</v>
      </c>
      <c r="J963" s="8" t="s">
        <v>693</v>
      </c>
      <c r="K963" s="153" t="s">
        <v>694</v>
      </c>
      <c r="L963" s="8" t="s">
        <v>6113</v>
      </c>
      <c r="N963" s="142" t="s">
        <v>6333</v>
      </c>
      <c r="O963" s="142"/>
      <c r="P963" s="142"/>
      <c r="Q963" s="8" t="s">
        <v>151</v>
      </c>
      <c r="R963" s="8" t="s">
        <v>697</v>
      </c>
      <c r="AB963" s="8" t="s">
        <v>6113</v>
      </c>
      <c r="AH963" s="8" t="s">
        <v>395</v>
      </c>
      <c r="AI963" s="172" t="s">
        <v>2873</v>
      </c>
    </row>
    <row r="964">
      <c r="A964" s="152">
        <v>2025.0</v>
      </c>
      <c r="B964" s="151">
        <v>65.0</v>
      </c>
      <c r="C964" s="153" t="s">
        <v>8189</v>
      </c>
      <c r="D964" s="153"/>
      <c r="E964" s="153" t="s">
        <v>8301</v>
      </c>
      <c r="F964" s="153" t="s">
        <v>6353</v>
      </c>
      <c r="G964" s="153">
        <f>IFERROR(__xludf.DUMMYFUNCTION("""COMPUTED_VALUE"""),484.0)</f>
        <v>484</v>
      </c>
      <c r="H964" s="153" t="s">
        <v>143</v>
      </c>
      <c r="I964" s="153" t="s">
        <v>144</v>
      </c>
      <c r="J964" s="153" t="s">
        <v>693</v>
      </c>
      <c r="K964" s="153" t="s">
        <v>694</v>
      </c>
      <c r="L964" s="158" t="s">
        <v>149</v>
      </c>
      <c r="M964" s="153" t="s">
        <v>8642</v>
      </c>
      <c r="N964" s="160" t="s">
        <v>6355</v>
      </c>
      <c r="O964" s="160" t="s">
        <v>6355</v>
      </c>
      <c r="P964" s="160" t="s">
        <v>6356</v>
      </c>
      <c r="Q964" s="153" t="s">
        <v>6062</v>
      </c>
      <c r="R964" s="153" t="s">
        <v>6357</v>
      </c>
      <c r="S964" s="158" t="s">
        <v>179</v>
      </c>
      <c r="T964" s="153" t="s">
        <v>8643</v>
      </c>
      <c r="U964" s="158" t="s">
        <v>2953</v>
      </c>
      <c r="V964" s="158" t="s">
        <v>6154</v>
      </c>
      <c r="W964" s="158" t="s">
        <v>206</v>
      </c>
      <c r="X964" s="158" t="s">
        <v>204</v>
      </c>
      <c r="Y964" s="158" t="s">
        <v>149</v>
      </c>
      <c r="Z964" s="158" t="s">
        <v>149</v>
      </c>
      <c r="AA964" s="158" t="s">
        <v>149</v>
      </c>
      <c r="AB964" s="153" t="s">
        <v>233</v>
      </c>
      <c r="AC964" s="158" t="s">
        <v>6068</v>
      </c>
      <c r="AD964" s="153"/>
      <c r="AE964" s="153"/>
      <c r="AF964" s="153"/>
      <c r="AG964" s="158" t="s">
        <v>6214</v>
      </c>
      <c r="AH964" s="153" t="s">
        <v>2954</v>
      </c>
      <c r="AI964" s="165" t="s">
        <v>6359</v>
      </c>
      <c r="AJ964" s="153" t="s">
        <v>1068</v>
      </c>
      <c r="AK964" s="153"/>
    </row>
    <row r="965">
      <c r="A965" s="152">
        <v>2024.0</v>
      </c>
      <c r="B965" s="151">
        <v>324.0</v>
      </c>
      <c r="C965" s="153"/>
      <c r="D965" s="153"/>
      <c r="E965" s="153" t="s">
        <v>8189</v>
      </c>
      <c r="F965" s="153" t="s">
        <v>8644</v>
      </c>
      <c r="G965" s="153">
        <f>IFERROR(__xludf.DUMMYFUNCTION("""COMPUTED_VALUE"""),485.0)</f>
        <v>485</v>
      </c>
      <c r="H965" s="153" t="s">
        <v>579</v>
      </c>
      <c r="I965" s="153" t="s">
        <v>585</v>
      </c>
      <c r="J965" s="153" t="s">
        <v>1487</v>
      </c>
      <c r="K965" s="153" t="s">
        <v>1488</v>
      </c>
      <c r="L965" s="153" t="s">
        <v>1377</v>
      </c>
      <c r="M965" s="153" t="s">
        <v>1489</v>
      </c>
      <c r="N965" s="192">
        <v>1992.0</v>
      </c>
      <c r="O965" s="230">
        <v>1990.0</v>
      </c>
      <c r="P965" s="230">
        <v>1994.0</v>
      </c>
      <c r="Q965" s="153" t="s">
        <v>151</v>
      </c>
      <c r="R965" s="158" t="s">
        <v>149</v>
      </c>
      <c r="S965" s="158" t="s">
        <v>149</v>
      </c>
      <c r="T965" s="158" t="s">
        <v>149</v>
      </c>
      <c r="U965" s="153" t="s">
        <v>1381</v>
      </c>
      <c r="V965" s="158" t="s">
        <v>6154</v>
      </c>
      <c r="W965" s="158" t="s">
        <v>206</v>
      </c>
      <c r="X965" s="158" t="s">
        <v>159</v>
      </c>
      <c r="Y965" s="158" t="s">
        <v>149</v>
      </c>
      <c r="Z965" s="158" t="s">
        <v>149</v>
      </c>
      <c r="AA965" s="158" t="s">
        <v>149</v>
      </c>
      <c r="AB965" s="153" t="s">
        <v>660</v>
      </c>
      <c r="AC965" s="153" t="s">
        <v>6035</v>
      </c>
      <c r="AD965" s="153" t="s">
        <v>369</v>
      </c>
      <c r="AE965" s="153"/>
      <c r="AF965" s="153"/>
      <c r="AG965" s="158" t="s">
        <v>395</v>
      </c>
      <c r="AH965" s="153" t="s">
        <v>6060</v>
      </c>
      <c r="AI965" s="153" t="s">
        <v>2873</v>
      </c>
      <c r="AJ965" s="153" t="s">
        <v>398</v>
      </c>
      <c r="AK965" s="153"/>
    </row>
    <row r="966">
      <c r="A966" s="152">
        <v>2023.0</v>
      </c>
      <c r="B966" s="151">
        <v>66.0</v>
      </c>
      <c r="C966" s="129" t="s">
        <v>140</v>
      </c>
      <c r="D966" s="8"/>
      <c r="E966" s="8" t="s">
        <v>8189</v>
      </c>
      <c r="F966" s="8" t="s">
        <v>6361</v>
      </c>
      <c r="G966" s="8">
        <f>IFERROR(__xludf.DUMMYFUNCTION("""COMPUTED_VALUE"""),486.0)</f>
        <v>486</v>
      </c>
      <c r="H966" s="8" t="s">
        <v>143</v>
      </c>
      <c r="I966" s="8" t="s">
        <v>144</v>
      </c>
      <c r="J966" s="8" t="s">
        <v>693</v>
      </c>
      <c r="K966" s="153" t="s">
        <v>694</v>
      </c>
      <c r="L966" s="8" t="s">
        <v>729</v>
      </c>
      <c r="N966" s="142" t="s">
        <v>6328</v>
      </c>
      <c r="O966" s="142" t="s">
        <v>6328</v>
      </c>
      <c r="P966" s="142" t="s">
        <v>6329</v>
      </c>
      <c r="Q966" s="8" t="s">
        <v>6062</v>
      </c>
      <c r="R966" s="8" t="s">
        <v>730</v>
      </c>
      <c r="AB966" s="8" t="s">
        <v>6113</v>
      </c>
      <c r="AH966" s="8" t="s">
        <v>6257</v>
      </c>
      <c r="AI966" s="172" t="s">
        <v>733</v>
      </c>
      <c r="AJ966" s="8" t="s">
        <v>734</v>
      </c>
    </row>
    <row r="967">
      <c r="A967" s="152">
        <v>2025.0</v>
      </c>
      <c r="B967" s="151">
        <v>66.0</v>
      </c>
      <c r="C967" s="153" t="s">
        <v>8189</v>
      </c>
      <c r="D967" s="153"/>
      <c r="E967" s="153" t="s">
        <v>8301</v>
      </c>
      <c r="F967" s="153" t="s">
        <v>6362</v>
      </c>
      <c r="G967" s="153">
        <f>IFERROR(__xludf.DUMMYFUNCTION("""COMPUTED_VALUE"""),487.0)</f>
        <v>487</v>
      </c>
      <c r="H967" s="153" t="s">
        <v>143</v>
      </c>
      <c r="I967" s="153" t="s">
        <v>144</v>
      </c>
      <c r="J967" s="153" t="s">
        <v>693</v>
      </c>
      <c r="K967" s="153" t="s">
        <v>694</v>
      </c>
      <c r="L967" s="158" t="s">
        <v>149</v>
      </c>
      <c r="M967" s="153" t="s">
        <v>8645</v>
      </c>
      <c r="N967" s="160" t="s">
        <v>6356</v>
      </c>
      <c r="O967" s="160" t="s">
        <v>6356</v>
      </c>
      <c r="P967" s="160" t="s">
        <v>6356</v>
      </c>
      <c r="Q967" s="153" t="s">
        <v>6062</v>
      </c>
      <c r="R967" s="153" t="s">
        <v>8646</v>
      </c>
      <c r="S967" s="158" t="s">
        <v>2958</v>
      </c>
      <c r="T967" s="153" t="s">
        <v>8647</v>
      </c>
      <c r="U967" s="158" t="s">
        <v>149</v>
      </c>
      <c r="V967" s="158" t="s">
        <v>149</v>
      </c>
      <c r="W967" s="158" t="s">
        <v>149</v>
      </c>
      <c r="X967" s="158" t="s">
        <v>149</v>
      </c>
      <c r="Y967" s="158" t="s">
        <v>149</v>
      </c>
      <c r="Z967" s="158" t="s">
        <v>149</v>
      </c>
      <c r="AA967" s="158" t="s">
        <v>149</v>
      </c>
      <c r="AB967" s="153" t="s">
        <v>233</v>
      </c>
      <c r="AC967" s="158" t="s">
        <v>6068</v>
      </c>
      <c r="AD967" s="153"/>
      <c r="AE967" s="153"/>
      <c r="AF967" s="153"/>
      <c r="AG967" s="158" t="s">
        <v>6214</v>
      </c>
      <c r="AH967" s="153" t="s">
        <v>2960</v>
      </c>
      <c r="AI967" s="165" t="s">
        <v>6366</v>
      </c>
      <c r="AJ967" s="153" t="s">
        <v>1068</v>
      </c>
      <c r="AK967" s="153"/>
    </row>
    <row r="968">
      <c r="A968" s="152">
        <v>2024.0</v>
      </c>
      <c r="B968" s="151">
        <v>325.0</v>
      </c>
      <c r="C968" s="153"/>
      <c r="D968" s="153"/>
      <c r="E968" s="153" t="s">
        <v>8189</v>
      </c>
      <c r="F968" s="153" t="s">
        <v>8648</v>
      </c>
      <c r="G968" s="153">
        <f>IFERROR(__xludf.DUMMYFUNCTION("""COMPUTED_VALUE"""),488.0)</f>
        <v>488</v>
      </c>
      <c r="H968" s="153" t="s">
        <v>579</v>
      </c>
      <c r="I968" s="153" t="s">
        <v>585</v>
      </c>
      <c r="J968" s="153" t="s">
        <v>7266</v>
      </c>
      <c r="K968" s="153" t="s">
        <v>1492</v>
      </c>
      <c r="L968" s="153" t="s">
        <v>1377</v>
      </c>
      <c r="M968" s="153" t="s">
        <v>635</v>
      </c>
      <c r="N968" s="192">
        <v>1992.0</v>
      </c>
      <c r="O968" s="230">
        <v>1990.0</v>
      </c>
      <c r="P968" s="230">
        <v>1994.0</v>
      </c>
      <c r="Q968" s="153" t="s">
        <v>151</v>
      </c>
      <c r="R968" s="158" t="s">
        <v>149</v>
      </c>
      <c r="S968" s="158" t="s">
        <v>149</v>
      </c>
      <c r="T968" s="158" t="s">
        <v>149</v>
      </c>
      <c r="U968" s="153" t="s">
        <v>1381</v>
      </c>
      <c r="V968" s="158" t="s">
        <v>6154</v>
      </c>
      <c r="W968" s="158" t="s">
        <v>206</v>
      </c>
      <c r="X968" s="158" t="s">
        <v>159</v>
      </c>
      <c r="Y968" s="158" t="s">
        <v>149</v>
      </c>
      <c r="Z968" s="158" t="s">
        <v>149</v>
      </c>
      <c r="AA968" s="158" t="s">
        <v>149</v>
      </c>
      <c r="AB968" s="153" t="s">
        <v>660</v>
      </c>
      <c r="AC968" s="153" t="s">
        <v>6035</v>
      </c>
      <c r="AD968" s="153" t="s">
        <v>369</v>
      </c>
      <c r="AE968" s="153"/>
      <c r="AF968" s="153"/>
      <c r="AG968" s="158" t="s">
        <v>395</v>
      </c>
      <c r="AH968" s="153" t="s">
        <v>6060</v>
      </c>
      <c r="AI968" s="153" t="s">
        <v>2873</v>
      </c>
      <c r="AJ968" s="153" t="s">
        <v>398</v>
      </c>
      <c r="AK968" s="153"/>
    </row>
    <row r="969">
      <c r="A969" s="152">
        <v>2023.0</v>
      </c>
      <c r="B969" s="151">
        <v>67.0</v>
      </c>
      <c r="C969" s="129" t="s">
        <v>140</v>
      </c>
      <c r="D969" s="8"/>
      <c r="E969" s="8" t="s">
        <v>8189</v>
      </c>
      <c r="F969" s="8" t="s">
        <v>6367</v>
      </c>
      <c r="G969" s="8">
        <f>IFERROR(__xludf.DUMMYFUNCTION("""COMPUTED_VALUE"""),489.0)</f>
        <v>489</v>
      </c>
      <c r="H969" s="8" t="s">
        <v>143</v>
      </c>
      <c r="I969" s="8" t="s">
        <v>144</v>
      </c>
      <c r="J969" s="8" t="s">
        <v>693</v>
      </c>
      <c r="K969" s="153" t="s">
        <v>694</v>
      </c>
      <c r="L969" s="8" t="s">
        <v>6368</v>
      </c>
      <c r="M969" s="8" t="s">
        <v>6369</v>
      </c>
      <c r="N969" s="142" t="s">
        <v>6333</v>
      </c>
      <c r="O969" s="142"/>
      <c r="P969" s="142"/>
      <c r="Q969" s="8" t="s">
        <v>151</v>
      </c>
      <c r="R969" s="8" t="s">
        <v>697</v>
      </c>
      <c r="T969" s="8" t="s">
        <v>699</v>
      </c>
      <c r="AA969" s="8" t="s">
        <v>6370</v>
      </c>
      <c r="AB969" s="8" t="s">
        <v>233</v>
      </c>
      <c r="AH969" s="8" t="s">
        <v>395</v>
      </c>
      <c r="AI969" s="8" t="s">
        <v>6371</v>
      </c>
      <c r="AJ969" s="8" t="s">
        <v>703</v>
      </c>
    </row>
    <row r="970">
      <c r="A970" s="152">
        <v>2025.0</v>
      </c>
      <c r="B970" s="151">
        <v>67.0</v>
      </c>
      <c r="C970" s="153" t="s">
        <v>8189</v>
      </c>
      <c r="D970" s="153"/>
      <c r="E970" s="153" t="s">
        <v>8301</v>
      </c>
      <c r="F970" s="153" t="s">
        <v>6372</v>
      </c>
      <c r="G970" s="153">
        <f>IFERROR(__xludf.DUMMYFUNCTION("""COMPUTED_VALUE"""),490.0)</f>
        <v>490</v>
      </c>
      <c r="H970" s="153" t="s">
        <v>143</v>
      </c>
      <c r="I970" s="153" t="s">
        <v>144</v>
      </c>
      <c r="J970" s="153" t="s">
        <v>693</v>
      </c>
      <c r="K970" s="153" t="s">
        <v>694</v>
      </c>
      <c r="L970" s="153" t="s">
        <v>1846</v>
      </c>
      <c r="M970" s="158"/>
      <c r="N970" s="175" t="s">
        <v>6063</v>
      </c>
      <c r="O970" s="175" t="s">
        <v>6063</v>
      </c>
      <c r="P970" s="175" t="s">
        <v>6152</v>
      </c>
      <c r="Q970" s="153" t="s">
        <v>6221</v>
      </c>
      <c r="R970" s="158" t="s">
        <v>1847</v>
      </c>
      <c r="S970" s="158" t="s">
        <v>1847</v>
      </c>
      <c r="T970" s="153" t="s">
        <v>1848</v>
      </c>
      <c r="U970" s="153" t="s">
        <v>321</v>
      </c>
      <c r="V970" s="158" t="s">
        <v>160</v>
      </c>
      <c r="W970" s="158" t="s">
        <v>6035</v>
      </c>
      <c r="X970" s="158" t="s">
        <v>204</v>
      </c>
      <c r="Y970" s="240">
        <v>2682661.5</v>
      </c>
      <c r="Z970" s="158" t="s">
        <v>149</v>
      </c>
      <c r="AA970" s="158" t="s">
        <v>149</v>
      </c>
      <c r="AB970" s="153" t="s">
        <v>233</v>
      </c>
      <c r="AC970" s="158" t="s">
        <v>6068</v>
      </c>
      <c r="AD970" s="153" t="s">
        <v>1854</v>
      </c>
      <c r="AE970" s="153" t="s">
        <v>885</v>
      </c>
      <c r="AF970" s="153"/>
      <c r="AG970" s="153" t="s">
        <v>6084</v>
      </c>
      <c r="AH970" s="153" t="s">
        <v>1851</v>
      </c>
      <c r="AI970" s="153" t="s">
        <v>6070</v>
      </c>
      <c r="AJ970" s="153" t="s">
        <v>943</v>
      </c>
      <c r="AK970" s="153"/>
    </row>
    <row r="971">
      <c r="A971" s="152">
        <v>2024.0</v>
      </c>
      <c r="B971" s="151">
        <v>326.0</v>
      </c>
      <c r="C971" s="153"/>
      <c r="D971" s="153"/>
      <c r="E971" s="153" t="s">
        <v>8189</v>
      </c>
      <c r="F971" s="153" t="s">
        <v>8649</v>
      </c>
      <c r="G971" s="153">
        <f>IFERROR(__xludf.DUMMYFUNCTION("""COMPUTED_VALUE"""),491.0)</f>
        <v>491</v>
      </c>
      <c r="H971" s="153" t="s">
        <v>579</v>
      </c>
      <c r="I971" s="153" t="s">
        <v>714</v>
      </c>
      <c r="J971" s="153" t="s">
        <v>715</v>
      </c>
      <c r="K971" s="153" t="s">
        <v>716</v>
      </c>
      <c r="L971" s="153" t="s">
        <v>717</v>
      </c>
      <c r="M971" s="153"/>
      <c r="N971" s="230">
        <v>2013.0</v>
      </c>
      <c r="O971" s="192" t="s">
        <v>149</v>
      </c>
      <c r="P971" s="192" t="s">
        <v>149</v>
      </c>
      <c r="Q971" s="153" t="s">
        <v>151</v>
      </c>
      <c r="R971" s="153" t="s">
        <v>720</v>
      </c>
      <c r="S971" s="158" t="s">
        <v>720</v>
      </c>
      <c r="T971" s="153" t="s">
        <v>723</v>
      </c>
      <c r="U971" s="158" t="s">
        <v>149</v>
      </c>
      <c r="V971" s="158" t="s">
        <v>149</v>
      </c>
      <c r="W971" s="158" t="s">
        <v>149</v>
      </c>
      <c r="X971" s="158" t="s">
        <v>149</v>
      </c>
      <c r="Y971" s="158" t="s">
        <v>149</v>
      </c>
      <c r="Z971" s="158" t="s">
        <v>149</v>
      </c>
      <c r="AA971" s="158" t="s">
        <v>149</v>
      </c>
      <c r="AB971" s="153" t="s">
        <v>724</v>
      </c>
      <c r="AC971" s="158" t="s">
        <v>184</v>
      </c>
      <c r="AD971" s="153"/>
      <c r="AE971" s="153" t="s">
        <v>725</v>
      </c>
      <c r="AF971" s="153"/>
      <c r="AG971" s="158" t="s">
        <v>6517</v>
      </c>
      <c r="AH971" s="153" t="s">
        <v>726</v>
      </c>
      <c r="AI971" s="165" t="s">
        <v>727</v>
      </c>
      <c r="AJ971" s="153"/>
      <c r="AK971" s="153"/>
    </row>
    <row r="972">
      <c r="A972" s="152">
        <v>2023.0</v>
      </c>
      <c r="B972" s="151">
        <v>68.0</v>
      </c>
      <c r="C972" s="129" t="s">
        <v>140</v>
      </c>
      <c r="D972" s="8"/>
      <c r="E972" s="8" t="s">
        <v>8189</v>
      </c>
      <c r="F972" s="8" t="s">
        <v>6373</v>
      </c>
      <c r="G972" s="8">
        <f>IFERROR(__xludf.DUMMYFUNCTION("""COMPUTED_VALUE"""),492.0)</f>
        <v>492</v>
      </c>
      <c r="H972" s="8" t="s">
        <v>143</v>
      </c>
      <c r="I972" s="8" t="s">
        <v>144</v>
      </c>
      <c r="J972" s="8" t="s">
        <v>693</v>
      </c>
      <c r="K972" s="153" t="s">
        <v>694</v>
      </c>
      <c r="L972" s="8" t="s">
        <v>1377</v>
      </c>
      <c r="M972" s="8" t="s">
        <v>6374</v>
      </c>
      <c r="N972" s="278" t="s">
        <v>6199</v>
      </c>
      <c r="O972" s="142" t="s">
        <v>6199</v>
      </c>
      <c r="P972" s="142" t="s">
        <v>6339</v>
      </c>
      <c r="Q972" s="8" t="s">
        <v>6062</v>
      </c>
      <c r="R972" s="8" t="s">
        <v>179</v>
      </c>
      <c r="T972" s="8" t="s">
        <v>204</v>
      </c>
      <c r="U972" s="8" t="s">
        <v>1381</v>
      </c>
      <c r="AB972" s="8" t="s">
        <v>233</v>
      </c>
      <c r="AD972" s="8" t="s">
        <v>660</v>
      </c>
      <c r="AH972" s="8" t="s">
        <v>6214</v>
      </c>
      <c r="AI972" s="172" t="s">
        <v>6341</v>
      </c>
      <c r="AJ972" s="8" t="s">
        <v>1068</v>
      </c>
    </row>
    <row r="973">
      <c r="A973" s="152">
        <v>2025.0</v>
      </c>
      <c r="B973" s="151">
        <v>68.0</v>
      </c>
      <c r="C973" s="153" t="s">
        <v>8189</v>
      </c>
      <c r="D973" s="153"/>
      <c r="E973" s="153" t="s">
        <v>8301</v>
      </c>
      <c r="F973" s="153" t="s">
        <v>6375</v>
      </c>
      <c r="G973" s="153">
        <f>IFERROR(__xludf.DUMMYFUNCTION("""COMPUTED_VALUE"""),493.0)</f>
        <v>493</v>
      </c>
      <c r="H973" s="153" t="s">
        <v>143</v>
      </c>
      <c r="I973" s="153" t="s">
        <v>144</v>
      </c>
      <c r="J973" s="153" t="s">
        <v>693</v>
      </c>
      <c r="K973" s="153" t="s">
        <v>694</v>
      </c>
      <c r="L973" s="153" t="s">
        <v>1828</v>
      </c>
      <c r="M973" s="153" t="s">
        <v>6256</v>
      </c>
      <c r="N973" s="175" t="s">
        <v>6063</v>
      </c>
      <c r="O973" s="175" t="s">
        <v>6063</v>
      </c>
      <c r="P973" s="175" t="s">
        <v>6152</v>
      </c>
      <c r="Q973" s="153" t="s">
        <v>6221</v>
      </c>
      <c r="R973" s="158" t="s">
        <v>1830</v>
      </c>
      <c r="S973" s="158" t="s">
        <v>1830</v>
      </c>
      <c r="T973" s="153" t="s">
        <v>1831</v>
      </c>
      <c r="U973" s="153" t="s">
        <v>321</v>
      </c>
      <c r="V973" s="158" t="s">
        <v>160</v>
      </c>
      <c r="W973" s="158" t="s">
        <v>6035</v>
      </c>
      <c r="X973" s="158" t="s">
        <v>204</v>
      </c>
      <c r="Y973" s="240">
        <v>2803661.28</v>
      </c>
      <c r="Z973" s="158" t="s">
        <v>149</v>
      </c>
      <c r="AA973" s="158" t="s">
        <v>149</v>
      </c>
      <c r="AB973" s="153" t="s">
        <v>233</v>
      </c>
      <c r="AC973" s="158" t="s">
        <v>6068</v>
      </c>
      <c r="AD973" s="153" t="s">
        <v>1837</v>
      </c>
      <c r="AE973" s="153"/>
      <c r="AF973" s="153"/>
      <c r="AG973" s="153" t="s">
        <v>6084</v>
      </c>
      <c r="AH973" s="153" t="s">
        <v>1834</v>
      </c>
      <c r="AI973" s="153" t="s">
        <v>6070</v>
      </c>
      <c r="AJ973" s="153" t="s">
        <v>943</v>
      </c>
      <c r="AK973" s="153"/>
    </row>
    <row r="974">
      <c r="A974" s="152">
        <v>2024.0</v>
      </c>
      <c r="B974" s="151">
        <v>327.0</v>
      </c>
      <c r="C974" s="153"/>
      <c r="D974" s="153"/>
      <c r="E974" s="153" t="s">
        <v>8189</v>
      </c>
      <c r="F974" s="153" t="s">
        <v>8650</v>
      </c>
      <c r="G974" s="153">
        <f>IFERROR(__xludf.DUMMYFUNCTION("""COMPUTED_VALUE"""),494.0)</f>
        <v>494</v>
      </c>
      <c r="H974" s="153" t="s">
        <v>579</v>
      </c>
      <c r="I974" s="153" t="s">
        <v>714</v>
      </c>
      <c r="J974" s="153" t="s">
        <v>715</v>
      </c>
      <c r="K974" s="153" t="s">
        <v>716</v>
      </c>
      <c r="L974" s="153" t="s">
        <v>1840</v>
      </c>
      <c r="M974" s="153"/>
      <c r="N974" s="230">
        <v>2017.0</v>
      </c>
      <c r="O974" s="192" t="s">
        <v>149</v>
      </c>
      <c r="P974" s="192" t="s">
        <v>149</v>
      </c>
      <c r="Q974" s="153" t="s">
        <v>6062</v>
      </c>
      <c r="R974" s="153" t="s">
        <v>1841</v>
      </c>
      <c r="S974" s="158" t="s">
        <v>179</v>
      </c>
      <c r="T974" s="153" t="s">
        <v>1842</v>
      </c>
      <c r="U974" s="158" t="s">
        <v>149</v>
      </c>
      <c r="V974" s="158" t="s">
        <v>149</v>
      </c>
      <c r="W974" s="158" t="s">
        <v>149</v>
      </c>
      <c r="X974" s="158" t="s">
        <v>149</v>
      </c>
      <c r="Y974" s="158" t="s">
        <v>149</v>
      </c>
      <c r="Z974" s="158" t="s">
        <v>149</v>
      </c>
      <c r="AA974" s="158" t="s">
        <v>149</v>
      </c>
      <c r="AB974" s="153" t="s">
        <v>724</v>
      </c>
      <c r="AC974" s="158" t="s">
        <v>184</v>
      </c>
      <c r="AD974" s="153"/>
      <c r="AE974" s="153"/>
      <c r="AF974" s="153" t="s">
        <v>1843</v>
      </c>
      <c r="AG974" s="158" t="s">
        <v>6517</v>
      </c>
      <c r="AH974" s="153" t="s">
        <v>726</v>
      </c>
      <c r="AI974" s="165" t="s">
        <v>1844</v>
      </c>
      <c r="AJ974" s="153"/>
      <c r="AK974" s="153"/>
    </row>
    <row r="975">
      <c r="A975" s="152">
        <v>2023.0</v>
      </c>
      <c r="B975" s="151">
        <v>69.0</v>
      </c>
      <c r="C975" s="129" t="s">
        <v>140</v>
      </c>
      <c r="D975" s="8"/>
      <c r="E975" s="8" t="s">
        <v>8189</v>
      </c>
      <c r="F975" s="8" t="s">
        <v>8651</v>
      </c>
      <c r="G975" s="8">
        <f>IFERROR(__xludf.DUMMYFUNCTION("""COMPUTED_VALUE"""),495.0)</f>
        <v>495</v>
      </c>
      <c r="H975" s="8" t="s">
        <v>143</v>
      </c>
      <c r="I975" s="8" t="s">
        <v>144</v>
      </c>
      <c r="J975" s="8" t="s">
        <v>693</v>
      </c>
      <c r="K975" s="153" t="s">
        <v>694</v>
      </c>
      <c r="L975" s="8" t="s">
        <v>6113</v>
      </c>
      <c r="N975" s="142"/>
      <c r="O975" s="142" t="s">
        <v>6343</v>
      </c>
      <c r="P975" s="142" t="s">
        <v>6073</v>
      </c>
      <c r="Q975" s="8" t="s">
        <v>6062</v>
      </c>
      <c r="R975" s="8" t="s">
        <v>179</v>
      </c>
      <c r="T975" s="8" t="s">
        <v>204</v>
      </c>
      <c r="AB975" s="8" t="s">
        <v>233</v>
      </c>
      <c r="AH975" s="8" t="s">
        <v>6214</v>
      </c>
      <c r="AI975" s="172" t="s">
        <v>6377</v>
      </c>
      <c r="AJ975" s="8" t="s">
        <v>1068</v>
      </c>
    </row>
    <row r="976">
      <c r="A976" s="152">
        <v>2025.0</v>
      </c>
      <c r="B976" s="151">
        <v>69.0</v>
      </c>
      <c r="C976" s="153" t="s">
        <v>8189</v>
      </c>
      <c r="D976" s="153"/>
      <c r="E976" s="153" t="s">
        <v>8301</v>
      </c>
      <c r="F976" s="153" t="s">
        <v>6378</v>
      </c>
      <c r="G976" s="153">
        <f>IFERROR(__xludf.DUMMYFUNCTION("""COMPUTED_VALUE"""),496.0)</f>
        <v>496</v>
      </c>
      <c r="H976" s="153" t="s">
        <v>143</v>
      </c>
      <c r="I976" s="153" t="s">
        <v>144</v>
      </c>
      <c r="J976" s="153" t="s">
        <v>693</v>
      </c>
      <c r="K976" s="153" t="s">
        <v>694</v>
      </c>
      <c r="L976" s="158" t="s">
        <v>149</v>
      </c>
      <c r="M976" s="153" t="s">
        <v>8652</v>
      </c>
      <c r="N976" s="160" t="s">
        <v>6328</v>
      </c>
      <c r="O976" s="160" t="s">
        <v>6328</v>
      </c>
      <c r="P976" s="160" t="s">
        <v>6328</v>
      </c>
      <c r="Q976" s="158" t="s">
        <v>6259</v>
      </c>
      <c r="R976" s="158" t="s">
        <v>2964</v>
      </c>
      <c r="S976" s="158" t="s">
        <v>2964</v>
      </c>
      <c r="T976" s="153" t="s">
        <v>2965</v>
      </c>
      <c r="U976" s="158" t="s">
        <v>2966</v>
      </c>
      <c r="V976" s="158" t="s">
        <v>160</v>
      </c>
      <c r="W976" s="158" t="s">
        <v>184</v>
      </c>
      <c r="X976" s="158" t="s">
        <v>204</v>
      </c>
      <c r="Y976" s="241" t="s">
        <v>149</v>
      </c>
      <c r="Z976" s="158" t="s">
        <v>149</v>
      </c>
      <c r="AA976" s="158" t="s">
        <v>2967</v>
      </c>
      <c r="AB976" s="153" t="s">
        <v>233</v>
      </c>
      <c r="AC976" s="158" t="s">
        <v>6068</v>
      </c>
      <c r="AD976" s="153"/>
      <c r="AE976" s="153"/>
      <c r="AF976" s="153"/>
      <c r="AG976" s="158" t="s">
        <v>6214</v>
      </c>
      <c r="AH976" s="153" t="s">
        <v>2968</v>
      </c>
      <c r="AI976" s="165" t="s">
        <v>2969</v>
      </c>
      <c r="AJ976" s="153" t="s">
        <v>2970</v>
      </c>
      <c r="AK976" s="153"/>
    </row>
    <row r="977">
      <c r="A977" s="152">
        <v>2024.0</v>
      </c>
      <c r="B977" s="151">
        <v>328.0</v>
      </c>
      <c r="C977" s="153"/>
      <c r="D977" s="153"/>
      <c r="E977" s="153" t="s">
        <v>8189</v>
      </c>
      <c r="F977" s="153" t="s">
        <v>8653</v>
      </c>
      <c r="G977" s="153">
        <f>IFERROR(__xludf.DUMMYFUNCTION("""COMPUTED_VALUE"""),497.0)</f>
        <v>497</v>
      </c>
      <c r="H977" s="153" t="s">
        <v>579</v>
      </c>
      <c r="I977" s="153" t="s">
        <v>585</v>
      </c>
      <c r="J977" s="153" t="s">
        <v>2805</v>
      </c>
      <c r="K977" s="153" t="s">
        <v>2806</v>
      </c>
      <c r="L977" s="158" t="s">
        <v>149</v>
      </c>
      <c r="M977" s="153" t="s">
        <v>2807</v>
      </c>
      <c r="N977" s="230">
        <v>1996.0</v>
      </c>
      <c r="O977" s="158" t="s">
        <v>149</v>
      </c>
      <c r="P977" s="158" t="s">
        <v>149</v>
      </c>
      <c r="Q977" s="153" t="s">
        <v>151</v>
      </c>
      <c r="R977" s="158" t="s">
        <v>149</v>
      </c>
      <c r="S977" s="158" t="s">
        <v>149</v>
      </c>
      <c r="T977" s="158" t="s">
        <v>149</v>
      </c>
      <c r="U977" s="153" t="s">
        <v>2809</v>
      </c>
      <c r="V977" s="158" t="s">
        <v>160</v>
      </c>
      <c r="W977" s="158" t="s">
        <v>306</v>
      </c>
      <c r="X977" s="158" t="s">
        <v>159</v>
      </c>
      <c r="Y977" s="158" t="s">
        <v>149</v>
      </c>
      <c r="Z977" s="158" t="s">
        <v>149</v>
      </c>
      <c r="AA977" s="153" t="s">
        <v>2810</v>
      </c>
      <c r="AB977" s="153" t="s">
        <v>369</v>
      </c>
      <c r="AC977" s="153" t="s">
        <v>6035</v>
      </c>
      <c r="AD977" s="153"/>
      <c r="AE977" s="153"/>
      <c r="AF977" s="153"/>
      <c r="AG977" s="153" t="s">
        <v>6084</v>
      </c>
      <c r="AH977" s="153" t="s">
        <v>823</v>
      </c>
      <c r="AI977" s="172" t="s">
        <v>824</v>
      </c>
      <c r="AJ977" s="153"/>
      <c r="AK977" s="153"/>
    </row>
    <row r="978">
      <c r="A978" s="152">
        <v>2023.0</v>
      </c>
      <c r="B978" s="151">
        <v>70.0</v>
      </c>
      <c r="C978" s="129" t="s">
        <v>140</v>
      </c>
      <c r="D978" s="8"/>
      <c r="E978" s="8" t="s">
        <v>8189</v>
      </c>
      <c r="F978" s="8" t="s">
        <v>6380</v>
      </c>
      <c r="G978" s="8">
        <f>IFERROR(__xludf.DUMMYFUNCTION("""COMPUTED_VALUE"""),498.0)</f>
        <v>498</v>
      </c>
      <c r="H978" s="8" t="s">
        <v>143</v>
      </c>
      <c r="I978" s="8" t="s">
        <v>144</v>
      </c>
      <c r="J978" s="8" t="s">
        <v>693</v>
      </c>
      <c r="K978" s="153" t="s">
        <v>694</v>
      </c>
      <c r="L978" s="8" t="s">
        <v>6113</v>
      </c>
      <c r="M978" s="8" t="s">
        <v>6381</v>
      </c>
      <c r="N978" s="142" t="s">
        <v>6078</v>
      </c>
      <c r="O978" s="142"/>
      <c r="P978" s="142"/>
      <c r="Q978" s="8" t="s">
        <v>6062</v>
      </c>
      <c r="R978" s="8" t="s">
        <v>179</v>
      </c>
      <c r="T978" s="8" t="s">
        <v>204</v>
      </c>
      <c r="AB978" s="8" t="s">
        <v>233</v>
      </c>
      <c r="AH978" s="8" t="s">
        <v>6214</v>
      </c>
      <c r="AI978" s="172" t="s">
        <v>6382</v>
      </c>
      <c r="AJ978" s="8" t="s">
        <v>1068</v>
      </c>
    </row>
    <row r="979">
      <c r="A979" s="152">
        <v>2025.0</v>
      </c>
      <c r="B979" s="151">
        <v>70.0</v>
      </c>
      <c r="C979" s="153" t="s">
        <v>8189</v>
      </c>
      <c r="D979" s="153"/>
      <c r="E979" s="153" t="s">
        <v>8301</v>
      </c>
      <c r="F979" s="153" t="s">
        <v>6383</v>
      </c>
      <c r="G979" s="153">
        <f>IFERROR(__xludf.DUMMYFUNCTION("""COMPUTED_VALUE"""),499.0)</f>
        <v>499</v>
      </c>
      <c r="H979" s="153" t="s">
        <v>143</v>
      </c>
      <c r="I979" s="153" t="s">
        <v>144</v>
      </c>
      <c r="J979" s="153" t="s">
        <v>693</v>
      </c>
      <c r="K979" s="153" t="s">
        <v>694</v>
      </c>
      <c r="L979" s="158" t="s">
        <v>149</v>
      </c>
      <c r="M979" s="153" t="s">
        <v>8654</v>
      </c>
      <c r="N979" s="160" t="s">
        <v>6098</v>
      </c>
      <c r="O979" s="160" t="s">
        <v>6098</v>
      </c>
      <c r="P979" s="160" t="s">
        <v>6098</v>
      </c>
      <c r="Q979" s="158" t="s">
        <v>6259</v>
      </c>
      <c r="R979" s="153" t="s">
        <v>8655</v>
      </c>
      <c r="S979" s="153"/>
      <c r="T979" s="153" t="s">
        <v>2973</v>
      </c>
      <c r="U979" s="158" t="s">
        <v>2974</v>
      </c>
      <c r="V979" s="158" t="s">
        <v>160</v>
      </c>
      <c r="W979" s="158" t="s">
        <v>209</v>
      </c>
      <c r="X979" s="158" t="s">
        <v>204</v>
      </c>
      <c r="Y979" s="241" t="s">
        <v>149</v>
      </c>
      <c r="Z979" s="158" t="s">
        <v>149</v>
      </c>
      <c r="AA979" s="158" t="s">
        <v>149</v>
      </c>
      <c r="AB979" s="158" t="s">
        <v>233</v>
      </c>
      <c r="AC979" s="158" t="s">
        <v>6068</v>
      </c>
      <c r="AD979" s="153" t="s">
        <v>321</v>
      </c>
      <c r="AE979" s="153"/>
      <c r="AF979" s="153"/>
      <c r="AG979" s="158" t="s">
        <v>6214</v>
      </c>
      <c r="AH979" s="153" t="s">
        <v>2975</v>
      </c>
      <c r="AI979" s="165" t="s">
        <v>2976</v>
      </c>
      <c r="AJ979" s="153" t="s">
        <v>2977</v>
      </c>
      <c r="AK979" s="153"/>
    </row>
    <row r="980">
      <c r="A980" s="152">
        <v>2023.0</v>
      </c>
      <c r="B980" s="151">
        <v>71.0</v>
      </c>
      <c r="C980" s="129" t="s">
        <v>140</v>
      </c>
      <c r="D980" s="8"/>
      <c r="E980" s="8" t="s">
        <v>8189</v>
      </c>
      <c r="F980" s="8" t="s">
        <v>6386</v>
      </c>
      <c r="G980" s="8">
        <f>IFERROR(__xludf.DUMMYFUNCTION("""COMPUTED_VALUE"""),500.0)</f>
        <v>500</v>
      </c>
      <c r="H980" s="8" t="s">
        <v>143</v>
      </c>
      <c r="I980" s="8" t="s">
        <v>144</v>
      </c>
      <c r="J980" s="8" t="s">
        <v>693</v>
      </c>
      <c r="K980" s="153" t="s">
        <v>694</v>
      </c>
      <c r="L980" s="8" t="s">
        <v>6113</v>
      </c>
      <c r="M980" s="8" t="s">
        <v>6387</v>
      </c>
      <c r="N980" s="142" t="s">
        <v>6388</v>
      </c>
      <c r="O980" s="142"/>
      <c r="P980" s="142"/>
      <c r="Q980" s="8" t="s">
        <v>6062</v>
      </c>
      <c r="R980" s="8" t="s">
        <v>6389</v>
      </c>
      <c r="T980" s="8" t="s">
        <v>204</v>
      </c>
      <c r="AB980" s="8" t="s">
        <v>233</v>
      </c>
      <c r="AH980" s="8" t="s">
        <v>6214</v>
      </c>
      <c r="AI980" s="172" t="s">
        <v>6359</v>
      </c>
      <c r="AJ980" s="8" t="s">
        <v>1068</v>
      </c>
    </row>
    <row r="981">
      <c r="A981" s="152">
        <v>2024.0</v>
      </c>
      <c r="B981" s="151">
        <v>329.0</v>
      </c>
      <c r="C981" s="153"/>
      <c r="D981" s="153"/>
      <c r="E981" s="153" t="s">
        <v>8189</v>
      </c>
      <c r="F981" s="153" t="s">
        <v>8656</v>
      </c>
      <c r="G981" s="153">
        <f>IFERROR(__xludf.DUMMYFUNCTION("""COMPUTED_VALUE"""),501.0)</f>
        <v>501</v>
      </c>
      <c r="H981" s="153" t="s">
        <v>579</v>
      </c>
      <c r="I981" s="153" t="s">
        <v>1271</v>
      </c>
      <c r="J981" s="153" t="s">
        <v>2812</v>
      </c>
      <c r="K981" s="153" t="s">
        <v>2813</v>
      </c>
      <c r="L981" s="158" t="s">
        <v>149</v>
      </c>
      <c r="M981" s="153"/>
      <c r="N981" s="158" t="s">
        <v>149</v>
      </c>
      <c r="O981" s="158" t="s">
        <v>149</v>
      </c>
      <c r="P981" s="158" t="s">
        <v>149</v>
      </c>
      <c r="Q981" s="153" t="s">
        <v>151</v>
      </c>
      <c r="R981" s="158" t="s">
        <v>149</v>
      </c>
      <c r="S981" s="158" t="s">
        <v>149</v>
      </c>
      <c r="T981" s="158" t="s">
        <v>149</v>
      </c>
      <c r="U981" s="158" t="s">
        <v>149</v>
      </c>
      <c r="V981" s="158" t="s">
        <v>149</v>
      </c>
      <c r="W981" s="158" t="s">
        <v>149</v>
      </c>
      <c r="X981" s="158" t="s">
        <v>149</v>
      </c>
      <c r="Y981" s="158" t="s">
        <v>149</v>
      </c>
      <c r="Z981" s="158" t="s">
        <v>149</v>
      </c>
      <c r="AA981" s="158" t="s">
        <v>149</v>
      </c>
      <c r="AB981" s="153" t="s">
        <v>369</v>
      </c>
      <c r="AC981" s="153" t="s">
        <v>6035</v>
      </c>
      <c r="AD981" s="153"/>
      <c r="AE981" s="153"/>
      <c r="AF981" s="153"/>
      <c r="AG981" s="153" t="s">
        <v>6084</v>
      </c>
      <c r="AH981" s="153" t="s">
        <v>823</v>
      </c>
      <c r="AI981" s="165" t="s">
        <v>824</v>
      </c>
      <c r="AJ981" s="153"/>
      <c r="AK981" s="153"/>
    </row>
    <row r="982">
      <c r="A982" s="152">
        <v>2025.0</v>
      </c>
      <c r="B982" s="151">
        <v>71.0</v>
      </c>
      <c r="C982" s="153" t="s">
        <v>8189</v>
      </c>
      <c r="D982" s="153"/>
      <c r="E982" s="153" t="s">
        <v>8301</v>
      </c>
      <c r="F982" s="153" t="s">
        <v>6390</v>
      </c>
      <c r="G982" s="153">
        <f>IFERROR(__xludf.DUMMYFUNCTION("""COMPUTED_VALUE"""),502.0)</f>
        <v>502</v>
      </c>
      <c r="H982" s="153" t="s">
        <v>143</v>
      </c>
      <c r="I982" s="153" t="s">
        <v>144</v>
      </c>
      <c r="J982" s="153" t="s">
        <v>693</v>
      </c>
      <c r="K982" s="153" t="s">
        <v>694</v>
      </c>
      <c r="L982" s="158" t="s">
        <v>149</v>
      </c>
      <c r="M982" s="153" t="s">
        <v>8657</v>
      </c>
      <c r="N982" s="160" t="s">
        <v>6230</v>
      </c>
      <c r="O982" s="160" t="s">
        <v>6230</v>
      </c>
      <c r="P982" s="160" t="s">
        <v>6392</v>
      </c>
      <c r="Q982" s="153" t="s">
        <v>6062</v>
      </c>
      <c r="R982" s="158" t="s">
        <v>2980</v>
      </c>
      <c r="S982" s="158" t="s">
        <v>2980</v>
      </c>
      <c r="T982" s="153" t="s">
        <v>8658</v>
      </c>
      <c r="U982" s="158" t="s">
        <v>2982</v>
      </c>
      <c r="V982" s="158" t="s">
        <v>6154</v>
      </c>
      <c r="W982" s="158" t="s">
        <v>206</v>
      </c>
      <c r="X982" s="158" t="s">
        <v>204</v>
      </c>
      <c r="Y982" s="241" t="s">
        <v>149</v>
      </c>
      <c r="Z982" s="158" t="s">
        <v>149</v>
      </c>
      <c r="AA982" s="158" t="s">
        <v>2983</v>
      </c>
      <c r="AB982" s="158" t="s">
        <v>233</v>
      </c>
      <c r="AC982" s="158" t="s">
        <v>6068</v>
      </c>
      <c r="AD982" s="153"/>
      <c r="AE982" s="153"/>
      <c r="AF982" s="153"/>
      <c r="AG982" s="158" t="s">
        <v>6214</v>
      </c>
      <c r="AH982" s="153" t="s">
        <v>2984</v>
      </c>
      <c r="AI982" s="172" t="s">
        <v>2985</v>
      </c>
      <c r="AJ982" s="153" t="s">
        <v>2986</v>
      </c>
      <c r="AK982" s="153"/>
    </row>
    <row r="983">
      <c r="A983" s="152">
        <v>2023.0</v>
      </c>
      <c r="B983" s="151">
        <v>72.0</v>
      </c>
      <c r="C983" s="129" t="s">
        <v>140</v>
      </c>
      <c r="D983" s="8"/>
      <c r="E983" s="8" t="s">
        <v>8189</v>
      </c>
      <c r="F983" s="8" t="s">
        <v>6394</v>
      </c>
      <c r="G983" s="8">
        <f>IFERROR(__xludf.DUMMYFUNCTION("""COMPUTED_VALUE"""),503.0)</f>
        <v>503</v>
      </c>
      <c r="H983" s="8" t="s">
        <v>143</v>
      </c>
      <c r="I983" s="8" t="s">
        <v>144</v>
      </c>
      <c r="J983" s="8" t="s">
        <v>693</v>
      </c>
      <c r="K983" s="153" t="s">
        <v>694</v>
      </c>
      <c r="L983" s="8" t="s">
        <v>6113</v>
      </c>
      <c r="M983" s="8" t="s">
        <v>6374</v>
      </c>
      <c r="N983" s="142" t="s">
        <v>6395</v>
      </c>
      <c r="O983" s="142"/>
      <c r="P983" s="142"/>
      <c r="Q983" s="8" t="s">
        <v>6062</v>
      </c>
      <c r="R983" s="8" t="s">
        <v>179</v>
      </c>
      <c r="T983" s="8" t="s">
        <v>204</v>
      </c>
      <c r="AB983" s="8" t="s">
        <v>233</v>
      </c>
      <c r="AH983" s="8" t="s">
        <v>6214</v>
      </c>
      <c r="AI983" s="172" t="s">
        <v>6366</v>
      </c>
      <c r="AJ983" s="8" t="s">
        <v>1068</v>
      </c>
    </row>
    <row r="984">
      <c r="A984" s="152">
        <v>2024.0</v>
      </c>
      <c r="B984" s="151">
        <v>330.0</v>
      </c>
      <c r="C984" s="153"/>
      <c r="D984" s="153"/>
      <c r="E984" s="153" t="s">
        <v>8189</v>
      </c>
      <c r="F984" s="153" t="s">
        <v>8659</v>
      </c>
      <c r="G984" s="153">
        <f>IFERROR(__xludf.DUMMYFUNCTION("""COMPUTED_VALUE"""),504.0)</f>
        <v>504</v>
      </c>
      <c r="H984" s="153" t="s">
        <v>579</v>
      </c>
      <c r="I984" s="153" t="s">
        <v>1271</v>
      </c>
      <c r="J984" s="153" t="s">
        <v>3161</v>
      </c>
      <c r="K984" s="154" t="s">
        <v>3162</v>
      </c>
      <c r="L984" s="158" t="s">
        <v>149</v>
      </c>
      <c r="M984" s="153"/>
      <c r="N984" s="230">
        <v>2017.0</v>
      </c>
      <c r="O984" s="230">
        <v>2017.0</v>
      </c>
      <c r="P984" s="158" t="s">
        <v>149</v>
      </c>
      <c r="Q984" s="153" t="s">
        <v>6062</v>
      </c>
      <c r="R984" s="153" t="s">
        <v>3163</v>
      </c>
      <c r="S984" s="158" t="s">
        <v>3163</v>
      </c>
      <c r="T984" s="158" t="s">
        <v>149</v>
      </c>
      <c r="U984" s="158" t="s">
        <v>149</v>
      </c>
      <c r="V984" s="158" t="s">
        <v>149</v>
      </c>
      <c r="W984" s="158" t="s">
        <v>2635</v>
      </c>
      <c r="X984" s="158" t="s">
        <v>149</v>
      </c>
      <c r="Y984" s="158" t="s">
        <v>149</v>
      </c>
      <c r="Z984" s="158" t="s">
        <v>149</v>
      </c>
      <c r="AA984" s="153" t="s">
        <v>7293</v>
      </c>
      <c r="AB984" s="153" t="s">
        <v>3165</v>
      </c>
      <c r="AC984" s="153" t="s">
        <v>7294</v>
      </c>
      <c r="AD984" s="153"/>
      <c r="AE984" s="153"/>
      <c r="AF984" s="153"/>
      <c r="AG984" s="153" t="s">
        <v>6038</v>
      </c>
      <c r="AH984" s="153" t="s">
        <v>3166</v>
      </c>
      <c r="AI984" s="172" t="s">
        <v>3167</v>
      </c>
      <c r="AJ984" s="153" t="s">
        <v>3165</v>
      </c>
      <c r="AK984" s="153"/>
    </row>
    <row r="985">
      <c r="A985" s="152">
        <v>2025.0</v>
      </c>
      <c r="B985" s="151">
        <v>72.0</v>
      </c>
      <c r="C985" s="153" t="s">
        <v>8189</v>
      </c>
      <c r="D985" s="153"/>
      <c r="E985" s="153" t="s">
        <v>8301</v>
      </c>
      <c r="F985" s="153" t="s">
        <v>6396</v>
      </c>
      <c r="G985" s="153">
        <f>IFERROR(__xludf.DUMMYFUNCTION("""COMPUTED_VALUE"""),505.0)</f>
        <v>505</v>
      </c>
      <c r="H985" s="153" t="s">
        <v>143</v>
      </c>
      <c r="I985" s="153" t="s">
        <v>144</v>
      </c>
      <c r="J985" s="153" t="s">
        <v>693</v>
      </c>
      <c r="K985" s="153" t="s">
        <v>694</v>
      </c>
      <c r="L985" s="158" t="s">
        <v>6397</v>
      </c>
      <c r="M985" s="153" t="s">
        <v>8660</v>
      </c>
      <c r="N985" s="175" t="s">
        <v>6230</v>
      </c>
      <c r="O985" s="175" t="s">
        <v>6230</v>
      </c>
      <c r="P985" s="160" t="s">
        <v>149</v>
      </c>
      <c r="Q985" s="153" t="s">
        <v>6062</v>
      </c>
      <c r="R985" s="153" t="s">
        <v>8661</v>
      </c>
      <c r="S985" s="153" t="s">
        <v>8662</v>
      </c>
      <c r="T985" s="153" t="s">
        <v>1019</v>
      </c>
      <c r="U985" s="153" t="s">
        <v>1020</v>
      </c>
      <c r="V985" s="158" t="s">
        <v>6154</v>
      </c>
      <c r="W985" s="158" t="s">
        <v>206</v>
      </c>
      <c r="X985" s="158" t="s">
        <v>204</v>
      </c>
      <c r="Y985" s="241" t="s">
        <v>149</v>
      </c>
      <c r="Z985" s="158" t="s">
        <v>149</v>
      </c>
      <c r="AA985" s="158" t="s">
        <v>1021</v>
      </c>
      <c r="AB985" s="158" t="s">
        <v>233</v>
      </c>
      <c r="AC985" s="158" t="s">
        <v>6068</v>
      </c>
      <c r="AD985" s="153"/>
      <c r="AE985" s="153" t="s">
        <v>1022</v>
      </c>
      <c r="AF985" s="153"/>
      <c r="AG985" s="158" t="s">
        <v>6214</v>
      </c>
      <c r="AH985" s="153" t="s">
        <v>1023</v>
      </c>
      <c r="AI985" s="172" t="s">
        <v>1024</v>
      </c>
      <c r="AJ985" s="153" t="s">
        <v>1025</v>
      </c>
      <c r="AK985" s="165" t="s">
        <v>1026</v>
      </c>
    </row>
    <row r="986">
      <c r="A986" s="152">
        <v>2023.0</v>
      </c>
      <c r="B986" s="151">
        <v>73.0</v>
      </c>
      <c r="C986" s="129" t="s">
        <v>140</v>
      </c>
      <c r="D986" s="8"/>
      <c r="E986" s="8" t="s">
        <v>8189</v>
      </c>
      <c r="F986" s="8" t="s">
        <v>6401</v>
      </c>
      <c r="G986" s="8">
        <f>IFERROR(__xludf.DUMMYFUNCTION("""COMPUTED_VALUE"""),506.0)</f>
        <v>506</v>
      </c>
      <c r="H986" s="8" t="s">
        <v>143</v>
      </c>
      <c r="I986" s="8" t="s">
        <v>144</v>
      </c>
      <c r="J986" s="8" t="s">
        <v>693</v>
      </c>
      <c r="K986" s="153" t="s">
        <v>694</v>
      </c>
      <c r="L986" s="8" t="s">
        <v>1846</v>
      </c>
      <c r="N986" s="142" t="s">
        <v>6063</v>
      </c>
      <c r="O986" s="142" t="s">
        <v>6063</v>
      </c>
      <c r="P986" s="142" t="s">
        <v>6152</v>
      </c>
      <c r="Q986" s="8" t="s">
        <v>6221</v>
      </c>
      <c r="T986" s="8" t="s">
        <v>1848</v>
      </c>
      <c r="U986" s="8" t="s">
        <v>321</v>
      </c>
      <c r="V986" s="244"/>
      <c r="W986" s="244"/>
      <c r="X986" s="244"/>
      <c r="Y986" s="244">
        <v>2682661.5</v>
      </c>
      <c r="AB986" s="8" t="s">
        <v>233</v>
      </c>
      <c r="AD986" s="8" t="s">
        <v>1854</v>
      </c>
      <c r="AE986" s="8" t="s">
        <v>885</v>
      </c>
      <c r="AH986" s="8" t="s">
        <v>6257</v>
      </c>
      <c r="AJ986" s="8" t="s">
        <v>943</v>
      </c>
    </row>
    <row r="987">
      <c r="A987" s="152">
        <v>2024.0</v>
      </c>
      <c r="B987" s="151">
        <v>331.0</v>
      </c>
      <c r="C987" s="153"/>
      <c r="D987" s="153"/>
      <c r="E987" s="153" t="s">
        <v>8189</v>
      </c>
      <c r="F987" s="153" t="s">
        <v>8663</v>
      </c>
      <c r="G987" s="153">
        <f>IFERROR(__xludf.DUMMYFUNCTION("""COMPUTED_VALUE"""),507.0)</f>
        <v>507</v>
      </c>
      <c r="H987" s="153" t="s">
        <v>579</v>
      </c>
      <c r="I987" s="153" t="s">
        <v>1271</v>
      </c>
      <c r="J987" s="153" t="s">
        <v>1272</v>
      </c>
      <c r="K987" s="153" t="s">
        <v>1273</v>
      </c>
      <c r="L987" s="153" t="s">
        <v>1174</v>
      </c>
      <c r="M987" s="153"/>
      <c r="N987" s="192">
        <v>2013.0</v>
      </c>
      <c r="O987" s="230">
        <v>2012.0</v>
      </c>
      <c r="P987" s="230">
        <v>2013.0</v>
      </c>
      <c r="Q987" s="153" t="s">
        <v>6062</v>
      </c>
      <c r="R987" s="153" t="s">
        <v>1274</v>
      </c>
      <c r="S987" s="158" t="s">
        <v>179</v>
      </c>
      <c r="T987" s="158" t="s">
        <v>149</v>
      </c>
      <c r="U987" s="153" t="s">
        <v>321</v>
      </c>
      <c r="V987" s="158" t="s">
        <v>160</v>
      </c>
      <c r="W987" s="158" t="s">
        <v>6035</v>
      </c>
      <c r="X987" s="158" t="s">
        <v>204</v>
      </c>
      <c r="Y987" s="158" t="s">
        <v>149</v>
      </c>
      <c r="Z987" s="158" t="s">
        <v>149</v>
      </c>
      <c r="AA987" s="153" t="s">
        <v>1275</v>
      </c>
      <c r="AB987" s="153" t="s">
        <v>885</v>
      </c>
      <c r="AC987" s="158" t="s">
        <v>6068</v>
      </c>
      <c r="AD987" s="153" t="s">
        <v>1276</v>
      </c>
      <c r="AE987" s="153" t="s">
        <v>1277</v>
      </c>
      <c r="AF987" s="153"/>
      <c r="AG987" s="158" t="s">
        <v>6069</v>
      </c>
      <c r="AH987" s="153" t="s">
        <v>1278</v>
      </c>
      <c r="AI987" s="153" t="s">
        <v>6070</v>
      </c>
      <c r="AJ987" s="153" t="s">
        <v>1280</v>
      </c>
      <c r="AK987" s="165" t="s">
        <v>1281</v>
      </c>
    </row>
    <row r="988">
      <c r="A988" s="152">
        <v>2025.0</v>
      </c>
      <c r="B988" s="151">
        <v>73.0</v>
      </c>
      <c r="C988" s="153" t="s">
        <v>8189</v>
      </c>
      <c r="D988" s="153"/>
      <c r="E988" s="153" t="s">
        <v>8301</v>
      </c>
      <c r="F988" s="153" t="s">
        <v>6402</v>
      </c>
      <c r="G988" s="153">
        <f>IFERROR(__xludf.DUMMYFUNCTION("""COMPUTED_VALUE"""),508.0)</f>
        <v>508</v>
      </c>
      <c r="H988" s="153" t="s">
        <v>143</v>
      </c>
      <c r="I988" s="153" t="s">
        <v>144</v>
      </c>
      <c r="J988" s="153" t="s">
        <v>693</v>
      </c>
      <c r="K988" s="153" t="s">
        <v>694</v>
      </c>
      <c r="L988" s="158" t="s">
        <v>6397</v>
      </c>
      <c r="M988" s="153" t="s">
        <v>8664</v>
      </c>
      <c r="N988" s="175" t="s">
        <v>6230</v>
      </c>
      <c r="O988" s="160" t="s">
        <v>6230</v>
      </c>
      <c r="P988" s="160" t="s">
        <v>6404</v>
      </c>
      <c r="Q988" s="153" t="s">
        <v>6062</v>
      </c>
      <c r="R988" s="153" t="s">
        <v>1029</v>
      </c>
      <c r="S988" s="158" t="s">
        <v>1029</v>
      </c>
      <c r="T988" s="153" t="s">
        <v>1030</v>
      </c>
      <c r="U988" s="158" t="s">
        <v>1020</v>
      </c>
      <c r="V988" s="158" t="s">
        <v>6154</v>
      </c>
      <c r="W988" s="158" t="s">
        <v>206</v>
      </c>
      <c r="X988" s="158" t="s">
        <v>204</v>
      </c>
      <c r="Y988" s="241" t="s">
        <v>149</v>
      </c>
      <c r="Z988" s="158" t="s">
        <v>149</v>
      </c>
      <c r="AA988" s="153" t="s">
        <v>1031</v>
      </c>
      <c r="AB988" s="158" t="s">
        <v>1032</v>
      </c>
      <c r="AC988" s="158" t="s">
        <v>6068</v>
      </c>
      <c r="AD988" s="158" t="s">
        <v>233</v>
      </c>
      <c r="AE988" s="153" t="s">
        <v>1022</v>
      </c>
      <c r="AF988" s="153"/>
      <c r="AG988" s="158" t="s">
        <v>6214</v>
      </c>
      <c r="AH988" s="153" t="s">
        <v>1033</v>
      </c>
      <c r="AI988" s="165" t="s">
        <v>1034</v>
      </c>
      <c r="AJ988" s="153" t="s">
        <v>1025</v>
      </c>
      <c r="AK988" s="165" t="s">
        <v>1026</v>
      </c>
    </row>
    <row r="989">
      <c r="A989" s="152">
        <v>2023.0</v>
      </c>
      <c r="B989" s="151">
        <v>74.0</v>
      </c>
      <c r="C989" s="129" t="s">
        <v>140</v>
      </c>
      <c r="D989" s="8"/>
      <c r="E989" s="8" t="s">
        <v>8189</v>
      </c>
      <c r="F989" s="8" t="s">
        <v>6405</v>
      </c>
      <c r="G989" s="8">
        <f>IFERROR(__xludf.DUMMYFUNCTION("""COMPUTED_VALUE"""),509.0)</f>
        <v>509</v>
      </c>
      <c r="H989" s="8" t="s">
        <v>143</v>
      </c>
      <c r="I989" s="8" t="s">
        <v>144</v>
      </c>
      <c r="J989" s="8" t="s">
        <v>693</v>
      </c>
      <c r="K989" s="153" t="s">
        <v>694</v>
      </c>
      <c r="L989" s="8" t="s">
        <v>1828</v>
      </c>
      <c r="M989" s="8" t="s">
        <v>6256</v>
      </c>
      <c r="N989" s="142" t="s">
        <v>6063</v>
      </c>
      <c r="O989" s="142" t="s">
        <v>6063</v>
      </c>
      <c r="P989" s="142" t="s">
        <v>6152</v>
      </c>
      <c r="Q989" s="8" t="s">
        <v>6221</v>
      </c>
      <c r="T989" s="8" t="s">
        <v>1831</v>
      </c>
      <c r="U989" s="8" t="s">
        <v>321</v>
      </c>
      <c r="V989" s="244"/>
      <c r="W989" s="244"/>
      <c r="X989" s="244"/>
      <c r="Y989" s="244">
        <v>2803661.28</v>
      </c>
      <c r="AB989" s="8" t="s">
        <v>233</v>
      </c>
      <c r="AD989" s="8" t="s">
        <v>1837</v>
      </c>
      <c r="AH989" s="8" t="s">
        <v>6257</v>
      </c>
      <c r="AJ989" s="8" t="s">
        <v>943</v>
      </c>
    </row>
    <row r="990">
      <c r="A990" s="152">
        <v>2024.0</v>
      </c>
      <c r="B990" s="151">
        <v>332.0</v>
      </c>
      <c r="C990" s="153"/>
      <c r="D990" s="153"/>
      <c r="E990" s="153" t="s">
        <v>8189</v>
      </c>
      <c r="F990" s="153" t="s">
        <v>8665</v>
      </c>
      <c r="G990" s="153">
        <f>IFERROR(__xludf.DUMMYFUNCTION("""COMPUTED_VALUE"""),510.0)</f>
        <v>510</v>
      </c>
      <c r="H990" s="153" t="s">
        <v>579</v>
      </c>
      <c r="I990" s="153" t="s">
        <v>1271</v>
      </c>
      <c r="J990" s="153" t="s">
        <v>1272</v>
      </c>
      <c r="K990" s="153" t="s">
        <v>1273</v>
      </c>
      <c r="L990" s="153" t="s">
        <v>1746</v>
      </c>
      <c r="M990" s="153"/>
      <c r="N990" s="230">
        <v>2014.0</v>
      </c>
      <c r="O990" s="230">
        <v>2014.0</v>
      </c>
      <c r="P990" s="192" t="s">
        <v>149</v>
      </c>
      <c r="Q990" s="153" t="s">
        <v>151</v>
      </c>
      <c r="R990" s="153" t="s">
        <v>605</v>
      </c>
      <c r="S990" s="158" t="s">
        <v>605</v>
      </c>
      <c r="T990" s="153" t="s">
        <v>1747</v>
      </c>
      <c r="U990" s="158" t="s">
        <v>149</v>
      </c>
      <c r="V990" s="158" t="s">
        <v>149</v>
      </c>
      <c r="W990" s="158" t="s">
        <v>149</v>
      </c>
      <c r="X990" s="158" t="s">
        <v>149</v>
      </c>
      <c r="Y990" s="158" t="s">
        <v>149</v>
      </c>
      <c r="Z990" s="158" t="s">
        <v>149</v>
      </c>
      <c r="AA990" s="153" t="s">
        <v>1748</v>
      </c>
      <c r="AB990" s="153" t="s">
        <v>158</v>
      </c>
      <c r="AC990" s="153" t="s">
        <v>6035</v>
      </c>
      <c r="AD990" s="153"/>
      <c r="AE990" s="153" t="s">
        <v>158</v>
      </c>
      <c r="AF990" s="153"/>
      <c r="AG990" s="158" t="s">
        <v>7902</v>
      </c>
      <c r="AH990" s="153" t="s">
        <v>7300</v>
      </c>
      <c r="AI990" s="165" t="s">
        <v>1750</v>
      </c>
      <c r="AJ990" s="153" t="s">
        <v>1739</v>
      </c>
      <c r="AK990" s="153" t="s">
        <v>1740</v>
      </c>
    </row>
    <row r="991">
      <c r="A991" s="152">
        <v>2025.0</v>
      </c>
      <c r="B991" s="151">
        <v>74.0</v>
      </c>
      <c r="C991" s="153" t="s">
        <v>8189</v>
      </c>
      <c r="D991" s="153"/>
      <c r="E991" s="153" t="s">
        <v>8301</v>
      </c>
      <c r="F991" s="153" t="s">
        <v>6406</v>
      </c>
      <c r="G991" s="153">
        <f>IFERROR(__xludf.DUMMYFUNCTION("""COMPUTED_VALUE"""),511.0)</f>
        <v>511</v>
      </c>
      <c r="H991" s="153" t="s">
        <v>143</v>
      </c>
      <c r="I991" s="153" t="s">
        <v>144</v>
      </c>
      <c r="J991" s="153" t="s">
        <v>693</v>
      </c>
      <c r="K991" s="153" t="s">
        <v>694</v>
      </c>
      <c r="L991" s="158" t="s">
        <v>6397</v>
      </c>
      <c r="M991" s="153" t="s">
        <v>6408</v>
      </c>
      <c r="N991" s="175" t="s">
        <v>6404</v>
      </c>
      <c r="O991" s="160" t="s">
        <v>6404</v>
      </c>
      <c r="P991" s="175" t="s">
        <v>6404</v>
      </c>
      <c r="Q991" s="153" t="s">
        <v>8666</v>
      </c>
      <c r="R991" s="158" t="s">
        <v>1055</v>
      </c>
      <c r="S991" s="158" t="s">
        <v>1055</v>
      </c>
      <c r="T991" s="153" t="s">
        <v>1056</v>
      </c>
      <c r="U991" s="153" t="s">
        <v>1020</v>
      </c>
      <c r="V991" s="158" t="s">
        <v>6154</v>
      </c>
      <c r="W991" s="158" t="s">
        <v>206</v>
      </c>
      <c r="X991" s="158" t="s">
        <v>204</v>
      </c>
      <c r="Y991" s="241" t="s">
        <v>149</v>
      </c>
      <c r="Z991" s="158" t="s">
        <v>149</v>
      </c>
      <c r="AA991" s="158" t="s">
        <v>1057</v>
      </c>
      <c r="AB991" s="153" t="s">
        <v>233</v>
      </c>
      <c r="AC991" s="158" t="s">
        <v>6068</v>
      </c>
      <c r="AD991" s="153"/>
      <c r="AE991" s="153" t="s">
        <v>8667</v>
      </c>
      <c r="AF991" s="153"/>
      <c r="AG991" s="158" t="s">
        <v>6214</v>
      </c>
      <c r="AH991" s="153" t="s">
        <v>1059</v>
      </c>
      <c r="AI991" s="172" t="s">
        <v>1060</v>
      </c>
      <c r="AJ991" s="153" t="s">
        <v>1061</v>
      </c>
      <c r="AK991" s="239"/>
    </row>
    <row r="992">
      <c r="A992" s="152">
        <v>2023.0</v>
      </c>
      <c r="B992" s="151">
        <v>75.0</v>
      </c>
      <c r="C992" s="129" t="s">
        <v>140</v>
      </c>
      <c r="D992" s="8"/>
      <c r="E992" s="8" t="s">
        <v>8189</v>
      </c>
      <c r="F992" s="8" t="s">
        <v>6410</v>
      </c>
      <c r="G992" s="8">
        <f>IFERROR(__xludf.DUMMYFUNCTION("""COMPUTED_VALUE"""),512.0)</f>
        <v>512</v>
      </c>
      <c r="H992" s="8" t="s">
        <v>143</v>
      </c>
      <c r="I992" s="8" t="s">
        <v>144</v>
      </c>
      <c r="J992" s="8" t="s">
        <v>693</v>
      </c>
      <c r="K992" s="153" t="s">
        <v>694</v>
      </c>
      <c r="L992" s="8" t="s">
        <v>6113</v>
      </c>
      <c r="M992" s="8" t="s">
        <v>6411</v>
      </c>
      <c r="N992" s="142" t="s">
        <v>6412</v>
      </c>
      <c r="O992" s="142"/>
      <c r="P992" s="142"/>
      <c r="Q992" s="8" t="s">
        <v>6062</v>
      </c>
      <c r="R992" s="8" t="s">
        <v>6288</v>
      </c>
      <c r="T992" s="8" t="s">
        <v>2965</v>
      </c>
      <c r="V992" s="244"/>
      <c r="W992" s="244"/>
      <c r="X992" s="244"/>
      <c r="Y992" s="244"/>
      <c r="AB992" s="8" t="s">
        <v>233</v>
      </c>
      <c r="AH992" s="8" t="s">
        <v>6214</v>
      </c>
      <c r="AI992" s="172" t="s">
        <v>2969</v>
      </c>
      <c r="AJ992" s="8" t="s">
        <v>2970</v>
      </c>
    </row>
    <row r="993">
      <c r="A993" s="152">
        <v>2024.0</v>
      </c>
      <c r="B993" s="151">
        <v>333.0</v>
      </c>
      <c r="C993" s="153"/>
      <c r="D993" s="153"/>
      <c r="E993" s="153" t="s">
        <v>8189</v>
      </c>
      <c r="F993" s="153" t="s">
        <v>8668</v>
      </c>
      <c r="G993" s="153">
        <f>IFERROR(__xludf.DUMMYFUNCTION("""COMPUTED_VALUE"""),513.0)</f>
        <v>513</v>
      </c>
      <c r="H993" s="153" t="s">
        <v>579</v>
      </c>
      <c r="I993" s="153" t="s">
        <v>1271</v>
      </c>
      <c r="J993" s="153" t="s">
        <v>1272</v>
      </c>
      <c r="K993" s="153" t="s">
        <v>1273</v>
      </c>
      <c r="L993" s="158" t="s">
        <v>149</v>
      </c>
      <c r="M993" s="153"/>
      <c r="N993" s="192" t="s">
        <v>149</v>
      </c>
      <c r="O993" s="192" t="s">
        <v>149</v>
      </c>
      <c r="P993" s="192" t="s">
        <v>149</v>
      </c>
      <c r="Q993" s="153" t="s">
        <v>6062</v>
      </c>
      <c r="R993" s="153" t="s">
        <v>7273</v>
      </c>
      <c r="S993" s="158" t="s">
        <v>179</v>
      </c>
      <c r="T993" s="153" t="s">
        <v>2475</v>
      </c>
      <c r="U993" s="153" t="s">
        <v>1277</v>
      </c>
      <c r="V993" s="158" t="s">
        <v>160</v>
      </c>
      <c r="W993" s="158" t="s">
        <v>184</v>
      </c>
      <c r="X993" s="158" t="s">
        <v>159</v>
      </c>
      <c r="Y993" s="158" t="s">
        <v>149</v>
      </c>
      <c r="Z993" s="158" t="s">
        <v>149</v>
      </c>
      <c r="AA993" s="158" t="s">
        <v>149</v>
      </c>
      <c r="AB993" s="153" t="s">
        <v>1277</v>
      </c>
      <c r="AC993" s="158" t="s">
        <v>184</v>
      </c>
      <c r="AD993" s="153"/>
      <c r="AE993" s="153"/>
      <c r="AF993" s="153"/>
      <c r="AG993" s="153" t="s">
        <v>6038</v>
      </c>
      <c r="AH993" s="153" t="s">
        <v>2476</v>
      </c>
      <c r="AI993" s="165" t="s">
        <v>7305</v>
      </c>
      <c r="AJ993" s="153"/>
      <c r="AK993" s="153" t="s">
        <v>2478</v>
      </c>
    </row>
    <row r="994">
      <c r="A994" s="152">
        <v>2025.0</v>
      </c>
      <c r="B994" s="151">
        <v>75.0</v>
      </c>
      <c r="C994" s="153" t="s">
        <v>8189</v>
      </c>
      <c r="D994" s="153"/>
      <c r="E994" s="153" t="s">
        <v>8301</v>
      </c>
      <c r="F994" s="153" t="s">
        <v>6413</v>
      </c>
      <c r="G994" s="153">
        <f>IFERROR(__xludf.DUMMYFUNCTION("""COMPUTED_VALUE"""),514.0)</f>
        <v>514</v>
      </c>
      <c r="H994" s="153" t="s">
        <v>143</v>
      </c>
      <c r="I994" s="153" t="s">
        <v>144</v>
      </c>
      <c r="J994" s="153" t="s">
        <v>693</v>
      </c>
      <c r="K994" s="153" t="s">
        <v>694</v>
      </c>
      <c r="L994" s="158" t="s">
        <v>6397</v>
      </c>
      <c r="M994" s="153" t="s">
        <v>8669</v>
      </c>
      <c r="N994" s="160" t="s">
        <v>6404</v>
      </c>
      <c r="O994" s="160" t="s">
        <v>6404</v>
      </c>
      <c r="P994" s="160" t="s">
        <v>6415</v>
      </c>
      <c r="Q994" s="153" t="s">
        <v>6062</v>
      </c>
      <c r="R994" s="158" t="s">
        <v>1038</v>
      </c>
      <c r="S994" s="158" t="s">
        <v>1038</v>
      </c>
      <c r="T994" s="153" t="s">
        <v>1039</v>
      </c>
      <c r="U994" s="153" t="s">
        <v>1020</v>
      </c>
      <c r="V994" s="158" t="s">
        <v>6154</v>
      </c>
      <c r="W994" s="158" t="s">
        <v>206</v>
      </c>
      <c r="X994" s="158" t="s">
        <v>204</v>
      </c>
      <c r="Y994" s="241" t="s">
        <v>149</v>
      </c>
      <c r="Z994" s="158" t="s">
        <v>149</v>
      </c>
      <c r="AA994" s="158" t="s">
        <v>6416</v>
      </c>
      <c r="AB994" s="158" t="s">
        <v>1032</v>
      </c>
      <c r="AC994" s="158" t="s">
        <v>6068</v>
      </c>
      <c r="AD994" s="158" t="s">
        <v>233</v>
      </c>
      <c r="AE994" s="153" t="s">
        <v>1022</v>
      </c>
      <c r="AF994" s="153"/>
      <c r="AG994" s="158" t="s">
        <v>6214</v>
      </c>
      <c r="AH994" s="153" t="s">
        <v>1041</v>
      </c>
      <c r="AI994" s="172" t="s">
        <v>1042</v>
      </c>
      <c r="AJ994" s="153" t="s">
        <v>1043</v>
      </c>
      <c r="AK994" s="165" t="s">
        <v>1044</v>
      </c>
    </row>
    <row r="995">
      <c r="A995" s="152">
        <v>2023.0</v>
      </c>
      <c r="B995" s="151">
        <v>76.0</v>
      </c>
      <c r="C995" s="129" t="s">
        <v>140</v>
      </c>
      <c r="D995" s="8"/>
      <c r="E995" s="8" t="s">
        <v>8189</v>
      </c>
      <c r="F995" s="8" t="s">
        <v>6417</v>
      </c>
      <c r="G995" s="8">
        <f>IFERROR(__xludf.DUMMYFUNCTION("""COMPUTED_VALUE"""),515.0)</f>
        <v>515</v>
      </c>
      <c r="H995" s="8" t="s">
        <v>143</v>
      </c>
      <c r="I995" s="8" t="s">
        <v>144</v>
      </c>
      <c r="J995" s="8" t="s">
        <v>693</v>
      </c>
      <c r="K995" s="153" t="s">
        <v>694</v>
      </c>
      <c r="L995" s="8" t="s">
        <v>6113</v>
      </c>
      <c r="M995" s="8" t="s">
        <v>6418</v>
      </c>
      <c r="N995" s="142" t="s">
        <v>6419</v>
      </c>
      <c r="O995" s="142"/>
      <c r="P995" s="142"/>
      <c r="Q995" s="8" t="s">
        <v>6221</v>
      </c>
      <c r="T995" s="8" t="s">
        <v>2973</v>
      </c>
      <c r="U995" s="8" t="s">
        <v>6113</v>
      </c>
      <c r="V995" s="244"/>
      <c r="W995" s="244"/>
      <c r="X995" s="244"/>
      <c r="Y995" s="244"/>
      <c r="AB995" s="8" t="s">
        <v>6113</v>
      </c>
      <c r="AH995" s="8" t="s">
        <v>6214</v>
      </c>
      <c r="AI995" s="172" t="s">
        <v>2976</v>
      </c>
      <c r="AJ995" s="8" t="s">
        <v>2977</v>
      </c>
    </row>
    <row r="996">
      <c r="A996" s="152">
        <v>2024.0</v>
      </c>
      <c r="B996" s="151">
        <v>334.0</v>
      </c>
      <c r="C996" s="153"/>
      <c r="D996" s="153"/>
      <c r="E996" s="153" t="s">
        <v>8189</v>
      </c>
      <c r="F996" s="153" t="s">
        <v>8670</v>
      </c>
      <c r="G996" s="153">
        <f>IFERROR(__xludf.DUMMYFUNCTION("""COMPUTED_VALUE"""),516.0)</f>
        <v>516</v>
      </c>
      <c r="H996" s="153" t="s">
        <v>579</v>
      </c>
      <c r="I996" s="153" t="s">
        <v>1271</v>
      </c>
      <c r="J996" s="153" t="s">
        <v>1272</v>
      </c>
      <c r="K996" s="153" t="s">
        <v>1273</v>
      </c>
      <c r="L996" s="153" t="s">
        <v>1732</v>
      </c>
      <c r="M996" s="153"/>
      <c r="N996" s="230">
        <v>2019.0</v>
      </c>
      <c r="O996" s="230">
        <v>2019.0</v>
      </c>
      <c r="P996" s="192" t="s">
        <v>149</v>
      </c>
      <c r="Q996" s="153" t="s">
        <v>151</v>
      </c>
      <c r="R996" s="153" t="s">
        <v>1735</v>
      </c>
      <c r="S996" s="158" t="s">
        <v>7310</v>
      </c>
      <c r="T996" s="158" t="s">
        <v>149</v>
      </c>
      <c r="U996" s="153" t="s">
        <v>1736</v>
      </c>
      <c r="V996" s="158" t="s">
        <v>6154</v>
      </c>
      <c r="W996" s="158" t="s">
        <v>306</v>
      </c>
      <c r="X996" s="158" t="s">
        <v>204</v>
      </c>
      <c r="Y996" s="158" t="s">
        <v>149</v>
      </c>
      <c r="Z996" s="158" t="s">
        <v>149</v>
      </c>
      <c r="AA996" s="158" t="s">
        <v>149</v>
      </c>
      <c r="AB996" s="153" t="s">
        <v>1736</v>
      </c>
      <c r="AC996" s="158" t="s">
        <v>306</v>
      </c>
      <c r="AD996" s="153"/>
      <c r="AE996" s="153"/>
      <c r="AF996" s="153"/>
      <c r="AG996" s="153" t="s">
        <v>6038</v>
      </c>
      <c r="AH996" s="153" t="s">
        <v>1737</v>
      </c>
      <c r="AI996" s="153" t="s">
        <v>1738</v>
      </c>
      <c r="AJ996" s="153" t="s">
        <v>1739</v>
      </c>
      <c r="AK996" s="153" t="s">
        <v>1740</v>
      </c>
    </row>
    <row r="997">
      <c r="A997" s="152">
        <v>2025.0</v>
      </c>
      <c r="B997" s="151">
        <v>76.0</v>
      </c>
      <c r="C997" s="153" t="s">
        <v>8189</v>
      </c>
      <c r="D997" s="153"/>
      <c r="E997" s="153" t="s">
        <v>8301</v>
      </c>
      <c r="F997" s="153" t="s">
        <v>6420</v>
      </c>
      <c r="G997" s="153">
        <f>IFERROR(__xludf.DUMMYFUNCTION("""COMPUTED_VALUE"""),517.0)</f>
        <v>517</v>
      </c>
      <c r="H997" s="153" t="s">
        <v>143</v>
      </c>
      <c r="I997" s="153" t="s">
        <v>144</v>
      </c>
      <c r="J997" s="153" t="s">
        <v>693</v>
      </c>
      <c r="K997" s="153" t="s">
        <v>694</v>
      </c>
      <c r="L997" s="153" t="s">
        <v>6397</v>
      </c>
      <c r="M997" s="153" t="s">
        <v>6421</v>
      </c>
      <c r="N997" s="160" t="s">
        <v>6392</v>
      </c>
      <c r="O997" s="160" t="s">
        <v>6404</v>
      </c>
      <c r="P997" s="160" t="s">
        <v>6404</v>
      </c>
      <c r="Q997" s="153" t="s">
        <v>6062</v>
      </c>
      <c r="R997" s="158" t="s">
        <v>1064</v>
      </c>
      <c r="S997" s="158" t="s">
        <v>1064</v>
      </c>
      <c r="T997" s="153" t="s">
        <v>8671</v>
      </c>
      <c r="U997" s="153" t="s">
        <v>1020</v>
      </c>
      <c r="V997" s="158" t="s">
        <v>6154</v>
      </c>
      <c r="W997" s="158" t="s">
        <v>206</v>
      </c>
      <c r="X997" s="158" t="s">
        <v>204</v>
      </c>
      <c r="Y997" s="241" t="s">
        <v>149</v>
      </c>
      <c r="Z997" s="158" t="s">
        <v>149</v>
      </c>
      <c r="AA997" s="158" t="s">
        <v>149</v>
      </c>
      <c r="AB997" s="153" t="s">
        <v>233</v>
      </c>
      <c r="AC997" s="158" t="s">
        <v>6068</v>
      </c>
      <c r="AD997" s="153"/>
      <c r="AE997" s="153"/>
      <c r="AF997" s="153"/>
      <c r="AG997" s="158" t="s">
        <v>6214</v>
      </c>
      <c r="AH997" s="153" t="s">
        <v>1066</v>
      </c>
      <c r="AI997" s="172" t="s">
        <v>1067</v>
      </c>
      <c r="AJ997" s="153" t="s">
        <v>1068</v>
      </c>
      <c r="AK997" s="239"/>
    </row>
    <row r="998">
      <c r="A998" s="152">
        <v>2023.0</v>
      </c>
      <c r="B998" s="151">
        <v>77.0</v>
      </c>
      <c r="C998" s="129" t="s">
        <v>140</v>
      </c>
      <c r="D998" s="8"/>
      <c r="E998" s="8" t="s">
        <v>8189</v>
      </c>
      <c r="F998" s="8" t="s">
        <v>6423</v>
      </c>
      <c r="G998" s="8">
        <f>IFERROR(__xludf.DUMMYFUNCTION("""COMPUTED_VALUE"""),518.0)</f>
        <v>518</v>
      </c>
      <c r="H998" s="8" t="s">
        <v>143</v>
      </c>
      <c r="I998" s="8" t="s">
        <v>144</v>
      </c>
      <c r="J998" s="8" t="s">
        <v>693</v>
      </c>
      <c r="K998" s="153" t="s">
        <v>694</v>
      </c>
      <c r="L998" s="8" t="s">
        <v>6113</v>
      </c>
      <c r="M998" s="8" t="s">
        <v>6424</v>
      </c>
      <c r="N998" s="142" t="s">
        <v>6425</v>
      </c>
      <c r="O998" s="142"/>
      <c r="P998" s="142"/>
      <c r="Q998" s="8" t="s">
        <v>6062</v>
      </c>
      <c r="R998" s="8" t="s">
        <v>6288</v>
      </c>
      <c r="T998" s="8" t="s">
        <v>6426</v>
      </c>
      <c r="U998" s="8" t="s">
        <v>6113</v>
      </c>
      <c r="V998" s="244"/>
      <c r="W998" s="244"/>
      <c r="X998" s="244"/>
      <c r="Y998" s="244"/>
      <c r="AB998" s="8" t="s">
        <v>6113</v>
      </c>
      <c r="AH998" s="8" t="s">
        <v>6214</v>
      </c>
      <c r="AI998" s="8" t="s">
        <v>2985</v>
      </c>
      <c r="AJ998" s="8" t="s">
        <v>2986</v>
      </c>
    </row>
    <row r="999">
      <c r="A999" s="152">
        <v>2024.0</v>
      </c>
      <c r="B999" s="151">
        <v>335.0</v>
      </c>
      <c r="C999" s="153"/>
      <c r="D999" s="153"/>
      <c r="E999" s="153" t="s">
        <v>8189</v>
      </c>
      <c r="F999" s="153" t="s">
        <v>8672</v>
      </c>
      <c r="G999" s="153">
        <f>IFERROR(__xludf.DUMMYFUNCTION("""COMPUTED_VALUE"""),519.0)</f>
        <v>519</v>
      </c>
      <c r="H999" s="153" t="s">
        <v>579</v>
      </c>
      <c r="I999" s="153" t="s">
        <v>1271</v>
      </c>
      <c r="J999" s="153" t="s">
        <v>1272</v>
      </c>
      <c r="K999" s="153" t="s">
        <v>1273</v>
      </c>
      <c r="L999" s="153" t="s">
        <v>1732</v>
      </c>
      <c r="M999" s="153"/>
      <c r="N999" s="230">
        <v>2018.0</v>
      </c>
      <c r="O999" s="230">
        <v>2018.0</v>
      </c>
      <c r="P999" s="192" t="s">
        <v>149</v>
      </c>
      <c r="Q999" s="153" t="s">
        <v>151</v>
      </c>
      <c r="R999" s="153" t="s">
        <v>1742</v>
      </c>
      <c r="S999" s="158" t="s">
        <v>7310</v>
      </c>
      <c r="T999" s="158" t="s">
        <v>149</v>
      </c>
      <c r="U999" s="153" t="s">
        <v>1736</v>
      </c>
      <c r="V999" s="158" t="s">
        <v>6154</v>
      </c>
      <c r="W999" s="158" t="s">
        <v>306</v>
      </c>
      <c r="X999" s="158" t="s">
        <v>204</v>
      </c>
      <c r="Y999" s="158" t="s">
        <v>149</v>
      </c>
      <c r="Z999" s="158" t="s">
        <v>149</v>
      </c>
      <c r="AA999" s="158" t="s">
        <v>149</v>
      </c>
      <c r="AB999" s="153" t="s">
        <v>1736</v>
      </c>
      <c r="AC999" s="158" t="s">
        <v>306</v>
      </c>
      <c r="AD999" s="153"/>
      <c r="AE999" s="153"/>
      <c r="AF999" s="153"/>
      <c r="AG999" s="153" t="s">
        <v>6038</v>
      </c>
      <c r="AH999" s="153" t="s">
        <v>1743</v>
      </c>
      <c r="AI999" s="165" t="s">
        <v>1744</v>
      </c>
      <c r="AJ999" s="153" t="s">
        <v>1739</v>
      </c>
      <c r="AK999" s="153" t="s">
        <v>1740</v>
      </c>
    </row>
    <row r="1000">
      <c r="A1000" s="152">
        <v>2025.0</v>
      </c>
      <c r="B1000" s="151">
        <v>77.0</v>
      </c>
      <c r="C1000" s="153" t="s">
        <v>8189</v>
      </c>
      <c r="D1000" s="153"/>
      <c r="E1000" s="153" t="s">
        <v>8301</v>
      </c>
      <c r="F1000" s="153" t="s">
        <v>6427</v>
      </c>
      <c r="G1000" s="153">
        <f>IFERROR(__xludf.DUMMYFUNCTION("""COMPUTED_VALUE"""),520.0)</f>
        <v>520</v>
      </c>
      <c r="H1000" s="153" t="s">
        <v>143</v>
      </c>
      <c r="I1000" s="153" t="s">
        <v>144</v>
      </c>
      <c r="J1000" s="153" t="s">
        <v>693</v>
      </c>
      <c r="K1000" s="153" t="s">
        <v>694</v>
      </c>
      <c r="L1000" s="153" t="s">
        <v>1022</v>
      </c>
      <c r="M1000" s="153" t="s">
        <v>8673</v>
      </c>
      <c r="N1000" s="160" t="s">
        <v>6230</v>
      </c>
      <c r="O1000" s="160" t="s">
        <v>6230</v>
      </c>
      <c r="P1000" s="160" t="s">
        <v>6404</v>
      </c>
      <c r="Q1000" s="153" t="s">
        <v>6062</v>
      </c>
      <c r="R1000" s="153" t="s">
        <v>8674</v>
      </c>
      <c r="S1000" s="153" t="s">
        <v>8675</v>
      </c>
      <c r="T1000" s="153" t="s">
        <v>8676</v>
      </c>
      <c r="U1000" s="153" t="s">
        <v>1022</v>
      </c>
      <c r="V1000" s="158" t="s">
        <v>6154</v>
      </c>
      <c r="W1000" s="158" t="s">
        <v>206</v>
      </c>
      <c r="X1000" s="158" t="s">
        <v>204</v>
      </c>
      <c r="Y1000" s="241" t="s">
        <v>149</v>
      </c>
      <c r="Z1000" s="158" t="s">
        <v>149</v>
      </c>
      <c r="AA1000" s="158" t="s">
        <v>149</v>
      </c>
      <c r="AB1000" s="158" t="s">
        <v>1166</v>
      </c>
      <c r="AC1000" s="158" t="s">
        <v>6068</v>
      </c>
      <c r="AD1000" s="158" t="s">
        <v>233</v>
      </c>
      <c r="AE1000" s="153" t="s">
        <v>1167</v>
      </c>
      <c r="AF1000" s="153"/>
      <c r="AG1000" s="158" t="s">
        <v>6214</v>
      </c>
      <c r="AH1000" s="153" t="s">
        <v>1168</v>
      </c>
      <c r="AI1000" s="172" t="s">
        <v>1169</v>
      </c>
      <c r="AJ1000" s="153" t="s">
        <v>1077</v>
      </c>
      <c r="AK1000" s="165" t="s">
        <v>1170</v>
      </c>
    </row>
    <row r="1001">
      <c r="A1001" s="152">
        <v>2023.0</v>
      </c>
      <c r="B1001" s="151">
        <v>78.0</v>
      </c>
      <c r="C1001" s="129" t="s">
        <v>140</v>
      </c>
      <c r="D1001" s="8"/>
      <c r="E1001" s="8" t="s">
        <v>8189</v>
      </c>
      <c r="F1001" s="8" t="s">
        <v>6432</v>
      </c>
      <c r="G1001" s="8">
        <f>IFERROR(__xludf.DUMMYFUNCTION("""COMPUTED_VALUE"""),521.0)</f>
        <v>521</v>
      </c>
      <c r="H1001" s="8" t="s">
        <v>143</v>
      </c>
      <c r="I1001" s="8" t="s">
        <v>144</v>
      </c>
      <c r="J1001" s="8" t="s">
        <v>693</v>
      </c>
      <c r="K1001" s="153" t="s">
        <v>694</v>
      </c>
      <c r="L1001" s="8" t="s">
        <v>6433</v>
      </c>
      <c r="M1001" s="8" t="s">
        <v>6434</v>
      </c>
      <c r="N1001" s="142" t="s">
        <v>6230</v>
      </c>
      <c r="O1001" s="142" t="s">
        <v>6230</v>
      </c>
      <c r="P1001" s="142" t="s">
        <v>6404</v>
      </c>
      <c r="Q1001" s="8" t="s">
        <v>6062</v>
      </c>
      <c r="R1001" s="8" t="s">
        <v>1029</v>
      </c>
      <c r="T1001" s="8" t="s">
        <v>1019</v>
      </c>
      <c r="U1001" s="8" t="s">
        <v>1020</v>
      </c>
      <c r="V1001" s="244"/>
      <c r="W1001" s="244"/>
      <c r="X1001" s="244"/>
      <c r="Y1001" s="244"/>
      <c r="AA1001" s="8" t="s">
        <v>6435</v>
      </c>
      <c r="AB1001" s="8" t="s">
        <v>6113</v>
      </c>
      <c r="AE1001" s="8" t="s">
        <v>1022</v>
      </c>
      <c r="AH1001" s="8" t="s">
        <v>6214</v>
      </c>
      <c r="AI1001" s="8" t="s">
        <v>1024</v>
      </c>
      <c r="AJ1001" s="8" t="s">
        <v>1025</v>
      </c>
      <c r="AK1001" s="172" t="s">
        <v>1026</v>
      </c>
    </row>
    <row r="1002">
      <c r="A1002" s="152">
        <v>2024.0</v>
      </c>
      <c r="B1002" s="151">
        <v>336.0</v>
      </c>
      <c r="C1002" s="153"/>
      <c r="D1002" s="153"/>
      <c r="E1002" s="153" t="s">
        <v>8189</v>
      </c>
      <c r="F1002" s="153" t="s">
        <v>8677</v>
      </c>
      <c r="G1002" s="153">
        <f>IFERROR(__xludf.DUMMYFUNCTION("""COMPUTED_VALUE"""),522.0)</f>
        <v>522</v>
      </c>
      <c r="H1002" s="153" t="s">
        <v>579</v>
      </c>
      <c r="I1002" s="153" t="s">
        <v>1271</v>
      </c>
      <c r="J1002" s="153" t="s">
        <v>1763</v>
      </c>
      <c r="K1002" s="153" t="s">
        <v>1764</v>
      </c>
      <c r="L1002" s="153" t="s">
        <v>1765</v>
      </c>
      <c r="M1002" s="153"/>
      <c r="N1002" s="230">
        <v>2022.0</v>
      </c>
      <c r="O1002" s="192" t="s">
        <v>149</v>
      </c>
      <c r="P1002" s="192" t="s">
        <v>149</v>
      </c>
      <c r="Q1002" s="153" t="s">
        <v>151</v>
      </c>
      <c r="R1002" s="153" t="s">
        <v>6079</v>
      </c>
      <c r="S1002" s="158" t="s">
        <v>605</v>
      </c>
      <c r="T1002" s="158" t="s">
        <v>1766</v>
      </c>
      <c r="U1002" s="153" t="s">
        <v>1736</v>
      </c>
      <c r="V1002" s="158" t="s">
        <v>6154</v>
      </c>
      <c r="W1002" s="158" t="s">
        <v>306</v>
      </c>
      <c r="X1002" s="158" t="s">
        <v>159</v>
      </c>
      <c r="Y1002" s="158" t="s">
        <v>149</v>
      </c>
      <c r="Z1002" s="158" t="s">
        <v>149</v>
      </c>
      <c r="AA1002" s="158" t="s">
        <v>149</v>
      </c>
      <c r="AB1002" s="153" t="s">
        <v>1736</v>
      </c>
      <c r="AC1002" s="158" t="s">
        <v>306</v>
      </c>
      <c r="AD1002" s="158" t="s">
        <v>369</v>
      </c>
      <c r="AE1002" s="153"/>
      <c r="AF1002" s="153"/>
      <c r="AG1002" s="153" t="s">
        <v>6038</v>
      </c>
      <c r="AH1002" s="153" t="s">
        <v>1767</v>
      </c>
      <c r="AI1002" s="165" t="s">
        <v>1768</v>
      </c>
      <c r="AJ1002" s="153" t="s">
        <v>1739</v>
      </c>
      <c r="AK1002" s="153" t="s">
        <v>1740</v>
      </c>
    </row>
    <row r="1003">
      <c r="A1003" s="152">
        <v>2025.0</v>
      </c>
      <c r="B1003" s="151">
        <v>78.0</v>
      </c>
      <c r="C1003" s="153" t="s">
        <v>8189</v>
      </c>
      <c r="D1003" s="153"/>
      <c r="E1003" s="153" t="s">
        <v>8301</v>
      </c>
      <c r="F1003" s="153" t="s">
        <v>6436</v>
      </c>
      <c r="G1003" s="153">
        <f>IFERROR(__xludf.DUMMYFUNCTION("""COMPUTED_VALUE"""),523.0)</f>
        <v>523</v>
      </c>
      <c r="H1003" s="153" t="s">
        <v>143</v>
      </c>
      <c r="I1003" s="153" t="s">
        <v>144</v>
      </c>
      <c r="J1003" s="153" t="s">
        <v>693</v>
      </c>
      <c r="K1003" s="153" t="s">
        <v>694</v>
      </c>
      <c r="L1003" s="158" t="s">
        <v>149</v>
      </c>
      <c r="M1003" s="153" t="s">
        <v>8678</v>
      </c>
      <c r="N1003" s="175" t="s">
        <v>6114</v>
      </c>
      <c r="O1003" s="160" t="s">
        <v>6114</v>
      </c>
      <c r="P1003" s="160" t="s">
        <v>6114</v>
      </c>
      <c r="Q1003" s="153" t="s">
        <v>8679</v>
      </c>
      <c r="R1003" s="158" t="s">
        <v>6439</v>
      </c>
      <c r="S1003" s="158" t="s">
        <v>6439</v>
      </c>
      <c r="T1003" s="153" t="s">
        <v>2992</v>
      </c>
      <c r="U1003" s="153" t="s">
        <v>321</v>
      </c>
      <c r="V1003" s="158" t="s">
        <v>160</v>
      </c>
      <c r="W1003" s="158" t="s">
        <v>6035</v>
      </c>
      <c r="X1003" s="158" t="s">
        <v>204</v>
      </c>
      <c r="Y1003" s="241" t="s">
        <v>149</v>
      </c>
      <c r="Z1003" s="158" t="s">
        <v>149</v>
      </c>
      <c r="AA1003" s="158" t="s">
        <v>149</v>
      </c>
      <c r="AB1003" s="158" t="s">
        <v>233</v>
      </c>
      <c r="AC1003" s="158" t="s">
        <v>6068</v>
      </c>
      <c r="AD1003" s="153"/>
      <c r="AE1003" s="153"/>
      <c r="AF1003" s="153"/>
      <c r="AG1003" s="158" t="s">
        <v>6214</v>
      </c>
      <c r="AH1003" s="153" t="s">
        <v>2993</v>
      </c>
      <c r="AI1003" s="165" t="s">
        <v>2994</v>
      </c>
      <c r="AJ1003" s="153" t="s">
        <v>1061</v>
      </c>
      <c r="AK1003" s="239"/>
    </row>
    <row r="1004">
      <c r="A1004" s="152">
        <v>2023.0</v>
      </c>
      <c r="B1004" s="151">
        <v>79.0</v>
      </c>
      <c r="C1004" s="129" t="s">
        <v>140</v>
      </c>
      <c r="D1004" s="8"/>
      <c r="E1004" s="8" t="s">
        <v>8189</v>
      </c>
      <c r="F1004" s="8" t="s">
        <v>6440</v>
      </c>
      <c r="G1004" s="8">
        <f>IFERROR(__xludf.DUMMYFUNCTION("""COMPUTED_VALUE"""),524.0)</f>
        <v>524</v>
      </c>
      <c r="H1004" s="8" t="s">
        <v>143</v>
      </c>
      <c r="I1004" s="8" t="s">
        <v>144</v>
      </c>
      <c r="J1004" s="8" t="s">
        <v>693</v>
      </c>
      <c r="K1004" s="153" t="s">
        <v>694</v>
      </c>
      <c r="L1004" s="8" t="s">
        <v>6433</v>
      </c>
      <c r="M1004" s="8" t="s">
        <v>6441</v>
      </c>
      <c r="N1004" s="142" t="s">
        <v>6230</v>
      </c>
      <c r="O1004" s="142"/>
      <c r="P1004" s="142"/>
      <c r="Q1004" s="8" t="s">
        <v>6062</v>
      </c>
      <c r="R1004" s="8" t="s">
        <v>1029</v>
      </c>
      <c r="T1004" s="8" t="s">
        <v>1030</v>
      </c>
      <c r="V1004" s="244"/>
      <c r="W1004" s="244"/>
      <c r="X1004" s="244"/>
      <c r="Y1004" s="244"/>
      <c r="AA1004" s="8" t="s">
        <v>1031</v>
      </c>
      <c r="AB1004" s="8" t="s">
        <v>6113</v>
      </c>
      <c r="AE1004" s="8" t="s">
        <v>1022</v>
      </c>
      <c r="AH1004" s="8" t="s">
        <v>6214</v>
      </c>
      <c r="AI1004" s="172" t="s">
        <v>1034</v>
      </c>
      <c r="AJ1004" s="8" t="s">
        <v>1025</v>
      </c>
      <c r="AK1004" s="172" t="s">
        <v>1026</v>
      </c>
    </row>
    <row r="1005">
      <c r="A1005" s="152">
        <v>2024.0</v>
      </c>
      <c r="B1005" s="151">
        <v>337.0</v>
      </c>
      <c r="C1005" s="153"/>
      <c r="D1005" s="153"/>
      <c r="E1005" s="153" t="s">
        <v>8189</v>
      </c>
      <c r="F1005" s="153" t="s">
        <v>8680</v>
      </c>
      <c r="G1005" s="153">
        <f>IFERROR(__xludf.DUMMYFUNCTION("""COMPUTED_VALUE"""),525.0)</f>
        <v>525</v>
      </c>
      <c r="H1005" s="153" t="s">
        <v>579</v>
      </c>
      <c r="I1005" s="153" t="s">
        <v>1271</v>
      </c>
      <c r="J1005" s="153" t="s">
        <v>1494</v>
      </c>
      <c r="K1005" s="153" t="s">
        <v>1495</v>
      </c>
      <c r="L1005" s="153" t="s">
        <v>1377</v>
      </c>
      <c r="M1005" s="153" t="s">
        <v>7317</v>
      </c>
      <c r="N1005" s="192">
        <v>1992.0</v>
      </c>
      <c r="O1005" s="230">
        <v>1990.0</v>
      </c>
      <c r="P1005" s="230">
        <v>1994.0</v>
      </c>
      <c r="Q1005" s="153" t="s">
        <v>151</v>
      </c>
      <c r="R1005" s="158" t="s">
        <v>149</v>
      </c>
      <c r="S1005" s="158" t="s">
        <v>149</v>
      </c>
      <c r="T1005" s="158" t="s">
        <v>149</v>
      </c>
      <c r="U1005" s="153" t="s">
        <v>1381</v>
      </c>
      <c r="V1005" s="158" t="s">
        <v>6154</v>
      </c>
      <c r="W1005" s="158" t="s">
        <v>206</v>
      </c>
      <c r="X1005" s="158" t="s">
        <v>159</v>
      </c>
      <c r="Y1005" s="158" t="s">
        <v>149</v>
      </c>
      <c r="Z1005" s="158" t="s">
        <v>149</v>
      </c>
      <c r="AA1005" s="158" t="s">
        <v>149</v>
      </c>
      <c r="AB1005" s="153" t="s">
        <v>660</v>
      </c>
      <c r="AC1005" s="153" t="s">
        <v>6035</v>
      </c>
      <c r="AD1005" s="153" t="s">
        <v>369</v>
      </c>
      <c r="AE1005" s="153"/>
      <c r="AF1005" s="153"/>
      <c r="AG1005" s="158" t="s">
        <v>395</v>
      </c>
      <c r="AH1005" s="153" t="s">
        <v>6060</v>
      </c>
      <c r="AI1005" s="153" t="s">
        <v>2873</v>
      </c>
      <c r="AJ1005" s="153" t="s">
        <v>398</v>
      </c>
      <c r="AK1005" s="153"/>
    </row>
    <row r="1006">
      <c r="A1006" s="152">
        <v>2025.0</v>
      </c>
      <c r="B1006" s="151">
        <v>79.0</v>
      </c>
      <c r="C1006" s="153" t="s">
        <v>8189</v>
      </c>
      <c r="D1006" s="153"/>
      <c r="E1006" s="153" t="s">
        <v>8301</v>
      </c>
      <c r="F1006" s="153" t="s">
        <v>6442</v>
      </c>
      <c r="G1006" s="153">
        <f>IFERROR(__xludf.DUMMYFUNCTION("""COMPUTED_VALUE"""),526.0)</f>
        <v>526</v>
      </c>
      <c r="H1006" s="153" t="s">
        <v>143</v>
      </c>
      <c r="I1006" s="153" t="s">
        <v>144</v>
      </c>
      <c r="J1006" s="153" t="s">
        <v>693</v>
      </c>
      <c r="K1006" s="153" t="s">
        <v>694</v>
      </c>
      <c r="L1006" s="158" t="s">
        <v>149</v>
      </c>
      <c r="M1006" s="153" t="s">
        <v>8681</v>
      </c>
      <c r="N1006" s="175" t="s">
        <v>6114</v>
      </c>
      <c r="O1006" s="175" t="s">
        <v>6114</v>
      </c>
      <c r="P1006" s="175" t="s">
        <v>6151</v>
      </c>
      <c r="Q1006" s="153" t="s">
        <v>6062</v>
      </c>
      <c r="R1006" s="153" t="s">
        <v>179</v>
      </c>
      <c r="S1006" s="153" t="s">
        <v>179</v>
      </c>
      <c r="T1006" s="153" t="s">
        <v>8682</v>
      </c>
      <c r="U1006" s="153" t="s">
        <v>321</v>
      </c>
      <c r="V1006" s="158" t="s">
        <v>160</v>
      </c>
      <c r="W1006" s="158" t="s">
        <v>6035</v>
      </c>
      <c r="X1006" s="158" t="s">
        <v>204</v>
      </c>
      <c r="Y1006" s="241" t="s">
        <v>149</v>
      </c>
      <c r="Z1006" s="158" t="s">
        <v>149</v>
      </c>
      <c r="AA1006" s="153" t="s">
        <v>2998</v>
      </c>
      <c r="AB1006" s="153" t="s">
        <v>233</v>
      </c>
      <c r="AC1006" s="158" t="s">
        <v>6068</v>
      </c>
      <c r="AD1006" s="153" t="s">
        <v>2999</v>
      </c>
      <c r="AE1006" s="153"/>
      <c r="AF1006" s="153"/>
      <c r="AG1006" s="158" t="s">
        <v>6214</v>
      </c>
      <c r="AH1006" s="153" t="s">
        <v>3000</v>
      </c>
      <c r="AI1006" s="165" t="s">
        <v>3001</v>
      </c>
      <c r="AJ1006" s="153" t="s">
        <v>245</v>
      </c>
      <c r="AK1006" s="239"/>
    </row>
    <row r="1007">
      <c r="A1007" s="152">
        <v>2023.0</v>
      </c>
      <c r="B1007" s="151">
        <v>80.0</v>
      </c>
      <c r="C1007" s="129" t="s">
        <v>140</v>
      </c>
      <c r="D1007" s="8"/>
      <c r="E1007" s="8" t="s">
        <v>8189</v>
      </c>
      <c r="F1007" s="8" t="s">
        <v>6445</v>
      </c>
      <c r="G1007" s="8">
        <f>IFERROR(__xludf.DUMMYFUNCTION("""COMPUTED_VALUE"""),527.0)</f>
        <v>527</v>
      </c>
      <c r="H1007" s="8" t="s">
        <v>143</v>
      </c>
      <c r="I1007" s="8" t="s">
        <v>144</v>
      </c>
      <c r="J1007" s="8" t="s">
        <v>693</v>
      </c>
      <c r="K1007" s="153" t="s">
        <v>694</v>
      </c>
      <c r="L1007" s="8" t="s">
        <v>6433</v>
      </c>
      <c r="M1007" s="8" t="s">
        <v>6408</v>
      </c>
      <c r="N1007" s="142" t="s">
        <v>6404</v>
      </c>
      <c r="O1007" s="142"/>
      <c r="P1007" s="142" t="s">
        <v>6404</v>
      </c>
      <c r="Q1007" s="8" t="s">
        <v>6221</v>
      </c>
      <c r="T1007" s="8" t="s">
        <v>1056</v>
      </c>
      <c r="U1007" s="8" t="s">
        <v>1020</v>
      </c>
      <c r="V1007" s="244"/>
      <c r="W1007" s="244"/>
      <c r="X1007" s="244"/>
      <c r="Y1007" s="244"/>
      <c r="AB1007" s="8" t="s">
        <v>233</v>
      </c>
      <c r="AE1007" s="8" t="s">
        <v>1022</v>
      </c>
      <c r="AH1007" s="8" t="s">
        <v>6214</v>
      </c>
      <c r="AI1007" s="172" t="s">
        <v>1060</v>
      </c>
      <c r="AJ1007" s="8" t="s">
        <v>1061</v>
      </c>
      <c r="AK1007" s="172"/>
    </row>
    <row r="1008">
      <c r="A1008" s="152">
        <v>2025.0</v>
      </c>
      <c r="B1008" s="151">
        <v>80.0</v>
      </c>
      <c r="C1008" s="153" t="s">
        <v>8189</v>
      </c>
      <c r="D1008" s="153"/>
      <c r="E1008" s="153" t="s">
        <v>8301</v>
      </c>
      <c r="F1008" s="153" t="s">
        <v>6446</v>
      </c>
      <c r="G1008" s="153">
        <f>IFERROR(__xludf.DUMMYFUNCTION("""COMPUTED_VALUE"""),528.0)</f>
        <v>528</v>
      </c>
      <c r="H1008" s="153" t="s">
        <v>143</v>
      </c>
      <c r="I1008" s="153" t="s">
        <v>144</v>
      </c>
      <c r="J1008" s="153" t="s">
        <v>693</v>
      </c>
      <c r="K1008" s="153" t="s">
        <v>694</v>
      </c>
      <c r="L1008" s="158" t="s">
        <v>6397</v>
      </c>
      <c r="M1008" s="153" t="s">
        <v>8683</v>
      </c>
      <c r="N1008" s="175" t="s">
        <v>6415</v>
      </c>
      <c r="O1008" s="175" t="s">
        <v>6415</v>
      </c>
      <c r="P1008" s="175" t="s">
        <v>6114</v>
      </c>
      <c r="Q1008" s="153" t="s">
        <v>6259</v>
      </c>
      <c r="R1008" s="153" t="s">
        <v>8684</v>
      </c>
      <c r="S1008" s="153" t="s">
        <v>8685</v>
      </c>
      <c r="T1008" s="153" t="s">
        <v>1073</v>
      </c>
      <c r="U1008" s="153" t="s">
        <v>1020</v>
      </c>
      <c r="V1008" s="158" t="s">
        <v>6154</v>
      </c>
      <c r="W1008" s="158" t="s">
        <v>206</v>
      </c>
      <c r="X1008" s="158" t="s">
        <v>204</v>
      </c>
      <c r="Y1008" s="241" t="s">
        <v>149</v>
      </c>
      <c r="Z1008" s="158" t="s">
        <v>149</v>
      </c>
      <c r="AA1008" s="153" t="s">
        <v>1074</v>
      </c>
      <c r="AB1008" s="153" t="s">
        <v>233</v>
      </c>
      <c r="AC1008" s="158" t="s">
        <v>6068</v>
      </c>
      <c r="AD1008" s="153"/>
      <c r="AE1008" s="153"/>
      <c r="AF1008" s="153"/>
      <c r="AG1008" s="158" t="s">
        <v>6214</v>
      </c>
      <c r="AH1008" s="153" t="s">
        <v>1075</v>
      </c>
      <c r="AI1008" s="172" t="s">
        <v>1076</v>
      </c>
      <c r="AJ1008" s="153" t="s">
        <v>1077</v>
      </c>
      <c r="AK1008" s="165" t="s">
        <v>1078</v>
      </c>
    </row>
    <row r="1009">
      <c r="A1009" s="152">
        <v>2024.0</v>
      </c>
      <c r="B1009" s="151">
        <v>338.0</v>
      </c>
      <c r="C1009" s="153"/>
      <c r="D1009" s="153"/>
      <c r="E1009" s="153" t="s">
        <v>8189</v>
      </c>
      <c r="F1009" s="153" t="s">
        <v>8686</v>
      </c>
      <c r="G1009" s="153">
        <f>IFERROR(__xludf.DUMMYFUNCTION("""COMPUTED_VALUE"""),529.0)</f>
        <v>529</v>
      </c>
      <c r="H1009" s="153" t="s">
        <v>579</v>
      </c>
      <c r="I1009" s="153" t="s">
        <v>1271</v>
      </c>
      <c r="J1009" s="153" t="s">
        <v>2648</v>
      </c>
      <c r="K1009" s="153" t="s">
        <v>2649</v>
      </c>
      <c r="L1009" s="158" t="s">
        <v>149</v>
      </c>
      <c r="M1009" s="153" t="s">
        <v>7320</v>
      </c>
      <c r="N1009" s="230">
        <v>2016.0</v>
      </c>
      <c r="O1009" s="158" t="s">
        <v>149</v>
      </c>
      <c r="P1009" s="158" t="s">
        <v>149</v>
      </c>
      <c r="Q1009" s="153" t="s">
        <v>6062</v>
      </c>
      <c r="R1009" s="158" t="s">
        <v>179</v>
      </c>
      <c r="S1009" s="158" t="s">
        <v>179</v>
      </c>
      <c r="T1009" s="153" t="s">
        <v>2653</v>
      </c>
      <c r="U1009" s="153" t="s">
        <v>158</v>
      </c>
      <c r="V1009" s="158" t="s">
        <v>160</v>
      </c>
      <c r="W1009" s="158" t="s">
        <v>6035</v>
      </c>
      <c r="X1009" s="158" t="s">
        <v>159</v>
      </c>
      <c r="Y1009" s="158" t="s">
        <v>149</v>
      </c>
      <c r="Z1009" s="153" t="s">
        <v>7321</v>
      </c>
      <c r="AA1009" s="153" t="s">
        <v>2655</v>
      </c>
      <c r="AB1009" s="153" t="s">
        <v>158</v>
      </c>
      <c r="AC1009" s="153" t="s">
        <v>6035</v>
      </c>
      <c r="AD1009" s="153"/>
      <c r="AE1009" s="153" t="s">
        <v>8687</v>
      </c>
      <c r="AF1009" s="153"/>
      <c r="AG1009" s="158" t="s">
        <v>166</v>
      </c>
      <c r="AH1009" s="153" t="s">
        <v>2657</v>
      </c>
      <c r="AI1009" s="172" t="s">
        <v>2658</v>
      </c>
      <c r="AJ1009" s="153"/>
      <c r="AK1009" s="153"/>
    </row>
    <row r="1010">
      <c r="A1010" s="152">
        <v>2023.0</v>
      </c>
      <c r="B1010" s="151">
        <v>81.0</v>
      </c>
      <c r="C1010" s="129" t="s">
        <v>140</v>
      </c>
      <c r="D1010" s="8"/>
      <c r="E1010" s="8" t="s">
        <v>8189</v>
      </c>
      <c r="F1010" s="8" t="s">
        <v>8688</v>
      </c>
      <c r="G1010" s="8">
        <f>IFERROR(__xludf.DUMMYFUNCTION("""COMPUTED_VALUE"""),530.0)</f>
        <v>530</v>
      </c>
      <c r="H1010" s="8" t="s">
        <v>143</v>
      </c>
      <c r="I1010" s="8" t="s">
        <v>144</v>
      </c>
      <c r="J1010" s="8" t="s">
        <v>693</v>
      </c>
      <c r="K1010" s="153" t="s">
        <v>694</v>
      </c>
      <c r="L1010" s="8" t="s">
        <v>6433</v>
      </c>
      <c r="M1010" s="8" t="s">
        <v>6451</v>
      </c>
      <c r="N1010" s="142" t="s">
        <v>6113</v>
      </c>
      <c r="O1010" s="142"/>
      <c r="P1010" s="142"/>
      <c r="Q1010" s="8" t="s">
        <v>6062</v>
      </c>
      <c r="T1010" s="8" t="s">
        <v>6452</v>
      </c>
      <c r="U1010" s="8" t="s">
        <v>1020</v>
      </c>
      <c r="V1010" s="244"/>
      <c r="W1010" s="244"/>
      <c r="X1010" s="244"/>
      <c r="Y1010" s="244"/>
      <c r="AB1010" s="8" t="s">
        <v>6113</v>
      </c>
      <c r="AE1010" s="8" t="s">
        <v>1022</v>
      </c>
      <c r="AH1010" s="8" t="s">
        <v>6214</v>
      </c>
      <c r="AI1010" s="8" t="s">
        <v>1042</v>
      </c>
      <c r="AJ1010" s="8" t="s">
        <v>1043</v>
      </c>
      <c r="AK1010" s="172" t="s">
        <v>1044</v>
      </c>
    </row>
    <row r="1011">
      <c r="A1011" s="152">
        <v>2025.0</v>
      </c>
      <c r="B1011" s="151">
        <v>81.0</v>
      </c>
      <c r="C1011" s="153" t="s">
        <v>8189</v>
      </c>
      <c r="D1011" s="153"/>
      <c r="E1011" s="153" t="s">
        <v>8301</v>
      </c>
      <c r="F1011" s="153" t="s">
        <v>6453</v>
      </c>
      <c r="G1011" s="153">
        <f>IFERROR(__xludf.DUMMYFUNCTION("""COMPUTED_VALUE"""),531.0)</f>
        <v>531</v>
      </c>
      <c r="H1011" s="153" t="s">
        <v>143</v>
      </c>
      <c r="I1011" s="153" t="s">
        <v>144</v>
      </c>
      <c r="J1011" s="153" t="s">
        <v>693</v>
      </c>
      <c r="K1011" s="153" t="s">
        <v>694</v>
      </c>
      <c r="L1011" s="158" t="s">
        <v>6397</v>
      </c>
      <c r="M1011" s="153" t="s">
        <v>6454</v>
      </c>
      <c r="N1011" s="175" t="s">
        <v>6392</v>
      </c>
      <c r="O1011" s="175" t="s">
        <v>6392</v>
      </c>
      <c r="P1011" s="175" t="s">
        <v>6404</v>
      </c>
      <c r="Q1011" s="153" t="s">
        <v>6062</v>
      </c>
      <c r="R1011" s="158" t="s">
        <v>1048</v>
      </c>
      <c r="S1011" s="158" t="s">
        <v>1048</v>
      </c>
      <c r="T1011" s="153" t="s">
        <v>1049</v>
      </c>
      <c r="U1011" s="153" t="s">
        <v>1020</v>
      </c>
      <c r="V1011" s="158" t="s">
        <v>6154</v>
      </c>
      <c r="W1011" s="158" t="s">
        <v>206</v>
      </c>
      <c r="X1011" s="158" t="s">
        <v>204</v>
      </c>
      <c r="Y1011" s="241" t="s">
        <v>149</v>
      </c>
      <c r="Z1011" s="158" t="s">
        <v>149</v>
      </c>
      <c r="AA1011" s="153" t="s">
        <v>1050</v>
      </c>
      <c r="AB1011" s="153" t="s">
        <v>233</v>
      </c>
      <c r="AC1011" s="158" t="s">
        <v>6068</v>
      </c>
      <c r="AD1011" s="153"/>
      <c r="AE1011" s="153" t="s">
        <v>1022</v>
      </c>
      <c r="AF1011" s="153"/>
      <c r="AG1011" s="158" t="s">
        <v>6214</v>
      </c>
      <c r="AH1011" s="153" t="s">
        <v>1051</v>
      </c>
      <c r="AI1011" s="172" t="s">
        <v>1052</v>
      </c>
      <c r="AJ1011" s="153" t="s">
        <v>245</v>
      </c>
      <c r="AK1011" s="239"/>
    </row>
    <row r="1012">
      <c r="A1012" s="152">
        <v>2024.0</v>
      </c>
      <c r="B1012" s="151">
        <v>339.0</v>
      </c>
      <c r="C1012" s="153"/>
      <c r="D1012" s="153"/>
      <c r="E1012" s="153" t="s">
        <v>8189</v>
      </c>
      <c r="F1012" s="153" t="s">
        <v>8689</v>
      </c>
      <c r="G1012" s="153">
        <f>IFERROR(__xludf.DUMMYFUNCTION("""COMPUTED_VALUE"""),532.0)</f>
        <v>532</v>
      </c>
      <c r="H1012" s="153" t="s">
        <v>590</v>
      </c>
      <c r="I1012" s="153" t="s">
        <v>591</v>
      </c>
      <c r="J1012" s="153" t="s">
        <v>7288</v>
      </c>
      <c r="K1012" s="153" t="s">
        <v>593</v>
      </c>
      <c r="L1012" s="153" t="s">
        <v>384</v>
      </c>
      <c r="M1012" s="153" t="s">
        <v>435</v>
      </c>
      <c r="N1012" s="230">
        <v>1987.0</v>
      </c>
      <c r="O1012" s="230">
        <v>1985.0</v>
      </c>
      <c r="P1012" s="230">
        <v>19987.0</v>
      </c>
      <c r="Q1012" s="153" t="s">
        <v>151</v>
      </c>
      <c r="R1012" s="153" t="s">
        <v>469</v>
      </c>
      <c r="S1012" s="158" t="s">
        <v>469</v>
      </c>
      <c r="T1012" s="158" t="s">
        <v>149</v>
      </c>
      <c r="U1012" s="153" t="s">
        <v>390</v>
      </c>
      <c r="V1012" s="158" t="s">
        <v>160</v>
      </c>
      <c r="W1012" s="158" t="s">
        <v>6035</v>
      </c>
      <c r="X1012" s="158" t="s">
        <v>159</v>
      </c>
      <c r="Y1012" s="158" t="s">
        <v>149</v>
      </c>
      <c r="Z1012" s="158" t="s">
        <v>149</v>
      </c>
      <c r="AA1012" s="158" t="s">
        <v>149</v>
      </c>
      <c r="AB1012" s="153" t="s">
        <v>390</v>
      </c>
      <c r="AC1012" s="153" t="s">
        <v>6035</v>
      </c>
      <c r="AD1012" s="153" t="s">
        <v>6055</v>
      </c>
      <c r="AE1012" s="153"/>
      <c r="AF1012" s="153"/>
      <c r="AG1012" s="158" t="s">
        <v>395</v>
      </c>
      <c r="AH1012" s="153" t="s">
        <v>6060</v>
      </c>
      <c r="AI1012" s="153" t="s">
        <v>2873</v>
      </c>
      <c r="AJ1012" s="153" t="s">
        <v>398</v>
      </c>
      <c r="AK1012" s="153"/>
    </row>
    <row r="1013">
      <c r="A1013" s="152">
        <v>2023.0</v>
      </c>
      <c r="B1013" s="151">
        <v>82.0</v>
      </c>
      <c r="C1013" s="129" t="s">
        <v>140</v>
      </c>
      <c r="D1013" s="8"/>
      <c r="E1013" s="8" t="s">
        <v>8189</v>
      </c>
      <c r="F1013" s="8" t="s">
        <v>6456</v>
      </c>
      <c r="G1013" s="8">
        <f>IFERROR(__xludf.DUMMYFUNCTION("""COMPUTED_VALUE"""),533.0)</f>
        <v>533</v>
      </c>
      <c r="H1013" s="8" t="s">
        <v>143</v>
      </c>
      <c r="I1013" s="8" t="s">
        <v>144</v>
      </c>
      <c r="J1013" s="8" t="s">
        <v>693</v>
      </c>
      <c r="K1013" s="153" t="s">
        <v>694</v>
      </c>
      <c r="L1013" s="8" t="s">
        <v>6397</v>
      </c>
      <c r="M1013" s="8" t="s">
        <v>6421</v>
      </c>
      <c r="N1013" s="142" t="s">
        <v>6457</v>
      </c>
      <c r="O1013" s="142"/>
      <c r="P1013" s="142"/>
      <c r="Q1013" s="8" t="s">
        <v>6062</v>
      </c>
      <c r="R1013" s="8" t="s">
        <v>6288</v>
      </c>
      <c r="T1013" s="8" t="s">
        <v>6458</v>
      </c>
      <c r="U1013" s="8" t="s">
        <v>1020</v>
      </c>
      <c r="V1013" s="244"/>
      <c r="W1013" s="244"/>
      <c r="X1013" s="244"/>
      <c r="Y1013" s="244"/>
      <c r="AB1013" s="8" t="s">
        <v>233</v>
      </c>
      <c r="AH1013" s="8" t="s">
        <v>6214</v>
      </c>
      <c r="AI1013" s="172" t="s">
        <v>1067</v>
      </c>
      <c r="AJ1013" s="8" t="s">
        <v>1068</v>
      </c>
      <c r="AK1013" s="172"/>
    </row>
    <row r="1014">
      <c r="A1014" s="152">
        <v>2025.0</v>
      </c>
      <c r="B1014" s="151">
        <v>82.0</v>
      </c>
      <c r="C1014" s="153" t="s">
        <v>8189</v>
      </c>
      <c r="D1014" s="153"/>
      <c r="E1014" s="153" t="s">
        <v>8301</v>
      </c>
      <c r="F1014" s="153" t="s">
        <v>6459</v>
      </c>
      <c r="G1014" s="153">
        <f>IFERROR(__xludf.DUMMYFUNCTION("""COMPUTED_VALUE"""),534.0)</f>
        <v>534</v>
      </c>
      <c r="H1014" s="153" t="s">
        <v>143</v>
      </c>
      <c r="I1014" s="153" t="s">
        <v>144</v>
      </c>
      <c r="J1014" s="153" t="s">
        <v>693</v>
      </c>
      <c r="K1014" s="153" t="s">
        <v>694</v>
      </c>
      <c r="L1014" s="158" t="s">
        <v>149</v>
      </c>
      <c r="M1014" s="153" t="s">
        <v>8690</v>
      </c>
      <c r="N1014" s="175" t="s">
        <v>6268</v>
      </c>
      <c r="O1014" s="160" t="s">
        <v>6268</v>
      </c>
      <c r="P1014" s="160" t="s">
        <v>6268</v>
      </c>
      <c r="Q1014" s="153" t="s">
        <v>6221</v>
      </c>
      <c r="R1014" s="158" t="s">
        <v>3004</v>
      </c>
      <c r="S1014" s="158" t="s">
        <v>3004</v>
      </c>
      <c r="T1014" s="153" t="s">
        <v>3005</v>
      </c>
      <c r="U1014" s="158" t="s">
        <v>233</v>
      </c>
      <c r="V1014" s="158" t="s">
        <v>160</v>
      </c>
      <c r="W1014" s="158" t="s">
        <v>209</v>
      </c>
      <c r="X1014" s="158" t="s">
        <v>204</v>
      </c>
      <c r="Y1014" s="241" t="s">
        <v>149</v>
      </c>
      <c r="Z1014" s="158" t="s">
        <v>149</v>
      </c>
      <c r="AA1014" s="158" t="s">
        <v>149</v>
      </c>
      <c r="AB1014" s="158" t="s">
        <v>233</v>
      </c>
      <c r="AC1014" s="158" t="s">
        <v>6068</v>
      </c>
      <c r="AD1014" s="153"/>
      <c r="AE1014" s="153"/>
      <c r="AF1014" s="153"/>
      <c r="AG1014" s="158" t="s">
        <v>6214</v>
      </c>
      <c r="AH1014" s="153" t="s">
        <v>3006</v>
      </c>
      <c r="AI1014" s="165" t="s">
        <v>3007</v>
      </c>
      <c r="AJ1014" s="153" t="s">
        <v>3008</v>
      </c>
      <c r="AK1014" s="239"/>
    </row>
    <row r="1015">
      <c r="A1015" s="152">
        <v>2024.0</v>
      </c>
      <c r="B1015" s="151">
        <v>340.0</v>
      </c>
      <c r="C1015" s="153"/>
      <c r="D1015" s="153"/>
      <c r="E1015" s="153" t="s">
        <v>8189</v>
      </c>
      <c r="F1015" s="153" t="s">
        <v>8691</v>
      </c>
      <c r="G1015" s="153">
        <f>IFERROR(__xludf.DUMMYFUNCTION("""COMPUTED_VALUE"""),535.0)</f>
        <v>535</v>
      </c>
      <c r="H1015" s="153" t="s">
        <v>590</v>
      </c>
      <c r="I1015" s="153" t="s">
        <v>591</v>
      </c>
      <c r="J1015" s="153" t="s">
        <v>7288</v>
      </c>
      <c r="K1015" s="153" t="s">
        <v>593</v>
      </c>
      <c r="L1015" s="153" t="s">
        <v>384</v>
      </c>
      <c r="M1015" s="153" t="s">
        <v>596</v>
      </c>
      <c r="N1015" s="230">
        <v>1987.0</v>
      </c>
      <c r="O1015" s="230">
        <v>1985.0</v>
      </c>
      <c r="P1015" s="230">
        <v>1987.0</v>
      </c>
      <c r="Q1015" s="153" t="s">
        <v>151</v>
      </c>
      <c r="R1015" s="153" t="s">
        <v>469</v>
      </c>
      <c r="S1015" s="158" t="s">
        <v>469</v>
      </c>
      <c r="T1015" s="158" t="s">
        <v>149</v>
      </c>
      <c r="U1015" s="153" t="s">
        <v>390</v>
      </c>
      <c r="V1015" s="158" t="s">
        <v>160</v>
      </c>
      <c r="W1015" s="158" t="s">
        <v>6035</v>
      </c>
      <c r="X1015" s="158" t="s">
        <v>159</v>
      </c>
      <c r="Y1015" s="158" t="s">
        <v>149</v>
      </c>
      <c r="Z1015" s="158" t="s">
        <v>149</v>
      </c>
      <c r="AA1015" s="158" t="s">
        <v>149</v>
      </c>
      <c r="AB1015" s="153" t="s">
        <v>390</v>
      </c>
      <c r="AC1015" s="153" t="s">
        <v>6035</v>
      </c>
      <c r="AD1015" s="153" t="s">
        <v>6055</v>
      </c>
      <c r="AE1015" s="153"/>
      <c r="AF1015" s="153"/>
      <c r="AG1015" s="158" t="s">
        <v>395</v>
      </c>
      <c r="AH1015" s="153" t="s">
        <v>6060</v>
      </c>
      <c r="AI1015" s="153" t="s">
        <v>2873</v>
      </c>
      <c r="AJ1015" s="153" t="s">
        <v>398</v>
      </c>
      <c r="AK1015" s="153"/>
    </row>
    <row r="1016">
      <c r="A1016" s="152">
        <v>2023.0</v>
      </c>
      <c r="B1016" s="151">
        <v>83.0</v>
      </c>
      <c r="C1016" s="129" t="s">
        <v>140</v>
      </c>
      <c r="D1016" s="8"/>
      <c r="E1016" s="8" t="s">
        <v>8189</v>
      </c>
      <c r="F1016" s="8" t="s">
        <v>6461</v>
      </c>
      <c r="G1016" s="8">
        <f>IFERROR(__xludf.DUMMYFUNCTION("""COMPUTED_VALUE"""),536.0)</f>
        <v>536</v>
      </c>
      <c r="H1016" s="8" t="s">
        <v>143</v>
      </c>
      <c r="I1016" s="8" t="s">
        <v>144</v>
      </c>
      <c r="J1016" s="8" t="s">
        <v>693</v>
      </c>
      <c r="K1016" s="153" t="s">
        <v>694</v>
      </c>
      <c r="L1016" s="8" t="s">
        <v>1022</v>
      </c>
      <c r="M1016" s="8" t="s">
        <v>6462</v>
      </c>
      <c r="N1016" s="142" t="s">
        <v>6457</v>
      </c>
      <c r="O1016" s="142"/>
      <c r="P1016" s="142"/>
      <c r="Q1016" s="8" t="s">
        <v>6062</v>
      </c>
      <c r="R1016" s="8" t="s">
        <v>6288</v>
      </c>
      <c r="T1016" s="8" t="s">
        <v>6463</v>
      </c>
      <c r="U1016" s="8" t="s">
        <v>6464</v>
      </c>
      <c r="V1016" s="244"/>
      <c r="W1016" s="244"/>
      <c r="X1016" s="244"/>
      <c r="Y1016" s="244"/>
      <c r="AB1016" s="8" t="s">
        <v>6113</v>
      </c>
      <c r="AE1016" s="8" t="s">
        <v>1167</v>
      </c>
      <c r="AH1016" s="8" t="s">
        <v>6214</v>
      </c>
      <c r="AI1016" s="8" t="s">
        <v>1169</v>
      </c>
      <c r="AJ1016" s="8" t="s">
        <v>1077</v>
      </c>
      <c r="AK1016" s="172" t="s">
        <v>1170</v>
      </c>
    </row>
    <row r="1017">
      <c r="A1017" s="152">
        <v>2025.0</v>
      </c>
      <c r="B1017" s="151">
        <v>83.0</v>
      </c>
      <c r="C1017" s="153" t="s">
        <v>8189</v>
      </c>
      <c r="D1017" s="153"/>
      <c r="E1017" s="153" t="s">
        <v>8301</v>
      </c>
      <c r="F1017" s="153" t="s">
        <v>6465</v>
      </c>
      <c r="G1017" s="153">
        <f>IFERROR(__xludf.DUMMYFUNCTION("""COMPUTED_VALUE"""),537.0)</f>
        <v>537</v>
      </c>
      <c r="H1017" s="153" t="s">
        <v>143</v>
      </c>
      <c r="I1017" s="153" t="s">
        <v>144</v>
      </c>
      <c r="J1017" s="153" t="s">
        <v>472</v>
      </c>
      <c r="K1017" s="153" t="s">
        <v>473</v>
      </c>
      <c r="L1017" s="153" t="s">
        <v>384</v>
      </c>
      <c r="M1017" s="153" t="s">
        <v>474</v>
      </c>
      <c r="N1017" s="175" t="s">
        <v>6051</v>
      </c>
      <c r="O1017" s="175" t="s">
        <v>6052</v>
      </c>
      <c r="P1017" s="175" t="s">
        <v>6053</v>
      </c>
      <c r="Q1017" s="153" t="s">
        <v>151</v>
      </c>
      <c r="R1017" s="153" t="s">
        <v>6054</v>
      </c>
      <c r="S1017" s="158" t="s">
        <v>6054</v>
      </c>
      <c r="T1017" s="158" t="s">
        <v>149</v>
      </c>
      <c r="U1017" s="153" t="s">
        <v>390</v>
      </c>
      <c r="V1017" s="158" t="s">
        <v>160</v>
      </c>
      <c r="W1017" s="158" t="s">
        <v>6035</v>
      </c>
      <c r="X1017" s="158" t="s">
        <v>159</v>
      </c>
      <c r="Y1017" s="158" t="s">
        <v>149</v>
      </c>
      <c r="Z1017" s="158" t="s">
        <v>149</v>
      </c>
      <c r="AA1017" s="153" t="s">
        <v>475</v>
      </c>
      <c r="AB1017" s="153" t="s">
        <v>390</v>
      </c>
      <c r="AC1017" s="153" t="s">
        <v>6035</v>
      </c>
      <c r="AD1017" s="153" t="s">
        <v>6055</v>
      </c>
      <c r="AE1017" s="153"/>
      <c r="AF1017" s="153" t="s">
        <v>6056</v>
      </c>
      <c r="AG1017" s="158" t="s">
        <v>395</v>
      </c>
      <c r="AH1017" s="153" t="s">
        <v>6060</v>
      </c>
      <c r="AI1017" s="158" t="s">
        <v>397</v>
      </c>
      <c r="AJ1017" s="153" t="s">
        <v>398</v>
      </c>
      <c r="AK1017" s="153"/>
    </row>
    <row r="1018">
      <c r="A1018" s="152">
        <v>2024.0</v>
      </c>
      <c r="B1018" s="151">
        <v>341.0</v>
      </c>
      <c r="C1018" s="153"/>
      <c r="D1018" s="153"/>
      <c r="E1018" s="153" t="s">
        <v>8189</v>
      </c>
      <c r="F1018" s="153" t="s">
        <v>8692</v>
      </c>
      <c r="G1018" s="153">
        <f>IFERROR(__xludf.DUMMYFUNCTION("""COMPUTED_VALUE"""),538.0)</f>
        <v>538</v>
      </c>
      <c r="H1018" s="153" t="s">
        <v>590</v>
      </c>
      <c r="I1018" s="153" t="s">
        <v>591</v>
      </c>
      <c r="J1018" s="153" t="s">
        <v>7288</v>
      </c>
      <c r="K1018" s="153" t="s">
        <v>593</v>
      </c>
      <c r="L1018" s="153" t="s">
        <v>384</v>
      </c>
      <c r="M1018" s="153" t="s">
        <v>598</v>
      </c>
      <c r="N1018" s="230">
        <v>1987.0</v>
      </c>
      <c r="O1018" s="230">
        <v>1985.0</v>
      </c>
      <c r="P1018" s="230">
        <v>1987.0</v>
      </c>
      <c r="Q1018" s="153" t="s">
        <v>151</v>
      </c>
      <c r="R1018" s="153" t="s">
        <v>469</v>
      </c>
      <c r="S1018" s="158" t="s">
        <v>469</v>
      </c>
      <c r="T1018" s="158" t="s">
        <v>149</v>
      </c>
      <c r="U1018" s="153" t="s">
        <v>390</v>
      </c>
      <c r="V1018" s="158" t="s">
        <v>160</v>
      </c>
      <c r="W1018" s="158" t="s">
        <v>6035</v>
      </c>
      <c r="X1018" s="158" t="s">
        <v>159</v>
      </c>
      <c r="Y1018" s="158" t="s">
        <v>149</v>
      </c>
      <c r="Z1018" s="158" t="s">
        <v>149</v>
      </c>
      <c r="AA1018" s="158" t="s">
        <v>149</v>
      </c>
      <c r="AB1018" s="153" t="s">
        <v>390</v>
      </c>
      <c r="AC1018" s="153" t="s">
        <v>6035</v>
      </c>
      <c r="AD1018" s="153" t="s">
        <v>6055</v>
      </c>
      <c r="AE1018" s="153"/>
      <c r="AF1018" s="153"/>
      <c r="AG1018" s="158" t="s">
        <v>395</v>
      </c>
      <c r="AH1018" s="153" t="s">
        <v>6060</v>
      </c>
      <c r="AI1018" s="153" t="s">
        <v>2873</v>
      </c>
      <c r="AJ1018" s="153" t="s">
        <v>398</v>
      </c>
      <c r="AK1018" s="153"/>
    </row>
    <row r="1019">
      <c r="A1019" s="152">
        <v>2023.0</v>
      </c>
      <c r="B1019" s="151">
        <v>84.0</v>
      </c>
      <c r="C1019" s="129" t="s">
        <v>140</v>
      </c>
      <c r="D1019" s="8"/>
      <c r="E1019" s="8" t="s">
        <v>8189</v>
      </c>
      <c r="F1019" s="8" t="s">
        <v>6466</v>
      </c>
      <c r="G1019" s="8">
        <f>IFERROR(__xludf.DUMMYFUNCTION("""COMPUTED_VALUE"""),539.0)</f>
        <v>539</v>
      </c>
      <c r="H1019" s="8" t="s">
        <v>143</v>
      </c>
      <c r="I1019" s="8" t="s">
        <v>144</v>
      </c>
      <c r="J1019" s="8" t="s">
        <v>693</v>
      </c>
      <c r="K1019" s="153" t="s">
        <v>694</v>
      </c>
      <c r="L1019" s="8" t="s">
        <v>6113</v>
      </c>
      <c r="M1019" s="8" t="s">
        <v>6467</v>
      </c>
      <c r="N1019" s="142" t="s">
        <v>6114</v>
      </c>
      <c r="O1019" s="142"/>
      <c r="P1019" s="142"/>
      <c r="Q1019" s="8" t="s">
        <v>6221</v>
      </c>
      <c r="T1019" s="8" t="s">
        <v>2992</v>
      </c>
      <c r="U1019" s="8" t="s">
        <v>321</v>
      </c>
      <c r="V1019" s="244"/>
      <c r="W1019" s="244"/>
      <c r="X1019" s="244"/>
      <c r="Y1019" s="244"/>
      <c r="AB1019" s="8" t="s">
        <v>233</v>
      </c>
      <c r="AD1019" s="8" t="s">
        <v>321</v>
      </c>
      <c r="AH1019" s="8" t="s">
        <v>6214</v>
      </c>
      <c r="AI1019" s="8" t="s">
        <v>2994</v>
      </c>
      <c r="AJ1019" s="8" t="s">
        <v>1061</v>
      </c>
      <c r="AK1019" s="172"/>
    </row>
    <row r="1020">
      <c r="A1020" s="152">
        <v>2025.0</v>
      </c>
      <c r="B1020" s="151">
        <v>84.0</v>
      </c>
      <c r="C1020" s="153" t="s">
        <v>8189</v>
      </c>
      <c r="D1020" s="153"/>
      <c r="E1020" s="153" t="s">
        <v>8301</v>
      </c>
      <c r="F1020" s="153" t="s">
        <v>6468</v>
      </c>
      <c r="G1020" s="153">
        <f>IFERROR(__xludf.DUMMYFUNCTION("""COMPUTED_VALUE"""),540.0)</f>
        <v>540</v>
      </c>
      <c r="H1020" s="153" t="s">
        <v>143</v>
      </c>
      <c r="I1020" s="153" t="s">
        <v>144</v>
      </c>
      <c r="J1020" s="153" t="s">
        <v>2857</v>
      </c>
      <c r="K1020" s="153" t="s">
        <v>2858</v>
      </c>
      <c r="L1020" s="153" t="s">
        <v>384</v>
      </c>
      <c r="M1020" s="153" t="s">
        <v>6469</v>
      </c>
      <c r="N1020" s="175" t="s">
        <v>6169</v>
      </c>
      <c r="O1020" s="175" t="s">
        <v>6052</v>
      </c>
      <c r="P1020" s="175" t="s">
        <v>6053</v>
      </c>
      <c r="Q1020" s="153" t="s">
        <v>151</v>
      </c>
      <c r="R1020" s="153" t="s">
        <v>6054</v>
      </c>
      <c r="S1020" s="158" t="s">
        <v>6054</v>
      </c>
      <c r="T1020" s="158" t="s">
        <v>149</v>
      </c>
      <c r="U1020" s="153" t="s">
        <v>390</v>
      </c>
      <c r="V1020" s="158" t="s">
        <v>160</v>
      </c>
      <c r="W1020" s="158" t="s">
        <v>6035</v>
      </c>
      <c r="X1020" s="158" t="s">
        <v>159</v>
      </c>
      <c r="Y1020" s="158" t="s">
        <v>149</v>
      </c>
      <c r="Z1020" s="158" t="s">
        <v>149</v>
      </c>
      <c r="AA1020" s="153" t="s">
        <v>2860</v>
      </c>
      <c r="AB1020" s="153" t="s">
        <v>390</v>
      </c>
      <c r="AC1020" s="153" t="s">
        <v>6035</v>
      </c>
      <c r="AD1020" s="153" t="s">
        <v>6055</v>
      </c>
      <c r="AE1020" s="153"/>
      <c r="AF1020" s="153"/>
      <c r="AG1020" s="158" t="s">
        <v>395</v>
      </c>
      <c r="AH1020" s="153" t="s">
        <v>6060</v>
      </c>
      <c r="AI1020" s="158" t="s">
        <v>397</v>
      </c>
      <c r="AJ1020" s="153" t="s">
        <v>398</v>
      </c>
      <c r="AK1020" s="153"/>
    </row>
    <row r="1021">
      <c r="A1021" s="152">
        <v>2024.0</v>
      </c>
      <c r="B1021" s="151">
        <v>342.0</v>
      </c>
      <c r="C1021" s="153"/>
      <c r="D1021" s="153"/>
      <c r="E1021" s="153" t="s">
        <v>8189</v>
      </c>
      <c r="F1021" s="153" t="s">
        <v>8693</v>
      </c>
      <c r="G1021" s="153">
        <f>IFERROR(__xludf.DUMMYFUNCTION("""COMPUTED_VALUE"""),541.0)</f>
        <v>541</v>
      </c>
      <c r="H1021" s="153" t="s">
        <v>590</v>
      </c>
      <c r="I1021" s="153" t="s">
        <v>769</v>
      </c>
      <c r="J1021" s="153" t="s">
        <v>7302</v>
      </c>
      <c r="K1021" s="153" t="s">
        <v>771</v>
      </c>
      <c r="L1021" s="158" t="s">
        <v>149</v>
      </c>
      <c r="M1021" s="153" t="s">
        <v>7335</v>
      </c>
      <c r="N1021" s="192" t="s">
        <v>149</v>
      </c>
      <c r="O1021" s="192" t="s">
        <v>149</v>
      </c>
      <c r="P1021" s="192" t="s">
        <v>149</v>
      </c>
      <c r="Q1021" s="153" t="s">
        <v>151</v>
      </c>
      <c r="R1021" s="158" t="s">
        <v>149</v>
      </c>
      <c r="S1021" s="158" t="s">
        <v>149</v>
      </c>
      <c r="T1021" s="158" t="s">
        <v>149</v>
      </c>
      <c r="U1021" s="158" t="s">
        <v>149</v>
      </c>
      <c r="V1021" s="158" t="s">
        <v>149</v>
      </c>
      <c r="W1021" s="158" t="s">
        <v>149</v>
      </c>
      <c r="X1021" s="158" t="s">
        <v>149</v>
      </c>
      <c r="Y1021" s="158" t="s">
        <v>149</v>
      </c>
      <c r="Z1021" s="158" t="s">
        <v>149</v>
      </c>
      <c r="AA1021" s="158" t="s">
        <v>149</v>
      </c>
      <c r="AB1021" s="158" t="s">
        <v>149</v>
      </c>
      <c r="AC1021" s="158" t="s">
        <v>149</v>
      </c>
      <c r="AD1021" s="153"/>
      <c r="AE1021" s="153"/>
      <c r="AF1021" s="153"/>
      <c r="AG1021" s="158" t="s">
        <v>6091</v>
      </c>
      <c r="AH1021" s="153" t="s">
        <v>3170</v>
      </c>
      <c r="AI1021" s="172" t="s">
        <v>3171</v>
      </c>
      <c r="AJ1021" s="153"/>
      <c r="AK1021" s="153"/>
    </row>
    <row r="1022">
      <c r="A1022" s="152">
        <v>2023.0</v>
      </c>
      <c r="B1022" s="151">
        <v>85.0</v>
      </c>
      <c r="C1022" s="129" t="s">
        <v>140</v>
      </c>
      <c r="D1022" s="8"/>
      <c r="E1022" s="8" t="s">
        <v>8189</v>
      </c>
      <c r="F1022" s="8" t="s">
        <v>6470</v>
      </c>
      <c r="G1022" s="8">
        <f>IFERROR(__xludf.DUMMYFUNCTION("""COMPUTED_VALUE"""),542.0)</f>
        <v>542</v>
      </c>
      <c r="H1022" s="8" t="s">
        <v>143</v>
      </c>
      <c r="I1022" s="8" t="s">
        <v>144</v>
      </c>
      <c r="J1022" s="8" t="s">
        <v>693</v>
      </c>
      <c r="K1022" s="153" t="s">
        <v>694</v>
      </c>
      <c r="L1022" s="8" t="s">
        <v>6113</v>
      </c>
      <c r="M1022" s="8" t="s">
        <v>6471</v>
      </c>
      <c r="N1022" s="142" t="s">
        <v>6114</v>
      </c>
      <c r="O1022" s="142" t="s">
        <v>6114</v>
      </c>
      <c r="P1022" s="142" t="s">
        <v>6151</v>
      </c>
      <c r="Q1022" s="8" t="s">
        <v>6062</v>
      </c>
      <c r="R1022" s="8" t="s">
        <v>6288</v>
      </c>
      <c r="T1022" s="8" t="s">
        <v>6472</v>
      </c>
      <c r="U1022" s="8" t="s">
        <v>321</v>
      </c>
      <c r="V1022" s="244"/>
      <c r="W1022" s="244"/>
      <c r="X1022" s="244"/>
      <c r="Y1022" s="244"/>
      <c r="AA1022" s="8" t="s">
        <v>2998</v>
      </c>
      <c r="AB1022" s="8" t="s">
        <v>233</v>
      </c>
      <c r="AD1022" s="8" t="s">
        <v>2999</v>
      </c>
      <c r="AH1022" s="8" t="s">
        <v>6214</v>
      </c>
      <c r="AI1022" s="8" t="s">
        <v>3001</v>
      </c>
      <c r="AJ1022" s="8" t="s">
        <v>245</v>
      </c>
      <c r="AK1022" s="172"/>
    </row>
    <row r="1023">
      <c r="A1023" s="152">
        <v>2025.0</v>
      </c>
      <c r="B1023" s="151">
        <v>85.0</v>
      </c>
      <c r="C1023" s="153" t="s">
        <v>8189</v>
      </c>
      <c r="D1023" s="153"/>
      <c r="E1023" s="153" t="s">
        <v>8301</v>
      </c>
      <c r="F1023" s="153" t="s">
        <v>6473</v>
      </c>
      <c r="G1023" s="153">
        <f>IFERROR(__xludf.DUMMYFUNCTION("""COMPUTED_VALUE"""),543.0)</f>
        <v>543</v>
      </c>
      <c r="H1023" s="153" t="s">
        <v>143</v>
      </c>
      <c r="I1023" s="153" t="s">
        <v>144</v>
      </c>
      <c r="J1023" s="153" t="s">
        <v>1649</v>
      </c>
      <c r="K1023" s="153" t="s">
        <v>1650</v>
      </c>
      <c r="L1023" s="153" t="s">
        <v>1651</v>
      </c>
      <c r="M1023" s="158" t="s">
        <v>1652</v>
      </c>
      <c r="N1023" s="175" t="s">
        <v>6145</v>
      </c>
      <c r="O1023" s="160" t="s">
        <v>149</v>
      </c>
      <c r="P1023" s="160" t="s">
        <v>149</v>
      </c>
      <c r="Q1023" s="153" t="s">
        <v>151</v>
      </c>
      <c r="R1023" s="158" t="s">
        <v>152</v>
      </c>
      <c r="S1023" s="158" t="s">
        <v>152</v>
      </c>
      <c r="T1023" s="153" t="s">
        <v>8694</v>
      </c>
      <c r="U1023" s="153" t="s">
        <v>369</v>
      </c>
      <c r="V1023" s="158" t="s">
        <v>160</v>
      </c>
      <c r="W1023" s="158" t="s">
        <v>6035</v>
      </c>
      <c r="X1023" s="158" t="s">
        <v>159</v>
      </c>
      <c r="Y1023" s="158" t="s">
        <v>149</v>
      </c>
      <c r="Z1023" s="158" t="s">
        <v>149</v>
      </c>
      <c r="AA1023" s="158" t="s">
        <v>162</v>
      </c>
      <c r="AB1023" s="153" t="s">
        <v>369</v>
      </c>
      <c r="AC1023" s="153" t="s">
        <v>6035</v>
      </c>
      <c r="AD1023" s="153" t="s">
        <v>6476</v>
      </c>
      <c r="AE1023" s="153"/>
      <c r="AF1023" s="153"/>
      <c r="AG1023" s="158" t="s">
        <v>166</v>
      </c>
      <c r="AH1023" s="153" t="s">
        <v>8695</v>
      </c>
      <c r="AI1023" s="165" t="s">
        <v>1657</v>
      </c>
      <c r="AJ1023" s="153"/>
      <c r="AK1023" s="153"/>
    </row>
    <row r="1024">
      <c r="A1024" s="152">
        <v>2024.0</v>
      </c>
      <c r="B1024" s="151">
        <v>343.0</v>
      </c>
      <c r="C1024" s="153"/>
      <c r="D1024" s="153"/>
      <c r="E1024" s="153" t="s">
        <v>8189</v>
      </c>
      <c r="F1024" s="153" t="s">
        <v>8696</v>
      </c>
      <c r="G1024" s="153">
        <f>IFERROR(__xludf.DUMMYFUNCTION("""COMPUTED_VALUE"""),544.0)</f>
        <v>544</v>
      </c>
      <c r="H1024" s="153" t="s">
        <v>590</v>
      </c>
      <c r="I1024" s="153" t="s">
        <v>769</v>
      </c>
      <c r="J1024" s="153" t="s">
        <v>7302</v>
      </c>
      <c r="K1024" s="153" t="s">
        <v>771</v>
      </c>
      <c r="L1024" s="153" t="s">
        <v>772</v>
      </c>
      <c r="M1024" s="153"/>
      <c r="N1024" s="192">
        <v>2021.0</v>
      </c>
      <c r="O1024" s="192" t="s">
        <v>149</v>
      </c>
      <c r="P1024" s="192" t="s">
        <v>149</v>
      </c>
      <c r="Q1024" s="153" t="s">
        <v>151</v>
      </c>
      <c r="R1024" s="158" t="s">
        <v>149</v>
      </c>
      <c r="S1024" s="158" t="s">
        <v>149</v>
      </c>
      <c r="T1024" s="158" t="s">
        <v>149</v>
      </c>
      <c r="U1024" s="158" t="s">
        <v>149</v>
      </c>
      <c r="V1024" s="158" t="s">
        <v>149</v>
      </c>
      <c r="W1024" s="158" t="s">
        <v>149</v>
      </c>
      <c r="X1024" s="158" t="s">
        <v>149</v>
      </c>
      <c r="Y1024" s="158" t="s">
        <v>149</v>
      </c>
      <c r="Z1024" s="158" t="s">
        <v>149</v>
      </c>
      <c r="AA1024" s="158" t="s">
        <v>149</v>
      </c>
      <c r="AB1024" s="153" t="s">
        <v>760</v>
      </c>
      <c r="AC1024" s="153" t="s">
        <v>6035</v>
      </c>
      <c r="AD1024" s="153"/>
      <c r="AE1024" s="153" t="s">
        <v>773</v>
      </c>
      <c r="AF1024" s="153"/>
      <c r="AG1024" s="153" t="s">
        <v>6038</v>
      </c>
      <c r="AH1024" s="153" t="s">
        <v>774</v>
      </c>
      <c r="AI1024" s="165" t="s">
        <v>775</v>
      </c>
      <c r="AJ1024" s="153"/>
      <c r="AK1024" s="153"/>
    </row>
    <row r="1025">
      <c r="A1025" s="152">
        <v>2023.0</v>
      </c>
      <c r="B1025" s="151">
        <v>86.0</v>
      </c>
      <c r="C1025" s="129" t="s">
        <v>140</v>
      </c>
      <c r="D1025" s="8"/>
      <c r="E1025" s="8" t="s">
        <v>8189</v>
      </c>
      <c r="F1025" s="8" t="s">
        <v>6478</v>
      </c>
      <c r="G1025" s="8">
        <f>IFERROR(__xludf.DUMMYFUNCTION("""COMPUTED_VALUE"""),545.0)</f>
        <v>545</v>
      </c>
      <c r="H1025" s="8" t="s">
        <v>143</v>
      </c>
      <c r="I1025" s="8" t="s">
        <v>144</v>
      </c>
      <c r="J1025" s="8" t="s">
        <v>693</v>
      </c>
      <c r="K1025" s="153" t="s">
        <v>694</v>
      </c>
      <c r="L1025" s="8" t="s">
        <v>6433</v>
      </c>
      <c r="M1025" s="8" t="s">
        <v>6479</v>
      </c>
      <c r="N1025" s="142" t="s">
        <v>6415</v>
      </c>
      <c r="O1025" s="142" t="s">
        <v>6415</v>
      </c>
      <c r="P1025" s="142" t="s">
        <v>6114</v>
      </c>
      <c r="Q1025" s="8" t="s">
        <v>6259</v>
      </c>
      <c r="R1025" s="8" t="s">
        <v>6480</v>
      </c>
      <c r="T1025" s="8" t="s">
        <v>1073</v>
      </c>
      <c r="U1025" s="8" t="s">
        <v>1020</v>
      </c>
      <c r="V1025" s="244"/>
      <c r="W1025" s="244"/>
      <c r="X1025" s="244"/>
      <c r="Y1025" s="244"/>
      <c r="AA1025" s="8" t="s">
        <v>1074</v>
      </c>
      <c r="AB1025" s="8" t="s">
        <v>233</v>
      </c>
      <c r="AH1025" s="8" t="s">
        <v>6214</v>
      </c>
      <c r="AI1025" s="8" t="s">
        <v>1076</v>
      </c>
      <c r="AJ1025" s="8" t="s">
        <v>1077</v>
      </c>
      <c r="AK1025" s="172" t="s">
        <v>1078</v>
      </c>
    </row>
    <row r="1026">
      <c r="A1026" s="152">
        <v>2025.0</v>
      </c>
      <c r="B1026" s="151">
        <v>86.0</v>
      </c>
      <c r="C1026" s="153" t="s">
        <v>8189</v>
      </c>
      <c r="D1026" s="153"/>
      <c r="E1026" s="153" t="s">
        <v>8301</v>
      </c>
      <c r="F1026" s="153" t="s">
        <v>6481</v>
      </c>
      <c r="G1026" s="153">
        <f>IFERROR(__xludf.DUMMYFUNCTION("""COMPUTED_VALUE"""),546.0)</f>
        <v>546</v>
      </c>
      <c r="H1026" s="153" t="s">
        <v>143</v>
      </c>
      <c r="I1026" s="153" t="s">
        <v>144</v>
      </c>
      <c r="J1026" s="153" t="s">
        <v>2545</v>
      </c>
      <c r="K1026" s="153" t="s">
        <v>2546</v>
      </c>
      <c r="L1026" s="158" t="s">
        <v>149</v>
      </c>
      <c r="M1026" s="153"/>
      <c r="N1026" s="175" t="s">
        <v>6098</v>
      </c>
      <c r="O1026" s="160" t="s">
        <v>149</v>
      </c>
      <c r="P1026" s="160" t="s">
        <v>149</v>
      </c>
      <c r="Q1026" s="153" t="s">
        <v>151</v>
      </c>
      <c r="R1026" s="158" t="s">
        <v>153</v>
      </c>
      <c r="S1026" s="158" t="s">
        <v>153</v>
      </c>
      <c r="T1026" s="158" t="s">
        <v>6482</v>
      </c>
      <c r="U1026" s="158" t="s">
        <v>149</v>
      </c>
      <c r="V1026" s="158" t="s">
        <v>149</v>
      </c>
      <c r="W1026" s="158" t="s">
        <v>149</v>
      </c>
      <c r="X1026" s="158" t="s">
        <v>159</v>
      </c>
      <c r="Y1026" s="158" t="s">
        <v>149</v>
      </c>
      <c r="Z1026" s="158" t="s">
        <v>149</v>
      </c>
      <c r="AA1026" s="158" t="s">
        <v>2548</v>
      </c>
      <c r="AB1026" s="158" t="s">
        <v>149</v>
      </c>
      <c r="AC1026" s="158" t="s">
        <v>149</v>
      </c>
      <c r="AD1026" s="153" t="s">
        <v>8697</v>
      </c>
      <c r="AE1026" s="153"/>
      <c r="AF1026" s="153"/>
      <c r="AG1026" s="158" t="s">
        <v>166</v>
      </c>
      <c r="AH1026" s="153" t="s">
        <v>6484</v>
      </c>
      <c r="AI1026" s="177" t="s">
        <v>6485</v>
      </c>
      <c r="AJ1026" s="153"/>
      <c r="AK1026" s="153"/>
    </row>
    <row r="1027">
      <c r="A1027" s="152">
        <v>2024.0</v>
      </c>
      <c r="B1027" s="151">
        <v>344.0</v>
      </c>
      <c r="C1027" s="153"/>
      <c r="D1027" s="153"/>
      <c r="E1027" s="153" t="s">
        <v>8189</v>
      </c>
      <c r="F1027" s="153" t="s">
        <v>8698</v>
      </c>
      <c r="G1027" s="153">
        <f>IFERROR(__xludf.DUMMYFUNCTION("""COMPUTED_VALUE"""),547.0)</f>
        <v>547</v>
      </c>
      <c r="H1027" s="153" t="s">
        <v>590</v>
      </c>
      <c r="I1027" s="153" t="s">
        <v>769</v>
      </c>
      <c r="J1027" s="153" t="s">
        <v>7312</v>
      </c>
      <c r="K1027" s="153" t="s">
        <v>1518</v>
      </c>
      <c r="L1027" s="153" t="s">
        <v>1683</v>
      </c>
      <c r="M1027" s="153"/>
      <c r="N1027" s="192">
        <v>2015.0</v>
      </c>
      <c r="O1027" s="230">
        <v>2014.0</v>
      </c>
      <c r="P1027" s="230">
        <v>2016.0</v>
      </c>
      <c r="Q1027" s="153" t="s">
        <v>6062</v>
      </c>
      <c r="R1027" s="158" t="s">
        <v>149</v>
      </c>
      <c r="S1027" s="158" t="s">
        <v>149</v>
      </c>
      <c r="T1027" s="158" t="s">
        <v>149</v>
      </c>
      <c r="U1027" s="153" t="s">
        <v>321</v>
      </c>
      <c r="V1027" s="158" t="s">
        <v>160</v>
      </c>
      <c r="W1027" s="158" t="s">
        <v>6035</v>
      </c>
      <c r="X1027" s="158" t="s">
        <v>159</v>
      </c>
      <c r="Y1027" s="158" t="s">
        <v>149</v>
      </c>
      <c r="Z1027" s="158" t="s">
        <v>149</v>
      </c>
      <c r="AA1027" s="153" t="s">
        <v>1719</v>
      </c>
      <c r="AB1027" s="153" t="s">
        <v>326</v>
      </c>
      <c r="AC1027" s="158" t="s">
        <v>271</v>
      </c>
      <c r="AD1027" s="153" t="s">
        <v>1720</v>
      </c>
      <c r="AE1027" s="153"/>
      <c r="AF1027" s="153"/>
      <c r="AG1027" s="158" t="s">
        <v>6069</v>
      </c>
      <c r="AH1027" s="153" t="s">
        <v>1300</v>
      </c>
      <c r="AI1027" s="153" t="s">
        <v>7029</v>
      </c>
      <c r="AJ1027" s="153" t="s">
        <v>1722</v>
      </c>
      <c r="AK1027" s="165" t="s">
        <v>1723</v>
      </c>
    </row>
    <row r="1028">
      <c r="A1028" s="152">
        <v>2023.0</v>
      </c>
      <c r="B1028" s="151">
        <v>87.0</v>
      </c>
      <c r="C1028" s="129" t="s">
        <v>140</v>
      </c>
      <c r="D1028" s="8"/>
      <c r="E1028" s="8" t="s">
        <v>8189</v>
      </c>
      <c r="F1028" s="8" t="s">
        <v>6486</v>
      </c>
      <c r="G1028" s="8">
        <f>IFERROR(__xludf.DUMMYFUNCTION("""COMPUTED_VALUE"""),548.0)</f>
        <v>548</v>
      </c>
      <c r="H1028" s="8" t="s">
        <v>143</v>
      </c>
      <c r="I1028" s="8" t="s">
        <v>144</v>
      </c>
      <c r="J1028" s="8" t="s">
        <v>693</v>
      </c>
      <c r="K1028" s="153" t="s">
        <v>694</v>
      </c>
      <c r="L1028" s="8" t="s">
        <v>6433</v>
      </c>
      <c r="M1028" s="8" t="s">
        <v>6454</v>
      </c>
      <c r="N1028" s="142" t="s">
        <v>6392</v>
      </c>
      <c r="O1028" s="142" t="s">
        <v>6392</v>
      </c>
      <c r="P1028" s="142" t="s">
        <v>6404</v>
      </c>
      <c r="Q1028" s="8" t="s">
        <v>6062</v>
      </c>
      <c r="R1028" s="8" t="s">
        <v>6487</v>
      </c>
      <c r="T1028" s="8" t="s">
        <v>1049</v>
      </c>
      <c r="U1028" s="8" t="s">
        <v>1020</v>
      </c>
      <c r="V1028" s="244"/>
      <c r="W1028" s="244"/>
      <c r="X1028" s="244"/>
      <c r="Y1028" s="244"/>
      <c r="AA1028" s="8" t="s">
        <v>1050</v>
      </c>
      <c r="AB1028" s="8" t="s">
        <v>233</v>
      </c>
      <c r="AE1028" s="8" t="s">
        <v>1022</v>
      </c>
      <c r="AH1028" s="8" t="s">
        <v>6214</v>
      </c>
      <c r="AI1028" s="8" t="s">
        <v>1052</v>
      </c>
      <c r="AJ1028" s="8" t="s">
        <v>245</v>
      </c>
      <c r="AK1028" s="172"/>
    </row>
    <row r="1029">
      <c r="A1029" s="152">
        <v>2025.0</v>
      </c>
      <c r="B1029" s="151">
        <v>87.0</v>
      </c>
      <c r="C1029" s="153" t="s">
        <v>8189</v>
      </c>
      <c r="D1029" s="153"/>
      <c r="E1029" s="153" t="s">
        <v>8301</v>
      </c>
      <c r="F1029" s="153" t="s">
        <v>6488</v>
      </c>
      <c r="G1029" s="153">
        <f>IFERROR(__xludf.DUMMYFUNCTION("""COMPUTED_VALUE"""),549.0)</f>
        <v>549</v>
      </c>
      <c r="H1029" s="153" t="s">
        <v>143</v>
      </c>
      <c r="I1029" s="153" t="s">
        <v>144</v>
      </c>
      <c r="J1029" s="153" t="s">
        <v>477</v>
      </c>
      <c r="K1029" s="153" t="s">
        <v>478</v>
      </c>
      <c r="L1029" s="153" t="s">
        <v>384</v>
      </c>
      <c r="M1029" s="153" t="s">
        <v>479</v>
      </c>
      <c r="N1029" s="175" t="s">
        <v>6052</v>
      </c>
      <c r="O1029" s="175" t="s">
        <v>6052</v>
      </c>
      <c r="P1029" s="175" t="s">
        <v>6053</v>
      </c>
      <c r="Q1029" s="153" t="s">
        <v>151</v>
      </c>
      <c r="R1029" s="153" t="s">
        <v>6054</v>
      </c>
      <c r="S1029" s="158" t="s">
        <v>6054</v>
      </c>
      <c r="T1029" s="158" t="s">
        <v>149</v>
      </c>
      <c r="U1029" s="153" t="s">
        <v>390</v>
      </c>
      <c r="V1029" s="158" t="s">
        <v>160</v>
      </c>
      <c r="W1029" s="158" t="s">
        <v>6035</v>
      </c>
      <c r="X1029" s="158" t="s">
        <v>159</v>
      </c>
      <c r="Y1029" s="158" t="s">
        <v>149</v>
      </c>
      <c r="Z1029" s="158" t="s">
        <v>149</v>
      </c>
      <c r="AA1029" s="153" t="s">
        <v>391</v>
      </c>
      <c r="AB1029" s="153" t="s">
        <v>390</v>
      </c>
      <c r="AC1029" s="153" t="s">
        <v>6035</v>
      </c>
      <c r="AD1029" s="153" t="s">
        <v>6055</v>
      </c>
      <c r="AE1029" s="153"/>
      <c r="AF1029" s="153" t="s">
        <v>6056</v>
      </c>
      <c r="AG1029" s="158" t="s">
        <v>395</v>
      </c>
      <c r="AH1029" s="153" t="s">
        <v>6060</v>
      </c>
      <c r="AI1029" s="158" t="s">
        <v>397</v>
      </c>
      <c r="AJ1029" s="153" t="s">
        <v>398</v>
      </c>
      <c r="AK1029" s="153"/>
    </row>
    <row r="1030">
      <c r="A1030" s="152">
        <v>2024.0</v>
      </c>
      <c r="B1030" s="151">
        <v>345.0</v>
      </c>
      <c r="C1030" s="153"/>
      <c r="D1030" s="153"/>
      <c r="E1030" s="153" t="s">
        <v>8189</v>
      </c>
      <c r="F1030" s="153" t="s">
        <v>8699</v>
      </c>
      <c r="G1030" s="153">
        <f>IFERROR(__xludf.DUMMYFUNCTION("""COMPUTED_VALUE"""),550.0)</f>
        <v>550</v>
      </c>
      <c r="H1030" s="153" t="s">
        <v>590</v>
      </c>
      <c r="I1030" s="153" t="s">
        <v>769</v>
      </c>
      <c r="J1030" s="153" t="s">
        <v>7312</v>
      </c>
      <c r="K1030" s="153" t="s">
        <v>1518</v>
      </c>
      <c r="L1030" s="153" t="s">
        <v>1519</v>
      </c>
      <c r="M1030" s="153"/>
      <c r="N1030" s="230">
        <v>2020.0</v>
      </c>
      <c r="O1030" s="192" t="s">
        <v>149</v>
      </c>
      <c r="P1030" s="192" t="s">
        <v>149</v>
      </c>
      <c r="Q1030" s="153" t="s">
        <v>151</v>
      </c>
      <c r="R1030" s="158" t="s">
        <v>3376</v>
      </c>
      <c r="S1030" s="158" t="s">
        <v>152</v>
      </c>
      <c r="T1030" s="158" t="s">
        <v>1522</v>
      </c>
      <c r="U1030" s="158" t="s">
        <v>1523</v>
      </c>
      <c r="V1030" s="158" t="s">
        <v>160</v>
      </c>
      <c r="W1030" s="158" t="s">
        <v>6035</v>
      </c>
      <c r="X1030" s="158" t="s">
        <v>159</v>
      </c>
      <c r="Y1030" s="158" t="s">
        <v>149</v>
      </c>
      <c r="Z1030" s="158" t="s">
        <v>149</v>
      </c>
      <c r="AA1030" s="158" t="s">
        <v>7344</v>
      </c>
      <c r="AB1030" s="153" t="s">
        <v>1523</v>
      </c>
      <c r="AC1030" s="153" t="s">
        <v>6035</v>
      </c>
      <c r="AD1030" s="153" t="s">
        <v>7345</v>
      </c>
      <c r="AE1030" s="153"/>
      <c r="AF1030" s="153"/>
      <c r="AG1030" s="158" t="s">
        <v>166</v>
      </c>
      <c r="AH1030" s="153" t="s">
        <v>7346</v>
      </c>
      <c r="AI1030" s="165" t="s">
        <v>1527</v>
      </c>
      <c r="AJ1030" s="153"/>
      <c r="AK1030" s="153"/>
    </row>
    <row r="1031">
      <c r="A1031" s="152">
        <v>2024.0</v>
      </c>
      <c r="B1031" s="151">
        <v>346.0</v>
      </c>
      <c r="C1031" s="153"/>
      <c r="D1031" s="153"/>
      <c r="E1031" s="153" t="s">
        <v>8189</v>
      </c>
      <c r="F1031" s="153" t="s">
        <v>8700</v>
      </c>
      <c r="G1031" s="153">
        <f>IFERROR(__xludf.DUMMYFUNCTION("""COMPUTED_VALUE"""),551.0)</f>
        <v>551</v>
      </c>
      <c r="H1031" s="153" t="s">
        <v>171</v>
      </c>
      <c r="I1031" s="153" t="s">
        <v>1725</v>
      </c>
      <c r="J1031" s="153" t="s">
        <v>1726</v>
      </c>
      <c r="K1031" s="153" t="s">
        <v>1727</v>
      </c>
      <c r="L1031" s="153" t="s">
        <v>1683</v>
      </c>
      <c r="M1031" s="153"/>
      <c r="N1031" s="192">
        <v>2015.0</v>
      </c>
      <c r="O1031" s="230">
        <v>2014.0</v>
      </c>
      <c r="P1031" s="230">
        <v>2016.0</v>
      </c>
      <c r="Q1031" s="153" t="s">
        <v>6062</v>
      </c>
      <c r="R1031" s="158" t="s">
        <v>149</v>
      </c>
      <c r="S1031" s="158" t="s">
        <v>149</v>
      </c>
      <c r="T1031" s="158" t="s">
        <v>149</v>
      </c>
      <c r="U1031" s="153" t="s">
        <v>321</v>
      </c>
      <c r="V1031" s="158" t="s">
        <v>160</v>
      </c>
      <c r="W1031" s="158" t="s">
        <v>6035</v>
      </c>
      <c r="X1031" s="158" t="s">
        <v>159</v>
      </c>
      <c r="Y1031" s="158" t="s">
        <v>149</v>
      </c>
      <c r="Z1031" s="158" t="s">
        <v>149</v>
      </c>
      <c r="AA1031" s="153" t="s">
        <v>1728</v>
      </c>
      <c r="AB1031" s="153" t="s">
        <v>326</v>
      </c>
      <c r="AC1031" s="158" t="s">
        <v>271</v>
      </c>
      <c r="AD1031" s="153" t="s">
        <v>1729</v>
      </c>
      <c r="AE1031" s="153"/>
      <c r="AF1031" s="153"/>
      <c r="AG1031" s="158" t="s">
        <v>6069</v>
      </c>
      <c r="AH1031" s="153" t="s">
        <v>1300</v>
      </c>
      <c r="AI1031" s="153" t="s">
        <v>7029</v>
      </c>
      <c r="AJ1031" s="153" t="s">
        <v>1722</v>
      </c>
      <c r="AK1031" s="165" t="s">
        <v>1723</v>
      </c>
    </row>
    <row r="1032">
      <c r="A1032" s="152">
        <v>2023.0</v>
      </c>
      <c r="B1032" s="151">
        <v>88.0</v>
      </c>
      <c r="C1032" s="129" t="s">
        <v>140</v>
      </c>
      <c r="D1032" s="8"/>
      <c r="E1032" s="8" t="s">
        <v>8189</v>
      </c>
      <c r="F1032" s="8" t="s">
        <v>6489</v>
      </c>
      <c r="G1032" s="8">
        <f>IFERROR(__xludf.DUMMYFUNCTION("""COMPUTED_VALUE"""),552.0)</f>
        <v>552</v>
      </c>
      <c r="H1032" s="8" t="s">
        <v>143</v>
      </c>
      <c r="I1032" s="8" t="s">
        <v>144</v>
      </c>
      <c r="J1032" s="8" t="s">
        <v>693</v>
      </c>
      <c r="K1032" s="153" t="s">
        <v>694</v>
      </c>
      <c r="L1032" s="8" t="s">
        <v>6113</v>
      </c>
      <c r="M1032" s="8" t="s">
        <v>6490</v>
      </c>
      <c r="N1032" s="142" t="s">
        <v>6268</v>
      </c>
      <c r="O1032" s="142"/>
      <c r="P1032" s="142"/>
      <c r="Q1032" s="8" t="s">
        <v>6221</v>
      </c>
      <c r="T1032" s="8" t="s">
        <v>3005</v>
      </c>
      <c r="U1032" s="8" t="s">
        <v>6491</v>
      </c>
      <c r="V1032" s="244"/>
      <c r="W1032" s="244"/>
      <c r="X1032" s="244"/>
      <c r="Y1032" s="244"/>
      <c r="AB1032" s="8" t="s">
        <v>233</v>
      </c>
      <c r="AH1032" s="8" t="s">
        <v>6214</v>
      </c>
      <c r="AI1032" s="8" t="s">
        <v>3007</v>
      </c>
      <c r="AJ1032" s="8" t="s">
        <v>3008</v>
      </c>
      <c r="AK1032" s="172"/>
    </row>
    <row r="1033">
      <c r="A1033" s="152">
        <v>2023.0</v>
      </c>
      <c r="B1033" s="151">
        <v>89.0</v>
      </c>
      <c r="C1033" s="129" t="s">
        <v>140</v>
      </c>
      <c r="D1033" s="8"/>
      <c r="E1033" s="8" t="s">
        <v>8189</v>
      </c>
      <c r="F1033" s="8" t="s">
        <v>6494</v>
      </c>
      <c r="G1033" s="8">
        <f>IFERROR(__xludf.DUMMYFUNCTION("""COMPUTED_VALUE"""),553.0)</f>
        <v>553</v>
      </c>
      <c r="H1033" s="8" t="s">
        <v>143</v>
      </c>
      <c r="I1033" s="8" t="s">
        <v>144</v>
      </c>
      <c r="J1033" s="8" t="s">
        <v>472</v>
      </c>
      <c r="K1033" s="277" t="s">
        <v>473</v>
      </c>
      <c r="L1033" s="8" t="s">
        <v>384</v>
      </c>
      <c r="M1033" s="8" t="s">
        <v>474</v>
      </c>
      <c r="N1033" s="142" t="s">
        <v>6051</v>
      </c>
      <c r="O1033" s="142" t="s">
        <v>6052</v>
      </c>
      <c r="P1033" s="142" t="s">
        <v>6053</v>
      </c>
      <c r="Q1033" s="8" t="s">
        <v>151</v>
      </c>
      <c r="R1033" s="8" t="s">
        <v>6054</v>
      </c>
      <c r="U1033" s="8" t="s">
        <v>390</v>
      </c>
      <c r="AA1033" s="8" t="s">
        <v>475</v>
      </c>
      <c r="AB1033" s="8" t="s">
        <v>390</v>
      </c>
      <c r="AD1033" s="8" t="s">
        <v>6055</v>
      </c>
      <c r="AF1033" s="8" t="s">
        <v>6056</v>
      </c>
      <c r="AH1033" s="8" t="s">
        <v>6057</v>
      </c>
      <c r="AI1033" s="8" t="s">
        <v>2873</v>
      </c>
      <c r="AJ1033" s="8" t="s">
        <v>398</v>
      </c>
    </row>
    <row r="1034">
      <c r="A1034" s="152">
        <v>2024.0</v>
      </c>
      <c r="B1034" s="151">
        <v>347.0</v>
      </c>
      <c r="C1034" s="153"/>
      <c r="D1034" s="153"/>
      <c r="E1034" s="153" t="s">
        <v>8189</v>
      </c>
      <c r="F1034" s="153" t="s">
        <v>8701</v>
      </c>
      <c r="G1034" s="153">
        <f>IFERROR(__xludf.DUMMYFUNCTION("""COMPUTED_VALUE"""),554.0)</f>
        <v>554</v>
      </c>
      <c r="H1034" s="153" t="s">
        <v>171</v>
      </c>
      <c r="I1034" s="153" t="s">
        <v>1725</v>
      </c>
      <c r="J1034" s="153" t="s">
        <v>1726</v>
      </c>
      <c r="K1034" s="153" t="s">
        <v>1727</v>
      </c>
      <c r="L1034" s="153" t="s">
        <v>1785</v>
      </c>
      <c r="M1034" s="153" t="s">
        <v>1792</v>
      </c>
      <c r="N1034" s="230">
        <v>2013.0</v>
      </c>
      <c r="O1034" s="192" t="s">
        <v>149</v>
      </c>
      <c r="P1034" s="192" t="s">
        <v>149</v>
      </c>
      <c r="Q1034" s="153" t="s">
        <v>151</v>
      </c>
      <c r="R1034" s="153" t="s">
        <v>851</v>
      </c>
      <c r="S1034" s="158" t="s">
        <v>851</v>
      </c>
      <c r="T1034" s="158" t="s">
        <v>149</v>
      </c>
      <c r="U1034" s="153" t="s">
        <v>341</v>
      </c>
      <c r="V1034" s="158" t="s">
        <v>160</v>
      </c>
      <c r="W1034" s="158" t="s">
        <v>6035</v>
      </c>
      <c r="X1034" s="158" t="s">
        <v>159</v>
      </c>
      <c r="Y1034" s="158" t="s">
        <v>149</v>
      </c>
      <c r="Z1034" s="158" t="s">
        <v>149</v>
      </c>
      <c r="AA1034" s="158" t="s">
        <v>149</v>
      </c>
      <c r="AB1034" s="153" t="s">
        <v>369</v>
      </c>
      <c r="AC1034" s="153" t="s">
        <v>6035</v>
      </c>
      <c r="AD1034" s="153" t="s">
        <v>341</v>
      </c>
      <c r="AE1034" s="153" t="s">
        <v>1793</v>
      </c>
      <c r="AF1034" s="153"/>
      <c r="AG1034" s="158" t="s">
        <v>166</v>
      </c>
      <c r="AH1034" s="153" t="s">
        <v>1789</v>
      </c>
      <c r="AI1034" s="165" t="s">
        <v>1790</v>
      </c>
      <c r="AJ1034" s="153"/>
      <c r="AK1034" s="153"/>
    </row>
    <row r="1035">
      <c r="A1035" s="152">
        <v>2023.0</v>
      </c>
      <c r="B1035" s="151">
        <v>90.0</v>
      </c>
      <c r="C1035" s="129" t="s">
        <v>140</v>
      </c>
      <c r="D1035" s="8"/>
      <c r="E1035" s="8" t="s">
        <v>8189</v>
      </c>
      <c r="F1035" s="8" t="s">
        <v>6497</v>
      </c>
      <c r="G1035" s="8">
        <f>IFERROR(__xludf.DUMMYFUNCTION("""COMPUTED_VALUE"""),555.0)</f>
        <v>555</v>
      </c>
      <c r="H1035" s="8" t="s">
        <v>143</v>
      </c>
      <c r="I1035" s="8" t="s">
        <v>144</v>
      </c>
      <c r="J1035" s="8" t="s">
        <v>2857</v>
      </c>
      <c r="K1035" s="277" t="s">
        <v>2858</v>
      </c>
      <c r="L1035" s="8" t="s">
        <v>384</v>
      </c>
      <c r="M1035" s="8" t="s">
        <v>6469</v>
      </c>
      <c r="N1035" s="278" t="s">
        <v>6169</v>
      </c>
      <c r="O1035" s="142" t="s">
        <v>6052</v>
      </c>
      <c r="P1035" s="142" t="s">
        <v>6053</v>
      </c>
      <c r="Q1035" s="8" t="s">
        <v>151</v>
      </c>
      <c r="R1035" s="8" t="s">
        <v>6054</v>
      </c>
      <c r="U1035" s="8" t="s">
        <v>390</v>
      </c>
      <c r="AA1035" s="8" t="s">
        <v>2860</v>
      </c>
      <c r="AB1035" s="8" t="s">
        <v>390</v>
      </c>
      <c r="AD1035" s="8" t="s">
        <v>6055</v>
      </c>
      <c r="AH1035" s="8" t="s">
        <v>6057</v>
      </c>
      <c r="AI1035" s="8" t="s">
        <v>2873</v>
      </c>
      <c r="AJ1035" s="8" t="s">
        <v>398</v>
      </c>
      <c r="AL1035" s="8" t="s">
        <v>6109</v>
      </c>
    </row>
    <row r="1036">
      <c r="A1036" s="152">
        <v>2023.0</v>
      </c>
      <c r="B1036" s="151">
        <v>91.0</v>
      </c>
      <c r="C1036" s="129" t="s">
        <v>140</v>
      </c>
      <c r="D1036" s="8"/>
      <c r="E1036" s="8" t="s">
        <v>8189</v>
      </c>
      <c r="F1036" s="8" t="s">
        <v>6500</v>
      </c>
      <c r="G1036" s="8">
        <f>IFERROR(__xludf.DUMMYFUNCTION("""COMPUTED_VALUE"""),556.0)</f>
        <v>556</v>
      </c>
      <c r="H1036" s="8" t="s">
        <v>143</v>
      </c>
      <c r="I1036" s="8" t="s">
        <v>144</v>
      </c>
      <c r="J1036" s="8" t="s">
        <v>1649</v>
      </c>
      <c r="K1036" s="153" t="s">
        <v>1650</v>
      </c>
      <c r="L1036" s="8" t="s">
        <v>6113</v>
      </c>
      <c r="N1036" s="142" t="s">
        <v>6152</v>
      </c>
      <c r="O1036" s="142"/>
      <c r="P1036" s="142"/>
      <c r="Q1036" s="8" t="s">
        <v>151</v>
      </c>
      <c r="AB1036" s="8" t="s">
        <v>390</v>
      </c>
      <c r="AD1036" s="8" t="s">
        <v>158</v>
      </c>
    </row>
    <row r="1037">
      <c r="A1037" s="152">
        <v>2024.0</v>
      </c>
      <c r="B1037" s="151">
        <v>348.0</v>
      </c>
      <c r="C1037" s="153"/>
      <c r="D1037" s="153"/>
      <c r="E1037" s="153" t="s">
        <v>8189</v>
      </c>
      <c r="F1037" s="153" t="s">
        <v>8702</v>
      </c>
      <c r="G1037" s="153">
        <f>IFERROR(__xludf.DUMMYFUNCTION("""COMPUTED_VALUE"""),557.0)</f>
        <v>557</v>
      </c>
      <c r="H1037" s="153" t="s">
        <v>171</v>
      </c>
      <c r="I1037" s="153" t="s">
        <v>1725</v>
      </c>
      <c r="J1037" s="153" t="s">
        <v>1806</v>
      </c>
      <c r="K1037" s="153" t="s">
        <v>1807</v>
      </c>
      <c r="L1037" s="158" t="s">
        <v>1808</v>
      </c>
      <c r="M1037" s="153" t="s">
        <v>1809</v>
      </c>
      <c r="N1037" s="230">
        <v>2021.0</v>
      </c>
      <c r="O1037" s="192" t="s">
        <v>149</v>
      </c>
      <c r="P1037" s="192" t="s">
        <v>149</v>
      </c>
      <c r="Q1037" s="153" t="s">
        <v>151</v>
      </c>
      <c r="R1037" s="158" t="s">
        <v>911</v>
      </c>
      <c r="S1037" s="158" t="s">
        <v>152</v>
      </c>
      <c r="T1037" s="158" t="s">
        <v>149</v>
      </c>
      <c r="U1037" s="158" t="s">
        <v>149</v>
      </c>
      <c r="V1037" s="158" t="s">
        <v>160</v>
      </c>
      <c r="W1037" s="158" t="s">
        <v>6035</v>
      </c>
      <c r="X1037" s="158" t="s">
        <v>159</v>
      </c>
      <c r="Y1037" s="158" t="s">
        <v>149</v>
      </c>
      <c r="Z1037" s="158" t="s">
        <v>149</v>
      </c>
      <c r="AA1037" s="158" t="s">
        <v>149</v>
      </c>
      <c r="AB1037" s="153" t="s">
        <v>8703</v>
      </c>
      <c r="AC1037" s="153" t="s">
        <v>6035</v>
      </c>
      <c r="AD1037" s="153" t="s">
        <v>1811</v>
      </c>
      <c r="AE1037" s="153" t="s">
        <v>7328</v>
      </c>
      <c r="AF1037" s="153"/>
      <c r="AG1037" s="158" t="s">
        <v>166</v>
      </c>
      <c r="AH1037" s="153" t="s">
        <v>1813</v>
      </c>
      <c r="AI1037" s="172" t="s">
        <v>1814</v>
      </c>
      <c r="AJ1037" s="153"/>
      <c r="AK1037" s="153"/>
    </row>
    <row r="1038">
      <c r="A1038" s="152">
        <v>2023.0</v>
      </c>
      <c r="B1038" s="151">
        <v>92.0</v>
      </c>
      <c r="C1038" s="129" t="s">
        <v>140</v>
      </c>
      <c r="D1038" s="8"/>
      <c r="E1038" s="8" t="s">
        <v>8189</v>
      </c>
      <c r="F1038" s="8" t="s">
        <v>6502</v>
      </c>
      <c r="G1038" s="8">
        <f>IFERROR(__xludf.DUMMYFUNCTION("""COMPUTED_VALUE"""),558.0)</f>
        <v>558</v>
      </c>
      <c r="H1038" s="8" t="s">
        <v>143</v>
      </c>
      <c r="I1038" s="8" t="s">
        <v>144</v>
      </c>
      <c r="J1038" s="8" t="s">
        <v>1649</v>
      </c>
      <c r="K1038" s="153" t="s">
        <v>1650</v>
      </c>
      <c r="L1038" s="8" t="s">
        <v>1651</v>
      </c>
      <c r="N1038" s="142" t="s">
        <v>6145</v>
      </c>
      <c r="O1038" s="142"/>
      <c r="P1038" s="142"/>
      <c r="Q1038" s="8" t="s">
        <v>151</v>
      </c>
      <c r="T1038" s="8" t="s">
        <v>6503</v>
      </c>
      <c r="U1038" s="8" t="s">
        <v>369</v>
      </c>
      <c r="AB1038" s="8" t="s">
        <v>369</v>
      </c>
      <c r="AD1038" s="8" t="s">
        <v>6476</v>
      </c>
      <c r="AH1038" s="8" t="s">
        <v>166</v>
      </c>
      <c r="AI1038" s="172" t="s">
        <v>6504</v>
      </c>
    </row>
    <row r="1039">
      <c r="A1039" s="152">
        <v>2023.0</v>
      </c>
      <c r="B1039" s="151">
        <v>93.0</v>
      </c>
      <c r="C1039" s="129" t="s">
        <v>140</v>
      </c>
      <c r="D1039" s="8"/>
      <c r="E1039" s="8" t="s">
        <v>8189</v>
      </c>
      <c r="F1039" s="8" t="s">
        <v>6508</v>
      </c>
      <c r="G1039" s="8">
        <f>IFERROR(__xludf.DUMMYFUNCTION("""COMPUTED_VALUE"""),559.0)</f>
        <v>559</v>
      </c>
      <c r="H1039" s="8" t="s">
        <v>143</v>
      </c>
      <c r="I1039" s="8" t="s">
        <v>144</v>
      </c>
      <c r="J1039" s="8" t="s">
        <v>2545</v>
      </c>
      <c r="K1039" s="153" t="s">
        <v>2546</v>
      </c>
      <c r="L1039" s="8" t="s">
        <v>6113</v>
      </c>
      <c r="N1039" s="142" t="s">
        <v>6152</v>
      </c>
      <c r="O1039" s="142"/>
      <c r="P1039" s="142"/>
      <c r="Q1039" s="8" t="s">
        <v>151</v>
      </c>
      <c r="AB1039" s="8" t="s">
        <v>390</v>
      </c>
      <c r="AD1039" s="8" t="s">
        <v>158</v>
      </c>
    </row>
    <row r="1040">
      <c r="A1040" s="152">
        <v>2024.0</v>
      </c>
      <c r="B1040" s="151">
        <v>349.0</v>
      </c>
      <c r="C1040" s="153"/>
      <c r="D1040" s="153"/>
      <c r="E1040" s="153" t="s">
        <v>8189</v>
      </c>
      <c r="F1040" s="153" t="s">
        <v>8704</v>
      </c>
      <c r="G1040" s="153">
        <f>IFERROR(__xludf.DUMMYFUNCTION("""COMPUTED_VALUE"""),560.0)</f>
        <v>560</v>
      </c>
      <c r="H1040" s="153" t="s">
        <v>171</v>
      </c>
      <c r="I1040" s="153" t="s">
        <v>1725</v>
      </c>
      <c r="J1040" s="153" t="s">
        <v>1783</v>
      </c>
      <c r="K1040" s="153" t="s">
        <v>1784</v>
      </c>
      <c r="L1040" s="158" t="s">
        <v>149</v>
      </c>
      <c r="M1040" s="153" t="s">
        <v>2480</v>
      </c>
      <c r="N1040" s="230">
        <v>2019.0</v>
      </c>
      <c r="O1040" s="192" t="s">
        <v>149</v>
      </c>
      <c r="P1040" s="192" t="s">
        <v>149</v>
      </c>
      <c r="Q1040" s="153" t="s">
        <v>6062</v>
      </c>
      <c r="R1040" s="153" t="s">
        <v>2482</v>
      </c>
      <c r="S1040" s="158" t="s">
        <v>2482</v>
      </c>
      <c r="T1040" s="158" t="s">
        <v>2483</v>
      </c>
      <c r="U1040" s="158" t="s">
        <v>149</v>
      </c>
      <c r="V1040" s="158" t="s">
        <v>149</v>
      </c>
      <c r="W1040" s="158" t="s">
        <v>184</v>
      </c>
      <c r="X1040" s="158" t="s">
        <v>204</v>
      </c>
      <c r="Y1040" s="158" t="s">
        <v>149</v>
      </c>
      <c r="Z1040" s="158" t="s">
        <v>149</v>
      </c>
      <c r="AA1040" s="158" t="s">
        <v>149</v>
      </c>
      <c r="AB1040" s="153" t="s">
        <v>326</v>
      </c>
      <c r="AC1040" s="153" t="s">
        <v>271</v>
      </c>
      <c r="AD1040" s="153" t="s">
        <v>2484</v>
      </c>
      <c r="AE1040" s="153"/>
      <c r="AF1040" s="153"/>
      <c r="AG1040" s="158" t="s">
        <v>166</v>
      </c>
      <c r="AH1040" s="153" t="s">
        <v>2485</v>
      </c>
      <c r="AI1040" s="165" t="s">
        <v>2486</v>
      </c>
      <c r="AJ1040" s="153"/>
      <c r="AK1040" s="153"/>
    </row>
    <row r="1041">
      <c r="A1041" s="152">
        <v>2023.0</v>
      </c>
      <c r="B1041" s="151">
        <v>94.0</v>
      </c>
      <c r="C1041" s="129" t="s">
        <v>140</v>
      </c>
      <c r="D1041" s="8"/>
      <c r="E1041" s="8" t="s">
        <v>8189</v>
      </c>
      <c r="F1041" s="8" t="s">
        <v>6510</v>
      </c>
      <c r="G1041" s="8">
        <f>IFERROR(__xludf.DUMMYFUNCTION("""COMPUTED_VALUE"""),561.0)</f>
        <v>561</v>
      </c>
      <c r="H1041" s="8" t="s">
        <v>143</v>
      </c>
      <c r="I1041" s="8" t="s">
        <v>144</v>
      </c>
      <c r="J1041" s="8" t="s">
        <v>477</v>
      </c>
      <c r="K1041" s="277" t="s">
        <v>478</v>
      </c>
      <c r="L1041" s="8" t="s">
        <v>384</v>
      </c>
      <c r="M1041" s="8" t="s">
        <v>479</v>
      </c>
      <c r="N1041" s="142" t="s">
        <v>6052</v>
      </c>
      <c r="O1041" s="142" t="s">
        <v>6052</v>
      </c>
      <c r="P1041" s="142" t="s">
        <v>6053</v>
      </c>
      <c r="Q1041" s="8" t="s">
        <v>151</v>
      </c>
      <c r="R1041" s="8" t="s">
        <v>6054</v>
      </c>
      <c r="U1041" s="8" t="s">
        <v>390</v>
      </c>
      <c r="AA1041" s="8" t="s">
        <v>391</v>
      </c>
      <c r="AB1041" s="8" t="s">
        <v>390</v>
      </c>
      <c r="AD1041" s="8" t="s">
        <v>6055</v>
      </c>
      <c r="AF1041" s="8" t="s">
        <v>6056</v>
      </c>
      <c r="AH1041" s="8" t="s">
        <v>6057</v>
      </c>
      <c r="AI1041" s="8" t="s">
        <v>2873</v>
      </c>
      <c r="AJ1041" s="8" t="s">
        <v>398</v>
      </c>
    </row>
    <row r="1042">
      <c r="A1042" s="152">
        <v>2025.0</v>
      </c>
      <c r="B1042" s="151">
        <v>140.0</v>
      </c>
      <c r="C1042" s="153" t="s">
        <v>8189</v>
      </c>
      <c r="D1042" s="153"/>
      <c r="E1042" s="153" t="s">
        <v>8301</v>
      </c>
      <c r="F1042" s="153" t="s">
        <v>6689</v>
      </c>
      <c r="G1042" s="153">
        <f>IFERROR(__xludf.DUMMYFUNCTION("""COMPUTED_VALUE"""),562.0)</f>
        <v>562</v>
      </c>
      <c r="H1042" s="153" t="s">
        <v>257</v>
      </c>
      <c r="I1042" s="153" t="s">
        <v>497</v>
      </c>
      <c r="J1042" s="153" t="s">
        <v>1391</v>
      </c>
      <c r="K1042" s="153" t="s">
        <v>1392</v>
      </c>
      <c r="L1042" s="153" t="s">
        <v>1377</v>
      </c>
      <c r="M1042" s="153"/>
      <c r="N1042" s="160" t="s">
        <v>6896</v>
      </c>
      <c r="O1042" s="175" t="s">
        <v>6198</v>
      </c>
      <c r="P1042" s="175" t="s">
        <v>6199</v>
      </c>
      <c r="Q1042" s="153" t="s">
        <v>151</v>
      </c>
      <c r="R1042" s="158" t="s">
        <v>149</v>
      </c>
      <c r="S1042" s="158" t="s">
        <v>149</v>
      </c>
      <c r="T1042" s="158" t="s">
        <v>149</v>
      </c>
      <c r="U1042" s="153" t="s">
        <v>1381</v>
      </c>
      <c r="V1042" s="158" t="s">
        <v>6154</v>
      </c>
      <c r="W1042" s="158" t="s">
        <v>206</v>
      </c>
      <c r="X1042" s="158" t="s">
        <v>159</v>
      </c>
      <c r="Y1042" s="158" t="s">
        <v>149</v>
      </c>
      <c r="Z1042" s="158" t="s">
        <v>149</v>
      </c>
      <c r="AA1042" s="158" t="s">
        <v>149</v>
      </c>
      <c r="AB1042" s="153" t="s">
        <v>660</v>
      </c>
      <c r="AC1042" s="153" t="s">
        <v>6035</v>
      </c>
      <c r="AD1042" s="153" t="s">
        <v>369</v>
      </c>
      <c r="AE1042" s="153"/>
      <c r="AF1042" s="153"/>
      <c r="AG1042" s="158" t="s">
        <v>395</v>
      </c>
      <c r="AH1042" s="153" t="s">
        <v>6060</v>
      </c>
      <c r="AI1042" s="158" t="s">
        <v>397</v>
      </c>
      <c r="AJ1042" s="153" t="s">
        <v>398</v>
      </c>
      <c r="AK1042" s="153"/>
    </row>
    <row r="1043">
      <c r="A1043" s="152">
        <v>2024.0</v>
      </c>
      <c r="B1043" s="151">
        <v>350.0</v>
      </c>
      <c r="C1043" s="153"/>
      <c r="D1043" s="153"/>
      <c r="E1043" s="153" t="s">
        <v>8189</v>
      </c>
      <c r="F1043" s="153" t="s">
        <v>8705</v>
      </c>
      <c r="G1043" s="153">
        <f>IFERROR(__xludf.DUMMYFUNCTION("""COMPUTED_VALUE"""),563.0)</f>
        <v>563</v>
      </c>
      <c r="H1043" s="153" t="s">
        <v>171</v>
      </c>
      <c r="I1043" s="153" t="s">
        <v>1725</v>
      </c>
      <c r="J1043" s="153" t="s">
        <v>1783</v>
      </c>
      <c r="K1043" s="153" t="s">
        <v>1784</v>
      </c>
      <c r="L1043" s="153" t="s">
        <v>1785</v>
      </c>
      <c r="M1043" s="153"/>
      <c r="N1043" s="230">
        <v>2013.0</v>
      </c>
      <c r="O1043" s="192" t="s">
        <v>149</v>
      </c>
      <c r="P1043" s="192" t="s">
        <v>149</v>
      </c>
      <c r="Q1043" s="153" t="s">
        <v>151</v>
      </c>
      <c r="R1043" s="153" t="s">
        <v>851</v>
      </c>
      <c r="S1043" s="158" t="s">
        <v>851</v>
      </c>
      <c r="T1043" s="158" t="s">
        <v>149</v>
      </c>
      <c r="U1043" s="153" t="s">
        <v>341</v>
      </c>
      <c r="V1043" s="158" t="s">
        <v>160</v>
      </c>
      <c r="W1043" s="158" t="s">
        <v>6035</v>
      </c>
      <c r="X1043" s="158" t="s">
        <v>159</v>
      </c>
      <c r="Y1043" s="158" t="s">
        <v>149</v>
      </c>
      <c r="Z1043" s="158" t="s">
        <v>149</v>
      </c>
      <c r="AA1043" s="153" t="s">
        <v>7368</v>
      </c>
      <c r="AB1043" s="153" t="s">
        <v>1787</v>
      </c>
      <c r="AC1043" s="153" t="s">
        <v>6035</v>
      </c>
      <c r="AD1043" s="153" t="s">
        <v>1788</v>
      </c>
      <c r="AE1043" s="153" t="s">
        <v>724</v>
      </c>
      <c r="AF1043" s="153"/>
      <c r="AG1043" s="158" t="s">
        <v>166</v>
      </c>
      <c r="AH1043" s="153" t="s">
        <v>1789</v>
      </c>
      <c r="AI1043" s="165" t="s">
        <v>1790</v>
      </c>
      <c r="AJ1043" s="153"/>
      <c r="AK1043" s="153"/>
    </row>
    <row r="1044">
      <c r="A1044" s="152">
        <v>2025.0</v>
      </c>
      <c r="B1044" s="151">
        <v>141.0</v>
      </c>
      <c r="C1044" s="153" t="s">
        <v>8189</v>
      </c>
      <c r="D1044" s="153"/>
      <c r="E1044" s="153" t="s">
        <v>8301</v>
      </c>
      <c r="F1044" s="153" t="s">
        <v>6691</v>
      </c>
      <c r="G1044" s="153">
        <f>IFERROR(__xludf.DUMMYFUNCTION("""COMPUTED_VALUE"""),564.0)</f>
        <v>564</v>
      </c>
      <c r="H1044" s="153" t="s">
        <v>257</v>
      </c>
      <c r="I1044" s="153" t="s">
        <v>497</v>
      </c>
      <c r="J1044" s="153" t="s">
        <v>953</v>
      </c>
      <c r="K1044" s="153" t="s">
        <v>954</v>
      </c>
      <c r="L1044" s="153" t="s">
        <v>934</v>
      </c>
      <c r="M1044" s="153"/>
      <c r="N1044" s="175" t="s">
        <v>6229</v>
      </c>
      <c r="O1044" s="175" t="s">
        <v>6229</v>
      </c>
      <c r="P1044" s="175" t="s">
        <v>6230</v>
      </c>
      <c r="Q1044" s="153" t="s">
        <v>6062</v>
      </c>
      <c r="R1044" s="153" t="s">
        <v>3245</v>
      </c>
      <c r="S1044" s="158" t="s">
        <v>179</v>
      </c>
      <c r="T1044" s="153" t="s">
        <v>939</v>
      </c>
      <c r="U1044" s="153" t="s">
        <v>940</v>
      </c>
      <c r="V1044" s="158" t="s">
        <v>6154</v>
      </c>
      <c r="W1044" s="158" t="s">
        <v>206</v>
      </c>
      <c r="X1044" s="158" t="s">
        <v>204</v>
      </c>
      <c r="Y1044" s="158" t="s">
        <v>149</v>
      </c>
      <c r="Z1044" s="158" t="s">
        <v>149</v>
      </c>
      <c r="AA1044" s="158" t="s">
        <v>149</v>
      </c>
      <c r="AB1044" s="153" t="s">
        <v>233</v>
      </c>
      <c r="AC1044" s="158" t="s">
        <v>6068</v>
      </c>
      <c r="AD1044" s="153"/>
      <c r="AE1044" s="153"/>
      <c r="AF1044" s="153"/>
      <c r="AG1044" s="158" t="s">
        <v>6214</v>
      </c>
      <c r="AH1044" s="153" t="s">
        <v>941</v>
      </c>
      <c r="AI1044" s="172" t="s">
        <v>942</v>
      </c>
      <c r="AJ1044" s="153" t="s">
        <v>943</v>
      </c>
      <c r="AK1044" s="153"/>
    </row>
    <row r="1045">
      <c r="A1045" s="152">
        <v>2025.0</v>
      </c>
      <c r="B1045" s="151">
        <v>142.0</v>
      </c>
      <c r="C1045" s="153" t="s">
        <v>8189</v>
      </c>
      <c r="D1045" s="153"/>
      <c r="E1045" s="153" t="s">
        <v>8301</v>
      </c>
      <c r="F1045" s="153" t="s">
        <v>6693</v>
      </c>
      <c r="G1045" s="153">
        <f>IFERROR(__xludf.DUMMYFUNCTION("""COMPUTED_VALUE"""),565.0)</f>
        <v>565</v>
      </c>
      <c r="H1045" s="153" t="s">
        <v>257</v>
      </c>
      <c r="I1045" s="153" t="s">
        <v>497</v>
      </c>
      <c r="J1045" s="153" t="s">
        <v>498</v>
      </c>
      <c r="K1045" s="153" t="s">
        <v>499</v>
      </c>
      <c r="L1045" s="153" t="s">
        <v>384</v>
      </c>
      <c r="M1045" s="153" t="s">
        <v>500</v>
      </c>
      <c r="N1045" s="175" t="s">
        <v>6051</v>
      </c>
      <c r="O1045" s="175" t="s">
        <v>6052</v>
      </c>
      <c r="P1045" s="175" t="s">
        <v>6053</v>
      </c>
      <c r="Q1045" s="153" t="s">
        <v>151</v>
      </c>
      <c r="R1045" s="153" t="s">
        <v>6054</v>
      </c>
      <c r="S1045" s="158" t="s">
        <v>6054</v>
      </c>
      <c r="T1045" s="158" t="s">
        <v>149</v>
      </c>
      <c r="U1045" s="153" t="s">
        <v>390</v>
      </c>
      <c r="V1045" s="158" t="s">
        <v>160</v>
      </c>
      <c r="W1045" s="158" t="s">
        <v>6035</v>
      </c>
      <c r="X1045" s="158" t="s">
        <v>159</v>
      </c>
      <c r="Y1045" s="158" t="s">
        <v>149</v>
      </c>
      <c r="Z1045" s="158" t="s">
        <v>149</v>
      </c>
      <c r="AA1045" s="153" t="s">
        <v>391</v>
      </c>
      <c r="AB1045" s="153" t="s">
        <v>390</v>
      </c>
      <c r="AC1045" s="153" t="s">
        <v>6035</v>
      </c>
      <c r="AD1045" s="153" t="s">
        <v>6055</v>
      </c>
      <c r="AE1045" s="153"/>
      <c r="AF1045" s="153"/>
      <c r="AG1045" s="158" t="s">
        <v>395</v>
      </c>
      <c r="AH1045" s="153" t="s">
        <v>6060</v>
      </c>
      <c r="AI1045" s="158" t="s">
        <v>397</v>
      </c>
      <c r="AJ1045" s="153" t="s">
        <v>398</v>
      </c>
      <c r="AK1045" s="153"/>
    </row>
    <row r="1046">
      <c r="A1046" s="152">
        <v>2024.0</v>
      </c>
      <c r="B1046" s="151">
        <v>351.0</v>
      </c>
      <c r="C1046" s="153"/>
      <c r="D1046" s="153"/>
      <c r="E1046" s="153" t="s">
        <v>8189</v>
      </c>
      <c r="F1046" s="153" t="s">
        <v>8706</v>
      </c>
      <c r="G1046" s="153">
        <f>IFERROR(__xludf.DUMMYFUNCTION("""COMPUTED_VALUE"""),566.0)</f>
        <v>566</v>
      </c>
      <c r="H1046" s="153" t="s">
        <v>171</v>
      </c>
      <c r="I1046" s="153" t="s">
        <v>600</v>
      </c>
      <c r="J1046" s="153" t="s">
        <v>601</v>
      </c>
      <c r="K1046" s="153" t="s">
        <v>602</v>
      </c>
      <c r="L1046" s="153" t="s">
        <v>384</v>
      </c>
      <c r="M1046" s="153" t="s">
        <v>603</v>
      </c>
      <c r="N1046" s="230">
        <v>1986.0</v>
      </c>
      <c r="O1046" s="230">
        <v>1985.0</v>
      </c>
      <c r="P1046" s="230">
        <v>1987.0</v>
      </c>
      <c r="Q1046" s="153" t="s">
        <v>151</v>
      </c>
      <c r="R1046" s="153" t="s">
        <v>6076</v>
      </c>
      <c r="S1046" s="158" t="s">
        <v>605</v>
      </c>
      <c r="T1046" s="158" t="s">
        <v>149</v>
      </c>
      <c r="U1046" s="153" t="s">
        <v>390</v>
      </c>
      <c r="V1046" s="158" t="s">
        <v>160</v>
      </c>
      <c r="W1046" s="158" t="s">
        <v>6035</v>
      </c>
      <c r="X1046" s="158" t="s">
        <v>159</v>
      </c>
      <c r="Y1046" s="158" t="s">
        <v>149</v>
      </c>
      <c r="Z1046" s="158" t="s">
        <v>149</v>
      </c>
      <c r="AA1046" s="153" t="s">
        <v>606</v>
      </c>
      <c r="AB1046" s="153" t="s">
        <v>390</v>
      </c>
      <c r="AC1046" s="153" t="s">
        <v>6035</v>
      </c>
      <c r="AD1046" s="153" t="s">
        <v>6055</v>
      </c>
      <c r="AE1046" s="153"/>
      <c r="AF1046" s="153"/>
      <c r="AG1046" s="158" t="s">
        <v>395</v>
      </c>
      <c r="AH1046" s="153" t="s">
        <v>6060</v>
      </c>
      <c r="AI1046" s="153" t="s">
        <v>2873</v>
      </c>
      <c r="AJ1046" s="153" t="s">
        <v>398</v>
      </c>
      <c r="AK1046" s="153"/>
    </row>
    <row r="1047">
      <c r="A1047" s="152">
        <v>2025.0</v>
      </c>
      <c r="B1047" s="151">
        <v>143.0</v>
      </c>
      <c r="C1047" s="153" t="s">
        <v>8189</v>
      </c>
      <c r="D1047" s="153"/>
      <c r="E1047" s="153" t="s">
        <v>8301</v>
      </c>
      <c r="F1047" s="153" t="s">
        <v>6696</v>
      </c>
      <c r="G1047" s="153">
        <f>IFERROR(__xludf.DUMMYFUNCTION("""COMPUTED_VALUE"""),567.0)</f>
        <v>567</v>
      </c>
      <c r="H1047" s="153" t="s">
        <v>257</v>
      </c>
      <c r="I1047" s="153" t="s">
        <v>497</v>
      </c>
      <c r="J1047" s="153" t="s">
        <v>498</v>
      </c>
      <c r="K1047" s="153" t="s">
        <v>499</v>
      </c>
      <c r="L1047" s="153" t="s">
        <v>384</v>
      </c>
      <c r="M1047" s="153" t="s">
        <v>502</v>
      </c>
      <c r="N1047" s="175" t="s">
        <v>6051</v>
      </c>
      <c r="O1047" s="175" t="s">
        <v>6052</v>
      </c>
      <c r="P1047" s="175" t="s">
        <v>6053</v>
      </c>
      <c r="Q1047" s="153" t="s">
        <v>151</v>
      </c>
      <c r="R1047" s="153" t="s">
        <v>6054</v>
      </c>
      <c r="S1047" s="158" t="s">
        <v>6054</v>
      </c>
      <c r="T1047" s="158" t="s">
        <v>149</v>
      </c>
      <c r="U1047" s="153" t="s">
        <v>390</v>
      </c>
      <c r="V1047" s="158" t="s">
        <v>160</v>
      </c>
      <c r="W1047" s="158" t="s">
        <v>6035</v>
      </c>
      <c r="X1047" s="158" t="s">
        <v>159</v>
      </c>
      <c r="Y1047" s="158" t="s">
        <v>149</v>
      </c>
      <c r="Z1047" s="158" t="s">
        <v>149</v>
      </c>
      <c r="AA1047" s="153" t="s">
        <v>503</v>
      </c>
      <c r="AB1047" s="153" t="s">
        <v>390</v>
      </c>
      <c r="AC1047" s="153" t="s">
        <v>6035</v>
      </c>
      <c r="AD1047" s="153" t="s">
        <v>6055</v>
      </c>
      <c r="AE1047" s="153"/>
      <c r="AF1047" s="153"/>
      <c r="AG1047" s="158" t="s">
        <v>395</v>
      </c>
      <c r="AH1047" s="153" t="s">
        <v>6060</v>
      </c>
      <c r="AI1047" s="158" t="s">
        <v>397</v>
      </c>
      <c r="AJ1047" s="153" t="s">
        <v>398</v>
      </c>
      <c r="AK1047" s="153"/>
    </row>
    <row r="1048">
      <c r="A1048" s="152">
        <v>2025.0</v>
      </c>
      <c r="B1048" s="151">
        <v>144.0</v>
      </c>
      <c r="C1048" s="153" t="s">
        <v>8189</v>
      </c>
      <c r="D1048" s="153"/>
      <c r="E1048" s="153" t="s">
        <v>8301</v>
      </c>
      <c r="F1048" s="153" t="s">
        <v>6699</v>
      </c>
      <c r="G1048" s="153">
        <f>IFERROR(__xludf.DUMMYFUNCTION("""COMPUTED_VALUE"""),568.0)</f>
        <v>568</v>
      </c>
      <c r="H1048" s="153" t="s">
        <v>257</v>
      </c>
      <c r="I1048" s="153" t="s">
        <v>497</v>
      </c>
      <c r="J1048" s="153" t="s">
        <v>498</v>
      </c>
      <c r="K1048" s="153" t="s">
        <v>499</v>
      </c>
      <c r="L1048" s="158" t="s">
        <v>149</v>
      </c>
      <c r="M1048" s="153"/>
      <c r="N1048" s="175" t="s">
        <v>6230</v>
      </c>
      <c r="O1048" s="160" t="s">
        <v>149</v>
      </c>
      <c r="P1048" s="160" t="s">
        <v>149</v>
      </c>
      <c r="Q1048" s="153" t="s">
        <v>151</v>
      </c>
      <c r="R1048" s="158" t="s">
        <v>2386</v>
      </c>
      <c r="S1048" s="158" t="s">
        <v>2386</v>
      </c>
      <c r="T1048" s="153" t="s">
        <v>8707</v>
      </c>
      <c r="U1048" s="158" t="s">
        <v>2388</v>
      </c>
      <c r="V1048" s="158" t="s">
        <v>6154</v>
      </c>
      <c r="W1048" s="158" t="s">
        <v>306</v>
      </c>
      <c r="X1048" s="158" t="s">
        <v>159</v>
      </c>
      <c r="Y1048" s="158" t="s">
        <v>149</v>
      </c>
      <c r="Z1048" s="158" t="s">
        <v>6701</v>
      </c>
      <c r="AA1048" s="158" t="s">
        <v>2390</v>
      </c>
      <c r="AB1048" s="153" t="s">
        <v>2391</v>
      </c>
      <c r="AC1048" s="153" t="s">
        <v>271</v>
      </c>
      <c r="AD1048" s="158"/>
      <c r="AE1048" s="158" t="s">
        <v>6702</v>
      </c>
      <c r="AF1048" s="158"/>
      <c r="AG1048" s="158" t="s">
        <v>6027</v>
      </c>
      <c r="AH1048" s="153" t="s">
        <v>2393</v>
      </c>
      <c r="AI1048" s="165" t="s">
        <v>2394</v>
      </c>
      <c r="AJ1048" s="153"/>
      <c r="AK1048" s="153"/>
    </row>
    <row r="1049">
      <c r="A1049" s="152">
        <v>2024.0</v>
      </c>
      <c r="B1049" s="151">
        <v>352.0</v>
      </c>
      <c r="C1049" s="153"/>
      <c r="D1049" s="153"/>
      <c r="E1049" s="153" t="s">
        <v>8189</v>
      </c>
      <c r="F1049" s="153" t="s">
        <v>8708</v>
      </c>
      <c r="G1049" s="153">
        <f>IFERROR(__xludf.DUMMYFUNCTION("""COMPUTED_VALUE"""),569.0)</f>
        <v>569</v>
      </c>
      <c r="H1049" s="153" t="s">
        <v>171</v>
      </c>
      <c r="I1049" s="153" t="s">
        <v>600</v>
      </c>
      <c r="J1049" s="153" t="s">
        <v>601</v>
      </c>
      <c r="K1049" s="153" t="s">
        <v>602</v>
      </c>
      <c r="L1049" s="153" t="s">
        <v>384</v>
      </c>
      <c r="M1049" s="153" t="s">
        <v>608</v>
      </c>
      <c r="N1049" s="230">
        <v>1986.0</v>
      </c>
      <c r="O1049" s="230">
        <v>1985.0</v>
      </c>
      <c r="P1049" s="230">
        <v>1987.0</v>
      </c>
      <c r="Q1049" s="153" t="s">
        <v>151</v>
      </c>
      <c r="R1049" s="153" t="s">
        <v>469</v>
      </c>
      <c r="S1049" s="158" t="s">
        <v>469</v>
      </c>
      <c r="T1049" s="158" t="s">
        <v>149</v>
      </c>
      <c r="U1049" s="153" t="s">
        <v>390</v>
      </c>
      <c r="V1049" s="158" t="s">
        <v>160</v>
      </c>
      <c r="W1049" s="158" t="s">
        <v>6035</v>
      </c>
      <c r="X1049" s="158" t="s">
        <v>159</v>
      </c>
      <c r="Y1049" s="158" t="s">
        <v>149</v>
      </c>
      <c r="Z1049" s="158" t="s">
        <v>149</v>
      </c>
      <c r="AA1049" s="153" t="s">
        <v>609</v>
      </c>
      <c r="AB1049" s="153" t="s">
        <v>390</v>
      </c>
      <c r="AC1049" s="153" t="s">
        <v>6035</v>
      </c>
      <c r="AD1049" s="153" t="s">
        <v>6055</v>
      </c>
      <c r="AE1049" s="153"/>
      <c r="AF1049" s="153"/>
      <c r="AG1049" s="158" t="s">
        <v>395</v>
      </c>
      <c r="AH1049" s="153" t="s">
        <v>6060</v>
      </c>
      <c r="AI1049" s="153" t="s">
        <v>2873</v>
      </c>
      <c r="AJ1049" s="153" t="s">
        <v>398</v>
      </c>
      <c r="AK1049" s="153"/>
    </row>
    <row r="1050">
      <c r="A1050" s="152">
        <v>2023.0</v>
      </c>
      <c r="B1050" s="151">
        <v>145.0</v>
      </c>
      <c r="C1050" s="129" t="s">
        <v>140</v>
      </c>
      <c r="D1050" s="8"/>
      <c r="E1050" s="8" t="s">
        <v>8189</v>
      </c>
      <c r="F1050" s="8" t="s">
        <v>8709</v>
      </c>
      <c r="G1050" s="8">
        <f>IFERROR(__xludf.DUMMYFUNCTION("""COMPUTED_VALUE"""),570.0)</f>
        <v>570</v>
      </c>
      <c r="H1050" s="8" t="s">
        <v>257</v>
      </c>
      <c r="I1050" s="8" t="s">
        <v>497</v>
      </c>
      <c r="J1050" s="8" t="s">
        <v>1391</v>
      </c>
      <c r="K1050" s="279" t="s">
        <v>1392</v>
      </c>
      <c r="L1050" s="8" t="s">
        <v>1377</v>
      </c>
      <c r="N1050" s="142"/>
      <c r="O1050" s="142" t="s">
        <v>6198</v>
      </c>
      <c r="P1050" s="142" t="s">
        <v>6199</v>
      </c>
      <c r="Q1050" s="8" t="s">
        <v>151</v>
      </c>
      <c r="U1050" s="8" t="s">
        <v>1381</v>
      </c>
      <c r="AB1050" s="8" t="s">
        <v>660</v>
      </c>
      <c r="AD1050" s="8" t="s">
        <v>369</v>
      </c>
      <c r="AH1050" s="8" t="s">
        <v>395</v>
      </c>
      <c r="AI1050" s="8" t="s">
        <v>2873</v>
      </c>
      <c r="AJ1050" s="8" t="s">
        <v>398</v>
      </c>
    </row>
    <row r="1051">
      <c r="A1051" s="152">
        <v>2025.0</v>
      </c>
      <c r="B1051" s="151">
        <v>145.0</v>
      </c>
      <c r="C1051" s="153" t="s">
        <v>8189</v>
      </c>
      <c r="D1051" s="153"/>
      <c r="E1051" s="153" t="s">
        <v>8301</v>
      </c>
      <c r="F1051" s="153" t="s">
        <v>6708</v>
      </c>
      <c r="G1051" s="153">
        <f>IFERROR(__xludf.DUMMYFUNCTION("""COMPUTED_VALUE"""),571.0)</f>
        <v>571</v>
      </c>
      <c r="H1051" s="153" t="s">
        <v>257</v>
      </c>
      <c r="I1051" s="153" t="s">
        <v>497</v>
      </c>
      <c r="J1051" s="153" t="s">
        <v>505</v>
      </c>
      <c r="K1051" s="153" t="s">
        <v>506</v>
      </c>
      <c r="L1051" s="153" t="s">
        <v>384</v>
      </c>
      <c r="M1051" s="153" t="s">
        <v>507</v>
      </c>
      <c r="N1051" s="175" t="s">
        <v>6051</v>
      </c>
      <c r="O1051" s="175" t="s">
        <v>6052</v>
      </c>
      <c r="P1051" s="175" t="s">
        <v>6053</v>
      </c>
      <c r="Q1051" s="153" t="s">
        <v>151</v>
      </c>
      <c r="R1051" s="153" t="s">
        <v>6054</v>
      </c>
      <c r="S1051" s="158" t="s">
        <v>6054</v>
      </c>
      <c r="T1051" s="158" t="s">
        <v>149</v>
      </c>
      <c r="U1051" s="153" t="s">
        <v>390</v>
      </c>
      <c r="V1051" s="158" t="s">
        <v>160</v>
      </c>
      <c r="W1051" s="158" t="s">
        <v>6035</v>
      </c>
      <c r="X1051" s="158" t="s">
        <v>159</v>
      </c>
      <c r="Y1051" s="158" t="s">
        <v>149</v>
      </c>
      <c r="Z1051" s="158" t="s">
        <v>149</v>
      </c>
      <c r="AA1051" s="153" t="s">
        <v>508</v>
      </c>
      <c r="AB1051" s="153" t="s">
        <v>390</v>
      </c>
      <c r="AC1051" s="153" t="s">
        <v>6035</v>
      </c>
      <c r="AD1051" s="153" t="s">
        <v>6055</v>
      </c>
      <c r="AE1051" s="153"/>
      <c r="AF1051" s="153"/>
      <c r="AG1051" s="158" t="s">
        <v>395</v>
      </c>
      <c r="AH1051" s="153" t="s">
        <v>6060</v>
      </c>
      <c r="AI1051" s="158" t="s">
        <v>397</v>
      </c>
      <c r="AJ1051" s="153" t="s">
        <v>398</v>
      </c>
      <c r="AK1051" s="153"/>
    </row>
    <row r="1052">
      <c r="A1052" s="152">
        <v>2023.0</v>
      </c>
      <c r="B1052" s="151">
        <v>146.0</v>
      </c>
      <c r="C1052" s="129" t="s">
        <v>140</v>
      </c>
      <c r="D1052" s="8"/>
      <c r="E1052" s="8" t="s">
        <v>8189</v>
      </c>
      <c r="F1052" s="8" t="s">
        <v>6709</v>
      </c>
      <c r="G1052" s="8">
        <f>IFERROR(__xludf.DUMMYFUNCTION("""COMPUTED_VALUE"""),572.0)</f>
        <v>572</v>
      </c>
      <c r="H1052" s="8" t="s">
        <v>257</v>
      </c>
      <c r="I1052" s="8" t="s">
        <v>497</v>
      </c>
      <c r="J1052" s="8" t="s">
        <v>953</v>
      </c>
      <c r="K1052" s="198" t="s">
        <v>954</v>
      </c>
      <c r="L1052" s="8" t="s">
        <v>934</v>
      </c>
      <c r="N1052" s="142" t="s">
        <v>6229</v>
      </c>
      <c r="O1052" s="142" t="s">
        <v>6229</v>
      </c>
      <c r="P1052" s="142" t="s">
        <v>6230</v>
      </c>
      <c r="Q1052" s="8" t="s">
        <v>6062</v>
      </c>
      <c r="R1052" s="8" t="s">
        <v>6276</v>
      </c>
      <c r="T1052" s="8" t="s">
        <v>939</v>
      </c>
      <c r="U1052" s="8" t="s">
        <v>940</v>
      </c>
      <c r="AB1052" s="8" t="s">
        <v>233</v>
      </c>
      <c r="AH1052" s="8" t="s">
        <v>6214</v>
      </c>
      <c r="AI1052" s="8" t="s">
        <v>942</v>
      </c>
      <c r="AJ1052" s="8" t="s">
        <v>943</v>
      </c>
    </row>
    <row r="1053">
      <c r="A1053" s="152">
        <v>2024.0</v>
      </c>
      <c r="B1053" s="151">
        <v>353.0</v>
      </c>
      <c r="C1053" s="285"/>
      <c r="D1053" s="285"/>
      <c r="E1053" s="285" t="s">
        <v>8189</v>
      </c>
      <c r="F1053" s="285" t="s">
        <v>8710</v>
      </c>
      <c r="G1053" s="285">
        <f>IFERROR(__xludf.DUMMYFUNCTION("""COMPUTED_VALUE"""),573.0)</f>
        <v>573</v>
      </c>
      <c r="H1053" s="285" t="s">
        <v>171</v>
      </c>
      <c r="I1053" s="285" t="s">
        <v>600</v>
      </c>
      <c r="J1053" s="285" t="s">
        <v>8048</v>
      </c>
      <c r="K1053" s="285" t="s">
        <v>602</v>
      </c>
      <c r="L1053" s="285" t="s">
        <v>6113</v>
      </c>
      <c r="M1053" s="285"/>
      <c r="N1053" s="286">
        <v>2018.0</v>
      </c>
      <c r="O1053" s="286"/>
      <c r="P1053" s="286"/>
      <c r="Q1053" s="285" t="s">
        <v>151</v>
      </c>
      <c r="R1053" s="285" t="s">
        <v>7418</v>
      </c>
      <c r="S1053" s="285"/>
      <c r="T1053" s="285"/>
      <c r="U1053" s="285"/>
      <c r="V1053" s="285"/>
      <c r="W1053" s="285"/>
      <c r="X1053" s="285"/>
      <c r="Y1053" s="285"/>
      <c r="Z1053" s="285"/>
      <c r="AA1053" s="285"/>
      <c r="AB1053" s="285" t="s">
        <v>7419</v>
      </c>
      <c r="AC1053" s="285" t="s">
        <v>271</v>
      </c>
      <c r="AD1053" s="285"/>
      <c r="AE1053" s="285"/>
      <c r="AF1053" s="285"/>
      <c r="AG1053" s="285" t="s">
        <v>6038</v>
      </c>
      <c r="AH1053" s="285" t="s">
        <v>8049</v>
      </c>
      <c r="AI1053" s="299" t="s">
        <v>8050</v>
      </c>
      <c r="AJ1053" s="285"/>
      <c r="AK1053" s="285"/>
    </row>
    <row r="1054">
      <c r="A1054" s="152">
        <v>2025.0</v>
      </c>
      <c r="B1054" s="151">
        <v>146.0</v>
      </c>
      <c r="C1054" s="153" t="s">
        <v>8189</v>
      </c>
      <c r="D1054" s="153"/>
      <c r="E1054" s="153" t="s">
        <v>8301</v>
      </c>
      <c r="F1054" s="153" t="s">
        <v>6710</v>
      </c>
      <c r="G1054" s="153">
        <f>IFERROR(__xludf.DUMMYFUNCTION("""COMPUTED_VALUE"""),574.0)</f>
        <v>574</v>
      </c>
      <c r="H1054" s="153" t="s">
        <v>257</v>
      </c>
      <c r="I1054" s="153" t="s">
        <v>497</v>
      </c>
      <c r="J1054" s="153" t="s">
        <v>505</v>
      </c>
      <c r="K1054" s="153" t="s">
        <v>506</v>
      </c>
      <c r="L1054" s="153" t="s">
        <v>1377</v>
      </c>
      <c r="M1054" s="153" t="s">
        <v>1394</v>
      </c>
      <c r="N1054" s="160" t="s">
        <v>6896</v>
      </c>
      <c r="O1054" s="175" t="s">
        <v>6198</v>
      </c>
      <c r="P1054" s="175" t="s">
        <v>6199</v>
      </c>
      <c r="Q1054" s="153" t="s">
        <v>151</v>
      </c>
      <c r="R1054" s="158" t="s">
        <v>149</v>
      </c>
      <c r="S1054" s="158" t="s">
        <v>149</v>
      </c>
      <c r="T1054" s="158" t="s">
        <v>149</v>
      </c>
      <c r="U1054" s="153" t="s">
        <v>1381</v>
      </c>
      <c r="V1054" s="158" t="s">
        <v>6154</v>
      </c>
      <c r="W1054" s="158" t="s">
        <v>206</v>
      </c>
      <c r="X1054" s="158" t="s">
        <v>159</v>
      </c>
      <c r="Y1054" s="158" t="s">
        <v>149</v>
      </c>
      <c r="Z1054" s="158" t="s">
        <v>149</v>
      </c>
      <c r="AA1054" s="158" t="s">
        <v>149</v>
      </c>
      <c r="AB1054" s="153" t="s">
        <v>660</v>
      </c>
      <c r="AC1054" s="153" t="s">
        <v>6035</v>
      </c>
      <c r="AD1054" s="153" t="s">
        <v>369</v>
      </c>
      <c r="AE1054" s="153"/>
      <c r="AF1054" s="153"/>
      <c r="AG1054" s="158" t="s">
        <v>395</v>
      </c>
      <c r="AH1054" s="153" t="s">
        <v>6060</v>
      </c>
      <c r="AI1054" s="158" t="s">
        <v>6711</v>
      </c>
      <c r="AJ1054" s="153" t="s">
        <v>398</v>
      </c>
      <c r="AK1054" s="153"/>
    </row>
    <row r="1055">
      <c r="A1055" s="152">
        <v>2023.0</v>
      </c>
      <c r="B1055" s="151">
        <v>147.0</v>
      </c>
      <c r="C1055" s="129" t="s">
        <v>140</v>
      </c>
      <c r="D1055" s="8"/>
      <c r="E1055" s="8" t="s">
        <v>8189</v>
      </c>
      <c r="F1055" s="8" t="s">
        <v>6712</v>
      </c>
      <c r="G1055" s="8">
        <f>IFERROR(__xludf.DUMMYFUNCTION("""COMPUTED_VALUE"""),575.0)</f>
        <v>575</v>
      </c>
      <c r="H1055" s="8" t="s">
        <v>257</v>
      </c>
      <c r="I1055" s="8" t="s">
        <v>497</v>
      </c>
      <c r="J1055" s="8" t="s">
        <v>498</v>
      </c>
      <c r="K1055" s="277" t="s">
        <v>499</v>
      </c>
      <c r="L1055" s="8" t="s">
        <v>384</v>
      </c>
      <c r="M1055" s="8" t="s">
        <v>500</v>
      </c>
      <c r="N1055" s="142" t="s">
        <v>6051</v>
      </c>
      <c r="O1055" s="142" t="s">
        <v>6052</v>
      </c>
      <c r="P1055" s="142" t="s">
        <v>6053</v>
      </c>
      <c r="Q1055" s="8" t="s">
        <v>151</v>
      </c>
      <c r="R1055" s="8" t="s">
        <v>6054</v>
      </c>
      <c r="U1055" s="8" t="s">
        <v>390</v>
      </c>
      <c r="AA1055" s="8" t="s">
        <v>391</v>
      </c>
      <c r="AB1055" s="8" t="s">
        <v>390</v>
      </c>
      <c r="AD1055" s="8" t="s">
        <v>6055</v>
      </c>
      <c r="AH1055" s="8" t="s">
        <v>6057</v>
      </c>
      <c r="AI1055" s="8" t="s">
        <v>2873</v>
      </c>
      <c r="AJ1055" s="8" t="s">
        <v>398</v>
      </c>
    </row>
    <row r="1056">
      <c r="A1056" s="152">
        <v>2024.0</v>
      </c>
      <c r="B1056" s="151">
        <v>354.0</v>
      </c>
      <c r="C1056" s="153"/>
      <c r="D1056" s="153"/>
      <c r="E1056" s="153" t="s">
        <v>8189</v>
      </c>
      <c r="F1056" s="153" t="s">
        <v>8711</v>
      </c>
      <c r="G1056" s="153">
        <f>IFERROR(__xludf.DUMMYFUNCTION("""COMPUTED_VALUE"""),576.0)</f>
        <v>576</v>
      </c>
      <c r="H1056" s="153" t="s">
        <v>171</v>
      </c>
      <c r="I1056" s="153" t="s">
        <v>600</v>
      </c>
      <c r="J1056" s="153" t="s">
        <v>2252</v>
      </c>
      <c r="K1056" s="153" t="s">
        <v>2253</v>
      </c>
      <c r="L1056" s="153" t="s">
        <v>2254</v>
      </c>
      <c r="M1056" s="153" t="s">
        <v>7378</v>
      </c>
      <c r="N1056" s="230">
        <v>2008.0</v>
      </c>
      <c r="O1056" s="192" t="s">
        <v>149</v>
      </c>
      <c r="P1056" s="192" t="s">
        <v>149</v>
      </c>
      <c r="Q1056" s="158" t="s">
        <v>6624</v>
      </c>
      <c r="R1056" s="153" t="s">
        <v>2256</v>
      </c>
      <c r="S1056" s="158" t="s">
        <v>2092</v>
      </c>
      <c r="T1056" s="158" t="s">
        <v>149</v>
      </c>
      <c r="U1056" s="153" t="s">
        <v>2257</v>
      </c>
      <c r="V1056" s="158" t="s">
        <v>6154</v>
      </c>
      <c r="W1056" s="158" t="s">
        <v>206</v>
      </c>
      <c r="X1056" s="158" t="s">
        <v>159</v>
      </c>
      <c r="Y1056" s="153" t="s">
        <v>7379</v>
      </c>
      <c r="Z1056" s="158" t="s">
        <v>149</v>
      </c>
      <c r="AA1056" s="153" t="s">
        <v>2259</v>
      </c>
      <c r="AB1056" s="153" t="s">
        <v>2260</v>
      </c>
      <c r="AC1056" s="153" t="s">
        <v>6035</v>
      </c>
      <c r="AD1056" s="153"/>
      <c r="AE1056" s="153"/>
      <c r="AF1056" s="153" t="s">
        <v>2261</v>
      </c>
      <c r="AG1056" s="158" t="s">
        <v>6091</v>
      </c>
      <c r="AH1056" s="153" t="s">
        <v>2262</v>
      </c>
      <c r="AI1056" s="165" t="s">
        <v>2263</v>
      </c>
      <c r="AJ1056" s="153"/>
      <c r="AK1056" s="153"/>
    </row>
    <row r="1057">
      <c r="A1057" s="152">
        <v>2025.0</v>
      </c>
      <c r="B1057" s="151">
        <v>147.0</v>
      </c>
      <c r="C1057" s="153" t="s">
        <v>8189</v>
      </c>
      <c r="D1057" s="153"/>
      <c r="E1057" s="153" t="s">
        <v>8301</v>
      </c>
      <c r="F1057" s="153" t="s">
        <v>6713</v>
      </c>
      <c r="G1057" s="153">
        <f>IFERROR(__xludf.DUMMYFUNCTION("""COMPUTED_VALUE"""),577.0)</f>
        <v>577</v>
      </c>
      <c r="H1057" s="153" t="s">
        <v>257</v>
      </c>
      <c r="I1057" s="153" t="s">
        <v>497</v>
      </c>
      <c r="J1057" s="153" t="s">
        <v>505</v>
      </c>
      <c r="K1057" s="153" t="s">
        <v>506</v>
      </c>
      <c r="L1057" s="153" t="s">
        <v>1377</v>
      </c>
      <c r="M1057" s="153" t="s">
        <v>1396</v>
      </c>
      <c r="N1057" s="160" t="s">
        <v>6896</v>
      </c>
      <c r="O1057" s="175" t="s">
        <v>6198</v>
      </c>
      <c r="P1057" s="175" t="s">
        <v>6199</v>
      </c>
      <c r="Q1057" s="153" t="s">
        <v>151</v>
      </c>
      <c r="R1057" s="158" t="s">
        <v>149</v>
      </c>
      <c r="S1057" s="158" t="s">
        <v>149</v>
      </c>
      <c r="T1057" s="158" t="s">
        <v>149</v>
      </c>
      <c r="U1057" s="153" t="s">
        <v>1381</v>
      </c>
      <c r="V1057" s="158" t="s">
        <v>6154</v>
      </c>
      <c r="W1057" s="158" t="s">
        <v>206</v>
      </c>
      <c r="X1057" s="158" t="s">
        <v>159</v>
      </c>
      <c r="Y1057" s="158" t="s">
        <v>149</v>
      </c>
      <c r="Z1057" s="158" t="s">
        <v>149</v>
      </c>
      <c r="AA1057" s="158" t="s">
        <v>149</v>
      </c>
      <c r="AB1057" s="153" t="s">
        <v>660</v>
      </c>
      <c r="AC1057" s="153" t="s">
        <v>6035</v>
      </c>
      <c r="AD1057" s="153" t="s">
        <v>369</v>
      </c>
      <c r="AE1057" s="153"/>
      <c r="AF1057" s="153"/>
      <c r="AG1057" s="158" t="s">
        <v>395</v>
      </c>
      <c r="AH1057" s="153" t="s">
        <v>6060</v>
      </c>
      <c r="AI1057" s="158" t="s">
        <v>6711</v>
      </c>
      <c r="AJ1057" s="153" t="s">
        <v>398</v>
      </c>
      <c r="AK1057" s="153"/>
    </row>
    <row r="1058">
      <c r="A1058" s="152">
        <v>2023.0</v>
      </c>
      <c r="B1058" s="151">
        <v>148.0</v>
      </c>
      <c r="C1058" s="129" t="s">
        <v>140</v>
      </c>
      <c r="D1058" s="8"/>
      <c r="E1058" s="8" t="s">
        <v>8189</v>
      </c>
      <c r="F1058" s="8" t="s">
        <v>6714</v>
      </c>
      <c r="G1058" s="8">
        <f>IFERROR(__xludf.DUMMYFUNCTION("""COMPUTED_VALUE"""),578.0)</f>
        <v>578</v>
      </c>
      <c r="H1058" s="8" t="s">
        <v>257</v>
      </c>
      <c r="I1058" s="8" t="s">
        <v>497</v>
      </c>
      <c r="J1058" s="8" t="s">
        <v>498</v>
      </c>
      <c r="K1058" s="277" t="s">
        <v>499</v>
      </c>
      <c r="L1058" s="8" t="s">
        <v>384</v>
      </c>
      <c r="M1058" s="8" t="s">
        <v>502</v>
      </c>
      <c r="N1058" s="142" t="s">
        <v>6051</v>
      </c>
      <c r="O1058" s="142" t="s">
        <v>6052</v>
      </c>
      <c r="P1058" s="142" t="s">
        <v>6053</v>
      </c>
      <c r="Q1058" s="8" t="s">
        <v>151</v>
      </c>
      <c r="R1058" s="8" t="s">
        <v>6054</v>
      </c>
      <c r="U1058" s="8" t="s">
        <v>390</v>
      </c>
      <c r="AA1058" s="8" t="s">
        <v>503</v>
      </c>
      <c r="AB1058" s="8" t="s">
        <v>390</v>
      </c>
      <c r="AD1058" s="8" t="s">
        <v>6055</v>
      </c>
      <c r="AH1058" s="8" t="s">
        <v>6057</v>
      </c>
      <c r="AI1058" s="8" t="s">
        <v>2873</v>
      </c>
      <c r="AJ1058" s="8" t="s">
        <v>398</v>
      </c>
    </row>
    <row r="1059">
      <c r="A1059" s="152">
        <v>2024.0</v>
      </c>
      <c r="B1059" s="151">
        <v>355.0</v>
      </c>
      <c r="C1059" s="153"/>
      <c r="D1059" s="153"/>
      <c r="E1059" s="153" t="s">
        <v>8189</v>
      </c>
      <c r="F1059" s="153" t="s">
        <v>8712</v>
      </c>
      <c r="G1059" s="153">
        <f>IFERROR(__xludf.DUMMYFUNCTION("""COMPUTED_VALUE"""),579.0)</f>
        <v>579</v>
      </c>
      <c r="H1059" s="153" t="s">
        <v>171</v>
      </c>
      <c r="I1059" s="153" t="s">
        <v>600</v>
      </c>
      <c r="J1059" s="153" t="s">
        <v>1497</v>
      </c>
      <c r="K1059" s="153" t="s">
        <v>1498</v>
      </c>
      <c r="L1059" s="153" t="s">
        <v>1377</v>
      </c>
      <c r="M1059" s="153"/>
      <c r="N1059" s="192">
        <v>1993.0</v>
      </c>
      <c r="O1059" s="230">
        <v>1990.0</v>
      </c>
      <c r="P1059" s="230">
        <v>1994.0</v>
      </c>
      <c r="Q1059" s="153" t="s">
        <v>151</v>
      </c>
      <c r="R1059" s="158" t="s">
        <v>149</v>
      </c>
      <c r="S1059" s="158" t="s">
        <v>149</v>
      </c>
      <c r="T1059" s="158" t="s">
        <v>149</v>
      </c>
      <c r="U1059" s="153" t="s">
        <v>1381</v>
      </c>
      <c r="V1059" s="158" t="s">
        <v>6154</v>
      </c>
      <c r="W1059" s="158" t="s">
        <v>206</v>
      </c>
      <c r="X1059" s="158" t="s">
        <v>159</v>
      </c>
      <c r="Y1059" s="158" t="s">
        <v>149</v>
      </c>
      <c r="Z1059" s="158" t="s">
        <v>149</v>
      </c>
      <c r="AA1059" s="158" t="s">
        <v>149</v>
      </c>
      <c r="AB1059" s="153" t="s">
        <v>660</v>
      </c>
      <c r="AC1059" s="153" t="s">
        <v>6035</v>
      </c>
      <c r="AD1059" s="153" t="s">
        <v>369</v>
      </c>
      <c r="AE1059" s="153"/>
      <c r="AF1059" s="153"/>
      <c r="AG1059" s="158" t="s">
        <v>395</v>
      </c>
      <c r="AH1059" s="153" t="s">
        <v>6060</v>
      </c>
      <c r="AI1059" s="153" t="s">
        <v>2873</v>
      </c>
      <c r="AJ1059" s="153" t="s">
        <v>398</v>
      </c>
      <c r="AK1059" s="153"/>
    </row>
    <row r="1060">
      <c r="A1060" s="152">
        <v>2025.0</v>
      </c>
      <c r="B1060" s="151">
        <v>148.0</v>
      </c>
      <c r="C1060" s="153" t="s">
        <v>8189</v>
      </c>
      <c r="D1060" s="153"/>
      <c r="E1060" s="153" t="s">
        <v>8301</v>
      </c>
      <c r="F1060" s="153" t="s">
        <v>6715</v>
      </c>
      <c r="G1060" s="153">
        <f>IFERROR(__xludf.DUMMYFUNCTION("""COMPUTED_VALUE"""),580.0)</f>
        <v>580</v>
      </c>
      <c r="H1060" s="153" t="s">
        <v>257</v>
      </c>
      <c r="I1060" s="153" t="s">
        <v>497</v>
      </c>
      <c r="J1060" s="153" t="s">
        <v>505</v>
      </c>
      <c r="K1060" s="153" t="s">
        <v>506</v>
      </c>
      <c r="L1060" s="153" t="s">
        <v>1377</v>
      </c>
      <c r="M1060" s="153" t="s">
        <v>1398</v>
      </c>
      <c r="N1060" s="160" t="s">
        <v>6896</v>
      </c>
      <c r="O1060" s="175" t="s">
        <v>6198</v>
      </c>
      <c r="P1060" s="175" t="s">
        <v>6199</v>
      </c>
      <c r="Q1060" s="153" t="s">
        <v>151</v>
      </c>
      <c r="R1060" s="158" t="s">
        <v>149</v>
      </c>
      <c r="S1060" s="158" t="s">
        <v>149</v>
      </c>
      <c r="T1060" s="158" t="s">
        <v>149</v>
      </c>
      <c r="U1060" s="153" t="s">
        <v>1381</v>
      </c>
      <c r="V1060" s="158" t="s">
        <v>6154</v>
      </c>
      <c r="W1060" s="158" t="s">
        <v>206</v>
      </c>
      <c r="X1060" s="158" t="s">
        <v>159</v>
      </c>
      <c r="Y1060" s="158" t="s">
        <v>149</v>
      </c>
      <c r="Z1060" s="158" t="s">
        <v>149</v>
      </c>
      <c r="AA1060" s="158" t="s">
        <v>149</v>
      </c>
      <c r="AB1060" s="153" t="s">
        <v>660</v>
      </c>
      <c r="AC1060" s="153" t="s">
        <v>6035</v>
      </c>
      <c r="AD1060" s="153" t="s">
        <v>369</v>
      </c>
      <c r="AE1060" s="153"/>
      <c r="AF1060" s="153"/>
      <c r="AG1060" s="158" t="s">
        <v>395</v>
      </c>
      <c r="AH1060" s="153" t="s">
        <v>6060</v>
      </c>
      <c r="AI1060" s="158" t="s">
        <v>6711</v>
      </c>
      <c r="AJ1060" s="153" t="s">
        <v>398</v>
      </c>
      <c r="AK1060" s="153"/>
    </row>
    <row r="1061">
      <c r="A1061" s="152">
        <v>2023.0</v>
      </c>
      <c r="B1061" s="151">
        <v>149.0</v>
      </c>
      <c r="C1061" s="129" t="s">
        <v>140</v>
      </c>
      <c r="D1061" s="8"/>
      <c r="E1061" s="8" t="s">
        <v>8189</v>
      </c>
      <c r="F1061" s="8" t="s">
        <v>6716</v>
      </c>
      <c r="G1061" s="8">
        <f>IFERROR(__xludf.DUMMYFUNCTION("""COMPUTED_VALUE"""),581.0)</f>
        <v>581</v>
      </c>
      <c r="H1061" s="8" t="s">
        <v>257</v>
      </c>
      <c r="I1061" s="8" t="s">
        <v>497</v>
      </c>
      <c r="J1061" s="8" t="s">
        <v>498</v>
      </c>
      <c r="K1061" s="153" t="s">
        <v>499</v>
      </c>
      <c r="L1061" s="8" t="s">
        <v>6113</v>
      </c>
      <c r="N1061" s="142" t="s">
        <v>6230</v>
      </c>
      <c r="O1061" s="142"/>
      <c r="P1061" s="142"/>
      <c r="Q1061" s="8" t="s">
        <v>151</v>
      </c>
      <c r="R1061" s="8" t="s">
        <v>152</v>
      </c>
      <c r="T1061" s="8" t="s">
        <v>6717</v>
      </c>
      <c r="U1061" s="8" t="s">
        <v>2391</v>
      </c>
      <c r="AB1061" s="8" t="s">
        <v>2391</v>
      </c>
      <c r="AH1061" s="8" t="s">
        <v>6517</v>
      </c>
      <c r="AI1061" s="172" t="s">
        <v>2394</v>
      </c>
    </row>
    <row r="1062">
      <c r="A1062" s="152">
        <v>2024.0</v>
      </c>
      <c r="B1062" s="151">
        <v>356.0</v>
      </c>
      <c r="C1062" s="153"/>
      <c r="D1062" s="153"/>
      <c r="E1062" s="153" t="s">
        <v>8189</v>
      </c>
      <c r="F1062" s="153" t="s">
        <v>8713</v>
      </c>
      <c r="G1062" s="153">
        <f>IFERROR(__xludf.DUMMYFUNCTION("""COMPUTED_VALUE"""),582.0)</f>
        <v>582</v>
      </c>
      <c r="H1062" s="153" t="s">
        <v>171</v>
      </c>
      <c r="I1062" s="153" t="s">
        <v>600</v>
      </c>
      <c r="J1062" s="153" t="s">
        <v>1497</v>
      </c>
      <c r="K1062" s="153" t="s">
        <v>1498</v>
      </c>
      <c r="L1062" s="153" t="s">
        <v>1377</v>
      </c>
      <c r="M1062" s="153" t="s">
        <v>7385</v>
      </c>
      <c r="N1062" s="192">
        <v>1993.0</v>
      </c>
      <c r="O1062" s="230">
        <v>1990.0</v>
      </c>
      <c r="P1062" s="230">
        <v>1994.0</v>
      </c>
      <c r="Q1062" s="153" t="s">
        <v>151</v>
      </c>
      <c r="R1062" s="158" t="s">
        <v>149</v>
      </c>
      <c r="S1062" s="158" t="s">
        <v>149</v>
      </c>
      <c r="T1062" s="158" t="s">
        <v>149</v>
      </c>
      <c r="U1062" s="153" t="s">
        <v>1381</v>
      </c>
      <c r="V1062" s="158" t="s">
        <v>6154</v>
      </c>
      <c r="W1062" s="158" t="s">
        <v>206</v>
      </c>
      <c r="X1062" s="158" t="s">
        <v>159</v>
      </c>
      <c r="Y1062" s="158" t="s">
        <v>149</v>
      </c>
      <c r="Z1062" s="158" t="s">
        <v>149</v>
      </c>
      <c r="AA1062" s="158" t="s">
        <v>149</v>
      </c>
      <c r="AB1062" s="153" t="s">
        <v>660</v>
      </c>
      <c r="AC1062" s="153" t="s">
        <v>6035</v>
      </c>
      <c r="AD1062" s="153" t="s">
        <v>369</v>
      </c>
      <c r="AE1062" s="153"/>
      <c r="AF1062" s="153"/>
      <c r="AG1062" s="158" t="s">
        <v>395</v>
      </c>
      <c r="AH1062" s="153" t="s">
        <v>6060</v>
      </c>
      <c r="AI1062" s="153" t="s">
        <v>2873</v>
      </c>
      <c r="AJ1062" s="153" t="s">
        <v>398</v>
      </c>
      <c r="AK1062" s="153"/>
    </row>
    <row r="1063">
      <c r="A1063" s="152">
        <v>2025.0</v>
      </c>
      <c r="B1063" s="151">
        <v>149.0</v>
      </c>
      <c r="C1063" s="153" t="s">
        <v>8189</v>
      </c>
      <c r="D1063" s="153"/>
      <c r="E1063" s="153" t="s">
        <v>8301</v>
      </c>
      <c r="F1063" s="153" t="s">
        <v>6718</v>
      </c>
      <c r="G1063" s="153">
        <f>IFERROR(__xludf.DUMMYFUNCTION("""COMPUTED_VALUE"""),583.0)</f>
        <v>583</v>
      </c>
      <c r="H1063" s="153" t="s">
        <v>257</v>
      </c>
      <c r="I1063" s="153" t="s">
        <v>497</v>
      </c>
      <c r="J1063" s="153" t="s">
        <v>505</v>
      </c>
      <c r="K1063" s="153" t="s">
        <v>506</v>
      </c>
      <c r="L1063" s="153" t="s">
        <v>1377</v>
      </c>
      <c r="M1063" s="153" t="s">
        <v>1400</v>
      </c>
      <c r="N1063" s="160" t="s">
        <v>6896</v>
      </c>
      <c r="O1063" s="175" t="s">
        <v>6198</v>
      </c>
      <c r="P1063" s="175" t="s">
        <v>6199</v>
      </c>
      <c r="Q1063" s="153" t="s">
        <v>151</v>
      </c>
      <c r="R1063" s="158" t="s">
        <v>149</v>
      </c>
      <c r="S1063" s="158" t="s">
        <v>149</v>
      </c>
      <c r="T1063" s="158" t="s">
        <v>149</v>
      </c>
      <c r="U1063" s="153" t="s">
        <v>1381</v>
      </c>
      <c r="V1063" s="158" t="s">
        <v>6154</v>
      </c>
      <c r="W1063" s="158" t="s">
        <v>206</v>
      </c>
      <c r="X1063" s="158" t="s">
        <v>159</v>
      </c>
      <c r="Y1063" s="158" t="s">
        <v>149</v>
      </c>
      <c r="Z1063" s="158" t="s">
        <v>149</v>
      </c>
      <c r="AA1063" s="158" t="s">
        <v>149</v>
      </c>
      <c r="AB1063" s="153" t="s">
        <v>660</v>
      </c>
      <c r="AC1063" s="153" t="s">
        <v>6035</v>
      </c>
      <c r="AD1063" s="153" t="s">
        <v>369</v>
      </c>
      <c r="AE1063" s="153"/>
      <c r="AF1063" s="153"/>
      <c r="AG1063" s="158" t="s">
        <v>395</v>
      </c>
      <c r="AH1063" s="153" t="s">
        <v>6060</v>
      </c>
      <c r="AI1063" s="158" t="s">
        <v>6711</v>
      </c>
      <c r="AJ1063" s="153" t="s">
        <v>398</v>
      </c>
      <c r="AK1063" s="153"/>
    </row>
    <row r="1064">
      <c r="A1064" s="152">
        <v>2023.0</v>
      </c>
      <c r="B1064" s="151">
        <v>150.0</v>
      </c>
      <c r="C1064" s="129" t="s">
        <v>140</v>
      </c>
      <c r="D1064" s="8"/>
      <c r="E1064" s="8" t="s">
        <v>8189</v>
      </c>
      <c r="F1064" s="8" t="s">
        <v>6719</v>
      </c>
      <c r="G1064" s="8">
        <f>IFERROR(__xludf.DUMMYFUNCTION("""COMPUTED_VALUE"""),584.0)</f>
        <v>584</v>
      </c>
      <c r="H1064" s="8" t="s">
        <v>257</v>
      </c>
      <c r="I1064" s="8" t="s">
        <v>497</v>
      </c>
      <c r="J1064" s="8" t="s">
        <v>505</v>
      </c>
      <c r="K1064" s="277" t="s">
        <v>506</v>
      </c>
      <c r="L1064" s="8" t="s">
        <v>384</v>
      </c>
      <c r="M1064" s="8" t="s">
        <v>507</v>
      </c>
      <c r="N1064" s="142" t="s">
        <v>6051</v>
      </c>
      <c r="O1064" s="142" t="s">
        <v>6052</v>
      </c>
      <c r="P1064" s="142" t="s">
        <v>6053</v>
      </c>
      <c r="Q1064" s="8" t="s">
        <v>151</v>
      </c>
      <c r="R1064" s="8" t="s">
        <v>6054</v>
      </c>
      <c r="U1064" s="8" t="s">
        <v>390</v>
      </c>
      <c r="AA1064" s="8" t="s">
        <v>508</v>
      </c>
      <c r="AB1064" s="8" t="s">
        <v>390</v>
      </c>
      <c r="AD1064" s="8" t="s">
        <v>6055</v>
      </c>
      <c r="AH1064" s="8" t="s">
        <v>6057</v>
      </c>
      <c r="AI1064" s="8" t="s">
        <v>2873</v>
      </c>
      <c r="AJ1064" s="8" t="s">
        <v>398</v>
      </c>
    </row>
    <row r="1065">
      <c r="A1065" s="152">
        <v>2024.0</v>
      </c>
      <c r="B1065" s="151">
        <v>357.0</v>
      </c>
      <c r="C1065" s="153"/>
      <c r="D1065" s="153"/>
      <c r="E1065" s="153" t="s">
        <v>8189</v>
      </c>
      <c r="F1065" s="153" t="s">
        <v>8714</v>
      </c>
      <c r="G1065" s="153">
        <f>IFERROR(__xludf.DUMMYFUNCTION("""COMPUTED_VALUE"""),585.0)</f>
        <v>585</v>
      </c>
      <c r="H1065" s="153" t="s">
        <v>171</v>
      </c>
      <c r="I1065" s="153" t="s">
        <v>976</v>
      </c>
      <c r="J1065" s="153" t="s">
        <v>1502</v>
      </c>
      <c r="K1065" s="153" t="s">
        <v>1503</v>
      </c>
      <c r="L1065" s="153" t="s">
        <v>1377</v>
      </c>
      <c r="M1065" s="153"/>
      <c r="N1065" s="192">
        <v>1992.0</v>
      </c>
      <c r="O1065" s="230">
        <v>1990.0</v>
      </c>
      <c r="P1065" s="230">
        <v>1994.0</v>
      </c>
      <c r="Q1065" s="153" t="s">
        <v>151</v>
      </c>
      <c r="R1065" s="158" t="s">
        <v>149</v>
      </c>
      <c r="S1065" s="158" t="s">
        <v>149</v>
      </c>
      <c r="T1065" s="158" t="s">
        <v>149</v>
      </c>
      <c r="U1065" s="153" t="s">
        <v>1381</v>
      </c>
      <c r="V1065" s="158" t="s">
        <v>6154</v>
      </c>
      <c r="W1065" s="158" t="s">
        <v>206</v>
      </c>
      <c r="X1065" s="158" t="s">
        <v>159</v>
      </c>
      <c r="Y1065" s="158" t="s">
        <v>149</v>
      </c>
      <c r="Z1065" s="158" t="s">
        <v>149</v>
      </c>
      <c r="AA1065" s="158" t="s">
        <v>149</v>
      </c>
      <c r="AB1065" s="153" t="s">
        <v>660</v>
      </c>
      <c r="AC1065" s="153" t="s">
        <v>6035</v>
      </c>
      <c r="AD1065" s="153" t="s">
        <v>369</v>
      </c>
      <c r="AE1065" s="153"/>
      <c r="AF1065" s="153"/>
      <c r="AG1065" s="158" t="s">
        <v>395</v>
      </c>
      <c r="AH1065" s="153" t="s">
        <v>6060</v>
      </c>
      <c r="AI1065" s="153" t="s">
        <v>2873</v>
      </c>
      <c r="AJ1065" s="153" t="s">
        <v>398</v>
      </c>
      <c r="AK1065" s="153"/>
    </row>
    <row r="1066">
      <c r="A1066" s="152">
        <v>2025.0</v>
      </c>
      <c r="B1066" s="151">
        <v>150.0</v>
      </c>
      <c r="C1066" s="153" t="s">
        <v>8189</v>
      </c>
      <c r="D1066" s="153"/>
      <c r="E1066" s="153" t="s">
        <v>8301</v>
      </c>
      <c r="F1066" s="153" t="s">
        <v>6720</v>
      </c>
      <c r="G1066" s="153">
        <f>IFERROR(__xludf.DUMMYFUNCTION("""COMPUTED_VALUE"""),586.0)</f>
        <v>586</v>
      </c>
      <c r="H1066" s="153" t="s">
        <v>257</v>
      </c>
      <c r="I1066" s="153" t="s">
        <v>497</v>
      </c>
      <c r="J1066" s="153" t="s">
        <v>505</v>
      </c>
      <c r="K1066" s="153" t="s">
        <v>506</v>
      </c>
      <c r="L1066" s="153" t="s">
        <v>1377</v>
      </c>
      <c r="M1066" s="153" t="s">
        <v>1402</v>
      </c>
      <c r="N1066" s="160" t="s">
        <v>6896</v>
      </c>
      <c r="O1066" s="175" t="s">
        <v>6198</v>
      </c>
      <c r="P1066" s="175" t="s">
        <v>6199</v>
      </c>
      <c r="Q1066" s="153" t="s">
        <v>151</v>
      </c>
      <c r="R1066" s="158" t="s">
        <v>149</v>
      </c>
      <c r="S1066" s="158" t="s">
        <v>149</v>
      </c>
      <c r="T1066" s="158" t="s">
        <v>149</v>
      </c>
      <c r="U1066" s="153" t="s">
        <v>1381</v>
      </c>
      <c r="V1066" s="158" t="s">
        <v>6154</v>
      </c>
      <c r="W1066" s="158" t="s">
        <v>206</v>
      </c>
      <c r="X1066" s="158" t="s">
        <v>159</v>
      </c>
      <c r="Y1066" s="158" t="s">
        <v>149</v>
      </c>
      <c r="Z1066" s="158" t="s">
        <v>149</v>
      </c>
      <c r="AA1066" s="158" t="s">
        <v>149</v>
      </c>
      <c r="AB1066" s="153" t="s">
        <v>660</v>
      </c>
      <c r="AC1066" s="153" t="s">
        <v>6035</v>
      </c>
      <c r="AD1066" s="153" t="s">
        <v>369</v>
      </c>
      <c r="AE1066" s="153"/>
      <c r="AF1066" s="153"/>
      <c r="AG1066" s="158" t="s">
        <v>395</v>
      </c>
      <c r="AH1066" s="153" t="s">
        <v>6060</v>
      </c>
      <c r="AI1066" s="158" t="s">
        <v>6711</v>
      </c>
      <c r="AJ1066" s="153" t="s">
        <v>398</v>
      </c>
      <c r="AK1066" s="153"/>
    </row>
    <row r="1067">
      <c r="A1067" s="152">
        <v>2023.0</v>
      </c>
      <c r="B1067" s="151">
        <v>151.0</v>
      </c>
      <c r="C1067" s="129" t="s">
        <v>140</v>
      </c>
      <c r="D1067" s="8"/>
      <c r="E1067" s="8" t="s">
        <v>8189</v>
      </c>
      <c r="F1067" s="8" t="s">
        <v>8715</v>
      </c>
      <c r="G1067" s="8">
        <f>IFERROR(__xludf.DUMMYFUNCTION("""COMPUTED_VALUE"""),587.0)</f>
        <v>587</v>
      </c>
      <c r="H1067" s="8" t="s">
        <v>257</v>
      </c>
      <c r="I1067" s="8" t="s">
        <v>497</v>
      </c>
      <c r="J1067" s="8" t="s">
        <v>505</v>
      </c>
      <c r="K1067" s="279" t="s">
        <v>506</v>
      </c>
      <c r="L1067" s="8" t="s">
        <v>1377</v>
      </c>
      <c r="M1067" s="8" t="s">
        <v>1394</v>
      </c>
      <c r="N1067" s="142"/>
      <c r="O1067" s="142" t="s">
        <v>6198</v>
      </c>
      <c r="P1067" s="142" t="s">
        <v>6199</v>
      </c>
      <c r="Q1067" s="8" t="s">
        <v>151</v>
      </c>
      <c r="U1067" s="8" t="s">
        <v>1381</v>
      </c>
      <c r="AB1067" s="8" t="s">
        <v>660</v>
      </c>
      <c r="AD1067" s="8" t="s">
        <v>369</v>
      </c>
      <c r="AH1067" s="8" t="s">
        <v>395</v>
      </c>
      <c r="AI1067" s="8" t="s">
        <v>2873</v>
      </c>
      <c r="AJ1067" s="8" t="s">
        <v>398</v>
      </c>
    </row>
    <row r="1068">
      <c r="A1068" s="152">
        <v>2024.0</v>
      </c>
      <c r="B1068" s="151">
        <v>358.0</v>
      </c>
      <c r="C1068" s="153"/>
      <c r="D1068" s="153"/>
      <c r="E1068" s="153" t="s">
        <v>8189</v>
      </c>
      <c r="F1068" s="153" t="s">
        <v>8716</v>
      </c>
      <c r="G1068" s="153">
        <f>IFERROR(__xludf.DUMMYFUNCTION("""COMPUTED_VALUE"""),588.0)</f>
        <v>588</v>
      </c>
      <c r="H1068" s="153" t="s">
        <v>171</v>
      </c>
      <c r="I1068" s="153" t="s">
        <v>976</v>
      </c>
      <c r="J1068" s="153" t="s">
        <v>8717</v>
      </c>
      <c r="K1068" s="153" t="s">
        <v>1506</v>
      </c>
      <c r="L1068" s="153" t="s">
        <v>1377</v>
      </c>
      <c r="M1068" s="153" t="s">
        <v>1507</v>
      </c>
      <c r="N1068" s="192" t="s">
        <v>149</v>
      </c>
      <c r="O1068" s="230">
        <v>1990.0</v>
      </c>
      <c r="P1068" s="230">
        <v>1994.0</v>
      </c>
      <c r="Q1068" s="153" t="s">
        <v>151</v>
      </c>
      <c r="R1068" s="158" t="s">
        <v>149</v>
      </c>
      <c r="S1068" s="158" t="s">
        <v>149</v>
      </c>
      <c r="T1068" s="158" t="s">
        <v>149</v>
      </c>
      <c r="U1068" s="153" t="s">
        <v>1381</v>
      </c>
      <c r="V1068" s="158" t="s">
        <v>6154</v>
      </c>
      <c r="W1068" s="158" t="s">
        <v>206</v>
      </c>
      <c r="X1068" s="158" t="s">
        <v>159</v>
      </c>
      <c r="Y1068" s="158" t="s">
        <v>149</v>
      </c>
      <c r="Z1068" s="158" t="s">
        <v>149</v>
      </c>
      <c r="AA1068" s="158" t="s">
        <v>149</v>
      </c>
      <c r="AB1068" s="153" t="s">
        <v>660</v>
      </c>
      <c r="AC1068" s="153" t="s">
        <v>6035</v>
      </c>
      <c r="AD1068" s="153" t="s">
        <v>369</v>
      </c>
      <c r="AE1068" s="153"/>
      <c r="AF1068" s="153"/>
      <c r="AG1068" s="158" t="s">
        <v>395</v>
      </c>
      <c r="AH1068" s="153" t="s">
        <v>6060</v>
      </c>
      <c r="AI1068" s="153" t="s">
        <v>2873</v>
      </c>
      <c r="AJ1068" s="153" t="s">
        <v>398</v>
      </c>
      <c r="AK1068" s="153"/>
    </row>
    <row r="1069">
      <c r="A1069" s="152">
        <v>2025.0</v>
      </c>
      <c r="B1069" s="151">
        <v>151.0</v>
      </c>
      <c r="C1069" s="153" t="s">
        <v>8189</v>
      </c>
      <c r="D1069" s="153"/>
      <c r="E1069" s="153" t="s">
        <v>8301</v>
      </c>
      <c r="F1069" s="153" t="s">
        <v>6722</v>
      </c>
      <c r="G1069" s="153">
        <f>IFERROR(__xludf.DUMMYFUNCTION("""COMPUTED_VALUE"""),589.0)</f>
        <v>589</v>
      </c>
      <c r="H1069" s="153" t="s">
        <v>257</v>
      </c>
      <c r="I1069" s="153" t="s">
        <v>497</v>
      </c>
      <c r="J1069" s="153" t="s">
        <v>505</v>
      </c>
      <c r="K1069" s="153" t="s">
        <v>506</v>
      </c>
      <c r="L1069" s="153" t="s">
        <v>1377</v>
      </c>
      <c r="M1069" s="153" t="s">
        <v>1404</v>
      </c>
      <c r="N1069" s="160" t="s">
        <v>6896</v>
      </c>
      <c r="O1069" s="175" t="s">
        <v>6198</v>
      </c>
      <c r="P1069" s="175" t="s">
        <v>6199</v>
      </c>
      <c r="Q1069" s="153" t="s">
        <v>151</v>
      </c>
      <c r="R1069" s="158" t="s">
        <v>149</v>
      </c>
      <c r="S1069" s="158" t="s">
        <v>149</v>
      </c>
      <c r="T1069" s="158" t="s">
        <v>149</v>
      </c>
      <c r="U1069" s="153" t="s">
        <v>1381</v>
      </c>
      <c r="V1069" s="158" t="s">
        <v>6154</v>
      </c>
      <c r="W1069" s="158" t="s">
        <v>206</v>
      </c>
      <c r="X1069" s="158" t="s">
        <v>159</v>
      </c>
      <c r="Y1069" s="158" t="s">
        <v>149</v>
      </c>
      <c r="Z1069" s="158" t="s">
        <v>149</v>
      </c>
      <c r="AA1069" s="158" t="s">
        <v>149</v>
      </c>
      <c r="AB1069" s="153" t="s">
        <v>660</v>
      </c>
      <c r="AC1069" s="153" t="s">
        <v>6035</v>
      </c>
      <c r="AD1069" s="153" t="s">
        <v>369</v>
      </c>
      <c r="AE1069" s="153"/>
      <c r="AF1069" s="153"/>
      <c r="AG1069" s="158" t="s">
        <v>395</v>
      </c>
      <c r="AH1069" s="153" t="s">
        <v>6060</v>
      </c>
      <c r="AI1069" s="158" t="s">
        <v>6711</v>
      </c>
      <c r="AJ1069" s="153" t="s">
        <v>398</v>
      </c>
      <c r="AK1069" s="153"/>
    </row>
    <row r="1070">
      <c r="A1070" s="152">
        <v>2023.0</v>
      </c>
      <c r="B1070" s="151">
        <v>152.0</v>
      </c>
      <c r="C1070" s="129" t="s">
        <v>140</v>
      </c>
      <c r="D1070" s="8"/>
      <c r="E1070" s="8" t="s">
        <v>8189</v>
      </c>
      <c r="F1070" s="8" t="s">
        <v>8718</v>
      </c>
      <c r="G1070" s="8">
        <f>IFERROR(__xludf.DUMMYFUNCTION("""COMPUTED_VALUE"""),590.0)</f>
        <v>590</v>
      </c>
      <c r="H1070" s="8" t="s">
        <v>257</v>
      </c>
      <c r="I1070" s="8" t="s">
        <v>497</v>
      </c>
      <c r="J1070" s="8" t="s">
        <v>505</v>
      </c>
      <c r="K1070" s="279" t="s">
        <v>506</v>
      </c>
      <c r="L1070" s="8" t="s">
        <v>1377</v>
      </c>
      <c r="M1070" s="8" t="s">
        <v>1396</v>
      </c>
      <c r="N1070" s="142"/>
      <c r="O1070" s="142" t="s">
        <v>6198</v>
      </c>
      <c r="P1070" s="142" t="s">
        <v>6199</v>
      </c>
      <c r="Q1070" s="8" t="s">
        <v>151</v>
      </c>
      <c r="U1070" s="8" t="s">
        <v>1381</v>
      </c>
      <c r="AB1070" s="8" t="s">
        <v>660</v>
      </c>
      <c r="AD1070" s="8" t="s">
        <v>369</v>
      </c>
      <c r="AH1070" s="8" t="s">
        <v>395</v>
      </c>
      <c r="AI1070" s="8" t="s">
        <v>2873</v>
      </c>
      <c r="AJ1070" s="8" t="s">
        <v>398</v>
      </c>
    </row>
    <row r="1071">
      <c r="A1071" s="152">
        <v>2024.0</v>
      </c>
      <c r="B1071" s="151">
        <v>359.0</v>
      </c>
      <c r="C1071" s="153"/>
      <c r="D1071" s="153"/>
      <c r="E1071" s="153" t="s">
        <v>8189</v>
      </c>
      <c r="F1071" s="153" t="s">
        <v>8719</v>
      </c>
      <c r="G1071" s="153">
        <f>IFERROR(__xludf.DUMMYFUNCTION("""COMPUTED_VALUE"""),591.0)</f>
        <v>591</v>
      </c>
      <c r="H1071" s="153" t="s">
        <v>171</v>
      </c>
      <c r="I1071" s="153" t="s">
        <v>976</v>
      </c>
      <c r="J1071" s="153" t="s">
        <v>977</v>
      </c>
      <c r="K1071" s="153" t="s">
        <v>978</v>
      </c>
      <c r="L1071" s="153" t="s">
        <v>934</v>
      </c>
      <c r="M1071" s="153"/>
      <c r="N1071" s="230">
        <v>2001.0</v>
      </c>
      <c r="O1071" s="230">
        <v>2001.0</v>
      </c>
      <c r="P1071" s="230">
        <v>2005.0</v>
      </c>
      <c r="Q1071" s="153" t="s">
        <v>6062</v>
      </c>
      <c r="R1071" s="153" t="s">
        <v>3245</v>
      </c>
      <c r="S1071" s="158" t="s">
        <v>179</v>
      </c>
      <c r="T1071" s="153" t="s">
        <v>939</v>
      </c>
      <c r="U1071" s="153" t="s">
        <v>940</v>
      </c>
      <c r="V1071" s="158" t="s">
        <v>6154</v>
      </c>
      <c r="W1071" s="158" t="s">
        <v>206</v>
      </c>
      <c r="X1071" s="158" t="s">
        <v>204</v>
      </c>
      <c r="Y1071" s="158" t="s">
        <v>149</v>
      </c>
      <c r="Z1071" s="158" t="s">
        <v>149</v>
      </c>
      <c r="AA1071" s="158" t="s">
        <v>149</v>
      </c>
      <c r="AB1071" s="153" t="s">
        <v>233</v>
      </c>
      <c r="AC1071" s="158" t="s">
        <v>6068</v>
      </c>
      <c r="AD1071" s="153"/>
      <c r="AE1071" s="153"/>
      <c r="AF1071" s="153"/>
      <c r="AG1071" s="158" t="s">
        <v>6214</v>
      </c>
      <c r="AH1071" s="153" t="s">
        <v>941</v>
      </c>
      <c r="AI1071" s="153" t="s">
        <v>942</v>
      </c>
      <c r="AJ1071" s="153" t="s">
        <v>943</v>
      </c>
      <c r="AK1071" s="153"/>
    </row>
    <row r="1072">
      <c r="A1072" s="152">
        <v>2025.0</v>
      </c>
      <c r="B1072" s="151">
        <v>152.0</v>
      </c>
      <c r="C1072" s="153" t="s">
        <v>8189</v>
      </c>
      <c r="D1072" s="153"/>
      <c r="E1072" s="153" t="s">
        <v>8301</v>
      </c>
      <c r="F1072" s="153" t="s">
        <v>6724</v>
      </c>
      <c r="G1072" s="153">
        <f>IFERROR(__xludf.DUMMYFUNCTION("""COMPUTED_VALUE"""),592.0)</f>
        <v>592</v>
      </c>
      <c r="H1072" s="153" t="s">
        <v>257</v>
      </c>
      <c r="I1072" s="153" t="s">
        <v>497</v>
      </c>
      <c r="J1072" s="153" t="s">
        <v>1406</v>
      </c>
      <c r="K1072" s="153" t="s">
        <v>1407</v>
      </c>
      <c r="L1072" s="153" t="s">
        <v>1377</v>
      </c>
      <c r="M1072" s="153"/>
      <c r="N1072" s="160" t="s">
        <v>6896</v>
      </c>
      <c r="O1072" s="175" t="s">
        <v>6198</v>
      </c>
      <c r="P1072" s="175" t="s">
        <v>6199</v>
      </c>
      <c r="Q1072" s="153" t="s">
        <v>151</v>
      </c>
      <c r="R1072" s="158" t="s">
        <v>149</v>
      </c>
      <c r="S1072" s="158" t="s">
        <v>149</v>
      </c>
      <c r="T1072" s="158" t="s">
        <v>149</v>
      </c>
      <c r="U1072" s="153" t="s">
        <v>1381</v>
      </c>
      <c r="V1072" s="158" t="s">
        <v>6154</v>
      </c>
      <c r="W1072" s="158" t="s">
        <v>206</v>
      </c>
      <c r="X1072" s="158" t="s">
        <v>159</v>
      </c>
      <c r="Y1072" s="158" t="s">
        <v>149</v>
      </c>
      <c r="Z1072" s="158" t="s">
        <v>149</v>
      </c>
      <c r="AA1072" s="158" t="s">
        <v>149</v>
      </c>
      <c r="AB1072" s="153" t="s">
        <v>660</v>
      </c>
      <c r="AC1072" s="153" t="s">
        <v>6035</v>
      </c>
      <c r="AD1072" s="153" t="s">
        <v>369</v>
      </c>
      <c r="AE1072" s="153"/>
      <c r="AF1072" s="153"/>
      <c r="AG1072" s="158" t="s">
        <v>395</v>
      </c>
      <c r="AH1072" s="153" t="s">
        <v>6060</v>
      </c>
      <c r="AI1072" s="172" t="s">
        <v>6711</v>
      </c>
      <c r="AJ1072" s="153" t="s">
        <v>398</v>
      </c>
      <c r="AK1072" s="153"/>
    </row>
    <row r="1073">
      <c r="A1073" s="152">
        <v>2023.0</v>
      </c>
      <c r="B1073" s="151">
        <v>153.0</v>
      </c>
      <c r="C1073" s="129" t="s">
        <v>140</v>
      </c>
      <c r="D1073" s="8"/>
      <c r="E1073" s="8" t="s">
        <v>8189</v>
      </c>
      <c r="F1073" s="8" t="s">
        <v>8720</v>
      </c>
      <c r="G1073" s="8">
        <f>IFERROR(__xludf.DUMMYFUNCTION("""COMPUTED_VALUE"""),593.0)</f>
        <v>593</v>
      </c>
      <c r="H1073" s="8" t="s">
        <v>257</v>
      </c>
      <c r="I1073" s="8" t="s">
        <v>497</v>
      </c>
      <c r="J1073" s="8" t="s">
        <v>505</v>
      </c>
      <c r="K1073" s="279" t="s">
        <v>506</v>
      </c>
      <c r="L1073" s="8" t="s">
        <v>1377</v>
      </c>
      <c r="M1073" s="8" t="s">
        <v>1398</v>
      </c>
      <c r="N1073" s="142"/>
      <c r="O1073" s="142" t="s">
        <v>6198</v>
      </c>
      <c r="P1073" s="142" t="s">
        <v>6199</v>
      </c>
      <c r="Q1073" s="8" t="s">
        <v>151</v>
      </c>
      <c r="U1073" s="8" t="s">
        <v>1381</v>
      </c>
      <c r="AB1073" s="8" t="s">
        <v>660</v>
      </c>
      <c r="AD1073" s="8" t="s">
        <v>369</v>
      </c>
      <c r="AH1073" s="8" t="s">
        <v>395</v>
      </c>
      <c r="AI1073" s="8" t="s">
        <v>2873</v>
      </c>
      <c r="AJ1073" s="8" t="s">
        <v>398</v>
      </c>
    </row>
    <row r="1074">
      <c r="A1074" s="152">
        <v>2024.0</v>
      </c>
      <c r="B1074" s="151">
        <v>360.0</v>
      </c>
      <c r="C1074" s="153"/>
      <c r="D1074" s="153"/>
      <c r="E1074" s="153" t="s">
        <v>8189</v>
      </c>
      <c r="F1074" s="153" t="s">
        <v>8721</v>
      </c>
      <c r="G1074" s="153">
        <f>IFERROR(__xludf.DUMMYFUNCTION("""COMPUTED_VALUE"""),594.0)</f>
        <v>594</v>
      </c>
      <c r="H1074" s="153" t="s">
        <v>171</v>
      </c>
      <c r="I1074" s="153" t="s">
        <v>172</v>
      </c>
      <c r="J1074" s="153" t="s">
        <v>2128</v>
      </c>
      <c r="K1074" s="153" t="s">
        <v>2129</v>
      </c>
      <c r="L1074" s="153" t="s">
        <v>2130</v>
      </c>
      <c r="M1074" s="153"/>
      <c r="N1074" s="230">
        <v>1997.0</v>
      </c>
      <c r="O1074" s="192" t="s">
        <v>149</v>
      </c>
      <c r="P1074" s="192" t="s">
        <v>149</v>
      </c>
      <c r="Q1074" s="153" t="s">
        <v>151</v>
      </c>
      <c r="R1074" s="153" t="s">
        <v>6054</v>
      </c>
      <c r="S1074" s="158" t="s">
        <v>6054</v>
      </c>
      <c r="T1074" s="158" t="s">
        <v>149</v>
      </c>
      <c r="U1074" s="153" t="s">
        <v>2131</v>
      </c>
      <c r="V1074" s="158" t="s">
        <v>6154</v>
      </c>
      <c r="W1074" s="158" t="s">
        <v>206</v>
      </c>
      <c r="X1074" s="158" t="s">
        <v>159</v>
      </c>
      <c r="Y1074" s="158" t="s">
        <v>149</v>
      </c>
      <c r="Z1074" s="158" t="s">
        <v>149</v>
      </c>
      <c r="AA1074" s="158" t="s">
        <v>149</v>
      </c>
      <c r="AB1074" s="153" t="s">
        <v>2132</v>
      </c>
      <c r="AC1074" s="158" t="s">
        <v>306</v>
      </c>
      <c r="AD1074" s="158" t="s">
        <v>2133</v>
      </c>
      <c r="AE1074" s="153"/>
      <c r="AF1074" s="153"/>
      <c r="AG1074" s="158" t="s">
        <v>6027</v>
      </c>
      <c r="AH1074" s="153" t="s">
        <v>2134</v>
      </c>
      <c r="AI1074" s="172" t="s">
        <v>2135</v>
      </c>
      <c r="AJ1074" s="153"/>
      <c r="AK1074" s="153"/>
    </row>
    <row r="1075">
      <c r="A1075" s="152">
        <v>2025.0</v>
      </c>
      <c r="B1075" s="151">
        <v>153.0</v>
      </c>
      <c r="C1075" s="153" t="s">
        <v>8189</v>
      </c>
      <c r="D1075" s="153"/>
      <c r="E1075" s="153" t="s">
        <v>8301</v>
      </c>
      <c r="F1075" s="153" t="s">
        <v>6726</v>
      </c>
      <c r="G1075" s="153">
        <f>IFERROR(__xludf.DUMMYFUNCTION("""COMPUTED_VALUE"""),595.0)</f>
        <v>595</v>
      </c>
      <c r="H1075" s="153" t="s">
        <v>257</v>
      </c>
      <c r="I1075" s="153" t="s">
        <v>497</v>
      </c>
      <c r="J1075" s="153" t="s">
        <v>510</v>
      </c>
      <c r="K1075" s="153" t="s">
        <v>511</v>
      </c>
      <c r="L1075" s="153" t="s">
        <v>384</v>
      </c>
      <c r="M1075" s="153" t="s">
        <v>512</v>
      </c>
      <c r="N1075" s="175" t="s">
        <v>6051</v>
      </c>
      <c r="O1075" s="175" t="s">
        <v>6052</v>
      </c>
      <c r="P1075" s="175" t="s">
        <v>6053</v>
      </c>
      <c r="Q1075" s="153" t="s">
        <v>151</v>
      </c>
      <c r="R1075" s="153" t="s">
        <v>6054</v>
      </c>
      <c r="S1075" s="158" t="s">
        <v>6054</v>
      </c>
      <c r="T1075" s="158" t="s">
        <v>149</v>
      </c>
      <c r="U1075" s="153" t="s">
        <v>390</v>
      </c>
      <c r="V1075" s="158" t="s">
        <v>160</v>
      </c>
      <c r="W1075" s="158" t="s">
        <v>6035</v>
      </c>
      <c r="X1075" s="158" t="s">
        <v>159</v>
      </c>
      <c r="Y1075" s="158" t="s">
        <v>149</v>
      </c>
      <c r="Z1075" s="158" t="s">
        <v>149</v>
      </c>
      <c r="AA1075" s="153" t="s">
        <v>503</v>
      </c>
      <c r="AB1075" s="153" t="s">
        <v>390</v>
      </c>
      <c r="AC1075" s="153" t="s">
        <v>6035</v>
      </c>
      <c r="AD1075" s="153" t="s">
        <v>6055</v>
      </c>
      <c r="AE1075" s="153"/>
      <c r="AF1075" s="153"/>
      <c r="AG1075" s="158" t="s">
        <v>395</v>
      </c>
      <c r="AH1075" s="153" t="s">
        <v>6060</v>
      </c>
      <c r="AI1075" s="158" t="s">
        <v>397</v>
      </c>
      <c r="AJ1075" s="153" t="s">
        <v>398</v>
      </c>
      <c r="AK1075" s="153"/>
    </row>
    <row r="1076">
      <c r="A1076" s="152">
        <v>2023.0</v>
      </c>
      <c r="B1076" s="151">
        <v>154.0</v>
      </c>
      <c r="C1076" s="129" t="s">
        <v>140</v>
      </c>
      <c r="D1076" s="8"/>
      <c r="E1076" s="8" t="s">
        <v>8189</v>
      </c>
      <c r="F1076" s="8" t="s">
        <v>8722</v>
      </c>
      <c r="G1076" s="8">
        <f>IFERROR(__xludf.DUMMYFUNCTION("""COMPUTED_VALUE"""),596.0)</f>
        <v>596</v>
      </c>
      <c r="H1076" s="8" t="s">
        <v>257</v>
      </c>
      <c r="I1076" s="8" t="s">
        <v>497</v>
      </c>
      <c r="J1076" s="8" t="s">
        <v>505</v>
      </c>
      <c r="K1076" s="279" t="s">
        <v>506</v>
      </c>
      <c r="L1076" s="8" t="s">
        <v>1377</v>
      </c>
      <c r="M1076" s="8" t="s">
        <v>1400</v>
      </c>
      <c r="N1076" s="142"/>
      <c r="O1076" s="142" t="s">
        <v>6198</v>
      </c>
      <c r="P1076" s="142" t="s">
        <v>6199</v>
      </c>
      <c r="Q1076" s="8" t="s">
        <v>151</v>
      </c>
      <c r="U1076" s="8" t="s">
        <v>1381</v>
      </c>
      <c r="AB1076" s="8" t="s">
        <v>660</v>
      </c>
      <c r="AD1076" s="8" t="s">
        <v>369</v>
      </c>
      <c r="AH1076" s="8" t="s">
        <v>395</v>
      </c>
      <c r="AI1076" s="8" t="s">
        <v>2873</v>
      </c>
      <c r="AJ1076" s="8" t="s">
        <v>398</v>
      </c>
    </row>
    <row r="1077">
      <c r="A1077" s="152">
        <v>2024.0</v>
      </c>
      <c r="B1077" s="151">
        <v>361.0</v>
      </c>
      <c r="C1077" s="153"/>
      <c r="D1077" s="153"/>
      <c r="E1077" s="153" t="s">
        <v>8189</v>
      </c>
      <c r="F1077" s="153" t="s">
        <v>8723</v>
      </c>
      <c r="G1077" s="153">
        <f>IFERROR(__xludf.DUMMYFUNCTION("""COMPUTED_VALUE"""),597.0)</f>
        <v>597</v>
      </c>
      <c r="H1077" s="153" t="s">
        <v>171</v>
      </c>
      <c r="I1077" s="153" t="s">
        <v>172</v>
      </c>
      <c r="J1077" s="153" t="s">
        <v>7356</v>
      </c>
      <c r="K1077" s="153" t="s">
        <v>1552</v>
      </c>
      <c r="L1077" s="153" t="s">
        <v>1553</v>
      </c>
      <c r="M1077" s="153" t="s">
        <v>1554</v>
      </c>
      <c r="N1077" s="230">
        <v>2021.0</v>
      </c>
      <c r="O1077" s="192" t="s">
        <v>149</v>
      </c>
      <c r="P1077" s="192" t="s">
        <v>149</v>
      </c>
      <c r="Q1077" s="153" t="s">
        <v>151</v>
      </c>
      <c r="R1077" s="158" t="s">
        <v>1556</v>
      </c>
      <c r="S1077" s="158" t="s">
        <v>1556</v>
      </c>
      <c r="T1077" s="153" t="s">
        <v>149</v>
      </c>
      <c r="U1077" s="153" t="s">
        <v>1557</v>
      </c>
      <c r="V1077" s="158" t="s">
        <v>160</v>
      </c>
      <c r="W1077" s="158" t="s">
        <v>271</v>
      </c>
      <c r="X1077" s="158" t="s">
        <v>159</v>
      </c>
      <c r="Y1077" s="158" t="s">
        <v>149</v>
      </c>
      <c r="Z1077" s="158" t="s">
        <v>149</v>
      </c>
      <c r="AA1077" s="153" t="s">
        <v>1558</v>
      </c>
      <c r="AB1077" s="153" t="s">
        <v>1557</v>
      </c>
      <c r="AC1077" s="153" t="s">
        <v>271</v>
      </c>
      <c r="AD1077" s="153" t="s">
        <v>1559</v>
      </c>
      <c r="AE1077" s="153" t="s">
        <v>1560</v>
      </c>
      <c r="AF1077" s="153"/>
      <c r="AG1077" s="153" t="s">
        <v>6038</v>
      </c>
      <c r="AH1077" s="153" t="s">
        <v>7409</v>
      </c>
      <c r="AI1077" s="172" t="s">
        <v>1562</v>
      </c>
      <c r="AJ1077" s="153"/>
      <c r="AK1077" s="153"/>
    </row>
    <row r="1078">
      <c r="A1078" s="152">
        <v>2025.0</v>
      </c>
      <c r="B1078" s="151">
        <v>154.0</v>
      </c>
      <c r="C1078" s="153" t="s">
        <v>8189</v>
      </c>
      <c r="D1078" s="153"/>
      <c r="E1078" s="153" t="s">
        <v>8301</v>
      </c>
      <c r="F1078" s="153" t="s">
        <v>6728</v>
      </c>
      <c r="G1078" s="153">
        <f>IFERROR(__xludf.DUMMYFUNCTION("""COMPUTED_VALUE"""),598.0)</f>
        <v>598</v>
      </c>
      <c r="H1078" s="153" t="s">
        <v>257</v>
      </c>
      <c r="I1078" s="153" t="s">
        <v>497</v>
      </c>
      <c r="J1078" s="153" t="s">
        <v>472</v>
      </c>
      <c r="K1078" s="153" t="s">
        <v>956</v>
      </c>
      <c r="L1078" s="153" t="s">
        <v>934</v>
      </c>
      <c r="M1078" s="153"/>
      <c r="N1078" s="175" t="s">
        <v>6229</v>
      </c>
      <c r="O1078" s="175" t="s">
        <v>6229</v>
      </c>
      <c r="P1078" s="175" t="s">
        <v>6230</v>
      </c>
      <c r="Q1078" s="153" t="s">
        <v>6062</v>
      </c>
      <c r="R1078" s="153" t="s">
        <v>3245</v>
      </c>
      <c r="S1078" s="158" t="s">
        <v>179</v>
      </c>
      <c r="T1078" s="153" t="s">
        <v>939</v>
      </c>
      <c r="U1078" s="153" t="s">
        <v>940</v>
      </c>
      <c r="V1078" s="158" t="s">
        <v>6154</v>
      </c>
      <c r="W1078" s="158" t="s">
        <v>206</v>
      </c>
      <c r="X1078" s="158" t="s">
        <v>204</v>
      </c>
      <c r="Y1078" s="158" t="s">
        <v>149</v>
      </c>
      <c r="Z1078" s="158" t="s">
        <v>149</v>
      </c>
      <c r="AA1078" s="158" t="s">
        <v>149</v>
      </c>
      <c r="AB1078" s="153" t="s">
        <v>233</v>
      </c>
      <c r="AC1078" s="158" t="s">
        <v>6068</v>
      </c>
      <c r="AD1078" s="153"/>
      <c r="AE1078" s="153"/>
      <c r="AF1078" s="153"/>
      <c r="AG1078" s="158" t="s">
        <v>6214</v>
      </c>
      <c r="AH1078" s="153" t="s">
        <v>941</v>
      </c>
      <c r="AI1078" s="153" t="s">
        <v>942</v>
      </c>
      <c r="AJ1078" s="153" t="s">
        <v>943</v>
      </c>
      <c r="AK1078" s="153"/>
    </row>
    <row r="1079">
      <c r="A1079" s="152">
        <v>2023.0</v>
      </c>
      <c r="B1079" s="151">
        <v>155.0</v>
      </c>
      <c r="C1079" s="129" t="s">
        <v>140</v>
      </c>
      <c r="D1079" s="8"/>
      <c r="E1079" s="8" t="s">
        <v>8189</v>
      </c>
      <c r="F1079" s="8" t="s">
        <v>8724</v>
      </c>
      <c r="G1079" s="8">
        <f>IFERROR(__xludf.DUMMYFUNCTION("""COMPUTED_VALUE"""),599.0)</f>
        <v>599</v>
      </c>
      <c r="H1079" s="8" t="s">
        <v>257</v>
      </c>
      <c r="I1079" s="8" t="s">
        <v>497</v>
      </c>
      <c r="J1079" s="8" t="s">
        <v>505</v>
      </c>
      <c r="K1079" s="279" t="s">
        <v>506</v>
      </c>
      <c r="L1079" s="8" t="s">
        <v>1377</v>
      </c>
      <c r="M1079" s="8" t="s">
        <v>1402</v>
      </c>
      <c r="N1079" s="142"/>
      <c r="O1079" s="142" t="s">
        <v>6198</v>
      </c>
      <c r="P1079" s="142" t="s">
        <v>6199</v>
      </c>
      <c r="Q1079" s="8" t="s">
        <v>151</v>
      </c>
      <c r="U1079" s="8" t="s">
        <v>1381</v>
      </c>
      <c r="AB1079" s="8" t="s">
        <v>660</v>
      </c>
      <c r="AD1079" s="8" t="s">
        <v>369</v>
      </c>
      <c r="AH1079" s="8" t="s">
        <v>395</v>
      </c>
      <c r="AI1079" s="8" t="s">
        <v>2873</v>
      </c>
      <c r="AJ1079" s="8" t="s">
        <v>398</v>
      </c>
    </row>
    <row r="1080">
      <c r="A1080" s="152">
        <v>2024.0</v>
      </c>
      <c r="B1080" s="151">
        <v>362.0</v>
      </c>
      <c r="C1080" s="153"/>
      <c r="D1080" s="153"/>
      <c r="E1080" s="153" t="s">
        <v>8189</v>
      </c>
      <c r="F1080" s="153" t="s">
        <v>8725</v>
      </c>
      <c r="G1080" s="153">
        <f>IFERROR(__xludf.DUMMYFUNCTION("""COMPUTED_VALUE"""),600.0)</f>
        <v>600</v>
      </c>
      <c r="H1080" s="153" t="s">
        <v>171</v>
      </c>
      <c r="I1080" s="153" t="s">
        <v>172</v>
      </c>
      <c r="J1080" s="153" t="s">
        <v>7356</v>
      </c>
      <c r="K1080" s="153" t="s">
        <v>1552</v>
      </c>
      <c r="L1080" s="158" t="s">
        <v>149</v>
      </c>
      <c r="M1080" s="153" t="s">
        <v>2629</v>
      </c>
      <c r="N1080" s="230">
        <v>2017.0</v>
      </c>
      <c r="O1080" s="230">
        <v>2017.0</v>
      </c>
      <c r="P1080" s="192" t="s">
        <v>149</v>
      </c>
      <c r="Q1080" s="153" t="s">
        <v>151</v>
      </c>
      <c r="R1080" s="153" t="s">
        <v>2631</v>
      </c>
      <c r="S1080" s="158" t="s">
        <v>2631</v>
      </c>
      <c r="T1080" s="153" t="s">
        <v>8726</v>
      </c>
      <c r="U1080" s="158" t="s">
        <v>2634</v>
      </c>
      <c r="V1080" s="158" t="s">
        <v>160</v>
      </c>
      <c r="W1080" s="158" t="s">
        <v>2635</v>
      </c>
      <c r="X1080" s="158" t="s">
        <v>204</v>
      </c>
      <c r="Y1080" s="158" t="s">
        <v>149</v>
      </c>
      <c r="Z1080" s="158" t="s">
        <v>149</v>
      </c>
      <c r="AA1080" s="158" t="s">
        <v>149</v>
      </c>
      <c r="AB1080" s="153" t="s">
        <v>7413</v>
      </c>
      <c r="AC1080" s="158" t="s">
        <v>7294</v>
      </c>
      <c r="AD1080" s="153" t="s">
        <v>8727</v>
      </c>
      <c r="AE1080" s="153"/>
      <c r="AF1080" s="153" t="s">
        <v>2638</v>
      </c>
      <c r="AG1080" s="158" t="s">
        <v>166</v>
      </c>
      <c r="AH1080" s="153" t="s">
        <v>2639</v>
      </c>
      <c r="AI1080" s="165" t="s">
        <v>2640</v>
      </c>
      <c r="AJ1080" s="153"/>
      <c r="AK1080" s="153"/>
    </row>
    <row r="1081">
      <c r="A1081" s="152">
        <v>2025.0</v>
      </c>
      <c r="B1081" s="151">
        <v>155.0</v>
      </c>
      <c r="C1081" s="153" t="s">
        <v>8189</v>
      </c>
      <c r="D1081" s="153"/>
      <c r="E1081" s="153" t="s">
        <v>8301</v>
      </c>
      <c r="F1081" s="153" t="s">
        <v>6730</v>
      </c>
      <c r="G1081" s="153">
        <f>IFERROR(__xludf.DUMMYFUNCTION("""COMPUTED_VALUE"""),601.0)</f>
        <v>601</v>
      </c>
      <c r="H1081" s="153" t="s">
        <v>257</v>
      </c>
      <c r="I1081" s="153" t="s">
        <v>497</v>
      </c>
      <c r="J1081" s="153" t="s">
        <v>514</v>
      </c>
      <c r="K1081" s="153" t="s">
        <v>515</v>
      </c>
      <c r="L1081" s="153" t="s">
        <v>384</v>
      </c>
      <c r="M1081" s="153" t="s">
        <v>516</v>
      </c>
      <c r="N1081" s="175" t="s">
        <v>6051</v>
      </c>
      <c r="O1081" s="175" t="s">
        <v>6052</v>
      </c>
      <c r="P1081" s="175" t="s">
        <v>6053</v>
      </c>
      <c r="Q1081" s="153" t="s">
        <v>151</v>
      </c>
      <c r="R1081" s="153" t="s">
        <v>6054</v>
      </c>
      <c r="S1081" s="158" t="s">
        <v>6054</v>
      </c>
      <c r="T1081" s="158" t="s">
        <v>149</v>
      </c>
      <c r="U1081" s="153" t="s">
        <v>390</v>
      </c>
      <c r="V1081" s="158" t="s">
        <v>160</v>
      </c>
      <c r="W1081" s="158" t="s">
        <v>6035</v>
      </c>
      <c r="X1081" s="158" t="s">
        <v>159</v>
      </c>
      <c r="Y1081" s="158" t="s">
        <v>149</v>
      </c>
      <c r="Z1081" s="158" t="s">
        <v>149</v>
      </c>
      <c r="AA1081" s="153" t="s">
        <v>453</v>
      </c>
      <c r="AB1081" s="153" t="s">
        <v>390</v>
      </c>
      <c r="AC1081" s="153" t="s">
        <v>6035</v>
      </c>
      <c r="AD1081" s="153" t="s">
        <v>6055</v>
      </c>
      <c r="AE1081" s="153"/>
      <c r="AF1081" s="153"/>
      <c r="AG1081" s="158" t="s">
        <v>395</v>
      </c>
      <c r="AH1081" s="153" t="s">
        <v>6060</v>
      </c>
      <c r="AI1081" s="158" t="s">
        <v>397</v>
      </c>
      <c r="AJ1081" s="153" t="s">
        <v>398</v>
      </c>
      <c r="AK1081" s="153"/>
    </row>
    <row r="1082">
      <c r="A1082" s="152">
        <v>2023.0</v>
      </c>
      <c r="B1082" s="151">
        <v>156.0</v>
      </c>
      <c r="C1082" s="129" t="s">
        <v>140</v>
      </c>
      <c r="D1082" s="8"/>
      <c r="E1082" s="8" t="s">
        <v>8189</v>
      </c>
      <c r="F1082" s="8" t="s">
        <v>8728</v>
      </c>
      <c r="G1082" s="8">
        <f>IFERROR(__xludf.DUMMYFUNCTION("""COMPUTED_VALUE"""),602.0)</f>
        <v>602</v>
      </c>
      <c r="H1082" s="8" t="s">
        <v>257</v>
      </c>
      <c r="I1082" s="8" t="s">
        <v>497</v>
      </c>
      <c r="J1082" s="8" t="s">
        <v>505</v>
      </c>
      <c r="K1082" s="279" t="s">
        <v>506</v>
      </c>
      <c r="L1082" s="8" t="s">
        <v>1377</v>
      </c>
      <c r="M1082" s="8" t="s">
        <v>1404</v>
      </c>
      <c r="N1082" s="142"/>
      <c r="O1082" s="142" t="s">
        <v>6198</v>
      </c>
      <c r="P1082" s="142" t="s">
        <v>6199</v>
      </c>
      <c r="Q1082" s="8" t="s">
        <v>151</v>
      </c>
      <c r="U1082" s="8" t="s">
        <v>1381</v>
      </c>
      <c r="AB1082" s="8" t="s">
        <v>660</v>
      </c>
      <c r="AD1082" s="8" t="s">
        <v>369</v>
      </c>
      <c r="AH1082" s="8" t="s">
        <v>395</v>
      </c>
      <c r="AI1082" s="8" t="s">
        <v>2873</v>
      </c>
      <c r="AJ1082" s="8" t="s">
        <v>398</v>
      </c>
    </row>
    <row r="1083">
      <c r="A1083" s="152">
        <v>2024.0</v>
      </c>
      <c r="B1083" s="151">
        <v>363.0</v>
      </c>
      <c r="C1083" s="153"/>
      <c r="D1083" s="153"/>
      <c r="E1083" s="153" t="s">
        <v>8189</v>
      </c>
      <c r="F1083" s="153" t="s">
        <v>8729</v>
      </c>
      <c r="G1083" s="153">
        <f>IFERROR(__xludf.DUMMYFUNCTION("""COMPUTED_VALUE"""),603.0)</f>
        <v>603</v>
      </c>
      <c r="H1083" s="153" t="s">
        <v>171</v>
      </c>
      <c r="I1083" s="153" t="s">
        <v>172</v>
      </c>
      <c r="J1083" s="153" t="s">
        <v>611</v>
      </c>
      <c r="K1083" s="153" t="s">
        <v>612</v>
      </c>
      <c r="L1083" s="153" t="s">
        <v>384</v>
      </c>
      <c r="M1083" s="153"/>
      <c r="N1083" s="230">
        <v>1986.0</v>
      </c>
      <c r="O1083" s="230">
        <v>1985.0</v>
      </c>
      <c r="P1083" s="230">
        <v>1987.0</v>
      </c>
      <c r="Q1083" s="153" t="s">
        <v>151</v>
      </c>
      <c r="R1083" s="153" t="s">
        <v>6054</v>
      </c>
      <c r="S1083" s="158" t="s">
        <v>6054</v>
      </c>
      <c r="T1083" s="158" t="s">
        <v>149</v>
      </c>
      <c r="U1083" s="153" t="s">
        <v>390</v>
      </c>
      <c r="V1083" s="158" t="s">
        <v>160</v>
      </c>
      <c r="W1083" s="158" t="s">
        <v>6035</v>
      </c>
      <c r="X1083" s="158" t="s">
        <v>159</v>
      </c>
      <c r="Y1083" s="158" t="s">
        <v>149</v>
      </c>
      <c r="Z1083" s="158" t="s">
        <v>149</v>
      </c>
      <c r="AA1083" s="158" t="s">
        <v>149</v>
      </c>
      <c r="AB1083" s="153" t="s">
        <v>390</v>
      </c>
      <c r="AC1083" s="153" t="s">
        <v>6035</v>
      </c>
      <c r="AD1083" s="153" t="s">
        <v>6055</v>
      </c>
      <c r="AE1083" s="153"/>
      <c r="AF1083" s="153"/>
      <c r="AG1083" s="158" t="s">
        <v>395</v>
      </c>
      <c r="AH1083" s="153" t="s">
        <v>6060</v>
      </c>
      <c r="AI1083" s="153" t="s">
        <v>2873</v>
      </c>
      <c r="AJ1083" s="153" t="s">
        <v>398</v>
      </c>
      <c r="AK1083" s="153"/>
    </row>
    <row r="1084">
      <c r="A1084" s="152">
        <v>2025.0</v>
      </c>
      <c r="B1084" s="151">
        <v>156.0</v>
      </c>
      <c r="C1084" s="153" t="s">
        <v>8189</v>
      </c>
      <c r="D1084" s="153"/>
      <c r="E1084" s="153" t="s">
        <v>8301</v>
      </c>
      <c r="F1084" s="153" t="s">
        <v>6732</v>
      </c>
      <c r="G1084" s="153">
        <f>IFERROR(__xludf.DUMMYFUNCTION("""COMPUTED_VALUE"""),604.0)</f>
        <v>604</v>
      </c>
      <c r="H1084" s="153" t="s">
        <v>257</v>
      </c>
      <c r="I1084" s="153" t="s">
        <v>497</v>
      </c>
      <c r="J1084" s="153" t="s">
        <v>8730</v>
      </c>
      <c r="K1084" s="153" t="s">
        <v>1410</v>
      </c>
      <c r="L1084" s="153" t="s">
        <v>1377</v>
      </c>
      <c r="M1084" s="153" t="s">
        <v>6734</v>
      </c>
      <c r="N1084" s="160" t="s">
        <v>6896</v>
      </c>
      <c r="O1084" s="175" t="s">
        <v>6198</v>
      </c>
      <c r="P1084" s="175" t="s">
        <v>6199</v>
      </c>
      <c r="Q1084" s="153" t="s">
        <v>151</v>
      </c>
      <c r="R1084" s="158" t="s">
        <v>149</v>
      </c>
      <c r="S1084" s="158" t="s">
        <v>149</v>
      </c>
      <c r="T1084" s="158" t="s">
        <v>149</v>
      </c>
      <c r="U1084" s="153" t="s">
        <v>1381</v>
      </c>
      <c r="V1084" s="158" t="s">
        <v>6154</v>
      </c>
      <c r="W1084" s="158" t="s">
        <v>206</v>
      </c>
      <c r="X1084" s="158" t="s">
        <v>159</v>
      </c>
      <c r="Y1084" s="158" t="s">
        <v>149</v>
      </c>
      <c r="Z1084" s="158" t="s">
        <v>149</v>
      </c>
      <c r="AA1084" s="158" t="s">
        <v>149</v>
      </c>
      <c r="AB1084" s="153" t="s">
        <v>660</v>
      </c>
      <c r="AC1084" s="153" t="s">
        <v>6035</v>
      </c>
      <c r="AD1084" s="153" t="s">
        <v>369</v>
      </c>
      <c r="AE1084" s="153"/>
      <c r="AF1084" s="153"/>
      <c r="AG1084" s="158" t="s">
        <v>395</v>
      </c>
      <c r="AH1084" s="153" t="s">
        <v>6060</v>
      </c>
      <c r="AI1084" s="158" t="s">
        <v>6711</v>
      </c>
      <c r="AJ1084" s="153" t="s">
        <v>398</v>
      </c>
      <c r="AK1084" s="153"/>
    </row>
    <row r="1085">
      <c r="A1085" s="152">
        <v>2023.0</v>
      </c>
      <c r="B1085" s="151">
        <v>157.0</v>
      </c>
      <c r="C1085" s="129" t="s">
        <v>140</v>
      </c>
      <c r="D1085" s="8"/>
      <c r="E1085" s="8" t="s">
        <v>8189</v>
      </c>
      <c r="F1085" s="8" t="s">
        <v>8731</v>
      </c>
      <c r="G1085" s="8">
        <f>IFERROR(__xludf.DUMMYFUNCTION("""COMPUTED_VALUE"""),605.0)</f>
        <v>605</v>
      </c>
      <c r="H1085" s="8" t="s">
        <v>257</v>
      </c>
      <c r="I1085" s="8" t="s">
        <v>497</v>
      </c>
      <c r="J1085" s="8" t="s">
        <v>1406</v>
      </c>
      <c r="K1085" s="279" t="s">
        <v>1407</v>
      </c>
      <c r="L1085" s="8" t="s">
        <v>1377</v>
      </c>
      <c r="N1085" s="142"/>
      <c r="O1085" s="142" t="s">
        <v>6198</v>
      </c>
      <c r="P1085" s="142" t="s">
        <v>6199</v>
      </c>
      <c r="Q1085" s="8" t="s">
        <v>151</v>
      </c>
      <c r="U1085" s="8" t="s">
        <v>1381</v>
      </c>
      <c r="AB1085" s="8" t="s">
        <v>660</v>
      </c>
      <c r="AD1085" s="8" t="s">
        <v>369</v>
      </c>
      <c r="AH1085" s="8" t="s">
        <v>395</v>
      </c>
      <c r="AI1085" s="8" t="s">
        <v>2873</v>
      </c>
      <c r="AJ1085" s="8" t="s">
        <v>398</v>
      </c>
    </row>
    <row r="1086">
      <c r="A1086" s="152">
        <v>2024.0</v>
      </c>
      <c r="B1086" s="151">
        <v>364.0</v>
      </c>
      <c r="C1086" s="153"/>
      <c r="D1086" s="153"/>
      <c r="E1086" s="153" t="s">
        <v>8189</v>
      </c>
      <c r="F1086" s="153" t="s">
        <v>8732</v>
      </c>
      <c r="G1086" s="153">
        <f>IFERROR(__xludf.DUMMYFUNCTION("""COMPUTED_VALUE"""),606.0)</f>
        <v>606</v>
      </c>
      <c r="H1086" s="153" t="s">
        <v>171</v>
      </c>
      <c r="I1086" s="153" t="s">
        <v>172</v>
      </c>
      <c r="J1086" s="153" t="s">
        <v>277</v>
      </c>
      <c r="K1086" s="153" t="s">
        <v>278</v>
      </c>
      <c r="L1086" s="153" t="s">
        <v>279</v>
      </c>
      <c r="M1086" s="153" t="s">
        <v>280</v>
      </c>
      <c r="N1086" s="192" t="s">
        <v>149</v>
      </c>
      <c r="O1086" s="192" t="s">
        <v>149</v>
      </c>
      <c r="P1086" s="192" t="s">
        <v>149</v>
      </c>
      <c r="Q1086" s="153" t="s">
        <v>151</v>
      </c>
      <c r="R1086" s="153" t="s">
        <v>283</v>
      </c>
      <c r="S1086" s="158" t="s">
        <v>283</v>
      </c>
      <c r="T1086" s="153" t="s">
        <v>286</v>
      </c>
      <c r="U1086" s="153" t="s">
        <v>287</v>
      </c>
      <c r="V1086" s="158" t="s">
        <v>160</v>
      </c>
      <c r="W1086" s="158" t="s">
        <v>184</v>
      </c>
      <c r="X1086" s="158" t="s">
        <v>159</v>
      </c>
      <c r="Y1086" s="158" t="s">
        <v>149</v>
      </c>
      <c r="Z1086" s="158" t="s">
        <v>149</v>
      </c>
      <c r="AA1086" s="158" t="s">
        <v>149</v>
      </c>
      <c r="AB1086" s="153" t="s">
        <v>287</v>
      </c>
      <c r="AC1086" s="158" t="s">
        <v>184</v>
      </c>
      <c r="AD1086" s="153"/>
      <c r="AE1086" s="153" t="s">
        <v>288</v>
      </c>
      <c r="AF1086" s="153"/>
      <c r="AG1086" s="158" t="s">
        <v>6091</v>
      </c>
      <c r="AH1086" s="153" t="s">
        <v>7424</v>
      </c>
      <c r="AI1086" s="153" t="s">
        <v>7425</v>
      </c>
      <c r="AJ1086" s="153"/>
      <c r="AK1086" s="153"/>
    </row>
    <row r="1087">
      <c r="A1087" s="152">
        <v>2025.0</v>
      </c>
      <c r="B1087" s="151">
        <v>157.0</v>
      </c>
      <c r="C1087" s="153" t="s">
        <v>8189</v>
      </c>
      <c r="D1087" s="153"/>
      <c r="E1087" s="153" t="s">
        <v>8301</v>
      </c>
      <c r="F1087" s="153" t="s">
        <v>6736</v>
      </c>
      <c r="G1087" s="153">
        <f>IFERROR(__xludf.DUMMYFUNCTION("""COMPUTED_VALUE"""),607.0)</f>
        <v>607</v>
      </c>
      <c r="H1087" s="153" t="s">
        <v>257</v>
      </c>
      <c r="I1087" s="153" t="s">
        <v>497</v>
      </c>
      <c r="J1087" s="153" t="s">
        <v>8733</v>
      </c>
      <c r="K1087" s="153" t="s">
        <v>1410</v>
      </c>
      <c r="L1087" s="153" t="s">
        <v>1377</v>
      </c>
      <c r="M1087" s="153" t="s">
        <v>1413</v>
      </c>
      <c r="N1087" s="160" t="s">
        <v>6896</v>
      </c>
      <c r="O1087" s="175" t="s">
        <v>6198</v>
      </c>
      <c r="P1087" s="175" t="s">
        <v>6199</v>
      </c>
      <c r="Q1087" s="153" t="s">
        <v>151</v>
      </c>
      <c r="R1087" s="158" t="s">
        <v>149</v>
      </c>
      <c r="S1087" s="158" t="s">
        <v>149</v>
      </c>
      <c r="T1087" s="158" t="s">
        <v>149</v>
      </c>
      <c r="U1087" s="153" t="s">
        <v>1381</v>
      </c>
      <c r="V1087" s="158" t="s">
        <v>6154</v>
      </c>
      <c r="W1087" s="158" t="s">
        <v>206</v>
      </c>
      <c r="X1087" s="158" t="s">
        <v>159</v>
      </c>
      <c r="Y1087" s="158" t="s">
        <v>149</v>
      </c>
      <c r="Z1087" s="158" t="s">
        <v>149</v>
      </c>
      <c r="AA1087" s="158" t="s">
        <v>149</v>
      </c>
      <c r="AB1087" s="153" t="s">
        <v>660</v>
      </c>
      <c r="AC1087" s="153" t="s">
        <v>6035</v>
      </c>
      <c r="AD1087" s="153" t="s">
        <v>369</v>
      </c>
      <c r="AE1087" s="153"/>
      <c r="AF1087" s="153"/>
      <c r="AG1087" s="158" t="s">
        <v>395</v>
      </c>
      <c r="AH1087" s="153" t="s">
        <v>6060</v>
      </c>
      <c r="AI1087" s="158" t="s">
        <v>6711</v>
      </c>
      <c r="AJ1087" s="153" t="s">
        <v>398</v>
      </c>
      <c r="AK1087" s="153"/>
    </row>
    <row r="1088">
      <c r="A1088" s="152">
        <v>2023.0</v>
      </c>
      <c r="B1088" s="151">
        <v>158.0</v>
      </c>
      <c r="C1088" s="129" t="s">
        <v>140</v>
      </c>
      <c r="D1088" s="8"/>
      <c r="E1088" s="8" t="s">
        <v>8189</v>
      </c>
      <c r="F1088" s="8" t="s">
        <v>6738</v>
      </c>
      <c r="G1088" s="8">
        <f>IFERROR(__xludf.DUMMYFUNCTION("""COMPUTED_VALUE"""),608.0)</f>
        <v>608</v>
      </c>
      <c r="H1088" s="8" t="s">
        <v>257</v>
      </c>
      <c r="I1088" s="8" t="s">
        <v>497</v>
      </c>
      <c r="J1088" s="8" t="s">
        <v>510</v>
      </c>
      <c r="K1088" s="277" t="s">
        <v>511</v>
      </c>
      <c r="L1088" s="8" t="s">
        <v>384</v>
      </c>
      <c r="M1088" s="8" t="s">
        <v>512</v>
      </c>
      <c r="N1088" s="142" t="s">
        <v>6051</v>
      </c>
      <c r="O1088" s="142" t="s">
        <v>6052</v>
      </c>
      <c r="P1088" s="142" t="s">
        <v>6053</v>
      </c>
      <c r="Q1088" s="8" t="s">
        <v>151</v>
      </c>
      <c r="R1088" s="8" t="s">
        <v>6054</v>
      </c>
      <c r="U1088" s="8" t="s">
        <v>390</v>
      </c>
      <c r="AA1088" s="8" t="s">
        <v>503</v>
      </c>
      <c r="AB1088" s="8" t="s">
        <v>390</v>
      </c>
      <c r="AD1088" s="8" t="s">
        <v>6055</v>
      </c>
      <c r="AH1088" s="8" t="s">
        <v>6057</v>
      </c>
      <c r="AI1088" s="8" t="s">
        <v>2873</v>
      </c>
      <c r="AJ1088" s="8" t="s">
        <v>398</v>
      </c>
    </row>
    <row r="1089">
      <c r="A1089" s="152">
        <v>2024.0</v>
      </c>
      <c r="B1089" s="151">
        <v>365.0</v>
      </c>
      <c r="C1089" s="153"/>
      <c r="D1089" s="153"/>
      <c r="E1089" s="153" t="s">
        <v>8189</v>
      </c>
      <c r="F1089" s="153" t="s">
        <v>8734</v>
      </c>
      <c r="G1089" s="153">
        <f>IFERROR(__xludf.DUMMYFUNCTION("""COMPUTED_VALUE"""),609.0)</f>
        <v>609</v>
      </c>
      <c r="H1089" s="153" t="s">
        <v>171</v>
      </c>
      <c r="I1089" s="153" t="s">
        <v>172</v>
      </c>
      <c r="J1089" s="153" t="s">
        <v>2642</v>
      </c>
      <c r="K1089" s="153" t="s">
        <v>2643</v>
      </c>
      <c r="L1089" s="158" t="s">
        <v>149</v>
      </c>
      <c r="M1089" s="153"/>
      <c r="N1089" s="230">
        <v>2017.0</v>
      </c>
      <c r="O1089" s="230">
        <v>2017.0</v>
      </c>
      <c r="P1089" s="192" t="s">
        <v>149</v>
      </c>
      <c r="Q1089" s="153" t="s">
        <v>151</v>
      </c>
      <c r="R1089" s="153" t="s">
        <v>2631</v>
      </c>
      <c r="S1089" s="158" t="s">
        <v>2631</v>
      </c>
      <c r="T1089" s="153" t="s">
        <v>2644</v>
      </c>
      <c r="U1089" s="158" t="s">
        <v>2634</v>
      </c>
      <c r="V1089" s="158" t="s">
        <v>160</v>
      </c>
      <c r="W1089" s="158" t="s">
        <v>2635</v>
      </c>
      <c r="X1089" s="158" t="s">
        <v>204</v>
      </c>
      <c r="Y1089" s="158" t="s">
        <v>149</v>
      </c>
      <c r="Z1089" s="158" t="s">
        <v>149</v>
      </c>
      <c r="AA1089" s="158" t="s">
        <v>149</v>
      </c>
      <c r="AB1089" s="153" t="s">
        <v>7413</v>
      </c>
      <c r="AC1089" s="158" t="s">
        <v>7294</v>
      </c>
      <c r="AD1089" s="153" t="s">
        <v>8735</v>
      </c>
      <c r="AE1089" s="153"/>
      <c r="AF1089" s="153" t="s">
        <v>2638</v>
      </c>
      <c r="AG1089" s="158" t="s">
        <v>166</v>
      </c>
      <c r="AH1089" s="153" t="s">
        <v>2639</v>
      </c>
      <c r="AI1089" s="165" t="s">
        <v>2640</v>
      </c>
      <c r="AJ1089" s="153"/>
      <c r="AK1089" s="153"/>
    </row>
    <row r="1090">
      <c r="A1090" s="152">
        <v>2025.0</v>
      </c>
      <c r="B1090" s="151">
        <v>158.0</v>
      </c>
      <c r="C1090" s="153" t="s">
        <v>8189</v>
      </c>
      <c r="D1090" s="153"/>
      <c r="E1090" s="153" t="s">
        <v>8301</v>
      </c>
      <c r="F1090" s="153" t="s">
        <v>6739</v>
      </c>
      <c r="G1090" s="153">
        <f>IFERROR(__xludf.DUMMYFUNCTION("""COMPUTED_VALUE"""),610.0)</f>
        <v>610</v>
      </c>
      <c r="H1090" s="153" t="s">
        <v>257</v>
      </c>
      <c r="I1090" s="153" t="s">
        <v>497</v>
      </c>
      <c r="J1090" s="153" t="s">
        <v>1415</v>
      </c>
      <c r="K1090" s="153" t="s">
        <v>1416</v>
      </c>
      <c r="L1090" s="153" t="s">
        <v>1377</v>
      </c>
      <c r="M1090" s="153"/>
      <c r="N1090" s="160" t="s">
        <v>6896</v>
      </c>
      <c r="O1090" s="175" t="s">
        <v>6198</v>
      </c>
      <c r="P1090" s="175" t="s">
        <v>6199</v>
      </c>
      <c r="Q1090" s="153" t="s">
        <v>151</v>
      </c>
      <c r="R1090" s="158" t="s">
        <v>149</v>
      </c>
      <c r="S1090" s="158" t="s">
        <v>149</v>
      </c>
      <c r="T1090" s="158" t="s">
        <v>149</v>
      </c>
      <c r="U1090" s="153" t="s">
        <v>1381</v>
      </c>
      <c r="V1090" s="158" t="s">
        <v>6154</v>
      </c>
      <c r="W1090" s="158" t="s">
        <v>206</v>
      </c>
      <c r="X1090" s="158" t="s">
        <v>159</v>
      </c>
      <c r="Y1090" s="158" t="s">
        <v>149</v>
      </c>
      <c r="Z1090" s="158" t="s">
        <v>149</v>
      </c>
      <c r="AA1090" s="158" t="s">
        <v>149</v>
      </c>
      <c r="AB1090" s="153" t="s">
        <v>660</v>
      </c>
      <c r="AC1090" s="153" t="s">
        <v>6035</v>
      </c>
      <c r="AD1090" s="153" t="s">
        <v>369</v>
      </c>
      <c r="AE1090" s="153"/>
      <c r="AF1090" s="153"/>
      <c r="AG1090" s="158" t="s">
        <v>395</v>
      </c>
      <c r="AH1090" s="153" t="s">
        <v>6060</v>
      </c>
      <c r="AI1090" s="177" t="s">
        <v>6711</v>
      </c>
      <c r="AJ1090" s="153" t="s">
        <v>398</v>
      </c>
      <c r="AK1090" s="153"/>
    </row>
    <row r="1091">
      <c r="A1091" s="152">
        <v>2023.0</v>
      </c>
      <c r="B1091" s="151">
        <v>159.0</v>
      </c>
      <c r="C1091" s="129" t="s">
        <v>140</v>
      </c>
      <c r="D1091" s="8"/>
      <c r="E1091" s="8" t="s">
        <v>8189</v>
      </c>
      <c r="F1091" s="8" t="s">
        <v>6741</v>
      </c>
      <c r="G1091" s="8">
        <f>IFERROR(__xludf.DUMMYFUNCTION("""COMPUTED_VALUE"""),611.0)</f>
        <v>611</v>
      </c>
      <c r="H1091" s="8" t="s">
        <v>257</v>
      </c>
      <c r="I1091" s="8" t="s">
        <v>497</v>
      </c>
      <c r="J1091" s="8" t="s">
        <v>510</v>
      </c>
      <c r="K1091" s="153" t="s">
        <v>511</v>
      </c>
      <c r="L1091" s="8" t="s">
        <v>6742</v>
      </c>
      <c r="N1091" s="142" t="s">
        <v>6064</v>
      </c>
      <c r="O1091" s="142"/>
      <c r="P1091" s="142"/>
      <c r="Q1091" s="8" t="s">
        <v>151</v>
      </c>
      <c r="U1091" s="8" t="s">
        <v>1594</v>
      </c>
      <c r="AB1091" s="8" t="s">
        <v>6743</v>
      </c>
      <c r="AH1091" s="8" t="s">
        <v>6038</v>
      </c>
      <c r="AI1091" s="8" t="s">
        <v>6744</v>
      </c>
    </row>
    <row r="1092">
      <c r="A1092" s="152">
        <v>2025.0</v>
      </c>
      <c r="B1092" s="151">
        <v>159.0</v>
      </c>
      <c r="C1092" s="153" t="s">
        <v>8189</v>
      </c>
      <c r="D1092" s="153"/>
      <c r="E1092" s="153" t="s">
        <v>8301</v>
      </c>
      <c r="F1092" s="153" t="s">
        <v>6740</v>
      </c>
      <c r="G1092" s="153">
        <f>IFERROR(__xludf.DUMMYFUNCTION("""COMPUTED_VALUE"""),612.0)</f>
        <v>612</v>
      </c>
      <c r="H1092" s="153" t="s">
        <v>257</v>
      </c>
      <c r="I1092" s="153" t="s">
        <v>497</v>
      </c>
      <c r="J1092" s="153" t="s">
        <v>1418</v>
      </c>
      <c r="K1092" s="153" t="s">
        <v>1419</v>
      </c>
      <c r="L1092" s="153" t="s">
        <v>1377</v>
      </c>
      <c r="M1092" s="153" t="s">
        <v>1420</v>
      </c>
      <c r="N1092" s="160" t="s">
        <v>6896</v>
      </c>
      <c r="O1092" s="175" t="s">
        <v>6198</v>
      </c>
      <c r="P1092" s="175" t="s">
        <v>6199</v>
      </c>
      <c r="Q1092" s="153" t="s">
        <v>151</v>
      </c>
      <c r="R1092" s="158" t="s">
        <v>149</v>
      </c>
      <c r="S1092" s="158" t="s">
        <v>149</v>
      </c>
      <c r="T1092" s="158" t="s">
        <v>149</v>
      </c>
      <c r="U1092" s="153" t="s">
        <v>1381</v>
      </c>
      <c r="V1092" s="158" t="s">
        <v>6154</v>
      </c>
      <c r="W1092" s="158" t="s">
        <v>206</v>
      </c>
      <c r="X1092" s="158" t="s">
        <v>159</v>
      </c>
      <c r="Y1092" s="158" t="s">
        <v>149</v>
      </c>
      <c r="Z1092" s="158" t="s">
        <v>149</v>
      </c>
      <c r="AA1092" s="158" t="s">
        <v>149</v>
      </c>
      <c r="AB1092" s="153" t="s">
        <v>660</v>
      </c>
      <c r="AC1092" s="153" t="s">
        <v>6035</v>
      </c>
      <c r="AD1092" s="153" t="s">
        <v>369</v>
      </c>
      <c r="AE1092" s="153"/>
      <c r="AF1092" s="153"/>
      <c r="AG1092" s="158" t="s">
        <v>395</v>
      </c>
      <c r="AH1092" s="153" t="s">
        <v>6060</v>
      </c>
      <c r="AI1092" s="158" t="s">
        <v>6711</v>
      </c>
      <c r="AJ1092" s="153" t="s">
        <v>398</v>
      </c>
      <c r="AK1092" s="153"/>
    </row>
    <row r="1093">
      <c r="A1093" s="152">
        <v>2024.0</v>
      </c>
      <c r="B1093" s="151">
        <v>366.0</v>
      </c>
      <c r="C1093" s="153"/>
      <c r="D1093" s="153"/>
      <c r="E1093" s="153" t="s">
        <v>8189</v>
      </c>
      <c r="F1093" s="153" t="s">
        <v>8736</v>
      </c>
      <c r="G1093" s="153">
        <f>IFERROR(__xludf.DUMMYFUNCTION("""COMPUTED_VALUE"""),613.0)</f>
        <v>613</v>
      </c>
      <c r="H1093" s="153" t="s">
        <v>171</v>
      </c>
      <c r="I1093" s="153" t="s">
        <v>172</v>
      </c>
      <c r="J1093" s="153" t="s">
        <v>2642</v>
      </c>
      <c r="K1093" s="153" t="s">
        <v>2643</v>
      </c>
      <c r="L1093" s="158" t="s">
        <v>149</v>
      </c>
      <c r="M1093" s="153" t="s">
        <v>7375</v>
      </c>
      <c r="N1093" s="230">
        <v>2022.0</v>
      </c>
      <c r="O1093" s="192" t="s">
        <v>149</v>
      </c>
      <c r="P1093" s="192" t="s">
        <v>149</v>
      </c>
      <c r="Q1093" s="153" t="s">
        <v>6062</v>
      </c>
      <c r="R1093" s="153" t="s">
        <v>6666</v>
      </c>
      <c r="S1093" s="158" t="s">
        <v>179</v>
      </c>
      <c r="T1093" s="158" t="s">
        <v>2815</v>
      </c>
      <c r="U1093" s="158" t="s">
        <v>2816</v>
      </c>
      <c r="V1093" s="158" t="s">
        <v>160</v>
      </c>
      <c r="W1093" s="158" t="s">
        <v>6035</v>
      </c>
      <c r="X1093" s="158" t="s">
        <v>159</v>
      </c>
      <c r="Y1093" s="158" t="s">
        <v>149</v>
      </c>
      <c r="Z1093" s="158" t="s">
        <v>149</v>
      </c>
      <c r="AA1093" s="158" t="s">
        <v>149</v>
      </c>
      <c r="AB1093" s="158" t="s">
        <v>2816</v>
      </c>
      <c r="AC1093" s="153" t="s">
        <v>6035</v>
      </c>
      <c r="AD1093" s="158" t="s">
        <v>2817</v>
      </c>
      <c r="AE1093" s="153"/>
      <c r="AF1093" s="153"/>
      <c r="AG1093" s="158" t="s">
        <v>166</v>
      </c>
      <c r="AH1093" s="153" t="s">
        <v>2818</v>
      </c>
      <c r="AI1093" s="165" t="s">
        <v>2819</v>
      </c>
      <c r="AJ1093" s="153"/>
      <c r="AK1093" s="153"/>
    </row>
    <row r="1094">
      <c r="A1094" s="152">
        <v>2023.0</v>
      </c>
      <c r="B1094" s="151">
        <v>160.0</v>
      </c>
      <c r="C1094" s="129" t="s">
        <v>140</v>
      </c>
      <c r="D1094" s="8"/>
      <c r="E1094" s="8" t="s">
        <v>8189</v>
      </c>
      <c r="F1094" s="8" t="s">
        <v>6745</v>
      </c>
      <c r="G1094" s="8">
        <f>IFERROR(__xludf.DUMMYFUNCTION("""COMPUTED_VALUE"""),614.0)</f>
        <v>614</v>
      </c>
      <c r="H1094" s="8" t="s">
        <v>257</v>
      </c>
      <c r="I1094" s="8" t="s">
        <v>497</v>
      </c>
      <c r="J1094" s="8" t="s">
        <v>472</v>
      </c>
      <c r="K1094" s="198" t="s">
        <v>956</v>
      </c>
      <c r="L1094" s="8" t="s">
        <v>934</v>
      </c>
      <c r="N1094" s="142" t="s">
        <v>6229</v>
      </c>
      <c r="O1094" s="142" t="s">
        <v>6229</v>
      </c>
      <c r="P1094" s="142" t="s">
        <v>6230</v>
      </c>
      <c r="Q1094" s="8" t="s">
        <v>6062</v>
      </c>
      <c r="R1094" s="8" t="s">
        <v>6276</v>
      </c>
      <c r="T1094" s="8" t="s">
        <v>939</v>
      </c>
      <c r="U1094" s="8" t="s">
        <v>940</v>
      </c>
      <c r="AB1094" s="8" t="s">
        <v>233</v>
      </c>
      <c r="AH1094" s="8" t="s">
        <v>6214</v>
      </c>
      <c r="AI1094" s="8" t="s">
        <v>942</v>
      </c>
      <c r="AJ1094" s="8" t="s">
        <v>943</v>
      </c>
    </row>
    <row r="1095">
      <c r="A1095" s="152">
        <v>2025.0</v>
      </c>
      <c r="B1095" s="151">
        <v>160.0</v>
      </c>
      <c r="C1095" s="153" t="s">
        <v>8189</v>
      </c>
      <c r="D1095" s="153"/>
      <c r="E1095" s="153" t="s">
        <v>8301</v>
      </c>
      <c r="F1095" s="153" t="s">
        <v>6746</v>
      </c>
      <c r="G1095" s="153">
        <f>IFERROR(__xludf.DUMMYFUNCTION("""COMPUTED_VALUE"""),615.0)</f>
        <v>615</v>
      </c>
      <c r="H1095" s="153" t="s">
        <v>257</v>
      </c>
      <c r="I1095" s="153" t="s">
        <v>497</v>
      </c>
      <c r="J1095" s="153" t="s">
        <v>1418</v>
      </c>
      <c r="K1095" s="153" t="s">
        <v>1419</v>
      </c>
      <c r="L1095" s="153" t="s">
        <v>1377</v>
      </c>
      <c r="M1095" s="153" t="s">
        <v>1422</v>
      </c>
      <c r="N1095" s="160" t="s">
        <v>6896</v>
      </c>
      <c r="O1095" s="175" t="s">
        <v>6198</v>
      </c>
      <c r="P1095" s="175" t="s">
        <v>6199</v>
      </c>
      <c r="Q1095" s="153" t="s">
        <v>151</v>
      </c>
      <c r="R1095" s="158" t="s">
        <v>149</v>
      </c>
      <c r="S1095" s="158" t="s">
        <v>149</v>
      </c>
      <c r="T1095" s="158" t="s">
        <v>149</v>
      </c>
      <c r="U1095" s="153" t="s">
        <v>1381</v>
      </c>
      <c r="V1095" s="158" t="s">
        <v>6154</v>
      </c>
      <c r="W1095" s="158" t="s">
        <v>206</v>
      </c>
      <c r="X1095" s="158" t="s">
        <v>159</v>
      </c>
      <c r="Y1095" s="158" t="s">
        <v>149</v>
      </c>
      <c r="Z1095" s="158" t="s">
        <v>149</v>
      </c>
      <c r="AA1095" s="158" t="s">
        <v>149</v>
      </c>
      <c r="AB1095" s="153" t="s">
        <v>660</v>
      </c>
      <c r="AC1095" s="153" t="s">
        <v>6035</v>
      </c>
      <c r="AD1095" s="153" t="s">
        <v>369</v>
      </c>
      <c r="AE1095" s="153"/>
      <c r="AF1095" s="153"/>
      <c r="AG1095" s="158" t="s">
        <v>395</v>
      </c>
      <c r="AH1095" s="153" t="s">
        <v>6060</v>
      </c>
      <c r="AI1095" s="158" t="s">
        <v>6711</v>
      </c>
      <c r="AJ1095" s="153" t="s">
        <v>398</v>
      </c>
      <c r="AK1095" s="153"/>
    </row>
    <row r="1096">
      <c r="A1096" s="152">
        <v>2024.0</v>
      </c>
      <c r="B1096" s="151">
        <v>367.0</v>
      </c>
      <c r="C1096" s="153"/>
      <c r="D1096" s="153"/>
      <c r="E1096" s="153" t="s">
        <v>8189</v>
      </c>
      <c r="F1096" s="153" t="s">
        <v>8737</v>
      </c>
      <c r="G1096" s="153">
        <f>IFERROR(__xludf.DUMMYFUNCTION("""COMPUTED_VALUE"""),616.0)</f>
        <v>616</v>
      </c>
      <c r="H1096" s="153" t="s">
        <v>171</v>
      </c>
      <c r="I1096" s="153" t="s">
        <v>172</v>
      </c>
      <c r="J1096" s="153" t="s">
        <v>173</v>
      </c>
      <c r="K1096" s="153" t="s">
        <v>174</v>
      </c>
      <c r="L1096" s="158" t="s">
        <v>149</v>
      </c>
      <c r="M1096" s="153" t="s">
        <v>7434</v>
      </c>
      <c r="N1096" s="192" t="s">
        <v>149</v>
      </c>
      <c r="O1096" s="192" t="s">
        <v>149</v>
      </c>
      <c r="P1096" s="192" t="s">
        <v>149</v>
      </c>
      <c r="Q1096" s="153" t="s">
        <v>151</v>
      </c>
      <c r="R1096" s="153" t="s">
        <v>2217</v>
      </c>
      <c r="S1096" s="158" t="s">
        <v>2217</v>
      </c>
      <c r="T1096" s="158" t="s">
        <v>2751</v>
      </c>
      <c r="U1096" s="158" t="s">
        <v>2752</v>
      </c>
      <c r="V1096" s="158" t="s">
        <v>160</v>
      </c>
      <c r="W1096" s="158" t="s">
        <v>184</v>
      </c>
      <c r="X1096" s="158" t="s">
        <v>159</v>
      </c>
      <c r="Y1096" s="158" t="s">
        <v>149</v>
      </c>
      <c r="Z1096" s="158" t="s">
        <v>149</v>
      </c>
      <c r="AA1096" s="158" t="s">
        <v>149</v>
      </c>
      <c r="AB1096" s="153" t="s">
        <v>2752</v>
      </c>
      <c r="AC1096" s="158" t="s">
        <v>184</v>
      </c>
      <c r="AD1096" s="158"/>
      <c r="AE1096" s="158"/>
      <c r="AF1096" s="158"/>
      <c r="AG1096" s="158" t="s">
        <v>6038</v>
      </c>
      <c r="AH1096" s="153" t="s">
        <v>8738</v>
      </c>
      <c r="AI1096" s="165" t="s">
        <v>2754</v>
      </c>
      <c r="AJ1096" s="153" t="s">
        <v>188</v>
      </c>
      <c r="AK1096" s="165" t="s">
        <v>1140</v>
      </c>
    </row>
    <row r="1097">
      <c r="A1097" s="152">
        <v>2023.0</v>
      </c>
      <c r="B1097" s="151">
        <v>161.0</v>
      </c>
      <c r="C1097" s="129" t="s">
        <v>140</v>
      </c>
      <c r="D1097" s="8"/>
      <c r="E1097" s="8" t="s">
        <v>8189</v>
      </c>
      <c r="F1097" s="8" t="s">
        <v>6747</v>
      </c>
      <c r="G1097" s="8">
        <f>IFERROR(__xludf.DUMMYFUNCTION("""COMPUTED_VALUE"""),617.0)</f>
        <v>617</v>
      </c>
      <c r="H1097" s="8" t="s">
        <v>257</v>
      </c>
      <c r="I1097" s="8" t="s">
        <v>497</v>
      </c>
      <c r="J1097" s="8" t="s">
        <v>514</v>
      </c>
      <c r="K1097" s="277" t="s">
        <v>515</v>
      </c>
      <c r="L1097" s="8" t="s">
        <v>384</v>
      </c>
      <c r="M1097" s="8" t="s">
        <v>516</v>
      </c>
      <c r="N1097" s="142" t="s">
        <v>6051</v>
      </c>
      <c r="O1097" s="142" t="s">
        <v>6052</v>
      </c>
      <c r="P1097" s="142" t="s">
        <v>6053</v>
      </c>
      <c r="Q1097" s="8" t="s">
        <v>151</v>
      </c>
      <c r="R1097" s="8" t="s">
        <v>6054</v>
      </c>
      <c r="U1097" s="8" t="s">
        <v>390</v>
      </c>
      <c r="AA1097" s="8" t="s">
        <v>453</v>
      </c>
      <c r="AB1097" s="8" t="s">
        <v>390</v>
      </c>
      <c r="AD1097" s="8" t="s">
        <v>6055</v>
      </c>
      <c r="AH1097" s="8" t="s">
        <v>6057</v>
      </c>
      <c r="AI1097" s="8" t="s">
        <v>2873</v>
      </c>
      <c r="AJ1097" s="8" t="s">
        <v>398</v>
      </c>
    </row>
    <row r="1098">
      <c r="A1098" s="152">
        <v>2025.0</v>
      </c>
      <c r="B1098" s="151">
        <v>161.0</v>
      </c>
      <c r="C1098" s="153" t="s">
        <v>8189</v>
      </c>
      <c r="D1098" s="153"/>
      <c r="E1098" s="153" t="s">
        <v>8301</v>
      </c>
      <c r="F1098" s="153" t="s">
        <v>6748</v>
      </c>
      <c r="G1098" s="153">
        <f>IFERROR(__xludf.DUMMYFUNCTION("""COMPUTED_VALUE"""),618.0)</f>
        <v>618</v>
      </c>
      <c r="H1098" s="153" t="s">
        <v>257</v>
      </c>
      <c r="I1098" s="153" t="s">
        <v>497</v>
      </c>
      <c r="J1098" s="153" t="s">
        <v>1418</v>
      </c>
      <c r="K1098" s="153" t="s">
        <v>1419</v>
      </c>
      <c r="L1098" s="153" t="s">
        <v>1377</v>
      </c>
      <c r="M1098" s="153" t="s">
        <v>1424</v>
      </c>
      <c r="N1098" s="160" t="s">
        <v>6896</v>
      </c>
      <c r="O1098" s="175" t="s">
        <v>6198</v>
      </c>
      <c r="P1098" s="175" t="s">
        <v>6199</v>
      </c>
      <c r="Q1098" s="153" t="s">
        <v>151</v>
      </c>
      <c r="R1098" s="158" t="s">
        <v>149</v>
      </c>
      <c r="S1098" s="158" t="s">
        <v>149</v>
      </c>
      <c r="T1098" s="158" t="s">
        <v>149</v>
      </c>
      <c r="U1098" s="153" t="s">
        <v>1381</v>
      </c>
      <c r="V1098" s="158" t="s">
        <v>6154</v>
      </c>
      <c r="W1098" s="158" t="s">
        <v>206</v>
      </c>
      <c r="X1098" s="158" t="s">
        <v>159</v>
      </c>
      <c r="Y1098" s="158" t="s">
        <v>149</v>
      </c>
      <c r="Z1098" s="158" t="s">
        <v>149</v>
      </c>
      <c r="AA1098" s="158" t="s">
        <v>149</v>
      </c>
      <c r="AB1098" s="153" t="s">
        <v>660</v>
      </c>
      <c r="AC1098" s="153" t="s">
        <v>6035</v>
      </c>
      <c r="AD1098" s="153" t="s">
        <v>369</v>
      </c>
      <c r="AE1098" s="153"/>
      <c r="AF1098" s="153"/>
      <c r="AG1098" s="158" t="s">
        <v>395</v>
      </c>
      <c r="AH1098" s="153" t="s">
        <v>6060</v>
      </c>
      <c r="AI1098" s="158" t="s">
        <v>6711</v>
      </c>
      <c r="AJ1098" s="153" t="s">
        <v>398</v>
      </c>
      <c r="AK1098" s="153"/>
    </row>
    <row r="1099">
      <c r="A1099" s="152">
        <v>2024.0</v>
      </c>
      <c r="B1099" s="151">
        <v>368.0</v>
      </c>
      <c r="C1099" s="153"/>
      <c r="D1099" s="153"/>
      <c r="E1099" s="153" t="s">
        <v>8189</v>
      </c>
      <c r="F1099" s="153" t="s">
        <v>8739</v>
      </c>
      <c r="G1099" s="153">
        <f>IFERROR(__xludf.DUMMYFUNCTION("""COMPUTED_VALUE"""),619.0)</f>
        <v>619</v>
      </c>
      <c r="H1099" s="153" t="s">
        <v>171</v>
      </c>
      <c r="I1099" s="153" t="s">
        <v>172</v>
      </c>
      <c r="J1099" s="153" t="s">
        <v>173</v>
      </c>
      <c r="K1099" s="153" t="s">
        <v>174</v>
      </c>
      <c r="L1099" s="158" t="s">
        <v>149</v>
      </c>
      <c r="M1099" s="153" t="s">
        <v>7447</v>
      </c>
      <c r="N1099" s="230">
        <v>2017.0</v>
      </c>
      <c r="O1099" s="192" t="s">
        <v>149</v>
      </c>
      <c r="P1099" s="192" t="s">
        <v>149</v>
      </c>
      <c r="Q1099" s="153" t="s">
        <v>151</v>
      </c>
      <c r="R1099" s="153" t="s">
        <v>2758</v>
      </c>
      <c r="S1099" s="158" t="s">
        <v>2758</v>
      </c>
      <c r="T1099" s="158" t="s">
        <v>2751</v>
      </c>
      <c r="U1099" s="153" t="s">
        <v>2752</v>
      </c>
      <c r="V1099" s="158" t="s">
        <v>160</v>
      </c>
      <c r="W1099" s="158" t="s">
        <v>184</v>
      </c>
      <c r="X1099" s="158" t="s">
        <v>159</v>
      </c>
      <c r="Y1099" s="158" t="s">
        <v>149</v>
      </c>
      <c r="Z1099" s="158" t="s">
        <v>149</v>
      </c>
      <c r="AA1099" s="158" t="s">
        <v>149</v>
      </c>
      <c r="AB1099" s="153" t="s">
        <v>2752</v>
      </c>
      <c r="AC1099" s="158" t="s">
        <v>184</v>
      </c>
      <c r="AD1099" s="158"/>
      <c r="AE1099" s="158"/>
      <c r="AF1099" s="158"/>
      <c r="AG1099" s="158" t="s">
        <v>6091</v>
      </c>
      <c r="AH1099" s="153" t="s">
        <v>2759</v>
      </c>
      <c r="AI1099" s="153" t="s">
        <v>2760</v>
      </c>
      <c r="AJ1099" s="153" t="s">
        <v>188</v>
      </c>
      <c r="AK1099" s="165" t="s">
        <v>1140</v>
      </c>
    </row>
    <row r="1100">
      <c r="A1100" s="152">
        <v>2023.0</v>
      </c>
      <c r="B1100" s="151">
        <v>162.0</v>
      </c>
      <c r="C1100" s="129" t="s">
        <v>140</v>
      </c>
      <c r="D1100" s="8"/>
      <c r="E1100" s="8" t="s">
        <v>8189</v>
      </c>
      <c r="F1100" s="8" t="s">
        <v>8740</v>
      </c>
      <c r="G1100" s="8">
        <f>IFERROR(__xludf.DUMMYFUNCTION("""COMPUTED_VALUE"""),620.0)</f>
        <v>620</v>
      </c>
      <c r="H1100" s="8" t="s">
        <v>257</v>
      </c>
      <c r="I1100" s="8" t="s">
        <v>497</v>
      </c>
      <c r="J1100" s="8" t="s">
        <v>8031</v>
      </c>
      <c r="K1100" s="279" t="s">
        <v>1410</v>
      </c>
      <c r="L1100" s="8" t="s">
        <v>1377</v>
      </c>
      <c r="M1100" s="158" t="s">
        <v>8032</v>
      </c>
      <c r="N1100" s="142"/>
      <c r="O1100" s="142" t="s">
        <v>6198</v>
      </c>
      <c r="P1100" s="142" t="s">
        <v>6199</v>
      </c>
      <c r="Q1100" s="8" t="s">
        <v>151</v>
      </c>
      <c r="U1100" s="8" t="s">
        <v>1381</v>
      </c>
      <c r="AB1100" s="8" t="s">
        <v>660</v>
      </c>
      <c r="AD1100" s="8" t="s">
        <v>369</v>
      </c>
      <c r="AH1100" s="8" t="s">
        <v>395</v>
      </c>
      <c r="AI1100" s="8" t="s">
        <v>2873</v>
      </c>
      <c r="AJ1100" s="8" t="s">
        <v>398</v>
      </c>
    </row>
    <row r="1101">
      <c r="A1101" s="152">
        <v>2025.0</v>
      </c>
      <c r="B1101" s="151">
        <v>162.0</v>
      </c>
      <c r="C1101" s="153" t="s">
        <v>8189</v>
      </c>
      <c r="D1101" s="153"/>
      <c r="E1101" s="153" t="s">
        <v>707</v>
      </c>
      <c r="F1101" s="153" t="s">
        <v>6751</v>
      </c>
      <c r="G1101" s="153">
        <f>IFERROR(__xludf.DUMMYFUNCTION("""COMPUTED_VALUE"""),621.0)</f>
        <v>621</v>
      </c>
      <c r="H1101" s="153" t="s">
        <v>257</v>
      </c>
      <c r="I1101" s="153" t="s">
        <v>497</v>
      </c>
      <c r="J1101" s="153" t="s">
        <v>1418</v>
      </c>
      <c r="K1101" s="153" t="s">
        <v>1419</v>
      </c>
      <c r="L1101" s="153" t="s">
        <v>1377</v>
      </c>
      <c r="M1101" s="153" t="s">
        <v>1426</v>
      </c>
      <c r="N1101" s="160" t="s">
        <v>6896</v>
      </c>
      <c r="O1101" s="175" t="s">
        <v>6198</v>
      </c>
      <c r="P1101" s="175" t="s">
        <v>6199</v>
      </c>
      <c r="Q1101" s="153" t="s">
        <v>151</v>
      </c>
      <c r="R1101" s="158" t="s">
        <v>149</v>
      </c>
      <c r="S1101" s="158" t="s">
        <v>149</v>
      </c>
      <c r="T1101" s="158" t="s">
        <v>149</v>
      </c>
      <c r="U1101" s="153" t="s">
        <v>1381</v>
      </c>
      <c r="V1101" s="158" t="s">
        <v>6154</v>
      </c>
      <c r="W1101" s="158" t="s">
        <v>206</v>
      </c>
      <c r="X1101" s="158" t="s">
        <v>159</v>
      </c>
      <c r="Y1101" s="158" t="s">
        <v>149</v>
      </c>
      <c r="Z1101" s="158" t="s">
        <v>149</v>
      </c>
      <c r="AA1101" s="158" t="s">
        <v>149</v>
      </c>
      <c r="AB1101" s="153" t="s">
        <v>660</v>
      </c>
      <c r="AC1101" s="153" t="s">
        <v>6035</v>
      </c>
      <c r="AD1101" s="153" t="s">
        <v>369</v>
      </c>
      <c r="AE1101" s="153"/>
      <c r="AF1101" s="153"/>
      <c r="AG1101" s="158" t="s">
        <v>395</v>
      </c>
      <c r="AH1101" s="153" t="s">
        <v>6060</v>
      </c>
      <c r="AI1101" s="158" t="s">
        <v>6711</v>
      </c>
      <c r="AJ1101" s="153" t="s">
        <v>398</v>
      </c>
      <c r="AK1101" s="153"/>
    </row>
    <row r="1102">
      <c r="A1102" s="152">
        <v>2024.0</v>
      </c>
      <c r="B1102" s="151">
        <v>369.0</v>
      </c>
      <c r="C1102" s="153"/>
      <c r="D1102" s="153"/>
      <c r="E1102" s="153" t="s">
        <v>8189</v>
      </c>
      <c r="F1102" s="153" t="s">
        <v>8741</v>
      </c>
      <c r="G1102" s="153">
        <f>IFERROR(__xludf.DUMMYFUNCTION("""COMPUTED_VALUE"""),622.0)</f>
        <v>622</v>
      </c>
      <c r="H1102" s="153" t="s">
        <v>171</v>
      </c>
      <c r="I1102" s="153" t="s">
        <v>172</v>
      </c>
      <c r="J1102" s="153" t="s">
        <v>173</v>
      </c>
      <c r="K1102" s="153" t="s">
        <v>174</v>
      </c>
      <c r="L1102" s="153" t="s">
        <v>2081</v>
      </c>
      <c r="M1102" s="158" t="s">
        <v>7451</v>
      </c>
      <c r="N1102" s="192" t="s">
        <v>149</v>
      </c>
      <c r="O1102" s="192">
        <v>2018.0</v>
      </c>
      <c r="P1102" s="192" t="s">
        <v>149</v>
      </c>
      <c r="Q1102" s="153" t="s">
        <v>6062</v>
      </c>
      <c r="R1102" s="153" t="s">
        <v>179</v>
      </c>
      <c r="S1102" s="158" t="s">
        <v>2092</v>
      </c>
      <c r="T1102" s="153" t="s">
        <v>286</v>
      </c>
      <c r="U1102" s="153" t="s">
        <v>2093</v>
      </c>
      <c r="V1102" s="158" t="s">
        <v>160</v>
      </c>
      <c r="W1102" s="158" t="s">
        <v>184</v>
      </c>
      <c r="X1102" s="158" t="s">
        <v>159</v>
      </c>
      <c r="Y1102" s="158" t="s">
        <v>149</v>
      </c>
      <c r="Z1102" s="158" t="s">
        <v>149</v>
      </c>
      <c r="AA1102" s="158" t="s">
        <v>149</v>
      </c>
      <c r="AB1102" s="153" t="s">
        <v>2094</v>
      </c>
      <c r="AC1102" s="158" t="s">
        <v>184</v>
      </c>
      <c r="AD1102" s="153" t="s">
        <v>369</v>
      </c>
      <c r="AE1102" s="153"/>
      <c r="AF1102" s="153"/>
      <c r="AG1102" s="158" t="s">
        <v>166</v>
      </c>
      <c r="AH1102" s="153" t="s">
        <v>2095</v>
      </c>
      <c r="AI1102" s="153" t="s">
        <v>7392</v>
      </c>
      <c r="AJ1102" s="153"/>
      <c r="AK1102" s="153"/>
    </row>
    <row r="1103">
      <c r="A1103" s="152">
        <v>2023.0</v>
      </c>
      <c r="B1103" s="151">
        <v>163.0</v>
      </c>
      <c r="C1103" s="129" t="s">
        <v>140</v>
      </c>
      <c r="D1103" s="8"/>
      <c r="E1103" s="8" t="s">
        <v>8189</v>
      </c>
      <c r="F1103" s="8" t="s">
        <v>8742</v>
      </c>
      <c r="G1103" s="8">
        <f>IFERROR(__xludf.DUMMYFUNCTION("""COMPUTED_VALUE"""),623.0)</f>
        <v>623</v>
      </c>
      <c r="H1103" s="8" t="s">
        <v>257</v>
      </c>
      <c r="I1103" s="8" t="s">
        <v>497</v>
      </c>
      <c r="J1103" s="8" t="s">
        <v>8031</v>
      </c>
      <c r="K1103" s="279" t="s">
        <v>1410</v>
      </c>
      <c r="L1103" s="8" t="s">
        <v>1377</v>
      </c>
      <c r="M1103" s="153" t="s">
        <v>1413</v>
      </c>
      <c r="N1103" s="142"/>
      <c r="O1103" s="142" t="s">
        <v>6198</v>
      </c>
      <c r="P1103" s="142" t="s">
        <v>6199</v>
      </c>
      <c r="Q1103" s="8" t="s">
        <v>151</v>
      </c>
      <c r="U1103" s="8" t="s">
        <v>1381</v>
      </c>
      <c r="AB1103" s="8" t="s">
        <v>660</v>
      </c>
      <c r="AD1103" s="8" t="s">
        <v>369</v>
      </c>
      <c r="AH1103" s="8" t="s">
        <v>395</v>
      </c>
      <c r="AI1103" s="8" t="s">
        <v>2873</v>
      </c>
      <c r="AJ1103" s="8" t="s">
        <v>398</v>
      </c>
    </row>
    <row r="1104">
      <c r="A1104" s="152">
        <v>2025.0</v>
      </c>
      <c r="B1104" s="151">
        <v>163.0</v>
      </c>
      <c r="C1104" s="153" t="s">
        <v>8189</v>
      </c>
      <c r="D1104" s="153"/>
      <c r="E1104" s="153" t="s">
        <v>707</v>
      </c>
      <c r="F1104" s="153" t="s">
        <v>6755</v>
      </c>
      <c r="G1104" s="153">
        <f>IFERROR(__xludf.DUMMYFUNCTION("""COMPUTED_VALUE"""),624.0)</f>
        <v>624</v>
      </c>
      <c r="H1104" s="153" t="s">
        <v>257</v>
      </c>
      <c r="I1104" s="153" t="s">
        <v>497</v>
      </c>
      <c r="J1104" s="153" t="s">
        <v>1428</v>
      </c>
      <c r="K1104" s="153" t="s">
        <v>1429</v>
      </c>
      <c r="L1104" s="153" t="s">
        <v>1377</v>
      </c>
      <c r="M1104" s="153"/>
      <c r="N1104" s="160" t="s">
        <v>6896</v>
      </c>
      <c r="O1104" s="175" t="s">
        <v>6198</v>
      </c>
      <c r="P1104" s="175" t="s">
        <v>6199</v>
      </c>
      <c r="Q1104" s="153" t="s">
        <v>151</v>
      </c>
      <c r="R1104" s="158" t="s">
        <v>149</v>
      </c>
      <c r="S1104" s="158" t="s">
        <v>149</v>
      </c>
      <c r="T1104" s="158" t="s">
        <v>149</v>
      </c>
      <c r="U1104" s="153" t="s">
        <v>1381</v>
      </c>
      <c r="V1104" s="158" t="s">
        <v>6154</v>
      </c>
      <c r="W1104" s="158" t="s">
        <v>206</v>
      </c>
      <c r="X1104" s="158" t="s">
        <v>159</v>
      </c>
      <c r="Y1104" s="158" t="s">
        <v>149</v>
      </c>
      <c r="Z1104" s="158" t="s">
        <v>149</v>
      </c>
      <c r="AA1104" s="158" t="s">
        <v>149</v>
      </c>
      <c r="AB1104" s="153" t="s">
        <v>660</v>
      </c>
      <c r="AC1104" s="153" t="s">
        <v>6035</v>
      </c>
      <c r="AD1104" s="153" t="s">
        <v>369</v>
      </c>
      <c r="AE1104" s="153"/>
      <c r="AF1104" s="153"/>
      <c r="AG1104" s="158" t="s">
        <v>395</v>
      </c>
      <c r="AH1104" s="153" t="s">
        <v>6060</v>
      </c>
      <c r="AI1104" s="158" t="s">
        <v>6711</v>
      </c>
      <c r="AJ1104" s="153" t="s">
        <v>398</v>
      </c>
      <c r="AK1104" s="153"/>
    </row>
    <row r="1105">
      <c r="A1105" s="152">
        <v>2024.0</v>
      </c>
      <c r="B1105" s="151">
        <v>370.0</v>
      </c>
      <c r="C1105" s="153"/>
      <c r="D1105" s="153"/>
      <c r="E1105" s="153" t="s">
        <v>8189</v>
      </c>
      <c r="F1105" s="153" t="s">
        <v>8743</v>
      </c>
      <c r="G1105" s="153">
        <f>IFERROR(__xludf.DUMMYFUNCTION("""COMPUTED_VALUE"""),625.0)</f>
        <v>625</v>
      </c>
      <c r="H1105" s="153" t="s">
        <v>171</v>
      </c>
      <c r="I1105" s="153" t="s">
        <v>172</v>
      </c>
      <c r="J1105" s="153" t="s">
        <v>173</v>
      </c>
      <c r="K1105" s="153" t="s">
        <v>174</v>
      </c>
      <c r="L1105" s="153" t="s">
        <v>175</v>
      </c>
      <c r="M1105" s="153" t="s">
        <v>7455</v>
      </c>
      <c r="N1105" s="230">
        <v>2000.0</v>
      </c>
      <c r="O1105" s="192">
        <v>2000.0</v>
      </c>
      <c r="P1105" s="192" t="s">
        <v>149</v>
      </c>
      <c r="Q1105" s="153" t="s">
        <v>6062</v>
      </c>
      <c r="R1105" s="153" t="s">
        <v>179</v>
      </c>
      <c r="S1105" s="158" t="s">
        <v>179</v>
      </c>
      <c r="T1105" s="158" t="s">
        <v>7456</v>
      </c>
      <c r="U1105" s="153" t="s">
        <v>183</v>
      </c>
      <c r="V1105" s="158" t="s">
        <v>160</v>
      </c>
      <c r="W1105" s="158" t="s">
        <v>184</v>
      </c>
      <c r="X1105" s="158" t="s">
        <v>159</v>
      </c>
      <c r="Y1105" s="158" t="s">
        <v>149</v>
      </c>
      <c r="Z1105" s="158" t="s">
        <v>149</v>
      </c>
      <c r="AA1105" s="158" t="s">
        <v>149</v>
      </c>
      <c r="AB1105" s="153" t="s">
        <v>183</v>
      </c>
      <c r="AC1105" s="158" t="s">
        <v>184</v>
      </c>
      <c r="AD1105" s="153"/>
      <c r="AE1105" s="153" t="s">
        <v>185</v>
      </c>
      <c r="AF1105" s="153"/>
      <c r="AG1105" s="158" t="s">
        <v>166</v>
      </c>
      <c r="AH1105" s="153" t="s">
        <v>186</v>
      </c>
      <c r="AI1105" s="172" t="s">
        <v>187</v>
      </c>
      <c r="AJ1105" s="153" t="s">
        <v>188</v>
      </c>
      <c r="AK1105" s="165" t="s">
        <v>1140</v>
      </c>
    </row>
    <row r="1106">
      <c r="A1106" s="152">
        <v>2023.0</v>
      </c>
      <c r="B1106" s="151">
        <v>164.0</v>
      </c>
      <c r="C1106" s="129" t="s">
        <v>140</v>
      </c>
      <c r="D1106" s="8"/>
      <c r="E1106" s="8" t="s">
        <v>8189</v>
      </c>
      <c r="F1106" s="8" t="s">
        <v>8744</v>
      </c>
      <c r="G1106" s="8">
        <f>IFERROR(__xludf.DUMMYFUNCTION("""COMPUTED_VALUE"""),626.0)</f>
        <v>626</v>
      </c>
      <c r="H1106" s="8" t="s">
        <v>257</v>
      </c>
      <c r="I1106" s="8" t="s">
        <v>497</v>
      </c>
      <c r="J1106" s="8" t="s">
        <v>1415</v>
      </c>
      <c r="K1106" s="279" t="s">
        <v>1416</v>
      </c>
      <c r="L1106" s="8" t="s">
        <v>1377</v>
      </c>
      <c r="N1106" s="142"/>
      <c r="O1106" s="142" t="s">
        <v>6198</v>
      </c>
      <c r="P1106" s="142" t="s">
        <v>6199</v>
      </c>
      <c r="Q1106" s="8" t="s">
        <v>151</v>
      </c>
      <c r="U1106" s="8" t="s">
        <v>1381</v>
      </c>
      <c r="AB1106" s="8" t="s">
        <v>660</v>
      </c>
      <c r="AD1106" s="8" t="s">
        <v>369</v>
      </c>
      <c r="AH1106" s="8" t="s">
        <v>395</v>
      </c>
      <c r="AI1106" s="8" t="s">
        <v>2873</v>
      </c>
      <c r="AJ1106" s="8" t="s">
        <v>398</v>
      </c>
    </row>
    <row r="1107">
      <c r="A1107" s="152">
        <v>2025.0</v>
      </c>
      <c r="B1107" s="151">
        <v>164.0</v>
      </c>
      <c r="C1107" s="153" t="s">
        <v>8189</v>
      </c>
      <c r="D1107" s="153"/>
      <c r="E1107" s="153" t="s">
        <v>8301</v>
      </c>
      <c r="F1107" s="153" t="s">
        <v>6757</v>
      </c>
      <c r="G1107" s="153">
        <f>IFERROR(__xludf.DUMMYFUNCTION("""COMPUTED_VALUE"""),627.0)</f>
        <v>627</v>
      </c>
      <c r="H1107" s="153" t="s">
        <v>257</v>
      </c>
      <c r="I1107" s="153" t="s">
        <v>497</v>
      </c>
      <c r="J1107" s="153" t="s">
        <v>518</v>
      </c>
      <c r="K1107" s="153" t="s">
        <v>519</v>
      </c>
      <c r="L1107" s="153" t="s">
        <v>384</v>
      </c>
      <c r="M1107" s="153" t="s">
        <v>520</v>
      </c>
      <c r="N1107" s="175" t="s">
        <v>6051</v>
      </c>
      <c r="O1107" s="175" t="s">
        <v>6052</v>
      </c>
      <c r="P1107" s="175" t="s">
        <v>6053</v>
      </c>
      <c r="Q1107" s="153" t="s">
        <v>151</v>
      </c>
      <c r="R1107" s="153" t="s">
        <v>6054</v>
      </c>
      <c r="S1107" s="158" t="s">
        <v>6054</v>
      </c>
      <c r="T1107" s="158" t="s">
        <v>149</v>
      </c>
      <c r="U1107" s="153" t="s">
        <v>390</v>
      </c>
      <c r="V1107" s="158" t="s">
        <v>160</v>
      </c>
      <c r="W1107" s="158" t="s">
        <v>6035</v>
      </c>
      <c r="X1107" s="158" t="s">
        <v>159</v>
      </c>
      <c r="Y1107" s="158" t="s">
        <v>149</v>
      </c>
      <c r="Z1107" s="158" t="s">
        <v>149</v>
      </c>
      <c r="AA1107" s="153" t="s">
        <v>503</v>
      </c>
      <c r="AB1107" s="153" t="s">
        <v>390</v>
      </c>
      <c r="AC1107" s="153" t="s">
        <v>6035</v>
      </c>
      <c r="AD1107" s="153" t="s">
        <v>6055</v>
      </c>
      <c r="AE1107" s="153"/>
      <c r="AF1107" s="153"/>
      <c r="AG1107" s="158" t="s">
        <v>395</v>
      </c>
      <c r="AH1107" s="153" t="s">
        <v>6060</v>
      </c>
      <c r="AI1107" s="158" t="s">
        <v>397</v>
      </c>
      <c r="AJ1107" s="153" t="s">
        <v>398</v>
      </c>
      <c r="AK1107" s="153"/>
    </row>
    <row r="1108">
      <c r="A1108" s="152">
        <v>2024.0</v>
      </c>
      <c r="B1108" s="151">
        <v>371.0</v>
      </c>
      <c r="C1108" s="153"/>
      <c r="D1108" s="153"/>
      <c r="E1108" s="153" t="s">
        <v>8189</v>
      </c>
      <c r="F1108" s="153" t="s">
        <v>8745</v>
      </c>
      <c r="G1108" s="153">
        <f>IFERROR(__xludf.DUMMYFUNCTION("""COMPUTED_VALUE"""),628.0)</f>
        <v>628</v>
      </c>
      <c r="H1108" s="153" t="s">
        <v>171</v>
      </c>
      <c r="I1108" s="153" t="s">
        <v>172</v>
      </c>
      <c r="J1108" s="153" t="s">
        <v>173</v>
      </c>
      <c r="K1108" s="153" t="s">
        <v>174</v>
      </c>
      <c r="L1108" s="153" t="s">
        <v>1132</v>
      </c>
      <c r="M1108" s="153" t="s">
        <v>8746</v>
      </c>
      <c r="N1108" s="192" t="s">
        <v>149</v>
      </c>
      <c r="O1108" s="192" t="s">
        <v>149</v>
      </c>
      <c r="P1108" s="192" t="s">
        <v>149</v>
      </c>
      <c r="Q1108" s="153" t="s">
        <v>6814</v>
      </c>
      <c r="R1108" s="158" t="s">
        <v>7185</v>
      </c>
      <c r="S1108" s="153" t="s">
        <v>1134</v>
      </c>
      <c r="T1108" s="158" t="s">
        <v>1137</v>
      </c>
      <c r="U1108" s="153" t="s">
        <v>183</v>
      </c>
      <c r="V1108" s="158" t="s">
        <v>160</v>
      </c>
      <c r="W1108" s="158" t="s">
        <v>184</v>
      </c>
      <c r="X1108" s="158" t="s">
        <v>204</v>
      </c>
      <c r="Y1108" s="158" t="s">
        <v>149</v>
      </c>
      <c r="Z1108" s="158" t="s">
        <v>149</v>
      </c>
      <c r="AA1108" s="158" t="s">
        <v>149</v>
      </c>
      <c r="AB1108" s="153" t="s">
        <v>183</v>
      </c>
      <c r="AC1108" s="158" t="s">
        <v>184</v>
      </c>
      <c r="AD1108" s="153"/>
      <c r="AE1108" s="153" t="s">
        <v>185</v>
      </c>
      <c r="AF1108" s="153"/>
      <c r="AG1108" s="158" t="s">
        <v>6517</v>
      </c>
      <c r="AH1108" s="153" t="s">
        <v>1138</v>
      </c>
      <c r="AI1108" s="172" t="s">
        <v>1139</v>
      </c>
      <c r="AJ1108" s="153" t="s">
        <v>188</v>
      </c>
      <c r="AK1108" s="165" t="s">
        <v>1140</v>
      </c>
    </row>
    <row r="1109">
      <c r="A1109" s="152">
        <v>2023.0</v>
      </c>
      <c r="B1109" s="151">
        <v>165.0</v>
      </c>
      <c r="C1109" s="129" t="s">
        <v>140</v>
      </c>
      <c r="D1109" s="8"/>
      <c r="E1109" s="8" t="s">
        <v>8189</v>
      </c>
      <c r="F1109" s="8" t="s">
        <v>6758</v>
      </c>
      <c r="G1109" s="8">
        <f>IFERROR(__xludf.DUMMYFUNCTION("""COMPUTED_VALUE"""),629.0)</f>
        <v>629</v>
      </c>
      <c r="H1109" s="8" t="s">
        <v>257</v>
      </c>
      <c r="I1109" s="8" t="s">
        <v>497</v>
      </c>
      <c r="J1109" s="8" t="s">
        <v>518</v>
      </c>
      <c r="K1109" s="277" t="s">
        <v>519</v>
      </c>
      <c r="L1109" s="8" t="s">
        <v>384</v>
      </c>
      <c r="M1109" s="8" t="s">
        <v>520</v>
      </c>
      <c r="N1109" s="142" t="s">
        <v>6051</v>
      </c>
      <c r="O1109" s="142" t="s">
        <v>6052</v>
      </c>
      <c r="P1109" s="142" t="s">
        <v>6053</v>
      </c>
      <c r="Q1109" s="8" t="s">
        <v>151</v>
      </c>
      <c r="R1109" s="8" t="s">
        <v>6054</v>
      </c>
      <c r="U1109" s="8" t="s">
        <v>390</v>
      </c>
      <c r="AA1109" s="8" t="s">
        <v>503</v>
      </c>
      <c r="AB1109" s="8" t="s">
        <v>390</v>
      </c>
      <c r="AD1109" s="8" t="s">
        <v>6055</v>
      </c>
      <c r="AH1109" s="8" t="s">
        <v>6057</v>
      </c>
      <c r="AI1109" s="8" t="s">
        <v>2873</v>
      </c>
      <c r="AJ1109" s="8" t="s">
        <v>398</v>
      </c>
    </row>
    <row r="1110">
      <c r="A1110" s="152">
        <v>2025.0</v>
      </c>
      <c r="B1110" s="151">
        <v>165.0</v>
      </c>
      <c r="C1110" s="153" t="s">
        <v>8189</v>
      </c>
      <c r="D1110" s="153"/>
      <c r="E1110" s="153" t="s">
        <v>8301</v>
      </c>
      <c r="F1110" s="153" t="s">
        <v>6759</v>
      </c>
      <c r="G1110" s="153">
        <f>IFERROR(__xludf.DUMMYFUNCTION("""COMPUTED_VALUE"""),630.0)</f>
        <v>630</v>
      </c>
      <c r="H1110" s="153" t="s">
        <v>257</v>
      </c>
      <c r="I1110" s="153" t="s">
        <v>497</v>
      </c>
      <c r="J1110" s="153" t="s">
        <v>497</v>
      </c>
      <c r="K1110" s="153" t="s">
        <v>1431</v>
      </c>
      <c r="L1110" s="153" t="s">
        <v>1377</v>
      </c>
      <c r="M1110" s="153" t="s">
        <v>1432</v>
      </c>
      <c r="N1110" s="160" t="s">
        <v>6896</v>
      </c>
      <c r="O1110" s="175" t="s">
        <v>6198</v>
      </c>
      <c r="P1110" s="175" t="s">
        <v>6199</v>
      </c>
      <c r="Q1110" s="153" t="s">
        <v>151</v>
      </c>
      <c r="R1110" s="158" t="s">
        <v>149</v>
      </c>
      <c r="S1110" s="158" t="s">
        <v>149</v>
      </c>
      <c r="T1110" s="158" t="s">
        <v>149</v>
      </c>
      <c r="U1110" s="153" t="s">
        <v>1381</v>
      </c>
      <c r="V1110" s="158" t="s">
        <v>6154</v>
      </c>
      <c r="W1110" s="158" t="s">
        <v>206</v>
      </c>
      <c r="X1110" s="158" t="s">
        <v>159</v>
      </c>
      <c r="Y1110" s="158" t="s">
        <v>149</v>
      </c>
      <c r="Z1110" s="158" t="s">
        <v>149</v>
      </c>
      <c r="AA1110" s="158" t="s">
        <v>149</v>
      </c>
      <c r="AB1110" s="153" t="s">
        <v>660</v>
      </c>
      <c r="AC1110" s="153" t="s">
        <v>6035</v>
      </c>
      <c r="AD1110" s="153" t="s">
        <v>369</v>
      </c>
      <c r="AE1110" s="153"/>
      <c r="AF1110" s="153"/>
      <c r="AG1110" s="158" t="s">
        <v>395</v>
      </c>
      <c r="AH1110" s="153" t="s">
        <v>6060</v>
      </c>
      <c r="AI1110" s="158" t="s">
        <v>6711</v>
      </c>
      <c r="AJ1110" s="153" t="s">
        <v>398</v>
      </c>
      <c r="AK1110" s="153"/>
    </row>
    <row r="1111">
      <c r="A1111" s="152">
        <v>2024.0</v>
      </c>
      <c r="B1111" s="151">
        <v>372.0</v>
      </c>
      <c r="C1111" s="153"/>
      <c r="D1111" s="153"/>
      <c r="E1111" s="153" t="s">
        <v>8189</v>
      </c>
      <c r="F1111" s="153" t="s">
        <v>8747</v>
      </c>
      <c r="G1111" s="153">
        <f>IFERROR(__xludf.DUMMYFUNCTION("""COMPUTED_VALUE"""),631.0)</f>
        <v>631</v>
      </c>
      <c r="H1111" s="153" t="s">
        <v>171</v>
      </c>
      <c r="I1111" s="153" t="s">
        <v>172</v>
      </c>
      <c r="J1111" s="153" t="s">
        <v>3173</v>
      </c>
      <c r="K1111" s="153" t="s">
        <v>3174</v>
      </c>
      <c r="L1111" s="158" t="s">
        <v>149</v>
      </c>
      <c r="M1111" s="153" t="s">
        <v>7402</v>
      </c>
      <c r="N1111" s="230">
        <v>2016.0</v>
      </c>
      <c r="O1111" s="192" t="s">
        <v>149</v>
      </c>
      <c r="P1111" s="192" t="s">
        <v>149</v>
      </c>
      <c r="Q1111" s="153" t="s">
        <v>151</v>
      </c>
      <c r="R1111" s="158" t="s">
        <v>149</v>
      </c>
      <c r="S1111" s="158" t="s">
        <v>149</v>
      </c>
      <c r="T1111" s="158" t="s">
        <v>149</v>
      </c>
      <c r="U1111" s="158" t="s">
        <v>149</v>
      </c>
      <c r="V1111" s="158" t="s">
        <v>149</v>
      </c>
      <c r="W1111" s="158" t="s">
        <v>149</v>
      </c>
      <c r="X1111" s="158" t="s">
        <v>149</v>
      </c>
      <c r="Y1111" s="158" t="s">
        <v>149</v>
      </c>
      <c r="Z1111" s="158" t="s">
        <v>149</v>
      </c>
      <c r="AA1111" s="158" t="s">
        <v>149</v>
      </c>
      <c r="AB1111" s="158" t="s">
        <v>149</v>
      </c>
      <c r="AC1111" s="158" t="s">
        <v>149</v>
      </c>
      <c r="AD1111" s="153"/>
      <c r="AE1111" s="153"/>
      <c r="AF1111" s="153"/>
      <c r="AG1111" s="158" t="s">
        <v>166</v>
      </c>
      <c r="AH1111" s="153" t="s">
        <v>3175</v>
      </c>
      <c r="AI1111" s="165" t="s">
        <v>3176</v>
      </c>
      <c r="AJ1111" s="153"/>
      <c r="AK1111" s="153"/>
    </row>
    <row r="1112">
      <c r="A1112" s="152">
        <v>2023.0</v>
      </c>
      <c r="B1112" s="151">
        <v>166.0</v>
      </c>
      <c r="C1112" s="129" t="s">
        <v>140</v>
      </c>
      <c r="D1112" s="8"/>
      <c r="E1112" s="8" t="s">
        <v>8189</v>
      </c>
      <c r="F1112" s="8" t="s">
        <v>8748</v>
      </c>
      <c r="G1112" s="8">
        <f>IFERROR(__xludf.DUMMYFUNCTION("""COMPUTED_VALUE"""),632.0)</f>
        <v>632</v>
      </c>
      <c r="H1112" s="8" t="s">
        <v>257</v>
      </c>
      <c r="I1112" s="8" t="s">
        <v>497</v>
      </c>
      <c r="J1112" s="8" t="s">
        <v>1418</v>
      </c>
      <c r="K1112" s="279" t="s">
        <v>1419</v>
      </c>
      <c r="L1112" s="8" t="s">
        <v>1377</v>
      </c>
      <c r="M1112" s="8" t="s">
        <v>1420</v>
      </c>
      <c r="N1112" s="142"/>
      <c r="O1112" s="142" t="s">
        <v>6198</v>
      </c>
      <c r="P1112" s="142" t="s">
        <v>6199</v>
      </c>
      <c r="Q1112" s="8" t="s">
        <v>151</v>
      </c>
      <c r="U1112" s="8" t="s">
        <v>1381</v>
      </c>
      <c r="AB1112" s="8" t="s">
        <v>660</v>
      </c>
      <c r="AD1112" s="8" t="s">
        <v>369</v>
      </c>
      <c r="AH1112" s="8" t="s">
        <v>395</v>
      </c>
      <c r="AI1112" s="8" t="s">
        <v>2873</v>
      </c>
      <c r="AJ1112" s="8" t="s">
        <v>398</v>
      </c>
    </row>
    <row r="1113">
      <c r="A1113" s="152">
        <v>2025.0</v>
      </c>
      <c r="B1113" s="151">
        <v>166.0</v>
      </c>
      <c r="C1113" s="153" t="s">
        <v>8189</v>
      </c>
      <c r="D1113" s="153"/>
      <c r="E1113" s="153" t="s">
        <v>707</v>
      </c>
      <c r="F1113" s="153" t="s">
        <v>6761</v>
      </c>
      <c r="G1113" s="153">
        <f>IFERROR(__xludf.DUMMYFUNCTION("""COMPUTED_VALUE"""),633.0)</f>
        <v>633</v>
      </c>
      <c r="H1113" s="153" t="s">
        <v>257</v>
      </c>
      <c r="I1113" s="153" t="s">
        <v>497</v>
      </c>
      <c r="J1113" s="153" t="s">
        <v>497</v>
      </c>
      <c r="K1113" s="153" t="s">
        <v>1431</v>
      </c>
      <c r="L1113" s="153" t="s">
        <v>1377</v>
      </c>
      <c r="M1113" s="153" t="s">
        <v>1434</v>
      </c>
      <c r="N1113" s="160" t="s">
        <v>6896</v>
      </c>
      <c r="O1113" s="175" t="s">
        <v>6198</v>
      </c>
      <c r="P1113" s="175" t="s">
        <v>6199</v>
      </c>
      <c r="Q1113" s="153" t="s">
        <v>151</v>
      </c>
      <c r="R1113" s="158" t="s">
        <v>149</v>
      </c>
      <c r="S1113" s="158" t="s">
        <v>149</v>
      </c>
      <c r="T1113" s="158" t="s">
        <v>149</v>
      </c>
      <c r="U1113" s="153" t="s">
        <v>1381</v>
      </c>
      <c r="V1113" s="158" t="s">
        <v>6154</v>
      </c>
      <c r="W1113" s="158" t="s">
        <v>206</v>
      </c>
      <c r="X1113" s="158" t="s">
        <v>159</v>
      </c>
      <c r="Y1113" s="158" t="s">
        <v>149</v>
      </c>
      <c r="Z1113" s="158" t="s">
        <v>149</v>
      </c>
      <c r="AA1113" s="158" t="s">
        <v>149</v>
      </c>
      <c r="AB1113" s="153" t="s">
        <v>660</v>
      </c>
      <c r="AC1113" s="153" t="s">
        <v>6035</v>
      </c>
      <c r="AD1113" s="153" t="s">
        <v>369</v>
      </c>
      <c r="AE1113" s="153"/>
      <c r="AF1113" s="153"/>
      <c r="AG1113" s="158" t="s">
        <v>395</v>
      </c>
      <c r="AH1113" s="153" t="s">
        <v>6060</v>
      </c>
      <c r="AI1113" s="158" t="s">
        <v>6711</v>
      </c>
      <c r="AJ1113" s="153" t="s">
        <v>398</v>
      </c>
      <c r="AK1113" s="153"/>
    </row>
    <row r="1114">
      <c r="A1114" s="152">
        <v>2024.0</v>
      </c>
      <c r="B1114" s="151">
        <v>373.0</v>
      </c>
      <c r="C1114" s="153"/>
      <c r="D1114" s="153"/>
      <c r="E1114" s="153" t="s">
        <v>8189</v>
      </c>
      <c r="F1114" s="153" t="s">
        <v>8749</v>
      </c>
      <c r="G1114" s="153">
        <f>IFERROR(__xludf.DUMMYFUNCTION("""COMPUTED_VALUE"""),634.0)</f>
        <v>634</v>
      </c>
      <c r="H1114" s="153" t="s">
        <v>171</v>
      </c>
      <c r="I1114" s="153" t="s">
        <v>172</v>
      </c>
      <c r="J1114" s="153" t="s">
        <v>2021</v>
      </c>
      <c r="K1114" s="153" t="s">
        <v>2022</v>
      </c>
      <c r="L1114" s="153" t="s">
        <v>2023</v>
      </c>
      <c r="M1114" s="153" t="s">
        <v>7405</v>
      </c>
      <c r="N1114" s="230">
        <v>2015.0</v>
      </c>
      <c r="O1114" s="192" t="s">
        <v>149</v>
      </c>
      <c r="P1114" s="192" t="s">
        <v>149</v>
      </c>
      <c r="Q1114" s="153" t="s">
        <v>151</v>
      </c>
      <c r="R1114" s="153" t="s">
        <v>362</v>
      </c>
      <c r="S1114" s="158" t="s">
        <v>2025</v>
      </c>
      <c r="T1114" s="153" t="s">
        <v>2026</v>
      </c>
      <c r="U1114" s="153" t="s">
        <v>2027</v>
      </c>
      <c r="V1114" s="158" t="s">
        <v>160</v>
      </c>
      <c r="W1114" s="158" t="s">
        <v>184</v>
      </c>
      <c r="X1114" s="158" t="s">
        <v>159</v>
      </c>
      <c r="Y1114" s="158" t="s">
        <v>149</v>
      </c>
      <c r="Z1114" s="158" t="s">
        <v>149</v>
      </c>
      <c r="AA1114" s="158" t="s">
        <v>149</v>
      </c>
      <c r="AB1114" s="153" t="s">
        <v>2027</v>
      </c>
      <c r="AC1114" s="158" t="s">
        <v>271</v>
      </c>
      <c r="AD1114" s="158" t="s">
        <v>7470</v>
      </c>
      <c r="AE1114" s="158" t="s">
        <v>7471</v>
      </c>
      <c r="AF1114" s="153"/>
      <c r="AG1114" s="158" t="s">
        <v>166</v>
      </c>
      <c r="AH1114" s="153" t="s">
        <v>2030</v>
      </c>
      <c r="AI1114" s="165" t="s">
        <v>2031</v>
      </c>
      <c r="AJ1114" s="153"/>
      <c r="AK1114" s="153"/>
    </row>
    <row r="1115">
      <c r="A1115" s="152">
        <v>2024.0</v>
      </c>
      <c r="B1115" s="151">
        <v>374.0</v>
      </c>
      <c r="C1115" s="153"/>
      <c r="D1115" s="153"/>
      <c r="E1115" s="153" t="s">
        <v>8189</v>
      </c>
      <c r="F1115" s="153" t="s">
        <v>8750</v>
      </c>
      <c r="G1115" s="153">
        <f>IFERROR(__xludf.DUMMYFUNCTION("""COMPUTED_VALUE"""),635.0)</f>
        <v>635</v>
      </c>
      <c r="H1115" s="153" t="s">
        <v>330</v>
      </c>
      <c r="I1115" s="153" t="s">
        <v>331</v>
      </c>
      <c r="J1115" s="153" t="s">
        <v>3991</v>
      </c>
      <c r="K1115" s="153" t="s">
        <v>981</v>
      </c>
      <c r="L1115" s="153" t="s">
        <v>1659</v>
      </c>
      <c r="M1115" s="158" t="s">
        <v>7476</v>
      </c>
      <c r="N1115" s="192">
        <v>1991.0</v>
      </c>
      <c r="O1115" s="230">
        <v>1990.0</v>
      </c>
      <c r="P1115" s="230">
        <v>1992.0</v>
      </c>
      <c r="Q1115" s="153" t="s">
        <v>151</v>
      </c>
      <c r="R1115" s="153" t="s">
        <v>6897</v>
      </c>
      <c r="S1115" s="158" t="s">
        <v>7067</v>
      </c>
      <c r="T1115" s="153" t="s">
        <v>1380</v>
      </c>
      <c r="U1115" s="158" t="s">
        <v>321</v>
      </c>
      <c r="V1115" s="158" t="s">
        <v>160</v>
      </c>
      <c r="W1115" s="158" t="s">
        <v>6035</v>
      </c>
      <c r="X1115" s="158" t="s">
        <v>159</v>
      </c>
      <c r="Y1115" s="158" t="s">
        <v>149</v>
      </c>
      <c r="Z1115" s="158" t="s">
        <v>149</v>
      </c>
      <c r="AA1115" s="158" t="s">
        <v>149</v>
      </c>
      <c r="AB1115" s="153" t="s">
        <v>1663</v>
      </c>
      <c r="AC1115" s="153" t="s">
        <v>6035</v>
      </c>
      <c r="AD1115" s="153"/>
      <c r="AE1115" s="153"/>
      <c r="AF1115" s="153"/>
      <c r="AG1115" s="158" t="s">
        <v>395</v>
      </c>
      <c r="AH1115" s="153" t="s">
        <v>6060</v>
      </c>
      <c r="AI1115" s="153" t="s">
        <v>2873</v>
      </c>
      <c r="AJ1115" s="153"/>
      <c r="AK1115" s="153"/>
    </row>
    <row r="1116">
      <c r="A1116" s="152">
        <v>2023.0</v>
      </c>
      <c r="B1116" s="151">
        <v>167.0</v>
      </c>
      <c r="C1116" s="129" t="s">
        <v>140</v>
      </c>
      <c r="D1116" s="8"/>
      <c r="E1116" s="8" t="s">
        <v>8189</v>
      </c>
      <c r="F1116" s="8" t="s">
        <v>8751</v>
      </c>
      <c r="G1116" s="8">
        <f>IFERROR(__xludf.DUMMYFUNCTION("""COMPUTED_VALUE"""),636.0)</f>
        <v>636</v>
      </c>
      <c r="H1116" s="8" t="s">
        <v>257</v>
      </c>
      <c r="I1116" s="8" t="s">
        <v>497</v>
      </c>
      <c r="J1116" s="8" t="s">
        <v>1418</v>
      </c>
      <c r="K1116" s="279" t="s">
        <v>1419</v>
      </c>
      <c r="L1116" s="8" t="s">
        <v>1377</v>
      </c>
      <c r="M1116" s="8" t="s">
        <v>1422</v>
      </c>
      <c r="N1116" s="142"/>
      <c r="O1116" s="142" t="s">
        <v>6198</v>
      </c>
      <c r="P1116" s="142" t="s">
        <v>6199</v>
      </c>
      <c r="Q1116" s="8" t="s">
        <v>151</v>
      </c>
      <c r="U1116" s="8" t="s">
        <v>1381</v>
      </c>
      <c r="AB1116" s="8" t="s">
        <v>660</v>
      </c>
      <c r="AD1116" s="8" t="s">
        <v>369</v>
      </c>
      <c r="AH1116" s="8" t="s">
        <v>395</v>
      </c>
      <c r="AI1116" s="8" t="s">
        <v>2873</v>
      </c>
      <c r="AJ1116" s="8" t="s">
        <v>398</v>
      </c>
    </row>
    <row r="1117">
      <c r="A1117" s="152">
        <v>2025.0</v>
      </c>
      <c r="B1117" s="151">
        <v>167.0</v>
      </c>
      <c r="C1117" s="153" t="s">
        <v>8189</v>
      </c>
      <c r="D1117" s="153"/>
      <c r="E1117" s="153" t="s">
        <v>707</v>
      </c>
      <c r="F1117" s="153" t="s">
        <v>6763</v>
      </c>
      <c r="G1117" s="153">
        <f>IFERROR(__xludf.DUMMYFUNCTION("""COMPUTED_VALUE"""),637.0)</f>
        <v>637</v>
      </c>
      <c r="H1117" s="153" t="s">
        <v>257</v>
      </c>
      <c r="I1117" s="153" t="s">
        <v>497</v>
      </c>
      <c r="J1117" s="153" t="s">
        <v>1436</v>
      </c>
      <c r="K1117" s="153" t="s">
        <v>1437</v>
      </c>
      <c r="L1117" s="153" t="s">
        <v>1377</v>
      </c>
      <c r="M1117" s="153"/>
      <c r="N1117" s="160" t="s">
        <v>6896</v>
      </c>
      <c r="O1117" s="175" t="s">
        <v>6198</v>
      </c>
      <c r="P1117" s="175" t="s">
        <v>6199</v>
      </c>
      <c r="Q1117" s="153" t="s">
        <v>151</v>
      </c>
      <c r="R1117" s="158" t="s">
        <v>149</v>
      </c>
      <c r="S1117" s="158" t="s">
        <v>149</v>
      </c>
      <c r="T1117" s="158" t="s">
        <v>149</v>
      </c>
      <c r="U1117" s="153" t="s">
        <v>1381</v>
      </c>
      <c r="V1117" s="158" t="s">
        <v>6154</v>
      </c>
      <c r="W1117" s="158" t="s">
        <v>206</v>
      </c>
      <c r="X1117" s="158" t="s">
        <v>159</v>
      </c>
      <c r="Y1117" s="158" t="s">
        <v>149</v>
      </c>
      <c r="Z1117" s="158" t="s">
        <v>149</v>
      </c>
      <c r="AA1117" s="158" t="s">
        <v>149</v>
      </c>
      <c r="AB1117" s="153" t="s">
        <v>660</v>
      </c>
      <c r="AC1117" s="153" t="s">
        <v>6035</v>
      </c>
      <c r="AD1117" s="153" t="s">
        <v>369</v>
      </c>
      <c r="AE1117" s="153"/>
      <c r="AF1117" s="153"/>
      <c r="AG1117" s="158" t="s">
        <v>395</v>
      </c>
      <c r="AH1117" s="153" t="s">
        <v>6060</v>
      </c>
      <c r="AI1117" s="158" t="s">
        <v>6711</v>
      </c>
      <c r="AJ1117" s="153" t="s">
        <v>398</v>
      </c>
      <c r="AK1117" s="153"/>
    </row>
    <row r="1118">
      <c r="A1118" s="152">
        <v>2024.0</v>
      </c>
      <c r="B1118" s="151">
        <v>375.0</v>
      </c>
      <c r="C1118" s="153"/>
      <c r="D1118" s="153"/>
      <c r="E1118" s="153" t="s">
        <v>8189</v>
      </c>
      <c r="F1118" s="153" t="s">
        <v>8752</v>
      </c>
      <c r="G1118" s="153">
        <f>IFERROR(__xludf.DUMMYFUNCTION("""COMPUTED_VALUE"""),638.0)</f>
        <v>638</v>
      </c>
      <c r="H1118" s="153" t="s">
        <v>330</v>
      </c>
      <c r="I1118" s="153" t="s">
        <v>331</v>
      </c>
      <c r="J1118" s="153" t="s">
        <v>3991</v>
      </c>
      <c r="K1118" s="153" t="s">
        <v>981</v>
      </c>
      <c r="L1118" s="153" t="s">
        <v>2023</v>
      </c>
      <c r="M1118" s="153" t="s">
        <v>2058</v>
      </c>
      <c r="N1118" s="230">
        <v>2012.0</v>
      </c>
      <c r="O1118" s="192" t="s">
        <v>149</v>
      </c>
      <c r="P1118" s="192" t="s">
        <v>149</v>
      </c>
      <c r="Q1118" s="153" t="s">
        <v>151</v>
      </c>
      <c r="R1118" s="153" t="s">
        <v>362</v>
      </c>
      <c r="S1118" s="158" t="s">
        <v>362</v>
      </c>
      <c r="T1118" s="158" t="s">
        <v>149</v>
      </c>
      <c r="U1118" s="153" t="s">
        <v>2059</v>
      </c>
      <c r="V1118" s="158" t="s">
        <v>160</v>
      </c>
      <c r="W1118" s="158" t="s">
        <v>184</v>
      </c>
      <c r="X1118" s="158" t="s">
        <v>159</v>
      </c>
      <c r="Y1118" s="158" t="s">
        <v>149</v>
      </c>
      <c r="Z1118" s="158" t="s">
        <v>149</v>
      </c>
      <c r="AA1118" s="153" t="s">
        <v>2060</v>
      </c>
      <c r="AB1118" s="153" t="s">
        <v>2038</v>
      </c>
      <c r="AC1118" s="153" t="s">
        <v>271</v>
      </c>
      <c r="AD1118" s="153"/>
      <c r="AE1118" s="153" t="s">
        <v>2061</v>
      </c>
      <c r="AF1118" s="153"/>
      <c r="AG1118" s="158" t="s">
        <v>6091</v>
      </c>
      <c r="AH1118" s="153" t="s">
        <v>2062</v>
      </c>
      <c r="AI1118" s="165" t="s">
        <v>2063</v>
      </c>
      <c r="AJ1118" s="153" t="s">
        <v>2064</v>
      </c>
      <c r="AK1118" s="153"/>
    </row>
    <row r="1119">
      <c r="A1119" s="152">
        <v>2023.0</v>
      </c>
      <c r="B1119" s="151">
        <v>168.0</v>
      </c>
      <c r="C1119" s="129" t="s">
        <v>140</v>
      </c>
      <c r="D1119" s="8"/>
      <c r="E1119" s="8" t="s">
        <v>8189</v>
      </c>
      <c r="F1119" s="8" t="s">
        <v>8753</v>
      </c>
      <c r="G1119" s="8">
        <f>IFERROR(__xludf.DUMMYFUNCTION("""COMPUTED_VALUE"""),639.0)</f>
        <v>639</v>
      </c>
      <c r="H1119" s="8" t="s">
        <v>257</v>
      </c>
      <c r="I1119" s="8" t="s">
        <v>497</v>
      </c>
      <c r="J1119" s="8" t="s">
        <v>1418</v>
      </c>
      <c r="K1119" s="279" t="s">
        <v>1419</v>
      </c>
      <c r="L1119" s="8" t="s">
        <v>1377</v>
      </c>
      <c r="M1119" s="8" t="s">
        <v>1424</v>
      </c>
      <c r="N1119" s="142"/>
      <c r="O1119" s="142" t="s">
        <v>6198</v>
      </c>
      <c r="P1119" s="142" t="s">
        <v>6199</v>
      </c>
      <c r="Q1119" s="8" t="s">
        <v>151</v>
      </c>
      <c r="U1119" s="8" t="s">
        <v>1381</v>
      </c>
      <c r="AB1119" s="8" t="s">
        <v>660</v>
      </c>
      <c r="AD1119" s="8" t="s">
        <v>369</v>
      </c>
      <c r="AH1119" s="8" t="s">
        <v>395</v>
      </c>
      <c r="AI1119" s="8" t="s">
        <v>2873</v>
      </c>
      <c r="AJ1119" s="8" t="s">
        <v>398</v>
      </c>
    </row>
    <row r="1120">
      <c r="A1120" s="152">
        <v>2025.0</v>
      </c>
      <c r="B1120" s="151">
        <v>168.0</v>
      </c>
      <c r="C1120" s="153" t="s">
        <v>8189</v>
      </c>
      <c r="D1120" s="153"/>
      <c r="E1120" s="153" t="s">
        <v>707</v>
      </c>
      <c r="F1120" s="153" t="s">
        <v>6765</v>
      </c>
      <c r="G1120" s="153">
        <f>IFERROR(__xludf.DUMMYFUNCTION("""COMPUTED_VALUE"""),640.0)</f>
        <v>640</v>
      </c>
      <c r="H1120" s="153" t="s">
        <v>257</v>
      </c>
      <c r="I1120" s="153" t="s">
        <v>497</v>
      </c>
      <c r="J1120" s="153" t="s">
        <v>1439</v>
      </c>
      <c r="K1120" s="153" t="s">
        <v>1440</v>
      </c>
      <c r="L1120" s="153" t="s">
        <v>1377</v>
      </c>
      <c r="M1120" s="153"/>
      <c r="N1120" s="160" t="s">
        <v>6896</v>
      </c>
      <c r="O1120" s="175" t="s">
        <v>6198</v>
      </c>
      <c r="P1120" s="175" t="s">
        <v>6199</v>
      </c>
      <c r="Q1120" s="153" t="s">
        <v>151</v>
      </c>
      <c r="R1120" s="158" t="s">
        <v>149</v>
      </c>
      <c r="S1120" s="158" t="s">
        <v>149</v>
      </c>
      <c r="T1120" s="158" t="s">
        <v>149</v>
      </c>
      <c r="U1120" s="153" t="s">
        <v>1381</v>
      </c>
      <c r="V1120" s="158" t="s">
        <v>6154</v>
      </c>
      <c r="W1120" s="158" t="s">
        <v>206</v>
      </c>
      <c r="X1120" s="158" t="s">
        <v>159</v>
      </c>
      <c r="Y1120" s="158" t="s">
        <v>149</v>
      </c>
      <c r="Z1120" s="158" t="s">
        <v>149</v>
      </c>
      <c r="AA1120" s="158" t="s">
        <v>149</v>
      </c>
      <c r="AB1120" s="153" t="s">
        <v>660</v>
      </c>
      <c r="AC1120" s="153" t="s">
        <v>6035</v>
      </c>
      <c r="AD1120" s="153" t="s">
        <v>369</v>
      </c>
      <c r="AE1120" s="153"/>
      <c r="AF1120" s="153"/>
      <c r="AG1120" s="158" t="s">
        <v>395</v>
      </c>
      <c r="AH1120" s="153" t="s">
        <v>6060</v>
      </c>
      <c r="AI1120" s="158" t="s">
        <v>6711</v>
      </c>
      <c r="AJ1120" s="153" t="s">
        <v>398</v>
      </c>
      <c r="AK1120" s="153"/>
    </row>
    <row r="1121">
      <c r="A1121" s="152">
        <v>2024.0</v>
      </c>
      <c r="B1121" s="151">
        <v>376.0</v>
      </c>
      <c r="C1121" s="153"/>
      <c r="D1121" s="153"/>
      <c r="E1121" s="153" t="s">
        <v>8189</v>
      </c>
      <c r="F1121" s="153" t="s">
        <v>8754</v>
      </c>
      <c r="G1121" s="153">
        <f>IFERROR(__xludf.DUMMYFUNCTION("""COMPUTED_VALUE"""),641.0)</f>
        <v>641</v>
      </c>
      <c r="H1121" s="153" t="s">
        <v>330</v>
      </c>
      <c r="I1121" s="153" t="s">
        <v>331</v>
      </c>
      <c r="J1121" s="153" t="s">
        <v>3991</v>
      </c>
      <c r="K1121" s="153" t="s">
        <v>981</v>
      </c>
      <c r="L1121" s="153" t="s">
        <v>989</v>
      </c>
      <c r="M1121" s="158" t="s">
        <v>990</v>
      </c>
      <c r="N1121" s="230">
        <v>2019.0</v>
      </c>
      <c r="O1121" s="192" t="s">
        <v>149</v>
      </c>
      <c r="P1121" s="192" t="s">
        <v>149</v>
      </c>
      <c r="Q1121" s="153" t="s">
        <v>151</v>
      </c>
      <c r="R1121" s="153" t="s">
        <v>152</v>
      </c>
      <c r="S1121" s="158" t="s">
        <v>991</v>
      </c>
      <c r="T1121" s="158" t="s">
        <v>992</v>
      </c>
      <c r="U1121" s="153" t="s">
        <v>993</v>
      </c>
      <c r="V1121" s="158" t="s">
        <v>160</v>
      </c>
      <c r="W1121" s="158" t="s">
        <v>6035</v>
      </c>
      <c r="X1121" s="158" t="s">
        <v>159</v>
      </c>
      <c r="Y1121" s="158" t="s">
        <v>149</v>
      </c>
      <c r="Z1121" s="158" t="s">
        <v>149</v>
      </c>
      <c r="AA1121" s="158" t="s">
        <v>149</v>
      </c>
      <c r="AB1121" s="153" t="s">
        <v>994</v>
      </c>
      <c r="AC1121" s="153" t="s">
        <v>6035</v>
      </c>
      <c r="AD1121" s="153" t="s">
        <v>8755</v>
      </c>
      <c r="AE1121" s="153"/>
      <c r="AF1121" s="153"/>
      <c r="AG1121" s="153" t="s">
        <v>6038</v>
      </c>
      <c r="AH1121" s="153" t="s">
        <v>7485</v>
      </c>
      <c r="AI1121" s="165" t="s">
        <v>997</v>
      </c>
      <c r="AJ1121" s="153"/>
      <c r="AK1121" s="153"/>
    </row>
    <row r="1122">
      <c r="A1122" s="152">
        <v>2023.0</v>
      </c>
      <c r="B1122" s="151">
        <v>169.0</v>
      </c>
      <c r="C1122" s="129" t="s">
        <v>140</v>
      </c>
      <c r="D1122" s="8"/>
      <c r="E1122" s="8" t="s">
        <v>8189</v>
      </c>
      <c r="F1122" s="8" t="s">
        <v>8756</v>
      </c>
      <c r="G1122" s="8">
        <f>IFERROR(__xludf.DUMMYFUNCTION("""COMPUTED_VALUE"""),642.0)</f>
        <v>642</v>
      </c>
      <c r="H1122" s="8" t="s">
        <v>257</v>
      </c>
      <c r="I1122" s="8" t="s">
        <v>497</v>
      </c>
      <c r="J1122" s="8" t="s">
        <v>1418</v>
      </c>
      <c r="K1122" s="279" t="s">
        <v>1419</v>
      </c>
      <c r="L1122" s="8" t="s">
        <v>1377</v>
      </c>
      <c r="M1122" s="8" t="s">
        <v>1426</v>
      </c>
      <c r="N1122" s="142"/>
      <c r="O1122" s="142" t="s">
        <v>6198</v>
      </c>
      <c r="P1122" s="142" t="s">
        <v>6199</v>
      </c>
      <c r="Q1122" s="8" t="s">
        <v>151</v>
      </c>
      <c r="U1122" s="8" t="s">
        <v>1381</v>
      </c>
      <c r="AB1122" s="8" t="s">
        <v>660</v>
      </c>
      <c r="AD1122" s="8" t="s">
        <v>369</v>
      </c>
      <c r="AH1122" s="8" t="s">
        <v>395</v>
      </c>
      <c r="AI1122" s="8" t="s">
        <v>2873</v>
      </c>
      <c r="AJ1122" s="8" t="s">
        <v>398</v>
      </c>
    </row>
    <row r="1123">
      <c r="A1123" s="152">
        <v>2023.0</v>
      </c>
      <c r="B1123" s="151">
        <v>170.0</v>
      </c>
      <c r="C1123" s="129" t="s">
        <v>140</v>
      </c>
      <c r="D1123" s="8"/>
      <c r="E1123" s="8" t="s">
        <v>8189</v>
      </c>
      <c r="F1123" s="8" t="s">
        <v>8757</v>
      </c>
      <c r="G1123" s="8">
        <f>IFERROR(__xludf.DUMMYFUNCTION("""COMPUTED_VALUE"""),643.0)</f>
        <v>643</v>
      </c>
      <c r="H1123" s="8" t="s">
        <v>257</v>
      </c>
      <c r="I1123" s="8" t="s">
        <v>497</v>
      </c>
      <c r="J1123" s="8" t="s">
        <v>1428</v>
      </c>
      <c r="K1123" s="279" t="s">
        <v>1429</v>
      </c>
      <c r="L1123" s="8" t="s">
        <v>1377</v>
      </c>
      <c r="N1123" s="142"/>
      <c r="O1123" s="142" t="s">
        <v>6198</v>
      </c>
      <c r="P1123" s="142" t="s">
        <v>6199</v>
      </c>
      <c r="Q1123" s="8" t="s">
        <v>151</v>
      </c>
      <c r="U1123" s="8" t="s">
        <v>1381</v>
      </c>
      <c r="AB1123" s="8" t="s">
        <v>660</v>
      </c>
      <c r="AD1123" s="8" t="s">
        <v>369</v>
      </c>
      <c r="AH1123" s="8" t="s">
        <v>395</v>
      </c>
      <c r="AI1123" s="8" t="s">
        <v>2873</v>
      </c>
      <c r="AJ1123" s="8" t="s">
        <v>398</v>
      </c>
    </row>
    <row r="1124">
      <c r="A1124" s="152">
        <v>2024.0</v>
      </c>
      <c r="B1124" s="151">
        <v>377.0</v>
      </c>
      <c r="C1124" s="153"/>
      <c r="D1124" s="153"/>
      <c r="E1124" s="153" t="s">
        <v>8189</v>
      </c>
      <c r="F1124" s="153" t="s">
        <v>8758</v>
      </c>
      <c r="G1124" s="153">
        <f>IFERROR(__xludf.DUMMYFUNCTION("""COMPUTED_VALUE"""),644.0)</f>
        <v>644</v>
      </c>
      <c r="H1124" s="153" t="s">
        <v>330</v>
      </c>
      <c r="I1124" s="153" t="s">
        <v>331</v>
      </c>
      <c r="J1124" s="153" t="s">
        <v>3991</v>
      </c>
      <c r="K1124" s="153" t="s">
        <v>981</v>
      </c>
      <c r="L1124" s="153" t="s">
        <v>2244</v>
      </c>
      <c r="M1124" s="153" t="s">
        <v>8759</v>
      </c>
      <c r="N1124" s="192" t="s">
        <v>149</v>
      </c>
      <c r="O1124" s="192" t="s">
        <v>149</v>
      </c>
      <c r="P1124" s="192" t="s">
        <v>149</v>
      </c>
      <c r="Q1124" s="153" t="s">
        <v>6062</v>
      </c>
      <c r="R1124" s="153" t="s">
        <v>6276</v>
      </c>
      <c r="S1124" s="158" t="s">
        <v>2246</v>
      </c>
      <c r="T1124" s="158" t="s">
        <v>202</v>
      </c>
      <c r="U1124" s="158" t="s">
        <v>149</v>
      </c>
      <c r="V1124" s="158" t="s">
        <v>149</v>
      </c>
      <c r="W1124" s="158" t="s">
        <v>149</v>
      </c>
      <c r="X1124" s="158" t="s">
        <v>159</v>
      </c>
      <c r="Y1124" s="158" t="s">
        <v>149</v>
      </c>
      <c r="Z1124" s="158" t="s">
        <v>149</v>
      </c>
      <c r="AA1124" s="158" t="s">
        <v>149</v>
      </c>
      <c r="AB1124" s="158" t="s">
        <v>149</v>
      </c>
      <c r="AC1124" s="158" t="s">
        <v>149</v>
      </c>
      <c r="AD1124" s="153"/>
      <c r="AE1124" s="153" t="s">
        <v>2247</v>
      </c>
      <c r="AF1124" s="153" t="s">
        <v>2248</v>
      </c>
      <c r="AG1124" s="158" t="s">
        <v>6091</v>
      </c>
      <c r="AH1124" s="153" t="s">
        <v>2249</v>
      </c>
      <c r="AI1124" s="165" t="s">
        <v>2250</v>
      </c>
      <c r="AJ1124" s="153"/>
      <c r="AK1124" s="153"/>
    </row>
    <row r="1125">
      <c r="A1125" s="152">
        <v>2023.0</v>
      </c>
      <c r="B1125" s="151">
        <v>171.0</v>
      </c>
      <c r="C1125" s="129" t="s">
        <v>140</v>
      </c>
      <c r="D1125" s="8"/>
      <c r="E1125" s="8" t="s">
        <v>8189</v>
      </c>
      <c r="F1125" s="8" t="s">
        <v>8760</v>
      </c>
      <c r="G1125" s="8">
        <f>IFERROR(__xludf.DUMMYFUNCTION("""COMPUTED_VALUE"""),645.0)</f>
        <v>645</v>
      </c>
      <c r="H1125" s="8" t="s">
        <v>257</v>
      </c>
      <c r="I1125" s="8" t="s">
        <v>497</v>
      </c>
      <c r="J1125" s="8" t="s">
        <v>497</v>
      </c>
      <c r="K1125" s="279" t="s">
        <v>1431</v>
      </c>
      <c r="L1125" s="8" t="s">
        <v>1377</v>
      </c>
      <c r="M1125" s="8" t="s">
        <v>1432</v>
      </c>
      <c r="N1125" s="142"/>
      <c r="O1125" s="142" t="s">
        <v>6198</v>
      </c>
      <c r="P1125" s="142" t="s">
        <v>6199</v>
      </c>
      <c r="Q1125" s="8" t="s">
        <v>151</v>
      </c>
      <c r="U1125" s="8" t="s">
        <v>1381</v>
      </c>
      <c r="AB1125" s="8" t="s">
        <v>660</v>
      </c>
      <c r="AD1125" s="8" t="s">
        <v>369</v>
      </c>
      <c r="AH1125" s="8" t="s">
        <v>395</v>
      </c>
      <c r="AI1125" s="8" t="s">
        <v>2873</v>
      </c>
      <c r="AJ1125" s="8" t="s">
        <v>398</v>
      </c>
    </row>
    <row r="1126">
      <c r="A1126" s="152">
        <v>2023.0</v>
      </c>
      <c r="B1126" s="151">
        <v>172.0</v>
      </c>
      <c r="C1126" s="129" t="s">
        <v>140</v>
      </c>
      <c r="D1126" s="8"/>
      <c r="E1126" s="8" t="s">
        <v>8189</v>
      </c>
      <c r="F1126" s="8" t="s">
        <v>8761</v>
      </c>
      <c r="G1126" s="8">
        <f>IFERROR(__xludf.DUMMYFUNCTION("""COMPUTED_VALUE"""),646.0)</f>
        <v>646</v>
      </c>
      <c r="H1126" s="8" t="s">
        <v>257</v>
      </c>
      <c r="I1126" s="8" t="s">
        <v>497</v>
      </c>
      <c r="J1126" s="8" t="s">
        <v>497</v>
      </c>
      <c r="K1126" s="279" t="s">
        <v>1431</v>
      </c>
      <c r="L1126" s="8" t="s">
        <v>1377</v>
      </c>
      <c r="M1126" s="8" t="s">
        <v>1434</v>
      </c>
      <c r="N1126" s="142"/>
      <c r="O1126" s="142" t="s">
        <v>6198</v>
      </c>
      <c r="P1126" s="142" t="s">
        <v>6199</v>
      </c>
      <c r="Q1126" s="8" t="s">
        <v>151</v>
      </c>
      <c r="U1126" s="8" t="s">
        <v>1381</v>
      </c>
      <c r="AB1126" s="8" t="s">
        <v>660</v>
      </c>
      <c r="AD1126" s="8" t="s">
        <v>369</v>
      </c>
      <c r="AH1126" s="8" t="s">
        <v>395</v>
      </c>
      <c r="AI1126" s="8" t="s">
        <v>2873</v>
      </c>
      <c r="AJ1126" s="8" t="s">
        <v>398</v>
      </c>
    </row>
    <row r="1127">
      <c r="A1127" s="152">
        <v>2024.0</v>
      </c>
      <c r="B1127" s="151">
        <v>378.0</v>
      </c>
      <c r="C1127" s="153"/>
      <c r="D1127" s="153"/>
      <c r="E1127" s="153" t="s">
        <v>8189</v>
      </c>
      <c r="F1127" s="153" t="s">
        <v>8762</v>
      </c>
      <c r="G1127" s="153">
        <f>IFERROR(__xludf.DUMMYFUNCTION("""COMPUTED_VALUE"""),647.0)</f>
        <v>647</v>
      </c>
      <c r="H1127" s="153" t="s">
        <v>330</v>
      </c>
      <c r="I1127" s="153" t="s">
        <v>331</v>
      </c>
      <c r="J1127" s="153" t="s">
        <v>3991</v>
      </c>
      <c r="K1127" s="153" t="s">
        <v>981</v>
      </c>
      <c r="L1127" s="153" t="s">
        <v>6587</v>
      </c>
      <c r="M1127" s="158" t="s">
        <v>7495</v>
      </c>
      <c r="N1127" s="192">
        <v>2012.0</v>
      </c>
      <c r="O1127" s="230">
        <v>2012.0</v>
      </c>
      <c r="P1127" s="192" t="s">
        <v>149</v>
      </c>
      <c r="Q1127" s="153" t="s">
        <v>6624</v>
      </c>
      <c r="R1127" s="153" t="s">
        <v>2218</v>
      </c>
      <c r="S1127" s="158" t="s">
        <v>2218</v>
      </c>
      <c r="T1127" s="153"/>
      <c r="U1127" s="153" t="s">
        <v>341</v>
      </c>
      <c r="V1127" s="158" t="s">
        <v>160</v>
      </c>
      <c r="W1127" s="158" t="s">
        <v>6035</v>
      </c>
      <c r="X1127" s="158" t="s">
        <v>159</v>
      </c>
      <c r="Y1127" s="158" t="s">
        <v>149</v>
      </c>
      <c r="Z1127" s="158" t="s">
        <v>7496</v>
      </c>
      <c r="AA1127" s="158" t="s">
        <v>149</v>
      </c>
      <c r="AB1127" s="153" t="s">
        <v>341</v>
      </c>
      <c r="AC1127" s="153" t="s">
        <v>6035</v>
      </c>
      <c r="AD1127" s="153"/>
      <c r="AE1127" s="153"/>
      <c r="AF1127" s="153"/>
      <c r="AG1127" s="158" t="s">
        <v>166</v>
      </c>
      <c r="AH1127" s="153" t="s">
        <v>8763</v>
      </c>
      <c r="AI1127" s="172" t="s">
        <v>2220</v>
      </c>
      <c r="AJ1127" s="153"/>
      <c r="AK1127" s="153"/>
    </row>
    <row r="1128">
      <c r="A1128" s="152">
        <v>2023.0</v>
      </c>
      <c r="B1128" s="151">
        <v>173.0</v>
      </c>
      <c r="C1128" s="129" t="s">
        <v>140</v>
      </c>
      <c r="D1128" s="8"/>
      <c r="E1128" s="8" t="s">
        <v>8189</v>
      </c>
      <c r="F1128" s="8" t="s">
        <v>8764</v>
      </c>
      <c r="G1128" s="8">
        <f>IFERROR(__xludf.DUMMYFUNCTION("""COMPUTED_VALUE"""),648.0)</f>
        <v>648</v>
      </c>
      <c r="H1128" s="8" t="s">
        <v>257</v>
      </c>
      <c r="I1128" s="8" t="s">
        <v>497</v>
      </c>
      <c r="J1128" s="8" t="s">
        <v>1436</v>
      </c>
      <c r="K1128" s="279" t="s">
        <v>1437</v>
      </c>
      <c r="L1128" s="8" t="s">
        <v>1377</v>
      </c>
      <c r="N1128" s="142"/>
      <c r="O1128" s="142" t="s">
        <v>6198</v>
      </c>
      <c r="P1128" s="142" t="s">
        <v>6199</v>
      </c>
      <c r="Q1128" s="8" t="s">
        <v>151</v>
      </c>
      <c r="U1128" s="8" t="s">
        <v>1381</v>
      </c>
      <c r="AB1128" s="8" t="s">
        <v>660</v>
      </c>
      <c r="AD1128" s="8" t="s">
        <v>369</v>
      </c>
      <c r="AH1128" s="8" t="s">
        <v>395</v>
      </c>
      <c r="AI1128" s="8" t="s">
        <v>2873</v>
      </c>
      <c r="AJ1128" s="8" t="s">
        <v>398</v>
      </c>
    </row>
    <row r="1129">
      <c r="A1129" s="152">
        <v>2023.0</v>
      </c>
      <c r="B1129" s="151">
        <v>174.0</v>
      </c>
      <c r="C1129" s="129" t="s">
        <v>140</v>
      </c>
      <c r="D1129" s="8"/>
      <c r="E1129" s="8" t="s">
        <v>8189</v>
      </c>
      <c r="F1129" s="8" t="s">
        <v>8765</v>
      </c>
      <c r="G1129" s="8">
        <f>IFERROR(__xludf.DUMMYFUNCTION("""COMPUTED_VALUE"""),649.0)</f>
        <v>649</v>
      </c>
      <c r="H1129" s="8" t="s">
        <v>257</v>
      </c>
      <c r="I1129" s="8" t="s">
        <v>497</v>
      </c>
      <c r="J1129" s="8" t="s">
        <v>1439</v>
      </c>
      <c r="K1129" s="279" t="s">
        <v>1440</v>
      </c>
      <c r="L1129" s="8" t="s">
        <v>1377</v>
      </c>
      <c r="N1129" s="142"/>
      <c r="O1129" s="142" t="s">
        <v>6198</v>
      </c>
      <c r="P1129" s="142" t="s">
        <v>6199</v>
      </c>
      <c r="Q1129" s="8" t="s">
        <v>151</v>
      </c>
      <c r="U1129" s="8" t="s">
        <v>1381</v>
      </c>
      <c r="AB1129" s="8" t="s">
        <v>660</v>
      </c>
      <c r="AD1129" s="8" t="s">
        <v>369</v>
      </c>
      <c r="AH1129" s="8" t="s">
        <v>395</v>
      </c>
      <c r="AI1129" s="8" t="s">
        <v>2873</v>
      </c>
      <c r="AJ1129" s="8" t="s">
        <v>398</v>
      </c>
    </row>
    <row r="1130">
      <c r="A1130" s="152">
        <v>2024.0</v>
      </c>
      <c r="B1130" s="151">
        <v>379.0</v>
      </c>
      <c r="C1130" s="153"/>
      <c r="D1130" s="153"/>
      <c r="E1130" s="153" t="s">
        <v>8189</v>
      </c>
      <c r="F1130" s="153" t="s">
        <v>8766</v>
      </c>
      <c r="G1130" s="153">
        <f>IFERROR(__xludf.DUMMYFUNCTION("""COMPUTED_VALUE"""),650.0)</f>
        <v>650</v>
      </c>
      <c r="H1130" s="153" t="s">
        <v>330</v>
      </c>
      <c r="I1130" s="153" t="s">
        <v>331</v>
      </c>
      <c r="J1130" s="153" t="s">
        <v>3991</v>
      </c>
      <c r="K1130" s="153" t="s">
        <v>981</v>
      </c>
      <c r="L1130" s="158" t="s">
        <v>149</v>
      </c>
      <c r="M1130" s="153" t="s">
        <v>2762</v>
      </c>
      <c r="N1130" s="192" t="s">
        <v>149</v>
      </c>
      <c r="O1130" s="192" t="s">
        <v>149</v>
      </c>
      <c r="P1130" s="192" t="s">
        <v>149</v>
      </c>
      <c r="Q1130" s="153" t="s">
        <v>151</v>
      </c>
      <c r="R1130" s="153" t="s">
        <v>2763</v>
      </c>
      <c r="S1130" s="158" t="s">
        <v>2763</v>
      </c>
      <c r="T1130" s="153" t="s">
        <v>6863</v>
      </c>
      <c r="U1130" s="153" t="s">
        <v>2765</v>
      </c>
      <c r="V1130" s="158" t="s">
        <v>160</v>
      </c>
      <c r="W1130" s="158" t="s">
        <v>184</v>
      </c>
      <c r="X1130" s="158" t="s">
        <v>159</v>
      </c>
      <c r="Y1130" s="158" t="s">
        <v>149</v>
      </c>
      <c r="Z1130" s="158" t="s">
        <v>149</v>
      </c>
      <c r="AA1130" s="158" t="s">
        <v>149</v>
      </c>
      <c r="AB1130" s="153" t="s">
        <v>2765</v>
      </c>
      <c r="AC1130" s="158" t="s">
        <v>184</v>
      </c>
      <c r="AD1130" s="153"/>
      <c r="AE1130" s="153"/>
      <c r="AF1130" s="153"/>
      <c r="AG1130" s="158" t="s">
        <v>6517</v>
      </c>
      <c r="AH1130" s="153" t="s">
        <v>2766</v>
      </c>
      <c r="AI1130" s="165" t="s">
        <v>2767</v>
      </c>
      <c r="AJ1130" s="153"/>
      <c r="AK1130" s="153"/>
    </row>
    <row r="1131">
      <c r="A1131" s="152">
        <v>2025.0</v>
      </c>
      <c r="B1131" s="151">
        <v>182.0</v>
      </c>
      <c r="C1131" s="153" t="s">
        <v>8189</v>
      </c>
      <c r="D1131" s="153"/>
      <c r="E1131" s="153" t="s">
        <v>8301</v>
      </c>
      <c r="F1131" s="153" t="s">
        <v>6836</v>
      </c>
      <c r="G1131" s="153">
        <f>IFERROR(__xludf.DUMMYFUNCTION("""COMPUTED_VALUE"""),651.0)</f>
        <v>651</v>
      </c>
      <c r="H1131" s="153" t="s">
        <v>522</v>
      </c>
      <c r="I1131" s="153" t="s">
        <v>529</v>
      </c>
      <c r="J1131" s="153" t="s">
        <v>530</v>
      </c>
      <c r="K1131" s="153" t="s">
        <v>531</v>
      </c>
      <c r="L1131" s="153" t="s">
        <v>384</v>
      </c>
      <c r="M1131" s="153" t="s">
        <v>532</v>
      </c>
      <c r="N1131" s="175" t="s">
        <v>6052</v>
      </c>
      <c r="O1131" s="175" t="s">
        <v>6052</v>
      </c>
      <c r="P1131" s="175" t="s">
        <v>6053</v>
      </c>
      <c r="Q1131" s="153" t="s">
        <v>151</v>
      </c>
      <c r="R1131" s="153" t="s">
        <v>469</v>
      </c>
      <c r="S1131" s="158" t="s">
        <v>469</v>
      </c>
      <c r="T1131" s="158" t="s">
        <v>149</v>
      </c>
      <c r="U1131" s="153" t="s">
        <v>390</v>
      </c>
      <c r="V1131" s="158" t="s">
        <v>160</v>
      </c>
      <c r="W1131" s="158" t="s">
        <v>6035</v>
      </c>
      <c r="X1131" s="158" t="s">
        <v>159</v>
      </c>
      <c r="Y1131" s="158" t="s">
        <v>149</v>
      </c>
      <c r="Z1131" s="158" t="s">
        <v>149</v>
      </c>
      <c r="AA1131" s="153" t="s">
        <v>533</v>
      </c>
      <c r="AB1131" s="153" t="s">
        <v>390</v>
      </c>
      <c r="AC1131" s="153" t="s">
        <v>6035</v>
      </c>
      <c r="AD1131" s="153" t="s">
        <v>6055</v>
      </c>
      <c r="AE1131" s="153"/>
      <c r="AF1131" s="153"/>
      <c r="AG1131" s="158" t="s">
        <v>395</v>
      </c>
      <c r="AH1131" s="153" t="s">
        <v>6060</v>
      </c>
      <c r="AI1131" s="158" t="s">
        <v>397</v>
      </c>
      <c r="AJ1131" s="153" t="s">
        <v>398</v>
      </c>
      <c r="AK1131" s="239"/>
    </row>
    <row r="1132">
      <c r="A1132" s="152">
        <v>2025.0</v>
      </c>
      <c r="B1132" s="151">
        <v>183.0</v>
      </c>
      <c r="C1132" s="153" t="s">
        <v>8189</v>
      </c>
      <c r="D1132" s="153"/>
      <c r="E1132" s="153" t="s">
        <v>8301</v>
      </c>
      <c r="F1132" s="153" t="s">
        <v>6838</v>
      </c>
      <c r="G1132" s="153">
        <f>IFERROR(__xludf.DUMMYFUNCTION("""COMPUTED_VALUE"""),652.0)</f>
        <v>652</v>
      </c>
      <c r="H1132" s="153" t="s">
        <v>522</v>
      </c>
      <c r="I1132" s="153" t="s">
        <v>529</v>
      </c>
      <c r="J1132" s="153" t="s">
        <v>1120</v>
      </c>
      <c r="K1132" s="153" t="s">
        <v>1121</v>
      </c>
      <c r="L1132" s="153" t="s">
        <v>1122</v>
      </c>
      <c r="M1132" s="153"/>
      <c r="N1132" s="175" t="s">
        <v>6089</v>
      </c>
      <c r="O1132" s="160" t="s">
        <v>149</v>
      </c>
      <c r="P1132" s="160" t="s">
        <v>149</v>
      </c>
      <c r="Q1132" s="153" t="s">
        <v>151</v>
      </c>
      <c r="R1132" s="153" t="s">
        <v>6076</v>
      </c>
      <c r="S1132" s="158" t="s">
        <v>6076</v>
      </c>
      <c r="T1132" s="158" t="s">
        <v>6839</v>
      </c>
      <c r="U1132" s="158" t="s">
        <v>369</v>
      </c>
      <c r="V1132" s="158" t="s">
        <v>160</v>
      </c>
      <c r="W1132" s="158" t="s">
        <v>6035</v>
      </c>
      <c r="X1132" s="158" t="s">
        <v>159</v>
      </c>
      <c r="Y1132" s="243" t="s">
        <v>6840</v>
      </c>
      <c r="Z1132" s="158" t="s">
        <v>149</v>
      </c>
      <c r="AA1132" s="153" t="s">
        <v>795</v>
      </c>
      <c r="AB1132" s="158" t="s">
        <v>1127</v>
      </c>
      <c r="AC1132" s="153" t="s">
        <v>306</v>
      </c>
      <c r="AD1132" s="153" t="s">
        <v>369</v>
      </c>
      <c r="AE1132" s="153"/>
      <c r="AF1132" s="153"/>
      <c r="AG1132" s="158" t="s">
        <v>166</v>
      </c>
      <c r="AH1132" s="153" t="s">
        <v>1128</v>
      </c>
      <c r="AI1132" s="172" t="s">
        <v>1129</v>
      </c>
      <c r="AJ1132" s="153"/>
      <c r="AK1132" s="239"/>
    </row>
    <row r="1133">
      <c r="A1133" s="152">
        <v>2024.0</v>
      </c>
      <c r="B1133" s="151">
        <v>380.0</v>
      </c>
      <c r="C1133" s="153"/>
      <c r="D1133" s="153"/>
      <c r="E1133" s="153" t="s">
        <v>8189</v>
      </c>
      <c r="F1133" s="153" t="s">
        <v>8767</v>
      </c>
      <c r="G1133" s="153">
        <f>IFERROR(__xludf.DUMMYFUNCTION("""COMPUTED_VALUE"""),653.0)</f>
        <v>653</v>
      </c>
      <c r="H1133" s="153" t="s">
        <v>330</v>
      </c>
      <c r="I1133" s="153" t="s">
        <v>331</v>
      </c>
      <c r="J1133" s="153" t="s">
        <v>3991</v>
      </c>
      <c r="K1133" s="153" t="s">
        <v>981</v>
      </c>
      <c r="L1133" s="158" t="s">
        <v>149</v>
      </c>
      <c r="M1133" s="153" t="s">
        <v>2519</v>
      </c>
      <c r="N1133" s="230">
        <v>2022.0</v>
      </c>
      <c r="O1133" s="192">
        <v>2022.0</v>
      </c>
      <c r="P1133" s="192" t="s">
        <v>149</v>
      </c>
      <c r="Q1133" s="153" t="s">
        <v>151</v>
      </c>
      <c r="R1133" s="158" t="s">
        <v>670</v>
      </c>
      <c r="S1133" s="158" t="s">
        <v>670</v>
      </c>
      <c r="T1133" s="153" t="s">
        <v>779</v>
      </c>
      <c r="U1133" s="153" t="s">
        <v>2520</v>
      </c>
      <c r="V1133" s="158" t="s">
        <v>160</v>
      </c>
      <c r="W1133" s="158" t="s">
        <v>184</v>
      </c>
      <c r="X1133" s="158" t="s">
        <v>159</v>
      </c>
      <c r="Y1133" s="158" t="s">
        <v>149</v>
      </c>
      <c r="Z1133" s="158" t="s">
        <v>149</v>
      </c>
      <c r="AA1133" s="153" t="s">
        <v>2521</v>
      </c>
      <c r="AB1133" s="153" t="s">
        <v>2522</v>
      </c>
      <c r="AC1133" s="158" t="s">
        <v>184</v>
      </c>
      <c r="AD1133" s="153" t="s">
        <v>2523</v>
      </c>
      <c r="AE1133" s="153" t="s">
        <v>2524</v>
      </c>
      <c r="AF1133" s="153"/>
      <c r="AG1133" s="153" t="s">
        <v>6038</v>
      </c>
      <c r="AH1133" s="153" t="s">
        <v>2525</v>
      </c>
      <c r="AI1133" s="153" t="s">
        <v>2526</v>
      </c>
      <c r="AJ1133" s="153"/>
      <c r="AK1133" s="153"/>
    </row>
    <row r="1134">
      <c r="A1134" s="152">
        <v>2023.0</v>
      </c>
      <c r="B1134" s="151">
        <v>186.0</v>
      </c>
      <c r="C1134" s="129" t="s">
        <v>140</v>
      </c>
      <c r="D1134" s="8"/>
      <c r="E1134" s="8" t="s">
        <v>8189</v>
      </c>
      <c r="F1134" s="8" t="s">
        <v>6856</v>
      </c>
      <c r="G1134" s="8">
        <f>IFERROR(__xludf.DUMMYFUNCTION("""COMPUTED_VALUE"""),654.0)</f>
        <v>654</v>
      </c>
      <c r="H1134" s="8" t="s">
        <v>522</v>
      </c>
      <c r="I1134" s="8" t="s">
        <v>529</v>
      </c>
      <c r="J1134" s="8" t="s">
        <v>530</v>
      </c>
      <c r="K1134" s="277" t="s">
        <v>531</v>
      </c>
      <c r="L1134" s="8" t="s">
        <v>384</v>
      </c>
      <c r="M1134" s="8" t="s">
        <v>532</v>
      </c>
      <c r="N1134" s="142" t="s">
        <v>6052</v>
      </c>
      <c r="O1134" s="142" t="s">
        <v>6052</v>
      </c>
      <c r="P1134" s="142" t="s">
        <v>6053</v>
      </c>
      <c r="Q1134" s="8" t="s">
        <v>151</v>
      </c>
      <c r="R1134" s="8" t="s">
        <v>469</v>
      </c>
      <c r="U1134" s="8" t="s">
        <v>390</v>
      </c>
      <c r="AA1134" s="8" t="s">
        <v>533</v>
      </c>
      <c r="AB1134" s="8" t="s">
        <v>390</v>
      </c>
      <c r="AD1134" s="8" t="s">
        <v>6055</v>
      </c>
      <c r="AH1134" s="8" t="s">
        <v>6057</v>
      </c>
      <c r="AI1134" s="8" t="s">
        <v>2873</v>
      </c>
      <c r="AJ1134" s="8" t="s">
        <v>398</v>
      </c>
      <c r="AK1134" s="172"/>
    </row>
    <row r="1135">
      <c r="A1135" s="152">
        <v>2023.0</v>
      </c>
      <c r="B1135" s="151">
        <v>386.0</v>
      </c>
      <c r="C1135" s="129" t="s">
        <v>140</v>
      </c>
      <c r="D1135" s="8"/>
      <c r="E1135" s="8" t="s">
        <v>8189</v>
      </c>
      <c r="F1135" s="8" t="s">
        <v>8768</v>
      </c>
      <c r="G1135" s="8">
        <f>IFERROR(__xludf.DUMMYFUNCTION("""COMPUTED_VALUE"""),655.0)</f>
        <v>655</v>
      </c>
      <c r="H1135" s="8" t="s">
        <v>356</v>
      </c>
      <c r="I1135" s="8" t="s">
        <v>357</v>
      </c>
      <c r="J1135" s="8" t="s">
        <v>2011</v>
      </c>
      <c r="K1135" s="8" t="s">
        <v>2012</v>
      </c>
      <c r="L1135" s="8" t="s">
        <v>2013</v>
      </c>
      <c r="M1135" s="8" t="s">
        <v>7569</v>
      </c>
      <c r="N1135" s="142"/>
      <c r="O1135" s="142" t="s">
        <v>6356</v>
      </c>
      <c r="P1135" s="142"/>
      <c r="Q1135" s="8" t="s">
        <v>151</v>
      </c>
      <c r="U1135" s="8" t="s">
        <v>2016</v>
      </c>
      <c r="AB1135" s="8" t="s">
        <v>8177</v>
      </c>
      <c r="AH1135" s="8" t="s">
        <v>6027</v>
      </c>
      <c r="AI1135" s="172" t="s">
        <v>2019</v>
      </c>
    </row>
    <row r="1136">
      <c r="A1136" s="152">
        <v>2024.0</v>
      </c>
      <c r="B1136" s="151">
        <v>381.0</v>
      </c>
      <c r="C1136" s="153"/>
      <c r="D1136" s="153"/>
      <c r="E1136" s="153" t="s">
        <v>8189</v>
      </c>
      <c r="F1136" s="153" t="s">
        <v>8769</v>
      </c>
      <c r="G1136" s="153">
        <f>IFERROR(__xludf.DUMMYFUNCTION("""COMPUTED_VALUE"""),656.0)</f>
        <v>656</v>
      </c>
      <c r="H1136" s="153" t="s">
        <v>330</v>
      </c>
      <c r="I1136" s="153" t="s">
        <v>331</v>
      </c>
      <c r="J1136" s="153" t="s">
        <v>3991</v>
      </c>
      <c r="K1136" s="153" t="s">
        <v>981</v>
      </c>
      <c r="L1136" s="153" t="s">
        <v>934</v>
      </c>
      <c r="M1136" s="153"/>
      <c r="N1136" s="230">
        <v>2001.0</v>
      </c>
      <c r="O1136" s="230">
        <v>2001.0</v>
      </c>
      <c r="P1136" s="230">
        <v>2005.0</v>
      </c>
      <c r="Q1136" s="153" t="s">
        <v>6062</v>
      </c>
      <c r="R1136" s="153" t="s">
        <v>3245</v>
      </c>
      <c r="S1136" s="158" t="s">
        <v>3245</v>
      </c>
      <c r="T1136" s="153" t="s">
        <v>939</v>
      </c>
      <c r="U1136" s="153" t="s">
        <v>940</v>
      </c>
      <c r="V1136" s="158" t="s">
        <v>6154</v>
      </c>
      <c r="W1136" s="158" t="s">
        <v>206</v>
      </c>
      <c r="X1136" s="158" t="s">
        <v>204</v>
      </c>
      <c r="Y1136" s="158" t="s">
        <v>149</v>
      </c>
      <c r="Z1136" s="158" t="s">
        <v>149</v>
      </c>
      <c r="AA1136" s="158" t="s">
        <v>149</v>
      </c>
      <c r="AB1136" s="153" t="s">
        <v>233</v>
      </c>
      <c r="AC1136" s="158" t="s">
        <v>6068</v>
      </c>
      <c r="AD1136" s="153"/>
      <c r="AE1136" s="153"/>
      <c r="AF1136" s="153"/>
      <c r="AG1136" s="158" t="s">
        <v>6214</v>
      </c>
      <c r="AH1136" s="153" t="s">
        <v>941</v>
      </c>
      <c r="AI1136" s="153" t="s">
        <v>942</v>
      </c>
      <c r="AJ1136" s="153" t="s">
        <v>943</v>
      </c>
      <c r="AK1136" s="153"/>
    </row>
    <row r="1137">
      <c r="A1137" s="152">
        <v>2025.0</v>
      </c>
      <c r="B1137" s="151">
        <v>386.0</v>
      </c>
      <c r="C1137" s="153" t="s">
        <v>8189</v>
      </c>
      <c r="D1137" s="153"/>
      <c r="E1137" s="153" t="s">
        <v>8301</v>
      </c>
      <c r="F1137" s="153" t="s">
        <v>7570</v>
      </c>
      <c r="G1137" s="153">
        <f>IFERROR(__xludf.DUMMYFUNCTION("""COMPUTED_VALUE"""),657.0)</f>
        <v>657</v>
      </c>
      <c r="H1137" s="153" t="s">
        <v>356</v>
      </c>
      <c r="I1137" s="153" t="s">
        <v>357</v>
      </c>
      <c r="J1137" s="153" t="s">
        <v>2011</v>
      </c>
      <c r="K1137" s="153" t="s">
        <v>2012</v>
      </c>
      <c r="L1137" s="153" t="s">
        <v>2013</v>
      </c>
      <c r="M1137" s="153" t="s">
        <v>8770</v>
      </c>
      <c r="N1137" s="160" t="s">
        <v>6356</v>
      </c>
      <c r="O1137" s="175" t="s">
        <v>6356</v>
      </c>
      <c r="P1137" s="160" t="s">
        <v>149</v>
      </c>
      <c r="Q1137" s="153" t="s">
        <v>151</v>
      </c>
      <c r="R1137" s="158" t="s">
        <v>149</v>
      </c>
      <c r="S1137" s="158" t="s">
        <v>149</v>
      </c>
      <c r="T1137" s="158" t="s">
        <v>2015</v>
      </c>
      <c r="U1137" s="153" t="s">
        <v>2016</v>
      </c>
      <c r="V1137" s="158" t="s">
        <v>6154</v>
      </c>
      <c r="W1137" s="158" t="s">
        <v>206</v>
      </c>
      <c r="X1137" s="158" t="s">
        <v>159</v>
      </c>
      <c r="Y1137" s="158" t="s">
        <v>149</v>
      </c>
      <c r="Z1137" s="158" t="s">
        <v>149</v>
      </c>
      <c r="AA1137" s="158" t="s">
        <v>149</v>
      </c>
      <c r="AB1137" s="153" t="s">
        <v>2017</v>
      </c>
      <c r="AC1137" s="153" t="s">
        <v>306</v>
      </c>
      <c r="AD1137" s="153"/>
      <c r="AE1137" s="153"/>
      <c r="AF1137" s="153"/>
      <c r="AG1137" s="158" t="s">
        <v>6027</v>
      </c>
      <c r="AH1137" s="153" t="s">
        <v>2018</v>
      </c>
      <c r="AI1137" s="165" t="s">
        <v>2019</v>
      </c>
      <c r="AJ1137" s="153"/>
      <c r="AK1137" s="153"/>
    </row>
    <row r="1138">
      <c r="A1138" s="152">
        <v>2023.0</v>
      </c>
      <c r="B1138" s="151">
        <v>387.0</v>
      </c>
      <c r="C1138" s="129" t="s">
        <v>140</v>
      </c>
      <c r="D1138" s="8"/>
      <c r="E1138" s="8" t="s">
        <v>8189</v>
      </c>
      <c r="F1138" s="8" t="s">
        <v>7574</v>
      </c>
      <c r="G1138" s="8">
        <f>IFERROR(__xludf.DUMMYFUNCTION("""COMPUTED_VALUE"""),658.0)</f>
        <v>658</v>
      </c>
      <c r="H1138" s="8" t="s">
        <v>356</v>
      </c>
      <c r="I1138" s="8" t="s">
        <v>357</v>
      </c>
      <c r="J1138" s="8" t="s">
        <v>1689</v>
      </c>
      <c r="K1138" s="8" t="s">
        <v>1690</v>
      </c>
      <c r="L1138" s="8" t="s">
        <v>6113</v>
      </c>
      <c r="M1138" s="8" t="s">
        <v>7575</v>
      </c>
      <c r="N1138" s="142" t="s">
        <v>6329</v>
      </c>
      <c r="O1138" s="142"/>
      <c r="P1138" s="142"/>
      <c r="Q1138" s="8" t="s">
        <v>151</v>
      </c>
      <c r="AH1138" s="8" t="s">
        <v>166</v>
      </c>
      <c r="AI1138" s="8" t="s">
        <v>7576</v>
      </c>
    </row>
    <row r="1139">
      <c r="A1139" s="152">
        <v>2024.0</v>
      </c>
      <c r="B1139" s="151">
        <v>382.0</v>
      </c>
      <c r="C1139" s="153"/>
      <c r="D1139" s="153"/>
      <c r="E1139" s="153" t="s">
        <v>8189</v>
      </c>
      <c r="F1139" s="153" t="s">
        <v>8771</v>
      </c>
      <c r="G1139" s="153">
        <f>IFERROR(__xludf.DUMMYFUNCTION("""COMPUTED_VALUE"""),659.0)</f>
        <v>659</v>
      </c>
      <c r="H1139" s="153" t="s">
        <v>330</v>
      </c>
      <c r="I1139" s="153" t="s">
        <v>331</v>
      </c>
      <c r="J1139" s="153" t="s">
        <v>8772</v>
      </c>
      <c r="K1139" s="153" t="s">
        <v>333</v>
      </c>
      <c r="L1139" s="153" t="s">
        <v>334</v>
      </c>
      <c r="M1139" s="158" t="s">
        <v>7514</v>
      </c>
      <c r="N1139" s="230">
        <v>2007.0</v>
      </c>
      <c r="O1139" s="230">
        <v>2007.0</v>
      </c>
      <c r="P1139" s="192">
        <v>2016.0</v>
      </c>
      <c r="Q1139" s="153" t="s">
        <v>151</v>
      </c>
      <c r="R1139" s="158" t="s">
        <v>337</v>
      </c>
      <c r="S1139" s="158" t="s">
        <v>337</v>
      </c>
      <c r="T1139" s="158" t="s">
        <v>338</v>
      </c>
      <c r="U1139" s="158" t="s">
        <v>228</v>
      </c>
      <c r="V1139" s="158" t="s">
        <v>160</v>
      </c>
      <c r="W1139" s="158" t="s">
        <v>6035</v>
      </c>
      <c r="X1139" s="158" t="s">
        <v>159</v>
      </c>
      <c r="Y1139" s="158" t="s">
        <v>149</v>
      </c>
      <c r="Z1139" s="153" t="s">
        <v>7503</v>
      </c>
      <c r="AA1139" s="153" t="s">
        <v>340</v>
      </c>
      <c r="AB1139" s="153" t="s">
        <v>228</v>
      </c>
      <c r="AC1139" s="153" t="s">
        <v>6035</v>
      </c>
      <c r="AD1139" s="153" t="s">
        <v>341</v>
      </c>
      <c r="AE1139" s="153"/>
      <c r="AF1139" s="153"/>
      <c r="AG1139" s="158" t="s">
        <v>166</v>
      </c>
      <c r="AH1139" s="153" t="s">
        <v>342</v>
      </c>
      <c r="AI1139" s="153" t="s">
        <v>7505</v>
      </c>
      <c r="AJ1139" s="153"/>
      <c r="AK1139" s="153"/>
    </row>
    <row r="1140">
      <c r="A1140" s="152">
        <v>2025.0</v>
      </c>
      <c r="B1140" s="151">
        <v>387.0</v>
      </c>
      <c r="C1140" s="153" t="s">
        <v>8189</v>
      </c>
      <c r="D1140" s="153"/>
      <c r="E1140" s="153" t="s">
        <v>8301</v>
      </c>
      <c r="F1140" s="153" t="s">
        <v>7572</v>
      </c>
      <c r="G1140" s="153">
        <f>IFERROR(__xludf.DUMMYFUNCTION("""COMPUTED_VALUE"""),660.0)</f>
        <v>660</v>
      </c>
      <c r="H1140" s="153" t="s">
        <v>356</v>
      </c>
      <c r="I1140" s="153" t="s">
        <v>357</v>
      </c>
      <c r="J1140" s="153" t="s">
        <v>1689</v>
      </c>
      <c r="K1140" s="153" t="s">
        <v>1690</v>
      </c>
      <c r="L1140" s="158" t="s">
        <v>149</v>
      </c>
      <c r="M1140" s="230">
        <v>2017.0</v>
      </c>
      <c r="N1140" s="175" t="s">
        <v>6152</v>
      </c>
      <c r="O1140" s="175" t="s">
        <v>6152</v>
      </c>
      <c r="P1140" s="175" t="s">
        <v>6152</v>
      </c>
      <c r="Q1140" s="153" t="s">
        <v>6814</v>
      </c>
      <c r="R1140" s="158" t="s">
        <v>320</v>
      </c>
      <c r="S1140" s="158" t="s">
        <v>179</v>
      </c>
      <c r="T1140" s="153" t="s">
        <v>3030</v>
      </c>
      <c r="U1140" s="153" t="s">
        <v>1693</v>
      </c>
      <c r="V1140" s="158" t="s">
        <v>160</v>
      </c>
      <c r="W1140" s="158" t="s">
        <v>209</v>
      </c>
      <c r="X1140" s="158" t="s">
        <v>204</v>
      </c>
      <c r="Y1140" s="158" t="s">
        <v>149</v>
      </c>
      <c r="Z1140" s="158" t="s">
        <v>149</v>
      </c>
      <c r="AA1140" s="158" t="s">
        <v>149</v>
      </c>
      <c r="AB1140" s="153" t="s">
        <v>1693</v>
      </c>
      <c r="AC1140" s="158" t="s">
        <v>6068</v>
      </c>
      <c r="AD1140" s="153"/>
      <c r="AE1140" s="153"/>
      <c r="AF1140" s="153"/>
      <c r="AG1140" s="158" t="s">
        <v>7149</v>
      </c>
      <c r="AH1140" s="153" t="s">
        <v>3031</v>
      </c>
      <c r="AI1140" s="172" t="s">
        <v>7573</v>
      </c>
      <c r="AJ1140" s="153" t="s">
        <v>3033</v>
      </c>
      <c r="AK1140" s="153"/>
    </row>
    <row r="1141">
      <c r="A1141" s="152">
        <v>2023.0</v>
      </c>
      <c r="B1141" s="151">
        <v>388.0</v>
      </c>
      <c r="C1141" s="129" t="s">
        <v>140</v>
      </c>
      <c r="D1141" s="8"/>
      <c r="E1141" s="8" t="s">
        <v>8189</v>
      </c>
      <c r="F1141" s="8" t="s">
        <v>7577</v>
      </c>
      <c r="G1141" s="8">
        <f>IFERROR(__xludf.DUMMYFUNCTION("""COMPUTED_VALUE"""),661.0)</f>
        <v>661</v>
      </c>
      <c r="H1141" s="8" t="s">
        <v>356</v>
      </c>
      <c r="I1141" s="8" t="s">
        <v>357</v>
      </c>
      <c r="J1141" s="8" t="s">
        <v>1689</v>
      </c>
      <c r="K1141" s="8" t="s">
        <v>1690</v>
      </c>
      <c r="L1141" s="153" t="s">
        <v>6113</v>
      </c>
      <c r="M1141" s="8" t="s">
        <v>7578</v>
      </c>
      <c r="N1141" s="142" t="s">
        <v>6152</v>
      </c>
      <c r="O1141" s="142"/>
      <c r="P1141" s="142"/>
      <c r="Q1141" s="8" t="s">
        <v>6814</v>
      </c>
      <c r="R1141" s="8" t="s">
        <v>320</v>
      </c>
      <c r="T1141" s="8" t="s">
        <v>3030</v>
      </c>
      <c r="U1141" s="8" t="s">
        <v>1693</v>
      </c>
      <c r="AB1141" s="8" t="s">
        <v>1693</v>
      </c>
      <c r="AH1141" s="8" t="s">
        <v>7149</v>
      </c>
      <c r="AI1141" s="172" t="s">
        <v>7573</v>
      </c>
      <c r="AJ1141" s="8" t="s">
        <v>3033</v>
      </c>
    </row>
    <row r="1142">
      <c r="A1142" s="152">
        <v>2025.0</v>
      </c>
      <c r="B1142" s="151">
        <v>388.0</v>
      </c>
      <c r="C1142" s="153" t="s">
        <v>8189</v>
      </c>
      <c r="D1142" s="153"/>
      <c r="E1142" s="153" t="s">
        <v>8301</v>
      </c>
      <c r="F1142" s="153" t="s">
        <v>8773</v>
      </c>
      <c r="G1142" s="153">
        <f>IFERROR(__xludf.DUMMYFUNCTION("""COMPUTED_VALUE"""),662.0)</f>
        <v>662</v>
      </c>
      <c r="H1142" s="153" t="s">
        <v>356</v>
      </c>
      <c r="I1142" s="153" t="s">
        <v>357</v>
      </c>
      <c r="J1142" s="153" t="s">
        <v>1689</v>
      </c>
      <c r="K1142" s="153" t="s">
        <v>1690</v>
      </c>
      <c r="L1142" s="153" t="s">
        <v>1683</v>
      </c>
      <c r="M1142" s="158" t="s">
        <v>1691</v>
      </c>
      <c r="N1142" s="160" t="s">
        <v>6063</v>
      </c>
      <c r="O1142" s="160" t="s">
        <v>6063</v>
      </c>
      <c r="P1142" s="175" t="s">
        <v>6064</v>
      </c>
      <c r="Q1142" s="153" t="s">
        <v>6062</v>
      </c>
      <c r="R1142" s="153" t="s">
        <v>320</v>
      </c>
      <c r="S1142" s="158" t="s">
        <v>179</v>
      </c>
      <c r="T1142" s="158" t="s">
        <v>149</v>
      </c>
      <c r="U1142" s="153" t="s">
        <v>321</v>
      </c>
      <c r="V1142" s="158" t="s">
        <v>160</v>
      </c>
      <c r="W1142" s="158" t="s">
        <v>6035</v>
      </c>
      <c r="X1142" s="158" t="s">
        <v>159</v>
      </c>
      <c r="Y1142" s="158" t="s">
        <v>149</v>
      </c>
      <c r="Z1142" s="158" t="s">
        <v>149</v>
      </c>
      <c r="AA1142" s="153" t="s">
        <v>1692</v>
      </c>
      <c r="AB1142" s="153" t="s">
        <v>1693</v>
      </c>
      <c r="AC1142" s="158" t="s">
        <v>6068</v>
      </c>
      <c r="AD1142" s="153" t="s">
        <v>7580</v>
      </c>
      <c r="AE1142" s="153" t="s">
        <v>1695</v>
      </c>
      <c r="AF1142" s="153"/>
      <c r="AG1142" s="158" t="s">
        <v>6069</v>
      </c>
      <c r="AH1142" s="153" t="s">
        <v>1300</v>
      </c>
      <c r="AI1142" s="153" t="s">
        <v>7029</v>
      </c>
      <c r="AJ1142" s="153"/>
      <c r="AK1142" s="153"/>
    </row>
    <row r="1143">
      <c r="A1143" s="152">
        <v>2024.0</v>
      </c>
      <c r="B1143" s="151">
        <v>383.0</v>
      </c>
      <c r="C1143" s="153"/>
      <c r="D1143" s="153"/>
      <c r="E1143" s="153" t="s">
        <v>8189</v>
      </c>
      <c r="F1143" s="153" t="s">
        <v>8774</v>
      </c>
      <c r="G1143" s="153">
        <f>IFERROR(__xludf.DUMMYFUNCTION("""COMPUTED_VALUE"""),663.0)</f>
        <v>663</v>
      </c>
      <c r="H1143" s="153" t="s">
        <v>330</v>
      </c>
      <c r="I1143" s="153" t="s">
        <v>331</v>
      </c>
      <c r="J1143" s="153" t="s">
        <v>7519</v>
      </c>
      <c r="K1143" s="153" t="s">
        <v>333</v>
      </c>
      <c r="L1143" s="153" t="s">
        <v>1580</v>
      </c>
      <c r="M1143" s="158" t="s">
        <v>1581</v>
      </c>
      <c r="N1143" s="192" t="s">
        <v>149</v>
      </c>
      <c r="O1143" s="192" t="s">
        <v>149</v>
      </c>
      <c r="P1143" s="192" t="s">
        <v>149</v>
      </c>
      <c r="Q1143" s="153" t="s">
        <v>151</v>
      </c>
      <c r="R1143" s="153" t="s">
        <v>362</v>
      </c>
      <c r="S1143" s="158" t="s">
        <v>362</v>
      </c>
      <c r="T1143" s="153" t="s">
        <v>1582</v>
      </c>
      <c r="U1143" s="153" t="s">
        <v>228</v>
      </c>
      <c r="V1143" s="158" t="s">
        <v>160</v>
      </c>
      <c r="W1143" s="158" t="s">
        <v>6035</v>
      </c>
      <c r="X1143" s="158" t="s">
        <v>159</v>
      </c>
      <c r="Y1143" s="158" t="s">
        <v>149</v>
      </c>
      <c r="Z1143" s="158" t="s">
        <v>149</v>
      </c>
      <c r="AA1143" s="188" t="s">
        <v>1583</v>
      </c>
      <c r="AB1143" s="153" t="s">
        <v>228</v>
      </c>
      <c r="AC1143" s="153" t="s">
        <v>6035</v>
      </c>
      <c r="AD1143" s="153"/>
      <c r="AE1143" s="153"/>
      <c r="AF1143" s="153"/>
      <c r="AG1143" s="153" t="s">
        <v>6038</v>
      </c>
      <c r="AH1143" s="153" t="s">
        <v>1584</v>
      </c>
      <c r="AI1143" s="172" t="s">
        <v>1585</v>
      </c>
      <c r="AJ1143" s="153"/>
      <c r="AK1143" s="153"/>
    </row>
    <row r="1144">
      <c r="A1144" s="152">
        <v>2023.0</v>
      </c>
      <c r="B1144" s="151">
        <v>389.0</v>
      </c>
      <c r="C1144" s="129" t="s">
        <v>140</v>
      </c>
      <c r="D1144" s="8"/>
      <c r="E1144" s="8" t="s">
        <v>8189</v>
      </c>
      <c r="F1144" s="8" t="s">
        <v>8775</v>
      </c>
      <c r="G1144" s="8">
        <f>IFERROR(__xludf.DUMMYFUNCTION("""COMPUTED_VALUE"""),664.0)</f>
        <v>664</v>
      </c>
      <c r="H1144" s="8" t="s">
        <v>356</v>
      </c>
      <c r="I1144" s="8" t="s">
        <v>357</v>
      </c>
      <c r="J1144" s="8" t="s">
        <v>1689</v>
      </c>
      <c r="K1144" s="8" t="s">
        <v>1690</v>
      </c>
      <c r="L1144" s="8" t="s">
        <v>1683</v>
      </c>
      <c r="N1144" s="142"/>
      <c r="O1144" s="142" t="s">
        <v>6063</v>
      </c>
      <c r="P1144" s="142" t="s">
        <v>6064</v>
      </c>
      <c r="Q1144" s="8" t="s">
        <v>6062</v>
      </c>
      <c r="R1144" s="8" t="s">
        <v>320</v>
      </c>
      <c r="U1144" s="8" t="s">
        <v>321</v>
      </c>
      <c r="AA1144" s="8" t="s">
        <v>1692</v>
      </c>
      <c r="AB1144" s="8" t="s">
        <v>1693</v>
      </c>
      <c r="AD1144" s="8" t="s">
        <v>7580</v>
      </c>
      <c r="AE1144" s="8" t="s">
        <v>1695</v>
      </c>
      <c r="AH1144" s="8" t="s">
        <v>6069</v>
      </c>
    </row>
    <row r="1145">
      <c r="A1145" s="152">
        <v>2024.0</v>
      </c>
      <c r="B1145" s="151">
        <v>384.0</v>
      </c>
      <c r="C1145" s="153"/>
      <c r="D1145" s="153"/>
      <c r="E1145" s="153" t="s">
        <v>8189</v>
      </c>
      <c r="F1145" s="153" t="s">
        <v>8776</v>
      </c>
      <c r="G1145" s="153">
        <f>IFERROR(__xludf.DUMMYFUNCTION("""COMPUTED_VALUE"""),665.0)</f>
        <v>665</v>
      </c>
      <c r="H1145" s="153" t="s">
        <v>330</v>
      </c>
      <c r="I1145" s="153" t="s">
        <v>615</v>
      </c>
      <c r="J1145" s="153" t="s">
        <v>7511</v>
      </c>
      <c r="K1145" s="153" t="s">
        <v>617</v>
      </c>
      <c r="L1145" s="153" t="s">
        <v>384</v>
      </c>
      <c r="M1145" s="153"/>
      <c r="N1145" s="230">
        <v>1986.0</v>
      </c>
      <c r="O1145" s="230">
        <v>1985.0</v>
      </c>
      <c r="P1145" s="230">
        <v>1987.0</v>
      </c>
      <c r="Q1145" s="153" t="s">
        <v>151</v>
      </c>
      <c r="R1145" s="153" t="s">
        <v>6054</v>
      </c>
      <c r="S1145" s="158" t="s">
        <v>6054</v>
      </c>
      <c r="T1145" s="158" t="s">
        <v>149</v>
      </c>
      <c r="U1145" s="153" t="s">
        <v>390</v>
      </c>
      <c r="V1145" s="158" t="s">
        <v>160</v>
      </c>
      <c r="W1145" s="158" t="s">
        <v>6035</v>
      </c>
      <c r="X1145" s="158" t="s">
        <v>159</v>
      </c>
      <c r="Y1145" s="158" t="s">
        <v>149</v>
      </c>
      <c r="Z1145" s="158" t="s">
        <v>149</v>
      </c>
      <c r="AA1145" s="158" t="s">
        <v>149</v>
      </c>
      <c r="AB1145" s="153" t="s">
        <v>390</v>
      </c>
      <c r="AC1145" s="153" t="s">
        <v>6035</v>
      </c>
      <c r="AD1145" s="153" t="s">
        <v>6055</v>
      </c>
      <c r="AE1145" s="153"/>
      <c r="AF1145" s="153"/>
      <c r="AG1145" s="158" t="s">
        <v>395</v>
      </c>
      <c r="AH1145" s="153" t="s">
        <v>6060</v>
      </c>
      <c r="AI1145" s="153" t="s">
        <v>2873</v>
      </c>
      <c r="AJ1145" s="153" t="s">
        <v>398</v>
      </c>
      <c r="AK1145" s="153"/>
    </row>
    <row r="1146">
      <c r="A1146" s="152">
        <v>2025.0</v>
      </c>
      <c r="B1146" s="151">
        <v>389.0</v>
      </c>
      <c r="C1146" s="158" t="s">
        <v>8189</v>
      </c>
      <c r="D1146" s="158"/>
      <c r="E1146" s="158" t="s">
        <v>8301</v>
      </c>
      <c r="F1146" s="158" t="s">
        <v>8777</v>
      </c>
      <c r="G1146" s="158">
        <f>IFERROR(__xludf.DUMMYFUNCTION("""COMPUTED_VALUE"""),666.0)</f>
        <v>666</v>
      </c>
      <c r="H1146" s="158" t="s">
        <v>356</v>
      </c>
      <c r="I1146" s="158" t="s">
        <v>357</v>
      </c>
      <c r="J1146" s="158" t="s">
        <v>1689</v>
      </c>
      <c r="K1146" s="158" t="s">
        <v>1690</v>
      </c>
      <c r="L1146" s="158" t="s">
        <v>149</v>
      </c>
      <c r="M1146" s="158" t="s">
        <v>1691</v>
      </c>
      <c r="N1146" s="160" t="s">
        <v>6906</v>
      </c>
      <c r="O1146" s="160" t="s">
        <v>149</v>
      </c>
      <c r="P1146" s="160" t="s">
        <v>149</v>
      </c>
      <c r="Q1146" s="158" t="s">
        <v>6062</v>
      </c>
      <c r="R1146" s="158" t="s">
        <v>3245</v>
      </c>
      <c r="S1146" s="158" t="s">
        <v>179</v>
      </c>
      <c r="T1146" s="158" t="s">
        <v>7582</v>
      </c>
      <c r="U1146" s="158" t="s">
        <v>2317</v>
      </c>
      <c r="V1146" s="158" t="s">
        <v>160</v>
      </c>
      <c r="W1146" s="158" t="s">
        <v>6035</v>
      </c>
      <c r="X1146" s="158" t="s">
        <v>159</v>
      </c>
      <c r="Y1146" s="158" t="s">
        <v>149</v>
      </c>
      <c r="Z1146" s="158" t="s">
        <v>149</v>
      </c>
      <c r="AA1146" s="158" t="s">
        <v>7583</v>
      </c>
      <c r="AB1146" s="158" t="s">
        <v>2317</v>
      </c>
      <c r="AC1146" s="158" t="s">
        <v>6035</v>
      </c>
      <c r="AD1146" s="158" t="s">
        <v>2319</v>
      </c>
      <c r="AE1146" s="158"/>
      <c r="AF1146" s="158"/>
      <c r="AG1146" s="158" t="s">
        <v>166</v>
      </c>
      <c r="AH1146" s="158" t="s">
        <v>2320</v>
      </c>
      <c r="AI1146" s="177" t="s">
        <v>2321</v>
      </c>
      <c r="AJ1146" s="158"/>
      <c r="AK1146" s="158"/>
    </row>
    <row r="1147">
      <c r="A1147" s="152">
        <v>2023.0</v>
      </c>
      <c r="B1147" s="151">
        <v>390.0</v>
      </c>
      <c r="C1147" s="129" t="s">
        <v>140</v>
      </c>
      <c r="D1147" s="8"/>
      <c r="E1147" s="8" t="s">
        <v>8189</v>
      </c>
      <c r="F1147" s="8" t="s">
        <v>8778</v>
      </c>
      <c r="G1147" s="8">
        <f>IFERROR(__xludf.DUMMYFUNCTION("""COMPUTED_VALUE"""),667.0)</f>
        <v>667</v>
      </c>
      <c r="H1147" s="8" t="s">
        <v>356</v>
      </c>
      <c r="I1147" s="8" t="s">
        <v>357</v>
      </c>
      <c r="J1147" s="8" t="s">
        <v>358</v>
      </c>
      <c r="K1147" s="8" t="s">
        <v>359</v>
      </c>
      <c r="L1147" s="8" t="s">
        <v>360</v>
      </c>
      <c r="N1147" s="142" t="s">
        <v>6329</v>
      </c>
      <c r="O1147" s="142"/>
      <c r="P1147" s="142"/>
      <c r="Q1147" s="8" t="s">
        <v>151</v>
      </c>
      <c r="U1147" s="8" t="s">
        <v>7587</v>
      </c>
      <c r="AA1147" s="8" t="s">
        <v>7588</v>
      </c>
      <c r="AB1147" s="8" t="s">
        <v>368</v>
      </c>
      <c r="AD1147" s="8" t="s">
        <v>369</v>
      </c>
      <c r="AE1147" s="8" t="s">
        <v>7589</v>
      </c>
      <c r="AH1147" s="8" t="s">
        <v>166</v>
      </c>
      <c r="AI1147" s="8" t="s">
        <v>7590</v>
      </c>
    </row>
    <row r="1148">
      <c r="A1148" s="152">
        <v>2024.0</v>
      </c>
      <c r="B1148" s="151">
        <v>385.0</v>
      </c>
      <c r="C1148" s="153"/>
      <c r="D1148" s="153"/>
      <c r="E1148" s="153" t="s">
        <v>8189</v>
      </c>
      <c r="F1148" s="153" t="s">
        <v>8779</v>
      </c>
      <c r="G1148" s="153">
        <f>IFERROR(__xludf.DUMMYFUNCTION("""COMPUTED_VALUE"""),668.0)</f>
        <v>668</v>
      </c>
      <c r="H1148" s="153" t="s">
        <v>330</v>
      </c>
      <c r="I1148" s="153" t="s">
        <v>615</v>
      </c>
      <c r="J1148" s="153" t="s">
        <v>7511</v>
      </c>
      <c r="K1148" s="153" t="s">
        <v>617</v>
      </c>
      <c r="L1148" s="153" t="s">
        <v>777</v>
      </c>
      <c r="M1148" s="153" t="s">
        <v>7526</v>
      </c>
      <c r="N1148" s="230">
        <v>2017.0</v>
      </c>
      <c r="O1148" s="192" t="s">
        <v>149</v>
      </c>
      <c r="P1148" s="192" t="s">
        <v>149</v>
      </c>
      <c r="Q1148" s="153" t="s">
        <v>151</v>
      </c>
      <c r="R1148" s="158" t="s">
        <v>670</v>
      </c>
      <c r="S1148" s="158" t="s">
        <v>670</v>
      </c>
      <c r="T1148" s="153" t="s">
        <v>779</v>
      </c>
      <c r="U1148" s="153" t="s">
        <v>780</v>
      </c>
      <c r="V1148" s="158" t="s">
        <v>160</v>
      </c>
      <c r="W1148" s="158" t="s">
        <v>184</v>
      </c>
      <c r="X1148" s="158" t="s">
        <v>159</v>
      </c>
      <c r="Y1148" s="158" t="s">
        <v>149</v>
      </c>
      <c r="Z1148" s="158" t="s">
        <v>7527</v>
      </c>
      <c r="AA1148" s="153" t="s">
        <v>782</v>
      </c>
      <c r="AB1148" s="153" t="s">
        <v>780</v>
      </c>
      <c r="AC1148" s="158" t="s">
        <v>184</v>
      </c>
      <c r="AD1148" s="153" t="s">
        <v>760</v>
      </c>
      <c r="AE1148" s="153" t="s">
        <v>765</v>
      </c>
      <c r="AF1148" s="153"/>
      <c r="AG1148" s="158" t="s">
        <v>6027</v>
      </c>
      <c r="AH1148" s="153" t="s">
        <v>783</v>
      </c>
      <c r="AI1148" s="165" t="s">
        <v>784</v>
      </c>
      <c r="AJ1148" s="153"/>
      <c r="AK1148" s="153"/>
    </row>
    <row r="1149">
      <c r="A1149" s="152">
        <v>2025.0</v>
      </c>
      <c r="B1149" s="151">
        <v>390.0</v>
      </c>
      <c r="C1149" s="153" t="s">
        <v>8189</v>
      </c>
      <c r="D1149" s="153"/>
      <c r="E1149" s="153" t="s">
        <v>707</v>
      </c>
      <c r="F1149" s="153" t="s">
        <v>8780</v>
      </c>
      <c r="G1149" s="153">
        <f>IFERROR(__xludf.DUMMYFUNCTION("""COMPUTED_VALUE"""),669.0)</f>
        <v>669</v>
      </c>
      <c r="H1149" s="153" t="s">
        <v>356</v>
      </c>
      <c r="I1149" s="153" t="s">
        <v>357</v>
      </c>
      <c r="J1149" s="153" t="s">
        <v>3186</v>
      </c>
      <c r="K1149" s="153" t="s">
        <v>3187</v>
      </c>
      <c r="L1149" s="158" t="s">
        <v>149</v>
      </c>
      <c r="M1149" s="158" t="s">
        <v>3188</v>
      </c>
      <c r="N1149" s="160" t="s">
        <v>6151</v>
      </c>
      <c r="O1149" s="164" t="s">
        <v>149</v>
      </c>
      <c r="P1149" s="160" t="s">
        <v>149</v>
      </c>
      <c r="Q1149" s="158" t="s">
        <v>6814</v>
      </c>
      <c r="R1149" s="158" t="s">
        <v>179</v>
      </c>
      <c r="S1149" s="158" t="s">
        <v>3189</v>
      </c>
      <c r="T1149" s="158" t="s">
        <v>149</v>
      </c>
      <c r="U1149" s="158" t="s">
        <v>341</v>
      </c>
      <c r="V1149" s="158" t="s">
        <v>160</v>
      </c>
      <c r="W1149" s="158" t="s">
        <v>6035</v>
      </c>
      <c r="X1149" s="158" t="s">
        <v>159</v>
      </c>
      <c r="Y1149" s="158" t="s">
        <v>149</v>
      </c>
      <c r="Z1149" s="158" t="s">
        <v>149</v>
      </c>
      <c r="AA1149" s="158" t="s">
        <v>149</v>
      </c>
      <c r="AB1149" s="158" t="s">
        <v>341</v>
      </c>
      <c r="AC1149" s="158" t="s">
        <v>6035</v>
      </c>
      <c r="AD1149" s="153"/>
      <c r="AE1149" s="153"/>
      <c r="AF1149" s="153"/>
      <c r="AG1149" s="158" t="s">
        <v>3277</v>
      </c>
      <c r="AH1149" s="158" t="s">
        <v>3190</v>
      </c>
      <c r="AI1149" s="172" t="s">
        <v>3191</v>
      </c>
      <c r="AJ1149" s="153"/>
      <c r="AK1149" s="153"/>
    </row>
    <row r="1150">
      <c r="A1150" s="152">
        <v>2023.0</v>
      </c>
      <c r="B1150" s="151">
        <v>391.0</v>
      </c>
      <c r="C1150" s="129" t="s">
        <v>140</v>
      </c>
      <c r="D1150" s="8"/>
      <c r="E1150" s="8" t="s">
        <v>8189</v>
      </c>
      <c r="F1150" s="8" t="s">
        <v>8781</v>
      </c>
      <c r="G1150" s="8">
        <f>IFERROR(__xludf.DUMMYFUNCTION("""COMPUTED_VALUE"""),670.0)</f>
        <v>670</v>
      </c>
      <c r="H1150" s="8" t="s">
        <v>356</v>
      </c>
      <c r="I1150" s="8" t="s">
        <v>357</v>
      </c>
      <c r="J1150" s="8" t="s">
        <v>358</v>
      </c>
      <c r="K1150" s="8" t="s">
        <v>359</v>
      </c>
      <c r="L1150" s="8" t="s">
        <v>360</v>
      </c>
      <c r="M1150" s="8" t="s">
        <v>7592</v>
      </c>
      <c r="N1150" s="142" t="s">
        <v>6151</v>
      </c>
      <c r="O1150" s="142"/>
      <c r="P1150" s="142"/>
      <c r="Q1150" s="8" t="s">
        <v>151</v>
      </c>
      <c r="R1150" s="8" t="s">
        <v>362</v>
      </c>
      <c r="U1150" s="8" t="s">
        <v>2349</v>
      </c>
      <c r="AA1150" s="8" t="s">
        <v>2350</v>
      </c>
      <c r="AB1150" s="8" t="s">
        <v>368</v>
      </c>
      <c r="AD1150" s="8" t="s">
        <v>7593</v>
      </c>
      <c r="AE1150" s="8" t="s">
        <v>2352</v>
      </c>
      <c r="AF1150" s="8" t="s">
        <v>2353</v>
      </c>
      <c r="AH1150" s="8" t="s">
        <v>166</v>
      </c>
      <c r="AI1150" s="8" t="s">
        <v>7594</v>
      </c>
    </row>
    <row r="1151">
      <c r="A1151" s="152">
        <v>2024.0</v>
      </c>
      <c r="B1151" s="151">
        <v>386.0</v>
      </c>
      <c r="C1151" s="153"/>
      <c r="D1151" s="153"/>
      <c r="E1151" s="153" t="s">
        <v>8189</v>
      </c>
      <c r="F1151" s="153" t="s">
        <v>8782</v>
      </c>
      <c r="G1151" s="153">
        <f>IFERROR(__xludf.DUMMYFUNCTION("""COMPUTED_VALUE"""),671.0)</f>
        <v>671</v>
      </c>
      <c r="H1151" s="153" t="s">
        <v>330</v>
      </c>
      <c r="I1151" s="153" t="s">
        <v>615</v>
      </c>
      <c r="J1151" s="153" t="s">
        <v>7511</v>
      </c>
      <c r="K1151" s="153" t="s">
        <v>617</v>
      </c>
      <c r="L1151" s="153" t="s">
        <v>668</v>
      </c>
      <c r="M1151" s="153" t="s">
        <v>669</v>
      </c>
      <c r="N1151" s="230">
        <v>2017.0</v>
      </c>
      <c r="O1151" s="192" t="s">
        <v>149</v>
      </c>
      <c r="P1151" s="192" t="s">
        <v>149</v>
      </c>
      <c r="Q1151" s="153" t="s">
        <v>151</v>
      </c>
      <c r="R1151" s="158" t="s">
        <v>670</v>
      </c>
      <c r="S1151" s="158" t="s">
        <v>670</v>
      </c>
      <c r="T1151" s="158" t="s">
        <v>673</v>
      </c>
      <c r="U1151" s="153" t="s">
        <v>674</v>
      </c>
      <c r="V1151" s="158" t="s">
        <v>160</v>
      </c>
      <c r="W1151" s="158" t="s">
        <v>6035</v>
      </c>
      <c r="X1151" s="158" t="s">
        <v>159</v>
      </c>
      <c r="Y1151" s="158" t="s">
        <v>149</v>
      </c>
      <c r="Z1151" s="158" t="s">
        <v>149</v>
      </c>
      <c r="AA1151" s="153" t="s">
        <v>675</v>
      </c>
      <c r="AB1151" s="158" t="s">
        <v>674</v>
      </c>
      <c r="AC1151" s="153" t="s">
        <v>6035</v>
      </c>
      <c r="AD1151" s="153" t="s">
        <v>676</v>
      </c>
      <c r="AE1151" s="153"/>
      <c r="AF1151" s="158" t="s">
        <v>677</v>
      </c>
      <c r="AG1151" s="158" t="s">
        <v>6027</v>
      </c>
      <c r="AH1151" s="153" t="s">
        <v>678</v>
      </c>
      <c r="AI1151" s="153" t="s">
        <v>679</v>
      </c>
      <c r="AJ1151" s="153"/>
      <c r="AK1151" s="153"/>
    </row>
    <row r="1152">
      <c r="A1152" s="152">
        <v>2025.0</v>
      </c>
      <c r="B1152" s="151">
        <v>391.0</v>
      </c>
      <c r="C1152" s="153" t="s">
        <v>8189</v>
      </c>
      <c r="D1152" s="153"/>
      <c r="E1152" s="153" t="s">
        <v>8301</v>
      </c>
      <c r="F1152" s="153" t="s">
        <v>8783</v>
      </c>
      <c r="G1152" s="153">
        <f>IFERROR(__xludf.DUMMYFUNCTION("""COMPUTED_VALUE"""),672.0)</f>
        <v>672</v>
      </c>
      <c r="H1152" s="153" t="s">
        <v>356</v>
      </c>
      <c r="I1152" s="153" t="s">
        <v>357</v>
      </c>
      <c r="J1152" s="153" t="s">
        <v>358</v>
      </c>
      <c r="K1152" s="153" t="s">
        <v>359</v>
      </c>
      <c r="L1152" s="153" t="s">
        <v>360</v>
      </c>
      <c r="M1152" s="158"/>
      <c r="N1152" s="175" t="s">
        <v>6329</v>
      </c>
      <c r="O1152" s="175" t="s">
        <v>6329</v>
      </c>
      <c r="P1152" s="160" t="s">
        <v>149</v>
      </c>
      <c r="Q1152" s="153" t="s">
        <v>151</v>
      </c>
      <c r="R1152" s="158" t="s">
        <v>362</v>
      </c>
      <c r="S1152" s="158" t="s">
        <v>362</v>
      </c>
      <c r="T1152" s="158" t="s">
        <v>365</v>
      </c>
      <c r="U1152" s="158" t="s">
        <v>366</v>
      </c>
      <c r="V1152" s="158" t="s">
        <v>160</v>
      </c>
      <c r="W1152" s="158" t="s">
        <v>306</v>
      </c>
      <c r="X1152" s="158" t="s">
        <v>159</v>
      </c>
      <c r="Y1152" s="158" t="s">
        <v>149</v>
      </c>
      <c r="Z1152" s="158" t="s">
        <v>149</v>
      </c>
      <c r="AA1152" s="158" t="s">
        <v>367</v>
      </c>
      <c r="AB1152" s="158" t="s">
        <v>368</v>
      </c>
      <c r="AC1152" s="158" t="s">
        <v>306</v>
      </c>
      <c r="AD1152" s="158" t="s">
        <v>369</v>
      </c>
      <c r="AE1152" s="158" t="s">
        <v>370</v>
      </c>
      <c r="AF1152" s="153"/>
      <c r="AG1152" s="158" t="s">
        <v>166</v>
      </c>
      <c r="AH1152" s="153" t="s">
        <v>371</v>
      </c>
      <c r="AI1152" s="165" t="s">
        <v>372</v>
      </c>
      <c r="AJ1152" s="153"/>
      <c r="AK1152" s="153"/>
    </row>
    <row r="1153">
      <c r="A1153" s="152">
        <v>2023.0</v>
      </c>
      <c r="B1153" s="151">
        <v>392.0</v>
      </c>
      <c r="C1153" s="129" t="s">
        <v>140</v>
      </c>
      <c r="D1153" s="8"/>
      <c r="E1153" s="8" t="s">
        <v>8189</v>
      </c>
      <c r="F1153" s="8" t="s">
        <v>8784</v>
      </c>
      <c r="G1153" s="8">
        <f>IFERROR(__xludf.DUMMYFUNCTION("""COMPUTED_VALUE"""),673.0)</f>
        <v>673</v>
      </c>
      <c r="H1153" s="8" t="s">
        <v>356</v>
      </c>
      <c r="I1153" s="8" t="s">
        <v>357</v>
      </c>
      <c r="J1153" s="8" t="s">
        <v>375</v>
      </c>
      <c r="K1153" s="8" t="s">
        <v>376</v>
      </c>
      <c r="L1153" s="8" t="s">
        <v>360</v>
      </c>
      <c r="N1153" s="142" t="s">
        <v>6151</v>
      </c>
      <c r="O1153" s="142"/>
      <c r="P1153" s="142"/>
      <c r="Q1153" s="8" t="s">
        <v>151</v>
      </c>
      <c r="R1153" s="8" t="s">
        <v>362</v>
      </c>
      <c r="AH1153" s="8" t="s">
        <v>7601</v>
      </c>
    </row>
    <row r="1154">
      <c r="A1154" s="152">
        <v>2024.0</v>
      </c>
      <c r="B1154" s="151">
        <v>387.0</v>
      </c>
      <c r="C1154" s="153"/>
      <c r="D1154" s="153"/>
      <c r="E1154" s="153" t="s">
        <v>8189</v>
      </c>
      <c r="F1154" s="153" t="s">
        <v>8785</v>
      </c>
      <c r="G1154" s="153">
        <f>IFERROR(__xludf.DUMMYFUNCTION("""COMPUTED_VALUE"""),674.0)</f>
        <v>674</v>
      </c>
      <c r="H1154" s="153" t="s">
        <v>330</v>
      </c>
      <c r="I1154" s="153" t="s">
        <v>615</v>
      </c>
      <c r="J1154" s="153" t="s">
        <v>7511</v>
      </c>
      <c r="K1154" s="153" t="s">
        <v>617</v>
      </c>
      <c r="L1154" s="153" t="s">
        <v>668</v>
      </c>
      <c r="M1154" s="153" t="s">
        <v>681</v>
      </c>
      <c r="N1154" s="230">
        <v>2017.0</v>
      </c>
      <c r="O1154" s="192" t="s">
        <v>149</v>
      </c>
      <c r="P1154" s="192" t="s">
        <v>149</v>
      </c>
      <c r="Q1154" s="153" t="s">
        <v>151</v>
      </c>
      <c r="R1154" s="158" t="s">
        <v>670</v>
      </c>
      <c r="S1154" s="158" t="s">
        <v>670</v>
      </c>
      <c r="T1154" s="153" t="s">
        <v>684</v>
      </c>
      <c r="U1154" s="153" t="s">
        <v>685</v>
      </c>
      <c r="V1154" s="158" t="s">
        <v>160</v>
      </c>
      <c r="W1154" s="158" t="s">
        <v>6035</v>
      </c>
      <c r="X1154" s="158" t="s">
        <v>159</v>
      </c>
      <c r="Y1154" s="158" t="s">
        <v>149</v>
      </c>
      <c r="Z1154" s="158" t="s">
        <v>149</v>
      </c>
      <c r="AA1154" s="153" t="s">
        <v>687</v>
      </c>
      <c r="AB1154" s="153" t="s">
        <v>685</v>
      </c>
      <c r="AC1154" s="153" t="s">
        <v>6035</v>
      </c>
      <c r="AD1154" s="153" t="s">
        <v>688</v>
      </c>
      <c r="AE1154" s="153" t="s">
        <v>674</v>
      </c>
      <c r="AF1154" s="153"/>
      <c r="AG1154" s="158" t="s">
        <v>6038</v>
      </c>
      <c r="AH1154" s="153" t="s">
        <v>7534</v>
      </c>
      <c r="AI1154" s="165" t="s">
        <v>7535</v>
      </c>
      <c r="AJ1154" s="153"/>
      <c r="AK1154" s="153"/>
    </row>
    <row r="1155">
      <c r="A1155" s="152">
        <v>2025.0</v>
      </c>
      <c r="B1155" s="151">
        <v>392.0</v>
      </c>
      <c r="C1155" s="153" t="s">
        <v>8189</v>
      </c>
      <c r="D1155" s="153"/>
      <c r="E1155" s="153" t="s">
        <v>707</v>
      </c>
      <c r="F1155" s="153" t="s">
        <v>8786</v>
      </c>
      <c r="G1155" s="153">
        <f>IFERROR(__xludf.DUMMYFUNCTION("""COMPUTED_VALUE"""),675.0)</f>
        <v>675</v>
      </c>
      <c r="H1155" s="153" t="s">
        <v>356</v>
      </c>
      <c r="I1155" s="153" t="s">
        <v>357</v>
      </c>
      <c r="J1155" s="153" t="s">
        <v>358</v>
      </c>
      <c r="K1155" s="153" t="s">
        <v>359</v>
      </c>
      <c r="L1155" s="158" t="s">
        <v>149</v>
      </c>
      <c r="M1155" s="158" t="s">
        <v>7597</v>
      </c>
      <c r="N1155" s="175" t="s">
        <v>6151</v>
      </c>
      <c r="O1155" s="160" t="s">
        <v>149</v>
      </c>
      <c r="P1155" s="160" t="s">
        <v>149</v>
      </c>
      <c r="Q1155" s="153" t="s">
        <v>151</v>
      </c>
      <c r="R1155" s="153" t="s">
        <v>362</v>
      </c>
      <c r="S1155" s="158" t="s">
        <v>362</v>
      </c>
      <c r="T1155" s="158" t="s">
        <v>2348</v>
      </c>
      <c r="U1155" s="153" t="s">
        <v>2349</v>
      </c>
      <c r="V1155" s="158" t="s">
        <v>6154</v>
      </c>
      <c r="W1155" s="158" t="s">
        <v>306</v>
      </c>
      <c r="X1155" s="158" t="s">
        <v>159</v>
      </c>
      <c r="Y1155" s="158" t="s">
        <v>149</v>
      </c>
      <c r="Z1155" s="158" t="s">
        <v>149</v>
      </c>
      <c r="AA1155" s="153" t="s">
        <v>2350</v>
      </c>
      <c r="AB1155" s="153" t="s">
        <v>368</v>
      </c>
      <c r="AC1155" s="153" t="s">
        <v>306</v>
      </c>
      <c r="AD1155" s="153" t="s">
        <v>7593</v>
      </c>
      <c r="AE1155" s="153" t="s">
        <v>2352</v>
      </c>
      <c r="AF1155" s="153" t="s">
        <v>2353</v>
      </c>
      <c r="AG1155" s="158" t="s">
        <v>166</v>
      </c>
      <c r="AH1155" s="153" t="s">
        <v>8787</v>
      </c>
      <c r="AI1155" s="153" t="s">
        <v>8788</v>
      </c>
      <c r="AJ1155" s="153"/>
      <c r="AK1155" s="153"/>
    </row>
    <row r="1156">
      <c r="A1156" s="152">
        <v>2025.0</v>
      </c>
      <c r="B1156" s="151">
        <v>393.0</v>
      </c>
      <c r="C1156" s="153" t="s">
        <v>8189</v>
      </c>
      <c r="D1156" s="153"/>
      <c r="E1156" s="153" t="s">
        <v>707</v>
      </c>
      <c r="F1156" s="153" t="s">
        <v>8789</v>
      </c>
      <c r="G1156" s="153">
        <f>IFERROR(__xludf.DUMMYFUNCTION("""COMPUTED_VALUE"""),676.0)</f>
        <v>676</v>
      </c>
      <c r="H1156" s="153" t="s">
        <v>356</v>
      </c>
      <c r="I1156" s="153" t="s">
        <v>357</v>
      </c>
      <c r="J1156" s="153" t="s">
        <v>375</v>
      </c>
      <c r="K1156" s="153" t="s">
        <v>376</v>
      </c>
      <c r="L1156" s="153" t="s">
        <v>360</v>
      </c>
      <c r="M1156" s="158" t="s">
        <v>7603</v>
      </c>
      <c r="N1156" s="175" t="s">
        <v>6268</v>
      </c>
      <c r="O1156" s="160" t="s">
        <v>149</v>
      </c>
      <c r="P1156" s="160" t="s">
        <v>149</v>
      </c>
      <c r="Q1156" s="153" t="s">
        <v>151</v>
      </c>
      <c r="R1156" s="153" t="s">
        <v>362</v>
      </c>
      <c r="S1156" s="158" t="s">
        <v>362</v>
      </c>
      <c r="T1156" s="158" t="s">
        <v>149</v>
      </c>
      <c r="U1156" s="158" t="s">
        <v>368</v>
      </c>
      <c r="V1156" s="158" t="s">
        <v>160</v>
      </c>
      <c r="W1156" s="158" t="s">
        <v>306</v>
      </c>
      <c r="X1156" s="158" t="s">
        <v>159</v>
      </c>
      <c r="Y1156" s="158" t="s">
        <v>149</v>
      </c>
      <c r="Z1156" s="158" t="s">
        <v>149</v>
      </c>
      <c r="AA1156" s="158" t="s">
        <v>7604</v>
      </c>
      <c r="AB1156" s="153" t="s">
        <v>368</v>
      </c>
      <c r="AC1156" s="153" t="s">
        <v>306</v>
      </c>
      <c r="AD1156" s="153"/>
      <c r="AE1156" s="153"/>
      <c r="AF1156" s="153"/>
      <c r="AG1156" s="158" t="s">
        <v>6027</v>
      </c>
      <c r="AH1156" s="153" t="s">
        <v>7605</v>
      </c>
      <c r="AI1156" s="172" t="s">
        <v>379</v>
      </c>
      <c r="AJ1156" s="153"/>
      <c r="AK1156" s="153"/>
    </row>
    <row r="1157">
      <c r="A1157" s="152">
        <v>2024.0</v>
      </c>
      <c r="B1157" s="151">
        <v>388.0</v>
      </c>
      <c r="C1157" s="153"/>
      <c r="D1157" s="153"/>
      <c r="E1157" s="153" t="s">
        <v>8189</v>
      </c>
      <c r="F1157" s="153" t="s">
        <v>8790</v>
      </c>
      <c r="G1157" s="153">
        <f>IFERROR(__xludf.DUMMYFUNCTION("""COMPUTED_VALUE"""),677.0)</f>
        <v>677</v>
      </c>
      <c r="H1157" s="153" t="s">
        <v>330</v>
      </c>
      <c r="I1157" s="153" t="s">
        <v>615</v>
      </c>
      <c r="J1157" s="153" t="s">
        <v>7511</v>
      </c>
      <c r="K1157" s="153" t="s">
        <v>617</v>
      </c>
      <c r="L1157" s="158" t="s">
        <v>149</v>
      </c>
      <c r="M1157" s="153"/>
      <c r="N1157" s="230">
        <v>2012.0</v>
      </c>
      <c r="O1157" s="192" t="s">
        <v>149</v>
      </c>
      <c r="P1157" s="192" t="s">
        <v>149</v>
      </c>
      <c r="Q1157" s="153" t="s">
        <v>151</v>
      </c>
      <c r="R1157" s="158" t="s">
        <v>670</v>
      </c>
      <c r="S1157" s="158" t="s">
        <v>670</v>
      </c>
      <c r="T1157" s="158" t="s">
        <v>2579</v>
      </c>
      <c r="U1157" s="158" t="s">
        <v>149</v>
      </c>
      <c r="V1157" s="158" t="s">
        <v>149</v>
      </c>
      <c r="W1157" s="158" t="s">
        <v>149</v>
      </c>
      <c r="X1157" s="158" t="s">
        <v>159</v>
      </c>
      <c r="Y1157" s="158" t="s">
        <v>149</v>
      </c>
      <c r="Z1157" s="158" t="s">
        <v>149</v>
      </c>
      <c r="AA1157" s="158" t="s">
        <v>149</v>
      </c>
      <c r="AB1157" s="158" t="s">
        <v>2580</v>
      </c>
      <c r="AC1157" s="158" t="s">
        <v>7294</v>
      </c>
      <c r="AD1157" s="153"/>
      <c r="AE1157" s="153" t="s">
        <v>2581</v>
      </c>
      <c r="AF1157" s="153"/>
      <c r="AG1157" s="158" t="s">
        <v>6038</v>
      </c>
      <c r="AH1157" s="153" t="s">
        <v>2582</v>
      </c>
      <c r="AI1157" s="165" t="s">
        <v>2583</v>
      </c>
      <c r="AJ1157" s="153"/>
      <c r="AK1157" s="153"/>
    </row>
    <row r="1158">
      <c r="A1158" s="152">
        <v>2025.0</v>
      </c>
      <c r="B1158" s="151">
        <v>436.0</v>
      </c>
      <c r="C1158" s="153" t="s">
        <v>8189</v>
      </c>
      <c r="D1158" s="153"/>
      <c r="E1158" s="153" t="s">
        <v>8301</v>
      </c>
      <c r="F1158" s="153" t="s">
        <v>8791</v>
      </c>
      <c r="G1158" s="153">
        <f>IFERROR(__xludf.DUMMYFUNCTION("""COMPUTED_VALUE"""),678.0)</f>
        <v>678</v>
      </c>
      <c r="H1158" s="153" t="s">
        <v>625</v>
      </c>
      <c r="I1158" s="153" t="s">
        <v>826</v>
      </c>
      <c r="J1158" s="153" t="s">
        <v>2210</v>
      </c>
      <c r="K1158" s="153" t="s">
        <v>2211</v>
      </c>
      <c r="L1158" s="153" t="s">
        <v>6587</v>
      </c>
      <c r="M1158" s="153" t="s">
        <v>7100</v>
      </c>
      <c r="N1158" s="164" t="s">
        <v>149</v>
      </c>
      <c r="O1158" s="175" t="s">
        <v>6151</v>
      </c>
      <c r="P1158" s="164" t="s">
        <v>149</v>
      </c>
      <c r="Q1158" s="153" t="s">
        <v>151</v>
      </c>
      <c r="R1158" s="158" t="s">
        <v>149</v>
      </c>
      <c r="S1158" s="158" t="s">
        <v>149</v>
      </c>
      <c r="T1158" s="153" t="s">
        <v>7101</v>
      </c>
      <c r="U1158" s="153" t="s">
        <v>341</v>
      </c>
      <c r="V1158" s="158" t="s">
        <v>160</v>
      </c>
      <c r="W1158" s="158" t="s">
        <v>6035</v>
      </c>
      <c r="X1158" s="158" t="s">
        <v>159</v>
      </c>
      <c r="Y1158" s="158" t="s">
        <v>149</v>
      </c>
      <c r="Z1158" s="158" t="s">
        <v>149</v>
      </c>
      <c r="AA1158" s="158" t="s">
        <v>149</v>
      </c>
      <c r="AB1158" s="153" t="s">
        <v>2160</v>
      </c>
      <c r="AC1158" s="153" t="s">
        <v>6035</v>
      </c>
      <c r="AD1158" s="153"/>
      <c r="AE1158" s="153"/>
      <c r="AF1158" s="153"/>
      <c r="AG1158" s="158" t="s">
        <v>166</v>
      </c>
      <c r="AH1158" s="153" t="s">
        <v>2161</v>
      </c>
      <c r="AI1158" s="165" t="s">
        <v>2162</v>
      </c>
      <c r="AJ1158" s="153"/>
      <c r="AK1158" s="153"/>
    </row>
    <row r="1159">
      <c r="A1159" s="152">
        <v>2025.0</v>
      </c>
      <c r="B1159" s="151">
        <v>437.0</v>
      </c>
      <c r="C1159" s="153" t="s">
        <v>8189</v>
      </c>
      <c r="D1159" s="153"/>
      <c r="E1159" s="153" t="s">
        <v>707</v>
      </c>
      <c r="F1159" s="153" t="s">
        <v>8792</v>
      </c>
      <c r="G1159" s="153">
        <f>IFERROR(__xludf.DUMMYFUNCTION("""COMPUTED_VALUE"""),679.0)</f>
        <v>679</v>
      </c>
      <c r="H1159" s="153" t="s">
        <v>625</v>
      </c>
      <c r="I1159" s="153" t="s">
        <v>826</v>
      </c>
      <c r="J1159" s="153" t="s">
        <v>827</v>
      </c>
      <c r="K1159" s="153" t="s">
        <v>828</v>
      </c>
      <c r="L1159" s="153" t="s">
        <v>6587</v>
      </c>
      <c r="M1159" s="153" t="s">
        <v>7752</v>
      </c>
      <c r="N1159" s="164" t="s">
        <v>149</v>
      </c>
      <c r="O1159" s="175" t="s">
        <v>6151</v>
      </c>
      <c r="P1159" s="164" t="s">
        <v>149</v>
      </c>
      <c r="Q1159" s="153" t="s">
        <v>151</v>
      </c>
      <c r="R1159" s="158" t="s">
        <v>149</v>
      </c>
      <c r="S1159" s="158" t="s">
        <v>149</v>
      </c>
      <c r="T1159" s="153" t="s">
        <v>7101</v>
      </c>
      <c r="U1159" s="153" t="s">
        <v>341</v>
      </c>
      <c r="V1159" s="158" t="s">
        <v>160</v>
      </c>
      <c r="W1159" s="158" t="s">
        <v>6035</v>
      </c>
      <c r="X1159" s="158" t="s">
        <v>159</v>
      </c>
      <c r="Y1159" s="158" t="s">
        <v>149</v>
      </c>
      <c r="Z1159" s="158" t="s">
        <v>149</v>
      </c>
      <c r="AA1159" s="158" t="s">
        <v>149</v>
      </c>
      <c r="AB1159" s="153" t="s">
        <v>2160</v>
      </c>
      <c r="AC1159" s="153" t="s">
        <v>6035</v>
      </c>
      <c r="AD1159" s="153"/>
      <c r="AE1159" s="153"/>
      <c r="AF1159" s="153"/>
      <c r="AG1159" s="158" t="s">
        <v>166</v>
      </c>
      <c r="AH1159" s="153" t="s">
        <v>2161</v>
      </c>
      <c r="AI1159" s="165" t="s">
        <v>2162</v>
      </c>
      <c r="AJ1159" s="153"/>
      <c r="AK1159" s="153"/>
    </row>
    <row r="1160">
      <c r="A1160" s="152">
        <v>2024.0</v>
      </c>
      <c r="B1160" s="151">
        <v>389.0</v>
      </c>
      <c r="C1160" s="158"/>
      <c r="D1160" s="158"/>
      <c r="E1160" s="158" t="s">
        <v>8189</v>
      </c>
      <c r="F1160" s="158" t="s">
        <v>8793</v>
      </c>
      <c r="G1160" s="158">
        <f>IFERROR(__xludf.DUMMYFUNCTION("""COMPUTED_VALUE"""),680.0)</f>
        <v>680</v>
      </c>
      <c r="H1160" s="158" t="s">
        <v>330</v>
      </c>
      <c r="I1160" s="158" t="s">
        <v>999</v>
      </c>
      <c r="J1160" s="158" t="s">
        <v>7530</v>
      </c>
      <c r="K1160" s="158" t="s">
        <v>1001</v>
      </c>
      <c r="L1160" s="158" t="s">
        <v>1002</v>
      </c>
      <c r="M1160" s="158" t="s">
        <v>1003</v>
      </c>
      <c r="N1160" s="192">
        <v>2024.0</v>
      </c>
      <c r="O1160" s="192">
        <v>2024.0</v>
      </c>
      <c r="P1160" s="192" t="s">
        <v>149</v>
      </c>
      <c r="Q1160" s="158" t="s">
        <v>151</v>
      </c>
      <c r="R1160" s="158" t="s">
        <v>1005</v>
      </c>
      <c r="S1160" s="158" t="s">
        <v>1005</v>
      </c>
      <c r="T1160" s="158" t="s">
        <v>1006</v>
      </c>
      <c r="U1160" s="158" t="s">
        <v>1007</v>
      </c>
      <c r="V1160" s="158" t="s">
        <v>6154</v>
      </c>
      <c r="W1160" s="158" t="s">
        <v>184</v>
      </c>
      <c r="X1160" s="158" t="s">
        <v>159</v>
      </c>
      <c r="Y1160" s="158" t="s">
        <v>149</v>
      </c>
      <c r="Z1160" s="158" t="s">
        <v>7543</v>
      </c>
      <c r="AA1160" s="158" t="s">
        <v>1009</v>
      </c>
      <c r="AB1160" s="158" t="s">
        <v>1010</v>
      </c>
      <c r="AC1160" s="158" t="s">
        <v>6068</v>
      </c>
      <c r="AD1160" s="158"/>
      <c r="AE1160" s="158" t="s">
        <v>1011</v>
      </c>
      <c r="AF1160" s="158"/>
      <c r="AG1160" s="158" t="s">
        <v>166</v>
      </c>
      <c r="AH1160" s="158" t="s">
        <v>8794</v>
      </c>
      <c r="AI1160" s="177" t="s">
        <v>1013</v>
      </c>
      <c r="AJ1160" s="158"/>
      <c r="AK1160" s="158"/>
    </row>
    <row r="1161">
      <c r="A1161" s="152">
        <v>2025.0</v>
      </c>
      <c r="B1161" s="151">
        <v>438.0</v>
      </c>
      <c r="C1161" s="153" t="s">
        <v>8189</v>
      </c>
      <c r="D1161" s="153"/>
      <c r="E1161" s="153" t="s">
        <v>8301</v>
      </c>
      <c r="F1161" s="153" t="s">
        <v>8795</v>
      </c>
      <c r="G1161" s="153">
        <f>IFERROR(__xludf.DUMMYFUNCTION("""COMPUTED_VALUE"""),681.0)</f>
        <v>681</v>
      </c>
      <c r="H1161" s="153" t="s">
        <v>625</v>
      </c>
      <c r="I1161" s="153" t="s">
        <v>826</v>
      </c>
      <c r="J1161" s="153" t="s">
        <v>827</v>
      </c>
      <c r="K1161" s="153" t="s">
        <v>828</v>
      </c>
      <c r="L1161" s="158" t="s">
        <v>816</v>
      </c>
      <c r="M1161" s="153" t="s">
        <v>829</v>
      </c>
      <c r="N1161" s="160" t="s">
        <v>8288</v>
      </c>
      <c r="O1161" s="160" t="s">
        <v>6352</v>
      </c>
      <c r="P1161" s="160" t="s">
        <v>6896</v>
      </c>
      <c r="Q1161" s="153" t="s">
        <v>151</v>
      </c>
      <c r="R1161" s="158" t="s">
        <v>152</v>
      </c>
      <c r="S1161" s="158" t="s">
        <v>152</v>
      </c>
      <c r="T1161" s="158" t="s">
        <v>819</v>
      </c>
      <c r="U1161" s="158" t="s">
        <v>820</v>
      </c>
      <c r="V1161" s="158" t="s">
        <v>6154</v>
      </c>
      <c r="W1161" s="158" t="s">
        <v>206</v>
      </c>
      <c r="X1161" s="158" t="s">
        <v>159</v>
      </c>
      <c r="Y1161" s="158" t="s">
        <v>149</v>
      </c>
      <c r="Z1161" s="158" t="s">
        <v>149</v>
      </c>
      <c r="AA1161" s="158" t="s">
        <v>149</v>
      </c>
      <c r="AB1161" s="158" t="s">
        <v>830</v>
      </c>
      <c r="AC1161" s="158" t="s">
        <v>6035</v>
      </c>
      <c r="AD1161" s="158" t="s">
        <v>822</v>
      </c>
      <c r="AE1161" s="153"/>
      <c r="AF1161" s="153"/>
      <c r="AG1161" s="158" t="s">
        <v>6084</v>
      </c>
      <c r="AH1161" s="153" t="s">
        <v>823</v>
      </c>
      <c r="AI1161" s="172" t="s">
        <v>824</v>
      </c>
      <c r="AJ1161" s="153"/>
      <c r="AK1161" s="153"/>
    </row>
    <row r="1162">
      <c r="A1162" s="152">
        <v>2023.0</v>
      </c>
      <c r="B1162" s="151">
        <v>212.0</v>
      </c>
      <c r="C1162" s="129" t="s">
        <v>140</v>
      </c>
      <c r="D1162" s="8"/>
      <c r="E1162" s="8" t="s">
        <v>8189</v>
      </c>
      <c r="F1162" s="8" t="s">
        <v>6944</v>
      </c>
      <c r="G1162" s="8">
        <f>IFERROR(__xludf.DUMMYFUNCTION("""COMPUTED_VALUE"""),682.0)</f>
        <v>682</v>
      </c>
      <c r="H1162" s="8" t="s">
        <v>535</v>
      </c>
      <c r="I1162" s="8" t="s">
        <v>536</v>
      </c>
      <c r="J1162" s="8" t="s">
        <v>6945</v>
      </c>
      <c r="K1162" s="277" t="s">
        <v>538</v>
      </c>
      <c r="L1162" s="8" t="s">
        <v>384</v>
      </c>
      <c r="M1162" s="8" t="s">
        <v>8796</v>
      </c>
      <c r="N1162" s="142" t="s">
        <v>6052</v>
      </c>
      <c r="O1162" s="142" t="s">
        <v>6052</v>
      </c>
      <c r="P1162" s="142" t="s">
        <v>6053</v>
      </c>
      <c r="Q1162" s="8" t="s">
        <v>151</v>
      </c>
      <c r="R1162" s="8" t="s">
        <v>469</v>
      </c>
      <c r="U1162" s="8" t="s">
        <v>390</v>
      </c>
      <c r="AB1162" s="8" t="s">
        <v>390</v>
      </c>
      <c r="AD1162" s="8" t="s">
        <v>6055</v>
      </c>
      <c r="AH1162" s="8" t="s">
        <v>6057</v>
      </c>
      <c r="AI1162" s="8" t="s">
        <v>2873</v>
      </c>
      <c r="AJ1162" s="8" t="s">
        <v>398</v>
      </c>
    </row>
    <row r="1163">
      <c r="A1163" s="152">
        <v>2024.0</v>
      </c>
      <c r="B1163" s="151">
        <v>390.0</v>
      </c>
      <c r="C1163" s="153"/>
      <c r="D1163" s="153"/>
      <c r="E1163" s="153" t="s">
        <v>8189</v>
      </c>
      <c r="F1163" s="153" t="s">
        <v>8797</v>
      </c>
      <c r="G1163" s="153">
        <f>IFERROR(__xludf.DUMMYFUNCTION("""COMPUTED_VALUE"""),683.0)</f>
        <v>683</v>
      </c>
      <c r="H1163" s="153" t="s">
        <v>330</v>
      </c>
      <c r="I1163" s="153" t="s">
        <v>999</v>
      </c>
      <c r="J1163" s="153" t="s">
        <v>3178</v>
      </c>
      <c r="K1163" s="153" t="s">
        <v>3179</v>
      </c>
      <c r="L1163" s="158" t="s">
        <v>149</v>
      </c>
      <c r="M1163" s="153" t="s">
        <v>7537</v>
      </c>
      <c r="N1163" s="192" t="s">
        <v>149</v>
      </c>
      <c r="O1163" s="192" t="s">
        <v>149</v>
      </c>
      <c r="P1163" s="192" t="s">
        <v>149</v>
      </c>
      <c r="Q1163" s="153" t="s">
        <v>151</v>
      </c>
      <c r="R1163" s="158" t="s">
        <v>149</v>
      </c>
      <c r="S1163" s="158" t="s">
        <v>149</v>
      </c>
      <c r="T1163" s="158" t="s">
        <v>149</v>
      </c>
      <c r="U1163" s="158" t="s">
        <v>149</v>
      </c>
      <c r="V1163" s="158" t="s">
        <v>149</v>
      </c>
      <c r="W1163" s="158" t="s">
        <v>149</v>
      </c>
      <c r="X1163" s="158" t="s">
        <v>149</v>
      </c>
      <c r="Y1163" s="158" t="s">
        <v>149</v>
      </c>
      <c r="Z1163" s="158" t="s">
        <v>149</v>
      </c>
      <c r="AA1163" s="158" t="s">
        <v>149</v>
      </c>
      <c r="AB1163" s="153" t="s">
        <v>369</v>
      </c>
      <c r="AC1163" s="153" t="s">
        <v>6035</v>
      </c>
      <c r="AD1163" s="153"/>
      <c r="AE1163" s="153"/>
      <c r="AF1163" s="153"/>
      <c r="AG1163" s="158" t="s">
        <v>6027</v>
      </c>
      <c r="AH1163" s="153" t="s">
        <v>2104</v>
      </c>
      <c r="AI1163" s="165" t="s">
        <v>2105</v>
      </c>
      <c r="AJ1163" s="153"/>
      <c r="AK1163" s="153"/>
    </row>
    <row r="1164">
      <c r="A1164" s="152">
        <v>2023.0</v>
      </c>
      <c r="B1164" s="151">
        <v>213.0</v>
      </c>
      <c r="C1164" s="129" t="s">
        <v>140</v>
      </c>
      <c r="D1164" s="8"/>
      <c r="E1164" s="8" t="s">
        <v>8189</v>
      </c>
      <c r="F1164" s="8" t="s">
        <v>6947</v>
      </c>
      <c r="G1164" s="8">
        <f>IFERROR(__xludf.DUMMYFUNCTION("""COMPUTED_VALUE"""),684.0)</f>
        <v>684</v>
      </c>
      <c r="H1164" s="8" t="s">
        <v>535</v>
      </c>
      <c r="I1164" s="8" t="s">
        <v>536</v>
      </c>
      <c r="J1164" s="8" t="s">
        <v>6945</v>
      </c>
      <c r="K1164" s="277" t="s">
        <v>538</v>
      </c>
      <c r="L1164" s="8" t="s">
        <v>384</v>
      </c>
      <c r="M1164" s="8" t="s">
        <v>8798</v>
      </c>
      <c r="N1164" s="142" t="s">
        <v>6052</v>
      </c>
      <c r="O1164" s="142" t="s">
        <v>6052</v>
      </c>
      <c r="P1164" s="142" t="s">
        <v>6053</v>
      </c>
      <c r="Q1164" s="8" t="s">
        <v>151</v>
      </c>
      <c r="R1164" s="8" t="s">
        <v>6054</v>
      </c>
      <c r="U1164" s="8" t="s">
        <v>390</v>
      </c>
      <c r="AA1164" s="8" t="s">
        <v>391</v>
      </c>
      <c r="AB1164" s="8" t="s">
        <v>390</v>
      </c>
      <c r="AD1164" s="8" t="s">
        <v>6055</v>
      </c>
      <c r="AH1164" s="8" t="s">
        <v>6057</v>
      </c>
      <c r="AI1164" s="8" t="s">
        <v>2873</v>
      </c>
      <c r="AJ1164" s="8" t="s">
        <v>398</v>
      </c>
    </row>
    <row r="1165">
      <c r="A1165" s="152">
        <v>2025.0</v>
      </c>
      <c r="B1165" s="151">
        <v>213.0</v>
      </c>
      <c r="C1165" s="153" t="s">
        <v>8189</v>
      </c>
      <c r="D1165" s="153"/>
      <c r="E1165" s="153" t="s">
        <v>707</v>
      </c>
      <c r="F1165" s="153" t="s">
        <v>6947</v>
      </c>
      <c r="G1165" s="153">
        <f>IFERROR(__xludf.DUMMYFUNCTION("""COMPUTED_VALUE"""),684.0)</f>
        <v>684</v>
      </c>
      <c r="H1165" s="153" t="s">
        <v>535</v>
      </c>
      <c r="I1165" s="153" t="s">
        <v>536</v>
      </c>
      <c r="J1165" s="153" t="s">
        <v>6945</v>
      </c>
      <c r="K1165" s="153" t="s">
        <v>538</v>
      </c>
      <c r="L1165" s="153" t="s">
        <v>384</v>
      </c>
      <c r="M1165" s="153" t="s">
        <v>6949</v>
      </c>
      <c r="N1165" s="175" t="s">
        <v>6052</v>
      </c>
      <c r="O1165" s="175" t="s">
        <v>6052</v>
      </c>
      <c r="P1165" s="175" t="s">
        <v>6053</v>
      </c>
      <c r="Q1165" s="153" t="s">
        <v>151</v>
      </c>
      <c r="R1165" s="153" t="s">
        <v>469</v>
      </c>
      <c r="S1165" s="158" t="s">
        <v>469</v>
      </c>
      <c r="T1165" s="158" t="s">
        <v>149</v>
      </c>
      <c r="U1165" s="153" t="s">
        <v>390</v>
      </c>
      <c r="V1165" s="158" t="s">
        <v>160</v>
      </c>
      <c r="W1165" s="158" t="s">
        <v>6035</v>
      </c>
      <c r="X1165" s="158" t="s">
        <v>159</v>
      </c>
      <c r="Y1165" s="158" t="s">
        <v>149</v>
      </c>
      <c r="Z1165" s="158" t="s">
        <v>149</v>
      </c>
      <c r="AA1165" s="158" t="s">
        <v>149</v>
      </c>
      <c r="AB1165" s="153" t="s">
        <v>390</v>
      </c>
      <c r="AC1165" s="153" t="s">
        <v>6035</v>
      </c>
      <c r="AD1165" s="153" t="s">
        <v>6055</v>
      </c>
      <c r="AE1165" s="153"/>
      <c r="AF1165" s="153"/>
      <c r="AG1165" s="158" t="s">
        <v>395</v>
      </c>
      <c r="AH1165" s="153" t="s">
        <v>6060</v>
      </c>
      <c r="AI1165" s="158" t="s">
        <v>6711</v>
      </c>
      <c r="AJ1165" s="153" t="s">
        <v>398</v>
      </c>
      <c r="AK1165" s="153"/>
    </row>
    <row r="1166">
      <c r="A1166" s="152">
        <v>2024.0</v>
      </c>
      <c r="B1166" s="151">
        <v>391.0</v>
      </c>
      <c r="C1166" s="153"/>
      <c r="D1166" s="153"/>
      <c r="E1166" s="153" t="s">
        <v>8189</v>
      </c>
      <c r="F1166" s="153" t="s">
        <v>8799</v>
      </c>
      <c r="G1166" s="153">
        <f>IFERROR(__xludf.DUMMYFUNCTION("""COMPUTED_VALUE"""),685.0)</f>
        <v>685</v>
      </c>
      <c r="H1166" s="153" t="s">
        <v>330</v>
      </c>
      <c r="I1166" s="153" t="s">
        <v>2265</v>
      </c>
      <c r="J1166" s="153" t="s">
        <v>1255</v>
      </c>
      <c r="K1166" s="153" t="s">
        <v>2266</v>
      </c>
      <c r="L1166" s="153" t="s">
        <v>2267</v>
      </c>
      <c r="M1166" s="158" t="s">
        <v>7549</v>
      </c>
      <c r="N1166" s="230">
        <v>2023.0</v>
      </c>
      <c r="O1166" s="192" t="s">
        <v>149</v>
      </c>
      <c r="P1166" s="192" t="s">
        <v>149</v>
      </c>
      <c r="Q1166" s="153" t="s">
        <v>6062</v>
      </c>
      <c r="R1166" s="158" t="s">
        <v>2269</v>
      </c>
      <c r="S1166" s="158" t="s">
        <v>2269</v>
      </c>
      <c r="T1166" s="158" t="s">
        <v>2270</v>
      </c>
      <c r="U1166" s="153" t="s">
        <v>2271</v>
      </c>
      <c r="V1166" s="158" t="s">
        <v>160</v>
      </c>
      <c r="W1166" s="158" t="s">
        <v>184</v>
      </c>
      <c r="X1166" s="158" t="s">
        <v>159</v>
      </c>
      <c r="Y1166" s="158" t="s">
        <v>149</v>
      </c>
      <c r="Z1166" s="158" t="s">
        <v>7550</v>
      </c>
      <c r="AA1166" s="158" t="s">
        <v>2273</v>
      </c>
      <c r="AB1166" s="153" t="s">
        <v>2271</v>
      </c>
      <c r="AC1166" s="153" t="s">
        <v>271</v>
      </c>
      <c r="AD1166" s="158" t="s">
        <v>2274</v>
      </c>
      <c r="AE1166" s="153"/>
      <c r="AF1166" s="153"/>
      <c r="AG1166" s="158" t="s">
        <v>6038</v>
      </c>
      <c r="AH1166" s="158" t="s">
        <v>8800</v>
      </c>
      <c r="AI1166" s="172" t="s">
        <v>2276</v>
      </c>
      <c r="AJ1166" s="153"/>
      <c r="AK1166" s="153"/>
    </row>
    <row r="1167">
      <c r="A1167" s="152">
        <v>2023.0</v>
      </c>
      <c r="B1167" s="151">
        <v>214.0</v>
      </c>
      <c r="C1167" s="129" t="s">
        <v>140</v>
      </c>
      <c r="D1167" s="8"/>
      <c r="E1167" s="8" t="s">
        <v>8189</v>
      </c>
      <c r="F1167" s="8" t="s">
        <v>6950</v>
      </c>
      <c r="G1167" s="8">
        <f>IFERROR(__xludf.DUMMYFUNCTION("""COMPUTED_VALUE"""),686.0)</f>
        <v>686</v>
      </c>
      <c r="H1167" s="8" t="s">
        <v>535</v>
      </c>
      <c r="I1167" s="8" t="s">
        <v>536</v>
      </c>
      <c r="J1167" s="8" t="s">
        <v>6945</v>
      </c>
      <c r="K1167" s="277" t="s">
        <v>538</v>
      </c>
      <c r="L1167" s="8" t="s">
        <v>384</v>
      </c>
      <c r="M1167" s="8" t="s">
        <v>8801</v>
      </c>
      <c r="N1167" s="142" t="s">
        <v>6051</v>
      </c>
      <c r="O1167" s="142" t="s">
        <v>6052</v>
      </c>
      <c r="P1167" s="142" t="s">
        <v>6053</v>
      </c>
      <c r="Q1167" s="8" t="s">
        <v>151</v>
      </c>
      <c r="R1167" s="8" t="s">
        <v>6054</v>
      </c>
      <c r="U1167" s="8" t="s">
        <v>390</v>
      </c>
      <c r="AA1167" s="8" t="s">
        <v>414</v>
      </c>
      <c r="AB1167" s="8" t="s">
        <v>390</v>
      </c>
      <c r="AD1167" s="8" t="s">
        <v>6055</v>
      </c>
      <c r="AH1167" s="8" t="s">
        <v>6057</v>
      </c>
      <c r="AI1167" s="8" t="s">
        <v>2873</v>
      </c>
      <c r="AJ1167" s="8" t="s">
        <v>398</v>
      </c>
    </row>
    <row r="1168">
      <c r="A1168" s="152">
        <v>2025.0</v>
      </c>
      <c r="B1168" s="151">
        <v>214.0</v>
      </c>
      <c r="C1168" s="153" t="s">
        <v>8189</v>
      </c>
      <c r="D1168" s="153"/>
      <c r="E1168" s="153" t="s">
        <v>707</v>
      </c>
      <c r="F1168" s="153" t="s">
        <v>6952</v>
      </c>
      <c r="G1168" s="153">
        <f>IFERROR(__xludf.DUMMYFUNCTION("""COMPUTED_VALUE"""),687.0)</f>
        <v>687</v>
      </c>
      <c r="H1168" s="153" t="s">
        <v>535</v>
      </c>
      <c r="I1168" s="153" t="s">
        <v>536</v>
      </c>
      <c r="J1168" s="153" t="s">
        <v>6945</v>
      </c>
      <c r="K1168" s="153" t="s">
        <v>538</v>
      </c>
      <c r="L1168" s="153" t="s">
        <v>384</v>
      </c>
      <c r="M1168" s="153" t="s">
        <v>6953</v>
      </c>
      <c r="N1168" s="175" t="s">
        <v>6052</v>
      </c>
      <c r="O1168" s="175" t="s">
        <v>6052</v>
      </c>
      <c r="P1168" s="175" t="s">
        <v>6053</v>
      </c>
      <c r="Q1168" s="153" t="s">
        <v>151</v>
      </c>
      <c r="R1168" s="153" t="s">
        <v>6054</v>
      </c>
      <c r="S1168" s="158" t="s">
        <v>6054</v>
      </c>
      <c r="T1168" s="158" t="s">
        <v>149</v>
      </c>
      <c r="U1168" s="153" t="s">
        <v>390</v>
      </c>
      <c r="V1168" s="158" t="s">
        <v>160</v>
      </c>
      <c r="W1168" s="158" t="s">
        <v>6035</v>
      </c>
      <c r="X1168" s="158" t="s">
        <v>159</v>
      </c>
      <c r="Y1168" s="158" t="s">
        <v>149</v>
      </c>
      <c r="Z1168" s="158" t="s">
        <v>149</v>
      </c>
      <c r="AA1168" s="153" t="s">
        <v>391</v>
      </c>
      <c r="AB1168" s="153" t="s">
        <v>390</v>
      </c>
      <c r="AC1168" s="153" t="s">
        <v>6035</v>
      </c>
      <c r="AD1168" s="153" t="s">
        <v>6055</v>
      </c>
      <c r="AE1168" s="153"/>
      <c r="AF1168" s="153"/>
      <c r="AG1168" s="158" t="s">
        <v>395</v>
      </c>
      <c r="AH1168" s="153" t="s">
        <v>6060</v>
      </c>
      <c r="AI1168" s="158" t="s">
        <v>6711</v>
      </c>
      <c r="AJ1168" s="153" t="s">
        <v>398</v>
      </c>
      <c r="AK1168" s="153"/>
    </row>
    <row r="1169">
      <c r="A1169" s="152">
        <v>2023.0</v>
      </c>
      <c r="B1169" s="151">
        <v>215.0</v>
      </c>
      <c r="C1169" s="129" t="s">
        <v>140</v>
      </c>
      <c r="D1169" s="8"/>
      <c r="E1169" s="8" t="s">
        <v>8189</v>
      </c>
      <c r="F1169" s="8" t="s">
        <v>6954</v>
      </c>
      <c r="G1169" s="8">
        <f>IFERROR(__xludf.DUMMYFUNCTION("""COMPUTED_VALUE"""),688.0)</f>
        <v>688</v>
      </c>
      <c r="H1169" s="8" t="s">
        <v>535</v>
      </c>
      <c r="I1169" s="8" t="s">
        <v>536</v>
      </c>
      <c r="J1169" s="8" t="s">
        <v>6945</v>
      </c>
      <c r="K1169" s="277" t="s">
        <v>538</v>
      </c>
      <c r="L1169" s="8" t="s">
        <v>384</v>
      </c>
      <c r="M1169" s="8" t="s">
        <v>8802</v>
      </c>
      <c r="N1169" s="142" t="s">
        <v>6051</v>
      </c>
      <c r="O1169" s="142" t="s">
        <v>6052</v>
      </c>
      <c r="P1169" s="142" t="s">
        <v>6053</v>
      </c>
      <c r="Q1169" s="8" t="s">
        <v>151</v>
      </c>
      <c r="R1169" s="8" t="s">
        <v>6054</v>
      </c>
      <c r="U1169" s="8" t="s">
        <v>390</v>
      </c>
      <c r="AA1169" s="8" t="s">
        <v>548</v>
      </c>
      <c r="AB1169" s="8" t="s">
        <v>390</v>
      </c>
      <c r="AD1169" s="8" t="s">
        <v>6055</v>
      </c>
      <c r="AH1169" s="8" t="s">
        <v>6057</v>
      </c>
      <c r="AI1169" s="8" t="s">
        <v>2873</v>
      </c>
      <c r="AJ1169" s="8" t="s">
        <v>398</v>
      </c>
    </row>
    <row r="1170">
      <c r="A1170" s="152">
        <v>2025.0</v>
      </c>
      <c r="B1170" s="151">
        <v>215.0</v>
      </c>
      <c r="C1170" s="153" t="s">
        <v>8189</v>
      </c>
      <c r="D1170" s="153"/>
      <c r="E1170" s="153" t="s">
        <v>707</v>
      </c>
      <c r="F1170" s="153" t="s">
        <v>6954</v>
      </c>
      <c r="G1170" s="153">
        <f>IFERROR(__xludf.DUMMYFUNCTION("""COMPUTED_VALUE"""),688.0)</f>
        <v>688</v>
      </c>
      <c r="H1170" s="153" t="s">
        <v>535</v>
      </c>
      <c r="I1170" s="153" t="s">
        <v>536</v>
      </c>
      <c r="J1170" s="153" t="s">
        <v>6945</v>
      </c>
      <c r="K1170" s="153" t="s">
        <v>538</v>
      </c>
      <c r="L1170" s="153" t="s">
        <v>384</v>
      </c>
      <c r="M1170" s="153" t="s">
        <v>6956</v>
      </c>
      <c r="N1170" s="175" t="s">
        <v>6051</v>
      </c>
      <c r="O1170" s="175" t="s">
        <v>6052</v>
      </c>
      <c r="P1170" s="175" t="s">
        <v>6053</v>
      </c>
      <c r="Q1170" s="153" t="s">
        <v>151</v>
      </c>
      <c r="R1170" s="153" t="s">
        <v>6054</v>
      </c>
      <c r="S1170" s="158" t="s">
        <v>6054</v>
      </c>
      <c r="T1170" s="158" t="s">
        <v>149</v>
      </c>
      <c r="U1170" s="153" t="s">
        <v>390</v>
      </c>
      <c r="V1170" s="158" t="s">
        <v>160</v>
      </c>
      <c r="W1170" s="158" t="s">
        <v>6035</v>
      </c>
      <c r="X1170" s="158" t="s">
        <v>159</v>
      </c>
      <c r="Y1170" s="158" t="s">
        <v>149</v>
      </c>
      <c r="Z1170" s="158" t="s">
        <v>149</v>
      </c>
      <c r="AA1170" s="153" t="s">
        <v>414</v>
      </c>
      <c r="AB1170" s="153" t="s">
        <v>390</v>
      </c>
      <c r="AC1170" s="153" t="s">
        <v>6035</v>
      </c>
      <c r="AD1170" s="153" t="s">
        <v>6055</v>
      </c>
      <c r="AE1170" s="153"/>
      <c r="AF1170" s="153"/>
      <c r="AG1170" s="158" t="s">
        <v>395</v>
      </c>
      <c r="AH1170" s="153" t="s">
        <v>6060</v>
      </c>
      <c r="AI1170" s="158" t="s">
        <v>6711</v>
      </c>
      <c r="AJ1170" s="153" t="s">
        <v>398</v>
      </c>
      <c r="AK1170" s="153"/>
    </row>
    <row r="1171">
      <c r="A1171" s="152">
        <v>2024.0</v>
      </c>
      <c r="B1171" s="151">
        <v>392.0</v>
      </c>
      <c r="C1171" s="153"/>
      <c r="D1171" s="153"/>
      <c r="E1171" s="153" t="s">
        <v>8189</v>
      </c>
      <c r="F1171" s="153" t="s">
        <v>8803</v>
      </c>
      <c r="G1171" s="153">
        <f>IFERROR(__xludf.DUMMYFUNCTION("""COMPUTED_VALUE"""),689.0)</f>
        <v>689</v>
      </c>
      <c r="H1171" s="153" t="s">
        <v>356</v>
      </c>
      <c r="I1171" s="153" t="s">
        <v>1997</v>
      </c>
      <c r="J1171" s="153" t="s">
        <v>8804</v>
      </c>
      <c r="K1171" s="153" t="s">
        <v>1999</v>
      </c>
      <c r="L1171" s="158" t="s">
        <v>149</v>
      </c>
      <c r="M1171" s="153" t="s">
        <v>7560</v>
      </c>
      <c r="N1171" s="192" t="s">
        <v>149</v>
      </c>
      <c r="O1171" s="192" t="s">
        <v>149</v>
      </c>
      <c r="P1171" s="192" t="s">
        <v>149</v>
      </c>
      <c r="Q1171" s="153" t="s">
        <v>151</v>
      </c>
      <c r="R1171" s="153" t="s">
        <v>362</v>
      </c>
      <c r="S1171" s="158" t="s">
        <v>362</v>
      </c>
      <c r="T1171" s="158" t="s">
        <v>149</v>
      </c>
      <c r="U1171" s="158" t="s">
        <v>149</v>
      </c>
      <c r="V1171" s="158" t="s">
        <v>149</v>
      </c>
      <c r="W1171" s="158" t="s">
        <v>149</v>
      </c>
      <c r="X1171" s="158" t="s">
        <v>149</v>
      </c>
      <c r="Y1171" s="158" t="s">
        <v>149</v>
      </c>
      <c r="Z1171" s="158" t="s">
        <v>149</v>
      </c>
      <c r="AA1171" s="153" t="s">
        <v>3182</v>
      </c>
      <c r="AB1171" s="158" t="s">
        <v>149</v>
      </c>
      <c r="AC1171" s="158" t="s">
        <v>149</v>
      </c>
      <c r="AD1171" s="153"/>
      <c r="AE1171" s="153"/>
      <c r="AF1171" s="153"/>
      <c r="AG1171" s="158" t="s">
        <v>166</v>
      </c>
      <c r="AH1171" s="153" t="s">
        <v>3183</v>
      </c>
      <c r="AI1171" s="165" t="s">
        <v>3184</v>
      </c>
      <c r="AJ1171" s="153"/>
      <c r="AK1171" s="153"/>
    </row>
    <row r="1172">
      <c r="A1172" s="152">
        <v>2023.0</v>
      </c>
      <c r="B1172" s="151">
        <v>216.0</v>
      </c>
      <c r="C1172" s="129" t="s">
        <v>140</v>
      </c>
      <c r="D1172" s="8"/>
      <c r="E1172" s="8" t="s">
        <v>8189</v>
      </c>
      <c r="F1172" s="8" t="s">
        <v>6957</v>
      </c>
      <c r="G1172" s="8">
        <f>IFERROR(__xludf.DUMMYFUNCTION("""COMPUTED_VALUE"""),690.0)</f>
        <v>690</v>
      </c>
      <c r="H1172" s="8" t="s">
        <v>535</v>
      </c>
      <c r="I1172" s="8" t="s">
        <v>536</v>
      </c>
      <c r="J1172" s="8" t="s">
        <v>6945</v>
      </c>
      <c r="K1172" s="277" t="s">
        <v>538</v>
      </c>
      <c r="L1172" s="8" t="s">
        <v>384</v>
      </c>
      <c r="M1172" s="8" t="s">
        <v>8805</v>
      </c>
      <c r="N1172" s="142" t="s">
        <v>6051</v>
      </c>
      <c r="O1172" s="142" t="s">
        <v>6052</v>
      </c>
      <c r="P1172" s="142" t="s">
        <v>6053</v>
      </c>
      <c r="Q1172" s="8" t="s">
        <v>151</v>
      </c>
      <c r="R1172" s="8" t="s">
        <v>6054</v>
      </c>
      <c r="U1172" s="8" t="s">
        <v>390</v>
      </c>
      <c r="AA1172" s="8" t="s">
        <v>391</v>
      </c>
      <c r="AB1172" s="8" t="s">
        <v>390</v>
      </c>
      <c r="AD1172" s="8" t="s">
        <v>6055</v>
      </c>
      <c r="AH1172" s="8" t="s">
        <v>6057</v>
      </c>
      <c r="AI1172" s="8" t="s">
        <v>2873</v>
      </c>
      <c r="AJ1172" s="8" t="s">
        <v>398</v>
      </c>
    </row>
    <row r="1173">
      <c r="A1173" s="152">
        <v>2025.0</v>
      </c>
      <c r="B1173" s="151">
        <v>216.0</v>
      </c>
      <c r="C1173" s="153" t="s">
        <v>8189</v>
      </c>
      <c r="D1173" s="153"/>
      <c r="E1173" s="153" t="s">
        <v>707</v>
      </c>
      <c r="F1173" s="153" t="s">
        <v>6957</v>
      </c>
      <c r="G1173" s="153">
        <f>IFERROR(__xludf.DUMMYFUNCTION("""COMPUTED_VALUE"""),690.0)</f>
        <v>690</v>
      </c>
      <c r="H1173" s="153" t="s">
        <v>535</v>
      </c>
      <c r="I1173" s="153" t="s">
        <v>536</v>
      </c>
      <c r="J1173" s="153" t="s">
        <v>6945</v>
      </c>
      <c r="K1173" s="153" t="s">
        <v>538</v>
      </c>
      <c r="L1173" s="153" t="s">
        <v>384</v>
      </c>
      <c r="M1173" s="153" t="s">
        <v>6959</v>
      </c>
      <c r="N1173" s="175" t="s">
        <v>6051</v>
      </c>
      <c r="O1173" s="175" t="s">
        <v>6052</v>
      </c>
      <c r="P1173" s="175" t="s">
        <v>6053</v>
      </c>
      <c r="Q1173" s="153" t="s">
        <v>151</v>
      </c>
      <c r="R1173" s="153" t="s">
        <v>6054</v>
      </c>
      <c r="S1173" s="158" t="s">
        <v>6054</v>
      </c>
      <c r="T1173" s="158" t="s">
        <v>149</v>
      </c>
      <c r="U1173" s="153" t="s">
        <v>390</v>
      </c>
      <c r="V1173" s="158" t="s">
        <v>160</v>
      </c>
      <c r="W1173" s="158" t="s">
        <v>6035</v>
      </c>
      <c r="X1173" s="158" t="s">
        <v>159</v>
      </c>
      <c r="Y1173" s="158" t="s">
        <v>149</v>
      </c>
      <c r="Z1173" s="158" t="s">
        <v>149</v>
      </c>
      <c r="AA1173" s="153" t="s">
        <v>548</v>
      </c>
      <c r="AB1173" s="153" t="s">
        <v>390</v>
      </c>
      <c r="AC1173" s="153" t="s">
        <v>6035</v>
      </c>
      <c r="AD1173" s="153" t="s">
        <v>6055</v>
      </c>
      <c r="AE1173" s="153"/>
      <c r="AF1173" s="153"/>
      <c r="AG1173" s="158" t="s">
        <v>395</v>
      </c>
      <c r="AH1173" s="153" t="s">
        <v>6060</v>
      </c>
      <c r="AI1173" s="158" t="s">
        <v>6711</v>
      </c>
      <c r="AJ1173" s="153" t="s">
        <v>398</v>
      </c>
      <c r="AK1173" s="153"/>
    </row>
    <row r="1174">
      <c r="A1174" s="152">
        <v>2024.0</v>
      </c>
      <c r="B1174" s="151">
        <v>393.0</v>
      </c>
      <c r="C1174" s="153"/>
      <c r="D1174" s="153"/>
      <c r="E1174" s="153" t="s">
        <v>8189</v>
      </c>
      <c r="F1174" s="153" t="s">
        <v>8806</v>
      </c>
      <c r="G1174" s="153">
        <f>IFERROR(__xludf.DUMMYFUNCTION("""COMPUTED_VALUE"""),691.0)</f>
        <v>691</v>
      </c>
      <c r="H1174" s="153" t="s">
        <v>356</v>
      </c>
      <c r="I1174" s="153" t="s">
        <v>1997</v>
      </c>
      <c r="J1174" s="153" t="s">
        <v>8807</v>
      </c>
      <c r="K1174" s="153" t="s">
        <v>1999</v>
      </c>
      <c r="L1174" s="153" t="s">
        <v>2000</v>
      </c>
      <c r="M1174" s="153" t="s">
        <v>8808</v>
      </c>
      <c r="N1174" s="230">
        <v>2005.0</v>
      </c>
      <c r="O1174" s="230">
        <v>2005.0</v>
      </c>
      <c r="P1174" s="230">
        <v>2008.0</v>
      </c>
      <c r="Q1174" s="153" t="s">
        <v>151</v>
      </c>
      <c r="R1174" s="153" t="s">
        <v>362</v>
      </c>
      <c r="S1174" s="158" t="s">
        <v>362</v>
      </c>
      <c r="T1174" s="158" t="s">
        <v>2002</v>
      </c>
      <c r="U1174" s="158" t="s">
        <v>2003</v>
      </c>
      <c r="V1174" s="158" t="s">
        <v>6154</v>
      </c>
      <c r="W1174" s="158" t="s">
        <v>184</v>
      </c>
      <c r="X1174" s="158" t="s">
        <v>159</v>
      </c>
      <c r="Y1174" s="158" t="s">
        <v>149</v>
      </c>
      <c r="Z1174" s="158" t="s">
        <v>149</v>
      </c>
      <c r="AA1174" s="229" t="s">
        <v>149</v>
      </c>
      <c r="AB1174" s="153" t="s">
        <v>2004</v>
      </c>
      <c r="AC1174" s="153" t="s">
        <v>271</v>
      </c>
      <c r="AD1174" s="153"/>
      <c r="AE1174" s="153" t="s">
        <v>2005</v>
      </c>
      <c r="AF1174" s="153"/>
      <c r="AG1174" s="158" t="s">
        <v>166</v>
      </c>
      <c r="AH1174" s="153" t="s">
        <v>2006</v>
      </c>
      <c r="AI1174" s="172" t="s">
        <v>2007</v>
      </c>
      <c r="AJ1174" s="153" t="s">
        <v>2008</v>
      </c>
      <c r="AK1174" s="165" t="s">
        <v>2009</v>
      </c>
    </row>
    <row r="1175">
      <c r="A1175" s="152">
        <v>2023.0</v>
      </c>
      <c r="B1175" s="151">
        <v>217.0</v>
      </c>
      <c r="C1175" s="129" t="s">
        <v>140</v>
      </c>
      <c r="D1175" s="8"/>
      <c r="E1175" s="8" t="s">
        <v>8189</v>
      </c>
      <c r="F1175" s="8" t="s">
        <v>6960</v>
      </c>
      <c r="G1175" s="8">
        <f>IFERROR(__xludf.DUMMYFUNCTION("""COMPUTED_VALUE"""),692.0)</f>
        <v>692</v>
      </c>
      <c r="H1175" s="8" t="s">
        <v>535</v>
      </c>
      <c r="I1175" s="8" t="s">
        <v>536</v>
      </c>
      <c r="J1175" s="8" t="s">
        <v>6945</v>
      </c>
      <c r="K1175" s="277" t="s">
        <v>538</v>
      </c>
      <c r="L1175" s="8" t="s">
        <v>384</v>
      </c>
      <c r="M1175" s="8" t="s">
        <v>8809</v>
      </c>
      <c r="N1175" s="142" t="s">
        <v>6051</v>
      </c>
      <c r="O1175" s="142" t="s">
        <v>6052</v>
      </c>
      <c r="P1175" s="142" t="s">
        <v>6053</v>
      </c>
      <c r="Q1175" s="8" t="s">
        <v>151</v>
      </c>
      <c r="R1175" s="8" t="s">
        <v>6054</v>
      </c>
      <c r="U1175" s="8" t="s">
        <v>390</v>
      </c>
      <c r="AA1175" s="8" t="s">
        <v>548</v>
      </c>
      <c r="AB1175" s="8" t="s">
        <v>390</v>
      </c>
      <c r="AD1175" s="8" t="s">
        <v>6055</v>
      </c>
      <c r="AH1175" s="8" t="s">
        <v>6057</v>
      </c>
      <c r="AI1175" s="8" t="s">
        <v>2873</v>
      </c>
      <c r="AJ1175" s="8" t="s">
        <v>398</v>
      </c>
    </row>
    <row r="1176">
      <c r="A1176" s="152">
        <v>2025.0</v>
      </c>
      <c r="B1176" s="151">
        <v>217.0</v>
      </c>
      <c r="C1176" s="153" t="s">
        <v>8189</v>
      </c>
      <c r="D1176" s="153"/>
      <c r="E1176" s="153" t="s">
        <v>707</v>
      </c>
      <c r="F1176" s="153" t="s">
        <v>6960</v>
      </c>
      <c r="G1176" s="153">
        <f>IFERROR(__xludf.DUMMYFUNCTION("""COMPUTED_VALUE"""),692.0)</f>
        <v>692</v>
      </c>
      <c r="H1176" s="153" t="s">
        <v>535</v>
      </c>
      <c r="I1176" s="153" t="s">
        <v>536</v>
      </c>
      <c r="J1176" s="153" t="s">
        <v>6945</v>
      </c>
      <c r="K1176" s="153" t="s">
        <v>538</v>
      </c>
      <c r="L1176" s="153" t="s">
        <v>384</v>
      </c>
      <c r="M1176" s="153" t="s">
        <v>6962</v>
      </c>
      <c r="N1176" s="175" t="s">
        <v>6051</v>
      </c>
      <c r="O1176" s="175" t="s">
        <v>6052</v>
      </c>
      <c r="P1176" s="175" t="s">
        <v>6053</v>
      </c>
      <c r="Q1176" s="153" t="s">
        <v>151</v>
      </c>
      <c r="R1176" s="153" t="s">
        <v>6054</v>
      </c>
      <c r="S1176" s="158" t="s">
        <v>6054</v>
      </c>
      <c r="T1176" s="158" t="s">
        <v>149</v>
      </c>
      <c r="U1176" s="153" t="s">
        <v>390</v>
      </c>
      <c r="V1176" s="158" t="s">
        <v>160</v>
      </c>
      <c r="W1176" s="158" t="s">
        <v>6035</v>
      </c>
      <c r="X1176" s="158" t="s">
        <v>159</v>
      </c>
      <c r="Y1176" s="158" t="s">
        <v>149</v>
      </c>
      <c r="Z1176" s="158" t="s">
        <v>149</v>
      </c>
      <c r="AA1176" s="153" t="s">
        <v>391</v>
      </c>
      <c r="AB1176" s="153" t="s">
        <v>390</v>
      </c>
      <c r="AC1176" s="153" t="s">
        <v>6035</v>
      </c>
      <c r="AD1176" s="153" t="s">
        <v>6055</v>
      </c>
      <c r="AE1176" s="153"/>
      <c r="AF1176" s="153"/>
      <c r="AG1176" s="158" t="s">
        <v>395</v>
      </c>
      <c r="AH1176" s="153" t="s">
        <v>6060</v>
      </c>
      <c r="AI1176" s="158" t="s">
        <v>6711</v>
      </c>
      <c r="AJ1176" s="153" t="s">
        <v>398</v>
      </c>
      <c r="AK1176" s="153"/>
    </row>
    <row r="1177">
      <c r="A1177" s="152">
        <v>2024.0</v>
      </c>
      <c r="B1177" s="151">
        <v>394.0</v>
      </c>
      <c r="C1177" s="153"/>
      <c r="D1177" s="153"/>
      <c r="E1177" s="153" t="s">
        <v>8189</v>
      </c>
      <c r="F1177" s="153" t="s">
        <v>8810</v>
      </c>
      <c r="G1177" s="153">
        <f>IFERROR(__xludf.DUMMYFUNCTION("""COMPUTED_VALUE"""),693.0)</f>
        <v>693</v>
      </c>
      <c r="H1177" s="153" t="s">
        <v>356</v>
      </c>
      <c r="I1177" s="153" t="s">
        <v>357</v>
      </c>
      <c r="J1177" s="153" t="s">
        <v>2011</v>
      </c>
      <c r="K1177" s="153" t="s">
        <v>2012</v>
      </c>
      <c r="L1177" s="153" t="s">
        <v>2013</v>
      </c>
      <c r="M1177" s="153" t="s">
        <v>8811</v>
      </c>
      <c r="N1177" s="192">
        <v>1998.0</v>
      </c>
      <c r="O1177" s="230">
        <v>1998.0</v>
      </c>
      <c r="P1177" s="192" t="s">
        <v>149</v>
      </c>
      <c r="Q1177" s="153" t="s">
        <v>151</v>
      </c>
      <c r="R1177" s="158" t="s">
        <v>149</v>
      </c>
      <c r="S1177" s="158" t="s">
        <v>149</v>
      </c>
      <c r="T1177" s="158" t="s">
        <v>2015</v>
      </c>
      <c r="U1177" s="153" t="s">
        <v>2016</v>
      </c>
      <c r="V1177" s="158" t="s">
        <v>6154</v>
      </c>
      <c r="W1177" s="158" t="s">
        <v>206</v>
      </c>
      <c r="X1177" s="158" t="s">
        <v>159</v>
      </c>
      <c r="Y1177" s="158" t="s">
        <v>149</v>
      </c>
      <c r="Z1177" s="158" t="s">
        <v>149</v>
      </c>
      <c r="AA1177" s="158" t="s">
        <v>149</v>
      </c>
      <c r="AB1177" s="153" t="s">
        <v>2017</v>
      </c>
      <c r="AC1177" s="153" t="s">
        <v>306</v>
      </c>
      <c r="AD1177" s="153"/>
      <c r="AE1177" s="153"/>
      <c r="AF1177" s="153"/>
      <c r="AG1177" s="158" t="s">
        <v>6027</v>
      </c>
      <c r="AH1177" s="153" t="s">
        <v>2018</v>
      </c>
      <c r="AI1177" s="165" t="s">
        <v>2019</v>
      </c>
      <c r="AJ1177" s="153"/>
      <c r="AK1177" s="153"/>
    </row>
    <row r="1178">
      <c r="A1178" s="152">
        <v>2023.0</v>
      </c>
      <c r="B1178" s="151">
        <v>218.0</v>
      </c>
      <c r="C1178" s="129" t="s">
        <v>140</v>
      </c>
      <c r="D1178" s="8"/>
      <c r="E1178" s="8" t="s">
        <v>8189</v>
      </c>
      <c r="F1178" s="8" t="s">
        <v>6963</v>
      </c>
      <c r="G1178" s="8">
        <f>IFERROR(__xludf.DUMMYFUNCTION("""COMPUTED_VALUE"""),694.0)</f>
        <v>694</v>
      </c>
      <c r="H1178" s="8" t="s">
        <v>535</v>
      </c>
      <c r="I1178" s="8" t="s">
        <v>536</v>
      </c>
      <c r="J1178" s="8" t="s">
        <v>554</v>
      </c>
      <c r="K1178" s="277" t="s">
        <v>555</v>
      </c>
      <c r="L1178" s="8" t="s">
        <v>384</v>
      </c>
      <c r="M1178" s="8" t="s">
        <v>556</v>
      </c>
      <c r="N1178" s="142" t="s">
        <v>6051</v>
      </c>
      <c r="O1178" s="142" t="s">
        <v>6052</v>
      </c>
      <c r="P1178" s="142" t="s">
        <v>6053</v>
      </c>
      <c r="Q1178" s="8" t="s">
        <v>151</v>
      </c>
      <c r="R1178" s="8" t="s">
        <v>6054</v>
      </c>
      <c r="U1178" s="8" t="s">
        <v>390</v>
      </c>
      <c r="AA1178" s="8" t="s">
        <v>548</v>
      </c>
      <c r="AB1178" s="8" t="s">
        <v>390</v>
      </c>
      <c r="AD1178" s="8" t="s">
        <v>6055</v>
      </c>
      <c r="AH1178" s="8" t="s">
        <v>6057</v>
      </c>
      <c r="AI1178" s="8" t="s">
        <v>2873</v>
      </c>
      <c r="AJ1178" s="8" t="s">
        <v>398</v>
      </c>
    </row>
    <row r="1179">
      <c r="A1179" s="152">
        <v>2025.0</v>
      </c>
      <c r="B1179" s="151">
        <v>218.0</v>
      </c>
      <c r="C1179" s="153" t="s">
        <v>8189</v>
      </c>
      <c r="D1179" s="153"/>
      <c r="E1179" s="153" t="s">
        <v>707</v>
      </c>
      <c r="F1179" s="153" t="s">
        <v>6964</v>
      </c>
      <c r="G1179" s="153">
        <f>IFERROR(__xludf.DUMMYFUNCTION("""COMPUTED_VALUE"""),695.0)</f>
        <v>695</v>
      </c>
      <c r="H1179" s="153" t="s">
        <v>535</v>
      </c>
      <c r="I1179" s="153" t="s">
        <v>536</v>
      </c>
      <c r="J1179" s="153" t="s">
        <v>6945</v>
      </c>
      <c r="K1179" s="153" t="s">
        <v>538</v>
      </c>
      <c r="L1179" s="153" t="s">
        <v>384</v>
      </c>
      <c r="M1179" s="153" t="s">
        <v>6965</v>
      </c>
      <c r="N1179" s="175" t="s">
        <v>6051</v>
      </c>
      <c r="O1179" s="175" t="s">
        <v>6052</v>
      </c>
      <c r="P1179" s="175" t="s">
        <v>6053</v>
      </c>
      <c r="Q1179" s="153" t="s">
        <v>151</v>
      </c>
      <c r="R1179" s="153" t="s">
        <v>6054</v>
      </c>
      <c r="S1179" s="158" t="s">
        <v>6054</v>
      </c>
      <c r="T1179" s="158" t="s">
        <v>149</v>
      </c>
      <c r="U1179" s="153" t="s">
        <v>390</v>
      </c>
      <c r="V1179" s="158" t="s">
        <v>160</v>
      </c>
      <c r="W1179" s="158" t="s">
        <v>6035</v>
      </c>
      <c r="X1179" s="158" t="s">
        <v>159</v>
      </c>
      <c r="Y1179" s="158" t="s">
        <v>149</v>
      </c>
      <c r="Z1179" s="158" t="s">
        <v>149</v>
      </c>
      <c r="AA1179" s="153" t="s">
        <v>548</v>
      </c>
      <c r="AB1179" s="153" t="s">
        <v>390</v>
      </c>
      <c r="AC1179" s="153" t="s">
        <v>6035</v>
      </c>
      <c r="AD1179" s="153" t="s">
        <v>6055</v>
      </c>
      <c r="AE1179" s="153"/>
      <c r="AF1179" s="153"/>
      <c r="AG1179" s="158" t="s">
        <v>395</v>
      </c>
      <c r="AH1179" s="153" t="s">
        <v>6060</v>
      </c>
      <c r="AI1179" s="158" t="s">
        <v>6711</v>
      </c>
      <c r="AJ1179" s="153" t="s">
        <v>398</v>
      </c>
      <c r="AK1179" s="153"/>
    </row>
    <row r="1180">
      <c r="A1180" s="152">
        <v>2024.0</v>
      </c>
      <c r="B1180" s="151">
        <v>395.0</v>
      </c>
      <c r="C1180" s="153"/>
      <c r="D1180" s="153"/>
      <c r="E1180" s="153" t="s">
        <v>8189</v>
      </c>
      <c r="F1180" s="153" t="s">
        <v>8812</v>
      </c>
      <c r="G1180" s="153">
        <f>IFERROR(__xludf.DUMMYFUNCTION("""COMPUTED_VALUE"""),696.0)</f>
        <v>696</v>
      </c>
      <c r="H1180" s="153" t="s">
        <v>356</v>
      </c>
      <c r="I1180" s="153" t="s">
        <v>357</v>
      </c>
      <c r="J1180" s="153" t="s">
        <v>1689</v>
      </c>
      <c r="K1180" s="153" t="s">
        <v>1690</v>
      </c>
      <c r="L1180" s="158" t="s">
        <v>149</v>
      </c>
      <c r="M1180" s="230">
        <v>2017.0</v>
      </c>
      <c r="N1180" s="230">
        <v>2017.0</v>
      </c>
      <c r="O1180" s="230">
        <v>2017.0</v>
      </c>
      <c r="P1180" s="230">
        <v>2017.0</v>
      </c>
      <c r="Q1180" s="153" t="s">
        <v>6814</v>
      </c>
      <c r="R1180" s="158" t="s">
        <v>320</v>
      </c>
      <c r="S1180" s="158" t="s">
        <v>179</v>
      </c>
      <c r="T1180" s="153" t="s">
        <v>3030</v>
      </c>
      <c r="U1180" s="153" t="s">
        <v>1693</v>
      </c>
      <c r="V1180" s="158" t="s">
        <v>160</v>
      </c>
      <c r="W1180" s="158" t="s">
        <v>209</v>
      </c>
      <c r="X1180" s="158" t="s">
        <v>204</v>
      </c>
      <c r="Y1180" s="158" t="s">
        <v>149</v>
      </c>
      <c r="Z1180" s="158" t="s">
        <v>149</v>
      </c>
      <c r="AA1180" s="158" t="s">
        <v>149</v>
      </c>
      <c r="AB1180" s="153" t="s">
        <v>1693</v>
      </c>
      <c r="AC1180" s="158" t="s">
        <v>6068</v>
      </c>
      <c r="AD1180" s="153"/>
      <c r="AE1180" s="153"/>
      <c r="AF1180" s="153"/>
      <c r="AG1180" s="158" t="s">
        <v>7149</v>
      </c>
      <c r="AH1180" s="153" t="s">
        <v>3031</v>
      </c>
      <c r="AI1180" s="172" t="s">
        <v>7573</v>
      </c>
      <c r="AJ1180" s="153" t="s">
        <v>3033</v>
      </c>
      <c r="AK1180" s="153"/>
    </row>
    <row r="1181">
      <c r="A1181" s="152">
        <v>2025.0</v>
      </c>
      <c r="B1181" s="151">
        <v>219.0</v>
      </c>
      <c r="C1181" s="153" t="s">
        <v>8189</v>
      </c>
      <c r="D1181" s="153"/>
      <c r="E1181" s="153" t="s">
        <v>8301</v>
      </c>
      <c r="F1181" s="153" t="s">
        <v>6966</v>
      </c>
      <c r="G1181" s="153">
        <f>IFERROR(__xludf.DUMMYFUNCTION("""COMPUTED_VALUE"""),697.0)</f>
        <v>697</v>
      </c>
      <c r="H1181" s="153" t="s">
        <v>535</v>
      </c>
      <c r="I1181" s="153" t="s">
        <v>536</v>
      </c>
      <c r="J1181" s="153" t="s">
        <v>554</v>
      </c>
      <c r="K1181" s="153" t="s">
        <v>555</v>
      </c>
      <c r="L1181" s="153" t="s">
        <v>384</v>
      </c>
      <c r="M1181" s="153" t="s">
        <v>556</v>
      </c>
      <c r="N1181" s="175" t="s">
        <v>6051</v>
      </c>
      <c r="O1181" s="175" t="s">
        <v>6052</v>
      </c>
      <c r="P1181" s="175" t="s">
        <v>6053</v>
      </c>
      <c r="Q1181" s="153" t="s">
        <v>151</v>
      </c>
      <c r="R1181" s="153" t="s">
        <v>6054</v>
      </c>
      <c r="S1181" s="158" t="s">
        <v>6054</v>
      </c>
      <c r="T1181" s="158" t="s">
        <v>149</v>
      </c>
      <c r="U1181" s="153" t="s">
        <v>390</v>
      </c>
      <c r="V1181" s="158" t="s">
        <v>160</v>
      </c>
      <c r="W1181" s="158" t="s">
        <v>6035</v>
      </c>
      <c r="X1181" s="158" t="s">
        <v>159</v>
      </c>
      <c r="Y1181" s="158" t="s">
        <v>149</v>
      </c>
      <c r="Z1181" s="158" t="s">
        <v>149</v>
      </c>
      <c r="AA1181" s="153" t="s">
        <v>548</v>
      </c>
      <c r="AB1181" s="153" t="s">
        <v>390</v>
      </c>
      <c r="AC1181" s="153" t="s">
        <v>6035</v>
      </c>
      <c r="AD1181" s="153" t="s">
        <v>6055</v>
      </c>
      <c r="AE1181" s="153"/>
      <c r="AF1181" s="153"/>
      <c r="AG1181" s="158" t="s">
        <v>395</v>
      </c>
      <c r="AH1181" s="153" t="s">
        <v>6060</v>
      </c>
      <c r="AI1181" s="158" t="s">
        <v>6711</v>
      </c>
      <c r="AJ1181" s="153" t="s">
        <v>398</v>
      </c>
      <c r="AK1181" s="153"/>
    </row>
    <row r="1182">
      <c r="A1182" s="152">
        <v>2023.0</v>
      </c>
      <c r="B1182" s="151">
        <v>383.0</v>
      </c>
      <c r="C1182" s="129" t="s">
        <v>140</v>
      </c>
      <c r="D1182" s="8"/>
      <c r="E1182" s="8" t="s">
        <v>8189</v>
      </c>
      <c r="F1182" s="8" t="s">
        <v>8813</v>
      </c>
      <c r="G1182" s="8">
        <f>IFERROR(__xludf.DUMMYFUNCTION("""COMPUTED_VALUE"""),698.0)</f>
        <v>698</v>
      </c>
      <c r="H1182" s="8" t="s">
        <v>356</v>
      </c>
      <c r="I1182" s="8" t="s">
        <v>1997</v>
      </c>
      <c r="J1182" s="8" t="s">
        <v>7553</v>
      </c>
      <c r="K1182" s="8" t="s">
        <v>1999</v>
      </c>
      <c r="L1182" s="153" t="s">
        <v>6113</v>
      </c>
      <c r="M1182" s="8" t="s">
        <v>7554</v>
      </c>
      <c r="N1182" s="142" t="s">
        <v>6113</v>
      </c>
      <c r="O1182" s="142"/>
      <c r="P1182" s="142"/>
      <c r="Q1182" s="8" t="s">
        <v>151</v>
      </c>
      <c r="R1182" s="8" t="s">
        <v>362</v>
      </c>
      <c r="V1182" s="300"/>
      <c r="W1182" s="300"/>
      <c r="X1182" s="300"/>
      <c r="Y1182" s="300"/>
      <c r="AA1182" s="8" t="s">
        <v>3182</v>
      </c>
      <c r="AH1182" s="8" t="s">
        <v>166</v>
      </c>
      <c r="AI1182" s="8" t="s">
        <v>3184</v>
      </c>
    </row>
    <row r="1183">
      <c r="A1183" s="152">
        <v>2024.0</v>
      </c>
      <c r="B1183" s="151">
        <v>396.0</v>
      </c>
      <c r="C1183" s="153"/>
      <c r="D1183" s="153"/>
      <c r="E1183" s="153" t="s">
        <v>8189</v>
      </c>
      <c r="F1183" s="153" t="s">
        <v>8814</v>
      </c>
      <c r="G1183" s="153">
        <f>IFERROR(__xludf.DUMMYFUNCTION("""COMPUTED_VALUE"""),699.0)</f>
        <v>699</v>
      </c>
      <c r="H1183" s="153" t="s">
        <v>356</v>
      </c>
      <c r="I1183" s="153" t="s">
        <v>357</v>
      </c>
      <c r="J1183" s="153" t="s">
        <v>1689</v>
      </c>
      <c r="K1183" s="153" t="s">
        <v>1690</v>
      </c>
      <c r="L1183" s="153" t="s">
        <v>1683</v>
      </c>
      <c r="M1183" s="158" t="s">
        <v>1691</v>
      </c>
      <c r="N1183" s="192">
        <v>2014.0</v>
      </c>
      <c r="O1183" s="192">
        <v>2014.0</v>
      </c>
      <c r="P1183" s="230">
        <v>2016.0</v>
      </c>
      <c r="Q1183" s="153" t="s">
        <v>6062</v>
      </c>
      <c r="R1183" s="153" t="s">
        <v>320</v>
      </c>
      <c r="S1183" s="158" t="s">
        <v>179</v>
      </c>
      <c r="T1183" s="158" t="s">
        <v>149</v>
      </c>
      <c r="U1183" s="153" t="s">
        <v>321</v>
      </c>
      <c r="V1183" s="158" t="s">
        <v>160</v>
      </c>
      <c r="W1183" s="158" t="s">
        <v>6035</v>
      </c>
      <c r="X1183" s="158" t="s">
        <v>159</v>
      </c>
      <c r="Y1183" s="158" t="s">
        <v>149</v>
      </c>
      <c r="Z1183" s="158" t="s">
        <v>149</v>
      </c>
      <c r="AA1183" s="153" t="s">
        <v>1692</v>
      </c>
      <c r="AB1183" s="153" t="s">
        <v>1693</v>
      </c>
      <c r="AC1183" s="158" t="s">
        <v>6068</v>
      </c>
      <c r="AD1183" s="153" t="s">
        <v>7580</v>
      </c>
      <c r="AE1183" s="153" t="s">
        <v>1695</v>
      </c>
      <c r="AF1183" s="153"/>
      <c r="AG1183" s="158" t="s">
        <v>6069</v>
      </c>
      <c r="AH1183" s="153" t="s">
        <v>1300</v>
      </c>
      <c r="AI1183" s="153" t="s">
        <v>7029</v>
      </c>
      <c r="AJ1183" s="153"/>
      <c r="AK1183" s="153"/>
    </row>
    <row r="1184">
      <c r="A1184" s="152">
        <v>2023.0</v>
      </c>
      <c r="B1184" s="151">
        <v>384.0</v>
      </c>
      <c r="C1184" s="129" t="s">
        <v>140</v>
      </c>
      <c r="D1184" s="8"/>
      <c r="E1184" s="8" t="s">
        <v>8189</v>
      </c>
      <c r="F1184" s="8" t="s">
        <v>7555</v>
      </c>
      <c r="G1184" s="8">
        <f>IFERROR(__xludf.DUMMYFUNCTION("""COMPUTED_VALUE"""),700.0)</f>
        <v>700</v>
      </c>
      <c r="H1184" s="8" t="s">
        <v>356</v>
      </c>
      <c r="I1184" s="8" t="s">
        <v>1997</v>
      </c>
      <c r="J1184" s="8" t="s">
        <v>7553</v>
      </c>
      <c r="K1184" s="8" t="s">
        <v>1999</v>
      </c>
      <c r="L1184" s="8" t="s">
        <v>6113</v>
      </c>
      <c r="M1184" s="8" t="s">
        <v>2000</v>
      </c>
      <c r="N1184" s="142" t="s">
        <v>6230</v>
      </c>
      <c r="O1184" s="142" t="s">
        <v>6230</v>
      </c>
      <c r="P1184" s="142" t="s">
        <v>6415</v>
      </c>
      <c r="Q1184" s="8" t="s">
        <v>151</v>
      </c>
      <c r="R1184" s="8" t="s">
        <v>362</v>
      </c>
      <c r="Y1184" s="8" t="s">
        <v>7556</v>
      </c>
      <c r="AA1184" s="8" t="s">
        <v>7557</v>
      </c>
      <c r="AB1184" s="8" t="s">
        <v>2004</v>
      </c>
      <c r="AE1184" s="8" t="s">
        <v>2005</v>
      </c>
      <c r="AH1184" s="8" t="s">
        <v>166</v>
      </c>
      <c r="AI1184" s="8" t="s">
        <v>2007</v>
      </c>
      <c r="AJ1184" s="8" t="s">
        <v>2008</v>
      </c>
      <c r="AK1184" s="172" t="s">
        <v>2009</v>
      </c>
    </row>
    <row r="1185">
      <c r="A1185" s="152">
        <v>2025.0</v>
      </c>
      <c r="B1185" s="151">
        <v>384.0</v>
      </c>
      <c r="C1185" s="153" t="s">
        <v>8189</v>
      </c>
      <c r="D1185" s="153"/>
      <c r="E1185" s="153" t="s">
        <v>8301</v>
      </c>
      <c r="F1185" s="153" t="s">
        <v>7558</v>
      </c>
      <c r="G1185" s="153">
        <f>IFERROR(__xludf.DUMMYFUNCTION("""COMPUTED_VALUE"""),701.0)</f>
        <v>701</v>
      </c>
      <c r="H1185" s="153" t="s">
        <v>356</v>
      </c>
      <c r="I1185" s="153" t="s">
        <v>1997</v>
      </c>
      <c r="J1185" s="153" t="s">
        <v>8815</v>
      </c>
      <c r="K1185" s="153" t="s">
        <v>1999</v>
      </c>
      <c r="L1185" s="158" t="s">
        <v>149</v>
      </c>
      <c r="M1185" s="153" t="s">
        <v>7560</v>
      </c>
      <c r="N1185" s="160" t="s">
        <v>149</v>
      </c>
      <c r="O1185" s="160" t="s">
        <v>149</v>
      </c>
      <c r="P1185" s="160" t="s">
        <v>149</v>
      </c>
      <c r="Q1185" s="153" t="s">
        <v>151</v>
      </c>
      <c r="R1185" s="153" t="s">
        <v>362</v>
      </c>
      <c r="S1185" s="158" t="s">
        <v>362</v>
      </c>
      <c r="T1185" s="158" t="s">
        <v>149</v>
      </c>
      <c r="U1185" s="158" t="s">
        <v>149</v>
      </c>
      <c r="V1185" s="158" t="s">
        <v>149</v>
      </c>
      <c r="W1185" s="158" t="s">
        <v>149</v>
      </c>
      <c r="X1185" s="158" t="s">
        <v>149</v>
      </c>
      <c r="Y1185" s="158" t="s">
        <v>149</v>
      </c>
      <c r="Z1185" s="158" t="s">
        <v>149</v>
      </c>
      <c r="AA1185" s="153" t="s">
        <v>3182</v>
      </c>
      <c r="AB1185" s="158" t="s">
        <v>149</v>
      </c>
      <c r="AC1185" s="158" t="s">
        <v>149</v>
      </c>
      <c r="AD1185" s="153"/>
      <c r="AE1185" s="153"/>
      <c r="AF1185" s="153"/>
      <c r="AG1185" s="158" t="s">
        <v>166</v>
      </c>
      <c r="AH1185" s="153" t="s">
        <v>3183</v>
      </c>
      <c r="AI1185" s="165" t="s">
        <v>3184</v>
      </c>
      <c r="AJ1185" s="153"/>
      <c r="AK1185" s="153"/>
    </row>
    <row r="1186">
      <c r="A1186" s="152">
        <v>2024.0</v>
      </c>
      <c r="B1186" s="151">
        <v>397.0</v>
      </c>
      <c r="C1186" s="158"/>
      <c r="D1186" s="158"/>
      <c r="E1186" s="158" t="s">
        <v>8189</v>
      </c>
      <c r="F1186" s="158" t="s">
        <v>8816</v>
      </c>
      <c r="G1186" s="158">
        <f>IFERROR(__xludf.DUMMYFUNCTION("""COMPUTED_VALUE"""),702.0)</f>
        <v>702</v>
      </c>
      <c r="H1186" s="158" t="s">
        <v>356</v>
      </c>
      <c r="I1186" s="158" t="s">
        <v>357</v>
      </c>
      <c r="J1186" s="158" t="s">
        <v>1689</v>
      </c>
      <c r="K1186" s="158" t="s">
        <v>1690</v>
      </c>
      <c r="L1186" s="158" t="s">
        <v>149</v>
      </c>
      <c r="M1186" s="158" t="s">
        <v>1691</v>
      </c>
      <c r="N1186" s="192">
        <v>2020.0</v>
      </c>
      <c r="O1186" s="192" t="s">
        <v>149</v>
      </c>
      <c r="P1186" s="192" t="s">
        <v>149</v>
      </c>
      <c r="Q1186" s="158" t="s">
        <v>6062</v>
      </c>
      <c r="R1186" s="158" t="s">
        <v>3245</v>
      </c>
      <c r="S1186" s="158" t="s">
        <v>179</v>
      </c>
      <c r="T1186" s="158" t="s">
        <v>7582</v>
      </c>
      <c r="U1186" s="158" t="s">
        <v>2317</v>
      </c>
      <c r="V1186" s="158" t="s">
        <v>160</v>
      </c>
      <c r="W1186" s="158" t="s">
        <v>6035</v>
      </c>
      <c r="X1186" s="158" t="s">
        <v>159</v>
      </c>
      <c r="Y1186" s="158" t="s">
        <v>149</v>
      </c>
      <c r="Z1186" s="158" t="s">
        <v>149</v>
      </c>
      <c r="AA1186" s="158" t="s">
        <v>7583</v>
      </c>
      <c r="AB1186" s="158" t="s">
        <v>2317</v>
      </c>
      <c r="AC1186" s="158" t="s">
        <v>6035</v>
      </c>
      <c r="AD1186" s="158" t="s">
        <v>2319</v>
      </c>
      <c r="AE1186" s="158"/>
      <c r="AF1186" s="158"/>
      <c r="AG1186" s="158" t="s">
        <v>166</v>
      </c>
      <c r="AH1186" s="158" t="s">
        <v>2320</v>
      </c>
      <c r="AI1186" s="177" t="s">
        <v>2321</v>
      </c>
      <c r="AJ1186" s="158"/>
      <c r="AK1186" s="158"/>
    </row>
    <row r="1187">
      <c r="A1187" s="152">
        <v>2023.0</v>
      </c>
      <c r="B1187" s="151">
        <v>385.0</v>
      </c>
      <c r="C1187" s="129" t="s">
        <v>140</v>
      </c>
      <c r="D1187" s="8"/>
      <c r="E1187" s="8" t="s">
        <v>8189</v>
      </c>
      <c r="F1187" s="8" t="s">
        <v>7564</v>
      </c>
      <c r="G1187" s="8">
        <f>IFERROR(__xludf.DUMMYFUNCTION("""COMPUTED_VALUE"""),703.0)</f>
        <v>703</v>
      </c>
      <c r="H1187" s="8" t="s">
        <v>356</v>
      </c>
      <c r="I1187" s="8" t="s">
        <v>1997</v>
      </c>
      <c r="J1187" s="8" t="s">
        <v>7553</v>
      </c>
      <c r="K1187" s="8" t="s">
        <v>1999</v>
      </c>
      <c r="L1187" s="8" t="s">
        <v>777</v>
      </c>
      <c r="M1187" s="8" t="s">
        <v>7565</v>
      </c>
      <c r="N1187" s="142" t="s">
        <v>6273</v>
      </c>
      <c r="O1187" s="142" t="s">
        <v>6064</v>
      </c>
      <c r="P1187" s="142"/>
      <c r="Q1187" s="8" t="s">
        <v>151</v>
      </c>
      <c r="R1187" s="8" t="s">
        <v>362</v>
      </c>
      <c r="T1187" s="8" t="s">
        <v>286</v>
      </c>
      <c r="U1187" s="8" t="s">
        <v>7517</v>
      </c>
      <c r="AA1187" s="8" t="s">
        <v>7566</v>
      </c>
      <c r="AB1187" s="8" t="s">
        <v>780</v>
      </c>
      <c r="AE1187" s="8" t="s">
        <v>760</v>
      </c>
      <c r="AH1187" s="8" t="s">
        <v>6027</v>
      </c>
      <c r="AI1187" s="8" t="s">
        <v>7567</v>
      </c>
    </row>
    <row r="1188">
      <c r="A1188" s="152">
        <v>2024.0</v>
      </c>
      <c r="B1188" s="151">
        <v>398.0</v>
      </c>
      <c r="C1188" s="153"/>
      <c r="D1188" s="153"/>
      <c r="E1188" s="153" t="s">
        <v>8189</v>
      </c>
      <c r="F1188" s="153" t="s">
        <v>8817</v>
      </c>
      <c r="G1188" s="153">
        <f>IFERROR(__xludf.DUMMYFUNCTION("""COMPUTED_VALUE"""),704.0)</f>
        <v>704</v>
      </c>
      <c r="H1188" s="153" t="s">
        <v>356</v>
      </c>
      <c r="I1188" s="153" t="s">
        <v>357</v>
      </c>
      <c r="J1188" s="153" t="s">
        <v>3186</v>
      </c>
      <c r="K1188" s="153" t="s">
        <v>3187</v>
      </c>
      <c r="L1188" s="158" t="s">
        <v>149</v>
      </c>
      <c r="M1188" s="158" t="s">
        <v>3188</v>
      </c>
      <c r="N1188" s="192">
        <v>2012.0</v>
      </c>
      <c r="O1188" s="158" t="s">
        <v>149</v>
      </c>
      <c r="P1188" s="192" t="s">
        <v>149</v>
      </c>
      <c r="Q1188" s="158" t="s">
        <v>6814</v>
      </c>
      <c r="R1188" s="158" t="s">
        <v>179</v>
      </c>
      <c r="S1188" s="158" t="s">
        <v>3189</v>
      </c>
      <c r="T1188" s="158" t="s">
        <v>149</v>
      </c>
      <c r="U1188" s="158" t="s">
        <v>341</v>
      </c>
      <c r="V1188" s="158" t="s">
        <v>160</v>
      </c>
      <c r="W1188" s="158" t="s">
        <v>6035</v>
      </c>
      <c r="X1188" s="158" t="s">
        <v>159</v>
      </c>
      <c r="Y1188" s="158" t="s">
        <v>149</v>
      </c>
      <c r="Z1188" s="158" t="s">
        <v>149</v>
      </c>
      <c r="AA1188" s="158" t="s">
        <v>149</v>
      </c>
      <c r="AB1188" s="158" t="s">
        <v>341</v>
      </c>
      <c r="AC1188" s="158" t="s">
        <v>6035</v>
      </c>
      <c r="AD1188" s="153"/>
      <c r="AE1188" s="153"/>
      <c r="AF1188" s="153"/>
      <c r="AG1188" s="158" t="s">
        <v>3277</v>
      </c>
      <c r="AH1188" s="158" t="s">
        <v>3190</v>
      </c>
      <c r="AI1188" s="172" t="s">
        <v>3191</v>
      </c>
      <c r="AJ1188" s="153"/>
      <c r="AK1188" s="153"/>
    </row>
    <row r="1189">
      <c r="A1189" s="152">
        <v>2025.0</v>
      </c>
      <c r="B1189" s="151">
        <v>385.0</v>
      </c>
      <c r="C1189" s="153" t="s">
        <v>8189</v>
      </c>
      <c r="D1189" s="153"/>
      <c r="E1189" s="153" t="s">
        <v>8301</v>
      </c>
      <c r="F1189" s="153" t="s">
        <v>7561</v>
      </c>
      <c r="G1189" s="153">
        <f>IFERROR(__xludf.DUMMYFUNCTION("""COMPUTED_VALUE"""),705.0)</f>
        <v>705</v>
      </c>
      <c r="H1189" s="153" t="s">
        <v>356</v>
      </c>
      <c r="I1189" s="153" t="s">
        <v>1997</v>
      </c>
      <c r="J1189" s="153" t="s">
        <v>8818</v>
      </c>
      <c r="K1189" s="153" t="s">
        <v>1999</v>
      </c>
      <c r="L1189" s="153" t="s">
        <v>2000</v>
      </c>
      <c r="M1189" s="153" t="s">
        <v>8819</v>
      </c>
      <c r="N1189" s="175" t="s">
        <v>6230</v>
      </c>
      <c r="O1189" s="175" t="s">
        <v>6230</v>
      </c>
      <c r="P1189" s="175" t="s">
        <v>6415</v>
      </c>
      <c r="Q1189" s="153" t="s">
        <v>151</v>
      </c>
      <c r="R1189" s="153" t="s">
        <v>362</v>
      </c>
      <c r="S1189" s="158" t="s">
        <v>362</v>
      </c>
      <c r="T1189" s="158" t="s">
        <v>2002</v>
      </c>
      <c r="U1189" s="158" t="s">
        <v>2003</v>
      </c>
      <c r="V1189" s="158" t="s">
        <v>6154</v>
      </c>
      <c r="W1189" s="158" t="s">
        <v>184</v>
      </c>
      <c r="X1189" s="158" t="s">
        <v>159</v>
      </c>
      <c r="Y1189" s="158" t="s">
        <v>149</v>
      </c>
      <c r="Z1189" s="158" t="s">
        <v>149</v>
      </c>
      <c r="AA1189" s="229" t="s">
        <v>149</v>
      </c>
      <c r="AB1189" s="153" t="s">
        <v>2004</v>
      </c>
      <c r="AC1189" s="153" t="s">
        <v>271</v>
      </c>
      <c r="AD1189" s="153"/>
      <c r="AE1189" s="153" t="s">
        <v>2005</v>
      </c>
      <c r="AF1189" s="153"/>
      <c r="AG1189" s="158" t="s">
        <v>166</v>
      </c>
      <c r="AH1189" s="153" t="s">
        <v>2006</v>
      </c>
      <c r="AI1189" s="172" t="s">
        <v>2007</v>
      </c>
      <c r="AJ1189" s="153" t="s">
        <v>2008</v>
      </c>
      <c r="AK1189" s="165" t="s">
        <v>2009</v>
      </c>
    </row>
    <row r="1190">
      <c r="A1190" s="152">
        <v>2023.0</v>
      </c>
      <c r="B1190" s="151">
        <v>314.0</v>
      </c>
      <c r="C1190" s="129" t="s">
        <v>140</v>
      </c>
      <c r="D1190" s="8"/>
      <c r="E1190" s="8" t="s">
        <v>8189</v>
      </c>
      <c r="F1190" s="8" t="s">
        <v>8820</v>
      </c>
      <c r="G1190" s="8">
        <f>IFERROR(__xludf.DUMMYFUNCTION("""COMPUTED_VALUE"""),706.0)</f>
        <v>706</v>
      </c>
      <c r="H1190" s="8" t="s">
        <v>579</v>
      </c>
      <c r="I1190" s="8" t="s">
        <v>1271</v>
      </c>
      <c r="J1190" s="8" t="s">
        <v>1272</v>
      </c>
      <c r="K1190" s="8" t="s">
        <v>1273</v>
      </c>
      <c r="L1190" s="8" t="s">
        <v>1174</v>
      </c>
      <c r="N1190" s="142"/>
      <c r="O1190" s="142" t="s">
        <v>6151</v>
      </c>
      <c r="P1190" s="142" t="s">
        <v>6089</v>
      </c>
      <c r="Q1190" s="8" t="s">
        <v>6062</v>
      </c>
      <c r="R1190" s="8" t="s">
        <v>1274</v>
      </c>
      <c r="U1190" s="8" t="s">
        <v>321</v>
      </c>
      <c r="AA1190" s="8" t="s">
        <v>1275</v>
      </c>
      <c r="AB1190" s="8" t="s">
        <v>885</v>
      </c>
      <c r="AD1190" s="8" t="s">
        <v>1276</v>
      </c>
      <c r="AE1190" s="8" t="s">
        <v>1277</v>
      </c>
      <c r="AH1190" s="8" t="s">
        <v>6069</v>
      </c>
      <c r="AJ1190" s="8" t="s">
        <v>1280</v>
      </c>
      <c r="AK1190" s="172" t="s">
        <v>1281</v>
      </c>
    </row>
    <row r="1191">
      <c r="A1191" s="152">
        <v>2024.0</v>
      </c>
      <c r="B1191" s="151">
        <v>399.0</v>
      </c>
      <c r="C1191" s="153"/>
      <c r="D1191" s="153"/>
      <c r="E1191" s="153" t="s">
        <v>8189</v>
      </c>
      <c r="F1191" s="153" t="s">
        <v>8821</v>
      </c>
      <c r="G1191" s="153">
        <f>IFERROR(__xludf.DUMMYFUNCTION("""COMPUTED_VALUE"""),707.0)</f>
        <v>707</v>
      </c>
      <c r="H1191" s="153" t="s">
        <v>356</v>
      </c>
      <c r="I1191" s="153" t="s">
        <v>357</v>
      </c>
      <c r="J1191" s="153" t="s">
        <v>358</v>
      </c>
      <c r="K1191" s="153" t="s">
        <v>359</v>
      </c>
      <c r="L1191" s="153" t="s">
        <v>360</v>
      </c>
      <c r="M1191" s="158"/>
      <c r="N1191" s="230">
        <v>2009.0</v>
      </c>
      <c r="O1191" s="230">
        <v>2009.0</v>
      </c>
      <c r="P1191" s="192" t="s">
        <v>149</v>
      </c>
      <c r="Q1191" s="153" t="s">
        <v>151</v>
      </c>
      <c r="R1191" s="158" t="s">
        <v>362</v>
      </c>
      <c r="S1191" s="158" t="s">
        <v>362</v>
      </c>
      <c r="T1191" s="158" t="s">
        <v>365</v>
      </c>
      <c r="U1191" s="158" t="s">
        <v>366</v>
      </c>
      <c r="V1191" s="158" t="s">
        <v>160</v>
      </c>
      <c r="W1191" s="158" t="s">
        <v>306</v>
      </c>
      <c r="X1191" s="158" t="s">
        <v>159</v>
      </c>
      <c r="Y1191" s="158" t="s">
        <v>149</v>
      </c>
      <c r="Z1191" s="158" t="s">
        <v>149</v>
      </c>
      <c r="AA1191" s="158" t="s">
        <v>367</v>
      </c>
      <c r="AB1191" s="158" t="s">
        <v>368</v>
      </c>
      <c r="AC1191" s="158" t="s">
        <v>306</v>
      </c>
      <c r="AD1191" s="158" t="s">
        <v>369</v>
      </c>
      <c r="AE1191" s="158" t="s">
        <v>370</v>
      </c>
      <c r="AF1191" s="153"/>
      <c r="AG1191" s="158" t="s">
        <v>166</v>
      </c>
      <c r="AH1191" s="153" t="s">
        <v>371</v>
      </c>
      <c r="AI1191" s="165" t="s">
        <v>372</v>
      </c>
      <c r="AJ1191" s="153"/>
      <c r="AK1191" s="153"/>
    </row>
    <row r="1192">
      <c r="A1192" s="152">
        <v>2023.0</v>
      </c>
      <c r="B1192" s="151">
        <v>315.0</v>
      </c>
      <c r="C1192" s="129" t="s">
        <v>140</v>
      </c>
      <c r="D1192" s="8"/>
      <c r="E1192" s="8" t="s">
        <v>8189</v>
      </c>
      <c r="F1192" s="8" t="s">
        <v>7270</v>
      </c>
      <c r="G1192" s="8">
        <f>IFERROR(__xludf.DUMMYFUNCTION("""COMPUTED_VALUE"""),708.0)</f>
        <v>708</v>
      </c>
      <c r="H1192" s="8" t="s">
        <v>579</v>
      </c>
      <c r="I1192" s="8" t="s">
        <v>1271</v>
      </c>
      <c r="J1192" s="8" t="s">
        <v>1272</v>
      </c>
      <c r="K1192" s="8" t="s">
        <v>1273</v>
      </c>
      <c r="L1192" s="8" t="s">
        <v>1746</v>
      </c>
      <c r="N1192" s="142" t="s">
        <v>6063</v>
      </c>
      <c r="O1192" s="142" t="s">
        <v>6063</v>
      </c>
      <c r="P1192" s="142"/>
      <c r="Q1192" s="8" t="s">
        <v>151</v>
      </c>
      <c r="R1192" s="8" t="s">
        <v>605</v>
      </c>
      <c r="T1192" s="8" t="s">
        <v>1747</v>
      </c>
      <c r="U1192" s="8" t="s">
        <v>1736</v>
      </c>
      <c r="AD1192" s="8" t="s">
        <v>1736</v>
      </c>
      <c r="AE1192" s="8" t="s">
        <v>158</v>
      </c>
      <c r="AH1192" s="8" t="s">
        <v>6517</v>
      </c>
      <c r="AI1192" s="172" t="s">
        <v>1750</v>
      </c>
      <c r="AJ1192" s="8" t="s">
        <v>1739</v>
      </c>
      <c r="AK1192" s="225" t="s">
        <v>1740</v>
      </c>
    </row>
    <row r="1193">
      <c r="A1193" s="152">
        <v>2024.0</v>
      </c>
      <c r="B1193" s="151">
        <v>400.0</v>
      </c>
      <c r="C1193" s="153"/>
      <c r="D1193" s="153"/>
      <c r="E1193" s="153" t="s">
        <v>8189</v>
      </c>
      <c r="F1193" s="153" t="s">
        <v>8822</v>
      </c>
      <c r="G1193" s="153">
        <f>IFERROR(__xludf.DUMMYFUNCTION("""COMPUTED_VALUE"""),709.0)</f>
        <v>709</v>
      </c>
      <c r="H1193" s="153" t="s">
        <v>356</v>
      </c>
      <c r="I1193" s="153" t="s">
        <v>357</v>
      </c>
      <c r="J1193" s="153" t="s">
        <v>358</v>
      </c>
      <c r="K1193" s="153" t="s">
        <v>359</v>
      </c>
      <c r="L1193" s="158" t="s">
        <v>149</v>
      </c>
      <c r="M1193" s="158" t="s">
        <v>7597</v>
      </c>
      <c r="N1193" s="230">
        <v>2012.0</v>
      </c>
      <c r="O1193" s="192" t="s">
        <v>149</v>
      </c>
      <c r="P1193" s="192" t="s">
        <v>149</v>
      </c>
      <c r="Q1193" s="153" t="s">
        <v>151</v>
      </c>
      <c r="R1193" s="153" t="s">
        <v>362</v>
      </c>
      <c r="S1193" s="158" t="s">
        <v>362</v>
      </c>
      <c r="T1193" s="158" t="s">
        <v>2348</v>
      </c>
      <c r="U1193" s="153" t="s">
        <v>2349</v>
      </c>
      <c r="V1193" s="158" t="s">
        <v>6154</v>
      </c>
      <c r="W1193" s="158" t="s">
        <v>306</v>
      </c>
      <c r="X1193" s="158" t="s">
        <v>159</v>
      </c>
      <c r="Y1193" s="158" t="s">
        <v>149</v>
      </c>
      <c r="Z1193" s="158" t="s">
        <v>149</v>
      </c>
      <c r="AA1193" s="153" t="s">
        <v>2350</v>
      </c>
      <c r="AB1193" s="153" t="s">
        <v>368</v>
      </c>
      <c r="AC1193" s="153" t="s">
        <v>306</v>
      </c>
      <c r="AD1193" s="153" t="s">
        <v>7593</v>
      </c>
      <c r="AE1193" s="153" t="s">
        <v>2352</v>
      </c>
      <c r="AF1193" s="153" t="s">
        <v>2353</v>
      </c>
      <c r="AG1193" s="158" t="s">
        <v>166</v>
      </c>
      <c r="AH1193" s="153" t="s">
        <v>8823</v>
      </c>
      <c r="AI1193" s="153" t="s">
        <v>8824</v>
      </c>
      <c r="AJ1193" s="153"/>
      <c r="AK1193" s="153"/>
    </row>
    <row r="1194">
      <c r="A1194" s="152">
        <v>2023.0</v>
      </c>
      <c r="B1194" s="151">
        <v>316.0</v>
      </c>
      <c r="C1194" s="129" t="s">
        <v>140</v>
      </c>
      <c r="D1194" s="8"/>
      <c r="E1194" s="8" t="s">
        <v>8189</v>
      </c>
      <c r="F1194" s="8" t="s">
        <v>8825</v>
      </c>
      <c r="G1194" s="8">
        <f>IFERROR(__xludf.DUMMYFUNCTION("""COMPUTED_VALUE"""),710.0)</f>
        <v>710</v>
      </c>
      <c r="H1194" s="8" t="s">
        <v>579</v>
      </c>
      <c r="I1194" s="8" t="s">
        <v>1271</v>
      </c>
      <c r="J1194" s="8" t="s">
        <v>1272</v>
      </c>
      <c r="K1194" s="8" t="s">
        <v>1273</v>
      </c>
      <c r="L1194" s="8" t="s">
        <v>6113</v>
      </c>
      <c r="N1194" s="142" t="s">
        <v>6113</v>
      </c>
      <c r="O1194" s="142"/>
      <c r="P1194" s="142"/>
      <c r="Q1194" s="8" t="s">
        <v>6062</v>
      </c>
      <c r="R1194" s="8" t="s">
        <v>7273</v>
      </c>
      <c r="T1194" s="8" t="s">
        <v>2475</v>
      </c>
      <c r="U1194" s="8" t="s">
        <v>1277</v>
      </c>
      <c r="AB1194" s="8" t="s">
        <v>1277</v>
      </c>
      <c r="AH1194" s="8" t="s">
        <v>6038</v>
      </c>
      <c r="AK1194" s="8" t="s">
        <v>2478</v>
      </c>
    </row>
    <row r="1195">
      <c r="A1195" s="152">
        <v>2023.0</v>
      </c>
      <c r="B1195" s="151">
        <v>317.0</v>
      </c>
      <c r="C1195" s="129" t="s">
        <v>140</v>
      </c>
      <c r="D1195" s="8"/>
      <c r="E1195" s="8" t="s">
        <v>8189</v>
      </c>
      <c r="F1195" s="8" t="s">
        <v>7274</v>
      </c>
      <c r="G1195" s="8">
        <f>IFERROR(__xludf.DUMMYFUNCTION("""COMPUTED_VALUE"""),711.0)</f>
        <v>711</v>
      </c>
      <c r="H1195" s="8" t="s">
        <v>579</v>
      </c>
      <c r="I1195" s="8" t="s">
        <v>1271</v>
      </c>
      <c r="J1195" s="8" t="s">
        <v>1272</v>
      </c>
      <c r="K1195" s="8" t="s">
        <v>1273</v>
      </c>
      <c r="L1195" s="8" t="s">
        <v>1732</v>
      </c>
      <c r="M1195" s="8" t="s">
        <v>7275</v>
      </c>
      <c r="N1195" s="142" t="s">
        <v>6273</v>
      </c>
      <c r="O1195" s="142" t="s">
        <v>6273</v>
      </c>
      <c r="P1195" s="142"/>
      <c r="Q1195" s="8" t="s">
        <v>151</v>
      </c>
      <c r="R1195" s="8" t="s">
        <v>7276</v>
      </c>
      <c r="U1195" s="8" t="s">
        <v>1736</v>
      </c>
      <c r="AD1195" s="8" t="s">
        <v>1736</v>
      </c>
      <c r="AH1195" s="8" t="s">
        <v>6038</v>
      </c>
      <c r="AI1195" s="8" t="s">
        <v>1738</v>
      </c>
      <c r="AJ1195" s="8" t="s">
        <v>1739</v>
      </c>
      <c r="AK1195" s="225" t="s">
        <v>1740</v>
      </c>
    </row>
    <row r="1196">
      <c r="A1196" s="152">
        <v>2024.0</v>
      </c>
      <c r="B1196" s="151">
        <v>401.0</v>
      </c>
      <c r="C1196" s="153"/>
      <c r="D1196" s="153"/>
      <c r="E1196" s="153" t="s">
        <v>8189</v>
      </c>
      <c r="F1196" s="153" t="s">
        <v>8826</v>
      </c>
      <c r="G1196" s="153">
        <f>IFERROR(__xludf.DUMMYFUNCTION("""COMPUTED_VALUE"""),712.0)</f>
        <v>712</v>
      </c>
      <c r="H1196" s="153" t="s">
        <v>356</v>
      </c>
      <c r="I1196" s="153" t="s">
        <v>357</v>
      </c>
      <c r="J1196" s="153" t="s">
        <v>375</v>
      </c>
      <c r="K1196" s="153" t="s">
        <v>376</v>
      </c>
      <c r="L1196" s="153" t="s">
        <v>360</v>
      </c>
      <c r="M1196" s="158" t="s">
        <v>7603</v>
      </c>
      <c r="N1196" s="230">
        <v>2015.0</v>
      </c>
      <c r="O1196" s="192" t="s">
        <v>149</v>
      </c>
      <c r="P1196" s="192" t="s">
        <v>149</v>
      </c>
      <c r="Q1196" s="153" t="s">
        <v>151</v>
      </c>
      <c r="R1196" s="153" t="s">
        <v>362</v>
      </c>
      <c r="S1196" s="158" t="s">
        <v>362</v>
      </c>
      <c r="T1196" s="158" t="s">
        <v>149</v>
      </c>
      <c r="U1196" s="158" t="s">
        <v>368</v>
      </c>
      <c r="V1196" s="158" t="s">
        <v>160</v>
      </c>
      <c r="W1196" s="158" t="s">
        <v>306</v>
      </c>
      <c r="X1196" s="158" t="s">
        <v>159</v>
      </c>
      <c r="Y1196" s="158" t="s">
        <v>149</v>
      </c>
      <c r="Z1196" s="158" t="s">
        <v>149</v>
      </c>
      <c r="AA1196" s="158" t="s">
        <v>7604</v>
      </c>
      <c r="AB1196" s="153" t="s">
        <v>368</v>
      </c>
      <c r="AC1196" s="153" t="s">
        <v>306</v>
      </c>
      <c r="AD1196" s="153"/>
      <c r="AE1196" s="153"/>
      <c r="AF1196" s="153"/>
      <c r="AG1196" s="158" t="s">
        <v>6027</v>
      </c>
      <c r="AH1196" s="153" t="s">
        <v>7605</v>
      </c>
      <c r="AI1196" s="172" t="s">
        <v>379</v>
      </c>
      <c r="AJ1196" s="153"/>
      <c r="AK1196" s="153"/>
    </row>
    <row r="1197">
      <c r="A1197" s="152">
        <v>2023.0</v>
      </c>
      <c r="B1197" s="151">
        <v>318.0</v>
      </c>
      <c r="C1197" s="129" t="s">
        <v>140</v>
      </c>
      <c r="D1197" s="8"/>
      <c r="E1197" s="8" t="s">
        <v>8189</v>
      </c>
      <c r="F1197" s="8" t="s">
        <v>7278</v>
      </c>
      <c r="G1197" s="8">
        <f>IFERROR(__xludf.DUMMYFUNCTION("""COMPUTED_VALUE"""),713.0)</f>
        <v>713</v>
      </c>
      <c r="H1197" s="8" t="s">
        <v>579</v>
      </c>
      <c r="I1197" s="8" t="s">
        <v>1271</v>
      </c>
      <c r="J1197" s="8" t="s">
        <v>1272</v>
      </c>
      <c r="K1197" s="8" t="s">
        <v>1273</v>
      </c>
      <c r="L1197" s="8" t="s">
        <v>1732</v>
      </c>
      <c r="M1197" s="8" t="s">
        <v>7279</v>
      </c>
      <c r="N1197" s="142" t="s">
        <v>6906</v>
      </c>
      <c r="O1197" s="142" t="s">
        <v>6906</v>
      </c>
      <c r="P1197" s="142"/>
      <c r="Q1197" s="8" t="s">
        <v>151</v>
      </c>
      <c r="R1197" s="8" t="s">
        <v>7276</v>
      </c>
      <c r="U1197" s="8" t="s">
        <v>1736</v>
      </c>
      <c r="AD1197" s="8" t="s">
        <v>1736</v>
      </c>
      <c r="AH1197" s="8" t="s">
        <v>6038</v>
      </c>
      <c r="AI1197" s="8" t="s">
        <v>1738</v>
      </c>
      <c r="AJ1197" s="8" t="s">
        <v>1739</v>
      </c>
      <c r="AK1197" s="225" t="s">
        <v>1740</v>
      </c>
    </row>
    <row r="1198">
      <c r="A1198" s="152">
        <v>2023.0</v>
      </c>
      <c r="B1198" s="151">
        <v>319.0</v>
      </c>
      <c r="C1198" s="129" t="s">
        <v>140</v>
      </c>
      <c r="D1198" s="8"/>
      <c r="E1198" s="8" t="s">
        <v>8189</v>
      </c>
      <c r="F1198" s="8" t="s">
        <v>7282</v>
      </c>
      <c r="G1198" s="8">
        <f>IFERROR(__xludf.DUMMYFUNCTION("""COMPUTED_VALUE"""),714.0)</f>
        <v>714</v>
      </c>
      <c r="H1198" s="8" t="s">
        <v>579</v>
      </c>
      <c r="I1198" s="8" t="s">
        <v>1271</v>
      </c>
      <c r="J1198" s="8" t="s">
        <v>1763</v>
      </c>
      <c r="K1198" s="8" t="s">
        <v>1764</v>
      </c>
      <c r="L1198" s="8" t="s">
        <v>1765</v>
      </c>
      <c r="M1198" s="8" t="s">
        <v>7283</v>
      </c>
      <c r="N1198" s="142" t="s">
        <v>6145</v>
      </c>
      <c r="O1198" s="142"/>
      <c r="P1198" s="142"/>
      <c r="Q1198" s="8" t="s">
        <v>151</v>
      </c>
      <c r="R1198" s="8" t="s">
        <v>6076</v>
      </c>
      <c r="T1198" s="8" t="s">
        <v>1766</v>
      </c>
      <c r="U1198" s="8" t="s">
        <v>1736</v>
      </c>
      <c r="AD1198" s="8" t="s">
        <v>1736</v>
      </c>
      <c r="AE1198" s="8" t="s">
        <v>369</v>
      </c>
      <c r="AH1198" s="8" t="s">
        <v>6038</v>
      </c>
      <c r="AI1198" s="8" t="s">
        <v>1768</v>
      </c>
      <c r="AJ1198" s="8" t="s">
        <v>1739</v>
      </c>
      <c r="AK1198" s="225" t="s">
        <v>1740</v>
      </c>
    </row>
    <row r="1199">
      <c r="A1199" s="152">
        <v>2024.0</v>
      </c>
      <c r="B1199" s="151">
        <v>402.0</v>
      </c>
      <c r="C1199" s="153"/>
      <c r="D1199" s="153"/>
      <c r="E1199" s="153" t="s">
        <v>8189</v>
      </c>
      <c r="F1199" s="153" t="s">
        <v>8827</v>
      </c>
      <c r="G1199" s="153">
        <f>IFERROR(__xludf.DUMMYFUNCTION("""COMPUTED_VALUE"""),715.0)</f>
        <v>715</v>
      </c>
      <c r="H1199" s="153" t="s">
        <v>345</v>
      </c>
      <c r="I1199" s="153" t="s">
        <v>649</v>
      </c>
      <c r="J1199" s="153" t="s">
        <v>1172</v>
      </c>
      <c r="K1199" s="153" t="s">
        <v>1969</v>
      </c>
      <c r="L1199" s="158" t="s">
        <v>149</v>
      </c>
      <c r="M1199" s="153" t="s">
        <v>1971</v>
      </c>
      <c r="N1199" s="192" t="s">
        <v>149</v>
      </c>
      <c r="O1199" s="192" t="s">
        <v>149</v>
      </c>
      <c r="P1199" s="192" t="s">
        <v>149</v>
      </c>
      <c r="Q1199" s="153" t="s">
        <v>151</v>
      </c>
      <c r="R1199" s="158" t="s">
        <v>149</v>
      </c>
      <c r="S1199" s="158" t="s">
        <v>149</v>
      </c>
      <c r="T1199" s="158" t="s">
        <v>2561</v>
      </c>
      <c r="U1199" s="158" t="s">
        <v>149</v>
      </c>
      <c r="V1199" s="158" t="s">
        <v>149</v>
      </c>
      <c r="W1199" s="158" t="s">
        <v>149</v>
      </c>
      <c r="X1199" s="158" t="s">
        <v>149</v>
      </c>
      <c r="Y1199" s="158" t="s">
        <v>149</v>
      </c>
      <c r="Z1199" s="158" t="s">
        <v>149</v>
      </c>
      <c r="AA1199" s="153" t="s">
        <v>571</v>
      </c>
      <c r="AB1199" s="153" t="s">
        <v>390</v>
      </c>
      <c r="AC1199" s="153" t="s">
        <v>6035</v>
      </c>
      <c r="AD1199" s="153"/>
      <c r="AE1199" s="153"/>
      <c r="AF1199" s="153"/>
      <c r="AG1199" s="153" t="s">
        <v>6084</v>
      </c>
      <c r="AH1199" s="153" t="s">
        <v>2562</v>
      </c>
      <c r="AI1199" s="165" t="s">
        <v>2563</v>
      </c>
      <c r="AJ1199" s="153"/>
      <c r="AK1199" s="153"/>
    </row>
    <row r="1200">
      <c r="A1200" s="152">
        <v>2023.0</v>
      </c>
      <c r="B1200" s="151">
        <v>320.0</v>
      </c>
      <c r="C1200" s="129" t="s">
        <v>140</v>
      </c>
      <c r="D1200" s="8"/>
      <c r="E1200" s="8" t="s">
        <v>8189</v>
      </c>
      <c r="F1200" s="8" t="s">
        <v>8828</v>
      </c>
      <c r="G1200" s="8">
        <f>IFERROR(__xludf.DUMMYFUNCTION("""COMPUTED_VALUE"""),716.0)</f>
        <v>716</v>
      </c>
      <c r="H1200" s="8" t="s">
        <v>579</v>
      </c>
      <c r="I1200" s="8" t="s">
        <v>1271</v>
      </c>
      <c r="J1200" s="8" t="s">
        <v>1494</v>
      </c>
      <c r="K1200" s="279" t="s">
        <v>1495</v>
      </c>
      <c r="L1200" s="8" t="s">
        <v>1377</v>
      </c>
      <c r="M1200" s="8" t="s">
        <v>8829</v>
      </c>
      <c r="N1200" s="142"/>
      <c r="O1200" s="142" t="s">
        <v>6198</v>
      </c>
      <c r="P1200" s="142" t="s">
        <v>6199</v>
      </c>
      <c r="Q1200" s="8" t="s">
        <v>151</v>
      </c>
      <c r="U1200" s="8" t="s">
        <v>1381</v>
      </c>
      <c r="AB1200" s="8" t="s">
        <v>660</v>
      </c>
      <c r="AD1200" s="8" t="s">
        <v>369</v>
      </c>
      <c r="AH1200" s="8" t="s">
        <v>395</v>
      </c>
      <c r="AI1200" s="8" t="s">
        <v>2873</v>
      </c>
      <c r="AJ1200" s="8" t="s">
        <v>398</v>
      </c>
    </row>
    <row r="1201">
      <c r="A1201" s="152">
        <v>2025.0</v>
      </c>
      <c r="B1201" s="151">
        <v>321.0</v>
      </c>
      <c r="C1201" s="153" t="s">
        <v>8189</v>
      </c>
      <c r="D1201" s="153"/>
      <c r="E1201" s="153" t="s">
        <v>8301</v>
      </c>
      <c r="F1201" s="153" t="s">
        <v>7290</v>
      </c>
      <c r="G1201" s="153">
        <f>IFERROR(__xludf.DUMMYFUNCTION("""COMPUTED_VALUE"""),717.0)</f>
        <v>717</v>
      </c>
      <c r="H1201" s="153" t="s">
        <v>579</v>
      </c>
      <c r="I1201" s="153" t="s">
        <v>1271</v>
      </c>
      <c r="J1201" s="153" t="s">
        <v>2812</v>
      </c>
      <c r="K1201" s="153" t="s">
        <v>2813</v>
      </c>
      <c r="L1201" s="158" t="s">
        <v>149</v>
      </c>
      <c r="M1201" s="153"/>
      <c r="N1201" s="164" t="s">
        <v>149</v>
      </c>
      <c r="O1201" s="164" t="s">
        <v>149</v>
      </c>
      <c r="P1201" s="164" t="s">
        <v>149</v>
      </c>
      <c r="Q1201" s="153" t="s">
        <v>151</v>
      </c>
      <c r="R1201" s="158" t="s">
        <v>149</v>
      </c>
      <c r="S1201" s="158" t="s">
        <v>149</v>
      </c>
      <c r="T1201" s="158" t="s">
        <v>149</v>
      </c>
      <c r="U1201" s="158" t="s">
        <v>149</v>
      </c>
      <c r="V1201" s="158" t="s">
        <v>149</v>
      </c>
      <c r="W1201" s="158" t="s">
        <v>149</v>
      </c>
      <c r="X1201" s="158" t="s">
        <v>149</v>
      </c>
      <c r="Y1201" s="158" t="s">
        <v>149</v>
      </c>
      <c r="Z1201" s="158" t="s">
        <v>149</v>
      </c>
      <c r="AA1201" s="158" t="s">
        <v>149</v>
      </c>
      <c r="AB1201" s="153" t="s">
        <v>369</v>
      </c>
      <c r="AC1201" s="153" t="s">
        <v>6035</v>
      </c>
      <c r="AD1201" s="153"/>
      <c r="AE1201" s="153"/>
      <c r="AF1201" s="153"/>
      <c r="AG1201" s="153" t="s">
        <v>6084</v>
      </c>
      <c r="AH1201" s="153" t="s">
        <v>823</v>
      </c>
      <c r="AI1201" s="165" t="s">
        <v>824</v>
      </c>
      <c r="AJ1201" s="153"/>
      <c r="AK1201" s="153"/>
    </row>
    <row r="1202">
      <c r="A1202" s="152">
        <v>2024.0</v>
      </c>
      <c r="B1202" s="151">
        <v>403.0</v>
      </c>
      <c r="C1202" s="153"/>
      <c r="D1202" s="153"/>
      <c r="E1202" s="153" t="s">
        <v>8189</v>
      </c>
      <c r="F1202" s="153" t="s">
        <v>8830</v>
      </c>
      <c r="G1202" s="153">
        <f>IFERROR(__xludf.DUMMYFUNCTION("""COMPUTED_VALUE"""),718.0)</f>
        <v>718</v>
      </c>
      <c r="H1202" s="153" t="s">
        <v>345</v>
      </c>
      <c r="I1202" s="153" t="s">
        <v>649</v>
      </c>
      <c r="J1202" s="153" t="s">
        <v>1172</v>
      </c>
      <c r="K1202" s="153" t="s">
        <v>1969</v>
      </c>
      <c r="L1202" s="158" t="s">
        <v>149</v>
      </c>
      <c r="M1202" s="153" t="s">
        <v>1971</v>
      </c>
      <c r="N1202" s="230">
        <v>2022.0</v>
      </c>
      <c r="O1202" s="192" t="s">
        <v>149</v>
      </c>
      <c r="P1202" s="192" t="s">
        <v>149</v>
      </c>
      <c r="Q1202" s="153" t="s">
        <v>151</v>
      </c>
      <c r="R1202" s="158" t="s">
        <v>911</v>
      </c>
      <c r="S1202" s="158" t="s">
        <v>911</v>
      </c>
      <c r="T1202" s="158" t="s">
        <v>2497</v>
      </c>
      <c r="U1202" s="158" t="s">
        <v>149</v>
      </c>
      <c r="V1202" s="158" t="s">
        <v>149</v>
      </c>
      <c r="W1202" s="158" t="s">
        <v>149</v>
      </c>
      <c r="X1202" s="158" t="s">
        <v>159</v>
      </c>
      <c r="Y1202" s="158" t="s">
        <v>149</v>
      </c>
      <c r="Z1202" s="158" t="s">
        <v>149</v>
      </c>
      <c r="AA1202" s="153" t="s">
        <v>2498</v>
      </c>
      <c r="AB1202" s="153" t="s">
        <v>2499</v>
      </c>
      <c r="AC1202" s="153" t="s">
        <v>6035</v>
      </c>
      <c r="AD1202" s="153" t="s">
        <v>760</v>
      </c>
      <c r="AE1202" s="153"/>
      <c r="AF1202" s="153"/>
      <c r="AG1202" s="153" t="s">
        <v>6038</v>
      </c>
      <c r="AH1202" s="153" t="s">
        <v>2500</v>
      </c>
      <c r="AI1202" s="165" t="s">
        <v>2501</v>
      </c>
      <c r="AJ1202" s="153"/>
      <c r="AK1202" s="153"/>
    </row>
    <row r="1203">
      <c r="A1203" s="152">
        <v>2025.0</v>
      </c>
      <c r="B1203" s="151">
        <v>322.0</v>
      </c>
      <c r="C1203" s="153" t="s">
        <v>8189</v>
      </c>
      <c r="D1203" s="153"/>
      <c r="E1203" s="153" t="s">
        <v>8301</v>
      </c>
      <c r="F1203" s="153" t="s">
        <v>7292</v>
      </c>
      <c r="G1203" s="153">
        <f>IFERROR(__xludf.DUMMYFUNCTION("""COMPUTED_VALUE"""),719.0)</f>
        <v>719</v>
      </c>
      <c r="H1203" s="153" t="s">
        <v>579</v>
      </c>
      <c r="I1203" s="153" t="s">
        <v>1271</v>
      </c>
      <c r="J1203" s="153" t="s">
        <v>3161</v>
      </c>
      <c r="K1203" s="154" t="s">
        <v>3162</v>
      </c>
      <c r="L1203" s="158" t="s">
        <v>149</v>
      </c>
      <c r="M1203" s="153"/>
      <c r="N1203" s="175" t="s">
        <v>6152</v>
      </c>
      <c r="O1203" s="175" t="s">
        <v>6152</v>
      </c>
      <c r="P1203" s="164" t="s">
        <v>149</v>
      </c>
      <c r="Q1203" s="153" t="s">
        <v>6062</v>
      </c>
      <c r="R1203" s="153" t="s">
        <v>3163</v>
      </c>
      <c r="S1203" s="158" t="s">
        <v>3163</v>
      </c>
      <c r="T1203" s="158" t="s">
        <v>149</v>
      </c>
      <c r="U1203" s="158" t="s">
        <v>149</v>
      </c>
      <c r="V1203" s="158" t="s">
        <v>149</v>
      </c>
      <c r="W1203" s="158" t="s">
        <v>2635</v>
      </c>
      <c r="X1203" s="158" t="s">
        <v>149</v>
      </c>
      <c r="Y1203" s="158" t="s">
        <v>149</v>
      </c>
      <c r="Z1203" s="158" t="s">
        <v>149</v>
      </c>
      <c r="AA1203" s="153" t="s">
        <v>7293</v>
      </c>
      <c r="AB1203" s="153" t="s">
        <v>3165</v>
      </c>
      <c r="AC1203" s="153" t="s">
        <v>7294</v>
      </c>
      <c r="AD1203" s="153"/>
      <c r="AE1203" s="153"/>
      <c r="AF1203" s="153"/>
      <c r="AG1203" s="153" t="s">
        <v>6038</v>
      </c>
      <c r="AH1203" s="153" t="s">
        <v>3166</v>
      </c>
      <c r="AI1203" s="172" t="s">
        <v>3167</v>
      </c>
      <c r="AJ1203" s="153" t="s">
        <v>3165</v>
      </c>
      <c r="AK1203" s="153"/>
    </row>
    <row r="1204">
      <c r="A1204" s="152">
        <v>2025.0</v>
      </c>
      <c r="B1204" s="151">
        <v>323.0</v>
      </c>
      <c r="C1204" s="153" t="s">
        <v>8189</v>
      </c>
      <c r="D1204" s="153"/>
      <c r="E1204" s="153" t="s">
        <v>8301</v>
      </c>
      <c r="F1204" s="153" t="s">
        <v>7296</v>
      </c>
      <c r="G1204" s="153">
        <f>IFERROR(__xludf.DUMMYFUNCTION("""COMPUTED_VALUE"""),720.0)</f>
        <v>720</v>
      </c>
      <c r="H1204" s="153" t="s">
        <v>579</v>
      </c>
      <c r="I1204" s="153" t="s">
        <v>1271</v>
      </c>
      <c r="J1204" s="153" t="s">
        <v>1272</v>
      </c>
      <c r="K1204" s="153" t="s">
        <v>1273</v>
      </c>
      <c r="L1204" s="153" t="s">
        <v>1174</v>
      </c>
      <c r="M1204" s="153"/>
      <c r="N1204" s="160" t="s">
        <v>6089</v>
      </c>
      <c r="O1204" s="175" t="s">
        <v>6151</v>
      </c>
      <c r="P1204" s="175" t="s">
        <v>6089</v>
      </c>
      <c r="Q1204" s="153" t="s">
        <v>6062</v>
      </c>
      <c r="R1204" s="153" t="s">
        <v>1274</v>
      </c>
      <c r="S1204" s="158" t="s">
        <v>179</v>
      </c>
      <c r="T1204" s="158" t="s">
        <v>149</v>
      </c>
      <c r="U1204" s="153" t="s">
        <v>321</v>
      </c>
      <c r="V1204" s="158" t="s">
        <v>160</v>
      </c>
      <c r="W1204" s="158" t="s">
        <v>6035</v>
      </c>
      <c r="X1204" s="158" t="s">
        <v>204</v>
      </c>
      <c r="Y1204" s="158" t="s">
        <v>149</v>
      </c>
      <c r="Z1204" s="158" t="s">
        <v>149</v>
      </c>
      <c r="AA1204" s="153" t="s">
        <v>1275</v>
      </c>
      <c r="AB1204" s="153" t="s">
        <v>885</v>
      </c>
      <c r="AC1204" s="158" t="s">
        <v>6068</v>
      </c>
      <c r="AD1204" s="153" t="s">
        <v>1276</v>
      </c>
      <c r="AE1204" s="153" t="s">
        <v>1277</v>
      </c>
      <c r="AF1204" s="153"/>
      <c r="AG1204" s="158" t="s">
        <v>6069</v>
      </c>
      <c r="AH1204" s="153" t="s">
        <v>1278</v>
      </c>
      <c r="AI1204" s="153" t="s">
        <v>6070</v>
      </c>
      <c r="AJ1204" s="153" t="s">
        <v>1280</v>
      </c>
      <c r="AK1204" s="165" t="s">
        <v>1281</v>
      </c>
    </row>
    <row r="1205">
      <c r="A1205" s="152">
        <v>2024.0</v>
      </c>
      <c r="B1205" s="151">
        <v>404.0</v>
      </c>
      <c r="C1205" s="158"/>
      <c r="D1205" s="158"/>
      <c r="E1205" s="158" t="s">
        <v>8189</v>
      </c>
      <c r="F1205" s="158" t="s">
        <v>7613</v>
      </c>
      <c r="G1205" s="158">
        <f>IFERROR(__xludf.DUMMYFUNCTION("""COMPUTED_VALUE"""),721.0)</f>
        <v>721</v>
      </c>
      <c r="H1205" s="158" t="s">
        <v>345</v>
      </c>
      <c r="I1205" s="158" t="s">
        <v>649</v>
      </c>
      <c r="J1205" s="158" t="s">
        <v>1172</v>
      </c>
      <c r="K1205" s="158" t="s">
        <v>1969</v>
      </c>
      <c r="L1205" s="158" t="s">
        <v>1970</v>
      </c>
      <c r="M1205" s="158" t="s">
        <v>1971</v>
      </c>
      <c r="N1205" s="192">
        <v>2024.0</v>
      </c>
      <c r="O1205" s="192" t="s">
        <v>149</v>
      </c>
      <c r="P1205" s="192" t="s">
        <v>149</v>
      </c>
      <c r="Q1205" s="158" t="s">
        <v>151</v>
      </c>
      <c r="R1205" s="158" t="s">
        <v>911</v>
      </c>
      <c r="S1205" s="158" t="s">
        <v>911</v>
      </c>
      <c r="T1205" s="158" t="s">
        <v>7614</v>
      </c>
      <c r="U1205" s="158" t="s">
        <v>1973</v>
      </c>
      <c r="V1205" s="158" t="s">
        <v>160</v>
      </c>
      <c r="W1205" s="158" t="s">
        <v>271</v>
      </c>
      <c r="X1205" s="158" t="s">
        <v>159</v>
      </c>
      <c r="Y1205" s="158" t="s">
        <v>149</v>
      </c>
      <c r="Z1205" s="158" t="s">
        <v>149</v>
      </c>
      <c r="AA1205" s="158" t="s">
        <v>149</v>
      </c>
      <c r="AB1205" s="158" t="s">
        <v>1973</v>
      </c>
      <c r="AC1205" s="158" t="s">
        <v>271</v>
      </c>
      <c r="AD1205" s="158" t="s">
        <v>7615</v>
      </c>
      <c r="AE1205" s="158" t="s">
        <v>1975</v>
      </c>
      <c r="AF1205" s="153"/>
      <c r="AG1205" s="158" t="s">
        <v>6038</v>
      </c>
      <c r="AH1205" s="158" t="s">
        <v>1976</v>
      </c>
      <c r="AI1205" s="177" t="s">
        <v>1977</v>
      </c>
      <c r="AJ1205" s="153"/>
      <c r="AK1205" s="153"/>
    </row>
    <row r="1206">
      <c r="A1206" s="152">
        <v>2025.0</v>
      </c>
      <c r="B1206" s="151">
        <v>324.0</v>
      </c>
      <c r="C1206" s="153" t="s">
        <v>8189</v>
      </c>
      <c r="D1206" s="153"/>
      <c r="E1206" s="153" t="s">
        <v>8301</v>
      </c>
      <c r="F1206" s="153" t="s">
        <v>7299</v>
      </c>
      <c r="G1206" s="153">
        <f>IFERROR(__xludf.DUMMYFUNCTION("""COMPUTED_VALUE"""),722.0)</f>
        <v>722</v>
      </c>
      <c r="H1206" s="153" t="s">
        <v>579</v>
      </c>
      <c r="I1206" s="153" t="s">
        <v>1271</v>
      </c>
      <c r="J1206" s="153" t="s">
        <v>1272</v>
      </c>
      <c r="K1206" s="153" t="s">
        <v>1273</v>
      </c>
      <c r="L1206" s="153" t="s">
        <v>1746</v>
      </c>
      <c r="M1206" s="153"/>
      <c r="N1206" s="175" t="s">
        <v>6063</v>
      </c>
      <c r="O1206" s="175" t="s">
        <v>6063</v>
      </c>
      <c r="P1206" s="160" t="s">
        <v>149</v>
      </c>
      <c r="Q1206" s="153" t="s">
        <v>151</v>
      </c>
      <c r="R1206" s="153" t="s">
        <v>605</v>
      </c>
      <c r="S1206" s="158" t="s">
        <v>605</v>
      </c>
      <c r="T1206" s="153" t="s">
        <v>1747</v>
      </c>
      <c r="U1206" s="158" t="s">
        <v>149</v>
      </c>
      <c r="V1206" s="158" t="s">
        <v>149</v>
      </c>
      <c r="W1206" s="158" t="s">
        <v>149</v>
      </c>
      <c r="X1206" s="158" t="s">
        <v>149</v>
      </c>
      <c r="Y1206" s="158" t="s">
        <v>149</v>
      </c>
      <c r="Z1206" s="158" t="s">
        <v>149</v>
      </c>
      <c r="AA1206" s="153" t="s">
        <v>1748</v>
      </c>
      <c r="AB1206" s="153" t="s">
        <v>158</v>
      </c>
      <c r="AC1206" s="153" t="s">
        <v>6035</v>
      </c>
      <c r="AD1206" s="153"/>
      <c r="AE1206" s="153" t="s">
        <v>158</v>
      </c>
      <c r="AF1206" s="153"/>
      <c r="AG1206" s="158" t="s">
        <v>7902</v>
      </c>
      <c r="AH1206" s="153" t="s">
        <v>7300</v>
      </c>
      <c r="AI1206" s="165" t="s">
        <v>1750</v>
      </c>
      <c r="AJ1206" s="153" t="s">
        <v>1739</v>
      </c>
      <c r="AK1206" s="153" t="s">
        <v>1740</v>
      </c>
    </row>
    <row r="1207">
      <c r="A1207" s="152">
        <v>2025.0</v>
      </c>
      <c r="B1207" s="151">
        <v>325.0</v>
      </c>
      <c r="C1207" s="153" t="s">
        <v>8189</v>
      </c>
      <c r="D1207" s="153"/>
      <c r="E1207" s="153" t="s">
        <v>8301</v>
      </c>
      <c r="F1207" s="153" t="s">
        <v>7304</v>
      </c>
      <c r="G1207" s="153">
        <f>IFERROR(__xludf.DUMMYFUNCTION("""COMPUTED_VALUE"""),723.0)</f>
        <v>723</v>
      </c>
      <c r="H1207" s="153" t="s">
        <v>579</v>
      </c>
      <c r="I1207" s="153" t="s">
        <v>1271</v>
      </c>
      <c r="J1207" s="153" t="s">
        <v>1272</v>
      </c>
      <c r="K1207" s="153" t="s">
        <v>1273</v>
      </c>
      <c r="L1207" s="158" t="s">
        <v>149</v>
      </c>
      <c r="M1207" s="153"/>
      <c r="N1207" s="160" t="s">
        <v>149</v>
      </c>
      <c r="O1207" s="160" t="s">
        <v>149</v>
      </c>
      <c r="P1207" s="160" t="s">
        <v>149</v>
      </c>
      <c r="Q1207" s="153" t="s">
        <v>6062</v>
      </c>
      <c r="R1207" s="153" t="s">
        <v>7273</v>
      </c>
      <c r="S1207" s="158" t="s">
        <v>179</v>
      </c>
      <c r="T1207" s="153" t="s">
        <v>2475</v>
      </c>
      <c r="U1207" s="153" t="s">
        <v>1277</v>
      </c>
      <c r="V1207" s="158" t="s">
        <v>160</v>
      </c>
      <c r="W1207" s="158" t="s">
        <v>184</v>
      </c>
      <c r="X1207" s="158" t="s">
        <v>159</v>
      </c>
      <c r="Y1207" s="158" t="s">
        <v>149</v>
      </c>
      <c r="Z1207" s="158" t="s">
        <v>149</v>
      </c>
      <c r="AA1207" s="158" t="s">
        <v>149</v>
      </c>
      <c r="AB1207" s="153" t="s">
        <v>1277</v>
      </c>
      <c r="AC1207" s="158" t="s">
        <v>184</v>
      </c>
      <c r="AD1207" s="153"/>
      <c r="AE1207" s="153"/>
      <c r="AF1207" s="153"/>
      <c r="AG1207" s="153" t="s">
        <v>6038</v>
      </c>
      <c r="AH1207" s="153" t="s">
        <v>2476</v>
      </c>
      <c r="AI1207" s="165" t="s">
        <v>7305</v>
      </c>
      <c r="AJ1207" s="153"/>
      <c r="AK1207" s="153" t="s">
        <v>2478</v>
      </c>
    </row>
    <row r="1208">
      <c r="A1208" s="152">
        <v>2024.0</v>
      </c>
      <c r="B1208" s="151">
        <v>405.0</v>
      </c>
      <c r="C1208" s="153"/>
      <c r="D1208" s="153"/>
      <c r="E1208" s="153" t="s">
        <v>8189</v>
      </c>
      <c r="F1208" s="153" t="s">
        <v>8831</v>
      </c>
      <c r="G1208" s="153">
        <f>IFERROR(__xludf.DUMMYFUNCTION("""COMPUTED_VALUE"""),724.0)</f>
        <v>724</v>
      </c>
      <c r="H1208" s="153" t="s">
        <v>345</v>
      </c>
      <c r="I1208" s="153" t="s">
        <v>649</v>
      </c>
      <c r="J1208" s="153" t="s">
        <v>7612</v>
      </c>
      <c r="K1208" s="153" t="s">
        <v>2740</v>
      </c>
      <c r="L1208" s="158" t="s">
        <v>149</v>
      </c>
      <c r="M1208" s="153" t="s">
        <v>2741</v>
      </c>
      <c r="N1208" s="230">
        <v>2020.0</v>
      </c>
      <c r="O1208" s="192" t="s">
        <v>149</v>
      </c>
      <c r="P1208" s="192" t="s">
        <v>149</v>
      </c>
      <c r="Q1208" s="153" t="s">
        <v>151</v>
      </c>
      <c r="R1208" s="158" t="s">
        <v>152</v>
      </c>
      <c r="S1208" s="158" t="s">
        <v>152</v>
      </c>
      <c r="T1208" s="158" t="s">
        <v>684</v>
      </c>
      <c r="U1208" s="158" t="s">
        <v>2742</v>
      </c>
      <c r="V1208" s="158" t="s">
        <v>160</v>
      </c>
      <c r="W1208" s="158" t="s">
        <v>6035</v>
      </c>
      <c r="X1208" s="158" t="s">
        <v>159</v>
      </c>
      <c r="Y1208" s="158" t="s">
        <v>149</v>
      </c>
      <c r="Z1208" s="158" t="s">
        <v>149</v>
      </c>
      <c r="AA1208" s="153" t="s">
        <v>2273</v>
      </c>
      <c r="AB1208" s="158" t="s">
        <v>228</v>
      </c>
      <c r="AC1208" s="153" t="s">
        <v>6035</v>
      </c>
      <c r="AD1208" s="158" t="s">
        <v>390</v>
      </c>
      <c r="AE1208" s="158" t="s">
        <v>2743</v>
      </c>
      <c r="AF1208" s="153"/>
      <c r="AG1208" s="153" t="s">
        <v>6038</v>
      </c>
      <c r="AH1208" s="153" t="s">
        <v>2744</v>
      </c>
      <c r="AI1208" s="165" t="s">
        <v>2745</v>
      </c>
      <c r="AJ1208" s="153"/>
      <c r="AK1208" s="153"/>
    </row>
    <row r="1209">
      <c r="A1209" s="152">
        <v>2025.0</v>
      </c>
      <c r="B1209" s="151">
        <v>326.0</v>
      </c>
      <c r="C1209" s="153" t="s">
        <v>8189</v>
      </c>
      <c r="D1209" s="153"/>
      <c r="E1209" s="153" t="s">
        <v>8301</v>
      </c>
      <c r="F1209" s="153" t="s">
        <v>7309</v>
      </c>
      <c r="G1209" s="153">
        <f>IFERROR(__xludf.DUMMYFUNCTION("""COMPUTED_VALUE"""),725.0)</f>
        <v>725</v>
      </c>
      <c r="H1209" s="153" t="s">
        <v>579</v>
      </c>
      <c r="I1209" s="153" t="s">
        <v>1271</v>
      </c>
      <c r="J1209" s="153" t="s">
        <v>1272</v>
      </c>
      <c r="K1209" s="153" t="s">
        <v>1273</v>
      </c>
      <c r="L1209" s="153" t="s">
        <v>1732</v>
      </c>
      <c r="M1209" s="153"/>
      <c r="N1209" s="175" t="s">
        <v>6273</v>
      </c>
      <c r="O1209" s="175" t="s">
        <v>6273</v>
      </c>
      <c r="P1209" s="160" t="s">
        <v>149</v>
      </c>
      <c r="Q1209" s="153" t="s">
        <v>151</v>
      </c>
      <c r="R1209" s="153" t="s">
        <v>1735</v>
      </c>
      <c r="S1209" s="158" t="s">
        <v>7310</v>
      </c>
      <c r="T1209" s="158" t="s">
        <v>149</v>
      </c>
      <c r="U1209" s="153" t="s">
        <v>1736</v>
      </c>
      <c r="V1209" s="158" t="s">
        <v>6154</v>
      </c>
      <c r="W1209" s="158" t="s">
        <v>306</v>
      </c>
      <c r="X1209" s="158" t="s">
        <v>204</v>
      </c>
      <c r="Y1209" s="158" t="s">
        <v>149</v>
      </c>
      <c r="Z1209" s="158" t="s">
        <v>149</v>
      </c>
      <c r="AA1209" s="158" t="s">
        <v>149</v>
      </c>
      <c r="AB1209" s="153" t="s">
        <v>1736</v>
      </c>
      <c r="AC1209" s="158" t="s">
        <v>306</v>
      </c>
      <c r="AD1209" s="153"/>
      <c r="AE1209" s="153"/>
      <c r="AF1209" s="153"/>
      <c r="AG1209" s="153" t="s">
        <v>6038</v>
      </c>
      <c r="AH1209" s="153" t="s">
        <v>1737</v>
      </c>
      <c r="AI1209" s="153" t="s">
        <v>1738</v>
      </c>
      <c r="AJ1209" s="153" t="s">
        <v>1739</v>
      </c>
      <c r="AK1209" s="153" t="s">
        <v>1740</v>
      </c>
    </row>
    <row r="1210">
      <c r="A1210" s="152">
        <v>2025.0</v>
      </c>
      <c r="B1210" s="151">
        <v>327.0</v>
      </c>
      <c r="C1210" s="153" t="s">
        <v>8189</v>
      </c>
      <c r="D1210" s="153"/>
      <c r="E1210" s="153" t="s">
        <v>8301</v>
      </c>
      <c r="F1210" s="153" t="s">
        <v>7313</v>
      </c>
      <c r="G1210" s="153">
        <f>IFERROR(__xludf.DUMMYFUNCTION("""COMPUTED_VALUE"""),726.0)</f>
        <v>726</v>
      </c>
      <c r="H1210" s="153" t="s">
        <v>579</v>
      </c>
      <c r="I1210" s="153" t="s">
        <v>1271</v>
      </c>
      <c r="J1210" s="153" t="s">
        <v>1272</v>
      </c>
      <c r="K1210" s="153" t="s">
        <v>1273</v>
      </c>
      <c r="L1210" s="153" t="s">
        <v>1732</v>
      </c>
      <c r="M1210" s="153"/>
      <c r="N1210" s="175" t="s">
        <v>6098</v>
      </c>
      <c r="O1210" s="175" t="s">
        <v>6098</v>
      </c>
      <c r="P1210" s="160" t="s">
        <v>149</v>
      </c>
      <c r="Q1210" s="153" t="s">
        <v>151</v>
      </c>
      <c r="R1210" s="153" t="s">
        <v>1742</v>
      </c>
      <c r="S1210" s="158" t="s">
        <v>7310</v>
      </c>
      <c r="T1210" s="158" t="s">
        <v>149</v>
      </c>
      <c r="U1210" s="153" t="s">
        <v>1736</v>
      </c>
      <c r="V1210" s="158" t="s">
        <v>6154</v>
      </c>
      <c r="W1210" s="158" t="s">
        <v>306</v>
      </c>
      <c r="X1210" s="158" t="s">
        <v>204</v>
      </c>
      <c r="Y1210" s="158" t="s">
        <v>149</v>
      </c>
      <c r="Z1210" s="158" t="s">
        <v>149</v>
      </c>
      <c r="AA1210" s="158" t="s">
        <v>149</v>
      </c>
      <c r="AB1210" s="153" t="s">
        <v>1736</v>
      </c>
      <c r="AC1210" s="158" t="s">
        <v>306</v>
      </c>
      <c r="AD1210" s="153"/>
      <c r="AE1210" s="153"/>
      <c r="AF1210" s="153"/>
      <c r="AG1210" s="153" t="s">
        <v>6038</v>
      </c>
      <c r="AH1210" s="153" t="s">
        <v>1743</v>
      </c>
      <c r="AI1210" s="165" t="s">
        <v>1744</v>
      </c>
      <c r="AJ1210" s="153" t="s">
        <v>1739</v>
      </c>
      <c r="AK1210" s="153" t="s">
        <v>1740</v>
      </c>
    </row>
    <row r="1211">
      <c r="A1211" s="152">
        <v>2024.0</v>
      </c>
      <c r="B1211" s="151">
        <v>406.0</v>
      </c>
      <c r="C1211" s="153"/>
      <c r="D1211" s="153"/>
      <c r="E1211" s="153" t="s">
        <v>8189</v>
      </c>
      <c r="F1211" s="153" t="s">
        <v>8832</v>
      </c>
      <c r="G1211" s="153">
        <f>IFERROR(__xludf.DUMMYFUNCTION("""COMPUTED_VALUE"""),727.0)</f>
        <v>727</v>
      </c>
      <c r="H1211" s="153" t="s">
        <v>345</v>
      </c>
      <c r="I1211" s="153" t="s">
        <v>649</v>
      </c>
      <c r="J1211" s="153" t="s">
        <v>8833</v>
      </c>
      <c r="K1211" s="153" t="s">
        <v>651</v>
      </c>
      <c r="L1211" s="153" t="s">
        <v>652</v>
      </c>
      <c r="M1211" s="153" t="s">
        <v>653</v>
      </c>
      <c r="N1211" s="230">
        <v>1987.0</v>
      </c>
      <c r="O1211" s="192" t="s">
        <v>149</v>
      </c>
      <c r="P1211" s="192" t="s">
        <v>149</v>
      </c>
      <c r="Q1211" s="153" t="s">
        <v>151</v>
      </c>
      <c r="R1211" s="153" t="s">
        <v>7626</v>
      </c>
      <c r="S1211" s="158" t="s">
        <v>7626</v>
      </c>
      <c r="T1211" s="158" t="s">
        <v>7627</v>
      </c>
      <c r="U1211" s="158" t="s">
        <v>659</v>
      </c>
      <c r="V1211" s="158" t="s">
        <v>160</v>
      </c>
      <c r="W1211" s="158" t="s">
        <v>6035</v>
      </c>
      <c r="X1211" s="158" t="s">
        <v>159</v>
      </c>
      <c r="Y1211" s="158" t="s">
        <v>149</v>
      </c>
      <c r="Z1211" s="158" t="s">
        <v>149</v>
      </c>
      <c r="AA1211" s="158" t="s">
        <v>149</v>
      </c>
      <c r="AB1211" s="158" t="s">
        <v>661</v>
      </c>
      <c r="AC1211" s="158" t="s">
        <v>662</v>
      </c>
      <c r="AD1211" s="158" t="s">
        <v>7628</v>
      </c>
      <c r="AE1211" s="158"/>
      <c r="AF1211" s="158"/>
      <c r="AG1211" s="158" t="s">
        <v>6517</v>
      </c>
      <c r="AH1211" s="153" t="s">
        <v>664</v>
      </c>
      <c r="AI1211" s="172" t="s">
        <v>665</v>
      </c>
      <c r="AJ1211" s="153"/>
      <c r="AK1211" s="153"/>
    </row>
    <row r="1212">
      <c r="A1212" s="152">
        <v>2025.0</v>
      </c>
      <c r="B1212" s="151">
        <v>328.0</v>
      </c>
      <c r="C1212" s="153" t="s">
        <v>8189</v>
      </c>
      <c r="D1212" s="153"/>
      <c r="E1212" s="153" t="s">
        <v>707</v>
      </c>
      <c r="F1212" s="153" t="s">
        <v>7315</v>
      </c>
      <c r="G1212" s="153">
        <f>IFERROR(__xludf.DUMMYFUNCTION("""COMPUTED_VALUE"""),728.0)</f>
        <v>728</v>
      </c>
      <c r="H1212" s="153" t="s">
        <v>579</v>
      </c>
      <c r="I1212" s="153" t="s">
        <v>1271</v>
      </c>
      <c r="J1212" s="153" t="s">
        <v>1763</v>
      </c>
      <c r="K1212" s="153" t="s">
        <v>1764</v>
      </c>
      <c r="L1212" s="153" t="s">
        <v>1765</v>
      </c>
      <c r="M1212" s="153"/>
      <c r="N1212" s="175" t="s">
        <v>6145</v>
      </c>
      <c r="O1212" s="160" t="s">
        <v>149</v>
      </c>
      <c r="P1212" s="160" t="s">
        <v>149</v>
      </c>
      <c r="Q1212" s="153" t="s">
        <v>151</v>
      </c>
      <c r="R1212" s="153" t="s">
        <v>6079</v>
      </c>
      <c r="S1212" s="158" t="s">
        <v>605</v>
      </c>
      <c r="T1212" s="158" t="s">
        <v>1766</v>
      </c>
      <c r="U1212" s="153" t="s">
        <v>1736</v>
      </c>
      <c r="V1212" s="158" t="s">
        <v>6154</v>
      </c>
      <c r="W1212" s="158" t="s">
        <v>306</v>
      </c>
      <c r="X1212" s="158" t="s">
        <v>159</v>
      </c>
      <c r="Y1212" s="158" t="s">
        <v>149</v>
      </c>
      <c r="Z1212" s="158" t="s">
        <v>149</v>
      </c>
      <c r="AA1212" s="158" t="s">
        <v>149</v>
      </c>
      <c r="AB1212" s="153" t="s">
        <v>1736</v>
      </c>
      <c r="AC1212" s="158" t="s">
        <v>306</v>
      </c>
      <c r="AD1212" s="158" t="s">
        <v>369</v>
      </c>
      <c r="AE1212" s="153"/>
      <c r="AF1212" s="153"/>
      <c r="AG1212" s="153" t="s">
        <v>6038</v>
      </c>
      <c r="AH1212" s="153" t="s">
        <v>1767</v>
      </c>
      <c r="AI1212" s="165" t="s">
        <v>1768</v>
      </c>
      <c r="AJ1212" s="153" t="s">
        <v>1739</v>
      </c>
      <c r="AK1212" s="153" t="s">
        <v>1740</v>
      </c>
    </row>
    <row r="1213">
      <c r="A1213" s="152">
        <v>2025.0</v>
      </c>
      <c r="B1213" s="151">
        <v>329.0</v>
      </c>
      <c r="C1213" s="153" t="s">
        <v>8189</v>
      </c>
      <c r="D1213" s="153"/>
      <c r="E1213" s="153" t="s">
        <v>8301</v>
      </c>
      <c r="F1213" s="153" t="s">
        <v>7316</v>
      </c>
      <c r="G1213" s="153">
        <f>IFERROR(__xludf.DUMMYFUNCTION("""COMPUTED_VALUE"""),729.0)</f>
        <v>729</v>
      </c>
      <c r="H1213" s="153" t="s">
        <v>579</v>
      </c>
      <c r="I1213" s="153" t="s">
        <v>1271</v>
      </c>
      <c r="J1213" s="153" t="s">
        <v>1494</v>
      </c>
      <c r="K1213" s="153" t="s">
        <v>1495</v>
      </c>
      <c r="L1213" s="153" t="s">
        <v>1377</v>
      </c>
      <c r="M1213" s="153" t="s">
        <v>7317</v>
      </c>
      <c r="N1213" s="160" t="s">
        <v>6896</v>
      </c>
      <c r="O1213" s="175" t="s">
        <v>6198</v>
      </c>
      <c r="P1213" s="175" t="s">
        <v>6199</v>
      </c>
      <c r="Q1213" s="153" t="s">
        <v>151</v>
      </c>
      <c r="R1213" s="158" t="s">
        <v>149</v>
      </c>
      <c r="S1213" s="158" t="s">
        <v>149</v>
      </c>
      <c r="T1213" s="158" t="s">
        <v>149</v>
      </c>
      <c r="U1213" s="153" t="s">
        <v>1381</v>
      </c>
      <c r="V1213" s="158" t="s">
        <v>6154</v>
      </c>
      <c r="W1213" s="158" t="s">
        <v>206</v>
      </c>
      <c r="X1213" s="158" t="s">
        <v>159</v>
      </c>
      <c r="Y1213" s="158" t="s">
        <v>149</v>
      </c>
      <c r="Z1213" s="158" t="s">
        <v>149</v>
      </c>
      <c r="AA1213" s="158" t="s">
        <v>149</v>
      </c>
      <c r="AB1213" s="153" t="s">
        <v>660</v>
      </c>
      <c r="AC1213" s="153" t="s">
        <v>6035</v>
      </c>
      <c r="AD1213" s="153" t="s">
        <v>369</v>
      </c>
      <c r="AE1213" s="153"/>
      <c r="AF1213" s="153"/>
      <c r="AG1213" s="158" t="s">
        <v>395</v>
      </c>
      <c r="AH1213" s="153" t="s">
        <v>6060</v>
      </c>
      <c r="AI1213" s="158" t="s">
        <v>6711</v>
      </c>
      <c r="AJ1213" s="153" t="s">
        <v>398</v>
      </c>
      <c r="AK1213" s="153"/>
    </row>
    <row r="1214">
      <c r="A1214" s="152">
        <v>2024.0</v>
      </c>
      <c r="B1214" s="151">
        <v>407.0</v>
      </c>
      <c r="C1214" s="158"/>
      <c r="D1214" s="158"/>
      <c r="E1214" s="158" t="s">
        <v>8189</v>
      </c>
      <c r="F1214" s="158" t="s">
        <v>8834</v>
      </c>
      <c r="G1214" s="158">
        <f>IFERROR(__xludf.DUMMYFUNCTION("""COMPUTED_VALUE"""),730.0)</f>
        <v>730</v>
      </c>
      <c r="H1214" s="158" t="s">
        <v>345</v>
      </c>
      <c r="I1214" s="158" t="s">
        <v>649</v>
      </c>
      <c r="J1214" s="158" t="s">
        <v>2503</v>
      </c>
      <c r="K1214" s="158" t="s">
        <v>2504</v>
      </c>
      <c r="L1214" s="158" t="s">
        <v>149</v>
      </c>
      <c r="M1214" s="158" t="s">
        <v>7633</v>
      </c>
      <c r="N1214" s="192">
        <v>2019.0</v>
      </c>
      <c r="O1214" s="192" t="s">
        <v>149</v>
      </c>
      <c r="P1214" s="192" t="s">
        <v>149</v>
      </c>
      <c r="Q1214" s="158" t="s">
        <v>151</v>
      </c>
      <c r="R1214" s="158" t="s">
        <v>149</v>
      </c>
      <c r="S1214" s="158" t="s">
        <v>149</v>
      </c>
      <c r="T1214" s="158" t="s">
        <v>2506</v>
      </c>
      <c r="U1214" s="158" t="s">
        <v>390</v>
      </c>
      <c r="V1214" s="158" t="s">
        <v>160</v>
      </c>
      <c r="W1214" s="158" t="s">
        <v>6035</v>
      </c>
      <c r="X1214" s="158" t="s">
        <v>159</v>
      </c>
      <c r="Y1214" s="158" t="s">
        <v>149</v>
      </c>
      <c r="Z1214" s="158" t="s">
        <v>149</v>
      </c>
      <c r="AA1214" s="158" t="s">
        <v>2507</v>
      </c>
      <c r="AB1214" s="158" t="s">
        <v>390</v>
      </c>
      <c r="AC1214" s="158" t="s">
        <v>6035</v>
      </c>
      <c r="AD1214" s="158"/>
      <c r="AE1214" s="158"/>
      <c r="AF1214" s="158"/>
      <c r="AG1214" s="158" t="s">
        <v>6084</v>
      </c>
      <c r="AH1214" s="158" t="s">
        <v>2508</v>
      </c>
      <c r="AI1214" s="172" t="s">
        <v>2509</v>
      </c>
      <c r="AJ1214" s="158"/>
      <c r="AK1214" s="158"/>
    </row>
    <row r="1215">
      <c r="A1215" s="152">
        <v>2025.0</v>
      </c>
      <c r="B1215" s="151">
        <v>330.0</v>
      </c>
      <c r="C1215" s="153" t="s">
        <v>8189</v>
      </c>
      <c r="D1215" s="153"/>
      <c r="E1215" s="153" t="s">
        <v>707</v>
      </c>
      <c r="F1215" s="153" t="s">
        <v>7319</v>
      </c>
      <c r="G1215" s="153">
        <f>IFERROR(__xludf.DUMMYFUNCTION("""COMPUTED_VALUE"""),731.0)</f>
        <v>731</v>
      </c>
      <c r="H1215" s="153" t="s">
        <v>579</v>
      </c>
      <c r="I1215" s="153" t="s">
        <v>1271</v>
      </c>
      <c r="J1215" s="153" t="s">
        <v>2648</v>
      </c>
      <c r="K1215" s="153" t="s">
        <v>2649</v>
      </c>
      <c r="L1215" s="158" t="s">
        <v>149</v>
      </c>
      <c r="M1215" s="153" t="s">
        <v>7320</v>
      </c>
      <c r="N1215" s="175" t="s">
        <v>6064</v>
      </c>
      <c r="O1215" s="164" t="s">
        <v>149</v>
      </c>
      <c r="P1215" s="164" t="s">
        <v>149</v>
      </c>
      <c r="Q1215" s="153" t="s">
        <v>6062</v>
      </c>
      <c r="R1215" s="158" t="s">
        <v>179</v>
      </c>
      <c r="S1215" s="158" t="s">
        <v>179</v>
      </c>
      <c r="T1215" s="153" t="s">
        <v>2653</v>
      </c>
      <c r="U1215" s="153" t="s">
        <v>158</v>
      </c>
      <c r="V1215" s="158" t="s">
        <v>160</v>
      </c>
      <c r="W1215" s="158" t="s">
        <v>6035</v>
      </c>
      <c r="X1215" s="158" t="s">
        <v>159</v>
      </c>
      <c r="Y1215" s="158" t="s">
        <v>149</v>
      </c>
      <c r="Z1215" s="153" t="s">
        <v>7321</v>
      </c>
      <c r="AA1215" s="153" t="s">
        <v>2655</v>
      </c>
      <c r="AB1215" s="153" t="s">
        <v>158</v>
      </c>
      <c r="AC1215" s="153" t="s">
        <v>6035</v>
      </c>
      <c r="AD1215" s="153"/>
      <c r="AE1215" s="153" t="s">
        <v>8835</v>
      </c>
      <c r="AF1215" s="153"/>
      <c r="AG1215" s="158" t="s">
        <v>166</v>
      </c>
      <c r="AH1215" s="153" t="s">
        <v>2657</v>
      </c>
      <c r="AI1215" s="172" t="s">
        <v>2658</v>
      </c>
      <c r="AJ1215" s="153"/>
      <c r="AK1215" s="153"/>
    </row>
    <row r="1216">
      <c r="A1216" s="152">
        <v>2023.0</v>
      </c>
      <c r="B1216" s="151">
        <v>380.0</v>
      </c>
      <c r="C1216" s="129" t="s">
        <v>648</v>
      </c>
      <c r="D1216" s="8"/>
      <c r="E1216" s="8" t="s">
        <v>8189</v>
      </c>
      <c r="F1216" s="8" t="s">
        <v>7539</v>
      </c>
      <c r="G1216" s="8">
        <f>IFERROR(__xludf.DUMMYFUNCTION("""COMPUTED_VALUE"""),732.0)</f>
        <v>732</v>
      </c>
      <c r="H1216" s="8" t="s">
        <v>356</v>
      </c>
      <c r="I1216" s="8" t="s">
        <v>3569</v>
      </c>
      <c r="J1216" s="8" t="s">
        <v>5680</v>
      </c>
      <c r="K1216" s="8" t="s">
        <v>5681</v>
      </c>
      <c r="L1216" s="8" t="s">
        <v>6113</v>
      </c>
      <c r="M1216" s="8" t="s">
        <v>7540</v>
      </c>
      <c r="N1216" s="142"/>
      <c r="O1216" s="142"/>
      <c r="P1216" s="142"/>
    </row>
    <row r="1217">
      <c r="A1217" s="152">
        <v>2023.0</v>
      </c>
      <c r="B1217" s="151">
        <v>381.0</v>
      </c>
      <c r="C1217" s="129" t="s">
        <v>648</v>
      </c>
      <c r="D1217" s="8"/>
      <c r="E1217" s="8" t="s">
        <v>8189</v>
      </c>
      <c r="F1217" s="8" t="s">
        <v>7545</v>
      </c>
      <c r="G1217" s="8">
        <f>IFERROR(__xludf.DUMMYFUNCTION("""COMPUTED_VALUE"""),733.0)</f>
        <v>733</v>
      </c>
      <c r="H1217" s="8" t="s">
        <v>356</v>
      </c>
      <c r="I1217" s="8" t="s">
        <v>3569</v>
      </c>
      <c r="J1217" s="8" t="s">
        <v>5682</v>
      </c>
      <c r="K1217" s="8" t="s">
        <v>5683</v>
      </c>
      <c r="L1217" s="8" t="s">
        <v>6113</v>
      </c>
      <c r="M1217" s="8" t="s">
        <v>7540</v>
      </c>
      <c r="N1217" s="142"/>
      <c r="O1217" s="142"/>
      <c r="P1217" s="142"/>
    </row>
    <row r="1218">
      <c r="A1218" s="152">
        <v>2023.0</v>
      </c>
      <c r="B1218" s="151">
        <v>382.0</v>
      </c>
      <c r="C1218" s="129" t="s">
        <v>648</v>
      </c>
      <c r="D1218" s="8"/>
      <c r="E1218" s="8" t="s">
        <v>8189</v>
      </c>
      <c r="F1218" s="8" t="s">
        <v>7547</v>
      </c>
      <c r="G1218" s="8">
        <f>IFERROR(__xludf.DUMMYFUNCTION("""COMPUTED_VALUE"""),734.0)</f>
        <v>734</v>
      </c>
      <c r="H1218" s="8" t="s">
        <v>356</v>
      </c>
      <c r="I1218" s="8" t="s">
        <v>3569</v>
      </c>
      <c r="J1218" s="8" t="s">
        <v>5688</v>
      </c>
      <c r="K1218" s="8" t="s">
        <v>5689</v>
      </c>
      <c r="L1218" s="8" t="s">
        <v>6113</v>
      </c>
      <c r="M1218" s="8" t="s">
        <v>7540</v>
      </c>
      <c r="N1218" s="142"/>
      <c r="O1218" s="142"/>
      <c r="P1218" s="142"/>
    </row>
    <row r="1219">
      <c r="A1219" s="152">
        <v>2024.0</v>
      </c>
      <c r="B1219" s="151">
        <v>408.0</v>
      </c>
      <c r="C1219" s="153"/>
      <c r="D1219" s="153"/>
      <c r="E1219" s="153" t="s">
        <v>8189</v>
      </c>
      <c r="F1219" s="153" t="s">
        <v>8836</v>
      </c>
      <c r="G1219" s="153">
        <f>IFERROR(__xludf.DUMMYFUNCTION("""COMPUTED_VALUE"""),735.0)</f>
        <v>735</v>
      </c>
      <c r="H1219" s="153" t="s">
        <v>345</v>
      </c>
      <c r="I1219" s="153" t="s">
        <v>346</v>
      </c>
      <c r="J1219" s="153" t="s">
        <v>2291</v>
      </c>
      <c r="K1219" s="153" t="s">
        <v>2292</v>
      </c>
      <c r="L1219" s="158" t="s">
        <v>149</v>
      </c>
      <c r="M1219" s="158" t="s">
        <v>2293</v>
      </c>
      <c r="N1219" s="192">
        <v>2019.0</v>
      </c>
      <c r="O1219" s="192" t="s">
        <v>149</v>
      </c>
      <c r="P1219" s="192" t="s">
        <v>149</v>
      </c>
      <c r="Q1219" s="158" t="s">
        <v>6062</v>
      </c>
      <c r="R1219" s="158" t="s">
        <v>179</v>
      </c>
      <c r="S1219" s="158" t="s">
        <v>179</v>
      </c>
      <c r="T1219" s="158" t="s">
        <v>2294</v>
      </c>
      <c r="U1219" s="158" t="s">
        <v>2295</v>
      </c>
      <c r="V1219" s="158" t="s">
        <v>160</v>
      </c>
      <c r="W1219" s="158" t="s">
        <v>184</v>
      </c>
      <c r="X1219" s="158" t="s">
        <v>159</v>
      </c>
      <c r="Y1219" s="158" t="s">
        <v>149</v>
      </c>
      <c r="Z1219" s="158" t="s">
        <v>149</v>
      </c>
      <c r="AA1219" s="158" t="s">
        <v>149</v>
      </c>
      <c r="AB1219" s="158" t="s">
        <v>2295</v>
      </c>
      <c r="AC1219" s="158" t="s">
        <v>184</v>
      </c>
      <c r="AD1219" s="158"/>
      <c r="AE1219" s="158" t="s">
        <v>2296</v>
      </c>
      <c r="AF1219" s="158"/>
      <c r="AG1219" s="158" t="s">
        <v>6027</v>
      </c>
      <c r="AH1219" s="153" t="s">
        <v>2297</v>
      </c>
      <c r="AI1219" s="172" t="s">
        <v>2298</v>
      </c>
      <c r="AJ1219" s="153"/>
      <c r="AK1219" s="153"/>
    </row>
    <row r="1220">
      <c r="A1220" s="152">
        <v>2023.0</v>
      </c>
      <c r="B1220" s="151">
        <v>416.0</v>
      </c>
      <c r="C1220" s="129" t="s">
        <v>140</v>
      </c>
      <c r="D1220" s="8"/>
      <c r="E1220" s="8" t="s">
        <v>8189</v>
      </c>
      <c r="F1220" s="8" t="s">
        <v>8837</v>
      </c>
      <c r="G1220" s="8">
        <f>IFERROR(__xludf.DUMMYFUNCTION("""COMPUTED_VALUE"""),736.0)</f>
        <v>736</v>
      </c>
      <c r="H1220" s="8" t="s">
        <v>642</v>
      </c>
      <c r="I1220" s="8" t="s">
        <v>2769</v>
      </c>
      <c r="J1220" s="8" t="s">
        <v>2770</v>
      </c>
      <c r="K1220" s="8" t="s">
        <v>2771</v>
      </c>
      <c r="L1220" s="8" t="s">
        <v>6113</v>
      </c>
      <c r="N1220" s="142" t="s">
        <v>6273</v>
      </c>
      <c r="O1220" s="142"/>
      <c r="P1220" s="142"/>
      <c r="Q1220" s="8" t="s">
        <v>151</v>
      </c>
      <c r="U1220" s="8" t="s">
        <v>2776</v>
      </c>
      <c r="AB1220" s="8" t="s">
        <v>7705</v>
      </c>
      <c r="AD1220" s="8" t="s">
        <v>390</v>
      </c>
      <c r="AH1220" s="8" t="s">
        <v>166</v>
      </c>
      <c r="AI1220" s="8" t="s">
        <v>2779</v>
      </c>
    </row>
    <row r="1221">
      <c r="A1221" s="152">
        <v>2025.0</v>
      </c>
      <c r="B1221" s="151">
        <v>451.0</v>
      </c>
      <c r="C1221" s="153" t="s">
        <v>8189</v>
      </c>
      <c r="D1221" s="153"/>
      <c r="E1221" s="153" t="s">
        <v>8301</v>
      </c>
      <c r="F1221" s="153" t="s">
        <v>8838</v>
      </c>
      <c r="G1221" s="153">
        <f>IFERROR(__xludf.DUMMYFUNCTION("""COMPUTED_VALUE"""),737.0)</f>
        <v>737</v>
      </c>
      <c r="H1221" s="153" t="s">
        <v>642</v>
      </c>
      <c r="I1221" s="153" t="s">
        <v>2769</v>
      </c>
      <c r="J1221" s="153" t="s">
        <v>2770</v>
      </c>
      <c r="K1221" s="153" t="s">
        <v>2771</v>
      </c>
      <c r="L1221" s="158" t="s">
        <v>149</v>
      </c>
      <c r="M1221" s="153" t="s">
        <v>7769</v>
      </c>
      <c r="N1221" s="175" t="s">
        <v>6273</v>
      </c>
      <c r="O1221" s="160" t="s">
        <v>149</v>
      </c>
      <c r="P1221" s="160" t="s">
        <v>149</v>
      </c>
      <c r="Q1221" s="153" t="s">
        <v>151</v>
      </c>
      <c r="R1221" s="158" t="s">
        <v>149</v>
      </c>
      <c r="S1221" s="158" t="s">
        <v>149</v>
      </c>
      <c r="T1221" s="158" t="s">
        <v>7770</v>
      </c>
      <c r="U1221" s="153" t="s">
        <v>2776</v>
      </c>
      <c r="V1221" s="158" t="s">
        <v>160</v>
      </c>
      <c r="W1221" s="158" t="s">
        <v>6035</v>
      </c>
      <c r="X1221" s="158" t="s">
        <v>159</v>
      </c>
      <c r="Y1221" s="158" t="s">
        <v>149</v>
      </c>
      <c r="Z1221" s="158" t="s">
        <v>149</v>
      </c>
      <c r="AA1221" s="158" t="s">
        <v>149</v>
      </c>
      <c r="AB1221" s="153" t="s">
        <v>8839</v>
      </c>
      <c r="AC1221" s="153" t="s">
        <v>6035</v>
      </c>
      <c r="AD1221" s="153" t="s">
        <v>390</v>
      </c>
      <c r="AE1221" s="153"/>
      <c r="AF1221" s="153"/>
      <c r="AG1221" s="158" t="s">
        <v>166</v>
      </c>
      <c r="AH1221" s="153" t="s">
        <v>7772</v>
      </c>
      <c r="AI1221" s="172" t="s">
        <v>2779</v>
      </c>
      <c r="AJ1221" s="153"/>
      <c r="AK1221" s="153"/>
    </row>
    <row r="1222">
      <c r="A1222" s="152">
        <v>2024.0</v>
      </c>
      <c r="B1222" s="151">
        <v>409.0</v>
      </c>
      <c r="C1222" s="153"/>
      <c r="D1222" s="153"/>
      <c r="E1222" s="153" t="s">
        <v>8189</v>
      </c>
      <c r="F1222" s="153" t="s">
        <v>8840</v>
      </c>
      <c r="G1222" s="153">
        <f>IFERROR(__xludf.DUMMYFUNCTION("""COMPUTED_VALUE"""),738.0)</f>
        <v>738</v>
      </c>
      <c r="H1222" s="153" t="s">
        <v>345</v>
      </c>
      <c r="I1222" s="153" t="s">
        <v>346</v>
      </c>
      <c r="J1222" s="153" t="s">
        <v>3193</v>
      </c>
      <c r="K1222" s="153" t="s">
        <v>3194</v>
      </c>
      <c r="L1222" s="158" t="s">
        <v>149</v>
      </c>
      <c r="M1222" s="153" t="s">
        <v>7640</v>
      </c>
      <c r="N1222" s="192" t="s">
        <v>149</v>
      </c>
      <c r="O1222" s="192" t="s">
        <v>149</v>
      </c>
      <c r="P1222" s="192" t="s">
        <v>149</v>
      </c>
      <c r="Q1222" s="153" t="s">
        <v>151</v>
      </c>
      <c r="R1222" s="158" t="s">
        <v>911</v>
      </c>
      <c r="S1222" s="158" t="s">
        <v>911</v>
      </c>
      <c r="T1222" s="158" t="s">
        <v>149</v>
      </c>
      <c r="U1222" s="158" t="s">
        <v>149</v>
      </c>
      <c r="V1222" s="158" t="s">
        <v>149</v>
      </c>
      <c r="W1222" s="158" t="s">
        <v>149</v>
      </c>
      <c r="X1222" s="158" t="s">
        <v>149</v>
      </c>
      <c r="Y1222" s="158" t="s">
        <v>149</v>
      </c>
      <c r="Z1222" s="158" t="s">
        <v>149</v>
      </c>
      <c r="AA1222" s="158" t="s">
        <v>149</v>
      </c>
      <c r="AB1222" s="158" t="s">
        <v>149</v>
      </c>
      <c r="AC1222" s="158" t="s">
        <v>149</v>
      </c>
      <c r="AD1222" s="153"/>
      <c r="AE1222" s="153"/>
      <c r="AF1222" s="153"/>
      <c r="AG1222" s="158" t="s">
        <v>6027</v>
      </c>
      <c r="AH1222" s="153" t="s">
        <v>3195</v>
      </c>
      <c r="AI1222" s="165" t="s">
        <v>3196</v>
      </c>
      <c r="AJ1222" s="153"/>
      <c r="AK1222" s="153"/>
    </row>
    <row r="1223">
      <c r="A1223" s="152">
        <v>2025.0</v>
      </c>
      <c r="B1223" s="151">
        <v>452.0</v>
      </c>
      <c r="C1223" s="158" t="s">
        <v>8189</v>
      </c>
      <c r="D1223" s="158"/>
      <c r="E1223" s="158" t="s">
        <v>707</v>
      </c>
      <c r="F1223" s="158" t="s">
        <v>8841</v>
      </c>
      <c r="G1223" s="158">
        <f>IFERROR(__xludf.DUMMYFUNCTION("""COMPUTED_VALUE"""),739.0)</f>
        <v>739</v>
      </c>
      <c r="H1223" s="158" t="s">
        <v>642</v>
      </c>
      <c r="I1223" s="158" t="s">
        <v>2769</v>
      </c>
      <c r="J1223" s="158" t="s">
        <v>2770</v>
      </c>
      <c r="K1223" s="158" t="s">
        <v>2771</v>
      </c>
      <c r="L1223" s="158" t="s">
        <v>149</v>
      </c>
      <c r="M1223" s="158" t="s">
        <v>2782</v>
      </c>
      <c r="N1223" s="160" t="s">
        <v>6273</v>
      </c>
      <c r="O1223" s="160" t="s">
        <v>149</v>
      </c>
      <c r="P1223" s="160" t="s">
        <v>149</v>
      </c>
      <c r="Q1223" s="158" t="s">
        <v>151</v>
      </c>
      <c r="R1223" s="158" t="s">
        <v>149</v>
      </c>
      <c r="S1223" s="158" t="s">
        <v>149</v>
      </c>
      <c r="T1223" s="158" t="s">
        <v>7770</v>
      </c>
      <c r="U1223" s="158" t="s">
        <v>2776</v>
      </c>
      <c r="V1223" s="158" t="s">
        <v>160</v>
      </c>
      <c r="W1223" s="158" t="s">
        <v>6035</v>
      </c>
      <c r="X1223" s="158" t="s">
        <v>159</v>
      </c>
      <c r="Y1223" s="158" t="s">
        <v>149</v>
      </c>
      <c r="Z1223" s="158" t="s">
        <v>149</v>
      </c>
      <c r="AA1223" s="158" t="s">
        <v>149</v>
      </c>
      <c r="AB1223" s="158" t="s">
        <v>2783</v>
      </c>
      <c r="AC1223" s="158" t="s">
        <v>6035</v>
      </c>
      <c r="AD1223" s="158" t="s">
        <v>390</v>
      </c>
      <c r="AE1223" s="158"/>
      <c r="AF1223" s="158"/>
      <c r="AG1223" s="158" t="s">
        <v>166</v>
      </c>
      <c r="AH1223" s="158" t="s">
        <v>7772</v>
      </c>
      <c r="AI1223" s="177" t="s">
        <v>2779</v>
      </c>
      <c r="AJ1223" s="158"/>
      <c r="AK1223" s="158"/>
    </row>
    <row r="1224">
      <c r="A1224" s="152">
        <v>2023.0</v>
      </c>
      <c r="B1224" s="151">
        <v>398.0</v>
      </c>
      <c r="C1224" s="129" t="s">
        <v>140</v>
      </c>
      <c r="D1224" s="8"/>
      <c r="E1224" s="8" t="s">
        <v>8189</v>
      </c>
      <c r="F1224" s="8" t="s">
        <v>8842</v>
      </c>
      <c r="G1224" s="8">
        <f>IFERROR(__xludf.DUMMYFUNCTION("""COMPUTED_VALUE"""),740.0)</f>
        <v>740</v>
      </c>
      <c r="H1224" s="8" t="s">
        <v>345</v>
      </c>
      <c r="I1224" s="8" t="s">
        <v>346</v>
      </c>
      <c r="J1224" s="8" t="s">
        <v>2291</v>
      </c>
      <c r="K1224" s="8" t="s">
        <v>2292</v>
      </c>
      <c r="L1224" s="8" t="s">
        <v>1913</v>
      </c>
      <c r="N1224" s="142"/>
      <c r="O1224" s="142"/>
      <c r="P1224" s="142"/>
      <c r="Q1224" s="8" t="s">
        <v>151</v>
      </c>
      <c r="U1224" s="8" t="s">
        <v>7630</v>
      </c>
      <c r="AB1224" s="8" t="s">
        <v>7631</v>
      </c>
      <c r="AH1224" s="8" t="s">
        <v>6027</v>
      </c>
      <c r="AI1224" s="172" t="s">
        <v>1919</v>
      </c>
    </row>
    <row r="1225">
      <c r="A1225" s="152">
        <v>2024.0</v>
      </c>
      <c r="B1225" s="151">
        <v>410.0</v>
      </c>
      <c r="C1225" s="153"/>
      <c r="D1225" s="153"/>
      <c r="E1225" s="153" t="s">
        <v>8189</v>
      </c>
      <c r="F1225" s="153" t="s">
        <v>8843</v>
      </c>
      <c r="G1225" s="153">
        <f>IFERROR(__xludf.DUMMYFUNCTION("""COMPUTED_VALUE"""),741.0)</f>
        <v>741</v>
      </c>
      <c r="H1225" s="153" t="s">
        <v>345</v>
      </c>
      <c r="I1225" s="153" t="s">
        <v>346</v>
      </c>
      <c r="J1225" s="153" t="s">
        <v>3198</v>
      </c>
      <c r="K1225" s="153" t="s">
        <v>3199</v>
      </c>
      <c r="L1225" s="158" t="s">
        <v>149</v>
      </c>
      <c r="M1225" s="153" t="s">
        <v>3200</v>
      </c>
      <c r="N1225" s="230">
        <v>2020.0</v>
      </c>
      <c r="O1225" s="192" t="s">
        <v>149</v>
      </c>
      <c r="P1225" s="192" t="s">
        <v>149</v>
      </c>
      <c r="Q1225" s="153" t="s">
        <v>151</v>
      </c>
      <c r="R1225" s="158" t="s">
        <v>149</v>
      </c>
      <c r="S1225" s="158" t="s">
        <v>149</v>
      </c>
      <c r="T1225" s="158" t="s">
        <v>149</v>
      </c>
      <c r="U1225" s="158" t="s">
        <v>149</v>
      </c>
      <c r="V1225" s="158" t="s">
        <v>149</v>
      </c>
      <c r="W1225" s="158" t="s">
        <v>149</v>
      </c>
      <c r="X1225" s="158" t="s">
        <v>149</v>
      </c>
      <c r="Y1225" s="158" t="s">
        <v>149</v>
      </c>
      <c r="Z1225" s="158" t="s">
        <v>149</v>
      </c>
      <c r="AA1225" s="158" t="s">
        <v>571</v>
      </c>
      <c r="AB1225" s="158" t="s">
        <v>369</v>
      </c>
      <c r="AC1225" s="158" t="s">
        <v>6035</v>
      </c>
      <c r="AD1225" s="158" t="s">
        <v>390</v>
      </c>
      <c r="AE1225" s="153"/>
      <c r="AF1225" s="153"/>
      <c r="AG1225" s="153" t="s">
        <v>6084</v>
      </c>
      <c r="AH1225" s="153" t="s">
        <v>3201</v>
      </c>
      <c r="AI1225" s="165" t="s">
        <v>3202</v>
      </c>
      <c r="AJ1225" s="153"/>
      <c r="AK1225" s="153"/>
    </row>
    <row r="1226">
      <c r="A1226" s="152">
        <v>2023.0</v>
      </c>
      <c r="B1226" s="151">
        <v>399.0</v>
      </c>
      <c r="C1226" s="129" t="s">
        <v>140</v>
      </c>
      <c r="D1226" s="8"/>
      <c r="E1226" s="8" t="s">
        <v>8189</v>
      </c>
      <c r="F1226" s="8" t="s">
        <v>8844</v>
      </c>
      <c r="G1226" s="8">
        <f>IFERROR(__xludf.DUMMYFUNCTION("""COMPUTED_VALUE"""),742.0)</f>
        <v>742</v>
      </c>
      <c r="H1226" s="8" t="s">
        <v>345</v>
      </c>
      <c r="I1226" s="8" t="s">
        <v>346</v>
      </c>
      <c r="J1226" s="8" t="s">
        <v>2291</v>
      </c>
      <c r="K1226" s="8" t="s">
        <v>2292</v>
      </c>
      <c r="L1226" s="8" t="s">
        <v>1092</v>
      </c>
      <c r="M1226" s="8" t="s">
        <v>7635</v>
      </c>
      <c r="N1226" s="142" t="s">
        <v>6098</v>
      </c>
      <c r="O1226" s="142"/>
      <c r="P1226" s="142"/>
      <c r="Q1226" s="8" t="s">
        <v>151</v>
      </c>
      <c r="U1226" s="8" t="s">
        <v>2295</v>
      </c>
      <c r="AA1226" s="8" t="s">
        <v>6370</v>
      </c>
      <c r="AB1226" s="8" t="s">
        <v>2295</v>
      </c>
      <c r="AE1226" s="8" t="s">
        <v>7636</v>
      </c>
      <c r="AH1226" s="8" t="s">
        <v>6084</v>
      </c>
      <c r="AI1226" s="172" t="s">
        <v>7637</v>
      </c>
    </row>
    <row r="1227">
      <c r="A1227" s="152">
        <v>2023.0</v>
      </c>
      <c r="B1227" s="151">
        <v>400.0</v>
      </c>
      <c r="C1227" s="129" t="s">
        <v>140</v>
      </c>
      <c r="D1227" s="8"/>
      <c r="E1227" s="8" t="s">
        <v>8189</v>
      </c>
      <c r="F1227" s="8" t="s">
        <v>8845</v>
      </c>
      <c r="G1227" s="8">
        <f>IFERROR(__xludf.DUMMYFUNCTION("""COMPUTED_VALUE"""),743.0)</f>
        <v>743</v>
      </c>
      <c r="H1227" s="8" t="s">
        <v>345</v>
      </c>
      <c r="I1227" s="8" t="s">
        <v>346</v>
      </c>
      <c r="J1227" s="8" t="s">
        <v>3193</v>
      </c>
      <c r="K1227" s="8" t="s">
        <v>3194</v>
      </c>
      <c r="L1227" s="8" t="s">
        <v>6113</v>
      </c>
      <c r="M1227" s="8" t="s">
        <v>8846</v>
      </c>
      <c r="N1227" s="142" t="s">
        <v>6113</v>
      </c>
      <c r="O1227" s="142"/>
      <c r="P1227" s="142"/>
      <c r="Q1227" s="8" t="s">
        <v>151</v>
      </c>
      <c r="AB1227" s="8" t="s">
        <v>6113</v>
      </c>
      <c r="AH1227" s="8" t="s">
        <v>6027</v>
      </c>
      <c r="AI1227" s="172" t="s">
        <v>3196</v>
      </c>
    </row>
    <row r="1228">
      <c r="A1228" s="152">
        <v>2024.0</v>
      </c>
      <c r="B1228" s="151">
        <v>411.0</v>
      </c>
      <c r="C1228" s="153"/>
      <c r="D1228" s="153"/>
      <c r="E1228" s="153" t="s">
        <v>8189</v>
      </c>
      <c r="F1228" s="153" t="s">
        <v>8847</v>
      </c>
      <c r="G1228" s="153">
        <f>IFERROR(__xludf.DUMMYFUNCTION("""COMPUTED_VALUE"""),744.0)</f>
        <v>744</v>
      </c>
      <c r="H1228" s="153" t="s">
        <v>345</v>
      </c>
      <c r="I1228" s="153" t="s">
        <v>346</v>
      </c>
      <c r="J1228" s="153" t="s">
        <v>7647</v>
      </c>
      <c r="K1228" s="153" t="s">
        <v>348</v>
      </c>
      <c r="L1228" s="153" t="s">
        <v>908</v>
      </c>
      <c r="M1228" s="153" t="s">
        <v>8848</v>
      </c>
      <c r="N1228" s="230">
        <v>2021.0</v>
      </c>
      <c r="O1228" s="192" t="s">
        <v>149</v>
      </c>
      <c r="P1228" s="192" t="s">
        <v>149</v>
      </c>
      <c r="Q1228" s="153" t="s">
        <v>151</v>
      </c>
      <c r="R1228" s="158" t="s">
        <v>912</v>
      </c>
      <c r="S1228" s="158" t="s">
        <v>912</v>
      </c>
      <c r="T1228" s="158" t="s">
        <v>915</v>
      </c>
      <c r="U1228" s="158" t="s">
        <v>916</v>
      </c>
      <c r="V1228" s="158" t="s">
        <v>160</v>
      </c>
      <c r="W1228" s="158" t="s">
        <v>271</v>
      </c>
      <c r="X1228" s="158" t="s">
        <v>159</v>
      </c>
      <c r="Y1228" s="158" t="s">
        <v>149</v>
      </c>
      <c r="Z1228" s="158" t="s">
        <v>149</v>
      </c>
      <c r="AA1228" s="153" t="s">
        <v>917</v>
      </c>
      <c r="AB1228" s="158" t="s">
        <v>916</v>
      </c>
      <c r="AC1228" s="158" t="s">
        <v>271</v>
      </c>
      <c r="AD1228" s="158" t="s">
        <v>918</v>
      </c>
      <c r="AE1228" s="153"/>
      <c r="AF1228" s="153"/>
      <c r="AG1228" s="158" t="s">
        <v>166</v>
      </c>
      <c r="AH1228" s="153" t="s">
        <v>919</v>
      </c>
      <c r="AI1228" s="153" t="s">
        <v>7654</v>
      </c>
      <c r="AJ1228" s="153"/>
      <c r="AK1228" s="153"/>
    </row>
    <row r="1229">
      <c r="A1229" s="152">
        <v>2025.0</v>
      </c>
      <c r="B1229" s="151">
        <v>400.0</v>
      </c>
      <c r="C1229" s="153" t="s">
        <v>8189</v>
      </c>
      <c r="D1229" s="153"/>
      <c r="E1229" s="153" t="s">
        <v>707</v>
      </c>
      <c r="F1229" s="153" t="s">
        <v>8849</v>
      </c>
      <c r="G1229" s="153">
        <f>IFERROR(__xludf.DUMMYFUNCTION("""COMPUTED_VALUE"""),745.0)</f>
        <v>745</v>
      </c>
      <c r="H1229" s="153" t="s">
        <v>345</v>
      </c>
      <c r="I1229" s="153" t="s">
        <v>346</v>
      </c>
      <c r="J1229" s="153" t="s">
        <v>2291</v>
      </c>
      <c r="K1229" s="153" t="s">
        <v>2292</v>
      </c>
      <c r="L1229" s="158" t="s">
        <v>149</v>
      </c>
      <c r="M1229" s="158" t="s">
        <v>2293</v>
      </c>
      <c r="N1229" s="160" t="s">
        <v>6273</v>
      </c>
      <c r="O1229" s="160" t="s">
        <v>149</v>
      </c>
      <c r="P1229" s="160" t="s">
        <v>149</v>
      </c>
      <c r="Q1229" s="158" t="s">
        <v>6062</v>
      </c>
      <c r="R1229" s="158" t="s">
        <v>179</v>
      </c>
      <c r="S1229" s="158" t="s">
        <v>179</v>
      </c>
      <c r="T1229" s="158" t="s">
        <v>2294</v>
      </c>
      <c r="U1229" s="158" t="s">
        <v>2295</v>
      </c>
      <c r="V1229" s="158" t="s">
        <v>160</v>
      </c>
      <c r="W1229" s="158" t="s">
        <v>184</v>
      </c>
      <c r="X1229" s="158" t="s">
        <v>159</v>
      </c>
      <c r="Y1229" s="158" t="s">
        <v>149</v>
      </c>
      <c r="Z1229" s="158" t="s">
        <v>149</v>
      </c>
      <c r="AA1229" s="158" t="s">
        <v>149</v>
      </c>
      <c r="AB1229" s="158" t="s">
        <v>2295</v>
      </c>
      <c r="AC1229" s="158" t="s">
        <v>184</v>
      </c>
      <c r="AD1229" s="158"/>
      <c r="AE1229" s="158" t="s">
        <v>2296</v>
      </c>
      <c r="AF1229" s="158"/>
      <c r="AG1229" s="158" t="s">
        <v>6027</v>
      </c>
      <c r="AH1229" s="153" t="s">
        <v>2297</v>
      </c>
      <c r="AI1229" s="172" t="s">
        <v>2298</v>
      </c>
      <c r="AJ1229" s="153"/>
      <c r="AK1229" s="153"/>
    </row>
    <row r="1230">
      <c r="A1230" s="152">
        <v>2023.0</v>
      </c>
      <c r="B1230" s="151">
        <v>401.0</v>
      </c>
      <c r="C1230" s="129" t="s">
        <v>648</v>
      </c>
      <c r="D1230" s="8"/>
      <c r="E1230" s="8" t="s">
        <v>8189</v>
      </c>
      <c r="F1230" s="8" t="s">
        <v>8850</v>
      </c>
      <c r="G1230" s="8">
        <f>IFERROR(__xludf.DUMMYFUNCTION("""COMPUTED_VALUE"""),746.0)</f>
        <v>746</v>
      </c>
      <c r="H1230" s="8" t="s">
        <v>345</v>
      </c>
      <c r="I1230" s="8" t="s">
        <v>346</v>
      </c>
      <c r="J1230" s="8" t="s">
        <v>1406</v>
      </c>
      <c r="K1230" s="8" t="s">
        <v>5744</v>
      </c>
      <c r="L1230" s="8" t="s">
        <v>6113</v>
      </c>
      <c r="M1230" s="8" t="s">
        <v>7643</v>
      </c>
      <c r="N1230" s="142"/>
      <c r="O1230" s="142"/>
      <c r="P1230" s="142"/>
    </row>
    <row r="1231">
      <c r="A1231" s="152">
        <v>2024.0</v>
      </c>
      <c r="B1231" s="151">
        <v>412.0</v>
      </c>
      <c r="C1231" s="153"/>
      <c r="D1231" s="153"/>
      <c r="E1231" s="153" t="s">
        <v>8189</v>
      </c>
      <c r="F1231" s="153" t="s">
        <v>8851</v>
      </c>
      <c r="G1231" s="153">
        <f>IFERROR(__xludf.DUMMYFUNCTION("""COMPUTED_VALUE"""),747.0)</f>
        <v>747</v>
      </c>
      <c r="H1231" s="153" t="s">
        <v>345</v>
      </c>
      <c r="I1231" s="153" t="s">
        <v>346</v>
      </c>
      <c r="J1231" s="153" t="s">
        <v>7647</v>
      </c>
      <c r="K1231" s="153" t="s">
        <v>348</v>
      </c>
      <c r="L1231" s="153" t="s">
        <v>349</v>
      </c>
      <c r="M1231" s="153" t="s">
        <v>350</v>
      </c>
      <c r="N1231" s="230">
        <v>2018.0</v>
      </c>
      <c r="O1231" s="192" t="s">
        <v>149</v>
      </c>
      <c r="P1231" s="192" t="s">
        <v>149</v>
      </c>
      <c r="Q1231" s="153" t="s">
        <v>151</v>
      </c>
      <c r="R1231" s="158" t="s">
        <v>152</v>
      </c>
      <c r="S1231" s="158" t="s">
        <v>152</v>
      </c>
      <c r="T1231" s="158" t="s">
        <v>6839</v>
      </c>
      <c r="U1231" s="158" t="s">
        <v>149</v>
      </c>
      <c r="V1231" s="158" t="s">
        <v>149</v>
      </c>
      <c r="W1231" s="158" t="s">
        <v>149</v>
      </c>
      <c r="X1231" s="158" t="s">
        <v>159</v>
      </c>
      <c r="Y1231" s="158" t="s">
        <v>149</v>
      </c>
      <c r="Z1231" s="158" t="s">
        <v>149</v>
      </c>
      <c r="AA1231" s="158" t="s">
        <v>149</v>
      </c>
      <c r="AB1231" s="153" t="s">
        <v>228</v>
      </c>
      <c r="AC1231" s="153" t="s">
        <v>6035</v>
      </c>
      <c r="AD1231" s="153"/>
      <c r="AE1231" s="153"/>
      <c r="AF1231" s="153"/>
      <c r="AG1231" s="158" t="s">
        <v>166</v>
      </c>
      <c r="AH1231" s="153" t="s">
        <v>353</v>
      </c>
      <c r="AI1231" s="172" t="s">
        <v>354</v>
      </c>
      <c r="AJ1231" s="153"/>
      <c r="AK1231" s="153"/>
    </row>
    <row r="1232">
      <c r="A1232" s="152">
        <v>2025.0</v>
      </c>
      <c r="B1232" s="151">
        <v>401.0</v>
      </c>
      <c r="C1232" s="153" t="s">
        <v>8189</v>
      </c>
      <c r="D1232" s="153"/>
      <c r="E1232" s="153" t="s">
        <v>707</v>
      </c>
      <c r="F1232" s="153" t="s">
        <v>8852</v>
      </c>
      <c r="G1232" s="153">
        <f>IFERROR(__xludf.DUMMYFUNCTION("""COMPUTED_VALUE"""),748.0)</f>
        <v>748</v>
      </c>
      <c r="H1232" s="153" t="s">
        <v>345</v>
      </c>
      <c r="I1232" s="153" t="s">
        <v>346</v>
      </c>
      <c r="J1232" s="153" t="s">
        <v>3193</v>
      </c>
      <c r="K1232" s="153" t="s">
        <v>3194</v>
      </c>
      <c r="L1232" s="158" t="s">
        <v>149</v>
      </c>
      <c r="M1232" s="153" t="s">
        <v>7640</v>
      </c>
      <c r="N1232" s="160" t="s">
        <v>149</v>
      </c>
      <c r="O1232" s="160" t="s">
        <v>149</v>
      </c>
      <c r="P1232" s="160" t="s">
        <v>149</v>
      </c>
      <c r="Q1232" s="153" t="s">
        <v>151</v>
      </c>
      <c r="R1232" s="158" t="s">
        <v>911</v>
      </c>
      <c r="S1232" s="158" t="s">
        <v>911</v>
      </c>
      <c r="T1232" s="158" t="s">
        <v>149</v>
      </c>
      <c r="U1232" s="158" t="s">
        <v>149</v>
      </c>
      <c r="V1232" s="158" t="s">
        <v>149</v>
      </c>
      <c r="W1232" s="158" t="s">
        <v>149</v>
      </c>
      <c r="X1232" s="158" t="s">
        <v>149</v>
      </c>
      <c r="Y1232" s="158" t="s">
        <v>149</v>
      </c>
      <c r="Z1232" s="158" t="s">
        <v>149</v>
      </c>
      <c r="AA1232" s="158" t="s">
        <v>149</v>
      </c>
      <c r="AB1232" s="158" t="s">
        <v>149</v>
      </c>
      <c r="AC1232" s="158" t="s">
        <v>149</v>
      </c>
      <c r="AD1232" s="153"/>
      <c r="AE1232" s="153"/>
      <c r="AF1232" s="153"/>
      <c r="AG1232" s="158" t="s">
        <v>6027</v>
      </c>
      <c r="AH1232" s="153" t="s">
        <v>3195</v>
      </c>
      <c r="AI1232" s="165" t="s">
        <v>3196</v>
      </c>
      <c r="AJ1232" s="153"/>
      <c r="AK1232" s="153"/>
    </row>
    <row r="1233">
      <c r="A1233" s="152">
        <v>2023.0</v>
      </c>
      <c r="B1233" s="151">
        <v>402.0</v>
      </c>
      <c r="C1233" s="129" t="s">
        <v>140</v>
      </c>
      <c r="D1233" s="8"/>
      <c r="E1233" s="8" t="s">
        <v>8189</v>
      </c>
      <c r="F1233" s="8" t="s">
        <v>8853</v>
      </c>
      <c r="G1233" s="8">
        <f>IFERROR(__xludf.DUMMYFUNCTION("""COMPUTED_VALUE"""),749.0)</f>
        <v>749</v>
      </c>
      <c r="H1233" s="8" t="s">
        <v>345</v>
      </c>
      <c r="I1233" s="8" t="s">
        <v>346</v>
      </c>
      <c r="J1233" s="8" t="s">
        <v>3198</v>
      </c>
      <c r="K1233" s="8" t="s">
        <v>3199</v>
      </c>
      <c r="L1233" s="8" t="s">
        <v>6113</v>
      </c>
      <c r="N1233" s="142" t="s">
        <v>6906</v>
      </c>
      <c r="O1233" s="142"/>
      <c r="P1233" s="142"/>
      <c r="Q1233" s="8" t="s">
        <v>151</v>
      </c>
      <c r="AB1233" s="8" t="s">
        <v>369</v>
      </c>
      <c r="AD1233" s="8" t="s">
        <v>390</v>
      </c>
    </row>
    <row r="1234">
      <c r="A1234" s="152">
        <v>2024.0</v>
      </c>
      <c r="B1234" s="151">
        <v>413.0</v>
      </c>
      <c r="C1234" s="153"/>
      <c r="D1234" s="153"/>
      <c r="E1234" s="153" t="s">
        <v>8189</v>
      </c>
      <c r="F1234" s="153" t="s">
        <v>8854</v>
      </c>
      <c r="G1234" s="153">
        <f>IFERROR(__xludf.DUMMYFUNCTION("""COMPUTED_VALUE"""),750.0)</f>
        <v>750</v>
      </c>
      <c r="H1234" s="153" t="s">
        <v>345</v>
      </c>
      <c r="I1234" s="153" t="s">
        <v>346</v>
      </c>
      <c r="J1234" s="153" t="s">
        <v>2375</v>
      </c>
      <c r="K1234" s="153" t="s">
        <v>2376</v>
      </c>
      <c r="L1234" s="158" t="s">
        <v>149</v>
      </c>
      <c r="M1234" s="158" t="s">
        <v>2377</v>
      </c>
      <c r="N1234" s="192">
        <v>2015.0</v>
      </c>
      <c r="O1234" s="192">
        <v>2015.0</v>
      </c>
      <c r="P1234" s="192" t="s">
        <v>149</v>
      </c>
      <c r="Q1234" s="158" t="s">
        <v>6624</v>
      </c>
      <c r="R1234" s="158" t="s">
        <v>2378</v>
      </c>
      <c r="S1234" s="158" t="s">
        <v>2378</v>
      </c>
      <c r="T1234" s="153" t="s">
        <v>2379</v>
      </c>
      <c r="U1234" s="153" t="s">
        <v>2380</v>
      </c>
      <c r="V1234" s="158" t="s">
        <v>160</v>
      </c>
      <c r="W1234" s="158" t="s">
        <v>184</v>
      </c>
      <c r="X1234" s="158" t="s">
        <v>159</v>
      </c>
      <c r="Y1234" s="158" t="s">
        <v>149</v>
      </c>
      <c r="Z1234" s="158" t="s">
        <v>149</v>
      </c>
      <c r="AA1234" s="158" t="s">
        <v>7663</v>
      </c>
      <c r="AB1234" s="153" t="s">
        <v>2380</v>
      </c>
      <c r="AC1234" s="158" t="s">
        <v>184</v>
      </c>
      <c r="AD1234" s="153"/>
      <c r="AE1234" s="153" t="s">
        <v>2382</v>
      </c>
      <c r="AF1234" s="153"/>
      <c r="AG1234" s="158" t="s">
        <v>166</v>
      </c>
      <c r="AH1234" s="153" t="s">
        <v>2383</v>
      </c>
      <c r="AI1234" s="165" t="s">
        <v>2384</v>
      </c>
      <c r="AJ1234" s="153"/>
      <c r="AK1234" s="153"/>
    </row>
    <row r="1235">
      <c r="A1235" s="152">
        <v>2025.0</v>
      </c>
      <c r="B1235" s="151">
        <v>402.0</v>
      </c>
      <c r="C1235" s="153" t="s">
        <v>8189</v>
      </c>
      <c r="D1235" s="153"/>
      <c r="E1235" s="153" t="s">
        <v>8301</v>
      </c>
      <c r="F1235" s="153" t="s">
        <v>8853</v>
      </c>
      <c r="G1235" s="153">
        <f>IFERROR(__xludf.DUMMYFUNCTION("""COMPUTED_VALUE"""),749.0)</f>
        <v>749</v>
      </c>
      <c r="H1235" s="153" t="s">
        <v>345</v>
      </c>
      <c r="I1235" s="153" t="s">
        <v>346</v>
      </c>
      <c r="J1235" s="153" t="s">
        <v>3198</v>
      </c>
      <c r="K1235" s="153" t="s">
        <v>3199</v>
      </c>
      <c r="L1235" s="158" t="s">
        <v>149</v>
      </c>
      <c r="M1235" s="153" t="s">
        <v>3200</v>
      </c>
      <c r="N1235" s="175" t="s">
        <v>6906</v>
      </c>
      <c r="O1235" s="160" t="s">
        <v>149</v>
      </c>
      <c r="P1235" s="160" t="s">
        <v>149</v>
      </c>
      <c r="Q1235" s="153" t="s">
        <v>151</v>
      </c>
      <c r="R1235" s="158" t="s">
        <v>149</v>
      </c>
      <c r="S1235" s="158" t="s">
        <v>149</v>
      </c>
      <c r="T1235" s="158" t="s">
        <v>149</v>
      </c>
      <c r="U1235" s="158" t="s">
        <v>149</v>
      </c>
      <c r="V1235" s="158" t="s">
        <v>149</v>
      </c>
      <c r="W1235" s="158" t="s">
        <v>149</v>
      </c>
      <c r="X1235" s="158" t="s">
        <v>149</v>
      </c>
      <c r="Y1235" s="158" t="s">
        <v>149</v>
      </c>
      <c r="Z1235" s="158" t="s">
        <v>149</v>
      </c>
      <c r="AA1235" s="158" t="s">
        <v>571</v>
      </c>
      <c r="AB1235" s="158" t="s">
        <v>369</v>
      </c>
      <c r="AC1235" s="158" t="s">
        <v>6035</v>
      </c>
      <c r="AD1235" s="158" t="s">
        <v>390</v>
      </c>
      <c r="AE1235" s="153"/>
      <c r="AF1235" s="153"/>
      <c r="AG1235" s="153" t="s">
        <v>6084</v>
      </c>
      <c r="AH1235" s="153" t="s">
        <v>3201</v>
      </c>
      <c r="AI1235" s="165" t="s">
        <v>3202</v>
      </c>
      <c r="AJ1235" s="153"/>
      <c r="AK1235" s="153"/>
    </row>
    <row r="1236">
      <c r="A1236" s="152">
        <v>2023.0</v>
      </c>
      <c r="B1236" s="151">
        <v>403.0</v>
      </c>
      <c r="C1236" s="129" t="s">
        <v>140</v>
      </c>
      <c r="D1236" s="8"/>
      <c r="E1236" s="8" t="s">
        <v>8189</v>
      </c>
      <c r="F1236" s="8" t="s">
        <v>8855</v>
      </c>
      <c r="G1236" s="8">
        <f>IFERROR(__xludf.DUMMYFUNCTION("""COMPUTED_VALUE"""),751.0)</f>
        <v>751</v>
      </c>
      <c r="H1236" s="8" t="s">
        <v>345</v>
      </c>
      <c r="I1236" s="8" t="s">
        <v>346</v>
      </c>
      <c r="J1236" s="8" t="s">
        <v>7647</v>
      </c>
      <c r="K1236" s="8" t="s">
        <v>348</v>
      </c>
      <c r="L1236" s="8" t="s">
        <v>7648</v>
      </c>
      <c r="N1236" s="142"/>
      <c r="O1236" s="142"/>
      <c r="P1236" s="142"/>
      <c r="Q1236" s="8" t="s">
        <v>151</v>
      </c>
      <c r="AA1236" s="8" t="s">
        <v>917</v>
      </c>
      <c r="AB1236" s="8" t="s">
        <v>7649</v>
      </c>
      <c r="AD1236" s="8" t="s">
        <v>228</v>
      </c>
      <c r="AE1236" s="8" t="s">
        <v>916</v>
      </c>
      <c r="AH1236" s="8" t="s">
        <v>166</v>
      </c>
      <c r="AI1236" s="8" t="s">
        <v>7650</v>
      </c>
    </row>
    <row r="1237">
      <c r="A1237" s="152">
        <v>2024.0</v>
      </c>
      <c r="B1237" s="151">
        <v>414.0</v>
      </c>
      <c r="C1237" s="153"/>
      <c r="D1237" s="153"/>
      <c r="E1237" s="153" t="s">
        <v>8189</v>
      </c>
      <c r="F1237" s="153" t="s">
        <v>8856</v>
      </c>
      <c r="G1237" s="153">
        <f>IFERROR(__xludf.DUMMYFUNCTION("""COMPUTED_VALUE"""),752.0)</f>
        <v>752</v>
      </c>
      <c r="H1237" s="153" t="s">
        <v>345</v>
      </c>
      <c r="I1237" s="153" t="s">
        <v>3204</v>
      </c>
      <c r="J1237" s="153" t="s">
        <v>3205</v>
      </c>
      <c r="K1237" s="153" t="s">
        <v>3206</v>
      </c>
      <c r="L1237" s="158" t="s">
        <v>149</v>
      </c>
      <c r="M1237" s="153" t="s">
        <v>7668</v>
      </c>
      <c r="N1237" s="192" t="s">
        <v>149</v>
      </c>
      <c r="O1237" s="192" t="s">
        <v>149</v>
      </c>
      <c r="P1237" s="192" t="s">
        <v>149</v>
      </c>
      <c r="Q1237" s="153" t="s">
        <v>151</v>
      </c>
      <c r="R1237" s="158" t="s">
        <v>149</v>
      </c>
      <c r="S1237" s="158" t="s">
        <v>149</v>
      </c>
      <c r="T1237" s="158" t="s">
        <v>149</v>
      </c>
      <c r="U1237" s="158" t="s">
        <v>149</v>
      </c>
      <c r="V1237" s="158" t="s">
        <v>149</v>
      </c>
      <c r="W1237" s="158" t="s">
        <v>149</v>
      </c>
      <c r="X1237" s="158" t="s">
        <v>149</v>
      </c>
      <c r="Y1237" s="158" t="s">
        <v>149</v>
      </c>
      <c r="Z1237" s="158" t="s">
        <v>149</v>
      </c>
      <c r="AA1237" s="158" t="s">
        <v>149</v>
      </c>
      <c r="AB1237" s="153" t="s">
        <v>3207</v>
      </c>
      <c r="AC1237" s="158" t="s">
        <v>662</v>
      </c>
      <c r="AD1237" s="153"/>
      <c r="AE1237" s="153"/>
      <c r="AF1237" s="153"/>
      <c r="AG1237" s="158" t="s">
        <v>7666</v>
      </c>
      <c r="AH1237" s="153" t="s">
        <v>3208</v>
      </c>
      <c r="AI1237" s="172" t="s">
        <v>3209</v>
      </c>
      <c r="AJ1237" s="153"/>
      <c r="AK1237" s="153"/>
    </row>
    <row r="1238">
      <c r="A1238" s="152">
        <v>2024.0</v>
      </c>
      <c r="B1238" s="151">
        <v>415.0</v>
      </c>
      <c r="C1238" s="153"/>
      <c r="D1238" s="153"/>
      <c r="E1238" s="153" t="s">
        <v>8189</v>
      </c>
      <c r="F1238" s="153" t="s">
        <v>8857</v>
      </c>
      <c r="G1238" s="153">
        <f>IFERROR(__xludf.DUMMYFUNCTION("""COMPUTED_VALUE"""),753.0)</f>
        <v>753</v>
      </c>
      <c r="H1238" s="153" t="s">
        <v>345</v>
      </c>
      <c r="I1238" s="153" t="s">
        <v>1910</v>
      </c>
      <c r="J1238" s="153" t="s">
        <v>1911</v>
      </c>
      <c r="K1238" s="153" t="s">
        <v>1912</v>
      </c>
      <c r="L1238" s="153" t="s">
        <v>1913</v>
      </c>
      <c r="M1238" s="153"/>
      <c r="N1238" s="230" t="s">
        <v>149</v>
      </c>
      <c r="O1238" s="230" t="s">
        <v>149</v>
      </c>
      <c r="P1238" s="230" t="s">
        <v>149</v>
      </c>
      <c r="Q1238" s="153" t="s">
        <v>151</v>
      </c>
      <c r="R1238" s="158" t="s">
        <v>152</v>
      </c>
      <c r="S1238" s="158" t="s">
        <v>152</v>
      </c>
      <c r="T1238" s="158" t="s">
        <v>1914</v>
      </c>
      <c r="U1238" s="153" t="s">
        <v>1915</v>
      </c>
      <c r="V1238" s="158" t="s">
        <v>160</v>
      </c>
      <c r="W1238" s="158" t="s">
        <v>184</v>
      </c>
      <c r="X1238" s="158" t="s">
        <v>159</v>
      </c>
      <c r="Y1238" s="158" t="s">
        <v>149</v>
      </c>
      <c r="Z1238" s="158" t="s">
        <v>149</v>
      </c>
      <c r="AA1238" s="158" t="s">
        <v>149</v>
      </c>
      <c r="AB1238" s="153" t="s">
        <v>1916</v>
      </c>
      <c r="AC1238" s="153" t="s">
        <v>184</v>
      </c>
      <c r="AD1238" s="153"/>
      <c r="AE1238" s="158" t="s">
        <v>1917</v>
      </c>
      <c r="AF1238" s="158"/>
      <c r="AG1238" s="158" t="s">
        <v>6027</v>
      </c>
      <c r="AH1238" s="153" t="s">
        <v>1918</v>
      </c>
      <c r="AI1238" s="172" t="s">
        <v>1919</v>
      </c>
      <c r="AJ1238" s="153"/>
      <c r="AK1238" s="153"/>
    </row>
    <row r="1239">
      <c r="A1239" s="152">
        <v>2025.0</v>
      </c>
      <c r="B1239" s="151">
        <v>403.0</v>
      </c>
      <c r="C1239" s="153" t="s">
        <v>8189</v>
      </c>
      <c r="D1239" s="153"/>
      <c r="E1239" s="153" t="s">
        <v>707</v>
      </c>
      <c r="F1239" s="153" t="s">
        <v>8858</v>
      </c>
      <c r="G1239" s="153">
        <f>IFERROR(__xludf.DUMMYFUNCTION("""COMPUTED_VALUE"""),754.0)</f>
        <v>754</v>
      </c>
      <c r="H1239" s="153" t="s">
        <v>345</v>
      </c>
      <c r="I1239" s="153" t="s">
        <v>346</v>
      </c>
      <c r="J1239" s="153" t="s">
        <v>7647</v>
      </c>
      <c r="K1239" s="153" t="s">
        <v>348</v>
      </c>
      <c r="L1239" s="153" t="s">
        <v>908</v>
      </c>
      <c r="M1239" s="153" t="s">
        <v>8859</v>
      </c>
      <c r="N1239" s="175" t="s">
        <v>6030</v>
      </c>
      <c r="O1239" s="160" t="s">
        <v>149</v>
      </c>
      <c r="P1239" s="160" t="s">
        <v>149</v>
      </c>
      <c r="Q1239" s="153" t="s">
        <v>151</v>
      </c>
      <c r="R1239" s="158" t="s">
        <v>912</v>
      </c>
      <c r="S1239" s="158" t="s">
        <v>912</v>
      </c>
      <c r="T1239" s="158" t="s">
        <v>915</v>
      </c>
      <c r="U1239" s="158" t="s">
        <v>916</v>
      </c>
      <c r="V1239" s="158" t="s">
        <v>160</v>
      </c>
      <c r="W1239" s="158" t="s">
        <v>271</v>
      </c>
      <c r="X1239" s="158" t="s">
        <v>159</v>
      </c>
      <c r="Y1239" s="158" t="s">
        <v>149</v>
      </c>
      <c r="Z1239" s="158" t="s">
        <v>149</v>
      </c>
      <c r="AA1239" s="153" t="s">
        <v>917</v>
      </c>
      <c r="AB1239" s="158" t="s">
        <v>916</v>
      </c>
      <c r="AC1239" s="158" t="s">
        <v>271</v>
      </c>
      <c r="AD1239" s="158" t="s">
        <v>918</v>
      </c>
      <c r="AE1239" s="153"/>
      <c r="AF1239" s="153"/>
      <c r="AG1239" s="158" t="s">
        <v>166</v>
      </c>
      <c r="AH1239" s="153" t="s">
        <v>919</v>
      </c>
      <c r="AI1239" s="153" t="s">
        <v>7654</v>
      </c>
      <c r="AJ1239" s="153"/>
      <c r="AK1239" s="153"/>
    </row>
    <row r="1240">
      <c r="A1240" s="152">
        <v>2023.0</v>
      </c>
      <c r="B1240" s="151">
        <v>404.0</v>
      </c>
      <c r="C1240" s="129" t="s">
        <v>140</v>
      </c>
      <c r="D1240" s="8"/>
      <c r="E1240" s="8" t="s">
        <v>8189</v>
      </c>
      <c r="F1240" s="8" t="s">
        <v>8860</v>
      </c>
      <c r="G1240" s="8">
        <f>IFERROR(__xludf.DUMMYFUNCTION("""COMPUTED_VALUE"""),755.0)</f>
        <v>755</v>
      </c>
      <c r="H1240" s="8" t="s">
        <v>345</v>
      </c>
      <c r="I1240" s="8" t="s">
        <v>346</v>
      </c>
      <c r="J1240" s="8" t="s">
        <v>7647</v>
      </c>
      <c r="K1240" s="8" t="s">
        <v>348</v>
      </c>
      <c r="L1240" s="8" t="s">
        <v>6113</v>
      </c>
      <c r="N1240" s="142" t="s">
        <v>6268</v>
      </c>
      <c r="O1240" s="142"/>
      <c r="P1240" s="142"/>
      <c r="Q1240" s="8" t="s">
        <v>151</v>
      </c>
      <c r="AA1240" s="8" t="s">
        <v>7656</v>
      </c>
      <c r="AB1240" s="8" t="s">
        <v>228</v>
      </c>
      <c r="AH1240" s="8" t="s">
        <v>6084</v>
      </c>
      <c r="AI1240" s="172" t="s">
        <v>7657</v>
      </c>
    </row>
    <row r="1241">
      <c r="A1241" s="152">
        <v>2024.0</v>
      </c>
      <c r="B1241" s="151">
        <v>416.0</v>
      </c>
      <c r="C1241" s="153"/>
      <c r="D1241" s="153"/>
      <c r="E1241" s="153" t="s">
        <v>8189</v>
      </c>
      <c r="F1241" s="153" t="s">
        <v>8861</v>
      </c>
      <c r="G1241" s="153">
        <f>IFERROR(__xludf.DUMMYFUNCTION("""COMPUTED_VALUE"""),756.0)</f>
        <v>756</v>
      </c>
      <c r="H1241" s="153" t="s">
        <v>619</v>
      </c>
      <c r="I1241" s="153" t="s">
        <v>620</v>
      </c>
      <c r="J1241" s="153" t="s">
        <v>7930</v>
      </c>
      <c r="K1241" s="153" t="s">
        <v>7674</v>
      </c>
      <c r="L1241" s="153" t="s">
        <v>384</v>
      </c>
      <c r="M1241" s="153" t="s">
        <v>7675</v>
      </c>
      <c r="N1241" s="192">
        <v>1985.0</v>
      </c>
      <c r="O1241" s="230">
        <v>1985.0</v>
      </c>
      <c r="P1241" s="230">
        <v>1987.0</v>
      </c>
      <c r="Q1241" s="153" t="s">
        <v>151</v>
      </c>
      <c r="R1241" s="153" t="s">
        <v>6054</v>
      </c>
      <c r="S1241" s="158" t="s">
        <v>6054</v>
      </c>
      <c r="T1241" s="158" t="s">
        <v>149</v>
      </c>
      <c r="U1241" s="153" t="s">
        <v>390</v>
      </c>
      <c r="V1241" s="158" t="s">
        <v>160</v>
      </c>
      <c r="W1241" s="158" t="s">
        <v>6035</v>
      </c>
      <c r="X1241" s="158" t="s">
        <v>159</v>
      </c>
      <c r="Y1241" s="158" t="s">
        <v>149</v>
      </c>
      <c r="Z1241" s="158" t="s">
        <v>149</v>
      </c>
      <c r="AA1241" s="153" t="s">
        <v>2885</v>
      </c>
      <c r="AB1241" s="153" t="s">
        <v>390</v>
      </c>
      <c r="AC1241" s="153" t="s">
        <v>6035</v>
      </c>
      <c r="AD1241" s="153" t="s">
        <v>6055</v>
      </c>
      <c r="AE1241" s="153"/>
      <c r="AF1241" s="153"/>
      <c r="AG1241" s="158" t="s">
        <v>395</v>
      </c>
      <c r="AH1241" s="153" t="s">
        <v>6060</v>
      </c>
      <c r="AI1241" s="177" t="s">
        <v>541</v>
      </c>
      <c r="AJ1241" s="153" t="s">
        <v>398</v>
      </c>
      <c r="AK1241" s="153"/>
    </row>
    <row r="1242">
      <c r="A1242" s="152">
        <v>2025.0</v>
      </c>
      <c r="B1242" s="151">
        <v>404.0</v>
      </c>
      <c r="C1242" s="153" t="s">
        <v>8189</v>
      </c>
      <c r="D1242" s="153"/>
      <c r="E1242" s="153" t="s">
        <v>8301</v>
      </c>
      <c r="F1242" s="153" t="s">
        <v>8862</v>
      </c>
      <c r="G1242" s="153">
        <f>IFERROR(__xludf.DUMMYFUNCTION("""COMPUTED_VALUE"""),757.0)</f>
        <v>757</v>
      </c>
      <c r="H1242" s="153" t="s">
        <v>345</v>
      </c>
      <c r="I1242" s="153" t="s">
        <v>346</v>
      </c>
      <c r="J1242" s="153" t="s">
        <v>7647</v>
      </c>
      <c r="K1242" s="153" t="s">
        <v>348</v>
      </c>
      <c r="L1242" s="153" t="s">
        <v>349</v>
      </c>
      <c r="M1242" s="153" t="s">
        <v>350</v>
      </c>
      <c r="N1242" s="175" t="s">
        <v>6098</v>
      </c>
      <c r="O1242" s="160" t="s">
        <v>149</v>
      </c>
      <c r="P1242" s="160" t="s">
        <v>149</v>
      </c>
      <c r="Q1242" s="153" t="s">
        <v>151</v>
      </c>
      <c r="R1242" s="158" t="s">
        <v>152</v>
      </c>
      <c r="S1242" s="158" t="s">
        <v>152</v>
      </c>
      <c r="T1242" s="158" t="s">
        <v>6839</v>
      </c>
      <c r="U1242" s="158" t="s">
        <v>149</v>
      </c>
      <c r="V1242" s="158" t="s">
        <v>149</v>
      </c>
      <c r="W1242" s="158" t="s">
        <v>149</v>
      </c>
      <c r="X1242" s="158" t="s">
        <v>159</v>
      </c>
      <c r="Y1242" s="158" t="s">
        <v>149</v>
      </c>
      <c r="Z1242" s="158" t="s">
        <v>149</v>
      </c>
      <c r="AA1242" s="158" t="s">
        <v>149</v>
      </c>
      <c r="AB1242" s="153" t="s">
        <v>228</v>
      </c>
      <c r="AC1242" s="153" t="s">
        <v>6035</v>
      </c>
      <c r="AD1242" s="153"/>
      <c r="AE1242" s="153"/>
      <c r="AF1242" s="153"/>
      <c r="AG1242" s="158" t="s">
        <v>166</v>
      </c>
      <c r="AH1242" s="153" t="s">
        <v>353</v>
      </c>
      <c r="AI1242" s="172" t="s">
        <v>354</v>
      </c>
      <c r="AJ1242" s="153"/>
      <c r="AK1242" s="153"/>
    </row>
    <row r="1243">
      <c r="A1243" s="152">
        <v>2023.0</v>
      </c>
      <c r="B1243" s="151">
        <v>405.0</v>
      </c>
      <c r="C1243" s="129" t="s">
        <v>140</v>
      </c>
      <c r="D1243" s="8"/>
      <c r="E1243" s="8" t="s">
        <v>8189</v>
      </c>
      <c r="F1243" s="8" t="s">
        <v>8863</v>
      </c>
      <c r="G1243" s="8">
        <f>IFERROR(__xludf.DUMMYFUNCTION("""COMPUTED_VALUE"""),758.0)</f>
        <v>758</v>
      </c>
      <c r="H1243" s="8" t="s">
        <v>345</v>
      </c>
      <c r="I1243" s="8" t="s">
        <v>346</v>
      </c>
      <c r="J1243" s="8" t="s">
        <v>2375</v>
      </c>
      <c r="K1243" s="8" t="s">
        <v>2376</v>
      </c>
      <c r="L1243" s="8" t="s">
        <v>7660</v>
      </c>
      <c r="N1243" s="142" t="s">
        <v>6268</v>
      </c>
      <c r="O1243" s="142"/>
      <c r="P1243" s="142"/>
      <c r="Q1243" s="8" t="s">
        <v>6624</v>
      </c>
      <c r="T1243" s="8" t="s">
        <v>2379</v>
      </c>
      <c r="U1243" s="8" t="s">
        <v>2380</v>
      </c>
      <c r="AB1243" s="8" t="s">
        <v>2380</v>
      </c>
      <c r="AE1243" s="8" t="s">
        <v>2382</v>
      </c>
      <c r="AH1243" s="8" t="s">
        <v>166</v>
      </c>
      <c r="AI1243" s="8" t="s">
        <v>7661</v>
      </c>
    </row>
    <row r="1244">
      <c r="A1244" s="152">
        <v>2024.0</v>
      </c>
      <c r="B1244" s="151">
        <v>417.0</v>
      </c>
      <c r="C1244" s="153"/>
      <c r="D1244" s="153"/>
      <c r="E1244" s="153" t="s">
        <v>8189</v>
      </c>
      <c r="F1244" s="153" t="s">
        <v>8864</v>
      </c>
      <c r="G1244" s="153">
        <f>IFERROR(__xludf.DUMMYFUNCTION("""COMPUTED_VALUE"""),759.0)</f>
        <v>759</v>
      </c>
      <c r="H1244" s="153" t="s">
        <v>619</v>
      </c>
      <c r="I1244" s="153" t="s">
        <v>620</v>
      </c>
      <c r="J1244" s="153" t="s">
        <v>7930</v>
      </c>
      <c r="K1244" s="153" t="s">
        <v>7674</v>
      </c>
      <c r="L1244" s="153" t="s">
        <v>384</v>
      </c>
      <c r="M1244" s="153" t="s">
        <v>7680</v>
      </c>
      <c r="N1244" s="230">
        <v>1985.0</v>
      </c>
      <c r="O1244" s="230">
        <v>1985.0</v>
      </c>
      <c r="P1244" s="230">
        <v>1987.0</v>
      </c>
      <c r="Q1244" s="153" t="s">
        <v>151</v>
      </c>
      <c r="R1244" s="153" t="s">
        <v>6054</v>
      </c>
      <c r="S1244" s="158" t="s">
        <v>6054</v>
      </c>
      <c r="T1244" s="158" t="s">
        <v>149</v>
      </c>
      <c r="U1244" s="153" t="s">
        <v>390</v>
      </c>
      <c r="V1244" s="158" t="s">
        <v>160</v>
      </c>
      <c r="W1244" s="158" t="s">
        <v>6035</v>
      </c>
      <c r="X1244" s="158" t="s">
        <v>159</v>
      </c>
      <c r="Y1244" s="158" t="s">
        <v>149</v>
      </c>
      <c r="Z1244" s="158" t="s">
        <v>149</v>
      </c>
      <c r="AA1244" s="153" t="s">
        <v>414</v>
      </c>
      <c r="AB1244" s="153" t="s">
        <v>390</v>
      </c>
      <c r="AC1244" s="153" t="s">
        <v>6035</v>
      </c>
      <c r="AD1244" s="153" t="s">
        <v>6055</v>
      </c>
      <c r="AE1244" s="153"/>
      <c r="AF1244" s="153"/>
      <c r="AG1244" s="158" t="s">
        <v>395</v>
      </c>
      <c r="AH1244" s="153" t="s">
        <v>6060</v>
      </c>
      <c r="AI1244" s="177" t="s">
        <v>541</v>
      </c>
      <c r="AJ1244" s="153" t="s">
        <v>398</v>
      </c>
      <c r="AK1244" s="153"/>
    </row>
    <row r="1245">
      <c r="A1245" s="152">
        <v>2025.0</v>
      </c>
      <c r="B1245" s="151">
        <v>405.0</v>
      </c>
      <c r="C1245" s="153" t="s">
        <v>8189</v>
      </c>
      <c r="D1245" s="153"/>
      <c r="E1245" s="153" t="s">
        <v>8301</v>
      </c>
      <c r="F1245" s="153" t="s">
        <v>8863</v>
      </c>
      <c r="G1245" s="153">
        <f>IFERROR(__xludf.DUMMYFUNCTION("""COMPUTED_VALUE"""),758.0)</f>
        <v>758</v>
      </c>
      <c r="H1245" s="153" t="s">
        <v>345</v>
      </c>
      <c r="I1245" s="153" t="s">
        <v>346</v>
      </c>
      <c r="J1245" s="153" t="s">
        <v>2375</v>
      </c>
      <c r="K1245" s="153" t="s">
        <v>2376</v>
      </c>
      <c r="L1245" s="158" t="s">
        <v>149</v>
      </c>
      <c r="M1245" s="158" t="s">
        <v>2377</v>
      </c>
      <c r="N1245" s="160" t="s">
        <v>6268</v>
      </c>
      <c r="O1245" s="160" t="s">
        <v>6268</v>
      </c>
      <c r="P1245" s="160" t="s">
        <v>149</v>
      </c>
      <c r="Q1245" s="158" t="s">
        <v>6624</v>
      </c>
      <c r="R1245" s="158" t="s">
        <v>2378</v>
      </c>
      <c r="S1245" s="158" t="s">
        <v>2378</v>
      </c>
      <c r="T1245" s="153" t="s">
        <v>2379</v>
      </c>
      <c r="U1245" s="153" t="s">
        <v>2380</v>
      </c>
      <c r="V1245" s="158" t="s">
        <v>160</v>
      </c>
      <c r="W1245" s="158" t="s">
        <v>184</v>
      </c>
      <c r="X1245" s="158" t="s">
        <v>159</v>
      </c>
      <c r="Y1245" s="158" t="s">
        <v>149</v>
      </c>
      <c r="Z1245" s="158" t="s">
        <v>149</v>
      </c>
      <c r="AA1245" s="158" t="s">
        <v>7663</v>
      </c>
      <c r="AB1245" s="153" t="s">
        <v>2380</v>
      </c>
      <c r="AC1245" s="158" t="s">
        <v>184</v>
      </c>
      <c r="AD1245" s="153"/>
      <c r="AE1245" s="153" t="s">
        <v>2382</v>
      </c>
      <c r="AF1245" s="153"/>
      <c r="AG1245" s="158" t="s">
        <v>166</v>
      </c>
      <c r="AH1245" s="153" t="s">
        <v>2383</v>
      </c>
      <c r="AI1245" s="165" t="s">
        <v>2384</v>
      </c>
      <c r="AJ1245" s="153"/>
      <c r="AK1245" s="153"/>
    </row>
    <row r="1246">
      <c r="A1246" s="152">
        <v>2023.0</v>
      </c>
      <c r="B1246" s="151">
        <v>406.0</v>
      </c>
      <c r="C1246" s="129" t="s">
        <v>140</v>
      </c>
      <c r="D1246" s="8"/>
      <c r="E1246" s="8" t="s">
        <v>8189</v>
      </c>
      <c r="F1246" s="8" t="s">
        <v>8865</v>
      </c>
      <c r="G1246" s="8">
        <f>IFERROR(__xludf.DUMMYFUNCTION("""COMPUTED_VALUE"""),760.0)</f>
        <v>760</v>
      </c>
      <c r="H1246" s="8" t="s">
        <v>345</v>
      </c>
      <c r="I1246" s="8" t="s">
        <v>3204</v>
      </c>
      <c r="J1246" s="8" t="s">
        <v>3205</v>
      </c>
      <c r="K1246" s="8" t="s">
        <v>3206</v>
      </c>
      <c r="L1246" s="8" t="s">
        <v>6113</v>
      </c>
      <c r="M1246" s="8" t="s">
        <v>8181</v>
      </c>
      <c r="N1246" s="142" t="s">
        <v>6113</v>
      </c>
      <c r="O1246" s="142"/>
      <c r="P1246" s="142"/>
      <c r="Q1246" s="8" t="s">
        <v>151</v>
      </c>
      <c r="AB1246" s="8" t="s">
        <v>3207</v>
      </c>
      <c r="AH1246" s="8" t="s">
        <v>7666</v>
      </c>
      <c r="AI1246" s="172" t="s">
        <v>3209</v>
      </c>
    </row>
    <row r="1247">
      <c r="A1247" s="152">
        <v>2024.0</v>
      </c>
      <c r="B1247" s="151">
        <v>418.0</v>
      </c>
      <c r="C1247" s="153"/>
      <c r="D1247" s="153"/>
      <c r="E1247" s="153" t="s">
        <v>8189</v>
      </c>
      <c r="F1247" s="153" t="s">
        <v>8866</v>
      </c>
      <c r="G1247" s="153">
        <f>IFERROR(__xludf.DUMMYFUNCTION("""COMPUTED_VALUE"""),761.0)</f>
        <v>761</v>
      </c>
      <c r="H1247" s="153" t="s">
        <v>625</v>
      </c>
      <c r="I1247" s="153" t="s">
        <v>626</v>
      </c>
      <c r="J1247" s="153" t="s">
        <v>627</v>
      </c>
      <c r="K1247" s="153" t="s">
        <v>7059</v>
      </c>
      <c r="L1247" s="153" t="s">
        <v>384</v>
      </c>
      <c r="M1247" s="153" t="s">
        <v>629</v>
      </c>
      <c r="N1247" s="192">
        <v>1986.0</v>
      </c>
      <c r="O1247" s="230">
        <v>1985.0</v>
      </c>
      <c r="P1247" s="230">
        <v>1987.0</v>
      </c>
      <c r="Q1247" s="153" t="s">
        <v>151</v>
      </c>
      <c r="R1247" s="153" t="s">
        <v>6054</v>
      </c>
      <c r="S1247" s="158" t="s">
        <v>6054</v>
      </c>
      <c r="T1247" s="158" t="s">
        <v>149</v>
      </c>
      <c r="U1247" s="153" t="s">
        <v>390</v>
      </c>
      <c r="V1247" s="158" t="s">
        <v>160</v>
      </c>
      <c r="W1247" s="158" t="s">
        <v>6035</v>
      </c>
      <c r="X1247" s="158" t="s">
        <v>159</v>
      </c>
      <c r="Y1247" s="158" t="s">
        <v>149</v>
      </c>
      <c r="Z1247" s="158" t="s">
        <v>149</v>
      </c>
      <c r="AA1247" s="153" t="s">
        <v>391</v>
      </c>
      <c r="AB1247" s="153" t="s">
        <v>390</v>
      </c>
      <c r="AC1247" s="153" t="s">
        <v>6035</v>
      </c>
      <c r="AD1247" s="153" t="s">
        <v>6055</v>
      </c>
      <c r="AE1247" s="153"/>
      <c r="AF1247" s="153"/>
      <c r="AG1247" s="158" t="s">
        <v>395</v>
      </c>
      <c r="AH1247" s="153" t="s">
        <v>6060</v>
      </c>
      <c r="AI1247" s="177" t="s">
        <v>541</v>
      </c>
      <c r="AJ1247" s="153" t="s">
        <v>398</v>
      </c>
      <c r="AK1247" s="153"/>
    </row>
    <row r="1248">
      <c r="A1248" s="152">
        <v>2025.0</v>
      </c>
      <c r="B1248" s="151">
        <v>406.0</v>
      </c>
      <c r="C1248" s="153" t="s">
        <v>8189</v>
      </c>
      <c r="D1248" s="153"/>
      <c r="E1248" s="153" t="s">
        <v>8301</v>
      </c>
      <c r="F1248" s="153" t="s">
        <v>8867</v>
      </c>
      <c r="G1248" s="153">
        <f>IFERROR(__xludf.DUMMYFUNCTION("""COMPUTED_VALUE"""),762.0)</f>
        <v>762</v>
      </c>
      <c r="H1248" s="153" t="s">
        <v>345</v>
      </c>
      <c r="I1248" s="153" t="s">
        <v>3204</v>
      </c>
      <c r="J1248" s="153" t="s">
        <v>3205</v>
      </c>
      <c r="K1248" s="153" t="s">
        <v>3206</v>
      </c>
      <c r="L1248" s="158" t="s">
        <v>149</v>
      </c>
      <c r="M1248" s="153" t="s">
        <v>7668</v>
      </c>
      <c r="N1248" s="160" t="s">
        <v>149</v>
      </c>
      <c r="O1248" s="160" t="s">
        <v>149</v>
      </c>
      <c r="P1248" s="160" t="s">
        <v>149</v>
      </c>
      <c r="Q1248" s="153" t="s">
        <v>151</v>
      </c>
      <c r="R1248" s="158" t="s">
        <v>149</v>
      </c>
      <c r="S1248" s="158" t="s">
        <v>149</v>
      </c>
      <c r="T1248" s="158" t="s">
        <v>149</v>
      </c>
      <c r="U1248" s="158" t="s">
        <v>149</v>
      </c>
      <c r="V1248" s="158" t="s">
        <v>149</v>
      </c>
      <c r="W1248" s="158" t="s">
        <v>149</v>
      </c>
      <c r="X1248" s="158" t="s">
        <v>149</v>
      </c>
      <c r="Y1248" s="158" t="s">
        <v>149</v>
      </c>
      <c r="Z1248" s="158" t="s">
        <v>149</v>
      </c>
      <c r="AA1248" s="158" t="s">
        <v>149</v>
      </c>
      <c r="AB1248" s="153" t="s">
        <v>3207</v>
      </c>
      <c r="AC1248" s="158" t="s">
        <v>662</v>
      </c>
      <c r="AD1248" s="153"/>
      <c r="AE1248" s="153"/>
      <c r="AF1248" s="153"/>
      <c r="AG1248" s="158" t="s">
        <v>7666</v>
      </c>
      <c r="AH1248" s="153" t="s">
        <v>3208</v>
      </c>
      <c r="AI1248" s="172" t="s">
        <v>3209</v>
      </c>
      <c r="AJ1248" s="153"/>
      <c r="AK1248" s="153"/>
    </row>
    <row r="1249">
      <c r="A1249" s="152">
        <v>2023.0</v>
      </c>
      <c r="B1249" s="151">
        <v>417.0</v>
      </c>
      <c r="C1249" s="129" t="s">
        <v>140</v>
      </c>
      <c r="D1249" s="8"/>
      <c r="E1249" s="8" t="s">
        <v>8189</v>
      </c>
      <c r="F1249" s="8" t="s">
        <v>8868</v>
      </c>
      <c r="G1249" s="8">
        <f>IFERROR(__xludf.DUMMYFUNCTION("""COMPUTED_VALUE"""),763.0)</f>
        <v>763</v>
      </c>
      <c r="H1249" s="8" t="s">
        <v>642</v>
      </c>
      <c r="I1249" s="8" t="s">
        <v>1217</v>
      </c>
      <c r="J1249" s="8" t="s">
        <v>1218</v>
      </c>
      <c r="K1249" s="8" t="s">
        <v>1219</v>
      </c>
      <c r="L1249" s="8" t="s">
        <v>6113</v>
      </c>
      <c r="N1249" s="142" t="s">
        <v>6151</v>
      </c>
      <c r="O1249" s="142"/>
      <c r="P1249" s="142"/>
      <c r="Q1249" s="8" t="s">
        <v>151</v>
      </c>
      <c r="R1249" s="8" t="s">
        <v>3399</v>
      </c>
      <c r="U1249" s="8" t="s">
        <v>3227</v>
      </c>
      <c r="AB1249" s="8" t="s">
        <v>3227</v>
      </c>
      <c r="AE1249" s="8" t="s">
        <v>3228</v>
      </c>
      <c r="AH1249" s="8" t="s">
        <v>6091</v>
      </c>
      <c r="AI1249" s="8" t="s">
        <v>3230</v>
      </c>
    </row>
    <row r="1250">
      <c r="A1250" s="152">
        <v>2024.0</v>
      </c>
      <c r="B1250" s="151">
        <v>419.0</v>
      </c>
      <c r="C1250" s="153"/>
      <c r="D1250" s="153"/>
      <c r="E1250" s="153" t="s">
        <v>8189</v>
      </c>
      <c r="F1250" s="153" t="s">
        <v>8869</v>
      </c>
      <c r="G1250" s="153">
        <f>IFERROR(__xludf.DUMMYFUNCTION("""COMPUTED_VALUE"""),764.0)</f>
        <v>764</v>
      </c>
      <c r="H1250" s="153" t="s">
        <v>625</v>
      </c>
      <c r="I1250" s="153" t="s">
        <v>626</v>
      </c>
      <c r="J1250" s="153" t="s">
        <v>983</v>
      </c>
      <c r="K1250" s="153" t="s">
        <v>7063</v>
      </c>
      <c r="L1250" s="158" t="s">
        <v>149</v>
      </c>
      <c r="M1250" s="153" t="s">
        <v>2887</v>
      </c>
      <c r="N1250" s="230">
        <v>1998.0</v>
      </c>
      <c r="O1250" s="230">
        <v>1998.0</v>
      </c>
      <c r="P1250" s="230">
        <v>1998.0</v>
      </c>
      <c r="Q1250" s="153" t="s">
        <v>151</v>
      </c>
      <c r="R1250" s="153" t="s">
        <v>2889</v>
      </c>
      <c r="S1250" s="158" t="s">
        <v>2889</v>
      </c>
      <c r="T1250" s="153" t="s">
        <v>2890</v>
      </c>
      <c r="U1250" s="158" t="s">
        <v>149</v>
      </c>
      <c r="V1250" s="158" t="s">
        <v>149</v>
      </c>
      <c r="W1250" s="158" t="s">
        <v>149</v>
      </c>
      <c r="X1250" s="158" t="s">
        <v>149</v>
      </c>
      <c r="Y1250" s="158" t="s">
        <v>149</v>
      </c>
      <c r="Z1250" s="158" t="s">
        <v>149</v>
      </c>
      <c r="AA1250" s="158" t="s">
        <v>149</v>
      </c>
      <c r="AB1250" s="158" t="s">
        <v>7685</v>
      </c>
      <c r="AC1250" s="153" t="s">
        <v>6068</v>
      </c>
      <c r="AD1250" s="153"/>
      <c r="AE1250" s="153" t="s">
        <v>7686</v>
      </c>
      <c r="AF1250" s="153"/>
      <c r="AG1250" s="158" t="s">
        <v>6214</v>
      </c>
      <c r="AH1250" s="153" t="s">
        <v>2893</v>
      </c>
      <c r="AI1250" s="165" t="s">
        <v>2894</v>
      </c>
      <c r="AJ1250" s="153"/>
      <c r="AK1250" s="153"/>
    </row>
    <row r="1251">
      <c r="A1251" s="152">
        <v>2023.0</v>
      </c>
      <c r="B1251" s="151">
        <v>418.0</v>
      </c>
      <c r="C1251" s="129" t="s">
        <v>140</v>
      </c>
      <c r="D1251" s="8"/>
      <c r="E1251" s="8" t="s">
        <v>8189</v>
      </c>
      <c r="F1251" s="8" t="s">
        <v>8870</v>
      </c>
      <c r="G1251" s="8">
        <f>IFERROR(__xludf.DUMMYFUNCTION("""COMPUTED_VALUE"""),765.0)</f>
        <v>765</v>
      </c>
      <c r="H1251" s="8" t="s">
        <v>642</v>
      </c>
      <c r="I1251" s="8" t="s">
        <v>1217</v>
      </c>
      <c r="J1251" s="8" t="s">
        <v>1218</v>
      </c>
      <c r="K1251" s="8" t="s">
        <v>1219</v>
      </c>
      <c r="L1251" s="8" t="s">
        <v>6113</v>
      </c>
      <c r="N1251" s="142" t="s">
        <v>6152</v>
      </c>
      <c r="O1251" s="142"/>
      <c r="P1251" s="142"/>
      <c r="Q1251" s="8" t="s">
        <v>6062</v>
      </c>
      <c r="R1251" s="8" t="s">
        <v>320</v>
      </c>
      <c r="U1251" s="8" t="s">
        <v>7712</v>
      </c>
      <c r="AB1251" s="8" t="s">
        <v>7712</v>
      </c>
      <c r="AH1251" s="8" t="s">
        <v>6027</v>
      </c>
      <c r="AI1251" s="172" t="s">
        <v>7713</v>
      </c>
    </row>
    <row r="1252">
      <c r="A1252" s="152">
        <v>2023.0</v>
      </c>
      <c r="B1252" s="151">
        <v>419.0</v>
      </c>
      <c r="C1252" s="129" t="s">
        <v>140</v>
      </c>
      <c r="D1252" s="8"/>
      <c r="E1252" s="8" t="s">
        <v>8189</v>
      </c>
      <c r="F1252" s="8" t="s">
        <v>8871</v>
      </c>
      <c r="G1252" s="8">
        <f>IFERROR(__xludf.DUMMYFUNCTION("""COMPUTED_VALUE"""),766.0)</f>
        <v>766</v>
      </c>
      <c r="H1252" s="8" t="s">
        <v>642</v>
      </c>
      <c r="I1252" s="8" t="s">
        <v>1217</v>
      </c>
      <c r="J1252" s="8" t="s">
        <v>1218</v>
      </c>
      <c r="K1252" s="8" t="s">
        <v>1219</v>
      </c>
      <c r="L1252" s="8" t="s">
        <v>1174</v>
      </c>
      <c r="N1252" s="142"/>
      <c r="O1252" s="142" t="s">
        <v>6151</v>
      </c>
      <c r="P1252" s="142" t="s">
        <v>6089</v>
      </c>
      <c r="Q1252" s="8" t="s">
        <v>6062</v>
      </c>
      <c r="R1252" s="8" t="s">
        <v>320</v>
      </c>
      <c r="T1252" s="8" t="s">
        <v>204</v>
      </c>
      <c r="U1252" s="8" t="s">
        <v>321</v>
      </c>
      <c r="AA1252" s="8" t="s">
        <v>7716</v>
      </c>
      <c r="AB1252" s="8" t="s">
        <v>7717</v>
      </c>
      <c r="AH1252" s="8" t="s">
        <v>6069</v>
      </c>
    </row>
    <row r="1253">
      <c r="A1253" s="152">
        <v>2024.0</v>
      </c>
      <c r="B1253" s="151">
        <v>420.0</v>
      </c>
      <c r="C1253" s="153"/>
      <c r="D1253" s="153"/>
      <c r="E1253" s="153" t="s">
        <v>8189</v>
      </c>
      <c r="F1253" s="153" t="s">
        <v>8872</v>
      </c>
      <c r="G1253" s="153">
        <f>IFERROR(__xludf.DUMMYFUNCTION("""COMPUTED_VALUE"""),767.0)</f>
        <v>767</v>
      </c>
      <c r="H1253" s="153" t="s">
        <v>625</v>
      </c>
      <c r="I1253" s="153" t="s">
        <v>626</v>
      </c>
      <c r="J1253" s="153" t="s">
        <v>983</v>
      </c>
      <c r="K1253" s="153" t="s">
        <v>7063</v>
      </c>
      <c r="L1253" s="153" t="s">
        <v>934</v>
      </c>
      <c r="M1253" s="153"/>
      <c r="N1253" s="230">
        <v>2001.0</v>
      </c>
      <c r="O1253" s="230">
        <v>2001.0</v>
      </c>
      <c r="P1253" s="230">
        <v>2005.0</v>
      </c>
      <c r="Q1253" s="153" t="s">
        <v>6062</v>
      </c>
      <c r="R1253" s="153" t="s">
        <v>3245</v>
      </c>
      <c r="S1253" s="153" t="s">
        <v>179</v>
      </c>
      <c r="T1253" s="153" t="s">
        <v>939</v>
      </c>
      <c r="U1253" s="153" t="s">
        <v>940</v>
      </c>
      <c r="V1253" s="158" t="s">
        <v>6154</v>
      </c>
      <c r="W1253" s="158" t="s">
        <v>206</v>
      </c>
      <c r="X1253" s="158" t="s">
        <v>204</v>
      </c>
      <c r="Y1253" s="158" t="s">
        <v>149</v>
      </c>
      <c r="Z1253" s="158" t="s">
        <v>149</v>
      </c>
      <c r="AA1253" s="158" t="s">
        <v>149</v>
      </c>
      <c r="AB1253" s="153" t="s">
        <v>233</v>
      </c>
      <c r="AC1253" s="158" t="s">
        <v>6068</v>
      </c>
      <c r="AD1253" s="153"/>
      <c r="AE1253" s="153"/>
      <c r="AF1253" s="153"/>
      <c r="AG1253" s="158" t="s">
        <v>6214</v>
      </c>
      <c r="AH1253" s="153" t="s">
        <v>941</v>
      </c>
      <c r="AI1253" s="153" t="s">
        <v>942</v>
      </c>
      <c r="AJ1253" s="153" t="s">
        <v>943</v>
      </c>
      <c r="AK1253" s="153"/>
    </row>
    <row r="1254">
      <c r="A1254" s="152">
        <v>2023.0</v>
      </c>
      <c r="B1254" s="151">
        <v>420.0</v>
      </c>
      <c r="C1254" s="129" t="s">
        <v>140</v>
      </c>
      <c r="D1254" s="8"/>
      <c r="E1254" s="8" t="s">
        <v>8189</v>
      </c>
      <c r="F1254" s="8" t="s">
        <v>8873</v>
      </c>
      <c r="G1254" s="8">
        <f>IFERROR(__xludf.DUMMYFUNCTION("""COMPUTED_VALUE"""),768.0)</f>
        <v>768</v>
      </c>
      <c r="H1254" s="8" t="s">
        <v>642</v>
      </c>
      <c r="I1254" s="8" t="s">
        <v>1217</v>
      </c>
      <c r="J1254" s="8" t="s">
        <v>1218</v>
      </c>
      <c r="K1254" s="8" t="s">
        <v>1219</v>
      </c>
      <c r="L1254" s="8" t="s">
        <v>3413</v>
      </c>
      <c r="N1254" s="142" t="s">
        <v>6063</v>
      </c>
      <c r="O1254" s="142" t="s">
        <v>6063</v>
      </c>
      <c r="P1254" s="142" t="s">
        <v>6152</v>
      </c>
      <c r="Q1254" s="8" t="s">
        <v>6221</v>
      </c>
      <c r="T1254" s="8" t="s">
        <v>204</v>
      </c>
      <c r="U1254" s="8" t="s">
        <v>321</v>
      </c>
      <c r="AB1254" s="8" t="s">
        <v>7717</v>
      </c>
      <c r="AD1254" s="8" t="s">
        <v>1833</v>
      </c>
      <c r="AE1254" s="8" t="s">
        <v>885</v>
      </c>
      <c r="AH1254" s="8" t="s">
        <v>6257</v>
      </c>
      <c r="AJ1254" s="8" t="s">
        <v>1872</v>
      </c>
      <c r="AK1254" s="172" t="s">
        <v>1873</v>
      </c>
    </row>
    <row r="1255">
      <c r="A1255" s="152">
        <v>2025.0</v>
      </c>
      <c r="B1255" s="151">
        <v>453.0</v>
      </c>
      <c r="C1255" s="153" t="s">
        <v>8189</v>
      </c>
      <c r="D1255" s="153"/>
      <c r="E1255" s="153" t="s">
        <v>8301</v>
      </c>
      <c r="F1255" s="153" t="s">
        <v>8874</v>
      </c>
      <c r="G1255" s="153">
        <f>IFERROR(__xludf.DUMMYFUNCTION("""COMPUTED_VALUE"""),769.0)</f>
        <v>769</v>
      </c>
      <c r="H1255" s="153" t="s">
        <v>642</v>
      </c>
      <c r="I1255" s="153" t="s">
        <v>1217</v>
      </c>
      <c r="J1255" s="153" t="s">
        <v>1218</v>
      </c>
      <c r="K1255" s="153" t="s">
        <v>1219</v>
      </c>
      <c r="L1255" s="158" t="s">
        <v>149</v>
      </c>
      <c r="M1255" s="153" t="s">
        <v>3223</v>
      </c>
      <c r="N1255" s="175" t="s">
        <v>6151</v>
      </c>
      <c r="O1255" s="160" t="s">
        <v>149</v>
      </c>
      <c r="P1255" s="160" t="s">
        <v>149</v>
      </c>
      <c r="Q1255" s="153" t="s">
        <v>151</v>
      </c>
      <c r="R1255" s="153" t="s">
        <v>3399</v>
      </c>
      <c r="S1255" s="158" t="s">
        <v>3399</v>
      </c>
      <c r="T1255" s="158" t="s">
        <v>149</v>
      </c>
      <c r="U1255" s="158" t="s">
        <v>3227</v>
      </c>
      <c r="V1255" s="158" t="s">
        <v>160</v>
      </c>
      <c r="W1255" s="158" t="s">
        <v>209</v>
      </c>
      <c r="X1255" s="158" t="s">
        <v>149</v>
      </c>
      <c r="Y1255" s="158" t="s">
        <v>149</v>
      </c>
      <c r="Z1255" s="158" t="s">
        <v>149</v>
      </c>
      <c r="AA1255" s="158" t="s">
        <v>149</v>
      </c>
      <c r="AB1255" s="153" t="s">
        <v>3227</v>
      </c>
      <c r="AC1255" s="158" t="s">
        <v>6068</v>
      </c>
      <c r="AD1255" s="153"/>
      <c r="AE1255" s="153" t="s">
        <v>3228</v>
      </c>
      <c r="AF1255" s="153"/>
      <c r="AG1255" s="158" t="s">
        <v>6091</v>
      </c>
      <c r="AH1255" s="153" t="s">
        <v>3229</v>
      </c>
      <c r="AI1255" s="172" t="s">
        <v>3230</v>
      </c>
      <c r="AJ1255" s="153"/>
      <c r="AK1255" s="153"/>
    </row>
    <row r="1256">
      <c r="A1256" s="152">
        <v>2025.0</v>
      </c>
      <c r="B1256" s="151">
        <v>454.0</v>
      </c>
      <c r="C1256" s="158" t="s">
        <v>8189</v>
      </c>
      <c r="D1256" s="158"/>
      <c r="E1256" s="158" t="s">
        <v>8301</v>
      </c>
      <c r="F1256" s="158" t="s">
        <v>8875</v>
      </c>
      <c r="G1256" s="158">
        <f>IFERROR(__xludf.DUMMYFUNCTION("""COMPUTED_VALUE"""),770.0)</f>
        <v>770</v>
      </c>
      <c r="H1256" s="158" t="s">
        <v>642</v>
      </c>
      <c r="I1256" s="158" t="s">
        <v>1217</v>
      </c>
      <c r="J1256" s="158" t="s">
        <v>1218</v>
      </c>
      <c r="K1256" s="158" t="s">
        <v>1219</v>
      </c>
      <c r="L1256" s="158" t="s">
        <v>3413</v>
      </c>
      <c r="M1256" s="158" t="s">
        <v>7775</v>
      </c>
      <c r="N1256" s="160" t="s">
        <v>6063</v>
      </c>
      <c r="O1256" s="160" t="s">
        <v>6063</v>
      </c>
      <c r="P1256" s="160" t="s">
        <v>6152</v>
      </c>
      <c r="Q1256" s="158" t="s">
        <v>6221</v>
      </c>
      <c r="R1256" s="158" t="s">
        <v>1867</v>
      </c>
      <c r="S1256" s="158" t="s">
        <v>1867</v>
      </c>
      <c r="T1256" s="158" t="s">
        <v>1868</v>
      </c>
      <c r="U1256" s="158" t="s">
        <v>321</v>
      </c>
      <c r="V1256" s="158" t="s">
        <v>160</v>
      </c>
      <c r="W1256" s="158" t="s">
        <v>6035</v>
      </c>
      <c r="X1256" s="158" t="s">
        <v>204</v>
      </c>
      <c r="Y1256" s="158" t="s">
        <v>149</v>
      </c>
      <c r="Z1256" s="158" t="s">
        <v>149</v>
      </c>
      <c r="AA1256" s="158" t="s">
        <v>149</v>
      </c>
      <c r="AB1256" s="158" t="s">
        <v>1224</v>
      </c>
      <c r="AC1256" s="158" t="s">
        <v>6068</v>
      </c>
      <c r="AD1256" s="158" t="s">
        <v>233</v>
      </c>
      <c r="AE1256" s="158" t="s">
        <v>1869</v>
      </c>
      <c r="AF1256" s="158"/>
      <c r="AG1256" s="158" t="s">
        <v>6069</v>
      </c>
      <c r="AH1256" s="158" t="s">
        <v>1870</v>
      </c>
      <c r="AI1256" s="158" t="s">
        <v>7029</v>
      </c>
      <c r="AJ1256" s="158" t="s">
        <v>1872</v>
      </c>
      <c r="AK1256" s="177" t="s">
        <v>1873</v>
      </c>
    </row>
    <row r="1257">
      <c r="A1257" s="152">
        <v>2024.0</v>
      </c>
      <c r="B1257" s="151">
        <v>421.0</v>
      </c>
      <c r="C1257" s="153"/>
      <c r="D1257" s="153"/>
      <c r="E1257" s="153" t="s">
        <v>8189</v>
      </c>
      <c r="F1257" s="153" t="s">
        <v>8876</v>
      </c>
      <c r="G1257" s="153">
        <f>IFERROR(__xludf.DUMMYFUNCTION("""COMPUTED_VALUE"""),771.0)</f>
        <v>771</v>
      </c>
      <c r="H1257" s="153" t="s">
        <v>625</v>
      </c>
      <c r="I1257" s="153" t="s">
        <v>626</v>
      </c>
      <c r="J1257" s="153" t="s">
        <v>5445</v>
      </c>
      <c r="K1257" s="153" t="s">
        <v>5446</v>
      </c>
      <c r="L1257" s="153" t="s">
        <v>1659</v>
      </c>
      <c r="M1257" s="153"/>
      <c r="N1257" s="192" t="s">
        <v>149</v>
      </c>
      <c r="O1257" s="230">
        <v>1990.0</v>
      </c>
      <c r="P1257" s="230">
        <v>1992.0</v>
      </c>
      <c r="Q1257" s="153" t="s">
        <v>151</v>
      </c>
      <c r="R1257" s="153" t="s">
        <v>7067</v>
      </c>
      <c r="S1257" s="158" t="s">
        <v>7067</v>
      </c>
      <c r="T1257" s="153" t="s">
        <v>1380</v>
      </c>
      <c r="U1257" s="153" t="s">
        <v>1673</v>
      </c>
      <c r="V1257" s="158" t="s">
        <v>160</v>
      </c>
      <c r="W1257" s="158" t="s">
        <v>6035</v>
      </c>
      <c r="X1257" s="158" t="s">
        <v>159</v>
      </c>
      <c r="Y1257" s="158" t="s">
        <v>149</v>
      </c>
      <c r="Z1257" s="158" t="s">
        <v>149</v>
      </c>
      <c r="AA1257" s="158" t="s">
        <v>149</v>
      </c>
      <c r="AB1257" s="153" t="s">
        <v>1673</v>
      </c>
      <c r="AC1257" s="153" t="s">
        <v>6035</v>
      </c>
      <c r="AD1257" s="153"/>
      <c r="AE1257" s="153"/>
      <c r="AF1257" s="153"/>
      <c r="AG1257" s="158" t="s">
        <v>395</v>
      </c>
      <c r="AH1257" s="153" t="s">
        <v>6060</v>
      </c>
      <c r="AI1257" s="177" t="s">
        <v>541</v>
      </c>
      <c r="AJ1257" s="153" t="s">
        <v>398</v>
      </c>
      <c r="AK1257" s="153"/>
    </row>
    <row r="1258">
      <c r="A1258" s="152">
        <v>2025.0</v>
      </c>
      <c r="B1258" s="151">
        <v>455.0</v>
      </c>
      <c r="C1258" s="153" t="s">
        <v>8189</v>
      </c>
      <c r="D1258" s="153"/>
      <c r="E1258" s="153" t="s">
        <v>8301</v>
      </c>
      <c r="F1258" s="153" t="s">
        <v>8877</v>
      </c>
      <c r="G1258" s="153">
        <f>IFERROR(__xludf.DUMMYFUNCTION("""COMPUTED_VALUE"""),772.0)</f>
        <v>772</v>
      </c>
      <c r="H1258" s="153" t="s">
        <v>642</v>
      </c>
      <c r="I1258" s="153" t="s">
        <v>1217</v>
      </c>
      <c r="J1258" s="153" t="s">
        <v>1218</v>
      </c>
      <c r="K1258" s="153" t="s">
        <v>1219</v>
      </c>
      <c r="L1258" s="158" t="s">
        <v>7934</v>
      </c>
      <c r="M1258" s="158" t="s">
        <v>1220</v>
      </c>
      <c r="N1258" s="160" t="s">
        <v>6151</v>
      </c>
      <c r="O1258" s="160" t="s">
        <v>6151</v>
      </c>
      <c r="P1258" s="160" t="s">
        <v>6089</v>
      </c>
      <c r="Q1258" s="153" t="s">
        <v>6062</v>
      </c>
      <c r="R1258" s="158" t="s">
        <v>320</v>
      </c>
      <c r="S1258" s="158" t="s">
        <v>179</v>
      </c>
      <c r="T1258" s="158" t="s">
        <v>1222</v>
      </c>
      <c r="U1258" s="153" t="s">
        <v>321</v>
      </c>
      <c r="V1258" s="158" t="s">
        <v>160</v>
      </c>
      <c r="W1258" s="158" t="s">
        <v>6035</v>
      </c>
      <c r="X1258" s="158" t="s">
        <v>159</v>
      </c>
      <c r="Y1258" s="158" t="s">
        <v>149</v>
      </c>
      <c r="Z1258" s="158" t="s">
        <v>149</v>
      </c>
      <c r="AA1258" s="158" t="s">
        <v>1223</v>
      </c>
      <c r="AB1258" s="158" t="s">
        <v>1224</v>
      </c>
      <c r="AC1258" s="158" t="s">
        <v>6068</v>
      </c>
      <c r="AD1258" s="158" t="s">
        <v>1225</v>
      </c>
      <c r="AE1258" s="158" t="s">
        <v>1226</v>
      </c>
      <c r="AF1258" s="153"/>
      <c r="AG1258" s="153" t="s">
        <v>6069</v>
      </c>
      <c r="AH1258" s="158" t="s">
        <v>1227</v>
      </c>
      <c r="AI1258" s="153" t="s">
        <v>7029</v>
      </c>
      <c r="AJ1258" s="153"/>
      <c r="AK1258" s="165"/>
    </row>
    <row r="1259">
      <c r="A1259" s="152">
        <v>2025.0</v>
      </c>
      <c r="B1259" s="151">
        <v>456.0</v>
      </c>
      <c r="C1259" s="158" t="s">
        <v>8189</v>
      </c>
      <c r="D1259" s="158"/>
      <c r="E1259" s="158" t="s">
        <v>707</v>
      </c>
      <c r="F1259" s="158" t="s">
        <v>8878</v>
      </c>
      <c r="G1259" s="158">
        <f>IFERROR(__xludf.DUMMYFUNCTION("""COMPUTED_VALUE"""),773.0)</f>
        <v>773</v>
      </c>
      <c r="H1259" s="158" t="s">
        <v>642</v>
      </c>
      <c r="I1259" s="158" t="s">
        <v>1217</v>
      </c>
      <c r="J1259" s="158" t="s">
        <v>1230</v>
      </c>
      <c r="K1259" s="158" t="s">
        <v>1231</v>
      </c>
      <c r="L1259" s="158" t="s">
        <v>7934</v>
      </c>
      <c r="M1259" s="158" t="s">
        <v>1232</v>
      </c>
      <c r="N1259" s="160" t="s">
        <v>6151</v>
      </c>
      <c r="O1259" s="160" t="s">
        <v>6151</v>
      </c>
      <c r="P1259" s="160" t="s">
        <v>6089</v>
      </c>
      <c r="Q1259" s="158" t="s">
        <v>6062</v>
      </c>
      <c r="R1259" s="158" t="s">
        <v>320</v>
      </c>
      <c r="S1259" s="158" t="s">
        <v>179</v>
      </c>
      <c r="T1259" s="158" t="s">
        <v>1222</v>
      </c>
      <c r="U1259" s="153" t="s">
        <v>321</v>
      </c>
      <c r="V1259" s="158" t="s">
        <v>160</v>
      </c>
      <c r="W1259" s="158" t="s">
        <v>6035</v>
      </c>
      <c r="X1259" s="158" t="s">
        <v>159</v>
      </c>
      <c r="Y1259" s="158" t="s">
        <v>149</v>
      </c>
      <c r="Z1259" s="158" t="s">
        <v>149</v>
      </c>
      <c r="AA1259" s="158" t="s">
        <v>1233</v>
      </c>
      <c r="AB1259" s="158" t="s">
        <v>1224</v>
      </c>
      <c r="AC1259" s="158" t="s">
        <v>6068</v>
      </c>
      <c r="AD1259" s="158" t="s">
        <v>1225</v>
      </c>
      <c r="AE1259" s="158" t="s">
        <v>1226</v>
      </c>
      <c r="AF1259" s="158"/>
      <c r="AG1259" s="158" t="s">
        <v>6069</v>
      </c>
      <c r="AH1259" s="158" t="s">
        <v>1227</v>
      </c>
      <c r="AI1259" s="158" t="s">
        <v>6070</v>
      </c>
      <c r="AJ1259" s="158"/>
      <c r="AK1259" s="177"/>
    </row>
    <row r="1260">
      <c r="A1260" s="152">
        <v>2024.0</v>
      </c>
      <c r="B1260" s="151">
        <v>422.0</v>
      </c>
      <c r="C1260" s="153"/>
      <c r="D1260" s="153"/>
      <c r="E1260" s="153" t="s">
        <v>8189</v>
      </c>
      <c r="F1260" s="153" t="s">
        <v>8879</v>
      </c>
      <c r="G1260" s="153">
        <f>IFERROR(__xludf.DUMMYFUNCTION("""COMPUTED_VALUE"""),774.0)</f>
        <v>774</v>
      </c>
      <c r="H1260" s="153" t="s">
        <v>625</v>
      </c>
      <c r="I1260" s="153" t="s">
        <v>632</v>
      </c>
      <c r="J1260" s="153" t="s">
        <v>2678</v>
      </c>
      <c r="K1260" s="153" t="s">
        <v>7155</v>
      </c>
      <c r="L1260" s="158" t="s">
        <v>149</v>
      </c>
      <c r="M1260" s="158" t="s">
        <v>2680</v>
      </c>
      <c r="N1260" s="192" t="s">
        <v>149</v>
      </c>
      <c r="O1260" s="192" t="s">
        <v>149</v>
      </c>
      <c r="P1260" s="192" t="s">
        <v>149</v>
      </c>
      <c r="Q1260" s="153" t="s">
        <v>151</v>
      </c>
      <c r="R1260" s="158" t="s">
        <v>7695</v>
      </c>
      <c r="S1260" s="158" t="s">
        <v>7695</v>
      </c>
      <c r="T1260" s="158" t="s">
        <v>149</v>
      </c>
      <c r="U1260" s="158" t="s">
        <v>149</v>
      </c>
      <c r="V1260" s="158" t="s">
        <v>149</v>
      </c>
      <c r="W1260" s="158" t="s">
        <v>149</v>
      </c>
      <c r="X1260" s="158" t="s">
        <v>149</v>
      </c>
      <c r="Y1260" s="158" t="s">
        <v>149</v>
      </c>
      <c r="Z1260" s="158" t="s">
        <v>7696</v>
      </c>
      <c r="AA1260" s="158" t="s">
        <v>149</v>
      </c>
      <c r="AB1260" s="158" t="s">
        <v>149</v>
      </c>
      <c r="AC1260" s="158" t="s">
        <v>149</v>
      </c>
      <c r="AD1260" s="153"/>
      <c r="AE1260" s="153"/>
      <c r="AF1260" s="153"/>
      <c r="AG1260" s="158" t="s">
        <v>395</v>
      </c>
      <c r="AH1260" s="153" t="s">
        <v>6060</v>
      </c>
      <c r="AI1260" s="177" t="s">
        <v>541</v>
      </c>
      <c r="AJ1260" s="153" t="s">
        <v>398</v>
      </c>
      <c r="AK1260" s="153"/>
    </row>
    <row r="1261">
      <c r="A1261" s="152">
        <v>2025.0</v>
      </c>
      <c r="B1261" s="151">
        <v>457.0</v>
      </c>
      <c r="C1261" s="158" t="s">
        <v>8189</v>
      </c>
      <c r="D1261" s="158"/>
      <c r="E1261" s="158" t="s">
        <v>8301</v>
      </c>
      <c r="F1261" s="158" t="s">
        <v>8880</v>
      </c>
      <c r="G1261" s="158">
        <f>IFERROR(__xludf.DUMMYFUNCTION("""COMPUTED_VALUE"""),775.0)</f>
        <v>775</v>
      </c>
      <c r="H1261" s="158" t="s">
        <v>642</v>
      </c>
      <c r="I1261" s="158" t="s">
        <v>1217</v>
      </c>
      <c r="J1261" s="158" t="s">
        <v>1236</v>
      </c>
      <c r="K1261" s="158" t="s">
        <v>1237</v>
      </c>
      <c r="L1261" s="158" t="s">
        <v>7934</v>
      </c>
      <c r="M1261" s="158" t="s">
        <v>1238</v>
      </c>
      <c r="N1261" s="160" t="s">
        <v>6151</v>
      </c>
      <c r="O1261" s="160" t="s">
        <v>6151</v>
      </c>
      <c r="P1261" s="160" t="s">
        <v>6089</v>
      </c>
      <c r="Q1261" s="158" t="s">
        <v>6062</v>
      </c>
      <c r="R1261" s="158" t="s">
        <v>320</v>
      </c>
      <c r="S1261" s="158" t="s">
        <v>179</v>
      </c>
      <c r="T1261" s="158" t="s">
        <v>1222</v>
      </c>
      <c r="U1261" s="153" t="s">
        <v>321</v>
      </c>
      <c r="V1261" s="158" t="s">
        <v>160</v>
      </c>
      <c r="W1261" s="158" t="s">
        <v>6035</v>
      </c>
      <c r="X1261" s="158" t="s">
        <v>159</v>
      </c>
      <c r="Y1261" s="158" t="s">
        <v>149</v>
      </c>
      <c r="Z1261" s="158" t="s">
        <v>149</v>
      </c>
      <c r="AA1261" s="158" t="s">
        <v>1239</v>
      </c>
      <c r="AB1261" s="158" t="s">
        <v>1224</v>
      </c>
      <c r="AC1261" s="158" t="s">
        <v>6068</v>
      </c>
      <c r="AD1261" s="158" t="s">
        <v>1225</v>
      </c>
      <c r="AE1261" s="158" t="s">
        <v>1226</v>
      </c>
      <c r="AF1261" s="158"/>
      <c r="AG1261" s="158" t="s">
        <v>6069</v>
      </c>
      <c r="AH1261" s="158" t="s">
        <v>1227</v>
      </c>
      <c r="AI1261" s="158" t="s">
        <v>6070</v>
      </c>
      <c r="AJ1261" s="158"/>
      <c r="AK1261" s="177"/>
    </row>
    <row r="1262">
      <c r="A1262" s="152">
        <v>2024.0</v>
      </c>
      <c r="B1262" s="151">
        <v>423.0</v>
      </c>
      <c r="C1262" s="153"/>
      <c r="D1262" s="153"/>
      <c r="E1262" s="153" t="s">
        <v>8189</v>
      </c>
      <c r="F1262" s="153" t="s">
        <v>8881</v>
      </c>
      <c r="G1262" s="153">
        <f>IFERROR(__xludf.DUMMYFUNCTION("""COMPUTED_VALUE"""),776.0)</f>
        <v>776</v>
      </c>
      <c r="H1262" s="153" t="s">
        <v>625</v>
      </c>
      <c r="I1262" s="153" t="s">
        <v>632</v>
      </c>
      <c r="J1262" s="153" t="s">
        <v>2193</v>
      </c>
      <c r="K1262" s="153" t="s">
        <v>7699</v>
      </c>
      <c r="L1262" s="153" t="s">
        <v>6587</v>
      </c>
      <c r="M1262" s="153" t="s">
        <v>7700</v>
      </c>
      <c r="N1262" s="158" t="s">
        <v>149</v>
      </c>
      <c r="O1262" s="230">
        <v>2012.0</v>
      </c>
      <c r="P1262" s="158" t="s">
        <v>149</v>
      </c>
      <c r="Q1262" s="153" t="s">
        <v>151</v>
      </c>
      <c r="R1262" s="158" t="s">
        <v>149</v>
      </c>
      <c r="S1262" s="158" t="s">
        <v>149</v>
      </c>
      <c r="T1262" s="153" t="s">
        <v>7101</v>
      </c>
      <c r="U1262" s="153" t="s">
        <v>341</v>
      </c>
      <c r="V1262" s="158" t="s">
        <v>160</v>
      </c>
      <c r="W1262" s="158" t="s">
        <v>6035</v>
      </c>
      <c r="X1262" s="158" t="s">
        <v>159</v>
      </c>
      <c r="Y1262" s="158" t="s">
        <v>149</v>
      </c>
      <c r="Z1262" s="158" t="s">
        <v>149</v>
      </c>
      <c r="AA1262" s="158" t="s">
        <v>149</v>
      </c>
      <c r="AB1262" s="153" t="s">
        <v>2160</v>
      </c>
      <c r="AC1262" s="153" t="s">
        <v>6035</v>
      </c>
      <c r="AD1262" s="153"/>
      <c r="AE1262" s="153"/>
      <c r="AF1262" s="153"/>
      <c r="AG1262" s="158" t="s">
        <v>166</v>
      </c>
      <c r="AH1262" s="153" t="s">
        <v>2161</v>
      </c>
      <c r="AI1262" s="172" t="s">
        <v>2162</v>
      </c>
      <c r="AJ1262" s="153"/>
      <c r="AK1262" s="153"/>
    </row>
    <row r="1263">
      <c r="A1263" s="152">
        <v>2025.0</v>
      </c>
      <c r="B1263" s="151">
        <v>458.0</v>
      </c>
      <c r="C1263" s="158" t="s">
        <v>8189</v>
      </c>
      <c r="D1263" s="158"/>
      <c r="E1263" s="158" t="s">
        <v>8301</v>
      </c>
      <c r="F1263" s="158" t="s">
        <v>8882</v>
      </c>
      <c r="G1263" s="158">
        <f>IFERROR(__xludf.DUMMYFUNCTION("""COMPUTED_VALUE"""),777.0)</f>
        <v>777</v>
      </c>
      <c r="H1263" s="158" t="s">
        <v>642</v>
      </c>
      <c r="I1263" s="158" t="s">
        <v>1217</v>
      </c>
      <c r="J1263" s="158" t="s">
        <v>1242</v>
      </c>
      <c r="K1263" s="158" t="s">
        <v>1243</v>
      </c>
      <c r="L1263" s="158" t="s">
        <v>7934</v>
      </c>
      <c r="M1263" s="158" t="s">
        <v>1244</v>
      </c>
      <c r="N1263" s="160" t="s">
        <v>6151</v>
      </c>
      <c r="O1263" s="160" t="s">
        <v>6151</v>
      </c>
      <c r="P1263" s="160" t="s">
        <v>6089</v>
      </c>
      <c r="Q1263" s="158" t="s">
        <v>6062</v>
      </c>
      <c r="R1263" s="158" t="s">
        <v>320</v>
      </c>
      <c r="S1263" s="158" t="s">
        <v>179</v>
      </c>
      <c r="T1263" s="158" t="s">
        <v>1222</v>
      </c>
      <c r="U1263" s="153" t="s">
        <v>321</v>
      </c>
      <c r="V1263" s="158" t="s">
        <v>160</v>
      </c>
      <c r="W1263" s="158" t="s">
        <v>6035</v>
      </c>
      <c r="X1263" s="158" t="s">
        <v>159</v>
      </c>
      <c r="Y1263" s="158" t="s">
        <v>149</v>
      </c>
      <c r="Z1263" s="158" t="s">
        <v>149</v>
      </c>
      <c r="AA1263" s="158" t="s">
        <v>1245</v>
      </c>
      <c r="AB1263" s="158" t="s">
        <v>1224</v>
      </c>
      <c r="AC1263" s="158" t="s">
        <v>6068</v>
      </c>
      <c r="AD1263" s="158" t="s">
        <v>1225</v>
      </c>
      <c r="AE1263" s="158" t="s">
        <v>1226</v>
      </c>
      <c r="AF1263" s="158"/>
      <c r="AG1263" s="158" t="s">
        <v>6069</v>
      </c>
      <c r="AH1263" s="158" t="s">
        <v>1227</v>
      </c>
      <c r="AI1263" s="158" t="s">
        <v>6070</v>
      </c>
      <c r="AJ1263" s="158"/>
      <c r="AK1263" s="177"/>
    </row>
    <row r="1264">
      <c r="A1264" s="152">
        <v>2024.0</v>
      </c>
      <c r="B1264" s="151">
        <v>424.0</v>
      </c>
      <c r="C1264" s="153"/>
      <c r="D1264" s="153"/>
      <c r="E1264" s="153" t="s">
        <v>8189</v>
      </c>
      <c r="F1264" s="153" t="s">
        <v>8883</v>
      </c>
      <c r="G1264" s="153">
        <f>IFERROR(__xludf.DUMMYFUNCTION("""COMPUTED_VALUE"""),778.0)</f>
        <v>778</v>
      </c>
      <c r="H1264" s="153" t="s">
        <v>625</v>
      </c>
      <c r="I1264" s="153" t="s">
        <v>632</v>
      </c>
      <c r="J1264" s="153" t="s">
        <v>2687</v>
      </c>
      <c r="K1264" s="153" t="s">
        <v>7160</v>
      </c>
      <c r="L1264" s="158" t="s">
        <v>149</v>
      </c>
      <c r="M1264" s="158" t="s">
        <v>2689</v>
      </c>
      <c r="N1264" s="192" t="s">
        <v>149</v>
      </c>
      <c r="O1264" s="192" t="s">
        <v>149</v>
      </c>
      <c r="P1264" s="192" t="s">
        <v>149</v>
      </c>
      <c r="Q1264" s="153" t="s">
        <v>151</v>
      </c>
      <c r="R1264" s="158" t="s">
        <v>7695</v>
      </c>
      <c r="S1264" s="158" t="s">
        <v>7695</v>
      </c>
      <c r="T1264" s="158" t="s">
        <v>149</v>
      </c>
      <c r="U1264" s="158" t="s">
        <v>149</v>
      </c>
      <c r="V1264" s="158" t="s">
        <v>149</v>
      </c>
      <c r="W1264" s="158" t="s">
        <v>149</v>
      </c>
      <c r="X1264" s="158" t="s">
        <v>149</v>
      </c>
      <c r="Y1264" s="158" t="s">
        <v>149</v>
      </c>
      <c r="Z1264" s="153" t="s">
        <v>7161</v>
      </c>
      <c r="AA1264" s="158" t="s">
        <v>149</v>
      </c>
      <c r="AB1264" s="158" t="s">
        <v>149</v>
      </c>
      <c r="AC1264" s="158" t="s">
        <v>149</v>
      </c>
      <c r="AD1264" s="153"/>
      <c r="AE1264" s="153"/>
      <c r="AF1264" s="153"/>
      <c r="AG1264" s="158" t="s">
        <v>395</v>
      </c>
      <c r="AH1264" s="153" t="s">
        <v>6060</v>
      </c>
      <c r="AI1264" s="177" t="s">
        <v>541</v>
      </c>
      <c r="AJ1264" s="153" t="s">
        <v>398</v>
      </c>
      <c r="AK1264" s="153"/>
    </row>
    <row r="1265">
      <c r="A1265" s="152">
        <v>2025.0</v>
      </c>
      <c r="B1265" s="151">
        <v>459.0</v>
      </c>
      <c r="C1265" s="158" t="s">
        <v>8189</v>
      </c>
      <c r="D1265" s="158"/>
      <c r="E1265" s="158" t="s">
        <v>8301</v>
      </c>
      <c r="F1265" s="158" t="s">
        <v>8884</v>
      </c>
      <c r="G1265" s="158">
        <f>IFERROR(__xludf.DUMMYFUNCTION("""COMPUTED_VALUE"""),779.0)</f>
        <v>779</v>
      </c>
      <c r="H1265" s="158" t="s">
        <v>642</v>
      </c>
      <c r="I1265" s="158" t="s">
        <v>1217</v>
      </c>
      <c r="J1265" s="158" t="s">
        <v>1248</v>
      </c>
      <c r="K1265" s="158" t="s">
        <v>1249</v>
      </c>
      <c r="L1265" s="158" t="s">
        <v>7934</v>
      </c>
      <c r="M1265" s="158" t="s">
        <v>1250</v>
      </c>
      <c r="N1265" s="160" t="s">
        <v>6151</v>
      </c>
      <c r="O1265" s="160" t="s">
        <v>6151</v>
      </c>
      <c r="P1265" s="160" t="s">
        <v>6089</v>
      </c>
      <c r="Q1265" s="158" t="s">
        <v>6062</v>
      </c>
      <c r="R1265" s="158" t="s">
        <v>320</v>
      </c>
      <c r="S1265" s="158" t="s">
        <v>179</v>
      </c>
      <c r="T1265" s="158" t="s">
        <v>1222</v>
      </c>
      <c r="U1265" s="153" t="s">
        <v>321</v>
      </c>
      <c r="V1265" s="158" t="s">
        <v>160</v>
      </c>
      <c r="W1265" s="158" t="s">
        <v>6035</v>
      </c>
      <c r="X1265" s="158" t="s">
        <v>159</v>
      </c>
      <c r="Y1265" s="158" t="s">
        <v>149</v>
      </c>
      <c r="Z1265" s="158" t="s">
        <v>149</v>
      </c>
      <c r="AA1265" s="158" t="s">
        <v>1252</v>
      </c>
      <c r="AB1265" s="158" t="s">
        <v>1224</v>
      </c>
      <c r="AC1265" s="158" t="s">
        <v>6068</v>
      </c>
      <c r="AD1265" s="158" t="s">
        <v>1225</v>
      </c>
      <c r="AE1265" s="158" t="s">
        <v>1226</v>
      </c>
      <c r="AF1265" s="158"/>
      <c r="AG1265" s="158" t="s">
        <v>6069</v>
      </c>
      <c r="AH1265" s="158" t="s">
        <v>1227</v>
      </c>
      <c r="AI1265" s="158" t="s">
        <v>6070</v>
      </c>
      <c r="AJ1265" s="158"/>
      <c r="AK1265" s="158"/>
    </row>
    <row r="1266">
      <c r="A1266" s="152">
        <v>2024.0</v>
      </c>
      <c r="B1266" s="151">
        <v>425.0</v>
      </c>
      <c r="C1266" s="153"/>
      <c r="D1266" s="153"/>
      <c r="E1266" s="153" t="s">
        <v>8189</v>
      </c>
      <c r="F1266" s="153" t="s">
        <v>8885</v>
      </c>
      <c r="G1266" s="153">
        <f>IFERROR(__xludf.DUMMYFUNCTION("""COMPUTED_VALUE"""),780.0)</f>
        <v>780</v>
      </c>
      <c r="H1266" s="153" t="s">
        <v>625</v>
      </c>
      <c r="I1266" s="153" t="s">
        <v>632</v>
      </c>
      <c r="J1266" s="153" t="s">
        <v>2687</v>
      </c>
      <c r="K1266" s="153" t="s">
        <v>7160</v>
      </c>
      <c r="L1266" s="158" t="s">
        <v>149</v>
      </c>
      <c r="M1266" s="158" t="s">
        <v>7707</v>
      </c>
      <c r="N1266" s="158" t="s">
        <v>149</v>
      </c>
      <c r="O1266" s="158" t="s">
        <v>149</v>
      </c>
      <c r="P1266" s="158" t="s">
        <v>149</v>
      </c>
      <c r="Q1266" s="153" t="s">
        <v>151</v>
      </c>
      <c r="R1266" s="153" t="s">
        <v>3211</v>
      </c>
      <c r="S1266" s="158" t="s">
        <v>3211</v>
      </c>
      <c r="T1266" s="158" t="s">
        <v>149</v>
      </c>
      <c r="U1266" s="153" t="s">
        <v>3212</v>
      </c>
      <c r="V1266" s="158" t="s">
        <v>160</v>
      </c>
      <c r="W1266" s="158" t="s">
        <v>184</v>
      </c>
      <c r="X1266" s="158" t="s">
        <v>159</v>
      </c>
      <c r="Y1266" s="158" t="s">
        <v>149</v>
      </c>
      <c r="Z1266" s="158" t="s">
        <v>149</v>
      </c>
      <c r="AA1266" s="158" t="s">
        <v>149</v>
      </c>
      <c r="AB1266" s="153" t="s">
        <v>3214</v>
      </c>
      <c r="AC1266" s="158" t="s">
        <v>184</v>
      </c>
      <c r="AD1266" s="153"/>
      <c r="AE1266" s="153"/>
      <c r="AF1266" s="153"/>
      <c r="AG1266" s="158" t="s">
        <v>6038</v>
      </c>
      <c r="AH1266" s="153" t="s">
        <v>3215</v>
      </c>
      <c r="AI1266" s="165" t="s">
        <v>3216</v>
      </c>
      <c r="AJ1266" s="153"/>
      <c r="AK1266" s="153"/>
    </row>
    <row r="1267">
      <c r="A1267" s="152">
        <v>2025.0</v>
      </c>
      <c r="B1267" s="151">
        <v>100.0</v>
      </c>
      <c r="C1267" s="153" t="s">
        <v>8189</v>
      </c>
      <c r="D1267" s="153"/>
      <c r="E1267" s="153" t="s">
        <v>707</v>
      </c>
      <c r="F1267" s="153" t="s">
        <v>6526</v>
      </c>
      <c r="G1267" s="153">
        <f>IFERROR(__xludf.DUMMYFUNCTION("""COMPUTED_VALUE"""),781.0)</f>
        <v>781</v>
      </c>
      <c r="H1267" s="153" t="s">
        <v>293</v>
      </c>
      <c r="I1267" s="153" t="s">
        <v>294</v>
      </c>
      <c r="J1267" s="153" t="s">
        <v>2602</v>
      </c>
      <c r="K1267" s="153" t="s">
        <v>2603</v>
      </c>
      <c r="L1267" s="158" t="s">
        <v>149</v>
      </c>
      <c r="M1267" s="153" t="s">
        <v>2604</v>
      </c>
      <c r="N1267" s="164" t="s">
        <v>149</v>
      </c>
      <c r="O1267" s="164" t="s">
        <v>149</v>
      </c>
      <c r="P1267" s="164" t="s">
        <v>149</v>
      </c>
      <c r="Q1267" s="153" t="s">
        <v>151</v>
      </c>
      <c r="R1267" s="153" t="s">
        <v>152</v>
      </c>
      <c r="S1267" s="158" t="s">
        <v>152</v>
      </c>
      <c r="T1267" s="153" t="s">
        <v>2605</v>
      </c>
      <c r="U1267" s="158" t="s">
        <v>369</v>
      </c>
      <c r="V1267" s="158" t="s">
        <v>160</v>
      </c>
      <c r="W1267" s="158" t="s">
        <v>6035</v>
      </c>
      <c r="X1267" s="158" t="s">
        <v>159</v>
      </c>
      <c r="Y1267" s="158" t="s">
        <v>149</v>
      </c>
      <c r="Z1267" s="158" t="s">
        <v>149</v>
      </c>
      <c r="AA1267" s="158" t="s">
        <v>149</v>
      </c>
      <c r="AB1267" s="153" t="s">
        <v>369</v>
      </c>
      <c r="AC1267" s="153" t="s">
        <v>6035</v>
      </c>
      <c r="AD1267" s="153"/>
      <c r="AE1267" s="153"/>
      <c r="AF1267" s="153"/>
      <c r="AG1267" s="158" t="s">
        <v>166</v>
      </c>
      <c r="AH1267" s="153" t="s">
        <v>2606</v>
      </c>
      <c r="AI1267" s="172" t="s">
        <v>2607</v>
      </c>
      <c r="AJ1267" s="153"/>
      <c r="AK1267" s="153"/>
    </row>
    <row r="1268">
      <c r="A1268" s="152">
        <v>2024.0</v>
      </c>
      <c r="B1268" s="151">
        <v>426.0</v>
      </c>
      <c r="C1268" s="153"/>
      <c r="D1268" s="153"/>
      <c r="E1268" s="153" t="s">
        <v>8189</v>
      </c>
      <c r="F1268" s="153" t="s">
        <v>8886</v>
      </c>
      <c r="G1268" s="153">
        <f>IFERROR(__xludf.DUMMYFUNCTION("""COMPUTED_VALUE"""),782.0)</f>
        <v>782</v>
      </c>
      <c r="H1268" s="153" t="s">
        <v>625</v>
      </c>
      <c r="I1268" s="153" t="s">
        <v>632</v>
      </c>
      <c r="J1268" s="153" t="s">
        <v>2198</v>
      </c>
      <c r="K1268" s="153" t="s">
        <v>7710</v>
      </c>
      <c r="L1268" s="153" t="s">
        <v>6587</v>
      </c>
      <c r="M1268" s="153" t="s">
        <v>7700</v>
      </c>
      <c r="N1268" s="158" t="s">
        <v>149</v>
      </c>
      <c r="O1268" s="230">
        <v>2012.0</v>
      </c>
      <c r="P1268" s="158" t="s">
        <v>149</v>
      </c>
      <c r="Q1268" s="153" t="s">
        <v>151</v>
      </c>
      <c r="R1268" s="158" t="s">
        <v>149</v>
      </c>
      <c r="S1268" s="158" t="s">
        <v>149</v>
      </c>
      <c r="T1268" s="153" t="s">
        <v>7101</v>
      </c>
      <c r="U1268" s="153" t="s">
        <v>341</v>
      </c>
      <c r="V1268" s="158" t="s">
        <v>160</v>
      </c>
      <c r="W1268" s="158" t="s">
        <v>6035</v>
      </c>
      <c r="X1268" s="158" t="s">
        <v>159</v>
      </c>
      <c r="Y1268" s="158" t="s">
        <v>149</v>
      </c>
      <c r="Z1268" s="158" t="s">
        <v>149</v>
      </c>
      <c r="AA1268" s="158" t="s">
        <v>149</v>
      </c>
      <c r="AB1268" s="153" t="s">
        <v>2160</v>
      </c>
      <c r="AC1268" s="153" t="s">
        <v>6035</v>
      </c>
      <c r="AD1268" s="153"/>
      <c r="AE1268" s="153"/>
      <c r="AF1268" s="153"/>
      <c r="AG1268" s="158" t="s">
        <v>166</v>
      </c>
      <c r="AH1268" s="153" t="s">
        <v>2161</v>
      </c>
      <c r="AI1268" s="172" t="s">
        <v>2162</v>
      </c>
      <c r="AJ1268" s="153"/>
      <c r="AK1268" s="153"/>
    </row>
    <row r="1269">
      <c r="A1269" s="152">
        <v>2025.0</v>
      </c>
      <c r="B1269" s="151">
        <v>101.0</v>
      </c>
      <c r="C1269" s="153" t="s">
        <v>8189</v>
      </c>
      <c r="D1269" s="153"/>
      <c r="E1269" s="153" t="s">
        <v>8301</v>
      </c>
      <c r="F1269" s="153" t="s">
        <v>6528</v>
      </c>
      <c r="G1269" s="153">
        <f>IFERROR(__xludf.DUMMYFUNCTION("""COMPUTED_VALUE"""),783.0)</f>
        <v>783</v>
      </c>
      <c r="H1269" s="153" t="s">
        <v>293</v>
      </c>
      <c r="I1269" s="153" t="s">
        <v>294</v>
      </c>
      <c r="J1269" s="153" t="s">
        <v>486</v>
      </c>
      <c r="K1269" s="153" t="s">
        <v>487</v>
      </c>
      <c r="L1269" s="153" t="s">
        <v>384</v>
      </c>
      <c r="M1269" s="153" t="s">
        <v>488</v>
      </c>
      <c r="N1269" s="175" t="s">
        <v>6052</v>
      </c>
      <c r="O1269" s="175" t="s">
        <v>6052</v>
      </c>
      <c r="P1269" s="175" t="s">
        <v>6053</v>
      </c>
      <c r="Q1269" s="153" t="s">
        <v>151</v>
      </c>
      <c r="R1269" s="153" t="s">
        <v>6054</v>
      </c>
      <c r="S1269" s="153" t="s">
        <v>6054</v>
      </c>
      <c r="T1269" s="158" t="s">
        <v>149</v>
      </c>
      <c r="U1269" s="153" t="s">
        <v>390</v>
      </c>
      <c r="V1269" s="158" t="s">
        <v>160</v>
      </c>
      <c r="W1269" s="158" t="s">
        <v>6035</v>
      </c>
      <c r="X1269" s="158" t="s">
        <v>159</v>
      </c>
      <c r="Y1269" s="158" t="s">
        <v>149</v>
      </c>
      <c r="Z1269" s="158" t="s">
        <v>149</v>
      </c>
      <c r="AA1269" s="153" t="s">
        <v>489</v>
      </c>
      <c r="AB1269" s="153" t="s">
        <v>390</v>
      </c>
      <c r="AC1269" s="153" t="s">
        <v>6035</v>
      </c>
      <c r="AD1269" s="153" t="s">
        <v>6055</v>
      </c>
      <c r="AE1269" s="153"/>
      <c r="AF1269" s="153"/>
      <c r="AG1269" s="158" t="s">
        <v>395</v>
      </c>
      <c r="AH1269" s="153" t="s">
        <v>6060</v>
      </c>
      <c r="AI1269" s="158" t="s">
        <v>397</v>
      </c>
      <c r="AJ1269" s="153" t="s">
        <v>398</v>
      </c>
      <c r="AK1269" s="153"/>
    </row>
    <row r="1270">
      <c r="A1270" s="152">
        <v>2024.0</v>
      </c>
      <c r="B1270" s="151">
        <v>427.0</v>
      </c>
      <c r="C1270" s="153"/>
      <c r="D1270" s="153"/>
      <c r="E1270" s="153" t="s">
        <v>8189</v>
      </c>
      <c r="F1270" s="153" t="s">
        <v>8887</v>
      </c>
      <c r="G1270" s="153">
        <f>IFERROR(__xludf.DUMMYFUNCTION("""COMPUTED_VALUE"""),784.0)</f>
        <v>784</v>
      </c>
      <c r="H1270" s="153" t="s">
        <v>625</v>
      </c>
      <c r="I1270" s="153" t="s">
        <v>632</v>
      </c>
      <c r="J1270" s="153" t="s">
        <v>847</v>
      </c>
      <c r="K1270" s="153" t="s">
        <v>7167</v>
      </c>
      <c r="L1270" s="158" t="s">
        <v>149</v>
      </c>
      <c r="M1270" s="158" t="s">
        <v>2693</v>
      </c>
      <c r="N1270" s="192" t="s">
        <v>149</v>
      </c>
      <c r="O1270" s="192" t="s">
        <v>149</v>
      </c>
      <c r="P1270" s="192" t="s">
        <v>149</v>
      </c>
      <c r="Q1270" s="153" t="s">
        <v>151</v>
      </c>
      <c r="R1270" s="158" t="s">
        <v>7695</v>
      </c>
      <c r="S1270" s="158" t="s">
        <v>7695</v>
      </c>
      <c r="T1270" s="158" t="s">
        <v>149</v>
      </c>
      <c r="U1270" s="158" t="s">
        <v>149</v>
      </c>
      <c r="V1270" s="158" t="s">
        <v>149</v>
      </c>
      <c r="W1270" s="158" t="s">
        <v>149</v>
      </c>
      <c r="X1270" s="158" t="s">
        <v>149</v>
      </c>
      <c r="Y1270" s="158" t="s">
        <v>149</v>
      </c>
      <c r="Z1270" s="153" t="s">
        <v>7168</v>
      </c>
      <c r="AA1270" s="158" t="s">
        <v>149</v>
      </c>
      <c r="AB1270" s="158" t="s">
        <v>149</v>
      </c>
      <c r="AC1270" s="158" t="s">
        <v>149</v>
      </c>
      <c r="AD1270" s="153"/>
      <c r="AE1270" s="153"/>
      <c r="AF1270" s="153"/>
      <c r="AG1270" s="158" t="s">
        <v>395</v>
      </c>
      <c r="AH1270" s="153" t="s">
        <v>6060</v>
      </c>
      <c r="AI1270" s="177" t="s">
        <v>541</v>
      </c>
      <c r="AJ1270" s="153" t="s">
        <v>398</v>
      </c>
      <c r="AK1270" s="153"/>
    </row>
    <row r="1271">
      <c r="A1271" s="152">
        <v>2025.0</v>
      </c>
      <c r="B1271" s="151">
        <v>102.0</v>
      </c>
      <c r="C1271" s="153" t="s">
        <v>8189</v>
      </c>
      <c r="D1271" s="153"/>
      <c r="E1271" s="153" t="s">
        <v>8301</v>
      </c>
      <c r="F1271" s="153" t="s">
        <v>6530</v>
      </c>
      <c r="G1271" s="153">
        <f>IFERROR(__xludf.DUMMYFUNCTION("""COMPUTED_VALUE"""),785.0)</f>
        <v>785</v>
      </c>
      <c r="H1271" s="153" t="s">
        <v>293</v>
      </c>
      <c r="I1271" s="153" t="s">
        <v>294</v>
      </c>
      <c r="J1271" s="153" t="s">
        <v>295</v>
      </c>
      <c r="K1271" s="153" t="s">
        <v>296</v>
      </c>
      <c r="L1271" s="153" t="s">
        <v>6553</v>
      </c>
      <c r="M1271" s="153"/>
      <c r="N1271" s="175" t="s">
        <v>6145</v>
      </c>
      <c r="O1271" s="175" t="s">
        <v>6145</v>
      </c>
      <c r="P1271" s="175" t="s">
        <v>16</v>
      </c>
      <c r="Q1271" s="153" t="s">
        <v>6259</v>
      </c>
      <c r="R1271" s="158" t="s">
        <v>301</v>
      </c>
      <c r="S1271" s="158" t="s">
        <v>301</v>
      </c>
      <c r="T1271" s="153" t="s">
        <v>304</v>
      </c>
      <c r="U1271" s="158" t="s">
        <v>305</v>
      </c>
      <c r="V1271" s="158" t="s">
        <v>6154</v>
      </c>
      <c r="W1271" s="158" t="s">
        <v>306</v>
      </c>
      <c r="X1271" s="158" t="s">
        <v>159</v>
      </c>
      <c r="Y1271" s="158" t="s">
        <v>149</v>
      </c>
      <c r="Z1271" s="158" t="s">
        <v>149</v>
      </c>
      <c r="AA1271" s="158" t="s">
        <v>149</v>
      </c>
      <c r="AB1271" s="153" t="s">
        <v>6531</v>
      </c>
      <c r="AC1271" s="153" t="s">
        <v>306</v>
      </c>
      <c r="AD1271" s="153" t="s">
        <v>6532</v>
      </c>
      <c r="AE1271" s="153" t="s">
        <v>6533</v>
      </c>
      <c r="AF1271" s="153"/>
      <c r="AG1271" s="153" t="s">
        <v>213</v>
      </c>
      <c r="AH1271" s="153" t="s">
        <v>213</v>
      </c>
      <c r="AI1271" s="153"/>
      <c r="AJ1271" s="153" t="s">
        <v>311</v>
      </c>
      <c r="AK1271" s="153" t="s">
        <v>312</v>
      </c>
    </row>
    <row r="1272">
      <c r="A1272" s="152">
        <v>2024.0</v>
      </c>
      <c r="B1272" s="151">
        <v>428.0</v>
      </c>
      <c r="C1272" s="153"/>
      <c r="D1272" s="153"/>
      <c r="E1272" s="153" t="s">
        <v>8189</v>
      </c>
      <c r="F1272" s="153" t="s">
        <v>8888</v>
      </c>
      <c r="G1272" s="153">
        <f>IFERROR(__xludf.DUMMYFUNCTION("""COMPUTED_VALUE"""),786.0)</f>
        <v>786</v>
      </c>
      <c r="H1272" s="153" t="s">
        <v>625</v>
      </c>
      <c r="I1272" s="153" t="s">
        <v>632</v>
      </c>
      <c r="J1272" s="153" t="s">
        <v>847</v>
      </c>
      <c r="K1272" s="153" t="s">
        <v>7167</v>
      </c>
      <c r="L1272" s="158" t="s">
        <v>1097</v>
      </c>
      <c r="M1272" s="158" t="s">
        <v>1098</v>
      </c>
      <c r="N1272" s="230">
        <v>2022.0</v>
      </c>
      <c r="O1272" s="192" t="s">
        <v>149</v>
      </c>
      <c r="P1272" s="192" t="s">
        <v>149</v>
      </c>
      <c r="Q1272" s="153" t="s">
        <v>6062</v>
      </c>
      <c r="R1272" s="153" t="s">
        <v>1100</v>
      </c>
      <c r="S1272" s="158" t="s">
        <v>7719</v>
      </c>
      <c r="T1272" s="158" t="s">
        <v>7720</v>
      </c>
      <c r="U1272" s="158" t="s">
        <v>1103</v>
      </c>
      <c r="V1272" s="158" t="s">
        <v>160</v>
      </c>
      <c r="W1272" s="158" t="s">
        <v>184</v>
      </c>
      <c r="X1272" s="158" t="s">
        <v>159</v>
      </c>
      <c r="Y1272" s="158" t="s">
        <v>149</v>
      </c>
      <c r="Z1272" s="158" t="s">
        <v>149</v>
      </c>
      <c r="AA1272" s="158" t="s">
        <v>149</v>
      </c>
      <c r="AB1272" s="153" t="s">
        <v>1103</v>
      </c>
      <c r="AC1272" s="158" t="s">
        <v>184</v>
      </c>
      <c r="AD1272" s="153"/>
      <c r="AE1272" s="153" t="s">
        <v>8889</v>
      </c>
      <c r="AF1272" s="153"/>
      <c r="AG1272" s="158" t="s">
        <v>6517</v>
      </c>
      <c r="AH1272" s="153" t="s">
        <v>1105</v>
      </c>
      <c r="AI1272" s="165" t="s">
        <v>7722</v>
      </c>
      <c r="AJ1272" s="153"/>
      <c r="AK1272" s="153"/>
    </row>
    <row r="1273">
      <c r="A1273" s="152">
        <v>2025.0</v>
      </c>
      <c r="B1273" s="151">
        <v>103.0</v>
      </c>
      <c r="C1273" s="153" t="s">
        <v>8189</v>
      </c>
      <c r="D1273" s="153"/>
      <c r="E1273" s="153" t="s">
        <v>8301</v>
      </c>
      <c r="F1273" s="153" t="s">
        <v>6539</v>
      </c>
      <c r="G1273" s="153">
        <f>IFERROR(__xludf.DUMMYFUNCTION("""COMPUTED_VALUE"""),787.0)</f>
        <v>787</v>
      </c>
      <c r="H1273" s="153" t="s">
        <v>293</v>
      </c>
      <c r="I1273" s="153" t="s">
        <v>294</v>
      </c>
      <c r="J1273" s="153" t="s">
        <v>950</v>
      </c>
      <c r="K1273" s="153" t="s">
        <v>951</v>
      </c>
      <c r="L1273" s="153" t="s">
        <v>934</v>
      </c>
      <c r="M1273" s="153"/>
      <c r="N1273" s="175" t="s">
        <v>6229</v>
      </c>
      <c r="O1273" s="175" t="s">
        <v>6229</v>
      </c>
      <c r="P1273" s="175" t="s">
        <v>6230</v>
      </c>
      <c r="Q1273" s="153" t="s">
        <v>6062</v>
      </c>
      <c r="R1273" s="153" t="s">
        <v>3245</v>
      </c>
      <c r="S1273" s="158" t="s">
        <v>179</v>
      </c>
      <c r="T1273" s="153" t="s">
        <v>939</v>
      </c>
      <c r="U1273" s="153" t="s">
        <v>940</v>
      </c>
      <c r="V1273" s="158" t="s">
        <v>6154</v>
      </c>
      <c r="W1273" s="158" t="s">
        <v>206</v>
      </c>
      <c r="X1273" s="158" t="s">
        <v>204</v>
      </c>
      <c r="Y1273" s="158" t="s">
        <v>149</v>
      </c>
      <c r="Z1273" s="158" t="s">
        <v>149</v>
      </c>
      <c r="AA1273" s="158" t="s">
        <v>149</v>
      </c>
      <c r="AB1273" s="153" t="s">
        <v>233</v>
      </c>
      <c r="AC1273" s="158" t="s">
        <v>6068</v>
      </c>
      <c r="AD1273" s="153"/>
      <c r="AE1273" s="153"/>
      <c r="AF1273" s="153"/>
      <c r="AG1273" s="158" t="s">
        <v>6214</v>
      </c>
      <c r="AH1273" s="153" t="s">
        <v>941</v>
      </c>
      <c r="AI1273" s="153" t="s">
        <v>942</v>
      </c>
      <c r="AJ1273" s="153" t="s">
        <v>943</v>
      </c>
      <c r="AK1273" s="153"/>
    </row>
    <row r="1274">
      <c r="A1274" s="152">
        <v>2024.0</v>
      </c>
      <c r="B1274" s="151">
        <v>429.0</v>
      </c>
      <c r="C1274" s="153"/>
      <c r="D1274" s="153"/>
      <c r="E1274" s="153" t="s">
        <v>8189</v>
      </c>
      <c r="F1274" s="153" t="s">
        <v>8890</v>
      </c>
      <c r="G1274" s="153">
        <f>IFERROR(__xludf.DUMMYFUNCTION("""COMPUTED_VALUE"""),788.0)</f>
        <v>788</v>
      </c>
      <c r="H1274" s="153" t="s">
        <v>625</v>
      </c>
      <c r="I1274" s="153" t="s">
        <v>632</v>
      </c>
      <c r="J1274" s="153" t="s">
        <v>847</v>
      </c>
      <c r="K1274" s="153" t="s">
        <v>7167</v>
      </c>
      <c r="L1274" s="158" t="s">
        <v>149</v>
      </c>
      <c r="M1274" s="153" t="s">
        <v>8891</v>
      </c>
      <c r="N1274" s="192">
        <v>2017.0</v>
      </c>
      <c r="O1274" s="158" t="s">
        <v>149</v>
      </c>
      <c r="P1274" s="158" t="s">
        <v>149</v>
      </c>
      <c r="Q1274" s="153" t="s">
        <v>151</v>
      </c>
      <c r="R1274" s="153" t="s">
        <v>2630</v>
      </c>
      <c r="S1274" s="158" t="s">
        <v>2630</v>
      </c>
      <c r="T1274" s="158" t="s">
        <v>149</v>
      </c>
      <c r="U1274" s="158" t="s">
        <v>3219</v>
      </c>
      <c r="V1274" s="158" t="s">
        <v>160</v>
      </c>
      <c r="W1274" s="158" t="s">
        <v>184</v>
      </c>
      <c r="X1274" s="158" t="s">
        <v>159</v>
      </c>
      <c r="Y1274" s="158" t="s">
        <v>149</v>
      </c>
      <c r="Z1274" s="158" t="s">
        <v>149</v>
      </c>
      <c r="AA1274" s="158" t="s">
        <v>7728</v>
      </c>
      <c r="AB1274" s="158" t="s">
        <v>3221</v>
      </c>
      <c r="AC1274" s="158" t="s">
        <v>184</v>
      </c>
      <c r="AD1274" s="153"/>
      <c r="AE1274" s="158"/>
      <c r="AF1274" s="153"/>
      <c r="AG1274" s="158" t="s">
        <v>6038</v>
      </c>
      <c r="AH1274" s="153" t="s">
        <v>3215</v>
      </c>
      <c r="AI1274" s="165" t="s">
        <v>3216</v>
      </c>
      <c r="AJ1274" s="153"/>
      <c r="AK1274" s="153"/>
    </row>
    <row r="1275">
      <c r="A1275" s="152">
        <v>2025.0</v>
      </c>
      <c r="B1275" s="151">
        <v>104.0</v>
      </c>
      <c r="C1275" s="153" t="s">
        <v>8189</v>
      </c>
      <c r="D1275" s="153"/>
      <c r="E1275" s="153" t="s">
        <v>707</v>
      </c>
      <c r="F1275" s="153" t="s">
        <v>6542</v>
      </c>
      <c r="G1275" s="153">
        <f>IFERROR(__xludf.DUMMYFUNCTION("""COMPUTED_VALUE"""),789.0)</f>
        <v>789</v>
      </c>
      <c r="H1275" s="153" t="s">
        <v>293</v>
      </c>
      <c r="I1275" s="153" t="s">
        <v>294</v>
      </c>
      <c r="J1275" s="153" t="s">
        <v>3070</v>
      </c>
      <c r="K1275" s="153" t="s">
        <v>3071</v>
      </c>
      <c r="L1275" s="158" t="s">
        <v>149</v>
      </c>
      <c r="M1275" s="153"/>
      <c r="N1275" s="164" t="s">
        <v>149</v>
      </c>
      <c r="O1275" s="160" t="s">
        <v>149</v>
      </c>
      <c r="P1275" s="160" t="s">
        <v>149</v>
      </c>
      <c r="Q1275" s="153" t="s">
        <v>151</v>
      </c>
      <c r="R1275" s="158" t="s">
        <v>149</v>
      </c>
      <c r="S1275" s="158" t="s">
        <v>149</v>
      </c>
      <c r="T1275" s="158" t="s">
        <v>149</v>
      </c>
      <c r="U1275" s="158" t="s">
        <v>228</v>
      </c>
      <c r="V1275" s="158" t="s">
        <v>160</v>
      </c>
      <c r="W1275" s="158" t="s">
        <v>6035</v>
      </c>
      <c r="X1275" s="158" t="s">
        <v>159</v>
      </c>
      <c r="Y1275" s="158" t="s">
        <v>149</v>
      </c>
      <c r="Z1275" s="158" t="s">
        <v>149</v>
      </c>
      <c r="AA1275" s="153" t="s">
        <v>3072</v>
      </c>
      <c r="AB1275" s="153" t="s">
        <v>228</v>
      </c>
      <c r="AC1275" s="153" t="s">
        <v>6035</v>
      </c>
      <c r="AD1275" s="153" t="s">
        <v>390</v>
      </c>
      <c r="AE1275" s="153"/>
      <c r="AF1275" s="153"/>
      <c r="AG1275" s="158" t="s">
        <v>166</v>
      </c>
      <c r="AH1275" s="153" t="s">
        <v>2736</v>
      </c>
      <c r="AI1275" s="153" t="s">
        <v>2737</v>
      </c>
      <c r="AJ1275" s="153"/>
      <c r="AK1275" s="153"/>
    </row>
    <row r="1276">
      <c r="A1276" s="152">
        <v>2024.0</v>
      </c>
      <c r="B1276" s="151">
        <v>430.0</v>
      </c>
      <c r="C1276" s="153"/>
      <c r="D1276" s="153"/>
      <c r="E1276" s="153" t="s">
        <v>8189</v>
      </c>
      <c r="F1276" s="153" t="s">
        <v>8892</v>
      </c>
      <c r="G1276" s="153">
        <f>IFERROR(__xludf.DUMMYFUNCTION("""COMPUTED_VALUE"""),790.0)</f>
        <v>790</v>
      </c>
      <c r="H1276" s="153" t="s">
        <v>625</v>
      </c>
      <c r="I1276" s="153" t="s">
        <v>632</v>
      </c>
      <c r="J1276" s="153" t="s">
        <v>7175</v>
      </c>
      <c r="K1276" s="153" t="s">
        <v>7176</v>
      </c>
      <c r="L1276" s="158" t="s">
        <v>149</v>
      </c>
      <c r="M1276" s="158"/>
      <c r="N1276" s="192" t="s">
        <v>149</v>
      </c>
      <c r="O1276" s="192" t="s">
        <v>149</v>
      </c>
      <c r="P1276" s="192" t="s">
        <v>149</v>
      </c>
      <c r="Q1276" s="153" t="s">
        <v>151</v>
      </c>
      <c r="R1276" s="158" t="s">
        <v>361</v>
      </c>
      <c r="S1276" s="158" t="s">
        <v>361</v>
      </c>
      <c r="T1276" s="158" t="s">
        <v>2341</v>
      </c>
      <c r="U1276" s="158" t="s">
        <v>2342</v>
      </c>
      <c r="V1276" s="158" t="s">
        <v>160</v>
      </c>
      <c r="W1276" s="158" t="s">
        <v>184</v>
      </c>
      <c r="X1276" s="158" t="s">
        <v>159</v>
      </c>
      <c r="Y1276" s="158" t="s">
        <v>149</v>
      </c>
      <c r="Z1276" s="158" t="s">
        <v>149</v>
      </c>
      <c r="AA1276" s="158" t="s">
        <v>149</v>
      </c>
      <c r="AB1276" s="153" t="s">
        <v>2343</v>
      </c>
      <c r="AC1276" s="153" t="s">
        <v>271</v>
      </c>
      <c r="AD1276" s="153"/>
      <c r="AE1276" s="153" t="s">
        <v>2342</v>
      </c>
      <c r="AF1276" s="153"/>
      <c r="AG1276" s="158" t="s">
        <v>166</v>
      </c>
      <c r="AH1276" s="153" t="s">
        <v>2344</v>
      </c>
      <c r="AI1276" s="165" t="s">
        <v>2345</v>
      </c>
      <c r="AJ1276" s="153"/>
      <c r="AK1276" s="153"/>
    </row>
    <row r="1277">
      <c r="A1277" s="152">
        <v>2025.0</v>
      </c>
      <c r="B1277" s="151">
        <v>105.0</v>
      </c>
      <c r="C1277" s="153" t="s">
        <v>8189</v>
      </c>
      <c r="D1277" s="153"/>
      <c r="E1277" s="153" t="s">
        <v>707</v>
      </c>
      <c r="F1277" s="153" t="s">
        <v>6544</v>
      </c>
      <c r="G1277" s="153">
        <f>IFERROR(__xludf.DUMMYFUNCTION("""COMPUTED_VALUE"""),791.0)</f>
        <v>791</v>
      </c>
      <c r="H1277" s="153" t="s">
        <v>293</v>
      </c>
      <c r="I1277" s="153" t="s">
        <v>294</v>
      </c>
      <c r="J1277" s="153" t="s">
        <v>420</v>
      </c>
      <c r="K1277" s="153" t="s">
        <v>708</v>
      </c>
      <c r="L1277" s="153" t="s">
        <v>709</v>
      </c>
      <c r="M1277" s="153"/>
      <c r="N1277" s="175" t="s">
        <v>6151</v>
      </c>
      <c r="O1277" s="160" t="s">
        <v>149</v>
      </c>
      <c r="P1277" s="160" t="s">
        <v>149</v>
      </c>
      <c r="Q1277" s="153" t="s">
        <v>151</v>
      </c>
      <c r="R1277" s="158" t="s">
        <v>149</v>
      </c>
      <c r="S1277" s="158" t="s">
        <v>149</v>
      </c>
      <c r="T1277" s="153" t="s">
        <v>710</v>
      </c>
      <c r="U1277" s="153" t="s">
        <v>369</v>
      </c>
      <c r="V1277" s="158" t="s">
        <v>160</v>
      </c>
      <c r="W1277" s="158" t="s">
        <v>6035</v>
      </c>
      <c r="X1277" s="158" t="s">
        <v>159</v>
      </c>
      <c r="Y1277" s="158" t="s">
        <v>149</v>
      </c>
      <c r="Z1277" s="158" t="s">
        <v>149</v>
      </c>
      <c r="AA1277" s="158" t="s">
        <v>149</v>
      </c>
      <c r="AB1277" s="153" t="s">
        <v>369</v>
      </c>
      <c r="AC1277" s="153" t="s">
        <v>6035</v>
      </c>
      <c r="AD1277" s="153" t="s">
        <v>711</v>
      </c>
      <c r="AE1277" s="153"/>
      <c r="AF1277" s="153"/>
      <c r="AG1277" s="153" t="s">
        <v>213</v>
      </c>
      <c r="AH1277" s="153" t="s">
        <v>213</v>
      </c>
      <c r="AI1277" s="153"/>
      <c r="AJ1277" s="153" t="s">
        <v>712</v>
      </c>
      <c r="AK1277" s="242" t="s">
        <v>7857</v>
      </c>
    </row>
    <row r="1278">
      <c r="A1278" s="152">
        <v>2024.0</v>
      </c>
      <c r="B1278" s="151">
        <v>431.0</v>
      </c>
      <c r="C1278" s="153"/>
      <c r="D1278" s="153"/>
      <c r="E1278" s="153" t="s">
        <v>8189</v>
      </c>
      <c r="F1278" s="153" t="s">
        <v>8893</v>
      </c>
      <c r="G1278" s="153">
        <f>IFERROR(__xludf.DUMMYFUNCTION("""COMPUTED_VALUE"""),792.0)</f>
        <v>792</v>
      </c>
      <c r="H1278" s="153" t="s">
        <v>625</v>
      </c>
      <c r="I1278" s="153" t="s">
        <v>632</v>
      </c>
      <c r="J1278" s="153" t="s">
        <v>7175</v>
      </c>
      <c r="K1278" s="153" t="s">
        <v>7176</v>
      </c>
      <c r="L1278" s="158" t="s">
        <v>149</v>
      </c>
      <c r="M1278" s="153" t="s">
        <v>3035</v>
      </c>
      <c r="N1278" s="192" t="s">
        <v>149</v>
      </c>
      <c r="O1278" s="230">
        <v>1977.0</v>
      </c>
      <c r="P1278" s="230">
        <v>1978.0</v>
      </c>
      <c r="Q1278" s="153" t="s">
        <v>151</v>
      </c>
      <c r="R1278" s="153" t="s">
        <v>6054</v>
      </c>
      <c r="S1278" s="158" t="s">
        <v>6054</v>
      </c>
      <c r="T1278" s="153" t="s">
        <v>699</v>
      </c>
      <c r="U1278" s="158" t="s">
        <v>3037</v>
      </c>
      <c r="V1278" s="158" t="s">
        <v>160</v>
      </c>
      <c r="W1278" s="158" t="s">
        <v>209</v>
      </c>
      <c r="X1278" s="158" t="s">
        <v>204</v>
      </c>
      <c r="Y1278" s="158" t="s">
        <v>149</v>
      </c>
      <c r="Z1278" s="158" t="s">
        <v>149</v>
      </c>
      <c r="AA1278" s="153" t="s">
        <v>3036</v>
      </c>
      <c r="AB1278" s="153" t="s">
        <v>3037</v>
      </c>
      <c r="AC1278" s="158" t="s">
        <v>6068</v>
      </c>
      <c r="AD1278" s="153" t="s">
        <v>3038</v>
      </c>
      <c r="AE1278" s="153"/>
      <c r="AF1278" s="153"/>
      <c r="AG1278" s="158" t="s">
        <v>395</v>
      </c>
      <c r="AH1278" s="153" t="s">
        <v>7733</v>
      </c>
      <c r="AI1278" s="177" t="s">
        <v>541</v>
      </c>
      <c r="AJ1278" s="153" t="s">
        <v>398</v>
      </c>
      <c r="AK1278" s="153"/>
    </row>
    <row r="1279">
      <c r="A1279" s="152">
        <v>2025.0</v>
      </c>
      <c r="B1279" s="151">
        <v>106.0</v>
      </c>
      <c r="C1279" s="153" t="s">
        <v>8189</v>
      </c>
      <c r="D1279" s="153"/>
      <c r="E1279" s="153" t="s">
        <v>8301</v>
      </c>
      <c r="F1279" s="153" t="s">
        <v>6546</v>
      </c>
      <c r="G1279" s="153">
        <f>IFERROR(__xludf.DUMMYFUNCTION("""COMPUTED_VALUE"""),793.0)</f>
        <v>793</v>
      </c>
      <c r="H1279" s="153" t="s">
        <v>293</v>
      </c>
      <c r="I1279" s="153" t="s">
        <v>294</v>
      </c>
      <c r="J1279" s="153" t="s">
        <v>1291</v>
      </c>
      <c r="K1279" s="153" t="s">
        <v>1292</v>
      </c>
      <c r="L1279" s="153" t="s">
        <v>1174</v>
      </c>
      <c r="M1279" s="153"/>
      <c r="N1279" s="160" t="s">
        <v>6089</v>
      </c>
      <c r="O1279" s="175" t="s">
        <v>6151</v>
      </c>
      <c r="P1279" s="175" t="s">
        <v>6089</v>
      </c>
      <c r="Q1279" s="153" t="s">
        <v>6062</v>
      </c>
      <c r="R1279" s="153" t="s">
        <v>320</v>
      </c>
      <c r="S1279" s="158" t="s">
        <v>179</v>
      </c>
      <c r="T1279" s="158" t="s">
        <v>149</v>
      </c>
      <c r="U1279" s="153" t="s">
        <v>321</v>
      </c>
      <c r="V1279" s="158" t="s">
        <v>160</v>
      </c>
      <c r="W1279" s="158" t="s">
        <v>6035</v>
      </c>
      <c r="X1279" s="158" t="s">
        <v>159</v>
      </c>
      <c r="Y1279" s="158" t="s">
        <v>149</v>
      </c>
      <c r="Z1279" s="158" t="s">
        <v>149</v>
      </c>
      <c r="AA1279" s="158" t="s">
        <v>149</v>
      </c>
      <c r="AB1279" s="153" t="s">
        <v>885</v>
      </c>
      <c r="AC1279" s="158" t="s">
        <v>6068</v>
      </c>
      <c r="AD1279" s="153" t="s">
        <v>1287</v>
      </c>
      <c r="AE1279" s="153"/>
      <c r="AF1279" s="153"/>
      <c r="AG1279" s="158" t="s">
        <v>6069</v>
      </c>
      <c r="AH1279" s="200" t="s">
        <v>8894</v>
      </c>
      <c r="AI1279" s="153" t="s">
        <v>6070</v>
      </c>
      <c r="AJ1279" s="153"/>
      <c r="AK1279" s="153"/>
    </row>
    <row r="1280">
      <c r="A1280" s="152">
        <v>2024.0</v>
      </c>
      <c r="B1280" s="151">
        <v>432.0</v>
      </c>
      <c r="C1280" s="153"/>
      <c r="D1280" s="153"/>
      <c r="E1280" s="153" t="s">
        <v>8189</v>
      </c>
      <c r="F1280" s="153" t="s">
        <v>8895</v>
      </c>
      <c r="G1280" s="153">
        <f>IFERROR(__xludf.DUMMYFUNCTION("""COMPUTED_VALUE"""),794.0)</f>
        <v>794</v>
      </c>
      <c r="H1280" s="153" t="s">
        <v>625</v>
      </c>
      <c r="I1280" s="153" t="s">
        <v>632</v>
      </c>
      <c r="J1280" s="153" t="s">
        <v>7175</v>
      </c>
      <c r="K1280" s="153" t="s">
        <v>7176</v>
      </c>
      <c r="L1280" s="153" t="s">
        <v>934</v>
      </c>
      <c r="M1280" s="153"/>
      <c r="N1280" s="230">
        <v>2001.0</v>
      </c>
      <c r="O1280" s="230">
        <v>2001.0</v>
      </c>
      <c r="P1280" s="230">
        <v>2005.0</v>
      </c>
      <c r="Q1280" s="153" t="s">
        <v>6062</v>
      </c>
      <c r="R1280" s="153" t="s">
        <v>3245</v>
      </c>
      <c r="S1280" s="158" t="s">
        <v>179</v>
      </c>
      <c r="T1280" s="153" t="s">
        <v>939</v>
      </c>
      <c r="U1280" s="153" t="s">
        <v>940</v>
      </c>
      <c r="V1280" s="158" t="s">
        <v>6154</v>
      </c>
      <c r="W1280" s="158" t="s">
        <v>206</v>
      </c>
      <c r="X1280" s="158" t="s">
        <v>204</v>
      </c>
      <c r="Y1280" s="158" t="s">
        <v>149</v>
      </c>
      <c r="Z1280" s="158" t="s">
        <v>149</v>
      </c>
      <c r="AA1280" s="158" t="s">
        <v>149</v>
      </c>
      <c r="AB1280" s="153" t="s">
        <v>233</v>
      </c>
      <c r="AC1280" s="158" t="s">
        <v>6068</v>
      </c>
      <c r="AD1280" s="153"/>
      <c r="AE1280" s="153"/>
      <c r="AF1280" s="153"/>
      <c r="AG1280" s="158" t="s">
        <v>6214</v>
      </c>
      <c r="AH1280" s="153" t="s">
        <v>941</v>
      </c>
      <c r="AI1280" s="172" t="s">
        <v>942</v>
      </c>
      <c r="AJ1280" s="153" t="s">
        <v>943</v>
      </c>
      <c r="AK1280" s="153"/>
    </row>
    <row r="1281">
      <c r="A1281" s="152">
        <v>2023.0</v>
      </c>
      <c r="B1281" s="151">
        <v>107.0</v>
      </c>
      <c r="C1281" s="129" t="s">
        <v>140</v>
      </c>
      <c r="D1281" s="8"/>
      <c r="E1281" s="8" t="s">
        <v>8189</v>
      </c>
      <c r="F1281" s="8" t="s">
        <v>6548</v>
      </c>
      <c r="G1281" s="8">
        <f>IFERROR(__xludf.DUMMYFUNCTION("""COMPUTED_VALUE"""),795.0)</f>
        <v>795</v>
      </c>
      <c r="H1281" s="8" t="s">
        <v>293</v>
      </c>
      <c r="I1281" s="8" t="s">
        <v>294</v>
      </c>
      <c r="J1281" s="8" t="s">
        <v>486</v>
      </c>
      <c r="K1281" s="277" t="s">
        <v>487</v>
      </c>
      <c r="L1281" s="8" t="s">
        <v>384</v>
      </c>
      <c r="M1281" s="8" t="s">
        <v>488</v>
      </c>
      <c r="N1281" s="142" t="s">
        <v>6052</v>
      </c>
      <c r="O1281" s="142" t="s">
        <v>6052</v>
      </c>
      <c r="P1281" s="142" t="s">
        <v>6053</v>
      </c>
      <c r="Q1281" s="8" t="s">
        <v>151</v>
      </c>
      <c r="R1281" s="8" t="s">
        <v>6054</v>
      </c>
      <c r="U1281" s="8" t="s">
        <v>390</v>
      </c>
      <c r="AA1281" s="8" t="s">
        <v>489</v>
      </c>
      <c r="AB1281" s="8" t="s">
        <v>390</v>
      </c>
      <c r="AD1281" s="8" t="s">
        <v>6055</v>
      </c>
      <c r="AH1281" s="8" t="s">
        <v>6057</v>
      </c>
      <c r="AI1281" s="8" t="s">
        <v>2873</v>
      </c>
      <c r="AJ1281" s="8" t="s">
        <v>398</v>
      </c>
    </row>
    <row r="1282">
      <c r="A1282" s="152">
        <v>2024.0</v>
      </c>
      <c r="B1282" s="151">
        <v>433.0</v>
      </c>
      <c r="C1282" s="153"/>
      <c r="D1282" s="153"/>
      <c r="E1282" s="153" t="s">
        <v>8189</v>
      </c>
      <c r="F1282" s="153" t="s">
        <v>8896</v>
      </c>
      <c r="G1282" s="153">
        <f>IFERROR(__xludf.DUMMYFUNCTION("""COMPUTED_VALUE"""),796.0)</f>
        <v>796</v>
      </c>
      <c r="H1282" s="153" t="s">
        <v>625</v>
      </c>
      <c r="I1282" s="153" t="s">
        <v>632</v>
      </c>
      <c r="J1282" s="153" t="s">
        <v>2697</v>
      </c>
      <c r="K1282" s="153" t="s">
        <v>7189</v>
      </c>
      <c r="L1282" s="158" t="s">
        <v>149</v>
      </c>
      <c r="M1282" s="158" t="s">
        <v>2699</v>
      </c>
      <c r="N1282" s="192" t="s">
        <v>149</v>
      </c>
      <c r="O1282" s="192" t="s">
        <v>149</v>
      </c>
      <c r="P1282" s="192" t="s">
        <v>149</v>
      </c>
      <c r="Q1282" s="153" t="s">
        <v>151</v>
      </c>
      <c r="R1282" s="158" t="s">
        <v>7695</v>
      </c>
      <c r="S1282" s="158" t="s">
        <v>7695</v>
      </c>
      <c r="T1282" s="158" t="s">
        <v>149</v>
      </c>
      <c r="U1282" s="158" t="s">
        <v>149</v>
      </c>
      <c r="V1282" s="158" t="s">
        <v>149</v>
      </c>
      <c r="W1282" s="158" t="s">
        <v>149</v>
      </c>
      <c r="X1282" s="158" t="s">
        <v>149</v>
      </c>
      <c r="Y1282" s="158" t="s">
        <v>149</v>
      </c>
      <c r="Z1282" s="153" t="s">
        <v>7190</v>
      </c>
      <c r="AA1282" s="158" t="s">
        <v>149</v>
      </c>
      <c r="AB1282" s="158" t="s">
        <v>149</v>
      </c>
      <c r="AC1282" s="158" t="s">
        <v>149</v>
      </c>
      <c r="AD1282" s="153"/>
      <c r="AE1282" s="153"/>
      <c r="AF1282" s="153"/>
      <c r="AG1282" s="158" t="s">
        <v>395</v>
      </c>
      <c r="AH1282" s="153" t="s">
        <v>6060</v>
      </c>
      <c r="AI1282" s="177" t="s">
        <v>541</v>
      </c>
      <c r="AJ1282" s="153" t="s">
        <v>398</v>
      </c>
      <c r="AK1282" s="153"/>
    </row>
    <row r="1283">
      <c r="A1283" s="152">
        <v>2025.0</v>
      </c>
      <c r="B1283" s="151">
        <v>107.0</v>
      </c>
      <c r="C1283" s="153" t="s">
        <v>8189</v>
      </c>
      <c r="D1283" s="153"/>
      <c r="E1283" s="153" t="s">
        <v>8301</v>
      </c>
      <c r="F1283" s="153" t="s">
        <v>6549</v>
      </c>
      <c r="G1283" s="153">
        <f>IFERROR(__xludf.DUMMYFUNCTION("""COMPUTED_VALUE"""),797.0)</f>
        <v>797</v>
      </c>
      <c r="H1283" s="153" t="s">
        <v>293</v>
      </c>
      <c r="I1283" s="153" t="s">
        <v>294</v>
      </c>
      <c r="J1283" s="153" t="s">
        <v>1291</v>
      </c>
      <c r="K1283" s="153" t="s">
        <v>1292</v>
      </c>
      <c r="L1283" s="153" t="s">
        <v>1683</v>
      </c>
      <c r="M1283" s="153"/>
      <c r="N1283" s="160" t="s">
        <v>6268</v>
      </c>
      <c r="O1283" s="175" t="s">
        <v>6063</v>
      </c>
      <c r="P1283" s="175" t="s">
        <v>6064</v>
      </c>
      <c r="Q1283" s="153" t="s">
        <v>6062</v>
      </c>
      <c r="R1283" s="153" t="s">
        <v>320</v>
      </c>
      <c r="S1283" s="158" t="s">
        <v>179</v>
      </c>
      <c r="T1283" s="158" t="s">
        <v>149</v>
      </c>
      <c r="U1283" s="153" t="s">
        <v>321</v>
      </c>
      <c r="V1283" s="158" t="s">
        <v>160</v>
      </c>
      <c r="W1283" s="158" t="s">
        <v>6035</v>
      </c>
      <c r="X1283" s="158" t="s">
        <v>159</v>
      </c>
      <c r="Y1283" s="158" t="s">
        <v>149</v>
      </c>
      <c r="Z1283" s="158" t="s">
        <v>149</v>
      </c>
      <c r="AA1283" s="153" t="s">
        <v>1706</v>
      </c>
      <c r="AB1283" s="153" t="s">
        <v>1703</v>
      </c>
      <c r="AC1283" s="153" t="s">
        <v>306</v>
      </c>
      <c r="AD1283" s="153" t="s">
        <v>1287</v>
      </c>
      <c r="AE1283" s="153"/>
      <c r="AF1283" s="153"/>
      <c r="AG1283" s="158" t="s">
        <v>6069</v>
      </c>
      <c r="AH1283" s="153" t="s">
        <v>1300</v>
      </c>
      <c r="AI1283" s="153" t="s">
        <v>6070</v>
      </c>
      <c r="AJ1283" s="153"/>
      <c r="AK1283" s="153"/>
    </row>
    <row r="1284">
      <c r="A1284" s="152">
        <v>2024.0</v>
      </c>
      <c r="B1284" s="151">
        <v>434.0</v>
      </c>
      <c r="C1284" s="153"/>
      <c r="D1284" s="153"/>
      <c r="E1284" s="153" t="s">
        <v>8189</v>
      </c>
      <c r="F1284" s="153" t="s">
        <v>8897</v>
      </c>
      <c r="G1284" s="153">
        <f>IFERROR(__xludf.DUMMYFUNCTION("""COMPUTED_VALUE"""),798.0)</f>
        <v>798</v>
      </c>
      <c r="H1284" s="153" t="s">
        <v>625</v>
      </c>
      <c r="I1284" s="153" t="s">
        <v>632</v>
      </c>
      <c r="J1284" s="153" t="s">
        <v>2202</v>
      </c>
      <c r="K1284" s="153" t="s">
        <v>7737</v>
      </c>
      <c r="L1284" s="153" t="s">
        <v>6587</v>
      </c>
      <c r="M1284" s="153" t="s">
        <v>7700</v>
      </c>
      <c r="N1284" s="158" t="s">
        <v>149</v>
      </c>
      <c r="O1284" s="230">
        <v>2012.0</v>
      </c>
      <c r="P1284" s="158" t="s">
        <v>149</v>
      </c>
      <c r="Q1284" s="153" t="s">
        <v>151</v>
      </c>
      <c r="R1284" s="158" t="s">
        <v>149</v>
      </c>
      <c r="S1284" s="158" t="s">
        <v>149</v>
      </c>
      <c r="T1284" s="153" t="s">
        <v>7101</v>
      </c>
      <c r="U1284" s="153" t="s">
        <v>341</v>
      </c>
      <c r="V1284" s="158" t="s">
        <v>160</v>
      </c>
      <c r="W1284" s="158" t="s">
        <v>6035</v>
      </c>
      <c r="X1284" s="158" t="s">
        <v>159</v>
      </c>
      <c r="Y1284" s="158" t="s">
        <v>149</v>
      </c>
      <c r="Z1284" s="158" t="s">
        <v>149</v>
      </c>
      <c r="AA1284" s="158" t="s">
        <v>149</v>
      </c>
      <c r="AB1284" s="153" t="s">
        <v>2160</v>
      </c>
      <c r="AC1284" s="153" t="s">
        <v>6035</v>
      </c>
      <c r="AD1284" s="153"/>
      <c r="AE1284" s="153"/>
      <c r="AF1284" s="153"/>
      <c r="AG1284" s="158" t="s">
        <v>166</v>
      </c>
      <c r="AH1284" s="153" t="s">
        <v>2161</v>
      </c>
      <c r="AI1284" s="165" t="s">
        <v>2162</v>
      </c>
      <c r="AJ1284" s="153"/>
      <c r="AK1284" s="153"/>
    </row>
    <row r="1285">
      <c r="A1285" s="152">
        <v>2023.0</v>
      </c>
      <c r="B1285" s="151">
        <v>108.0</v>
      </c>
      <c r="C1285" s="129" t="s">
        <v>140</v>
      </c>
      <c r="D1285" s="8"/>
      <c r="E1285" s="8" t="s">
        <v>8189</v>
      </c>
      <c r="F1285" s="8" t="s">
        <v>6552</v>
      </c>
      <c r="G1285" s="8">
        <f>IFERROR(__xludf.DUMMYFUNCTION("""COMPUTED_VALUE"""),799.0)</f>
        <v>799</v>
      </c>
      <c r="H1285" s="8" t="s">
        <v>293</v>
      </c>
      <c r="I1285" s="8" t="s">
        <v>294</v>
      </c>
      <c r="J1285" s="8" t="s">
        <v>295</v>
      </c>
      <c r="K1285" s="153" t="s">
        <v>296</v>
      </c>
      <c r="L1285" s="8" t="s">
        <v>6553</v>
      </c>
      <c r="N1285" s="142" t="s">
        <v>6145</v>
      </c>
      <c r="O1285" s="142" t="s">
        <v>6145</v>
      </c>
      <c r="P1285" s="142" t="s">
        <v>16</v>
      </c>
      <c r="Q1285" s="8" t="s">
        <v>6062</v>
      </c>
      <c r="R1285" s="8" t="s">
        <v>1112</v>
      </c>
      <c r="T1285" s="8" t="s">
        <v>304</v>
      </c>
      <c r="U1285" s="8" t="s">
        <v>305</v>
      </c>
      <c r="AB1285" s="8" t="s">
        <v>6531</v>
      </c>
      <c r="AD1285" s="8" t="s">
        <v>6532</v>
      </c>
      <c r="AE1285" s="8" t="s">
        <v>6533</v>
      </c>
      <c r="AH1285" s="8" t="s">
        <v>213</v>
      </c>
      <c r="AJ1285" s="8" t="s">
        <v>311</v>
      </c>
      <c r="AK1285" s="172" t="s">
        <v>312</v>
      </c>
    </row>
    <row r="1286">
      <c r="A1286" s="152">
        <v>2024.0</v>
      </c>
      <c r="B1286" s="151">
        <v>435.0</v>
      </c>
      <c r="C1286" s="153"/>
      <c r="D1286" s="153"/>
      <c r="E1286" s="153" t="s">
        <v>8189</v>
      </c>
      <c r="F1286" s="153" t="s">
        <v>8898</v>
      </c>
      <c r="G1286" s="153">
        <f>IFERROR(__xludf.DUMMYFUNCTION("""COMPUTED_VALUE"""),800.0)</f>
        <v>800</v>
      </c>
      <c r="H1286" s="153" t="s">
        <v>625</v>
      </c>
      <c r="I1286" s="153" t="s">
        <v>632</v>
      </c>
      <c r="J1286" s="153" t="s">
        <v>1667</v>
      </c>
      <c r="K1286" s="153" t="s">
        <v>7195</v>
      </c>
      <c r="L1286" s="158" t="s">
        <v>149</v>
      </c>
      <c r="M1286" s="158" t="s">
        <v>2704</v>
      </c>
      <c r="N1286" s="192" t="s">
        <v>149</v>
      </c>
      <c r="O1286" s="192" t="s">
        <v>149</v>
      </c>
      <c r="P1286" s="192" t="s">
        <v>149</v>
      </c>
      <c r="Q1286" s="153" t="s">
        <v>151</v>
      </c>
      <c r="R1286" s="158" t="s">
        <v>7695</v>
      </c>
      <c r="S1286" s="158" t="s">
        <v>7695</v>
      </c>
      <c r="T1286" s="158" t="s">
        <v>149</v>
      </c>
      <c r="U1286" s="158" t="s">
        <v>149</v>
      </c>
      <c r="V1286" s="158" t="s">
        <v>149</v>
      </c>
      <c r="W1286" s="158" t="s">
        <v>149</v>
      </c>
      <c r="X1286" s="158" t="s">
        <v>149</v>
      </c>
      <c r="Y1286" s="158" t="s">
        <v>149</v>
      </c>
      <c r="Z1286" s="153" t="s">
        <v>7196</v>
      </c>
      <c r="AA1286" s="158" t="s">
        <v>149</v>
      </c>
      <c r="AB1286" s="158" t="s">
        <v>149</v>
      </c>
      <c r="AC1286" s="158" t="s">
        <v>149</v>
      </c>
      <c r="AD1286" s="153"/>
      <c r="AE1286" s="153"/>
      <c r="AF1286" s="153"/>
      <c r="AG1286" s="158" t="s">
        <v>395</v>
      </c>
      <c r="AH1286" s="153" t="s">
        <v>6060</v>
      </c>
      <c r="AI1286" s="177" t="s">
        <v>541</v>
      </c>
      <c r="AJ1286" s="153" t="s">
        <v>398</v>
      </c>
      <c r="AK1286" s="153"/>
    </row>
    <row r="1287">
      <c r="A1287" s="152">
        <v>2025.0</v>
      </c>
      <c r="B1287" s="151">
        <v>108.0</v>
      </c>
      <c r="C1287" s="153" t="s">
        <v>8189</v>
      </c>
      <c r="D1287" s="153"/>
      <c r="E1287" s="153" t="s">
        <v>707</v>
      </c>
      <c r="F1287" s="153" t="s">
        <v>6550</v>
      </c>
      <c r="G1287" s="153">
        <f>IFERROR(__xludf.DUMMYFUNCTION("""COMPUTED_VALUE"""),801.0)</f>
        <v>801</v>
      </c>
      <c r="H1287" s="153" t="s">
        <v>293</v>
      </c>
      <c r="I1287" s="153" t="s">
        <v>294</v>
      </c>
      <c r="J1287" s="153" t="s">
        <v>1291</v>
      </c>
      <c r="K1287" s="153" t="s">
        <v>1292</v>
      </c>
      <c r="L1287" s="158" t="s">
        <v>149</v>
      </c>
      <c r="M1287" s="153"/>
      <c r="N1287" s="175" t="s">
        <v>6151</v>
      </c>
      <c r="O1287" s="160" t="s">
        <v>149</v>
      </c>
      <c r="P1287" s="160" t="s">
        <v>149</v>
      </c>
      <c r="Q1287" s="153" t="s">
        <v>151</v>
      </c>
      <c r="R1287" s="158" t="s">
        <v>149</v>
      </c>
      <c r="S1287" s="158" t="s">
        <v>149</v>
      </c>
      <c r="T1287" s="153" t="s">
        <v>6551</v>
      </c>
      <c r="U1287" s="153" t="s">
        <v>228</v>
      </c>
      <c r="V1287" s="158" t="s">
        <v>160</v>
      </c>
      <c r="W1287" s="158" t="s">
        <v>6035</v>
      </c>
      <c r="X1287" s="158" t="s">
        <v>159</v>
      </c>
      <c r="Y1287" s="158" t="s">
        <v>149</v>
      </c>
      <c r="Z1287" s="158" t="s">
        <v>149</v>
      </c>
      <c r="AA1287" s="158" t="s">
        <v>149</v>
      </c>
      <c r="AB1287" s="153" t="s">
        <v>228</v>
      </c>
      <c r="AC1287" s="153" t="s">
        <v>6035</v>
      </c>
      <c r="AD1287" s="153" t="s">
        <v>1628</v>
      </c>
      <c r="AE1287" s="153"/>
      <c r="AF1287" s="153"/>
      <c r="AG1287" s="158" t="s">
        <v>166</v>
      </c>
      <c r="AH1287" s="153" t="s">
        <v>2736</v>
      </c>
      <c r="AI1287" s="165" t="s">
        <v>2737</v>
      </c>
      <c r="AJ1287" s="153"/>
      <c r="AK1287" s="153"/>
    </row>
    <row r="1288">
      <c r="A1288" s="152">
        <v>2024.0</v>
      </c>
      <c r="B1288" s="151">
        <v>436.0</v>
      </c>
      <c r="C1288" s="153"/>
      <c r="D1288" s="153"/>
      <c r="E1288" s="153" t="s">
        <v>8189</v>
      </c>
      <c r="F1288" s="153" t="s">
        <v>8899</v>
      </c>
      <c r="G1288" s="153">
        <f>IFERROR(__xludf.DUMMYFUNCTION("""COMPUTED_VALUE"""),802.0)</f>
        <v>802</v>
      </c>
      <c r="H1288" s="153" t="s">
        <v>625</v>
      </c>
      <c r="I1288" s="153" t="s">
        <v>632</v>
      </c>
      <c r="J1288" s="153" t="s">
        <v>633</v>
      </c>
      <c r="K1288" s="153" t="s">
        <v>7200</v>
      </c>
      <c r="L1288" s="153" t="s">
        <v>384</v>
      </c>
      <c r="M1288" s="153" t="s">
        <v>635</v>
      </c>
      <c r="N1288" s="230">
        <v>1986.0</v>
      </c>
      <c r="O1288" s="230">
        <v>1985.0</v>
      </c>
      <c r="P1288" s="230">
        <v>1987.0</v>
      </c>
      <c r="Q1288" s="153" t="s">
        <v>151</v>
      </c>
      <c r="R1288" s="153" t="s">
        <v>6054</v>
      </c>
      <c r="S1288" s="158" t="s">
        <v>6054</v>
      </c>
      <c r="T1288" s="158" t="s">
        <v>149</v>
      </c>
      <c r="U1288" s="153" t="s">
        <v>390</v>
      </c>
      <c r="V1288" s="158" t="s">
        <v>160</v>
      </c>
      <c r="W1288" s="158" t="s">
        <v>6035</v>
      </c>
      <c r="X1288" s="158" t="s">
        <v>159</v>
      </c>
      <c r="Y1288" s="158" t="s">
        <v>149</v>
      </c>
      <c r="Z1288" s="158" t="s">
        <v>149</v>
      </c>
      <c r="AA1288" s="153" t="s">
        <v>162</v>
      </c>
      <c r="AB1288" s="153" t="s">
        <v>390</v>
      </c>
      <c r="AC1288" s="153" t="s">
        <v>6035</v>
      </c>
      <c r="AD1288" s="153" t="s">
        <v>6055</v>
      </c>
      <c r="AE1288" s="153"/>
      <c r="AF1288" s="153"/>
      <c r="AG1288" s="158" t="s">
        <v>395</v>
      </c>
      <c r="AH1288" s="153" t="s">
        <v>6060</v>
      </c>
      <c r="AI1288" s="177" t="s">
        <v>541</v>
      </c>
      <c r="AJ1288" s="153" t="s">
        <v>398</v>
      </c>
      <c r="AK1288" s="153"/>
    </row>
    <row r="1289">
      <c r="A1289" s="152">
        <v>2023.0</v>
      </c>
      <c r="B1289" s="151">
        <v>109.0</v>
      </c>
      <c r="C1289" s="129" t="s">
        <v>140</v>
      </c>
      <c r="D1289" s="8"/>
      <c r="E1289" s="8" t="s">
        <v>8189</v>
      </c>
      <c r="F1289" s="8" t="s">
        <v>6554</v>
      </c>
      <c r="G1289" s="8">
        <f>IFERROR(__xludf.DUMMYFUNCTION("""COMPUTED_VALUE"""),803.0)</f>
        <v>803</v>
      </c>
      <c r="H1289" s="8" t="s">
        <v>293</v>
      </c>
      <c r="I1289" s="8" t="s">
        <v>294</v>
      </c>
      <c r="J1289" s="8" t="s">
        <v>295</v>
      </c>
      <c r="K1289" s="153" t="s">
        <v>296</v>
      </c>
      <c r="L1289" s="8" t="s">
        <v>6553</v>
      </c>
      <c r="N1289" s="142" t="s">
        <v>6145</v>
      </c>
      <c r="O1289" s="142" t="s">
        <v>6145</v>
      </c>
      <c r="P1289" s="142" t="s">
        <v>16</v>
      </c>
      <c r="Q1289" s="8" t="s">
        <v>6221</v>
      </c>
      <c r="T1289" s="8" t="s">
        <v>304</v>
      </c>
      <c r="U1289" s="8" t="s">
        <v>305</v>
      </c>
      <c r="AB1289" s="8" t="s">
        <v>6531</v>
      </c>
      <c r="AD1289" s="8" t="s">
        <v>6532</v>
      </c>
      <c r="AE1289" s="8" t="s">
        <v>6533</v>
      </c>
      <c r="AH1289" s="8" t="s">
        <v>213</v>
      </c>
      <c r="AJ1289" s="8" t="s">
        <v>311</v>
      </c>
      <c r="AK1289" s="8" t="s">
        <v>312</v>
      </c>
    </row>
    <row r="1290">
      <c r="A1290" s="152">
        <v>2024.0</v>
      </c>
      <c r="B1290" s="151">
        <v>437.0</v>
      </c>
      <c r="C1290" s="153"/>
      <c r="D1290" s="153"/>
      <c r="E1290" s="153" t="s">
        <v>8189</v>
      </c>
      <c r="F1290" s="153" t="s">
        <v>8900</v>
      </c>
      <c r="G1290" s="153">
        <f>IFERROR(__xludf.DUMMYFUNCTION("""COMPUTED_VALUE"""),804.0)</f>
        <v>804</v>
      </c>
      <c r="H1290" s="153" t="s">
        <v>625</v>
      </c>
      <c r="I1290" s="153" t="s">
        <v>632</v>
      </c>
      <c r="J1290" s="153" t="s">
        <v>633</v>
      </c>
      <c r="K1290" s="153" t="s">
        <v>7200</v>
      </c>
      <c r="L1290" s="158" t="s">
        <v>149</v>
      </c>
      <c r="M1290" s="158" t="s">
        <v>2708</v>
      </c>
      <c r="N1290" s="192" t="s">
        <v>149</v>
      </c>
      <c r="O1290" s="192" t="s">
        <v>149</v>
      </c>
      <c r="P1290" s="192" t="s">
        <v>149</v>
      </c>
      <c r="Q1290" s="153" t="s">
        <v>151</v>
      </c>
      <c r="R1290" s="158" t="s">
        <v>7695</v>
      </c>
      <c r="S1290" s="158" t="s">
        <v>7695</v>
      </c>
      <c r="T1290" s="158" t="s">
        <v>149</v>
      </c>
      <c r="U1290" s="158" t="s">
        <v>149</v>
      </c>
      <c r="V1290" s="158" t="s">
        <v>149</v>
      </c>
      <c r="W1290" s="158" t="s">
        <v>149</v>
      </c>
      <c r="X1290" s="158" t="s">
        <v>149</v>
      </c>
      <c r="Y1290" s="158" t="s">
        <v>149</v>
      </c>
      <c r="Z1290" s="153" t="s">
        <v>7203</v>
      </c>
      <c r="AA1290" s="158" t="s">
        <v>149</v>
      </c>
      <c r="AB1290" s="158" t="s">
        <v>149</v>
      </c>
      <c r="AC1290" s="158" t="s">
        <v>149</v>
      </c>
      <c r="AD1290" s="153"/>
      <c r="AE1290" s="153"/>
      <c r="AF1290" s="153"/>
      <c r="AG1290" s="158" t="s">
        <v>395</v>
      </c>
      <c r="AH1290" s="153" t="s">
        <v>6060</v>
      </c>
      <c r="AI1290" s="172" t="s">
        <v>541</v>
      </c>
      <c r="AJ1290" s="153" t="s">
        <v>398</v>
      </c>
      <c r="AK1290" s="153"/>
    </row>
    <row r="1291">
      <c r="A1291" s="152">
        <v>2025.0</v>
      </c>
      <c r="B1291" s="151">
        <v>109.0</v>
      </c>
      <c r="C1291" s="153" t="s">
        <v>8189</v>
      </c>
      <c r="D1291" s="153"/>
      <c r="E1291" s="153" t="s">
        <v>707</v>
      </c>
      <c r="F1291" s="153" t="s">
        <v>6555</v>
      </c>
      <c r="G1291" s="153">
        <f>IFERROR(__xludf.DUMMYFUNCTION("""COMPUTED_VALUE"""),805.0)</f>
        <v>805</v>
      </c>
      <c r="H1291" s="153" t="s">
        <v>293</v>
      </c>
      <c r="I1291" s="153" t="s">
        <v>294</v>
      </c>
      <c r="J1291" s="153" t="s">
        <v>1291</v>
      </c>
      <c r="K1291" s="153" t="s">
        <v>1292</v>
      </c>
      <c r="L1291" s="158" t="s">
        <v>149</v>
      </c>
      <c r="M1291" s="153"/>
      <c r="N1291" s="175" t="s">
        <v>6030</v>
      </c>
      <c r="O1291" s="160" t="s">
        <v>149</v>
      </c>
      <c r="P1291" s="160" t="s">
        <v>149</v>
      </c>
      <c r="Q1291" s="153" t="s">
        <v>151</v>
      </c>
      <c r="R1291" s="153" t="s">
        <v>851</v>
      </c>
      <c r="S1291" s="158" t="s">
        <v>851</v>
      </c>
      <c r="T1291" s="153" t="s">
        <v>6556</v>
      </c>
      <c r="U1291" s="153" t="s">
        <v>1941</v>
      </c>
      <c r="V1291" s="158" t="s">
        <v>160</v>
      </c>
      <c r="W1291" s="158" t="s">
        <v>184</v>
      </c>
      <c r="X1291" s="158" t="s">
        <v>159</v>
      </c>
      <c r="Y1291" s="158" t="s">
        <v>149</v>
      </c>
      <c r="Z1291" s="158" t="s">
        <v>149</v>
      </c>
      <c r="AA1291" s="153" t="s">
        <v>6557</v>
      </c>
      <c r="AB1291" s="153" t="s">
        <v>1941</v>
      </c>
      <c r="AC1291" s="158" t="s">
        <v>184</v>
      </c>
      <c r="AD1291" s="153"/>
      <c r="AE1291" s="153" t="s">
        <v>1703</v>
      </c>
      <c r="AF1291" s="153"/>
      <c r="AG1291" s="158" t="s">
        <v>166</v>
      </c>
      <c r="AH1291" s="153" t="s">
        <v>6558</v>
      </c>
      <c r="AI1291" s="165" t="s">
        <v>1945</v>
      </c>
      <c r="AJ1291" s="153"/>
      <c r="AK1291" s="153"/>
    </row>
    <row r="1292">
      <c r="A1292" s="152">
        <v>2024.0</v>
      </c>
      <c r="B1292" s="151">
        <v>438.0</v>
      </c>
      <c r="C1292" s="153"/>
      <c r="D1292" s="153"/>
      <c r="E1292" s="153" t="s">
        <v>8189</v>
      </c>
      <c r="F1292" s="153" t="s">
        <v>8901</v>
      </c>
      <c r="G1292" s="153">
        <f>IFERROR(__xludf.DUMMYFUNCTION("""COMPUTED_VALUE"""),806.0)</f>
        <v>806</v>
      </c>
      <c r="H1292" s="153" t="s">
        <v>625</v>
      </c>
      <c r="I1292" s="153" t="s">
        <v>632</v>
      </c>
      <c r="J1292" s="153" t="s">
        <v>2206</v>
      </c>
      <c r="K1292" s="153" t="s">
        <v>7742</v>
      </c>
      <c r="L1292" s="153" t="s">
        <v>6587</v>
      </c>
      <c r="M1292" s="153" t="s">
        <v>7700</v>
      </c>
      <c r="N1292" s="158" t="s">
        <v>149</v>
      </c>
      <c r="O1292" s="230">
        <v>2012.0</v>
      </c>
      <c r="P1292" s="158" t="s">
        <v>149</v>
      </c>
      <c r="Q1292" s="153" t="s">
        <v>151</v>
      </c>
      <c r="R1292" s="158" t="s">
        <v>149</v>
      </c>
      <c r="S1292" s="158" t="s">
        <v>149</v>
      </c>
      <c r="T1292" s="153" t="s">
        <v>7101</v>
      </c>
      <c r="U1292" s="153" t="s">
        <v>341</v>
      </c>
      <c r="V1292" s="158" t="s">
        <v>160</v>
      </c>
      <c r="W1292" s="158" t="s">
        <v>6035</v>
      </c>
      <c r="X1292" s="158" t="s">
        <v>159</v>
      </c>
      <c r="Y1292" s="158" t="s">
        <v>149</v>
      </c>
      <c r="Z1292" s="158" t="s">
        <v>149</v>
      </c>
      <c r="AA1292" s="158" t="s">
        <v>149</v>
      </c>
      <c r="AB1292" s="153" t="s">
        <v>2160</v>
      </c>
      <c r="AC1292" s="153" t="s">
        <v>6035</v>
      </c>
      <c r="AD1292" s="153"/>
      <c r="AE1292" s="153"/>
      <c r="AF1292" s="153"/>
      <c r="AG1292" s="158" t="s">
        <v>166</v>
      </c>
      <c r="AH1292" s="153" t="s">
        <v>2161</v>
      </c>
      <c r="AI1292" s="165" t="s">
        <v>2162</v>
      </c>
      <c r="AJ1292" s="153"/>
      <c r="AK1292" s="153"/>
    </row>
    <row r="1293">
      <c r="A1293" s="152">
        <v>2023.0</v>
      </c>
      <c r="B1293" s="151">
        <v>110.0</v>
      </c>
      <c r="C1293" s="129" t="s">
        <v>140</v>
      </c>
      <c r="D1293" s="8"/>
      <c r="E1293" s="8" t="s">
        <v>8189</v>
      </c>
      <c r="F1293" s="8" t="s">
        <v>6561</v>
      </c>
      <c r="G1293" s="8">
        <f>IFERROR(__xludf.DUMMYFUNCTION("""COMPUTED_VALUE"""),807.0)</f>
        <v>807</v>
      </c>
      <c r="H1293" s="8" t="s">
        <v>293</v>
      </c>
      <c r="I1293" s="8" t="s">
        <v>294</v>
      </c>
      <c r="J1293" s="8" t="s">
        <v>950</v>
      </c>
      <c r="K1293" s="198" t="s">
        <v>951</v>
      </c>
      <c r="L1293" s="8" t="s">
        <v>934</v>
      </c>
      <c r="N1293" s="142" t="s">
        <v>6229</v>
      </c>
      <c r="O1293" s="142" t="s">
        <v>6229</v>
      </c>
      <c r="P1293" s="142" t="s">
        <v>6230</v>
      </c>
      <c r="Q1293" s="8" t="s">
        <v>6062</v>
      </c>
      <c r="R1293" s="8" t="s">
        <v>6276</v>
      </c>
      <c r="T1293" s="8" t="s">
        <v>939</v>
      </c>
      <c r="U1293" s="8" t="s">
        <v>940</v>
      </c>
      <c r="AB1293" s="8" t="s">
        <v>233</v>
      </c>
      <c r="AH1293" s="8" t="s">
        <v>6214</v>
      </c>
      <c r="AI1293" s="8" t="s">
        <v>942</v>
      </c>
      <c r="AJ1293" s="8" t="s">
        <v>943</v>
      </c>
    </row>
    <row r="1294">
      <c r="A1294" s="152">
        <v>2023.0</v>
      </c>
      <c r="B1294" s="151">
        <v>111.0</v>
      </c>
      <c r="C1294" s="129" t="s">
        <v>140</v>
      </c>
      <c r="D1294" s="8"/>
      <c r="E1294" s="8" t="s">
        <v>8189</v>
      </c>
      <c r="F1294" s="8" t="s">
        <v>8902</v>
      </c>
      <c r="G1294" s="8">
        <f>IFERROR(__xludf.DUMMYFUNCTION("""COMPUTED_VALUE"""),808.0)</f>
        <v>808</v>
      </c>
      <c r="H1294" s="8" t="s">
        <v>293</v>
      </c>
      <c r="I1294" s="8" t="s">
        <v>294</v>
      </c>
      <c r="J1294" s="8" t="s">
        <v>3070</v>
      </c>
      <c r="K1294" s="153" t="s">
        <v>3071</v>
      </c>
      <c r="L1294" s="8" t="s">
        <v>6113</v>
      </c>
      <c r="N1294" s="142"/>
      <c r="O1294" s="142"/>
      <c r="P1294" s="142"/>
      <c r="Q1294" s="8" t="s">
        <v>151</v>
      </c>
      <c r="AH1294" s="8" t="s">
        <v>166</v>
      </c>
      <c r="AI1294" s="8" t="s">
        <v>2737</v>
      </c>
    </row>
    <row r="1295">
      <c r="A1295" s="152">
        <v>2024.0</v>
      </c>
      <c r="B1295" s="151">
        <v>439.0</v>
      </c>
      <c r="C1295" s="153"/>
      <c r="D1295" s="153"/>
      <c r="E1295" s="153" t="s">
        <v>8189</v>
      </c>
      <c r="F1295" s="153" t="s">
        <v>8903</v>
      </c>
      <c r="G1295" s="153">
        <f>IFERROR(__xludf.DUMMYFUNCTION("""COMPUTED_VALUE"""),809.0)</f>
        <v>809</v>
      </c>
      <c r="H1295" s="153" t="s">
        <v>625</v>
      </c>
      <c r="I1295" s="153" t="s">
        <v>632</v>
      </c>
      <c r="J1295" s="153" t="s">
        <v>637</v>
      </c>
      <c r="K1295" s="153" t="s">
        <v>7206</v>
      </c>
      <c r="L1295" s="153" t="s">
        <v>384</v>
      </c>
      <c r="M1295" s="153" t="s">
        <v>639</v>
      </c>
      <c r="N1295" s="230">
        <v>1986.0</v>
      </c>
      <c r="O1295" s="230">
        <v>1985.0</v>
      </c>
      <c r="P1295" s="230">
        <v>1987.0</v>
      </c>
      <c r="Q1295" s="153" t="s">
        <v>151</v>
      </c>
      <c r="R1295" s="153" t="s">
        <v>6054</v>
      </c>
      <c r="S1295" s="158" t="s">
        <v>6054</v>
      </c>
      <c r="T1295" s="158" t="s">
        <v>149</v>
      </c>
      <c r="U1295" s="153" t="s">
        <v>390</v>
      </c>
      <c r="V1295" s="158" t="s">
        <v>160</v>
      </c>
      <c r="W1295" s="158" t="s">
        <v>6035</v>
      </c>
      <c r="X1295" s="158" t="s">
        <v>159</v>
      </c>
      <c r="Y1295" s="158" t="s">
        <v>149</v>
      </c>
      <c r="Z1295" s="158" t="s">
        <v>149</v>
      </c>
      <c r="AA1295" s="153" t="s">
        <v>640</v>
      </c>
      <c r="AB1295" s="153" t="s">
        <v>390</v>
      </c>
      <c r="AC1295" s="153" t="s">
        <v>6035</v>
      </c>
      <c r="AD1295" s="153" t="s">
        <v>6055</v>
      </c>
      <c r="AE1295" s="153"/>
      <c r="AF1295" s="153"/>
      <c r="AG1295" s="158" t="s">
        <v>395</v>
      </c>
      <c r="AH1295" s="153" t="s">
        <v>6060</v>
      </c>
      <c r="AI1295" s="177" t="s">
        <v>541</v>
      </c>
      <c r="AJ1295" s="153" t="s">
        <v>398</v>
      </c>
      <c r="AK1295" s="153"/>
    </row>
    <row r="1296">
      <c r="A1296" s="152">
        <v>2023.0</v>
      </c>
      <c r="B1296" s="151">
        <v>112.0</v>
      </c>
      <c r="C1296" s="129" t="s">
        <v>140</v>
      </c>
      <c r="D1296" s="8"/>
      <c r="E1296" s="8" t="s">
        <v>8189</v>
      </c>
      <c r="F1296" s="8" t="s">
        <v>6565</v>
      </c>
      <c r="G1296" s="8">
        <f>IFERROR(__xludf.DUMMYFUNCTION("""COMPUTED_VALUE"""),810.0)</f>
        <v>810</v>
      </c>
      <c r="H1296" s="8" t="s">
        <v>293</v>
      </c>
      <c r="I1296" s="8" t="s">
        <v>294</v>
      </c>
      <c r="J1296" s="8" t="s">
        <v>420</v>
      </c>
      <c r="K1296" s="153" t="s">
        <v>708</v>
      </c>
      <c r="L1296" s="8" t="s">
        <v>709</v>
      </c>
      <c r="N1296" s="142" t="s">
        <v>6151</v>
      </c>
      <c r="O1296" s="142"/>
      <c r="P1296" s="142"/>
      <c r="Q1296" s="8" t="s">
        <v>151</v>
      </c>
      <c r="T1296" s="8" t="s">
        <v>710</v>
      </c>
      <c r="U1296" s="8" t="s">
        <v>369</v>
      </c>
      <c r="AB1296" s="8" t="s">
        <v>369</v>
      </c>
      <c r="AD1296" s="8" t="s">
        <v>711</v>
      </c>
      <c r="AH1296" s="8" t="s">
        <v>213</v>
      </c>
      <c r="AJ1296" s="8" t="s">
        <v>712</v>
      </c>
      <c r="AK1296" s="242" t="s">
        <v>7857</v>
      </c>
    </row>
    <row r="1297">
      <c r="A1297" s="152">
        <v>2024.0</v>
      </c>
      <c r="B1297" s="151">
        <v>440.0</v>
      </c>
      <c r="C1297" s="153"/>
      <c r="D1297" s="153"/>
      <c r="E1297" s="153" t="s">
        <v>8189</v>
      </c>
      <c r="F1297" s="153" t="s">
        <v>8904</v>
      </c>
      <c r="G1297" s="153">
        <f>IFERROR(__xludf.DUMMYFUNCTION("""COMPUTED_VALUE"""),811.0)</f>
        <v>811</v>
      </c>
      <c r="H1297" s="153" t="s">
        <v>625</v>
      </c>
      <c r="I1297" s="153" t="s">
        <v>632</v>
      </c>
      <c r="J1297" s="153" t="s">
        <v>637</v>
      </c>
      <c r="K1297" s="153" t="s">
        <v>7206</v>
      </c>
      <c r="L1297" s="158" t="s">
        <v>149</v>
      </c>
      <c r="M1297" s="158" t="s">
        <v>2712</v>
      </c>
      <c r="N1297" s="192" t="s">
        <v>149</v>
      </c>
      <c r="O1297" s="192" t="s">
        <v>149</v>
      </c>
      <c r="P1297" s="192" t="s">
        <v>149</v>
      </c>
      <c r="Q1297" s="153" t="s">
        <v>151</v>
      </c>
      <c r="R1297" s="158" t="s">
        <v>7695</v>
      </c>
      <c r="S1297" s="158" t="s">
        <v>7695</v>
      </c>
      <c r="T1297" s="158" t="s">
        <v>149</v>
      </c>
      <c r="U1297" s="158" t="s">
        <v>149</v>
      </c>
      <c r="V1297" s="158" t="s">
        <v>149</v>
      </c>
      <c r="W1297" s="158" t="s">
        <v>149</v>
      </c>
      <c r="X1297" s="158" t="s">
        <v>149</v>
      </c>
      <c r="Y1297" s="158" t="s">
        <v>149</v>
      </c>
      <c r="Z1297" s="153" t="s">
        <v>7210</v>
      </c>
      <c r="AA1297" s="158" t="s">
        <v>149</v>
      </c>
      <c r="AB1297" s="158" t="s">
        <v>149</v>
      </c>
      <c r="AC1297" s="158" t="s">
        <v>149</v>
      </c>
      <c r="AD1297" s="153"/>
      <c r="AE1297" s="153"/>
      <c r="AF1297" s="153"/>
      <c r="AG1297" s="158" t="s">
        <v>395</v>
      </c>
      <c r="AH1297" s="153" t="s">
        <v>6060</v>
      </c>
      <c r="AI1297" s="158" t="s">
        <v>541</v>
      </c>
      <c r="AJ1297" s="153" t="s">
        <v>398</v>
      </c>
      <c r="AK1297" s="153"/>
    </row>
    <row r="1298">
      <c r="A1298" s="152">
        <v>2023.0</v>
      </c>
      <c r="B1298" s="151">
        <v>113.0</v>
      </c>
      <c r="C1298" s="129" t="s">
        <v>140</v>
      </c>
      <c r="D1298" s="8"/>
      <c r="E1298" s="8" t="s">
        <v>8189</v>
      </c>
      <c r="F1298" s="8" t="s">
        <v>8905</v>
      </c>
      <c r="G1298" s="8">
        <f>IFERROR(__xludf.DUMMYFUNCTION("""COMPUTED_VALUE"""),812.0)</f>
        <v>812</v>
      </c>
      <c r="H1298" s="8" t="s">
        <v>293</v>
      </c>
      <c r="I1298" s="8" t="s">
        <v>294</v>
      </c>
      <c r="J1298" s="8" t="s">
        <v>1291</v>
      </c>
      <c r="K1298" s="153" t="s">
        <v>1292</v>
      </c>
      <c r="L1298" s="8" t="s">
        <v>1174</v>
      </c>
      <c r="N1298" s="142"/>
      <c r="O1298" s="142" t="s">
        <v>6151</v>
      </c>
      <c r="P1298" s="142" t="s">
        <v>6089</v>
      </c>
      <c r="Q1298" s="8" t="s">
        <v>6062</v>
      </c>
      <c r="R1298" s="8" t="s">
        <v>320</v>
      </c>
      <c r="U1298" s="8" t="s">
        <v>321</v>
      </c>
      <c r="AB1298" s="8" t="s">
        <v>885</v>
      </c>
      <c r="AD1298" s="8" t="s">
        <v>1287</v>
      </c>
      <c r="AH1298" s="8" t="s">
        <v>6069</v>
      </c>
    </row>
    <row r="1299">
      <c r="A1299" s="152">
        <v>2024.0</v>
      </c>
      <c r="B1299" s="151">
        <v>441.0</v>
      </c>
      <c r="C1299" s="153"/>
      <c r="D1299" s="153"/>
      <c r="E1299" s="153" t="s">
        <v>8189</v>
      </c>
      <c r="F1299" s="153" t="s">
        <v>8906</v>
      </c>
      <c r="G1299" s="153">
        <f>IFERROR(__xludf.DUMMYFUNCTION("""COMPUTED_VALUE"""),813.0)</f>
        <v>813</v>
      </c>
      <c r="H1299" s="153" t="s">
        <v>625</v>
      </c>
      <c r="I1299" s="153" t="s">
        <v>632</v>
      </c>
      <c r="J1299" s="153" t="s">
        <v>637</v>
      </c>
      <c r="K1299" s="153" t="s">
        <v>7206</v>
      </c>
      <c r="L1299" s="158" t="s">
        <v>149</v>
      </c>
      <c r="M1299" s="158" t="s">
        <v>2716</v>
      </c>
      <c r="N1299" s="192" t="s">
        <v>149</v>
      </c>
      <c r="O1299" s="192" t="s">
        <v>149</v>
      </c>
      <c r="P1299" s="192" t="s">
        <v>149</v>
      </c>
      <c r="Q1299" s="153" t="s">
        <v>151</v>
      </c>
      <c r="R1299" s="158" t="s">
        <v>7695</v>
      </c>
      <c r="S1299" s="158" t="s">
        <v>7695</v>
      </c>
      <c r="T1299" s="158" t="s">
        <v>149</v>
      </c>
      <c r="U1299" s="158" t="s">
        <v>149</v>
      </c>
      <c r="V1299" s="158" t="s">
        <v>149</v>
      </c>
      <c r="W1299" s="158" t="s">
        <v>149</v>
      </c>
      <c r="X1299" s="158" t="s">
        <v>149</v>
      </c>
      <c r="Y1299" s="158" t="s">
        <v>149</v>
      </c>
      <c r="Z1299" s="153" t="s">
        <v>7190</v>
      </c>
      <c r="AA1299" s="158" t="s">
        <v>149</v>
      </c>
      <c r="AB1299" s="158" t="s">
        <v>149</v>
      </c>
      <c r="AC1299" s="158" t="s">
        <v>149</v>
      </c>
      <c r="AD1299" s="153"/>
      <c r="AE1299" s="153"/>
      <c r="AF1299" s="153"/>
      <c r="AG1299" s="158" t="s">
        <v>395</v>
      </c>
      <c r="AH1299" s="153" t="s">
        <v>6060</v>
      </c>
      <c r="AI1299" s="158" t="s">
        <v>541</v>
      </c>
      <c r="AJ1299" s="153" t="s">
        <v>398</v>
      </c>
      <c r="AK1299" s="153"/>
    </row>
    <row r="1300">
      <c r="A1300" s="152">
        <v>2023.0</v>
      </c>
      <c r="B1300" s="151">
        <v>114.0</v>
      </c>
      <c r="C1300" s="129" t="s">
        <v>140</v>
      </c>
      <c r="D1300" s="8"/>
      <c r="E1300" s="8" t="s">
        <v>8189</v>
      </c>
      <c r="F1300" s="8" t="s">
        <v>8907</v>
      </c>
      <c r="G1300" s="8">
        <f>IFERROR(__xludf.DUMMYFUNCTION("""COMPUTED_VALUE"""),814.0)</f>
        <v>814</v>
      </c>
      <c r="H1300" s="8" t="s">
        <v>293</v>
      </c>
      <c r="I1300" s="8" t="s">
        <v>294</v>
      </c>
      <c r="J1300" s="8" t="s">
        <v>1291</v>
      </c>
      <c r="K1300" s="153" t="s">
        <v>1292</v>
      </c>
      <c r="L1300" s="8" t="s">
        <v>1683</v>
      </c>
      <c r="N1300" s="142"/>
      <c r="O1300" s="142" t="s">
        <v>6063</v>
      </c>
      <c r="P1300" s="142" t="s">
        <v>6064</v>
      </c>
      <c r="Q1300" s="8" t="s">
        <v>6062</v>
      </c>
      <c r="R1300" s="8" t="s">
        <v>320</v>
      </c>
      <c r="U1300" s="8" t="s">
        <v>321</v>
      </c>
      <c r="AA1300" s="8" t="s">
        <v>1706</v>
      </c>
      <c r="AB1300" s="8" t="s">
        <v>1703</v>
      </c>
      <c r="AD1300" s="8" t="s">
        <v>1287</v>
      </c>
      <c r="AH1300" s="8" t="s">
        <v>6027</v>
      </c>
      <c r="AI1300" s="8" t="s">
        <v>6575</v>
      </c>
    </row>
    <row r="1301">
      <c r="A1301" s="152">
        <v>2024.0</v>
      </c>
      <c r="B1301" s="151">
        <v>442.0</v>
      </c>
      <c r="C1301" s="153"/>
      <c r="D1301" s="153"/>
      <c r="E1301" s="153" t="s">
        <v>8189</v>
      </c>
      <c r="F1301" s="153" t="s">
        <v>8908</v>
      </c>
      <c r="G1301" s="153">
        <f>IFERROR(__xludf.DUMMYFUNCTION("""COMPUTED_VALUE"""),815.0)</f>
        <v>815</v>
      </c>
      <c r="H1301" s="153" t="s">
        <v>625</v>
      </c>
      <c r="I1301" s="153" t="s">
        <v>632</v>
      </c>
      <c r="J1301" s="153" t="s">
        <v>637</v>
      </c>
      <c r="K1301" s="153" t="s">
        <v>7206</v>
      </c>
      <c r="L1301" s="158" t="s">
        <v>149</v>
      </c>
      <c r="M1301" s="158" t="s">
        <v>2719</v>
      </c>
      <c r="N1301" s="192" t="s">
        <v>149</v>
      </c>
      <c r="O1301" s="192" t="s">
        <v>149</v>
      </c>
      <c r="P1301" s="192" t="s">
        <v>149</v>
      </c>
      <c r="Q1301" s="153" t="s">
        <v>151</v>
      </c>
      <c r="R1301" s="158" t="s">
        <v>7695</v>
      </c>
      <c r="S1301" s="158" t="s">
        <v>7695</v>
      </c>
      <c r="T1301" s="158" t="s">
        <v>149</v>
      </c>
      <c r="U1301" s="158" t="s">
        <v>149</v>
      </c>
      <c r="V1301" s="158" t="s">
        <v>149</v>
      </c>
      <c r="W1301" s="158" t="s">
        <v>149</v>
      </c>
      <c r="X1301" s="158" t="s">
        <v>149</v>
      </c>
      <c r="Y1301" s="158" t="s">
        <v>149</v>
      </c>
      <c r="Z1301" s="153" t="s">
        <v>7745</v>
      </c>
      <c r="AA1301" s="158" t="s">
        <v>149</v>
      </c>
      <c r="AB1301" s="158" t="s">
        <v>149</v>
      </c>
      <c r="AC1301" s="158" t="s">
        <v>149</v>
      </c>
      <c r="AD1301" s="153"/>
      <c r="AE1301" s="153"/>
      <c r="AF1301" s="153"/>
      <c r="AG1301" s="158" t="s">
        <v>395</v>
      </c>
      <c r="AH1301" s="153" t="s">
        <v>6060</v>
      </c>
      <c r="AI1301" s="177" t="s">
        <v>541</v>
      </c>
      <c r="AJ1301" s="153" t="s">
        <v>398</v>
      </c>
      <c r="AK1301" s="153"/>
    </row>
    <row r="1302">
      <c r="A1302" s="152">
        <v>2023.0</v>
      </c>
      <c r="B1302" s="151">
        <v>115.0</v>
      </c>
      <c r="C1302" s="129" t="s">
        <v>140</v>
      </c>
      <c r="D1302" s="8"/>
      <c r="E1302" s="8" t="s">
        <v>8189</v>
      </c>
      <c r="F1302" s="8" t="s">
        <v>6579</v>
      </c>
      <c r="G1302" s="8">
        <f>IFERROR(__xludf.DUMMYFUNCTION("""COMPUTED_VALUE"""),816.0)</f>
        <v>816</v>
      </c>
      <c r="H1302" s="8" t="s">
        <v>293</v>
      </c>
      <c r="I1302" s="8" t="s">
        <v>294</v>
      </c>
      <c r="J1302" s="8" t="s">
        <v>1291</v>
      </c>
      <c r="K1302" s="153" t="s">
        <v>1292</v>
      </c>
      <c r="L1302" s="8" t="s">
        <v>6113</v>
      </c>
      <c r="N1302" s="142" t="s">
        <v>6151</v>
      </c>
      <c r="O1302" s="142"/>
      <c r="P1302" s="142"/>
      <c r="Q1302" s="8" t="s">
        <v>151</v>
      </c>
      <c r="T1302" s="8" t="s">
        <v>6551</v>
      </c>
      <c r="U1302" s="8" t="s">
        <v>228</v>
      </c>
      <c r="AB1302" s="8" t="s">
        <v>228</v>
      </c>
      <c r="AD1302" s="8" t="s">
        <v>1628</v>
      </c>
      <c r="AH1302" s="8" t="s">
        <v>166</v>
      </c>
      <c r="AI1302" s="172" t="s">
        <v>2737</v>
      </c>
    </row>
    <row r="1303">
      <c r="A1303" s="152">
        <v>2024.0</v>
      </c>
      <c r="B1303" s="151">
        <v>443.0</v>
      </c>
      <c r="C1303" s="153"/>
      <c r="D1303" s="153"/>
      <c r="E1303" s="153" t="s">
        <v>8189</v>
      </c>
      <c r="F1303" s="153" t="s">
        <v>8909</v>
      </c>
      <c r="G1303" s="153">
        <f>IFERROR(__xludf.DUMMYFUNCTION("""COMPUTED_VALUE"""),817.0)</f>
        <v>817</v>
      </c>
      <c r="H1303" s="153" t="s">
        <v>625</v>
      </c>
      <c r="I1303" s="153" t="s">
        <v>632</v>
      </c>
      <c r="J1303" s="153" t="s">
        <v>637</v>
      </c>
      <c r="K1303" s="153" t="s">
        <v>7206</v>
      </c>
      <c r="L1303" s="153" t="s">
        <v>756</v>
      </c>
      <c r="M1303" s="153" t="s">
        <v>757</v>
      </c>
      <c r="N1303" s="230">
        <v>2016.0</v>
      </c>
      <c r="O1303" s="192">
        <v>2016.0</v>
      </c>
      <c r="P1303" s="192" t="s">
        <v>149</v>
      </c>
      <c r="Q1303" s="153" t="s">
        <v>151</v>
      </c>
      <c r="R1303" s="153" t="s">
        <v>7747</v>
      </c>
      <c r="S1303" s="158" t="s">
        <v>7747</v>
      </c>
      <c r="T1303" s="153" t="s">
        <v>759</v>
      </c>
      <c r="U1303" s="153" t="s">
        <v>760</v>
      </c>
      <c r="V1303" s="158" t="s">
        <v>160</v>
      </c>
      <c r="W1303" s="158" t="s">
        <v>6035</v>
      </c>
      <c r="X1303" s="158" t="s">
        <v>159</v>
      </c>
      <c r="Y1303" s="158" t="s">
        <v>149</v>
      </c>
      <c r="Z1303" s="158" t="s">
        <v>149</v>
      </c>
      <c r="AA1303" s="153" t="s">
        <v>7748</v>
      </c>
      <c r="AB1303" s="153" t="s">
        <v>7749</v>
      </c>
      <c r="AC1303" s="153" t="s">
        <v>6035</v>
      </c>
      <c r="AD1303" s="158" t="s">
        <v>764</v>
      </c>
      <c r="AE1303" s="153" t="s">
        <v>765</v>
      </c>
      <c r="AF1303" s="153"/>
      <c r="AG1303" s="158" t="s">
        <v>166</v>
      </c>
      <c r="AH1303" s="153" t="s">
        <v>766</v>
      </c>
      <c r="AI1303" s="172" t="s">
        <v>767</v>
      </c>
      <c r="AJ1303" s="153"/>
      <c r="AK1303" s="153"/>
    </row>
    <row r="1304">
      <c r="A1304" s="152">
        <v>2023.0</v>
      </c>
      <c r="B1304" s="151">
        <v>116.0</v>
      </c>
      <c r="C1304" s="129" t="s">
        <v>140</v>
      </c>
      <c r="D1304" s="8"/>
      <c r="E1304" s="8" t="s">
        <v>8189</v>
      </c>
      <c r="F1304" s="8" t="s">
        <v>6584</v>
      </c>
      <c r="G1304" s="8">
        <f>IFERROR(__xludf.DUMMYFUNCTION("""COMPUTED_VALUE"""),818.0)</f>
        <v>818</v>
      </c>
      <c r="H1304" s="8" t="s">
        <v>293</v>
      </c>
      <c r="I1304" s="8" t="s">
        <v>294</v>
      </c>
      <c r="J1304" s="8" t="s">
        <v>1291</v>
      </c>
      <c r="K1304" s="153" t="s">
        <v>1292</v>
      </c>
      <c r="L1304" s="153" t="s">
        <v>6113</v>
      </c>
      <c r="N1304" s="142" t="s">
        <v>6030</v>
      </c>
      <c r="O1304" s="142"/>
      <c r="P1304" s="142"/>
      <c r="Q1304" s="8" t="s">
        <v>151</v>
      </c>
      <c r="R1304" s="8" t="s">
        <v>8028</v>
      </c>
      <c r="T1304" s="8" t="s">
        <v>6556</v>
      </c>
      <c r="U1304" s="8" t="s">
        <v>1941</v>
      </c>
      <c r="AA1304" s="8" t="s">
        <v>6557</v>
      </c>
      <c r="AB1304" s="8" t="s">
        <v>1941</v>
      </c>
      <c r="AE1304" s="8" t="s">
        <v>1703</v>
      </c>
      <c r="AH1304" s="8" t="s">
        <v>166</v>
      </c>
      <c r="AI1304" s="8" t="s">
        <v>1945</v>
      </c>
    </row>
    <row r="1305">
      <c r="A1305" s="152">
        <v>2024.0</v>
      </c>
      <c r="B1305" s="151">
        <v>444.0</v>
      </c>
      <c r="C1305" s="153"/>
      <c r="D1305" s="153"/>
      <c r="E1305" s="153" t="s">
        <v>8189</v>
      </c>
      <c r="F1305" s="153" t="s">
        <v>8910</v>
      </c>
      <c r="G1305" s="153">
        <f>IFERROR(__xludf.DUMMYFUNCTION("""COMPUTED_VALUE"""),819.0)</f>
        <v>819</v>
      </c>
      <c r="H1305" s="153" t="s">
        <v>625</v>
      </c>
      <c r="I1305" s="153" t="s">
        <v>826</v>
      </c>
      <c r="J1305" s="153" t="s">
        <v>2210</v>
      </c>
      <c r="K1305" s="153" t="s">
        <v>2211</v>
      </c>
      <c r="L1305" s="153" t="s">
        <v>6587</v>
      </c>
      <c r="M1305" s="153" t="s">
        <v>7100</v>
      </c>
      <c r="N1305" s="158" t="s">
        <v>149</v>
      </c>
      <c r="O1305" s="230">
        <v>2012.0</v>
      </c>
      <c r="P1305" s="158" t="s">
        <v>149</v>
      </c>
      <c r="Q1305" s="153" t="s">
        <v>151</v>
      </c>
      <c r="R1305" s="158" t="s">
        <v>149</v>
      </c>
      <c r="S1305" s="158" t="s">
        <v>149</v>
      </c>
      <c r="T1305" s="153" t="s">
        <v>7101</v>
      </c>
      <c r="U1305" s="153" t="s">
        <v>341</v>
      </c>
      <c r="V1305" s="158" t="s">
        <v>160</v>
      </c>
      <c r="W1305" s="158" t="s">
        <v>6035</v>
      </c>
      <c r="X1305" s="158" t="s">
        <v>159</v>
      </c>
      <c r="Y1305" s="158" t="s">
        <v>149</v>
      </c>
      <c r="Z1305" s="158" t="s">
        <v>149</v>
      </c>
      <c r="AA1305" s="158" t="s">
        <v>149</v>
      </c>
      <c r="AB1305" s="153" t="s">
        <v>2160</v>
      </c>
      <c r="AC1305" s="153" t="s">
        <v>6035</v>
      </c>
      <c r="AD1305" s="153"/>
      <c r="AE1305" s="153"/>
      <c r="AF1305" s="153"/>
      <c r="AG1305" s="158" t="s">
        <v>166</v>
      </c>
      <c r="AH1305" s="153" t="s">
        <v>2161</v>
      </c>
      <c r="AI1305" s="165" t="s">
        <v>2162</v>
      </c>
      <c r="AJ1305" s="153"/>
      <c r="AK1305" s="153"/>
    </row>
    <row r="1306">
      <c r="A1306" s="152">
        <v>2023.0</v>
      </c>
      <c r="B1306" s="151">
        <v>321.0</v>
      </c>
      <c r="C1306" s="129" t="s">
        <v>140</v>
      </c>
      <c r="D1306" s="8"/>
      <c r="E1306" s="8" t="s">
        <v>8189</v>
      </c>
      <c r="F1306" s="8" t="s">
        <v>7287</v>
      </c>
      <c r="G1306" s="8">
        <f>IFERROR(__xludf.DUMMYFUNCTION("""COMPUTED_VALUE"""),820.0)</f>
        <v>820</v>
      </c>
      <c r="H1306" s="8" t="s">
        <v>590</v>
      </c>
      <c r="I1306" s="8" t="s">
        <v>591</v>
      </c>
      <c r="J1306" s="8" t="s">
        <v>7288</v>
      </c>
      <c r="K1306" s="277" t="s">
        <v>593</v>
      </c>
      <c r="L1306" s="8" t="s">
        <v>384</v>
      </c>
      <c r="M1306" s="8" t="s">
        <v>435</v>
      </c>
      <c r="N1306" s="142" t="s">
        <v>6053</v>
      </c>
      <c r="O1306" s="142" t="s">
        <v>6052</v>
      </c>
      <c r="P1306" s="142" t="s">
        <v>7289</v>
      </c>
      <c r="Q1306" s="8" t="s">
        <v>151</v>
      </c>
      <c r="R1306" s="8" t="s">
        <v>469</v>
      </c>
      <c r="U1306" s="8" t="s">
        <v>390</v>
      </c>
      <c r="AB1306" s="8" t="s">
        <v>390</v>
      </c>
      <c r="AD1306" s="8" t="s">
        <v>6055</v>
      </c>
      <c r="AH1306" s="8" t="s">
        <v>6057</v>
      </c>
      <c r="AI1306" s="8" t="s">
        <v>2873</v>
      </c>
      <c r="AJ1306" s="8" t="s">
        <v>398</v>
      </c>
    </row>
    <row r="1307">
      <c r="A1307" s="152">
        <v>2024.0</v>
      </c>
      <c r="B1307" s="151">
        <v>445.0</v>
      </c>
      <c r="C1307" s="153"/>
      <c r="D1307" s="153"/>
      <c r="E1307" s="153" t="s">
        <v>8189</v>
      </c>
      <c r="F1307" s="153" t="s">
        <v>8911</v>
      </c>
      <c r="G1307" s="153">
        <f>IFERROR(__xludf.DUMMYFUNCTION("""COMPUTED_VALUE"""),821.0)</f>
        <v>821</v>
      </c>
      <c r="H1307" s="153" t="s">
        <v>625</v>
      </c>
      <c r="I1307" s="153" t="s">
        <v>826</v>
      </c>
      <c r="J1307" s="153" t="s">
        <v>827</v>
      </c>
      <c r="K1307" s="153" t="s">
        <v>828</v>
      </c>
      <c r="L1307" s="153" t="s">
        <v>6587</v>
      </c>
      <c r="M1307" s="153" t="s">
        <v>7752</v>
      </c>
      <c r="N1307" s="158" t="s">
        <v>149</v>
      </c>
      <c r="O1307" s="230">
        <v>2012.0</v>
      </c>
      <c r="P1307" s="158" t="s">
        <v>149</v>
      </c>
      <c r="Q1307" s="153" t="s">
        <v>151</v>
      </c>
      <c r="R1307" s="158" t="s">
        <v>149</v>
      </c>
      <c r="S1307" s="158" t="s">
        <v>149</v>
      </c>
      <c r="T1307" s="153" t="s">
        <v>7101</v>
      </c>
      <c r="U1307" s="153" t="s">
        <v>341</v>
      </c>
      <c r="V1307" s="158" t="s">
        <v>160</v>
      </c>
      <c r="W1307" s="158" t="s">
        <v>6035</v>
      </c>
      <c r="X1307" s="158" t="s">
        <v>159</v>
      </c>
      <c r="Y1307" s="158" t="s">
        <v>149</v>
      </c>
      <c r="Z1307" s="158" t="s">
        <v>149</v>
      </c>
      <c r="AA1307" s="158" t="s">
        <v>149</v>
      </c>
      <c r="AB1307" s="153" t="s">
        <v>2160</v>
      </c>
      <c r="AC1307" s="153" t="s">
        <v>6035</v>
      </c>
      <c r="AD1307" s="153"/>
      <c r="AE1307" s="153"/>
      <c r="AF1307" s="153"/>
      <c r="AG1307" s="158" t="s">
        <v>166</v>
      </c>
      <c r="AH1307" s="153" t="s">
        <v>2161</v>
      </c>
      <c r="AI1307" s="165" t="s">
        <v>2162</v>
      </c>
      <c r="AJ1307" s="153"/>
      <c r="AK1307" s="153"/>
    </row>
    <row r="1308">
      <c r="A1308" s="152">
        <v>2023.0</v>
      </c>
      <c r="B1308" s="151">
        <v>322.0</v>
      </c>
      <c r="C1308" s="129" t="s">
        <v>140</v>
      </c>
      <c r="D1308" s="8"/>
      <c r="E1308" s="8" t="s">
        <v>8189</v>
      </c>
      <c r="F1308" s="8" t="s">
        <v>7291</v>
      </c>
      <c r="G1308" s="8">
        <f>IFERROR(__xludf.DUMMYFUNCTION("""COMPUTED_VALUE"""),822.0)</f>
        <v>822</v>
      </c>
      <c r="H1308" s="8" t="s">
        <v>590</v>
      </c>
      <c r="I1308" s="8" t="s">
        <v>591</v>
      </c>
      <c r="J1308" s="8" t="s">
        <v>7288</v>
      </c>
      <c r="K1308" s="277" t="s">
        <v>593</v>
      </c>
      <c r="L1308" s="8" t="s">
        <v>384</v>
      </c>
      <c r="M1308" s="8" t="s">
        <v>596</v>
      </c>
      <c r="N1308" s="142" t="s">
        <v>6053</v>
      </c>
      <c r="O1308" s="142" t="s">
        <v>6052</v>
      </c>
      <c r="P1308" s="142" t="s">
        <v>6053</v>
      </c>
      <c r="Q1308" s="8" t="s">
        <v>151</v>
      </c>
      <c r="R1308" s="8" t="s">
        <v>469</v>
      </c>
      <c r="U1308" s="8" t="s">
        <v>390</v>
      </c>
      <c r="AB1308" s="8" t="s">
        <v>390</v>
      </c>
      <c r="AD1308" s="8" t="s">
        <v>6055</v>
      </c>
      <c r="AH1308" s="8" t="s">
        <v>6057</v>
      </c>
      <c r="AI1308" s="8" t="s">
        <v>2873</v>
      </c>
      <c r="AJ1308" s="8" t="s">
        <v>398</v>
      </c>
    </row>
    <row r="1309">
      <c r="A1309" s="152">
        <v>2024.0</v>
      </c>
      <c r="B1309" s="151">
        <v>446.0</v>
      </c>
      <c r="C1309" s="153"/>
      <c r="D1309" s="153"/>
      <c r="E1309" s="153" t="s">
        <v>8189</v>
      </c>
      <c r="F1309" s="153" t="s">
        <v>8912</v>
      </c>
      <c r="G1309" s="153">
        <f>IFERROR(__xludf.DUMMYFUNCTION("""COMPUTED_VALUE"""),823.0)</f>
        <v>823</v>
      </c>
      <c r="H1309" s="153" t="s">
        <v>625</v>
      </c>
      <c r="I1309" s="153" t="s">
        <v>826</v>
      </c>
      <c r="J1309" s="153" t="s">
        <v>827</v>
      </c>
      <c r="K1309" s="153" t="s">
        <v>828</v>
      </c>
      <c r="L1309" s="158" t="s">
        <v>816</v>
      </c>
      <c r="M1309" s="153" t="s">
        <v>829</v>
      </c>
      <c r="N1309" s="192">
        <v>1988.0</v>
      </c>
      <c r="O1309" s="192">
        <v>1984.0</v>
      </c>
      <c r="P1309" s="192">
        <v>1992.0</v>
      </c>
      <c r="Q1309" s="153" t="s">
        <v>151</v>
      </c>
      <c r="R1309" s="158" t="s">
        <v>152</v>
      </c>
      <c r="S1309" s="158" t="s">
        <v>152</v>
      </c>
      <c r="T1309" s="158" t="s">
        <v>819</v>
      </c>
      <c r="U1309" s="158" t="s">
        <v>820</v>
      </c>
      <c r="V1309" s="158" t="s">
        <v>6154</v>
      </c>
      <c r="W1309" s="158" t="s">
        <v>206</v>
      </c>
      <c r="X1309" s="158" t="s">
        <v>159</v>
      </c>
      <c r="Y1309" s="158" t="s">
        <v>149</v>
      </c>
      <c r="Z1309" s="158" t="s">
        <v>149</v>
      </c>
      <c r="AA1309" s="158" t="s">
        <v>149</v>
      </c>
      <c r="AB1309" s="158" t="s">
        <v>830</v>
      </c>
      <c r="AC1309" s="158" t="s">
        <v>6035</v>
      </c>
      <c r="AD1309" s="158" t="s">
        <v>822</v>
      </c>
      <c r="AE1309" s="153"/>
      <c r="AF1309" s="153"/>
      <c r="AG1309" s="158" t="s">
        <v>6084</v>
      </c>
      <c r="AH1309" s="153" t="s">
        <v>823</v>
      </c>
      <c r="AI1309" s="172" t="s">
        <v>824</v>
      </c>
      <c r="AJ1309" s="153"/>
      <c r="AK1309" s="153"/>
    </row>
    <row r="1310">
      <c r="A1310" s="152">
        <v>2024.0</v>
      </c>
      <c r="B1310" s="151">
        <v>447.0</v>
      </c>
      <c r="C1310" s="153"/>
      <c r="D1310" s="153"/>
      <c r="E1310" s="153" t="s">
        <v>8189</v>
      </c>
      <c r="F1310" s="153" t="s">
        <v>8913</v>
      </c>
      <c r="G1310" s="153">
        <f>IFERROR(__xludf.DUMMYFUNCTION("""COMPUTED_VALUE"""),824.0)</f>
        <v>824</v>
      </c>
      <c r="H1310" s="153" t="s">
        <v>642</v>
      </c>
      <c r="I1310" s="153" t="s">
        <v>1333</v>
      </c>
      <c r="J1310" s="153" t="s">
        <v>1334</v>
      </c>
      <c r="K1310" s="153" t="s">
        <v>1335</v>
      </c>
      <c r="L1310" s="153" t="s">
        <v>1309</v>
      </c>
      <c r="M1310" s="153"/>
      <c r="N1310" s="230">
        <v>2020.0</v>
      </c>
      <c r="O1310" s="192">
        <v>2016.0</v>
      </c>
      <c r="P1310" s="192">
        <v>2020.0</v>
      </c>
      <c r="Q1310" s="153" t="s">
        <v>151</v>
      </c>
      <c r="R1310" s="158" t="s">
        <v>149</v>
      </c>
      <c r="S1310" s="158" t="s">
        <v>149</v>
      </c>
      <c r="T1310" s="158" t="s">
        <v>6910</v>
      </c>
      <c r="U1310" s="158" t="s">
        <v>1327</v>
      </c>
      <c r="V1310" s="158" t="s">
        <v>6154</v>
      </c>
      <c r="W1310" s="158" t="s">
        <v>206</v>
      </c>
      <c r="X1310" s="158" t="s">
        <v>159</v>
      </c>
      <c r="Y1310" s="158" t="s">
        <v>149</v>
      </c>
      <c r="Z1310" s="158" t="s">
        <v>149</v>
      </c>
      <c r="AA1310" s="153" t="s">
        <v>1336</v>
      </c>
      <c r="AB1310" s="153" t="s">
        <v>390</v>
      </c>
      <c r="AC1310" s="153" t="s">
        <v>6035</v>
      </c>
      <c r="AD1310" s="153" t="s">
        <v>369</v>
      </c>
      <c r="AE1310" s="153"/>
      <c r="AF1310" s="153"/>
      <c r="AG1310" s="153" t="s">
        <v>6084</v>
      </c>
      <c r="AH1310" s="153" t="s">
        <v>1330</v>
      </c>
      <c r="AI1310" s="165" t="s">
        <v>1331</v>
      </c>
      <c r="AJ1310" s="153"/>
      <c r="AK1310" s="153"/>
    </row>
    <row r="1311">
      <c r="A1311" s="152">
        <v>2023.0</v>
      </c>
      <c r="B1311" s="151">
        <v>323.0</v>
      </c>
      <c r="C1311" s="129" t="s">
        <v>140</v>
      </c>
      <c r="D1311" s="8"/>
      <c r="E1311" s="8" t="s">
        <v>8189</v>
      </c>
      <c r="F1311" s="8" t="s">
        <v>7295</v>
      </c>
      <c r="G1311" s="8">
        <f>IFERROR(__xludf.DUMMYFUNCTION("""COMPUTED_VALUE"""),825.0)</f>
        <v>825</v>
      </c>
      <c r="H1311" s="8" t="s">
        <v>590</v>
      </c>
      <c r="I1311" s="8" t="s">
        <v>591</v>
      </c>
      <c r="J1311" s="8" t="s">
        <v>7288</v>
      </c>
      <c r="K1311" s="277" t="s">
        <v>593</v>
      </c>
      <c r="L1311" s="8" t="s">
        <v>384</v>
      </c>
      <c r="M1311" s="8" t="s">
        <v>598</v>
      </c>
      <c r="N1311" s="142" t="s">
        <v>6053</v>
      </c>
      <c r="O1311" s="142" t="s">
        <v>6052</v>
      </c>
      <c r="P1311" s="142" t="s">
        <v>6053</v>
      </c>
      <c r="Q1311" s="8" t="s">
        <v>151</v>
      </c>
      <c r="R1311" s="8" t="s">
        <v>469</v>
      </c>
      <c r="U1311" s="8" t="s">
        <v>390</v>
      </c>
      <c r="AB1311" s="8" t="s">
        <v>390</v>
      </c>
      <c r="AD1311" s="8" t="s">
        <v>6055</v>
      </c>
      <c r="AH1311" s="8" t="s">
        <v>6057</v>
      </c>
      <c r="AI1311" s="8" t="s">
        <v>2873</v>
      </c>
      <c r="AJ1311" s="8" t="s">
        <v>398</v>
      </c>
    </row>
    <row r="1312">
      <c r="A1312" s="152">
        <v>2024.0</v>
      </c>
      <c r="B1312" s="151">
        <v>448.0</v>
      </c>
      <c r="C1312" s="153"/>
      <c r="D1312" s="153"/>
      <c r="E1312" s="153" t="s">
        <v>8189</v>
      </c>
      <c r="F1312" s="153" t="s">
        <v>8914</v>
      </c>
      <c r="G1312" s="153">
        <f>IFERROR(__xludf.DUMMYFUNCTION("""COMPUTED_VALUE"""),826.0)</f>
        <v>826</v>
      </c>
      <c r="H1312" s="153" t="s">
        <v>642</v>
      </c>
      <c r="I1312" s="153" t="s">
        <v>1333</v>
      </c>
      <c r="J1312" s="153" t="s">
        <v>1338</v>
      </c>
      <c r="K1312" s="153" t="s">
        <v>1339</v>
      </c>
      <c r="L1312" s="153" t="s">
        <v>1309</v>
      </c>
      <c r="M1312" s="153" t="s">
        <v>1340</v>
      </c>
      <c r="N1312" s="230">
        <v>2020.0</v>
      </c>
      <c r="O1312" s="192">
        <v>2016.0</v>
      </c>
      <c r="P1312" s="192">
        <v>2020.0</v>
      </c>
      <c r="Q1312" s="153" t="s">
        <v>151</v>
      </c>
      <c r="R1312" s="158" t="s">
        <v>149</v>
      </c>
      <c r="S1312" s="158" t="s">
        <v>149</v>
      </c>
      <c r="T1312" s="158" t="s">
        <v>6910</v>
      </c>
      <c r="U1312" s="158" t="s">
        <v>1327</v>
      </c>
      <c r="V1312" s="158" t="s">
        <v>6154</v>
      </c>
      <c r="W1312" s="158" t="s">
        <v>206</v>
      </c>
      <c r="X1312" s="158" t="s">
        <v>159</v>
      </c>
      <c r="Y1312" s="158" t="s">
        <v>149</v>
      </c>
      <c r="Z1312" s="158" t="s">
        <v>149</v>
      </c>
      <c r="AA1312" s="153" t="s">
        <v>1341</v>
      </c>
      <c r="AB1312" s="153" t="s">
        <v>390</v>
      </c>
      <c r="AC1312" s="153" t="s">
        <v>6035</v>
      </c>
      <c r="AD1312" s="153" t="s">
        <v>369</v>
      </c>
      <c r="AE1312" s="153"/>
      <c r="AF1312" s="153"/>
      <c r="AG1312" s="153" t="s">
        <v>6084</v>
      </c>
      <c r="AH1312" s="153" t="s">
        <v>1330</v>
      </c>
      <c r="AI1312" s="172" t="s">
        <v>1331</v>
      </c>
      <c r="AJ1312" s="153"/>
      <c r="AK1312" s="153"/>
    </row>
    <row r="1313">
      <c r="A1313" s="152">
        <v>2023.0</v>
      </c>
      <c r="B1313" s="151">
        <v>324.0</v>
      </c>
      <c r="C1313" s="129" t="s">
        <v>140</v>
      </c>
      <c r="D1313" s="8"/>
      <c r="E1313" s="8" t="s">
        <v>8189</v>
      </c>
      <c r="F1313" s="8" t="s">
        <v>7297</v>
      </c>
      <c r="G1313" s="8">
        <f>IFERROR(__xludf.DUMMYFUNCTION("""COMPUTED_VALUE"""),827.0)</f>
        <v>827</v>
      </c>
      <c r="H1313" s="8" t="s">
        <v>590</v>
      </c>
      <c r="I1313" s="8" t="s">
        <v>591</v>
      </c>
      <c r="J1313" s="8" t="s">
        <v>5287</v>
      </c>
      <c r="K1313" s="8" t="s">
        <v>5288</v>
      </c>
      <c r="L1313" s="8" t="s">
        <v>6113</v>
      </c>
      <c r="M1313" s="8" t="s">
        <v>7298</v>
      </c>
      <c r="N1313" s="142" t="s">
        <v>6030</v>
      </c>
      <c r="O1313" s="142"/>
      <c r="P1313" s="142"/>
      <c r="Q1313" s="8" t="s">
        <v>151</v>
      </c>
    </row>
    <row r="1314">
      <c r="A1314" s="152">
        <v>2024.0</v>
      </c>
      <c r="B1314" s="151">
        <v>449.0</v>
      </c>
      <c r="C1314" s="153"/>
      <c r="D1314" s="153"/>
      <c r="E1314" s="153" t="s">
        <v>8189</v>
      </c>
      <c r="F1314" s="153" t="s">
        <v>8915</v>
      </c>
      <c r="G1314" s="153">
        <f>IFERROR(__xludf.DUMMYFUNCTION("""COMPUTED_VALUE"""),828.0)</f>
        <v>828</v>
      </c>
      <c r="H1314" s="153" t="s">
        <v>642</v>
      </c>
      <c r="I1314" s="153" t="s">
        <v>1333</v>
      </c>
      <c r="J1314" s="153" t="s">
        <v>1347</v>
      </c>
      <c r="K1314" s="153" t="s">
        <v>1348</v>
      </c>
      <c r="L1314" s="153" t="s">
        <v>1309</v>
      </c>
      <c r="M1314" s="153" t="s">
        <v>1349</v>
      </c>
      <c r="N1314" s="230">
        <v>2020.0</v>
      </c>
      <c r="O1314" s="192">
        <v>2016.0</v>
      </c>
      <c r="P1314" s="192">
        <v>2020.0</v>
      </c>
      <c r="Q1314" s="153" t="s">
        <v>151</v>
      </c>
      <c r="R1314" s="158" t="s">
        <v>149</v>
      </c>
      <c r="S1314" s="158" t="s">
        <v>149</v>
      </c>
      <c r="T1314" s="158" t="s">
        <v>6910</v>
      </c>
      <c r="U1314" s="158" t="s">
        <v>1327</v>
      </c>
      <c r="V1314" s="158" t="s">
        <v>6154</v>
      </c>
      <c r="W1314" s="158" t="s">
        <v>206</v>
      </c>
      <c r="X1314" s="158" t="s">
        <v>159</v>
      </c>
      <c r="Y1314" s="158" t="s">
        <v>149</v>
      </c>
      <c r="Z1314" s="158" t="s">
        <v>149</v>
      </c>
      <c r="AA1314" s="153" t="s">
        <v>1350</v>
      </c>
      <c r="AB1314" s="153" t="s">
        <v>390</v>
      </c>
      <c r="AC1314" s="153" t="s">
        <v>6035</v>
      </c>
      <c r="AD1314" s="153" t="s">
        <v>369</v>
      </c>
      <c r="AE1314" s="153"/>
      <c r="AF1314" s="153"/>
      <c r="AG1314" s="153" t="s">
        <v>6084</v>
      </c>
      <c r="AH1314" s="153" t="s">
        <v>1330</v>
      </c>
      <c r="AI1314" s="153" t="s">
        <v>1331</v>
      </c>
      <c r="AJ1314" s="153"/>
      <c r="AK1314" s="153"/>
    </row>
    <row r="1315">
      <c r="A1315" s="152">
        <v>2025.0</v>
      </c>
      <c r="B1315" s="151">
        <v>331.0</v>
      </c>
      <c r="C1315" s="153" t="s">
        <v>8189</v>
      </c>
      <c r="D1315" s="153"/>
      <c r="E1315" s="153" t="s">
        <v>8301</v>
      </c>
      <c r="F1315" s="153" t="s">
        <v>7324</v>
      </c>
      <c r="G1315" s="153">
        <f>IFERROR(__xludf.DUMMYFUNCTION("""COMPUTED_VALUE"""),829.0)</f>
        <v>829</v>
      </c>
      <c r="H1315" s="153" t="s">
        <v>590</v>
      </c>
      <c r="I1315" s="153" t="s">
        <v>591</v>
      </c>
      <c r="J1315" s="153" t="s">
        <v>7288</v>
      </c>
      <c r="K1315" s="153" t="s">
        <v>593</v>
      </c>
      <c r="L1315" s="153" t="s">
        <v>384</v>
      </c>
      <c r="M1315" s="153" t="s">
        <v>435</v>
      </c>
      <c r="N1315" s="175" t="s">
        <v>6053</v>
      </c>
      <c r="O1315" s="175" t="s">
        <v>6052</v>
      </c>
      <c r="P1315" s="175" t="s">
        <v>7289</v>
      </c>
      <c r="Q1315" s="153" t="s">
        <v>151</v>
      </c>
      <c r="R1315" s="153" t="s">
        <v>469</v>
      </c>
      <c r="S1315" s="158" t="s">
        <v>469</v>
      </c>
      <c r="T1315" s="158" t="s">
        <v>149</v>
      </c>
      <c r="U1315" s="153" t="s">
        <v>390</v>
      </c>
      <c r="V1315" s="158" t="s">
        <v>160</v>
      </c>
      <c r="W1315" s="158" t="s">
        <v>6035</v>
      </c>
      <c r="X1315" s="158" t="s">
        <v>159</v>
      </c>
      <c r="Y1315" s="158" t="s">
        <v>149</v>
      </c>
      <c r="Z1315" s="158" t="s">
        <v>149</v>
      </c>
      <c r="AA1315" s="158" t="s">
        <v>149</v>
      </c>
      <c r="AB1315" s="153" t="s">
        <v>390</v>
      </c>
      <c r="AC1315" s="153" t="s">
        <v>6035</v>
      </c>
      <c r="AD1315" s="153" t="s">
        <v>6055</v>
      </c>
      <c r="AE1315" s="153"/>
      <c r="AF1315" s="153"/>
      <c r="AG1315" s="158" t="s">
        <v>395</v>
      </c>
      <c r="AH1315" s="153" t="s">
        <v>6060</v>
      </c>
      <c r="AI1315" s="158" t="s">
        <v>6711</v>
      </c>
      <c r="AJ1315" s="153" t="s">
        <v>398</v>
      </c>
      <c r="AK1315" s="153"/>
    </row>
    <row r="1316">
      <c r="A1316" s="152">
        <v>2024.0</v>
      </c>
      <c r="B1316" s="151">
        <v>450.0</v>
      </c>
      <c r="C1316" s="153"/>
      <c r="D1316" s="153"/>
      <c r="E1316" s="153" t="s">
        <v>8189</v>
      </c>
      <c r="F1316" s="153" t="s">
        <v>8916</v>
      </c>
      <c r="G1316" s="153">
        <f>IFERROR(__xludf.DUMMYFUNCTION("""COMPUTED_VALUE"""),830.0)</f>
        <v>830</v>
      </c>
      <c r="H1316" s="153" t="s">
        <v>642</v>
      </c>
      <c r="I1316" s="153" t="s">
        <v>2528</v>
      </c>
      <c r="J1316" s="153" t="s">
        <v>2529</v>
      </c>
      <c r="K1316" s="153" t="s">
        <v>2530</v>
      </c>
      <c r="L1316" s="158" t="s">
        <v>1309</v>
      </c>
      <c r="M1316" s="153" t="s">
        <v>2531</v>
      </c>
      <c r="N1316" s="192">
        <v>2022.0</v>
      </c>
      <c r="O1316" s="192" t="s">
        <v>149</v>
      </c>
      <c r="P1316" s="192" t="s">
        <v>149</v>
      </c>
      <c r="Q1316" s="153" t="s">
        <v>6062</v>
      </c>
      <c r="R1316" s="153" t="s">
        <v>320</v>
      </c>
      <c r="S1316" s="158" t="s">
        <v>179</v>
      </c>
      <c r="T1316" s="158" t="s">
        <v>1311</v>
      </c>
      <c r="U1316" s="158" t="s">
        <v>149</v>
      </c>
      <c r="V1316" s="158" t="s">
        <v>149</v>
      </c>
      <c r="W1316" s="158" t="s">
        <v>149</v>
      </c>
      <c r="X1316" s="158" t="s">
        <v>159</v>
      </c>
      <c r="Y1316" s="158" t="s">
        <v>149</v>
      </c>
      <c r="Z1316" s="158" t="s">
        <v>149</v>
      </c>
      <c r="AA1316" s="158" t="s">
        <v>1360</v>
      </c>
      <c r="AB1316" s="158" t="s">
        <v>1314</v>
      </c>
      <c r="AC1316" s="153" t="s">
        <v>6035</v>
      </c>
      <c r="AD1316" s="158" t="s">
        <v>7758</v>
      </c>
      <c r="AE1316" s="153"/>
      <c r="AF1316" s="153"/>
      <c r="AG1316" s="158" t="s">
        <v>166</v>
      </c>
      <c r="AH1316" s="158" t="s">
        <v>7759</v>
      </c>
      <c r="AI1316" s="177" t="s">
        <v>2535</v>
      </c>
      <c r="AJ1316" s="153"/>
      <c r="AK1316" s="153"/>
    </row>
    <row r="1317">
      <c r="A1317" s="152">
        <v>2025.0</v>
      </c>
      <c r="B1317" s="151">
        <v>332.0</v>
      </c>
      <c r="C1317" s="153" t="s">
        <v>8189</v>
      </c>
      <c r="D1317" s="153"/>
      <c r="E1317" s="153" t="s">
        <v>8301</v>
      </c>
      <c r="F1317" s="153" t="s">
        <v>7330</v>
      </c>
      <c r="G1317" s="153">
        <f>IFERROR(__xludf.DUMMYFUNCTION("""COMPUTED_VALUE"""),831.0)</f>
        <v>831</v>
      </c>
      <c r="H1317" s="153" t="s">
        <v>590</v>
      </c>
      <c r="I1317" s="153" t="s">
        <v>591</v>
      </c>
      <c r="J1317" s="153" t="s">
        <v>7288</v>
      </c>
      <c r="K1317" s="153" t="s">
        <v>593</v>
      </c>
      <c r="L1317" s="153" t="s">
        <v>384</v>
      </c>
      <c r="M1317" s="153" t="s">
        <v>596</v>
      </c>
      <c r="N1317" s="175" t="s">
        <v>6053</v>
      </c>
      <c r="O1317" s="175" t="s">
        <v>6052</v>
      </c>
      <c r="P1317" s="175" t="s">
        <v>6053</v>
      </c>
      <c r="Q1317" s="153" t="s">
        <v>151</v>
      </c>
      <c r="R1317" s="153" t="s">
        <v>469</v>
      </c>
      <c r="S1317" s="158" t="s">
        <v>469</v>
      </c>
      <c r="T1317" s="158" t="s">
        <v>149</v>
      </c>
      <c r="U1317" s="153" t="s">
        <v>390</v>
      </c>
      <c r="V1317" s="158" t="s">
        <v>160</v>
      </c>
      <c r="W1317" s="158" t="s">
        <v>6035</v>
      </c>
      <c r="X1317" s="158" t="s">
        <v>159</v>
      </c>
      <c r="Y1317" s="158" t="s">
        <v>149</v>
      </c>
      <c r="Z1317" s="158" t="s">
        <v>149</v>
      </c>
      <c r="AA1317" s="158" t="s">
        <v>149</v>
      </c>
      <c r="AB1317" s="153" t="s">
        <v>390</v>
      </c>
      <c r="AC1317" s="153" t="s">
        <v>6035</v>
      </c>
      <c r="AD1317" s="153" t="s">
        <v>6055</v>
      </c>
      <c r="AE1317" s="153"/>
      <c r="AF1317" s="153"/>
      <c r="AG1317" s="158" t="s">
        <v>395</v>
      </c>
      <c r="AH1317" s="153" t="s">
        <v>6060</v>
      </c>
      <c r="AI1317" s="158" t="s">
        <v>6711</v>
      </c>
      <c r="AJ1317" s="153" t="s">
        <v>398</v>
      </c>
      <c r="AK1317" s="153"/>
    </row>
    <row r="1318">
      <c r="A1318" s="152">
        <v>2024.0</v>
      </c>
      <c r="B1318" s="301">
        <v>451.0</v>
      </c>
      <c r="C1318" s="158"/>
      <c r="D1318" s="158"/>
      <c r="E1318" s="158" t="s">
        <v>8189</v>
      </c>
      <c r="F1318" s="158" t="s">
        <v>8917</v>
      </c>
      <c r="G1318" s="158">
        <f>IFERROR(__xludf.DUMMYFUNCTION("""COMPUTED_VALUE"""),832.0)</f>
        <v>832</v>
      </c>
      <c r="H1318" s="158" t="s">
        <v>642</v>
      </c>
      <c r="I1318" s="158" t="s">
        <v>643</v>
      </c>
      <c r="J1318" s="158" t="s">
        <v>7691</v>
      </c>
      <c r="K1318" s="158" t="s">
        <v>1308</v>
      </c>
      <c r="L1318" s="158" t="s">
        <v>1309</v>
      </c>
      <c r="M1318" s="158" t="s">
        <v>1310</v>
      </c>
      <c r="N1318" s="192">
        <v>2021.0</v>
      </c>
      <c r="O1318" s="192" t="s">
        <v>149</v>
      </c>
      <c r="P1318" s="192" t="s">
        <v>149</v>
      </c>
      <c r="Q1318" s="158" t="s">
        <v>6062</v>
      </c>
      <c r="R1318" s="158" t="s">
        <v>320</v>
      </c>
      <c r="S1318" s="158" t="s">
        <v>179</v>
      </c>
      <c r="T1318" s="158" t="s">
        <v>1311</v>
      </c>
      <c r="U1318" s="158" t="s">
        <v>149</v>
      </c>
      <c r="V1318" s="158" t="s">
        <v>149</v>
      </c>
      <c r="W1318" s="158" t="s">
        <v>149</v>
      </c>
      <c r="X1318" s="158" t="s">
        <v>159</v>
      </c>
      <c r="Y1318" s="158" t="s">
        <v>149</v>
      </c>
      <c r="Z1318" s="158" t="s">
        <v>149</v>
      </c>
      <c r="AA1318" s="158" t="s">
        <v>149</v>
      </c>
      <c r="AB1318" s="158" t="s">
        <v>1314</v>
      </c>
      <c r="AC1318" s="158" t="s">
        <v>6035</v>
      </c>
      <c r="AD1318" s="158" t="s">
        <v>7758</v>
      </c>
      <c r="AE1318" s="158"/>
      <c r="AF1318" s="158"/>
      <c r="AG1318" s="158" t="s">
        <v>6038</v>
      </c>
      <c r="AH1318" s="158" t="s">
        <v>1316</v>
      </c>
      <c r="AI1318" s="172" t="s">
        <v>1317</v>
      </c>
      <c r="AJ1318" s="158"/>
      <c r="AK1318" s="158"/>
    </row>
    <row r="1319">
      <c r="A1319" s="152">
        <v>2025.0</v>
      </c>
      <c r="B1319" s="151">
        <v>333.0</v>
      </c>
      <c r="C1319" s="153" t="s">
        <v>8189</v>
      </c>
      <c r="D1319" s="153"/>
      <c r="E1319" s="153" t="s">
        <v>8301</v>
      </c>
      <c r="F1319" s="153" t="s">
        <v>7332</v>
      </c>
      <c r="G1319" s="153">
        <f>IFERROR(__xludf.DUMMYFUNCTION("""COMPUTED_VALUE"""),833.0)</f>
        <v>833</v>
      </c>
      <c r="H1319" s="153" t="s">
        <v>590</v>
      </c>
      <c r="I1319" s="153" t="s">
        <v>591</v>
      </c>
      <c r="J1319" s="153" t="s">
        <v>7288</v>
      </c>
      <c r="K1319" s="153" t="s">
        <v>593</v>
      </c>
      <c r="L1319" s="153" t="s">
        <v>384</v>
      </c>
      <c r="M1319" s="153" t="s">
        <v>598</v>
      </c>
      <c r="N1319" s="175" t="s">
        <v>6053</v>
      </c>
      <c r="O1319" s="175" t="s">
        <v>6052</v>
      </c>
      <c r="P1319" s="175" t="s">
        <v>6053</v>
      </c>
      <c r="Q1319" s="153" t="s">
        <v>151</v>
      </c>
      <c r="R1319" s="153" t="s">
        <v>469</v>
      </c>
      <c r="S1319" s="158" t="s">
        <v>469</v>
      </c>
      <c r="T1319" s="158" t="s">
        <v>149</v>
      </c>
      <c r="U1319" s="153" t="s">
        <v>390</v>
      </c>
      <c r="V1319" s="158" t="s">
        <v>160</v>
      </c>
      <c r="W1319" s="158" t="s">
        <v>6035</v>
      </c>
      <c r="X1319" s="158" t="s">
        <v>159</v>
      </c>
      <c r="Y1319" s="158" t="s">
        <v>149</v>
      </c>
      <c r="Z1319" s="158" t="s">
        <v>149</v>
      </c>
      <c r="AA1319" s="158" t="s">
        <v>149</v>
      </c>
      <c r="AB1319" s="153" t="s">
        <v>390</v>
      </c>
      <c r="AC1319" s="153" t="s">
        <v>6035</v>
      </c>
      <c r="AD1319" s="153" t="s">
        <v>6055</v>
      </c>
      <c r="AE1319" s="153"/>
      <c r="AF1319" s="153"/>
      <c r="AG1319" s="158" t="s">
        <v>395</v>
      </c>
      <c r="AH1319" s="153" t="s">
        <v>6060</v>
      </c>
      <c r="AI1319" s="158" t="s">
        <v>6711</v>
      </c>
      <c r="AJ1319" s="153" t="s">
        <v>398</v>
      </c>
      <c r="AK1319" s="153"/>
    </row>
    <row r="1320">
      <c r="A1320" s="152">
        <v>2024.0</v>
      </c>
      <c r="B1320" s="151">
        <v>452.0</v>
      </c>
      <c r="C1320" s="153"/>
      <c r="D1320" s="153"/>
      <c r="E1320" s="153" t="s">
        <v>8189</v>
      </c>
      <c r="F1320" s="153" t="s">
        <v>8918</v>
      </c>
      <c r="G1320" s="153">
        <f>IFERROR(__xludf.DUMMYFUNCTION("""COMPUTED_VALUE"""),834.0)</f>
        <v>834</v>
      </c>
      <c r="H1320" s="153" t="s">
        <v>642</v>
      </c>
      <c r="I1320" s="153" t="s">
        <v>643</v>
      </c>
      <c r="J1320" s="153" t="s">
        <v>644</v>
      </c>
      <c r="K1320" s="153" t="s">
        <v>645</v>
      </c>
      <c r="L1320" s="153" t="s">
        <v>384</v>
      </c>
      <c r="M1320" s="153" t="s">
        <v>646</v>
      </c>
      <c r="N1320" s="230">
        <v>1986.0</v>
      </c>
      <c r="O1320" s="230">
        <v>1985.0</v>
      </c>
      <c r="P1320" s="230">
        <v>1987.0</v>
      </c>
      <c r="Q1320" s="153" t="s">
        <v>151</v>
      </c>
      <c r="R1320" s="153" t="s">
        <v>6054</v>
      </c>
      <c r="S1320" s="158" t="s">
        <v>6054</v>
      </c>
      <c r="T1320" s="158" t="s">
        <v>149</v>
      </c>
      <c r="U1320" s="153" t="s">
        <v>390</v>
      </c>
      <c r="V1320" s="158" t="s">
        <v>160</v>
      </c>
      <c r="W1320" s="158" t="s">
        <v>6035</v>
      </c>
      <c r="X1320" s="158" t="s">
        <v>159</v>
      </c>
      <c r="Y1320" s="158" t="s">
        <v>149</v>
      </c>
      <c r="Z1320" s="158" t="s">
        <v>149</v>
      </c>
      <c r="AA1320" s="158" t="s">
        <v>149</v>
      </c>
      <c r="AB1320" s="153" t="s">
        <v>390</v>
      </c>
      <c r="AC1320" s="153" t="s">
        <v>6035</v>
      </c>
      <c r="AD1320" s="153" t="s">
        <v>6055</v>
      </c>
      <c r="AE1320" s="153"/>
      <c r="AF1320" s="153"/>
      <c r="AG1320" s="158" t="s">
        <v>395</v>
      </c>
      <c r="AH1320" s="153" t="s">
        <v>6060</v>
      </c>
      <c r="AI1320" s="172" t="s">
        <v>541</v>
      </c>
      <c r="AJ1320" s="153" t="s">
        <v>398</v>
      </c>
      <c r="AK1320" s="153"/>
    </row>
    <row r="1321">
      <c r="A1321" s="152">
        <v>2023.0</v>
      </c>
      <c r="B1321" s="151">
        <v>325.0</v>
      </c>
      <c r="C1321" s="129" t="s">
        <v>140</v>
      </c>
      <c r="D1321" s="8"/>
      <c r="E1321" s="8" t="s">
        <v>8189</v>
      </c>
      <c r="F1321" s="8" t="s">
        <v>7301</v>
      </c>
      <c r="G1321" s="8">
        <f>IFERROR(__xludf.DUMMYFUNCTION("""COMPUTED_VALUE"""),835.0)</f>
        <v>835</v>
      </c>
      <c r="H1321" s="8" t="s">
        <v>590</v>
      </c>
      <c r="I1321" s="8" t="s">
        <v>769</v>
      </c>
      <c r="J1321" s="8" t="s">
        <v>7302</v>
      </c>
      <c r="K1321" s="8" t="s">
        <v>771</v>
      </c>
      <c r="L1321" s="8" t="s">
        <v>6113</v>
      </c>
      <c r="M1321" s="8" t="s">
        <v>7303</v>
      </c>
      <c r="N1321" s="142" t="s">
        <v>6030</v>
      </c>
      <c r="O1321" s="142"/>
      <c r="P1321" s="142"/>
      <c r="Q1321" s="8" t="s">
        <v>151</v>
      </c>
    </row>
    <row r="1322">
      <c r="A1322" s="152">
        <v>2024.0</v>
      </c>
      <c r="B1322" s="151">
        <v>453.0</v>
      </c>
      <c r="C1322" s="153"/>
      <c r="D1322" s="153"/>
      <c r="E1322" s="153" t="s">
        <v>8189</v>
      </c>
      <c r="F1322" s="153" t="s">
        <v>8919</v>
      </c>
      <c r="G1322" s="153">
        <f>IFERROR(__xludf.DUMMYFUNCTION("""COMPUTED_VALUE"""),836.0)</f>
        <v>836</v>
      </c>
      <c r="H1322" s="153" t="s">
        <v>642</v>
      </c>
      <c r="I1322" s="153" t="s">
        <v>643</v>
      </c>
      <c r="J1322" s="153" t="s">
        <v>644</v>
      </c>
      <c r="K1322" s="153" t="s">
        <v>645</v>
      </c>
      <c r="L1322" s="153" t="s">
        <v>1309</v>
      </c>
      <c r="M1322" s="153" t="s">
        <v>1352</v>
      </c>
      <c r="N1322" s="230">
        <v>2020.0</v>
      </c>
      <c r="O1322" s="192">
        <v>2016.0</v>
      </c>
      <c r="P1322" s="192">
        <v>2020.0</v>
      </c>
      <c r="Q1322" s="153" t="s">
        <v>151</v>
      </c>
      <c r="R1322" s="158" t="s">
        <v>149</v>
      </c>
      <c r="S1322" s="158" t="s">
        <v>149</v>
      </c>
      <c r="T1322" s="158" t="s">
        <v>6910</v>
      </c>
      <c r="U1322" s="158" t="s">
        <v>1327</v>
      </c>
      <c r="V1322" s="158" t="s">
        <v>6154</v>
      </c>
      <c r="W1322" s="158" t="s">
        <v>206</v>
      </c>
      <c r="X1322" s="158" t="s">
        <v>159</v>
      </c>
      <c r="Y1322" s="158" t="s">
        <v>149</v>
      </c>
      <c r="Z1322" s="158" t="s">
        <v>149</v>
      </c>
      <c r="AA1322" s="153" t="s">
        <v>1353</v>
      </c>
      <c r="AB1322" s="153" t="s">
        <v>390</v>
      </c>
      <c r="AC1322" s="153" t="s">
        <v>6035</v>
      </c>
      <c r="AD1322" s="158" t="s">
        <v>369</v>
      </c>
      <c r="AE1322" s="153"/>
      <c r="AF1322" s="153"/>
      <c r="AG1322" s="153" t="s">
        <v>6084</v>
      </c>
      <c r="AH1322" s="153" t="s">
        <v>1330</v>
      </c>
      <c r="AI1322" s="177" t="s">
        <v>1331</v>
      </c>
      <c r="AJ1322" s="153"/>
      <c r="AK1322" s="153"/>
    </row>
    <row r="1323">
      <c r="A1323" s="152">
        <v>2023.0</v>
      </c>
      <c r="B1323" s="151">
        <v>326.0</v>
      </c>
      <c r="C1323" s="129" t="s">
        <v>140</v>
      </c>
      <c r="D1323" s="8"/>
      <c r="E1323" s="8" t="s">
        <v>8189</v>
      </c>
      <c r="F1323" s="8" t="s">
        <v>7306</v>
      </c>
      <c r="G1323" s="8">
        <f>IFERROR(__xludf.DUMMYFUNCTION("""COMPUTED_VALUE"""),837.0)</f>
        <v>837</v>
      </c>
      <c r="H1323" s="8" t="s">
        <v>590</v>
      </c>
      <c r="I1323" s="8" t="s">
        <v>769</v>
      </c>
      <c r="J1323" s="8" t="s">
        <v>7302</v>
      </c>
      <c r="K1323" s="8" t="s">
        <v>771</v>
      </c>
      <c r="L1323" s="8" t="s">
        <v>772</v>
      </c>
      <c r="N1323" s="142" t="s">
        <v>6030</v>
      </c>
      <c r="O1323" s="142"/>
      <c r="P1323" s="142"/>
      <c r="Q1323" s="8" t="s">
        <v>151</v>
      </c>
      <c r="AB1323" s="8" t="s">
        <v>7307</v>
      </c>
      <c r="AD1323" s="8" t="s">
        <v>760</v>
      </c>
      <c r="AE1323" s="8" t="s">
        <v>7308</v>
      </c>
    </row>
    <row r="1324">
      <c r="A1324" s="152">
        <v>2024.0</v>
      </c>
      <c r="B1324" s="151">
        <v>454.0</v>
      </c>
      <c r="C1324" s="153"/>
      <c r="D1324" s="153"/>
      <c r="E1324" s="153" t="s">
        <v>8189</v>
      </c>
      <c r="F1324" s="153" t="s">
        <v>8920</v>
      </c>
      <c r="G1324" s="153">
        <f>IFERROR(__xludf.DUMMYFUNCTION("""COMPUTED_VALUE"""),838.0)</f>
        <v>838</v>
      </c>
      <c r="H1324" s="153" t="s">
        <v>642</v>
      </c>
      <c r="I1324" s="153" t="s">
        <v>2769</v>
      </c>
      <c r="J1324" s="153" t="s">
        <v>2770</v>
      </c>
      <c r="K1324" s="153" t="s">
        <v>2771</v>
      </c>
      <c r="L1324" s="158" t="s">
        <v>149</v>
      </c>
      <c r="M1324" s="153" t="s">
        <v>7769</v>
      </c>
      <c r="N1324" s="230">
        <v>2019.0</v>
      </c>
      <c r="O1324" s="192" t="s">
        <v>149</v>
      </c>
      <c r="P1324" s="192" t="s">
        <v>149</v>
      </c>
      <c r="Q1324" s="153" t="s">
        <v>151</v>
      </c>
      <c r="R1324" s="158" t="s">
        <v>149</v>
      </c>
      <c r="S1324" s="158" t="s">
        <v>149</v>
      </c>
      <c r="T1324" s="158" t="s">
        <v>7770</v>
      </c>
      <c r="U1324" s="153" t="s">
        <v>2776</v>
      </c>
      <c r="V1324" s="158" t="s">
        <v>160</v>
      </c>
      <c r="W1324" s="158" t="s">
        <v>6035</v>
      </c>
      <c r="X1324" s="158" t="s">
        <v>159</v>
      </c>
      <c r="Y1324" s="158" t="s">
        <v>149</v>
      </c>
      <c r="Z1324" s="158" t="s">
        <v>149</v>
      </c>
      <c r="AA1324" s="158" t="s">
        <v>149</v>
      </c>
      <c r="AB1324" s="153" t="s">
        <v>8921</v>
      </c>
      <c r="AC1324" s="153" t="s">
        <v>6035</v>
      </c>
      <c r="AD1324" s="153" t="s">
        <v>390</v>
      </c>
      <c r="AE1324" s="153"/>
      <c r="AF1324" s="153"/>
      <c r="AG1324" s="158" t="s">
        <v>166</v>
      </c>
      <c r="AH1324" s="153" t="s">
        <v>7772</v>
      </c>
      <c r="AI1324" s="172" t="s">
        <v>2779</v>
      </c>
      <c r="AJ1324" s="153"/>
      <c r="AK1324" s="153"/>
    </row>
    <row r="1325">
      <c r="A1325" s="152">
        <v>2023.0</v>
      </c>
      <c r="B1325" s="151">
        <v>327.0</v>
      </c>
      <c r="C1325" s="129" t="s">
        <v>140</v>
      </c>
      <c r="D1325" s="8"/>
      <c r="E1325" s="8" t="s">
        <v>8189</v>
      </c>
      <c r="F1325" s="8" t="s">
        <v>8922</v>
      </c>
      <c r="G1325" s="8">
        <f>IFERROR(__xludf.DUMMYFUNCTION("""COMPUTED_VALUE"""),839.0)</f>
        <v>839</v>
      </c>
      <c r="H1325" s="8" t="s">
        <v>590</v>
      </c>
      <c r="I1325" s="8" t="s">
        <v>769</v>
      </c>
      <c r="J1325" s="8" t="s">
        <v>7312</v>
      </c>
      <c r="K1325" s="8" t="s">
        <v>1518</v>
      </c>
      <c r="L1325" s="8" t="s">
        <v>1683</v>
      </c>
      <c r="N1325" s="142"/>
      <c r="O1325" s="142" t="s">
        <v>6063</v>
      </c>
      <c r="P1325" s="142" t="s">
        <v>6064</v>
      </c>
      <c r="Q1325" s="8" t="s">
        <v>6062</v>
      </c>
      <c r="U1325" s="8" t="s">
        <v>321</v>
      </c>
      <c r="AA1325" s="8" t="s">
        <v>1719</v>
      </c>
      <c r="AB1325" s="8" t="s">
        <v>326</v>
      </c>
      <c r="AD1325" s="8" t="s">
        <v>1720</v>
      </c>
      <c r="AH1325" s="8" t="s">
        <v>6069</v>
      </c>
      <c r="AJ1325" s="8" t="s">
        <v>1722</v>
      </c>
      <c r="AK1325" s="172" t="s">
        <v>1723</v>
      </c>
    </row>
    <row r="1326">
      <c r="A1326" s="152">
        <v>2024.0</v>
      </c>
      <c r="B1326" s="151">
        <v>455.0</v>
      </c>
      <c r="C1326" s="153"/>
      <c r="D1326" s="153"/>
      <c r="E1326" s="153" t="s">
        <v>8189</v>
      </c>
      <c r="F1326" s="153" t="s">
        <v>8923</v>
      </c>
      <c r="G1326" s="153">
        <f>IFERROR(__xludf.DUMMYFUNCTION("""COMPUTED_VALUE"""),840.0)</f>
        <v>840</v>
      </c>
      <c r="H1326" s="153" t="s">
        <v>642</v>
      </c>
      <c r="I1326" s="153" t="s">
        <v>1217</v>
      </c>
      <c r="J1326" s="153" t="s">
        <v>1218</v>
      </c>
      <c r="K1326" s="153" t="s">
        <v>1219</v>
      </c>
      <c r="L1326" s="158" t="s">
        <v>149</v>
      </c>
      <c r="M1326" s="153" t="s">
        <v>3223</v>
      </c>
      <c r="N1326" s="230">
        <v>2012.0</v>
      </c>
      <c r="O1326" s="192" t="s">
        <v>149</v>
      </c>
      <c r="P1326" s="192" t="s">
        <v>149</v>
      </c>
      <c r="Q1326" s="153" t="s">
        <v>151</v>
      </c>
      <c r="R1326" s="153" t="s">
        <v>3399</v>
      </c>
      <c r="S1326" s="158" t="s">
        <v>3399</v>
      </c>
      <c r="T1326" s="158" t="s">
        <v>149</v>
      </c>
      <c r="U1326" s="158" t="s">
        <v>3227</v>
      </c>
      <c r="V1326" s="158" t="s">
        <v>160</v>
      </c>
      <c r="W1326" s="158" t="s">
        <v>209</v>
      </c>
      <c r="X1326" s="158" t="s">
        <v>149</v>
      </c>
      <c r="Y1326" s="158" t="s">
        <v>149</v>
      </c>
      <c r="Z1326" s="158" t="s">
        <v>149</v>
      </c>
      <c r="AA1326" s="158" t="s">
        <v>149</v>
      </c>
      <c r="AB1326" s="153" t="s">
        <v>3227</v>
      </c>
      <c r="AC1326" s="158" t="s">
        <v>6068</v>
      </c>
      <c r="AD1326" s="153"/>
      <c r="AE1326" s="153" t="s">
        <v>3228</v>
      </c>
      <c r="AF1326" s="153"/>
      <c r="AG1326" s="158" t="s">
        <v>6091</v>
      </c>
      <c r="AH1326" s="153" t="s">
        <v>3229</v>
      </c>
      <c r="AI1326" s="172" t="s">
        <v>3230</v>
      </c>
      <c r="AJ1326" s="153"/>
      <c r="AK1326" s="153"/>
    </row>
    <row r="1327">
      <c r="A1327" s="152">
        <v>2023.0</v>
      </c>
      <c r="B1327" s="151">
        <v>328.0</v>
      </c>
      <c r="C1327" s="129" t="s">
        <v>140</v>
      </c>
      <c r="D1327" s="8"/>
      <c r="E1327" s="8" t="s">
        <v>8189</v>
      </c>
      <c r="F1327" s="8" t="s">
        <v>7314</v>
      </c>
      <c r="G1327" s="8">
        <f>IFERROR(__xludf.DUMMYFUNCTION("""COMPUTED_VALUE"""),841.0)</f>
        <v>841</v>
      </c>
      <c r="H1327" s="8" t="s">
        <v>590</v>
      </c>
      <c r="I1327" s="8" t="s">
        <v>769</v>
      </c>
      <c r="J1327" s="8" t="s">
        <v>7312</v>
      </c>
      <c r="K1327" s="8" t="s">
        <v>1518</v>
      </c>
      <c r="L1327" s="8" t="s">
        <v>6113</v>
      </c>
      <c r="N1327" s="142" t="s">
        <v>6906</v>
      </c>
      <c r="O1327" s="142"/>
      <c r="P1327" s="142"/>
      <c r="Q1327" s="8" t="s">
        <v>151</v>
      </c>
      <c r="AB1327" s="8" t="s">
        <v>228</v>
      </c>
      <c r="AD1327" s="8" t="s">
        <v>993</v>
      </c>
    </row>
    <row r="1328">
      <c r="A1328" s="152">
        <v>2025.0</v>
      </c>
      <c r="B1328" s="151">
        <v>334.0</v>
      </c>
      <c r="C1328" s="153" t="s">
        <v>8189</v>
      </c>
      <c r="D1328" s="153"/>
      <c r="E1328" s="153" t="s">
        <v>8301</v>
      </c>
      <c r="F1328" s="153" t="s">
        <v>7334</v>
      </c>
      <c r="G1328" s="153">
        <f>IFERROR(__xludf.DUMMYFUNCTION("""COMPUTED_VALUE"""),842.0)</f>
        <v>842</v>
      </c>
      <c r="H1328" s="153" t="s">
        <v>590</v>
      </c>
      <c r="I1328" s="153" t="s">
        <v>769</v>
      </c>
      <c r="J1328" s="153" t="s">
        <v>7302</v>
      </c>
      <c r="K1328" s="153" t="s">
        <v>771</v>
      </c>
      <c r="L1328" s="158" t="s">
        <v>149</v>
      </c>
      <c r="M1328" s="153" t="s">
        <v>7335</v>
      </c>
      <c r="N1328" s="160" t="s">
        <v>149</v>
      </c>
      <c r="O1328" s="160" t="s">
        <v>149</v>
      </c>
      <c r="P1328" s="160" t="s">
        <v>149</v>
      </c>
      <c r="Q1328" s="153" t="s">
        <v>151</v>
      </c>
      <c r="R1328" s="158" t="s">
        <v>149</v>
      </c>
      <c r="S1328" s="158" t="s">
        <v>149</v>
      </c>
      <c r="T1328" s="158" t="s">
        <v>149</v>
      </c>
      <c r="U1328" s="158" t="s">
        <v>149</v>
      </c>
      <c r="V1328" s="158" t="s">
        <v>149</v>
      </c>
      <c r="W1328" s="158" t="s">
        <v>149</v>
      </c>
      <c r="X1328" s="158" t="s">
        <v>149</v>
      </c>
      <c r="Y1328" s="158" t="s">
        <v>149</v>
      </c>
      <c r="Z1328" s="158" t="s">
        <v>149</v>
      </c>
      <c r="AA1328" s="158" t="s">
        <v>149</v>
      </c>
      <c r="AB1328" s="158" t="s">
        <v>149</v>
      </c>
      <c r="AC1328" s="158" t="s">
        <v>149</v>
      </c>
      <c r="AD1328" s="153"/>
      <c r="AE1328" s="153"/>
      <c r="AF1328" s="153"/>
      <c r="AG1328" s="158" t="s">
        <v>6091</v>
      </c>
      <c r="AH1328" s="153" t="s">
        <v>3170</v>
      </c>
      <c r="AI1328" s="172" t="s">
        <v>3171</v>
      </c>
      <c r="AJ1328" s="153"/>
      <c r="AK1328" s="153"/>
    </row>
    <row r="1329">
      <c r="A1329" s="152">
        <v>2024.0</v>
      </c>
      <c r="B1329" s="301">
        <v>457.0</v>
      </c>
      <c r="C1329" s="153"/>
      <c r="D1329" s="153"/>
      <c r="E1329" s="153" t="s">
        <v>8189</v>
      </c>
      <c r="F1329" s="158" t="s">
        <v>8924</v>
      </c>
      <c r="G1329" s="158">
        <f>IFERROR(__xludf.DUMMYFUNCTION("""COMPUTED_VALUE"""),843.0)</f>
        <v>843</v>
      </c>
      <c r="H1329" s="158" t="s">
        <v>642</v>
      </c>
      <c r="I1329" s="158" t="s">
        <v>1217</v>
      </c>
      <c r="J1329" s="158" t="s">
        <v>1218</v>
      </c>
      <c r="K1329" s="158" t="s">
        <v>1219</v>
      </c>
      <c r="L1329" s="158" t="s">
        <v>3413</v>
      </c>
      <c r="M1329" s="158" t="s">
        <v>7775</v>
      </c>
      <c r="N1329" s="192">
        <v>2014.0</v>
      </c>
      <c r="O1329" s="192">
        <v>2014.0</v>
      </c>
      <c r="P1329" s="192">
        <v>2017.0</v>
      </c>
      <c r="Q1329" s="158" t="s">
        <v>6221</v>
      </c>
      <c r="R1329" s="158" t="s">
        <v>1867</v>
      </c>
      <c r="S1329" s="158" t="s">
        <v>1867</v>
      </c>
      <c r="T1329" s="158" t="s">
        <v>1868</v>
      </c>
      <c r="U1329" s="158" t="s">
        <v>321</v>
      </c>
      <c r="V1329" s="158" t="s">
        <v>160</v>
      </c>
      <c r="W1329" s="158" t="s">
        <v>6035</v>
      </c>
      <c r="X1329" s="158" t="s">
        <v>204</v>
      </c>
      <c r="Y1329" s="158" t="s">
        <v>149</v>
      </c>
      <c r="Z1329" s="158" t="s">
        <v>149</v>
      </c>
      <c r="AA1329" s="158" t="s">
        <v>149</v>
      </c>
      <c r="AB1329" s="158" t="s">
        <v>1224</v>
      </c>
      <c r="AC1329" s="158" t="s">
        <v>6068</v>
      </c>
      <c r="AD1329" s="158" t="s">
        <v>233</v>
      </c>
      <c r="AE1329" s="158" t="s">
        <v>1869</v>
      </c>
      <c r="AF1329" s="158"/>
      <c r="AG1329" s="158" t="s">
        <v>6069</v>
      </c>
      <c r="AH1329" s="158" t="s">
        <v>1870</v>
      </c>
      <c r="AI1329" s="158" t="s">
        <v>7029</v>
      </c>
      <c r="AJ1329" s="158" t="s">
        <v>1872</v>
      </c>
      <c r="AK1329" s="177" t="s">
        <v>1873</v>
      </c>
    </row>
    <row r="1330">
      <c r="A1330" s="152">
        <v>2025.0</v>
      </c>
      <c r="B1330" s="151">
        <v>335.0</v>
      </c>
      <c r="C1330" s="153" t="s">
        <v>8189</v>
      </c>
      <c r="D1330" s="153"/>
      <c r="E1330" s="153" t="s">
        <v>8301</v>
      </c>
      <c r="F1330" s="153" t="s">
        <v>7337</v>
      </c>
      <c r="G1330" s="153">
        <f>IFERROR(__xludf.DUMMYFUNCTION("""COMPUTED_VALUE"""),844.0)</f>
        <v>844</v>
      </c>
      <c r="H1330" s="153" t="s">
        <v>590</v>
      </c>
      <c r="I1330" s="153" t="s">
        <v>769</v>
      </c>
      <c r="J1330" s="153" t="s">
        <v>7302</v>
      </c>
      <c r="K1330" s="153" t="s">
        <v>771</v>
      </c>
      <c r="L1330" s="153" t="s">
        <v>772</v>
      </c>
      <c r="M1330" s="153"/>
      <c r="N1330" s="160" t="s">
        <v>6030</v>
      </c>
      <c r="O1330" s="160" t="s">
        <v>149</v>
      </c>
      <c r="P1330" s="160" t="s">
        <v>149</v>
      </c>
      <c r="Q1330" s="153" t="s">
        <v>151</v>
      </c>
      <c r="R1330" s="158" t="s">
        <v>149</v>
      </c>
      <c r="S1330" s="158" t="s">
        <v>149</v>
      </c>
      <c r="T1330" s="158" t="s">
        <v>149</v>
      </c>
      <c r="U1330" s="158" t="s">
        <v>149</v>
      </c>
      <c r="V1330" s="158" t="s">
        <v>149</v>
      </c>
      <c r="W1330" s="158" t="s">
        <v>149</v>
      </c>
      <c r="X1330" s="158" t="s">
        <v>149</v>
      </c>
      <c r="Y1330" s="158" t="s">
        <v>149</v>
      </c>
      <c r="Z1330" s="158" t="s">
        <v>149</v>
      </c>
      <c r="AA1330" s="158" t="s">
        <v>149</v>
      </c>
      <c r="AB1330" s="153" t="s">
        <v>760</v>
      </c>
      <c r="AC1330" s="153" t="s">
        <v>6035</v>
      </c>
      <c r="AD1330" s="153"/>
      <c r="AE1330" s="153" t="s">
        <v>773</v>
      </c>
      <c r="AF1330" s="153"/>
      <c r="AG1330" s="153" t="s">
        <v>6038</v>
      </c>
      <c r="AH1330" s="153" t="s">
        <v>774</v>
      </c>
      <c r="AI1330" s="165" t="s">
        <v>775</v>
      </c>
      <c r="AJ1330" s="153"/>
      <c r="AK1330" s="153"/>
    </row>
    <row r="1331">
      <c r="A1331" s="152">
        <v>2024.0</v>
      </c>
      <c r="B1331" s="151">
        <v>458.0</v>
      </c>
      <c r="C1331" s="153"/>
      <c r="D1331" s="153"/>
      <c r="E1331" s="153" t="s">
        <v>8189</v>
      </c>
      <c r="F1331" s="153" t="s">
        <v>8925</v>
      </c>
      <c r="G1331" s="153">
        <f>IFERROR(__xludf.DUMMYFUNCTION("""COMPUTED_VALUE"""),845.0)</f>
        <v>845</v>
      </c>
      <c r="H1331" s="153" t="s">
        <v>642</v>
      </c>
      <c r="I1331" s="153" t="s">
        <v>1217</v>
      </c>
      <c r="J1331" s="153" t="s">
        <v>1218</v>
      </c>
      <c r="K1331" s="153" t="s">
        <v>1219</v>
      </c>
      <c r="L1331" s="158" t="s">
        <v>7934</v>
      </c>
      <c r="M1331" s="158" t="s">
        <v>1220</v>
      </c>
      <c r="N1331" s="192">
        <v>2012.0</v>
      </c>
      <c r="O1331" s="192">
        <v>2012.0</v>
      </c>
      <c r="P1331" s="192">
        <v>2013.0</v>
      </c>
      <c r="Q1331" s="153" t="s">
        <v>6062</v>
      </c>
      <c r="R1331" s="158" t="s">
        <v>320</v>
      </c>
      <c r="S1331" s="158" t="s">
        <v>179</v>
      </c>
      <c r="T1331" s="158" t="s">
        <v>1222</v>
      </c>
      <c r="U1331" s="153" t="s">
        <v>321</v>
      </c>
      <c r="V1331" s="158" t="s">
        <v>160</v>
      </c>
      <c r="W1331" s="158" t="s">
        <v>6035</v>
      </c>
      <c r="X1331" s="158" t="s">
        <v>159</v>
      </c>
      <c r="Y1331" s="158" t="s">
        <v>149</v>
      </c>
      <c r="Z1331" s="158" t="s">
        <v>149</v>
      </c>
      <c r="AA1331" s="158" t="s">
        <v>1223</v>
      </c>
      <c r="AB1331" s="158" t="s">
        <v>1224</v>
      </c>
      <c r="AC1331" s="158" t="s">
        <v>6068</v>
      </c>
      <c r="AD1331" s="158" t="s">
        <v>1225</v>
      </c>
      <c r="AE1331" s="158" t="s">
        <v>1226</v>
      </c>
      <c r="AF1331" s="153"/>
      <c r="AG1331" s="153" t="s">
        <v>6069</v>
      </c>
      <c r="AH1331" s="158" t="s">
        <v>1227</v>
      </c>
      <c r="AI1331" s="153" t="s">
        <v>7029</v>
      </c>
      <c r="AJ1331" s="153"/>
      <c r="AK1331" s="165"/>
    </row>
    <row r="1332">
      <c r="A1332" s="152">
        <v>2025.0</v>
      </c>
      <c r="B1332" s="151">
        <v>336.0</v>
      </c>
      <c r="C1332" s="153" t="s">
        <v>8189</v>
      </c>
      <c r="D1332" s="153"/>
      <c r="E1332" s="153" t="s">
        <v>8301</v>
      </c>
      <c r="F1332" s="153" t="s">
        <v>7340</v>
      </c>
      <c r="G1332" s="153">
        <f>IFERROR(__xludf.DUMMYFUNCTION("""COMPUTED_VALUE"""),846.0)</f>
        <v>846</v>
      </c>
      <c r="H1332" s="153" t="s">
        <v>590</v>
      </c>
      <c r="I1332" s="153" t="s">
        <v>769</v>
      </c>
      <c r="J1332" s="153" t="s">
        <v>7312</v>
      </c>
      <c r="K1332" s="153" t="s">
        <v>1518</v>
      </c>
      <c r="L1332" s="153" t="s">
        <v>1683</v>
      </c>
      <c r="M1332" s="153"/>
      <c r="N1332" s="160" t="s">
        <v>6268</v>
      </c>
      <c r="O1332" s="175" t="s">
        <v>6063</v>
      </c>
      <c r="P1332" s="175" t="s">
        <v>6064</v>
      </c>
      <c r="Q1332" s="153" t="s">
        <v>6062</v>
      </c>
      <c r="R1332" s="158" t="s">
        <v>149</v>
      </c>
      <c r="S1332" s="158" t="s">
        <v>149</v>
      </c>
      <c r="T1332" s="158" t="s">
        <v>149</v>
      </c>
      <c r="U1332" s="153" t="s">
        <v>321</v>
      </c>
      <c r="V1332" s="158" t="s">
        <v>160</v>
      </c>
      <c r="W1332" s="158" t="s">
        <v>6035</v>
      </c>
      <c r="X1332" s="158" t="s">
        <v>159</v>
      </c>
      <c r="Y1332" s="158" t="s">
        <v>149</v>
      </c>
      <c r="Z1332" s="158" t="s">
        <v>149</v>
      </c>
      <c r="AA1332" s="153" t="s">
        <v>1719</v>
      </c>
      <c r="AB1332" s="153" t="s">
        <v>326</v>
      </c>
      <c r="AC1332" s="158" t="s">
        <v>271</v>
      </c>
      <c r="AD1332" s="153" t="s">
        <v>1720</v>
      </c>
      <c r="AE1332" s="153"/>
      <c r="AF1332" s="153"/>
      <c r="AG1332" s="158" t="s">
        <v>6069</v>
      </c>
      <c r="AH1332" s="153" t="s">
        <v>1300</v>
      </c>
      <c r="AI1332" s="153" t="s">
        <v>7029</v>
      </c>
      <c r="AJ1332" s="153" t="s">
        <v>1722</v>
      </c>
      <c r="AK1332" s="165" t="s">
        <v>1723</v>
      </c>
    </row>
    <row r="1333">
      <c r="A1333" s="152">
        <v>2025.0</v>
      </c>
      <c r="B1333" s="151">
        <v>337.0</v>
      </c>
      <c r="C1333" s="153" t="s">
        <v>8189</v>
      </c>
      <c r="D1333" s="153"/>
      <c r="E1333" s="153" t="s">
        <v>8301</v>
      </c>
      <c r="F1333" s="153" t="s">
        <v>7343</v>
      </c>
      <c r="G1333" s="153">
        <f>IFERROR(__xludf.DUMMYFUNCTION("""COMPUTED_VALUE"""),847.0)</f>
        <v>847</v>
      </c>
      <c r="H1333" s="153" t="s">
        <v>590</v>
      </c>
      <c r="I1333" s="153" t="s">
        <v>769</v>
      </c>
      <c r="J1333" s="153" t="s">
        <v>7312</v>
      </c>
      <c r="K1333" s="153" t="s">
        <v>1518</v>
      </c>
      <c r="L1333" s="153" t="s">
        <v>1519</v>
      </c>
      <c r="M1333" s="153"/>
      <c r="N1333" s="175" t="s">
        <v>6906</v>
      </c>
      <c r="O1333" s="160" t="s">
        <v>149</v>
      </c>
      <c r="P1333" s="160" t="s">
        <v>149</v>
      </c>
      <c r="Q1333" s="153" t="s">
        <v>151</v>
      </c>
      <c r="R1333" s="158" t="s">
        <v>3376</v>
      </c>
      <c r="S1333" s="158" t="s">
        <v>152</v>
      </c>
      <c r="T1333" s="158" t="s">
        <v>1522</v>
      </c>
      <c r="U1333" s="158" t="s">
        <v>1523</v>
      </c>
      <c r="V1333" s="158" t="s">
        <v>160</v>
      </c>
      <c r="W1333" s="158" t="s">
        <v>6035</v>
      </c>
      <c r="X1333" s="158" t="s">
        <v>159</v>
      </c>
      <c r="Y1333" s="158" t="s">
        <v>149</v>
      </c>
      <c r="Z1333" s="158" t="s">
        <v>149</v>
      </c>
      <c r="AA1333" s="158" t="s">
        <v>7344</v>
      </c>
      <c r="AB1333" s="153" t="s">
        <v>1523</v>
      </c>
      <c r="AC1333" s="153" t="s">
        <v>6035</v>
      </c>
      <c r="AD1333" s="153" t="s">
        <v>7345</v>
      </c>
      <c r="AE1333" s="153"/>
      <c r="AF1333" s="153"/>
      <c r="AG1333" s="158" t="s">
        <v>166</v>
      </c>
      <c r="AH1333" s="153" t="s">
        <v>7346</v>
      </c>
      <c r="AI1333" s="165" t="s">
        <v>1527</v>
      </c>
      <c r="AJ1333" s="153"/>
      <c r="AK1333" s="153"/>
    </row>
    <row r="1334">
      <c r="A1334" s="152">
        <v>2024.0</v>
      </c>
      <c r="B1334" s="301"/>
      <c r="C1334" s="153"/>
      <c r="D1334" s="153"/>
      <c r="E1334" s="153" t="s">
        <v>8189</v>
      </c>
      <c r="F1334" s="158" t="s">
        <v>8926</v>
      </c>
      <c r="G1334" s="158">
        <f>IFERROR(__xludf.DUMMYFUNCTION("""COMPUTED_VALUE"""),848.0)</f>
        <v>848</v>
      </c>
      <c r="H1334" s="158" t="s">
        <v>535</v>
      </c>
      <c r="I1334" s="158" t="s">
        <v>893</v>
      </c>
      <c r="J1334" s="158" t="s">
        <v>8036</v>
      </c>
      <c r="K1334" s="158" t="s">
        <v>1876</v>
      </c>
      <c r="L1334" s="158" t="s">
        <v>1877</v>
      </c>
      <c r="M1334" s="158" t="s">
        <v>1878</v>
      </c>
      <c r="N1334" s="192">
        <v>2023.0</v>
      </c>
      <c r="O1334" s="192">
        <v>2023.0</v>
      </c>
      <c r="P1334" s="192">
        <v>2024.0</v>
      </c>
      <c r="Q1334" s="158" t="s">
        <v>151</v>
      </c>
      <c r="R1334" s="158" t="s">
        <v>1880</v>
      </c>
      <c r="S1334" s="158" t="s">
        <v>1880</v>
      </c>
      <c r="T1334" s="158" t="s">
        <v>1881</v>
      </c>
      <c r="U1334" s="158" t="s">
        <v>1882</v>
      </c>
      <c r="V1334" s="158" t="s">
        <v>160</v>
      </c>
      <c r="W1334" s="158" t="s">
        <v>6035</v>
      </c>
      <c r="X1334" s="158" t="s">
        <v>159</v>
      </c>
      <c r="Y1334" s="158" t="s">
        <v>149</v>
      </c>
      <c r="Z1334" s="158" t="s">
        <v>149</v>
      </c>
      <c r="AA1334" s="158" t="s">
        <v>1883</v>
      </c>
      <c r="AB1334" s="158" t="s">
        <v>1884</v>
      </c>
      <c r="AC1334" s="158" t="s">
        <v>6035</v>
      </c>
      <c r="AD1334" s="158" t="s">
        <v>1885</v>
      </c>
      <c r="AE1334" s="158" t="s">
        <v>1886</v>
      </c>
      <c r="AF1334" s="158"/>
      <c r="AG1334" s="158" t="s">
        <v>6038</v>
      </c>
      <c r="AH1334" s="158" t="s">
        <v>6855</v>
      </c>
      <c r="AI1334" s="172" t="s">
        <v>1888</v>
      </c>
      <c r="AJ1334" s="158"/>
      <c r="AK1334" s="158"/>
    </row>
    <row r="1335">
      <c r="A1335" s="152">
        <v>2024.0</v>
      </c>
      <c r="B1335" s="301"/>
      <c r="C1335" s="153"/>
      <c r="D1335" s="153"/>
      <c r="E1335" s="153" t="s">
        <v>8189</v>
      </c>
      <c r="F1335" s="158" t="s">
        <v>8927</v>
      </c>
      <c r="G1335" s="158">
        <f>IFERROR(__xludf.DUMMYFUNCTION("""COMPUTED_VALUE"""),849.0)</f>
        <v>849</v>
      </c>
      <c r="H1335" s="158" t="s">
        <v>642</v>
      </c>
      <c r="I1335" s="158" t="s">
        <v>1333</v>
      </c>
      <c r="J1335" s="158" t="s">
        <v>1338</v>
      </c>
      <c r="K1335" s="158" t="s">
        <v>1339</v>
      </c>
      <c r="L1335" s="158" t="s">
        <v>1309</v>
      </c>
      <c r="M1335" s="158" t="s">
        <v>1344</v>
      </c>
      <c r="N1335" s="192">
        <v>2020.0</v>
      </c>
      <c r="O1335" s="192">
        <v>2016.0</v>
      </c>
      <c r="P1335" s="192">
        <v>2020.0</v>
      </c>
      <c r="Q1335" s="158" t="s">
        <v>151</v>
      </c>
      <c r="R1335" s="158" t="s">
        <v>149</v>
      </c>
      <c r="S1335" s="158" t="s">
        <v>149</v>
      </c>
      <c r="T1335" s="158" t="s">
        <v>6910</v>
      </c>
      <c r="U1335" s="158" t="s">
        <v>1327</v>
      </c>
      <c r="V1335" s="158" t="s">
        <v>6154</v>
      </c>
      <c r="W1335" s="158" t="s">
        <v>206</v>
      </c>
      <c r="X1335" s="158" t="s">
        <v>159</v>
      </c>
      <c r="Y1335" s="158" t="s">
        <v>149</v>
      </c>
      <c r="Z1335" s="158" t="s">
        <v>149</v>
      </c>
      <c r="AA1335" s="158" t="s">
        <v>1345</v>
      </c>
      <c r="AB1335" s="158" t="s">
        <v>390</v>
      </c>
      <c r="AC1335" s="158" t="s">
        <v>6035</v>
      </c>
      <c r="AD1335" s="158" t="s">
        <v>369</v>
      </c>
      <c r="AE1335" s="158"/>
      <c r="AF1335" s="158"/>
      <c r="AG1335" s="158" t="s">
        <v>6084</v>
      </c>
      <c r="AH1335" s="158" t="s">
        <v>1330</v>
      </c>
      <c r="AI1335" s="177" t="s">
        <v>1331</v>
      </c>
      <c r="AJ1335" s="158"/>
      <c r="AK1335" s="158"/>
    </row>
    <row r="1336">
      <c r="A1336" s="152">
        <v>2024.0</v>
      </c>
      <c r="B1336" s="301"/>
      <c r="C1336" s="153"/>
      <c r="D1336" s="153"/>
      <c r="E1336" s="153" t="s">
        <v>8189</v>
      </c>
      <c r="F1336" s="158" t="s">
        <v>8928</v>
      </c>
      <c r="G1336" s="158">
        <f>IFERROR(__xludf.DUMMYFUNCTION("""COMPUTED_VALUE"""),850.0)</f>
        <v>850</v>
      </c>
      <c r="H1336" s="158" t="s">
        <v>642</v>
      </c>
      <c r="I1336" s="158" t="s">
        <v>643</v>
      </c>
      <c r="J1336" s="158" t="s">
        <v>7691</v>
      </c>
      <c r="K1336" s="158" t="s">
        <v>1308</v>
      </c>
      <c r="L1336" s="158" t="s">
        <v>1309</v>
      </c>
      <c r="M1336" s="158" t="s">
        <v>1319</v>
      </c>
      <c r="N1336" s="192">
        <v>2021.0</v>
      </c>
      <c r="O1336" s="192" t="s">
        <v>149</v>
      </c>
      <c r="P1336" s="192" t="s">
        <v>149</v>
      </c>
      <c r="Q1336" s="158" t="s">
        <v>6062</v>
      </c>
      <c r="R1336" s="158" t="s">
        <v>320</v>
      </c>
      <c r="S1336" s="158" t="s">
        <v>179</v>
      </c>
      <c r="T1336" s="158" t="s">
        <v>1311</v>
      </c>
      <c r="U1336" s="158" t="s">
        <v>149</v>
      </c>
      <c r="V1336" s="158" t="s">
        <v>149</v>
      </c>
      <c r="W1336" s="158" t="s">
        <v>149</v>
      </c>
      <c r="X1336" s="158" t="s">
        <v>159</v>
      </c>
      <c r="Y1336" s="158" t="s">
        <v>149</v>
      </c>
      <c r="Z1336" s="158" t="s">
        <v>149</v>
      </c>
      <c r="AA1336" s="158" t="s">
        <v>149</v>
      </c>
      <c r="AB1336" s="158" t="s">
        <v>1314</v>
      </c>
      <c r="AC1336" s="158" t="s">
        <v>6035</v>
      </c>
      <c r="AD1336" s="158" t="s">
        <v>7758</v>
      </c>
      <c r="AE1336" s="158"/>
      <c r="AF1336" s="158"/>
      <c r="AG1336" s="158" t="s">
        <v>6038</v>
      </c>
      <c r="AH1336" s="158" t="s">
        <v>1316</v>
      </c>
      <c r="AI1336" s="177" t="s">
        <v>1317</v>
      </c>
      <c r="AJ1336" s="158"/>
      <c r="AK1336" s="158"/>
    </row>
    <row r="1337">
      <c r="A1337" s="152">
        <v>2024.0</v>
      </c>
      <c r="B1337" s="301"/>
      <c r="C1337" s="153"/>
      <c r="D1337" s="153"/>
      <c r="E1337" s="153" t="s">
        <v>8189</v>
      </c>
      <c r="F1337" s="158" t="s">
        <v>8928</v>
      </c>
      <c r="G1337" s="158">
        <f>IFERROR(__xludf.DUMMYFUNCTION("""COMPUTED_VALUE"""),850.0)</f>
        <v>850</v>
      </c>
      <c r="H1337" s="158" t="s">
        <v>642</v>
      </c>
      <c r="I1337" s="158" t="s">
        <v>643</v>
      </c>
      <c r="J1337" s="158" t="s">
        <v>7691</v>
      </c>
      <c r="K1337" s="158" t="s">
        <v>1308</v>
      </c>
      <c r="L1337" s="158" t="s">
        <v>1309</v>
      </c>
      <c r="M1337" s="158" t="s">
        <v>1321</v>
      </c>
      <c r="N1337" s="192">
        <v>2021.0</v>
      </c>
      <c r="O1337" s="192" t="s">
        <v>149</v>
      </c>
      <c r="P1337" s="192" t="s">
        <v>149</v>
      </c>
      <c r="Q1337" s="158" t="s">
        <v>6062</v>
      </c>
      <c r="R1337" s="158" t="s">
        <v>320</v>
      </c>
      <c r="S1337" s="158" t="s">
        <v>179</v>
      </c>
      <c r="T1337" s="158" t="s">
        <v>1311</v>
      </c>
      <c r="U1337" s="158" t="s">
        <v>149</v>
      </c>
      <c r="V1337" s="158" t="s">
        <v>149</v>
      </c>
      <c r="W1337" s="158" t="s">
        <v>149</v>
      </c>
      <c r="X1337" s="158" t="s">
        <v>159</v>
      </c>
      <c r="Y1337" s="158" t="s">
        <v>149</v>
      </c>
      <c r="Z1337" s="158" t="s">
        <v>149</v>
      </c>
      <c r="AA1337" s="158" t="s">
        <v>149</v>
      </c>
      <c r="AB1337" s="158" t="s">
        <v>1314</v>
      </c>
      <c r="AC1337" s="158" t="s">
        <v>6035</v>
      </c>
      <c r="AD1337" s="158" t="s">
        <v>7758</v>
      </c>
      <c r="AE1337" s="158"/>
      <c r="AF1337" s="158"/>
      <c r="AG1337" s="158" t="s">
        <v>6038</v>
      </c>
      <c r="AH1337" s="158" t="s">
        <v>1316</v>
      </c>
      <c r="AI1337" s="177" t="s">
        <v>1317</v>
      </c>
      <c r="AJ1337" s="158"/>
      <c r="AK1337" s="158"/>
    </row>
    <row r="1338">
      <c r="A1338" s="152">
        <v>2024.0</v>
      </c>
      <c r="B1338" s="301"/>
      <c r="C1338" s="153"/>
      <c r="D1338" s="153"/>
      <c r="E1338" s="153" t="s">
        <v>8189</v>
      </c>
      <c r="F1338" s="158" t="s">
        <v>8929</v>
      </c>
      <c r="G1338" s="158">
        <f>IFERROR(__xludf.DUMMYFUNCTION("""COMPUTED_VALUE"""),851.0)</f>
        <v>851</v>
      </c>
      <c r="H1338" s="158" t="s">
        <v>642</v>
      </c>
      <c r="I1338" s="158" t="s">
        <v>643</v>
      </c>
      <c r="J1338" s="158" t="s">
        <v>7691</v>
      </c>
      <c r="K1338" s="158" t="s">
        <v>1308</v>
      </c>
      <c r="L1338" s="158" t="s">
        <v>149</v>
      </c>
      <c r="M1338" s="158" t="s">
        <v>2323</v>
      </c>
      <c r="N1338" s="192">
        <v>2024.0</v>
      </c>
      <c r="O1338" s="192" t="s">
        <v>149</v>
      </c>
      <c r="P1338" s="192" t="s">
        <v>149</v>
      </c>
      <c r="Q1338" s="158" t="s">
        <v>6062</v>
      </c>
      <c r="R1338" s="158" t="s">
        <v>7762</v>
      </c>
      <c r="S1338" s="158" t="s">
        <v>179</v>
      </c>
      <c r="T1338" s="158" t="s">
        <v>7763</v>
      </c>
      <c r="U1338" s="158" t="s">
        <v>149</v>
      </c>
      <c r="V1338" s="158" t="s">
        <v>149</v>
      </c>
      <c r="W1338" s="158" t="s">
        <v>149</v>
      </c>
      <c r="X1338" s="158" t="s">
        <v>159</v>
      </c>
      <c r="Y1338" s="158" t="s">
        <v>149</v>
      </c>
      <c r="Z1338" s="158" t="s">
        <v>149</v>
      </c>
      <c r="AA1338" s="158" t="s">
        <v>149</v>
      </c>
      <c r="AB1338" s="158" t="s">
        <v>1314</v>
      </c>
      <c r="AC1338" s="158" t="s">
        <v>6035</v>
      </c>
      <c r="AD1338" s="158" t="s">
        <v>7758</v>
      </c>
      <c r="AE1338" s="158"/>
      <c r="AF1338" s="158"/>
      <c r="AG1338" s="158" t="s">
        <v>166</v>
      </c>
      <c r="AH1338" s="158" t="s">
        <v>7764</v>
      </c>
      <c r="AI1338" s="177" t="s">
        <v>2328</v>
      </c>
      <c r="AJ1338" s="158"/>
      <c r="AK1338" s="158"/>
    </row>
    <row r="1339">
      <c r="A1339" s="152">
        <v>2024.0</v>
      </c>
      <c r="B1339" s="301"/>
      <c r="C1339" s="153"/>
      <c r="D1339" s="153"/>
      <c r="E1339" s="153" t="s">
        <v>8189</v>
      </c>
      <c r="F1339" s="158" t="s">
        <v>8930</v>
      </c>
      <c r="G1339" s="158">
        <f>IFERROR(__xludf.DUMMYFUNCTION("""COMPUTED_VALUE"""),852.0)</f>
        <v>852</v>
      </c>
      <c r="H1339" s="158" t="s">
        <v>642</v>
      </c>
      <c r="I1339" s="158" t="s">
        <v>643</v>
      </c>
      <c r="J1339" s="158" t="s">
        <v>1355</v>
      </c>
      <c r="K1339" s="158" t="s">
        <v>1356</v>
      </c>
      <c r="L1339" s="158" t="s">
        <v>1309</v>
      </c>
      <c r="M1339" s="158" t="s">
        <v>1357</v>
      </c>
      <c r="N1339" s="192">
        <v>2020.0</v>
      </c>
      <c r="O1339" s="192">
        <v>2016.0</v>
      </c>
      <c r="P1339" s="192">
        <v>2020.0</v>
      </c>
      <c r="Q1339" s="158" t="s">
        <v>6062</v>
      </c>
      <c r="R1339" s="158" t="s">
        <v>320</v>
      </c>
      <c r="S1339" s="158" t="s">
        <v>179</v>
      </c>
      <c r="T1339" s="158" t="s">
        <v>149</v>
      </c>
      <c r="U1339" s="158" t="s">
        <v>1327</v>
      </c>
      <c r="V1339" s="158" t="s">
        <v>6154</v>
      </c>
      <c r="W1339" s="158" t="s">
        <v>206</v>
      </c>
      <c r="X1339" s="158" t="s">
        <v>159</v>
      </c>
      <c r="Y1339" s="158" t="s">
        <v>149</v>
      </c>
      <c r="Z1339" s="158" t="s">
        <v>149</v>
      </c>
      <c r="AA1339" s="158" t="s">
        <v>1360</v>
      </c>
      <c r="AB1339" s="158" t="s">
        <v>390</v>
      </c>
      <c r="AC1339" s="158" t="s">
        <v>6035</v>
      </c>
      <c r="AD1339" s="158"/>
      <c r="AE1339" s="158"/>
      <c r="AF1339" s="158"/>
      <c r="AG1339" s="158" t="s">
        <v>6084</v>
      </c>
      <c r="AH1339" s="158" t="s">
        <v>1330</v>
      </c>
      <c r="AI1339" s="172" t="s">
        <v>1331</v>
      </c>
      <c r="AJ1339" s="158"/>
      <c r="AK1339" s="158"/>
    </row>
    <row r="1340">
      <c r="A1340" s="152">
        <v>2024.0</v>
      </c>
      <c r="B1340" s="301"/>
      <c r="C1340" s="153"/>
      <c r="D1340" s="153"/>
      <c r="E1340" s="153" t="s">
        <v>8189</v>
      </c>
      <c r="F1340" s="158" t="s">
        <v>8931</v>
      </c>
      <c r="G1340" s="158">
        <f>IFERROR(__xludf.DUMMYFUNCTION("""COMPUTED_VALUE"""),853.0)</f>
        <v>853</v>
      </c>
      <c r="H1340" s="158" t="s">
        <v>171</v>
      </c>
      <c r="I1340" s="158" t="s">
        <v>976</v>
      </c>
      <c r="J1340" s="158" t="s">
        <v>2488</v>
      </c>
      <c r="K1340" s="158" t="s">
        <v>2489</v>
      </c>
      <c r="L1340" s="158" t="s">
        <v>149</v>
      </c>
      <c r="M1340" s="158"/>
      <c r="N1340" s="192">
        <v>2023.0</v>
      </c>
      <c r="O1340" s="192" t="s">
        <v>149</v>
      </c>
      <c r="P1340" s="192" t="s">
        <v>149</v>
      </c>
      <c r="Q1340" s="158" t="s">
        <v>151</v>
      </c>
      <c r="R1340" s="158" t="s">
        <v>2491</v>
      </c>
      <c r="S1340" s="158" t="s">
        <v>2491</v>
      </c>
      <c r="T1340" s="158" t="s">
        <v>1006</v>
      </c>
      <c r="U1340" s="158" t="s">
        <v>2492</v>
      </c>
      <c r="V1340" s="158" t="s">
        <v>160</v>
      </c>
      <c r="W1340" s="158" t="s">
        <v>209</v>
      </c>
      <c r="X1340" s="158" t="s">
        <v>159</v>
      </c>
      <c r="Y1340" s="158" t="s">
        <v>149</v>
      </c>
      <c r="Z1340" s="158" t="s">
        <v>149</v>
      </c>
      <c r="AA1340" s="158" t="s">
        <v>675</v>
      </c>
      <c r="AB1340" s="158" t="s">
        <v>2493</v>
      </c>
      <c r="AC1340" s="158" t="s">
        <v>7294</v>
      </c>
      <c r="AD1340" s="158"/>
      <c r="AE1340" s="158"/>
      <c r="AF1340" s="158"/>
      <c r="AG1340" s="158" t="s">
        <v>6027</v>
      </c>
      <c r="AH1340" s="158" t="s">
        <v>2494</v>
      </c>
      <c r="AI1340" s="172" t="s">
        <v>2495</v>
      </c>
      <c r="AJ1340" s="158"/>
      <c r="AK1340" s="158"/>
    </row>
    <row r="1341">
      <c r="A1341" s="152">
        <v>2024.0</v>
      </c>
      <c r="B1341" s="301"/>
      <c r="C1341" s="158"/>
      <c r="D1341" s="158"/>
      <c r="E1341" s="158" t="s">
        <v>8189</v>
      </c>
      <c r="F1341" s="158" t="s">
        <v>8932</v>
      </c>
      <c r="G1341" s="158">
        <f>IFERROR(__xludf.DUMMYFUNCTION("""COMPUTED_VALUE"""),854.0)</f>
        <v>854</v>
      </c>
      <c r="H1341" s="158" t="s">
        <v>143</v>
      </c>
      <c r="I1341" s="158" t="s">
        <v>144</v>
      </c>
      <c r="J1341" s="158" t="s">
        <v>230</v>
      </c>
      <c r="K1341" s="158" t="s">
        <v>231</v>
      </c>
      <c r="L1341" s="153" t="s">
        <v>7809</v>
      </c>
      <c r="M1341" s="158"/>
      <c r="N1341" s="192"/>
      <c r="O1341" s="192">
        <v>2021.0</v>
      </c>
      <c r="P1341" s="192">
        <v>2025.0</v>
      </c>
      <c r="Q1341" s="158" t="s">
        <v>6221</v>
      </c>
      <c r="R1341" s="158" t="s">
        <v>200</v>
      </c>
      <c r="S1341" s="158" t="s">
        <v>224</v>
      </c>
      <c r="T1341" s="158" t="s">
        <v>149</v>
      </c>
      <c r="U1341" s="158" t="s">
        <v>203</v>
      </c>
      <c r="V1341" s="158" t="s">
        <v>6154</v>
      </c>
      <c r="W1341" s="158" t="s">
        <v>206</v>
      </c>
      <c r="X1341" s="158" t="s">
        <v>159</v>
      </c>
      <c r="Y1341" s="158" t="s">
        <v>149</v>
      </c>
      <c r="Z1341" s="158" t="s">
        <v>149</v>
      </c>
      <c r="AA1341" s="158" t="s">
        <v>149</v>
      </c>
      <c r="AB1341" s="158" t="s">
        <v>208</v>
      </c>
      <c r="AC1341" s="158" t="s">
        <v>6068</v>
      </c>
      <c r="AD1341" s="158" t="s">
        <v>255</v>
      </c>
      <c r="AE1341" s="153"/>
      <c r="AF1341" s="153"/>
      <c r="AG1341" s="158" t="s">
        <v>214</v>
      </c>
      <c r="AH1341" s="158"/>
      <c r="AI1341" s="165"/>
      <c r="AJ1341" s="153"/>
      <c r="AK1341" s="153"/>
    </row>
    <row r="1342">
      <c r="A1342" s="152">
        <v>2024.0</v>
      </c>
      <c r="B1342" s="301"/>
      <c r="C1342" s="153"/>
      <c r="D1342" s="153"/>
      <c r="E1342" s="153" t="s">
        <v>8189</v>
      </c>
      <c r="F1342" s="158" t="s">
        <v>8933</v>
      </c>
      <c r="G1342" s="158">
        <f>IFERROR(__xludf.DUMMYFUNCTION("""COMPUTED_VALUE"""),855.0)</f>
        <v>855</v>
      </c>
      <c r="H1342" s="158" t="s">
        <v>642</v>
      </c>
      <c r="I1342" s="158" t="s">
        <v>2769</v>
      </c>
      <c r="J1342" s="158" t="s">
        <v>2770</v>
      </c>
      <c r="K1342" s="158" t="s">
        <v>2771</v>
      </c>
      <c r="L1342" s="158" t="s">
        <v>149</v>
      </c>
      <c r="M1342" s="158" t="s">
        <v>2782</v>
      </c>
      <c r="N1342" s="192">
        <v>2019.0</v>
      </c>
      <c r="O1342" s="192" t="s">
        <v>149</v>
      </c>
      <c r="P1342" s="192" t="s">
        <v>149</v>
      </c>
      <c r="Q1342" s="158" t="s">
        <v>151</v>
      </c>
      <c r="R1342" s="158" t="s">
        <v>149</v>
      </c>
      <c r="S1342" s="158" t="s">
        <v>149</v>
      </c>
      <c r="T1342" s="158" t="s">
        <v>7770</v>
      </c>
      <c r="U1342" s="158" t="s">
        <v>2776</v>
      </c>
      <c r="V1342" s="158" t="s">
        <v>160</v>
      </c>
      <c r="W1342" s="158" t="s">
        <v>6035</v>
      </c>
      <c r="X1342" s="158" t="s">
        <v>159</v>
      </c>
      <c r="Y1342" s="158" t="s">
        <v>149</v>
      </c>
      <c r="Z1342" s="158" t="s">
        <v>149</v>
      </c>
      <c r="AA1342" s="158" t="s">
        <v>149</v>
      </c>
      <c r="AB1342" s="158" t="s">
        <v>2783</v>
      </c>
      <c r="AC1342" s="158" t="s">
        <v>6035</v>
      </c>
      <c r="AD1342" s="158" t="s">
        <v>390</v>
      </c>
      <c r="AE1342" s="158"/>
      <c r="AF1342" s="158"/>
      <c r="AG1342" s="158" t="s">
        <v>166</v>
      </c>
      <c r="AH1342" s="158" t="s">
        <v>7772</v>
      </c>
      <c r="AI1342" s="177" t="s">
        <v>2779</v>
      </c>
      <c r="AJ1342" s="158"/>
      <c r="AK1342" s="158"/>
    </row>
    <row r="1343">
      <c r="A1343" s="152">
        <v>2024.0</v>
      </c>
      <c r="B1343" s="301"/>
      <c r="C1343" s="153"/>
      <c r="D1343" s="153"/>
      <c r="E1343" s="153" t="s">
        <v>8189</v>
      </c>
      <c r="F1343" s="158" t="s">
        <v>8934</v>
      </c>
      <c r="G1343" s="158">
        <f>IFERROR(__xludf.DUMMYFUNCTION("""COMPUTED_VALUE"""),856.0)</f>
        <v>856</v>
      </c>
      <c r="H1343" s="158" t="s">
        <v>642</v>
      </c>
      <c r="I1343" s="158" t="s">
        <v>1217</v>
      </c>
      <c r="J1343" s="158" t="s">
        <v>1230</v>
      </c>
      <c r="K1343" s="158" t="s">
        <v>1231</v>
      </c>
      <c r="L1343" s="158" t="s">
        <v>7934</v>
      </c>
      <c r="M1343" s="158" t="s">
        <v>1232</v>
      </c>
      <c r="N1343" s="192">
        <v>2012.0</v>
      </c>
      <c r="O1343" s="192">
        <v>2012.0</v>
      </c>
      <c r="P1343" s="192">
        <v>2013.0</v>
      </c>
      <c r="Q1343" s="158" t="s">
        <v>6062</v>
      </c>
      <c r="R1343" s="158" t="s">
        <v>320</v>
      </c>
      <c r="S1343" s="158" t="s">
        <v>179</v>
      </c>
      <c r="T1343" s="158" t="s">
        <v>1222</v>
      </c>
      <c r="U1343" s="153" t="s">
        <v>321</v>
      </c>
      <c r="V1343" s="158" t="s">
        <v>160</v>
      </c>
      <c r="W1343" s="158" t="s">
        <v>6035</v>
      </c>
      <c r="X1343" s="158" t="s">
        <v>159</v>
      </c>
      <c r="Y1343" s="158" t="s">
        <v>149</v>
      </c>
      <c r="Z1343" s="158" t="s">
        <v>149</v>
      </c>
      <c r="AA1343" s="158" t="s">
        <v>1233</v>
      </c>
      <c r="AB1343" s="158" t="s">
        <v>1224</v>
      </c>
      <c r="AC1343" s="158" t="s">
        <v>6068</v>
      </c>
      <c r="AD1343" s="158" t="s">
        <v>1225</v>
      </c>
      <c r="AE1343" s="158" t="s">
        <v>1226</v>
      </c>
      <c r="AF1343" s="158"/>
      <c r="AG1343" s="158" t="s">
        <v>6069</v>
      </c>
      <c r="AH1343" s="158" t="s">
        <v>1227</v>
      </c>
      <c r="AI1343" s="158" t="s">
        <v>6070</v>
      </c>
      <c r="AJ1343" s="158"/>
      <c r="AK1343" s="177"/>
    </row>
    <row r="1344">
      <c r="A1344" s="152">
        <v>2024.0</v>
      </c>
      <c r="B1344" s="301"/>
      <c r="C1344" s="153"/>
      <c r="D1344" s="153"/>
      <c r="E1344" s="153" t="s">
        <v>8189</v>
      </c>
      <c r="F1344" s="158" t="s">
        <v>8935</v>
      </c>
      <c r="G1344" s="158">
        <f>IFERROR(__xludf.DUMMYFUNCTION("""COMPUTED_VALUE"""),857.0)</f>
        <v>857</v>
      </c>
      <c r="H1344" s="158" t="s">
        <v>642</v>
      </c>
      <c r="I1344" s="158" t="s">
        <v>1217</v>
      </c>
      <c r="J1344" s="158" t="s">
        <v>1236</v>
      </c>
      <c r="K1344" s="158" t="s">
        <v>1237</v>
      </c>
      <c r="L1344" s="158" t="s">
        <v>7934</v>
      </c>
      <c r="M1344" s="158" t="s">
        <v>1238</v>
      </c>
      <c r="N1344" s="192">
        <v>2012.0</v>
      </c>
      <c r="O1344" s="192">
        <v>2012.0</v>
      </c>
      <c r="P1344" s="192">
        <v>2013.0</v>
      </c>
      <c r="Q1344" s="158" t="s">
        <v>6062</v>
      </c>
      <c r="R1344" s="158" t="s">
        <v>320</v>
      </c>
      <c r="S1344" s="158" t="s">
        <v>179</v>
      </c>
      <c r="T1344" s="158" t="s">
        <v>1222</v>
      </c>
      <c r="U1344" s="153" t="s">
        <v>321</v>
      </c>
      <c r="V1344" s="158" t="s">
        <v>160</v>
      </c>
      <c r="W1344" s="158" t="s">
        <v>6035</v>
      </c>
      <c r="X1344" s="158" t="s">
        <v>159</v>
      </c>
      <c r="Y1344" s="158" t="s">
        <v>149</v>
      </c>
      <c r="Z1344" s="158" t="s">
        <v>149</v>
      </c>
      <c r="AA1344" s="158" t="s">
        <v>1239</v>
      </c>
      <c r="AB1344" s="158" t="s">
        <v>1224</v>
      </c>
      <c r="AC1344" s="158" t="s">
        <v>6068</v>
      </c>
      <c r="AD1344" s="158" t="s">
        <v>1225</v>
      </c>
      <c r="AE1344" s="158" t="s">
        <v>1226</v>
      </c>
      <c r="AF1344" s="158"/>
      <c r="AG1344" s="158" t="s">
        <v>6069</v>
      </c>
      <c r="AH1344" s="158" t="s">
        <v>1227</v>
      </c>
      <c r="AI1344" s="158" t="s">
        <v>6070</v>
      </c>
      <c r="AJ1344" s="158"/>
      <c r="AK1344" s="177"/>
    </row>
    <row r="1345">
      <c r="A1345" s="152">
        <v>2024.0</v>
      </c>
      <c r="B1345" s="301"/>
      <c r="C1345" s="153"/>
      <c r="D1345" s="153"/>
      <c r="E1345" s="153" t="s">
        <v>8189</v>
      </c>
      <c r="F1345" s="158" t="s">
        <v>8936</v>
      </c>
      <c r="G1345" s="158">
        <f>IFERROR(__xludf.DUMMYFUNCTION("""COMPUTED_VALUE"""),858.0)</f>
        <v>858</v>
      </c>
      <c r="H1345" s="158" t="s">
        <v>642</v>
      </c>
      <c r="I1345" s="158" t="s">
        <v>1217</v>
      </c>
      <c r="J1345" s="158" t="s">
        <v>1242</v>
      </c>
      <c r="K1345" s="158" t="s">
        <v>1243</v>
      </c>
      <c r="L1345" s="158" t="s">
        <v>7934</v>
      </c>
      <c r="M1345" s="158" t="s">
        <v>1244</v>
      </c>
      <c r="N1345" s="192">
        <v>2012.0</v>
      </c>
      <c r="O1345" s="192">
        <v>2012.0</v>
      </c>
      <c r="P1345" s="192">
        <v>2013.0</v>
      </c>
      <c r="Q1345" s="158" t="s">
        <v>6062</v>
      </c>
      <c r="R1345" s="158" t="s">
        <v>320</v>
      </c>
      <c r="S1345" s="158" t="s">
        <v>179</v>
      </c>
      <c r="T1345" s="158" t="s">
        <v>1222</v>
      </c>
      <c r="U1345" s="153" t="s">
        <v>321</v>
      </c>
      <c r="V1345" s="158" t="s">
        <v>160</v>
      </c>
      <c r="W1345" s="158" t="s">
        <v>6035</v>
      </c>
      <c r="X1345" s="158" t="s">
        <v>159</v>
      </c>
      <c r="Y1345" s="158" t="s">
        <v>149</v>
      </c>
      <c r="Z1345" s="158" t="s">
        <v>149</v>
      </c>
      <c r="AA1345" s="158" t="s">
        <v>1245</v>
      </c>
      <c r="AB1345" s="158" t="s">
        <v>1224</v>
      </c>
      <c r="AC1345" s="158" t="s">
        <v>6068</v>
      </c>
      <c r="AD1345" s="158" t="s">
        <v>1225</v>
      </c>
      <c r="AE1345" s="158" t="s">
        <v>1226</v>
      </c>
      <c r="AF1345" s="158"/>
      <c r="AG1345" s="158" t="s">
        <v>6069</v>
      </c>
      <c r="AH1345" s="158" t="s">
        <v>1227</v>
      </c>
      <c r="AI1345" s="158" t="s">
        <v>6070</v>
      </c>
      <c r="AJ1345" s="158"/>
      <c r="AK1345" s="177"/>
    </row>
    <row r="1346">
      <c r="A1346" s="152">
        <v>2024.0</v>
      </c>
      <c r="B1346" s="301"/>
      <c r="C1346" s="153"/>
      <c r="D1346" s="153"/>
      <c r="E1346" s="153" t="s">
        <v>8189</v>
      </c>
      <c r="F1346" s="158" t="s">
        <v>8937</v>
      </c>
      <c r="G1346" s="158">
        <f>IFERROR(__xludf.DUMMYFUNCTION("""COMPUTED_VALUE"""),859.0)</f>
        <v>859</v>
      </c>
      <c r="H1346" s="158" t="s">
        <v>642</v>
      </c>
      <c r="I1346" s="158" t="s">
        <v>1217</v>
      </c>
      <c r="J1346" s="158" t="s">
        <v>1248</v>
      </c>
      <c r="K1346" s="158" t="s">
        <v>1249</v>
      </c>
      <c r="L1346" s="158" t="s">
        <v>7934</v>
      </c>
      <c r="M1346" s="158" t="s">
        <v>1250</v>
      </c>
      <c r="N1346" s="192">
        <v>2012.0</v>
      </c>
      <c r="O1346" s="192">
        <v>2012.0</v>
      </c>
      <c r="P1346" s="192">
        <v>2013.0</v>
      </c>
      <c r="Q1346" s="158" t="s">
        <v>6062</v>
      </c>
      <c r="R1346" s="158" t="s">
        <v>320</v>
      </c>
      <c r="S1346" s="158" t="s">
        <v>179</v>
      </c>
      <c r="T1346" s="158" t="s">
        <v>1222</v>
      </c>
      <c r="U1346" s="153" t="s">
        <v>321</v>
      </c>
      <c r="V1346" s="158" t="s">
        <v>160</v>
      </c>
      <c r="W1346" s="158" t="s">
        <v>6035</v>
      </c>
      <c r="X1346" s="158" t="s">
        <v>159</v>
      </c>
      <c r="Y1346" s="158" t="s">
        <v>149</v>
      </c>
      <c r="Z1346" s="158" t="s">
        <v>149</v>
      </c>
      <c r="AA1346" s="158" t="s">
        <v>1252</v>
      </c>
      <c r="AB1346" s="158" t="s">
        <v>1224</v>
      </c>
      <c r="AC1346" s="158" t="s">
        <v>6068</v>
      </c>
      <c r="AD1346" s="158" t="s">
        <v>1225</v>
      </c>
      <c r="AE1346" s="158" t="s">
        <v>1226</v>
      </c>
      <c r="AF1346" s="158"/>
      <c r="AG1346" s="158" t="s">
        <v>6069</v>
      </c>
      <c r="AH1346" s="158" t="s">
        <v>1227</v>
      </c>
      <c r="AI1346" s="158" t="s">
        <v>6070</v>
      </c>
      <c r="AJ1346" s="158"/>
      <c r="AK1346" s="158"/>
    </row>
  </sheetData>
  <autoFilter ref="$A$1:$AL$1346">
    <sortState ref="A1:AL1346">
      <sortCondition ref="I1:I1346"/>
      <sortCondition ref="B1:B1346"/>
      <sortCondition descending="1" ref="C1:C1346"/>
      <sortCondition ref="A1:A1346"/>
      <sortCondition ref="H1:H1346"/>
      <sortCondition ref="J1:J1346"/>
    </sortState>
  </autoFilter>
  <dataValidations>
    <dataValidation type="list" allowBlank="1" showErrorMessage="1" sqref="C2:C1346">
      <formula1>"Published,Unpublished,New"</formula1>
    </dataValidation>
    <dataValidation type="list" allowBlank="1" showErrorMessage="1" sqref="I2:I1333">
      <formula1>"Agusan del Norte,Aklan,Albay,Antique,Aurora,Basilan,Bataan,Batangas,Bohol,Cagayan,Camarines Norte,Camarines Sur,Camiguin,Capiz,Catanduanes,Cavite,Cebu,Davao de Oro,Davao del Norte,Davao del Sur,Davao Oriental,Dinagat Islands,Eastern Samar,Ilocos Norte,Ilo"&amp;"cos Sur,Iloilo,La Union,Lanao del Norte,Lanao del Sur,Leyte,Maguindanao del Norte,Manila,Marinduque,Masbate,Metro Manila,Misamis Occidental,Misamis Oriental,Negros Occidental,Negros Oriental,Northern Samar,Occidental Mindoro,Oriental Mindoro,Palawan,Panga"&amp;"sinan,Quezon,Romblon,Sarangani,Siquijor,Sorsogon,South Cotabato,Southern Leyte,Sultan Kudarat,Sulu,Surigao del Norte,Surigao del Sur,Tawi-Tawi,Zambales,Zamboanga del Norte,Zamboanga del Sur"</formula1>
    </dataValidation>
    <dataValidation type="list" allowBlank="1" showErrorMessage="1" sqref="H2 F3:H3 H4:H7 F8:H8 H9:H10 F11:H11 H12:H13 F14:H14 H15 F16:H16 H17:H19 F20:H20 H21:H22 F23:H23 H24:H25 F26:H26 H27:H28 F29:H29 H30:H31 F32:H32 H33:H34 F35:H35 H36:H37 F38:H38 H39:H40 F41:H41 H42:H43 F44:H44 H45:H46 F47:H47 H48:H49 F50:H50 H51:H52 F53:H53 H54:H56 F57:H57 H58:H60 F61:H61 H62:H63 F64:H64 H65:H66 F67:H67 H68:H69 F70:H70 H71:H72 F73:H73 H74:H77 F78:H78 H79:H80 F81:H81 H82:H83 F84:H84 H85:H86 F87:H87 H88:H89 F90:H90 H91:H92 F93:H93 H94:H95 F96:H96 H97:H98 F99:H99 H100:H101 F102:H102 H103:H104 F105:H105 H106:H107 F108:H108 H109:H110 F111:H111 H112:H113 F114:H114 H115:H116 F117:H117 H118:H119 F120:H120 H121:H122 F123:H123 H124:H125 F126:H126 H127:H128 F129:H129 H130:H131 F132:H132 H133:H134 F135:H135 H136:H137 F138:H138 H139:H140 F141:H141 H142:H143 F144:H144 H145:H146 F147:H147 H148:H149 F150:H150 H151:H152 F153:H153 H154:H157 F158:H158 H159:H160 F161:H161 H162:H163 F164:H164 H165:H166 F167:H167 H168:H169 F170:H170 H171:H172 F173:H173 H174:H175 F176:H176 H177:H178 F179:H179 H180:H183 F184:H184 H185:H188 F189:H189 H190:H191 F192:H192 H193:H194 F195:H195 H196:H197 F198:H198 H199:H200 F201:H201 H202:H203 F204:H204 H205:H206 F207:H207 H208:H209 F210:H210 H211:H212 F213:H213 H214:H215 F216:H216 H217:H218 F219:H219 H220:H221 F222:H222 H223:H224 F225:H225 H226:H227 F228:H228 H229:H230 F231:H231 H232:H233 F234:H234 H235:H236 F237:H237 H238:H239 F240:H240 H241:H242 F243:H243 H244:H245 F246:H246 H247:H248 F249:H249 H250:H251 F252:H252 H253:H254 F255:H255 H256:H258 F259:H259 H260:H261 F262:H262 H263:H264 F265:H265 H266:H267 F268:H268 H269:H270 F271:H271 H272 F273:H273 H274 F275:H275 H276:H277 F278:H278 H279:H281 F282:H282 H283:H284 F285:H285 H286:H287 F288:H288 H289:H290 F291:H291 H292:H293 F294:H294 H295:H296 F297:H297 H298:H299 F300:H300 H301:H302 F303:H303 H304:H305 F306:H306 H307:H308 F309:H309 H310:H311 F312:H312 H313:H314 F315:H315 H316:H317 F318:H318 H319:H320 F321:H321 H322:H324 F325:H325 H326:H327 F328:H328 H329:H330 F331:H331 H332:H333 F334:H334 H335:H336 F337:H337 H338 F339:H339 H340:H341 F342:H342 H343 F344:H344 H345:H347 F348:H348 H349:H350 F351:H351 H352:H353 F354:H354 H355:H356 F357:H357 H358:H359 F360:H360 H361:H362 F363:H363 H364:H365 F366:H366 H367:H368 F369:H369 H370:H371 F372:H372 H373:H374 F375:H375 H376:H377 F378:H378 H379:H380 F381:H381 H382:H383 F384:H384 H385:H386 F387:H387 H388:H389 F390:H390 H391:H392 F393:H393 H394:H395 F396:H396 H397:H398 F399:H399 H400:H401 F402:H402 H403:H404 F405:H405 H406:H407 F408:H408 H409:H410 F411:H411 H412:H413 F414:H414 H415:H416 F417:H417 H418:H419 F420:H420 H421:H422 F423:H423 H424:H425 F426:H426 H427 F428:H428 H429:H430 F431:H431 H432:H433 F434:H434 H435:H437 F438:H438 H439:H440 F441:H441 H442:H443 F444:H444 H445:H446 F447:H447 H448:H449 F450:H450 H451:H452 F453:H453 H454:H455 F456:H456 H457:H458 F459:H459 H460:H461 F462:H462 H463:H464 F465:H465 H466:H467 F468:H468 H469:H470 F471:H471 H472:H473 F474:H474 H475:H476 F477:H477 H478:H479 F480:H480 H481:H482 F483:H483 H484:H485 F486:H486 H487:H488 F489:H489 H490:H491 F492:H492 H493:H494 F495:H495 H496:H497 F498:H498 H499:H501 F502:H502 H503:H504 F505:H505 H506:H507 F508:H508 H509:H510 F511:H511 H512:H513 F514:H514 H515:H516 F517:H517 H518:H519 F520:H520 H521:H522 F523:H523 H524:H525 F526:H526 H527 F528:H528 H529 F530:H530 H531:H532 F533:H533 H534:H535 F536:H536 H537:H538 F539:H539 H540:H541 F542:H542 H543:H546 F547:H547 H548:H549 F550:H550 H551 F552:H552 H553:H555 F556:H556 H557:H558 F559:H559 H560:H561 F562:H562 H563:H564 F565:H565 H566:H567 F568:H568 H569:H570 F571:H571 H572 F573:H573 H574 F575:H575 H576:H577 F578:H578 H579:H580 F581:H581 H582:H583 F584:H584 H585:H586 F587:H587 H588:H589 F590:H590 H591:H592 F593:H593 H594:H595 F596:H596 H597:H598 F599:H599 H600:H601 F602:H602 H603:H605 F606:H606 H607 F608:H608 H609:H610 F611:H611 H612:H613 F614:H614 H615:H616 F617:H617 H618:H619 F620:H620 H621:H622 F623:H623 H624:H625 F626:H626 H627:H628 F629:H629 H630:H631 F632:H632 H633:H634 F635:H635 H636:H637 F638:H638 H639:H640 F641:H641 H642:H643 F644:H644 H645:H646 F647:H647 H648:H650 F651:H651 H652:H654 F655:H655 H656:H657 F658:H658 H659:H660 F661:H661 H662:H663 F664:H664 H665:H666 F667:H667 H668:H669 F670:H670 H671:H672 F673:H673 H674:H675 F676:H676 H677 F678:H678 H679:H680 F681:H681 H682:H683 F684:H684 H685 F686:H686 H687:H688 F689:H689 H690:H691 F692:H692 H693:H694 F695:H695 H696:H697 F698:H698 H699:H700 F701:H701 H702:H703 F704:H704 H705:H706 F707:H707 H708:H709 F710:H710 H711:H712 F713:H713 H714:H715 F716:H716 H717:H718 F719:H719 H720:H721 F722:H722 H723:H724 F725:H725 H726:H727 F728:H728 H729:H730 F731:H731 H732:H733 F734:H734 H735:H736 F737:H737 H738:H739 F740:H740 H741:H742 F743:H743 H744:H745 F746:H746 H747:H749 F750:H750 H751:H752 F753:H753 H754:H755 F756:H756 H757:H758 F759:H759 H760:H761 F762:H762 H763:H764 F765:H765 H766:H767 F768:H768 H769:H770 F771:H771 H772:H774 F775:H775 H776:H777 F778:H778 H779:H780 F781:H781 H782:H783 F784:H784 H785:H786 F787:H787 H788:H789 F790:H790 H791:H792 F793:H793 H794:H795 F796:H797 H798:H799 F800:H800 H801:H802 F803:H803 H804:H805 F806:H806 H807:H808 F809:H809 H810:H811 F812:H812 H813:H814 F815:H815 H816:H817 F818:H818 H819:H820 F821:H821 H822:H823 F824:H824 H825:H826 F827:H827 H828:H829 F830:H830 H831:H832 F833:H833 H834:H835 F836:H836 H837:H838 F839:H839 H840:H841 F842:H842 H843:H844 F845:H845 H846:H847 F848:H848 H849:H850 F851:H851 H852:H853 F854:H854 H855:H856 F857:H857 H858:H859 F860:H860 H861:H862 F863:H863 H864:H865 F866:H866 H867:H868 F869:H869 H870:H871 F872:H872 H873:H874 F875:H875 H876:H877 F878:H878 H879:H880 F881:H881 H882:H883 F884:H884 H885:H886 F887:H887 H888:H889 F890:H890 H891:H892 F893:H893 H894:H895 F896:H896 H897:H898 F899:H899 H900:H901 F902:H902 H903:H904 F905:H905 H906:H907 F908:H908 H909:H910 F911:H911 H912:H913 F914:H914 H915:H916 F917:H917 H918:H919 F920:H920 H921:H922 F923:H923 H924:H925 F926:H926 H927:H928 F929:H929 H930:H931 F932:H932 H933:H934 F935:H935 H936:H937 F938:H938 H939:H940 F941:H941 H942:H943 F944:H944 H945:H946 F947:H947 H948:H949 F950:H950 H951:H952 F953:H953 H954:H955 F956:H956 H957:H958 F959:H959 H960:H961 F962:H962 H963:H964 F965:H965 H966:H967 F968:H968 H969:H970 F971:H971 H972:H973 F974:H974 H975:H976 F977:H977 H978:H980 F981:H981 H982:H983 F984:H984 H985:H986 F987:H987 H988:H989 F990:H990 H991:H992 F993:H993 H994:H995 F996:H996 H997:H998 F999:H999 H1000:H1001 F1002:H1002 H1003:H1004 F1005:H1005 H1006:H1008 F1009:H1009 H1010:H1011 F1012:H1012 H1013:H1014 F1015:H1015 H1016:H1017 F1018:H1018 H1019:H1020 F1021:H1021 H1022:H1023 F1024:H1024 H1025:H1026 F1027:H1027 H1028:H1029 F1030:H1031 H1032:H1033 F1034:H1034 H1035:H1036 F1037:H1037 H1038:H1039 F1040:H1040 H1041:H1042 F1043:H1043 H1044:H1045 F1046:H1046 H1047:H1048 F1049:H1049 H1050:H1052 F1053:H1053 H1054:H1055 F1056:H1056 H1057:H1058 F1059:H1059 H1060:H1061 F1062:H1062 H1063:H1064 F1065:H1065 H1066:H1067 F1068:H1068 H1069:H1070 F1071:H1071 H1072:H1073 F1074:H1074 H1075:H1076 F1077:H1077 H1078:H1079 F1080:H1080 H1081:H1082 F1083:H1083 H1084:H1085 F1086:H1086 H1087:H1088 F1089:H1089 H1090:H1092 F1093:H1093 H1094:H1095 F1096:H1096 H1097:H1098 F1099:H1099 H1100:H1101 F1102:H1102 H1103:H1104 F1105:H1105 H1106:H1107 F1108:H1108 H1109:H1110 F1111:H1111 H1112:H1113 F1114:H1115 H1116:H1117 F1118:H1118 H1119:H1120 F1121:H1121 H1122:H1123 F1124:H1124 H1125:H1126 F1127:H1127 H1128:H1129 F1130:H1130 H1131:H1132 F1133:H1133 H1134:H1135 F1136:H1136 H1137:H1138 F1139:H1139 H1140:H1142 F1143:H1143 H1144 F1145:H1145 H1146:H1147 F1148:H1148 H1149:H1150 F1151:H1151 H1152:H1153 F1154:H1154 H1155:H1156 F1157:H1157 H1158:H1159 F1160:H1160 H1161:H1162 F1163:H1163 H1164:H1165 F1166:H1166 H1167:H1170 F1171:H1171 H1172:H1173 F1174:H1174 H1175:H1176 F1177:H1177 H1178:H1179 F1180:H1180 H1181:H1182 F1183:H1183 H1184:H1185 F1186:H1186 H1187 F1188:H1188 H1189:H1190 F1191:H1191 H1192 F1193:H1193 H1194:H1195 F1196:H1196 H1197:H1198 F1199:H1199 H1200:H1201 F1202:H1202 H1203:H1204 F1205:H1205 H1206:H1207 F1208:H1208 H1209:H1210 F1211:H1211 H1212:H1213 F1214:H1214 H1215:H1218 F1219:H1219 H1220:H1221 F1222:H1222 H1223:H1224 F1225:H1225 H1226:H1227 F1228:H1228 H1229:H1230 F1231:H1231 H1232:H1233 F1234:H1234 H1235:H1236 F1237:H1238 H1239:H1240 F1241:H1241 H1242:H1243 F1244:H1244 H1245:H1246 F1247:H1247 H1248:H1249 F1250:H1250 H1251:H1252 F1253:H1253 H1254:H1256 F1257:H1257 H1258:H1259 F1260:H1260 H1261 F1262:H1262 H1263 F1264:H1264 H1265 F1266:H1266 H1267 F1268:H1268 H1269 F1270:H1270 H1271 F1272:H1272 H1273 F1274:H1274 H1275 F1276:H1276 H1277 F1278:H1278 H1279 F1280:H1280 H1281 F1282:H1282 H1283 F1284:H1284 H1285 F1286:H1286 H1287 F1288:H1288 H1289 F1290:H1290 H1291 F1292:H1292 H1293:H1294 F1295:H1295 H1296 F1297:H1297 H1298 F1299:H1299 H1300 F1301:H1301 H1302 F1303:H1303 H1304 F1305:H1305 H1306 F1307:H1307 H1308 F1309:H1310 H1311 F1312:H1312 H1313 F1314:H1314 H1315 F1316:H1316 H1317 F1318:H1318 H1319 F1320:H1320 H1321 F1322:H1322 H1323 F1324:H1324 H1325 F1326:H1326 H1327:H1328 F1329:H1329 H1330 F1331:H1331 H1332:H1333 F1334:H1346">
      <formula1>"BARMM,I,II,III,IV-A,IV-B,IX,NCR,NIR,V,VI,VII,VIII,X,XI,XII,XIII"</formula1>
    </dataValidation>
    <dataValidation type="list" allowBlank="1" showErrorMessage="1" sqref="D2:D1346">
      <formula1>"Base,Unchanged,Modified,New,Deleted"</formula1>
    </dataValidation>
  </dataValidations>
  <hyperlinks>
    <hyperlink r:id="rId1" ref="AI3"/>
    <hyperlink r:id="rId2" ref="AI5"/>
    <hyperlink r:id="rId3" ref="AI7"/>
    <hyperlink r:id="rId4" ref="AI8"/>
    <hyperlink r:id="rId5" ref="AI10"/>
    <hyperlink r:id="rId6" ref="AI11"/>
    <hyperlink r:id="rId7" ref="AI13"/>
    <hyperlink r:id="rId8" ref="AI15"/>
    <hyperlink r:id="rId9" ref="AI16"/>
    <hyperlink r:id="rId10" ref="AI17"/>
    <hyperlink r:id="rId11" ref="AI18"/>
    <hyperlink r:id="rId12" ref="AI20"/>
    <hyperlink r:id="rId13" ref="AI21"/>
    <hyperlink r:id="rId14" ref="AI22"/>
    <hyperlink r:id="rId15" ref="AI23"/>
    <hyperlink r:id="rId16" ref="AI24"/>
    <hyperlink r:id="rId17" ref="AI26"/>
    <hyperlink r:id="rId18" ref="AI27"/>
    <hyperlink r:id="rId19" ref="AI28"/>
    <hyperlink r:id="rId20" ref="AI29"/>
    <hyperlink r:id="rId21" ref="AI32"/>
    <hyperlink r:id="rId22" ref="AI33"/>
    <hyperlink r:id="rId23" ref="AI35"/>
    <hyperlink r:id="rId24" ref="AI36"/>
    <hyperlink r:id="rId25" ref="AI37"/>
    <hyperlink r:id="rId26" ref="AI38"/>
    <hyperlink r:id="rId27" ref="AI39"/>
    <hyperlink r:id="rId28" ref="AI41"/>
    <hyperlink r:id="rId29" ref="AI42"/>
    <hyperlink r:id="rId30" ref="AI44"/>
    <hyperlink r:id="rId31" ref="AI45"/>
    <hyperlink r:id="rId32" ref="AI48"/>
    <hyperlink r:id="rId33" ref="AI50"/>
    <hyperlink r:id="rId34" ref="AI51"/>
    <hyperlink r:id="rId35" ref="AI53"/>
    <hyperlink r:id="rId36" ref="AI55"/>
    <hyperlink r:id="rId37" ref="AI56"/>
    <hyperlink r:id="rId38" ref="AI57"/>
    <hyperlink r:id="rId39" ref="AI58"/>
    <hyperlink r:id="rId40" ref="AI59"/>
    <hyperlink r:id="rId41" ref="AI61"/>
    <hyperlink r:id="rId42" ref="AI63"/>
    <hyperlink r:id="rId43" ref="AI64"/>
    <hyperlink r:id="rId44" ref="AI65"/>
    <hyperlink r:id="rId45" ref="AI66"/>
    <hyperlink r:id="rId46" ref="AI67"/>
    <hyperlink r:id="rId47" ref="AI69"/>
    <hyperlink r:id="rId48" ref="AI70"/>
    <hyperlink r:id="rId49" ref="AI72"/>
    <hyperlink r:id="rId50" location="ixzz5IKRlKWsE" ref="AI77"/>
    <hyperlink r:id="rId51" ref="AI78"/>
    <hyperlink r:id="rId52" ref="AI80"/>
    <hyperlink r:id="rId53" ref="AI81"/>
    <hyperlink r:id="rId54" ref="AI87"/>
    <hyperlink r:id="rId55" ref="AI90"/>
    <hyperlink r:id="rId56" ref="AI93"/>
    <hyperlink r:id="rId57" ref="AI94"/>
    <hyperlink r:id="rId58" ref="AI95"/>
    <hyperlink r:id="rId59" ref="AI96"/>
    <hyperlink r:id="rId60" ref="AI97"/>
    <hyperlink r:id="rId61" ref="AI99"/>
    <hyperlink r:id="rId62" ref="AI102"/>
    <hyperlink r:id="rId63" ref="AI105"/>
    <hyperlink r:id="rId64" ref="AI107"/>
    <hyperlink r:id="rId65" ref="AI108"/>
    <hyperlink r:id="rId66" ref="AI109"/>
    <hyperlink r:id="rId67" ref="AI110"/>
    <hyperlink r:id="rId68" ref="AI111"/>
    <hyperlink r:id="rId69" ref="AI114"/>
    <hyperlink r:id="rId70" ref="AI117"/>
    <hyperlink r:id="rId71" ref="AI119"/>
    <hyperlink r:id="rId72" ref="AI120"/>
    <hyperlink r:id="rId73" ref="AI121"/>
    <hyperlink r:id="rId74" ref="AI122"/>
    <hyperlink r:id="rId75" ref="AI123"/>
    <hyperlink r:id="rId76" ref="AI125"/>
    <hyperlink r:id="rId77" ref="AI128"/>
    <hyperlink r:id="rId78" ref="AI131"/>
    <hyperlink r:id="rId79" ref="AI134"/>
    <hyperlink r:id="rId80" ref="AI135"/>
    <hyperlink r:id="rId81" ref="AI138"/>
    <hyperlink r:id="rId82" ref="AI140"/>
    <hyperlink r:id="rId83" ref="AI141"/>
    <hyperlink r:id="rId84" ref="AI143"/>
    <hyperlink r:id="rId85" ref="AI145"/>
    <hyperlink r:id="rId86" ref="AI146"/>
    <hyperlink r:id="rId87" ref="AI148"/>
    <hyperlink r:id="rId88" ref="AI149"/>
    <hyperlink r:id="rId89" ref="AI152"/>
    <hyperlink r:id="rId90" ref="AI153"/>
    <hyperlink r:id="rId91" ref="AI154"/>
    <hyperlink r:id="rId92" ref="AI156"/>
    <hyperlink r:id="rId93" ref="AI157"/>
    <hyperlink r:id="rId94" ref="AI158"/>
    <hyperlink r:id="rId95" ref="AI159"/>
    <hyperlink r:id="rId96" ref="AI161"/>
    <hyperlink r:id="rId97" ref="AI162"/>
    <hyperlink r:id="rId98" ref="AI164"/>
    <hyperlink r:id="rId99" ref="AI167"/>
    <hyperlink r:id="rId100" ref="AI170"/>
    <hyperlink r:id="rId101" ref="AI173"/>
    <hyperlink r:id="rId102" ref="AI174"/>
    <hyperlink r:id="rId103" ref="AI177"/>
    <hyperlink r:id="rId104" ref="AI181"/>
    <hyperlink r:id="rId105" ref="AI182"/>
    <hyperlink r:id="rId106" ref="AI185"/>
    <hyperlink r:id="rId107" ref="AI187"/>
    <hyperlink r:id="rId108" ref="AI189"/>
    <hyperlink r:id="rId109" ref="AI191"/>
    <hyperlink r:id="rId110" ref="AI193"/>
    <hyperlink r:id="rId111" ref="AI195"/>
    <hyperlink r:id="rId112" ref="AI198"/>
    <hyperlink r:id="rId113" ref="AI201"/>
    <hyperlink r:id="rId114" ref="AI202"/>
    <hyperlink r:id="rId115" ref="AI203"/>
    <hyperlink r:id="rId116" ref="AI204"/>
    <hyperlink r:id="rId117" ref="AI207"/>
    <hyperlink r:id="rId118" ref="AI211"/>
    <hyperlink r:id="rId119" ref="AI216"/>
    <hyperlink r:id="rId120" ref="AI219"/>
    <hyperlink r:id="rId121" ref="AI220"/>
    <hyperlink r:id="rId122" ref="AI221"/>
    <hyperlink r:id="rId123" ref="AI222"/>
    <hyperlink r:id="rId124" ref="AK223"/>
    <hyperlink r:id="rId125" ref="AK224"/>
    <hyperlink r:id="rId126" ref="AI225"/>
    <hyperlink r:id="rId127" ref="AK225"/>
    <hyperlink r:id="rId128" ref="AI228"/>
    <hyperlink r:id="rId129" ref="AK228"/>
    <hyperlink r:id="rId130" ref="AK229"/>
    <hyperlink r:id="rId131" ref="AI230"/>
    <hyperlink r:id="rId132" ref="AI231"/>
    <hyperlink r:id="rId133" ref="AI233"/>
    <hyperlink r:id="rId134" ref="AI234"/>
    <hyperlink r:id="rId135" ref="AK234"/>
    <hyperlink r:id="rId136" ref="AK235"/>
    <hyperlink r:id="rId137" ref="AI237"/>
    <hyperlink r:id="rId138" ref="AI239"/>
    <hyperlink r:id="rId139" ref="AI240"/>
    <hyperlink r:id="rId140" ref="AK240"/>
    <hyperlink r:id="rId141" ref="AK241"/>
    <hyperlink r:id="rId142" ref="AI242"/>
    <hyperlink r:id="rId143" ref="AI243"/>
    <hyperlink r:id="rId144" ref="AI244"/>
    <hyperlink r:id="rId145" ref="AI245"/>
    <hyperlink r:id="rId146" ref="AI246"/>
    <hyperlink r:id="rId147" ref="AI248"/>
    <hyperlink r:id="rId148" ref="AI249"/>
    <hyperlink r:id="rId149" ref="AK249"/>
    <hyperlink r:id="rId150" ref="AI252"/>
    <hyperlink r:id="rId151" ref="AI254"/>
    <hyperlink r:id="rId152" ref="AI255"/>
    <hyperlink r:id="rId153" ref="AI260"/>
    <hyperlink r:id="rId154" ref="AI261"/>
    <hyperlink r:id="rId155" ref="AI265"/>
    <hyperlink r:id="rId156" ref="AI266"/>
    <hyperlink r:id="rId157" ref="AI268"/>
    <hyperlink r:id="rId158" ref="AI277"/>
    <hyperlink r:id="rId159" ref="AI279"/>
    <hyperlink r:id="rId160" ref="AK287"/>
    <hyperlink r:id="rId161" ref="AI290"/>
    <hyperlink r:id="rId162" ref="AI291"/>
    <hyperlink r:id="rId163" ref="AI294"/>
    <hyperlink r:id="rId164" ref="AK295"/>
    <hyperlink r:id="rId165" ref="AI296"/>
    <hyperlink r:id="rId166" ref="AI297"/>
    <hyperlink r:id="rId167" ref="AI298"/>
    <hyperlink r:id="rId168" ref="AI299"/>
    <hyperlink r:id="rId169" ref="AI300"/>
    <hyperlink r:id="rId170" ref="AI301"/>
    <hyperlink r:id="rId171" ref="AI302"/>
    <hyperlink r:id="rId172" ref="AI303"/>
    <hyperlink r:id="rId173" ref="AI304"/>
    <hyperlink r:id="rId174" ref="AI305"/>
    <hyperlink r:id="rId175" ref="AI306"/>
    <hyperlink r:id="rId176" ref="AI308"/>
    <hyperlink r:id="rId177" ref="AI309"/>
    <hyperlink r:id="rId178" ref="AI313"/>
    <hyperlink r:id="rId179" ref="AI314"/>
    <hyperlink r:id="rId180" ref="AI322"/>
    <hyperlink r:id="rId181" ref="AK322"/>
    <hyperlink r:id="rId182" ref="AI334"/>
    <hyperlink r:id="rId183" ref="AI337"/>
    <hyperlink r:id="rId184" ref="AI338"/>
    <hyperlink r:id="rId185" ref="AI341"/>
    <hyperlink r:id="rId186" ref="AI342"/>
    <hyperlink r:id="rId187" ref="AI344"/>
    <hyperlink r:id="rId188" ref="AI345"/>
    <hyperlink r:id="rId189" ref="AI346"/>
    <hyperlink r:id="rId190" ref="AI347"/>
    <hyperlink r:id="rId191" ref="AI348"/>
    <hyperlink r:id="rId192" ref="AI350"/>
    <hyperlink r:id="rId193" ref="AI351"/>
    <hyperlink r:id="rId194" ref="AI354"/>
    <hyperlink r:id="rId195" ref="AI357"/>
    <hyperlink r:id="rId196" ref="AI358"/>
    <hyperlink r:id="rId197" ref="AK358"/>
    <hyperlink r:id="rId198" ref="AI362"/>
    <hyperlink r:id="rId199" ref="AI363"/>
    <hyperlink r:id="rId200" ref="AI364"/>
    <hyperlink r:id="rId201" ref="AI365"/>
    <hyperlink r:id="rId202" ref="AI366"/>
    <hyperlink r:id="rId203" ref="AI367"/>
    <hyperlink r:id="rId204" ref="AI368"/>
    <hyperlink r:id="rId205" ref="AI369"/>
    <hyperlink r:id="rId206" ref="AI375"/>
    <hyperlink r:id="rId207" ref="AI377"/>
    <hyperlink r:id="rId208" ref="AI378"/>
    <hyperlink r:id="rId209" ref="AI379"/>
    <hyperlink r:id="rId210" ref="AI380"/>
    <hyperlink r:id="rId211" ref="AI381"/>
    <hyperlink r:id="rId212" ref="AI385"/>
    <hyperlink r:id="rId213" ref="AI388"/>
    <hyperlink r:id="rId214" ref="AI389"/>
    <hyperlink r:id="rId215" ref="AI392"/>
    <hyperlink r:id="rId216" ref="AI393"/>
    <hyperlink r:id="rId217" ref="AI396"/>
    <hyperlink r:id="rId218" ref="AI398"/>
    <hyperlink r:id="rId219" ref="AI400"/>
    <hyperlink r:id="rId220" ref="AI402"/>
    <hyperlink r:id="rId221" ref="AI403"/>
    <hyperlink r:id="rId222" ref="AI404"/>
    <hyperlink r:id="rId223" ref="AI405"/>
    <hyperlink r:id="rId224" ref="AI406"/>
    <hyperlink r:id="rId225" ref="AI408"/>
    <hyperlink r:id="rId226" ref="AI409"/>
    <hyperlink r:id="rId227" ref="AI412"/>
    <hyperlink r:id="rId228" ref="AI414"/>
    <hyperlink r:id="rId229" ref="AI421"/>
    <hyperlink r:id="rId230" ref="AI430"/>
    <hyperlink r:id="rId231" ref="AI431"/>
    <hyperlink r:id="rId232" ref="AI433"/>
    <hyperlink r:id="rId233" ref="AI434"/>
    <hyperlink r:id="rId234" ref="AI435"/>
    <hyperlink r:id="rId235" ref="AI437"/>
    <hyperlink r:id="rId236" ref="AI440"/>
    <hyperlink r:id="rId237" ref="AI443"/>
    <hyperlink r:id="rId238" ref="AI450"/>
    <hyperlink r:id="rId239" ref="AI452"/>
    <hyperlink r:id="rId240" ref="AI460"/>
    <hyperlink r:id="rId241" ref="AI463"/>
    <hyperlink r:id="rId242" ref="AI464"/>
    <hyperlink r:id="rId243" ref="AI469"/>
    <hyperlink r:id="rId244" ref="AI472"/>
    <hyperlink r:id="rId245" ref="AI475"/>
    <hyperlink r:id="rId246" ref="AI480"/>
    <hyperlink r:id="rId247" ref="AI481"/>
    <hyperlink r:id="rId248" ref="AI484"/>
    <hyperlink r:id="rId249" ref="AI485"/>
    <hyperlink r:id="rId250" ref="AI487"/>
    <hyperlink r:id="rId251" ref="AI490"/>
    <hyperlink r:id="rId252" ref="AI493"/>
    <hyperlink r:id="rId253" ref="AI496"/>
    <hyperlink r:id="rId254" ref="AI499"/>
    <hyperlink r:id="rId255" ref="AI501"/>
    <hyperlink r:id="rId256" ref="AI504"/>
    <hyperlink r:id="rId257" ref="AI507"/>
    <hyperlink r:id="rId258" ref="AI513"/>
    <hyperlink r:id="rId259" ref="AI516"/>
    <hyperlink r:id="rId260" ref="AI519"/>
    <hyperlink r:id="rId261" ref="AI522"/>
    <hyperlink r:id="rId262" ref="AI524"/>
    <hyperlink r:id="rId263" ref="AI525"/>
    <hyperlink r:id="rId264" ref="AI527"/>
    <hyperlink r:id="rId265" ref="AI528"/>
    <hyperlink r:id="rId266" ref="AI529"/>
    <hyperlink r:id="rId267" ref="AI534"/>
    <hyperlink r:id="rId268" ref="AI539"/>
    <hyperlink r:id="rId269" ref="AI540"/>
    <hyperlink r:id="rId270" ref="AK540"/>
    <hyperlink r:id="rId271" ref="AI541"/>
    <hyperlink r:id="rId272" ref="AI542"/>
    <hyperlink r:id="rId273" ref="AI544"/>
    <hyperlink r:id="rId274" ref="AI545"/>
    <hyperlink r:id="rId275" ref="AI546"/>
    <hyperlink r:id="rId276" ref="AI547"/>
    <hyperlink r:id="rId277" ref="AI548"/>
    <hyperlink r:id="rId278" ref="AI549"/>
    <hyperlink r:id="rId279" ref="AI553"/>
    <hyperlink r:id="rId280" ref="AI554"/>
    <hyperlink r:id="rId281" ref="AI555"/>
    <hyperlink r:id="rId282" ref="AI558"/>
    <hyperlink r:id="rId283" ref="AI559"/>
    <hyperlink r:id="rId284" ref="AI560"/>
    <hyperlink r:id="rId285" ref="AK560"/>
    <hyperlink r:id="rId286" ref="AI563"/>
    <hyperlink r:id="rId287" ref="AI565"/>
    <hyperlink r:id="rId288" ref="AK565"/>
    <hyperlink r:id="rId289" ref="AI566"/>
    <hyperlink r:id="rId290" ref="AI569"/>
    <hyperlink r:id="rId291" ref="AI571"/>
    <hyperlink r:id="rId292" ref="AI572"/>
    <hyperlink r:id="rId293" ref="AI575"/>
    <hyperlink r:id="rId294" ref="AI578"/>
    <hyperlink r:id="rId295" ref="AI579"/>
    <hyperlink r:id="rId296" ref="AI581"/>
    <hyperlink r:id="rId297" ref="AI582"/>
    <hyperlink r:id="rId298" location="ixzz5IKRlKWsE" ref="AI587"/>
    <hyperlink r:id="rId299" ref="AI588"/>
    <hyperlink r:id="rId300" ref="AI590"/>
    <hyperlink r:id="rId301" ref="AI591"/>
    <hyperlink r:id="rId302" ref="AI592"/>
    <hyperlink r:id="rId303" ref="AI594"/>
    <hyperlink r:id="rId304" ref="AI597"/>
    <hyperlink r:id="rId305" ref="AI600"/>
    <hyperlink r:id="rId306" ref="AI603"/>
    <hyperlink r:id="rId307" ref="AI608"/>
    <hyperlink r:id="rId308" ref="AI613"/>
    <hyperlink r:id="rId309" ref="AI614"/>
    <hyperlink r:id="rId310" ref="AI622"/>
    <hyperlink r:id="rId311" ref="AI626"/>
    <hyperlink r:id="rId312" ref="AI627"/>
    <hyperlink r:id="rId313" ref="AI631"/>
    <hyperlink r:id="rId314" ref="AI635"/>
    <hyperlink r:id="rId315" ref="AI644"/>
    <hyperlink r:id="rId316" ref="AI649"/>
    <hyperlink r:id="rId317" ref="AI651"/>
    <hyperlink r:id="rId318" ref="AI666"/>
    <hyperlink r:id="rId319" ref="AI672"/>
    <hyperlink r:id="rId320" ref="AI677"/>
    <hyperlink r:id="rId321" ref="AI678"/>
    <hyperlink r:id="rId322" ref="AI679"/>
    <hyperlink r:id="rId323" ref="AI680"/>
    <hyperlink r:id="rId324" ref="AI681"/>
    <hyperlink r:id="rId325" ref="AI682"/>
    <hyperlink r:id="rId326" ref="AI684"/>
    <hyperlink r:id="rId327" ref="AI687"/>
    <hyperlink r:id="rId328" ref="AI689"/>
    <hyperlink r:id="rId329" ref="AI692"/>
    <hyperlink r:id="rId330" ref="AI695"/>
    <hyperlink r:id="rId331" ref="AI698"/>
    <hyperlink r:id="rId332" ref="AI700"/>
    <hyperlink r:id="rId333" ref="AI701"/>
    <hyperlink r:id="rId334" ref="AI702"/>
    <hyperlink r:id="rId335" ref="AI704"/>
    <hyperlink r:id="rId336" ref="AI706"/>
    <hyperlink r:id="rId337" ref="AI707"/>
    <hyperlink r:id="rId338" ref="AI712"/>
    <hyperlink r:id="rId339" ref="AI715"/>
    <hyperlink r:id="rId340" ref="AI716"/>
    <hyperlink r:id="rId341" ref="AI717"/>
    <hyperlink r:id="rId342" ref="AI719"/>
    <hyperlink r:id="rId343" ref="AI722"/>
    <hyperlink r:id="rId344" ref="AI725"/>
    <hyperlink r:id="rId345" ref="AI729"/>
    <hyperlink r:id="rId346" ref="AI737"/>
    <hyperlink r:id="rId347" ref="AI739"/>
    <hyperlink r:id="rId348" ref="AI740"/>
    <hyperlink r:id="rId349" ref="AK742"/>
    <hyperlink r:id="rId350" ref="AI743"/>
    <hyperlink r:id="rId351" ref="AK744"/>
    <hyperlink r:id="rId352" ref="AK747"/>
    <hyperlink r:id="rId353" ref="AI748"/>
    <hyperlink r:id="rId354" ref="AK748"/>
    <hyperlink r:id="rId355" ref="AI749"/>
    <hyperlink r:id="rId356" ref="AI750"/>
    <hyperlink r:id="rId357" ref="AI751"/>
    <hyperlink r:id="rId358" ref="AI752"/>
    <hyperlink r:id="rId359" ref="AI753"/>
    <hyperlink r:id="rId360" ref="AI754"/>
    <hyperlink r:id="rId361" ref="AI755"/>
    <hyperlink r:id="rId362" ref="AI756"/>
    <hyperlink r:id="rId363" ref="AI759"/>
    <hyperlink r:id="rId364" ref="AI760"/>
    <hyperlink r:id="rId365" ref="AI761"/>
    <hyperlink r:id="rId366" ref="AI762"/>
    <hyperlink r:id="rId367" ref="AI763"/>
    <hyperlink r:id="rId368" ref="AK763"/>
    <hyperlink r:id="rId369" ref="AK764"/>
    <hyperlink r:id="rId370" ref="AI765"/>
    <hyperlink r:id="rId371" ref="AI767"/>
    <hyperlink r:id="rId372" ref="AK767"/>
    <hyperlink r:id="rId373" ref="AI768"/>
    <hyperlink r:id="rId374" ref="AI769"/>
    <hyperlink r:id="rId375" ref="AK769"/>
    <hyperlink r:id="rId376" ref="AI770"/>
    <hyperlink r:id="rId377" ref="AI771"/>
    <hyperlink r:id="rId378" ref="AI772"/>
    <hyperlink r:id="rId379" ref="AI778"/>
    <hyperlink r:id="rId380" ref="AI779"/>
    <hyperlink r:id="rId381" ref="AI780"/>
    <hyperlink r:id="rId382" ref="AI781"/>
    <hyperlink r:id="rId383" ref="AI783"/>
    <hyperlink r:id="rId384" ref="AI784"/>
    <hyperlink r:id="rId385" ref="AI789"/>
    <hyperlink r:id="rId386" ref="AI790"/>
    <hyperlink r:id="rId387" ref="AI791"/>
    <hyperlink r:id="rId388" ref="AI793"/>
    <hyperlink r:id="rId389" ref="AK793"/>
    <hyperlink r:id="rId390" ref="AI797"/>
    <hyperlink r:id="rId391" ref="AK800"/>
    <hyperlink r:id="rId392" ref="AI808"/>
    <hyperlink r:id="rId393" ref="AI809"/>
    <hyperlink r:id="rId394" ref="AI810"/>
    <hyperlink r:id="rId395" ref="AI811"/>
    <hyperlink r:id="rId396" ref="AK812"/>
    <hyperlink r:id="rId397" ref="AI813"/>
    <hyperlink r:id="rId398" ref="AI814"/>
    <hyperlink r:id="rId399" ref="AI815"/>
    <hyperlink r:id="rId400" ref="AI816"/>
    <hyperlink r:id="rId401" ref="AI817"/>
    <hyperlink r:id="rId402" ref="AI818"/>
    <hyperlink r:id="rId403" ref="AI819"/>
    <hyperlink r:id="rId404" ref="AI820"/>
    <hyperlink r:id="rId405" ref="AI821"/>
    <hyperlink r:id="rId406" ref="AI822"/>
    <hyperlink r:id="rId407" ref="AI823"/>
    <hyperlink r:id="rId408" ref="AI825"/>
    <hyperlink r:id="rId409" ref="AI826"/>
    <hyperlink r:id="rId410" ref="AI827"/>
    <hyperlink r:id="rId411" ref="AI828"/>
    <hyperlink r:id="rId412" ref="AI829"/>
    <hyperlink r:id="rId413" ref="AI831"/>
    <hyperlink r:id="rId414" ref="AI832"/>
    <hyperlink r:id="rId415" ref="AI833"/>
    <hyperlink r:id="rId416" ref="AI834"/>
    <hyperlink r:id="rId417" ref="AI836"/>
    <hyperlink r:id="rId418" ref="AI838"/>
    <hyperlink r:id="rId419" ref="AI839"/>
    <hyperlink r:id="rId420" ref="AI840"/>
    <hyperlink r:id="rId421" ref="AI842"/>
    <hyperlink r:id="rId422" ref="AI843"/>
    <hyperlink r:id="rId423" ref="AI845"/>
    <hyperlink r:id="rId424" ref="AI846"/>
    <hyperlink r:id="rId425" ref="AI847"/>
    <hyperlink r:id="rId426" ref="AI849"/>
    <hyperlink r:id="rId427" ref="AI852"/>
    <hyperlink r:id="rId428" ref="AI855"/>
    <hyperlink r:id="rId429" ref="AI857"/>
    <hyperlink r:id="rId430" ref="AK857"/>
    <hyperlink r:id="rId431" ref="AI861"/>
    <hyperlink r:id="rId432" ref="AI865"/>
    <hyperlink r:id="rId433" ref="AK865"/>
    <hyperlink r:id="rId434" ref="AI866"/>
    <hyperlink r:id="rId435" ref="AI869"/>
    <hyperlink r:id="rId436" ref="AI871"/>
    <hyperlink r:id="rId437" ref="AK871"/>
    <hyperlink r:id="rId438" ref="AI872"/>
    <hyperlink r:id="rId439" ref="AI873"/>
    <hyperlink r:id="rId440" ref="AI874"/>
    <hyperlink r:id="rId441" ref="AI875"/>
    <hyperlink r:id="rId442" ref="AI876"/>
    <hyperlink r:id="rId443" ref="AI877"/>
    <hyperlink r:id="rId444" ref="AI878"/>
    <hyperlink r:id="rId445" ref="AI879"/>
    <hyperlink r:id="rId446" ref="AI880"/>
    <hyperlink r:id="rId447" ref="AI883"/>
    <hyperlink r:id="rId448" ref="AI886"/>
    <hyperlink r:id="rId449" ref="AI896"/>
    <hyperlink r:id="rId450" ref="AI897"/>
    <hyperlink r:id="rId451" ref="AI898"/>
    <hyperlink r:id="rId452" ref="AI899"/>
    <hyperlink r:id="rId453" ref="AI901"/>
    <hyperlink r:id="rId454" ref="AI902"/>
    <hyperlink r:id="rId455" ref="AI904"/>
    <hyperlink r:id="rId456" ref="AI911"/>
    <hyperlink r:id="rId457" ref="AI916"/>
    <hyperlink r:id="rId458" ref="AI919"/>
    <hyperlink r:id="rId459" ref="AI922"/>
    <hyperlink r:id="rId460" ref="AI923"/>
    <hyperlink r:id="rId461" ref="AI925"/>
    <hyperlink r:id="rId462" ref="AI929"/>
    <hyperlink r:id="rId463" ref="AI931"/>
    <hyperlink r:id="rId464" ref="AI932"/>
    <hyperlink r:id="rId465" ref="AI934"/>
    <hyperlink r:id="rId466" ref="AI936"/>
    <hyperlink r:id="rId467" ref="AI937"/>
    <hyperlink r:id="rId468" ref="AI949"/>
    <hyperlink r:id="rId469" ref="AI955"/>
    <hyperlink r:id="rId470" ref="AI958"/>
    <hyperlink r:id="rId471" ref="AI960"/>
    <hyperlink r:id="rId472" ref="AI961"/>
    <hyperlink r:id="rId473" ref="AI963"/>
    <hyperlink r:id="rId474" ref="AI964"/>
    <hyperlink r:id="rId475" ref="AI966"/>
    <hyperlink r:id="rId476" ref="AI967"/>
    <hyperlink r:id="rId477" ref="AI971"/>
    <hyperlink r:id="rId478" ref="AI972"/>
    <hyperlink r:id="rId479" ref="AI974"/>
    <hyperlink r:id="rId480" ref="AI975"/>
    <hyperlink r:id="rId481" ref="AI976"/>
    <hyperlink r:id="rId482" ref="AI977"/>
    <hyperlink r:id="rId483" ref="AI978"/>
    <hyperlink r:id="rId484" ref="AI979"/>
    <hyperlink r:id="rId485" ref="AI980"/>
    <hyperlink r:id="rId486" ref="AI981"/>
    <hyperlink r:id="rId487" ref="AI982"/>
    <hyperlink r:id="rId488" ref="AI983"/>
    <hyperlink r:id="rId489" ref="AI984"/>
    <hyperlink r:id="rId490" ref="AI985"/>
    <hyperlink r:id="rId491" ref="AK985"/>
    <hyperlink r:id="rId492" ref="AK987"/>
    <hyperlink r:id="rId493" ref="AI988"/>
    <hyperlink r:id="rId494" ref="AK988"/>
    <hyperlink r:id="rId495" ref="AI990"/>
    <hyperlink r:id="rId496" ref="AI991"/>
    <hyperlink r:id="rId497" ref="AI992"/>
    <hyperlink r:id="rId498" ref="AI993"/>
    <hyperlink r:id="rId499" ref="AI994"/>
    <hyperlink r:id="rId500" ref="AK994"/>
    <hyperlink r:id="rId501" ref="AI997"/>
    <hyperlink r:id="rId502" ref="AI999"/>
    <hyperlink r:id="rId503" ref="AI1000"/>
    <hyperlink r:id="rId504" ref="AK1000"/>
    <hyperlink r:id="rId505" ref="AK1001"/>
    <hyperlink r:id="rId506" ref="AI1002"/>
    <hyperlink r:id="rId507" ref="AI1003"/>
    <hyperlink r:id="rId508" ref="AI1004"/>
    <hyperlink r:id="rId509" ref="AK1004"/>
    <hyperlink r:id="rId510" ref="AI1006"/>
    <hyperlink r:id="rId511" ref="AI1007"/>
    <hyperlink r:id="rId512" ref="AI1008"/>
    <hyperlink r:id="rId513" ref="AK1008"/>
    <hyperlink r:id="rId514" ref="AI1009"/>
    <hyperlink r:id="rId515" ref="AK1010"/>
    <hyperlink r:id="rId516" ref="AI1011"/>
    <hyperlink r:id="rId517" ref="AI1013"/>
    <hyperlink r:id="rId518" ref="AI1014"/>
    <hyperlink r:id="rId519" ref="AK1016"/>
    <hyperlink r:id="rId520" ref="AI1021"/>
    <hyperlink r:id="rId521" ref="AI1023"/>
    <hyperlink r:id="rId522" ref="AI1024"/>
    <hyperlink r:id="rId523" ref="AK1025"/>
    <hyperlink r:id="rId524" ref="AI1026"/>
    <hyperlink r:id="rId525" ref="AK1027"/>
    <hyperlink r:id="rId526" ref="AI1030"/>
    <hyperlink r:id="rId527" ref="AK1031"/>
    <hyperlink r:id="rId528" ref="AI1034"/>
    <hyperlink r:id="rId529" ref="AI1037"/>
    <hyperlink r:id="rId530" ref="AI1038"/>
    <hyperlink r:id="rId531" ref="AI1040"/>
    <hyperlink r:id="rId532" ref="AI1043"/>
    <hyperlink r:id="rId533" ref="AI1044"/>
    <hyperlink r:id="rId534" ref="AI1048"/>
    <hyperlink r:id="rId535" ref="AI1053"/>
    <hyperlink r:id="rId536" ref="AI1056"/>
    <hyperlink r:id="rId537" ref="AI1061"/>
    <hyperlink r:id="rId538" ref="AI1072"/>
    <hyperlink r:id="rId539" ref="AI1074"/>
    <hyperlink r:id="rId540" ref="AI1077"/>
    <hyperlink r:id="rId541" ref="AI1080"/>
    <hyperlink r:id="rId542" ref="AI1089"/>
    <hyperlink r:id="rId543" ref="AI1090"/>
    <hyperlink r:id="rId544" ref="AI1093"/>
    <hyperlink r:id="rId545" ref="AI1096"/>
    <hyperlink r:id="rId546" ref="AK1096"/>
    <hyperlink r:id="rId547" ref="AK1099"/>
    <hyperlink r:id="rId548" ref="AI1105"/>
    <hyperlink r:id="rId549" ref="AK1105"/>
    <hyperlink r:id="rId550" ref="AI1108"/>
    <hyperlink r:id="rId551" ref="AK1108"/>
    <hyperlink r:id="rId552" ref="AI1111"/>
    <hyperlink r:id="rId553" ref="AI1114"/>
    <hyperlink r:id="rId554" ref="AI1118"/>
    <hyperlink r:id="rId555" ref="AI1121"/>
    <hyperlink r:id="rId556" ref="AI1124"/>
    <hyperlink r:id="rId557" ref="AI1127"/>
    <hyperlink r:id="rId558" ref="AI1130"/>
    <hyperlink r:id="rId559" ref="AI1132"/>
    <hyperlink r:id="rId560" ref="AI1135"/>
    <hyperlink r:id="rId561" ref="AI1137"/>
    <hyperlink r:id="rId562" ref="AI1140"/>
    <hyperlink r:id="rId563" ref="AI1141"/>
    <hyperlink r:id="rId564" ref="AI1143"/>
    <hyperlink r:id="rId565" ref="AI1146"/>
    <hyperlink r:id="rId566" ref="AI1148"/>
    <hyperlink r:id="rId567" location=":~:text=This%20is%20sought%20as%20one%20of%20the,but%20throughout%20Sarangani%20Bay.%20The%20preparation%20of." ref="AI1149"/>
    <hyperlink r:id="rId568" ref="AI1152"/>
    <hyperlink r:id="rId569" ref="AI1154"/>
    <hyperlink r:id="rId570" ref="AI1156"/>
    <hyperlink r:id="rId571" ref="AI1157"/>
    <hyperlink r:id="rId572" ref="AI1158"/>
    <hyperlink r:id="rId573" ref="AI1159"/>
    <hyperlink r:id="rId574" ref="AI1161"/>
    <hyperlink r:id="rId575" ref="AI1163"/>
    <hyperlink r:id="rId576" ref="AI1166"/>
    <hyperlink r:id="rId577" ref="AI1171"/>
    <hyperlink r:id="rId578" ref="AI1174"/>
    <hyperlink r:id="rId579" ref="AK1174"/>
    <hyperlink r:id="rId580" ref="AI1177"/>
    <hyperlink r:id="rId581" ref="AI1180"/>
    <hyperlink r:id="rId582" ref="AK1184"/>
    <hyperlink r:id="rId583" ref="AI1185"/>
    <hyperlink r:id="rId584" ref="AI1186"/>
    <hyperlink r:id="rId585" location=":~:text=This%20is%20sought%20as%20one%20of%20the,but%20throughout%20Sarangani%20Bay.%20The%20preparation%20of." ref="AI1188"/>
    <hyperlink r:id="rId586" ref="AI1189"/>
    <hyperlink r:id="rId587" ref="AK1189"/>
    <hyperlink r:id="rId588" ref="AK1190"/>
    <hyperlink r:id="rId589" ref="AI1191"/>
    <hyperlink r:id="rId590" ref="AI1192"/>
    <hyperlink r:id="rId591" ref="AI1196"/>
    <hyperlink r:id="rId592" ref="AI1199"/>
    <hyperlink r:id="rId593" ref="AI1201"/>
    <hyperlink r:id="rId594" ref="AI1202"/>
    <hyperlink r:id="rId595" ref="AI1203"/>
    <hyperlink r:id="rId596" ref="AK1204"/>
    <hyperlink r:id="rId597" ref="AI1205"/>
    <hyperlink r:id="rId598" ref="AI1206"/>
    <hyperlink r:id="rId599" ref="AI1207"/>
    <hyperlink r:id="rId600" ref="AI1208"/>
    <hyperlink r:id="rId601" ref="AI1210"/>
    <hyperlink r:id="rId602" ref="AI1211"/>
    <hyperlink r:id="rId603" ref="AI1212"/>
    <hyperlink r:id="rId604" ref="AI1214"/>
    <hyperlink r:id="rId605" ref="AI1215"/>
    <hyperlink r:id="rId606" ref="AI1219"/>
    <hyperlink r:id="rId607" ref="AI1221"/>
    <hyperlink r:id="rId608" ref="AI1222"/>
    <hyperlink r:id="rId609" ref="AI1223"/>
    <hyperlink r:id="rId610" ref="AI1224"/>
    <hyperlink r:id="rId611" ref="AI1225"/>
    <hyperlink r:id="rId612" ref="AI1226"/>
    <hyperlink r:id="rId613" ref="AI1227"/>
    <hyperlink r:id="rId614" ref="AI1229"/>
    <hyperlink r:id="rId615" ref="AI1231"/>
    <hyperlink r:id="rId616" ref="AI1232"/>
    <hyperlink r:id="rId617" ref="AI1234"/>
    <hyperlink r:id="rId618" ref="AI1235"/>
    <hyperlink r:id="rId619" ref="AI1237"/>
    <hyperlink r:id="rId620" ref="AI1238"/>
    <hyperlink r:id="rId621" ref="AI1240"/>
    <hyperlink r:id="rId622" ref="AI1241"/>
    <hyperlink r:id="rId623" ref="AI1242"/>
    <hyperlink r:id="rId624" ref="AI1244"/>
    <hyperlink r:id="rId625" ref="AI1245"/>
    <hyperlink r:id="rId626" ref="AI1246"/>
    <hyperlink r:id="rId627" ref="AI1247"/>
    <hyperlink r:id="rId628" ref="AI1248"/>
    <hyperlink r:id="rId629" ref="AI1250"/>
    <hyperlink r:id="rId630" ref="AI1251"/>
    <hyperlink r:id="rId631" ref="AK1254"/>
    <hyperlink r:id="rId632" ref="AI1255"/>
    <hyperlink r:id="rId633" ref="AK1256"/>
    <hyperlink r:id="rId634" ref="AI1257"/>
    <hyperlink r:id="rId635" ref="AI1260"/>
    <hyperlink r:id="rId636" ref="AI1262"/>
    <hyperlink r:id="rId637" ref="AI1264"/>
    <hyperlink r:id="rId638" ref="AI1266"/>
    <hyperlink r:id="rId639" ref="AI1267"/>
    <hyperlink r:id="rId640" ref="AI1268"/>
    <hyperlink r:id="rId641" ref="AI1270"/>
    <hyperlink r:id="rId642" ref="AI1272"/>
    <hyperlink r:id="rId643" ref="AI1274"/>
    <hyperlink r:id="rId644" ref="AI1276"/>
    <hyperlink r:id="rId645" ref="AI1278"/>
    <hyperlink r:id="rId646" ref="AI1280"/>
    <hyperlink r:id="rId647" ref="AI1282"/>
    <hyperlink r:id="rId648" ref="AI1284"/>
    <hyperlink r:id="rId649" ref="AK1285"/>
    <hyperlink r:id="rId650" ref="AI1286"/>
    <hyperlink r:id="rId651" ref="AI1287"/>
    <hyperlink r:id="rId652" ref="AI1288"/>
    <hyperlink r:id="rId653" ref="AI1290"/>
    <hyperlink r:id="rId654" ref="AI1291"/>
    <hyperlink r:id="rId655" ref="AI1292"/>
    <hyperlink r:id="rId656" ref="AI1295"/>
    <hyperlink r:id="rId657" ref="AI1301"/>
    <hyperlink r:id="rId658" ref="AI1302"/>
    <hyperlink r:id="rId659" ref="AI1303"/>
    <hyperlink r:id="rId660" ref="AI1305"/>
    <hyperlink r:id="rId661" ref="AI1307"/>
    <hyperlink r:id="rId662" ref="AI1309"/>
    <hyperlink r:id="rId663" ref="AI1310"/>
    <hyperlink r:id="rId664" ref="AI1312"/>
    <hyperlink r:id="rId665" ref="AI1316"/>
    <hyperlink r:id="rId666" ref="AI1318"/>
    <hyperlink r:id="rId667" ref="AI1320"/>
    <hyperlink r:id="rId668" ref="AI1322"/>
    <hyperlink r:id="rId669" ref="AI1324"/>
    <hyperlink r:id="rId670" ref="AK1325"/>
    <hyperlink r:id="rId671" ref="AI1326"/>
    <hyperlink r:id="rId672" ref="AI1328"/>
    <hyperlink r:id="rId673" ref="AK1329"/>
    <hyperlink r:id="rId674" ref="AI1330"/>
    <hyperlink r:id="rId675" ref="AK1332"/>
    <hyperlink r:id="rId676" ref="AI1333"/>
    <hyperlink r:id="rId677" ref="AI1334"/>
    <hyperlink r:id="rId678" ref="AI1335"/>
    <hyperlink r:id="rId679" ref="AI1338"/>
    <hyperlink r:id="rId680" ref="AI1339"/>
    <hyperlink r:id="rId681" ref="AI1340"/>
    <hyperlink r:id="rId682" ref="AI1342"/>
  </hyperlinks>
  <printOptions/>
  <pageMargins bottom="0.75" footer="0.0" header="0.0" left="0.7" right="0.7" top="0.75"/>
  <pageSetup orientation="portrait"/>
  <drawing r:id="rId683"/>
</worksheet>
</file>